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hidden" name="Topic filter test" sheetId="2" r:id="rId5"/>
    <sheet state="hidden" name="Testing" sheetId="3" r:id="rId6"/>
    <sheet state="hidden" name="Copy of Main" sheetId="4" r:id="rId7"/>
    <sheet state="hidden" name="Github" sheetId="5" r:id="rId8"/>
  </sheets>
  <definedNames>
    <definedName hidden="1" localSheetId="1" name="Z_503ADD4D_49A4_46C4_9EE1_79568C2A74B1_.wvu.FilterData">'Topic filter test'!$A$1:$O$2199</definedName>
    <definedName hidden="1" localSheetId="1" name="Z_37C3B912_A453_4F10_8090_039F13802711_.wvu.FilterData">'Topic filter test'!$A$1:$O$2199</definedName>
    <definedName hidden="1" localSheetId="2" name="Z_37C3B912_A453_4F10_8090_039F13802711_.wvu.FilterData">Testing!$A$1:$P$2199</definedName>
    <definedName hidden="1" localSheetId="3" name="Z_37C3B912_A453_4F10_8090_039F13802711_.wvu.FilterData">'Copy of Main'!$A$1:$L$2199</definedName>
    <definedName hidden="1" localSheetId="1" name="Z_9D8B6E1F_9243_4D2A_8A7E_5519A49434A6_.wvu.FilterData">'Topic filter test'!$A$1:$O$2199</definedName>
  </definedNames>
  <calcPr/>
  <customWorkbookViews>
    <customWorkbookView activeSheetId="0" maximized="1" windowHeight="0" windowWidth="0" guid="{9D8B6E1F-9243-4D2A-8A7E-5519A49434A6}" name="Array"/>
    <customWorkbookView activeSheetId="0" maximized="1" windowHeight="0" windowWidth="0" guid="{37C3B912-A453-4F10-8090-039F13802711}" name="Filter 1"/>
    <customWorkbookView activeSheetId="0" maximized="1" windowHeight="0" windowWidth="0" guid="{503ADD4D-49A4-46C4-9EE1-79568C2A74B1}" name="DP"/>
  </customWorkbookViews>
</workbook>
</file>

<file path=xl/sharedStrings.xml><?xml version="1.0" encoding="utf-8"?>
<sst xmlns="http://schemas.openxmlformats.org/spreadsheetml/2006/main" count="61" uniqueCount="27">
  <si>
    <t>Last updated:</t>
  </si>
  <si>
    <t>Q. No.</t>
  </si>
  <si>
    <t>Name / Link</t>
  </si>
  <si>
    <t>Likes
(L)</t>
  </si>
  <si>
    <t>Dislikes
(D)</t>
  </si>
  <si>
    <t>Reactions
(L+D)</t>
  </si>
  <si>
    <t>L/D
Ratio</t>
  </si>
  <si>
    <t>Category</t>
  </si>
  <si>
    <t>Topic Tags</t>
  </si>
  <si>
    <t>Difficulty</t>
  </si>
  <si>
    <t>Free?</t>
  </si>
  <si>
    <t>Has
Solution?</t>
  </si>
  <si>
    <t>Has Video
Solution?</t>
  </si>
  <si>
    <t>Acceptance
Rate</t>
  </si>
  <si>
    <t>Total
Accepted</t>
  </si>
  <si>
    <t>Total
Submitted</t>
  </si>
  <si>
    <r>
      <rPr>
        <b/>
        <sz val="15.0"/>
      </rPr>
      <t xml:space="preserve">Star the Github repo: </t>
    </r>
    <r>
      <rPr>
        <b/>
        <color rgb="FF1155CC"/>
        <sz val="15.0"/>
        <u/>
      </rPr>
      <t>https://github.com/adixmr/leetcode</t>
    </r>
  </si>
  <si>
    <r>
      <rPr>
        <rFont val="Roboto, RobotoDraft, Helvetica, Arial, sans-serif"/>
        <b/>
        <color rgb="FF000000"/>
        <sz val="15.0"/>
      </rPr>
      <t xml:space="preserve">Connect with me here: </t>
    </r>
    <r>
      <rPr>
        <rFont val="Roboto, RobotoDraft, Helvetica, Arial, sans-serif"/>
        <b/>
        <color rgb="FF1155CC"/>
        <sz val="15.0"/>
        <u/>
      </rPr>
      <t>https://www.linkedin.com/in/aditya-kumar-rajput/</t>
    </r>
  </si>
  <si>
    <t>Question No.</t>
  </si>
  <si>
    <t>Likes (L)</t>
  </si>
  <si>
    <t>Dislikes (D)</t>
  </si>
  <si>
    <t>Reactions (L+D)</t>
  </si>
  <si>
    <t>L/D Ratio</t>
  </si>
  <si>
    <t>Paid?</t>
  </si>
  <si>
    <t>Acceptance Rate</t>
  </si>
  <si>
    <t>Total Accepted</t>
  </si>
  <si>
    <t>Total Submitted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</si>
</sst>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</font>
    <font>
      <b/>
      <sz val="15.0"/>
      <color theme="1"/>
      <name val="Arial"/>
    </font>
    <font>
      <b/>
      <u/>
      <sz val="15.0"/>
      <color rgb="FF0000FF"/>
    </font>
    <font>
      <b/>
      <sz val="15.0"/>
      <color rgb="FF000000"/>
      <name val="Arial"/>
    </font>
    <font>
      <sz val="15.0"/>
      <color theme="1"/>
      <name val="Arial"/>
    </font>
    <font>
      <b/>
      <u/>
      <sz val="15.0"/>
      <color rgb="FF1155CC"/>
    </font>
    <font>
      <b/>
      <sz val="15.0"/>
      <color theme="7"/>
      <name val="Arial"/>
    </font>
    <font>
      <b/>
      <sz val="12.0"/>
      <color theme="1"/>
      <name val="Arial"/>
    </font>
    <font>
      <sz val="10.0"/>
      <color theme="1"/>
      <name val="Arial"/>
    </font>
    <font>
      <u/>
      <sz val="10.0"/>
      <color rgb="FF0000FF"/>
    </font>
    <font>
      <sz val="10.0"/>
      <color rgb="FF1155CC"/>
      <name val="Arial"/>
    </font>
    <font>
      <color theme="1"/>
      <name val="Arial"/>
    </font>
    <font>
      <sz val="11.0"/>
      <color rgb="FF000000"/>
      <name val="Inconsolata"/>
    </font>
    <font>
      <sz val="11.0"/>
      <color theme="1"/>
      <name val="Inconsolata"/>
    </font>
    <font>
      <b/>
      <u/>
      <sz val="15.0"/>
      <color theme="1"/>
      <name val="Arial"/>
    </font>
    <font>
      <b/>
      <sz val="15.0"/>
      <color rgb="FF000000"/>
      <name val="Roboto"/>
    </font>
    <font>
      <b/>
      <u/>
      <sz val="15.0"/>
      <color rgb="FF1155CC"/>
      <name val="Roboto"/>
    </font>
    <font>
      <b/>
      <sz val="14.0"/>
      <color theme="7"/>
      <name val="Roboto"/>
    </font>
    <font>
      <b/>
      <sz val="12.0"/>
      <color theme="7"/>
      <name val="Roboto"/>
    </font>
    <font>
      <u/>
      <color rgb="FF0000FF"/>
    </font>
    <font>
      <u/>
      <color theme="1"/>
      <name val="Arial"/>
    </font>
    <font>
      <b/>
      <u/>
      <sz val="15.0"/>
      <color rgb="FF0000FF"/>
    </font>
    <font>
      <b/>
      <u/>
      <sz val="15.0"/>
      <color rgb="FF000000"/>
      <name val="Roboto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4" numFmtId="0" xfId="0" applyFont="1"/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left" readingOrder="0"/>
    </xf>
    <xf borderId="0" fillId="0" fontId="7" numFmtId="0" xfId="0" applyAlignment="1" applyFont="1">
      <alignment horizontal="center" readingOrder="0" vertical="center"/>
    </xf>
    <xf borderId="0" fillId="0" fontId="8" numFmtId="0" xfId="0" applyAlignment="1" applyFont="1">
      <alignment horizontal="center"/>
    </xf>
    <xf borderId="0" fillId="0" fontId="9" numFmtId="0" xfId="0" applyAlignment="1" applyFont="1">
      <alignment horizontal="left"/>
    </xf>
    <xf borderId="0" fillId="2" fontId="0" numFmtId="0" xfId="0" applyAlignment="1" applyFill="1" applyFont="1">
      <alignment horizontal="center"/>
    </xf>
    <xf borderId="0" fillId="2" fontId="8" numFmtId="0" xfId="0" applyFont="1"/>
    <xf borderId="0" fillId="0" fontId="8" numFmtId="0" xfId="0" applyAlignment="1" applyFont="1">
      <alignment horizontal="center"/>
    </xf>
    <xf borderId="0" fillId="2" fontId="8" numFmtId="0" xfId="0" applyAlignment="1" applyFont="1">
      <alignment horizontal="center"/>
    </xf>
    <xf borderId="0" fillId="2" fontId="10" numFmtId="0" xfId="0" applyFont="1"/>
    <xf borderId="0" fillId="0" fontId="11" numFmtId="0" xfId="0" applyAlignment="1" applyFont="1">
      <alignment horizontal="center"/>
    </xf>
    <xf borderId="0" fillId="2" fontId="12" numFmtId="0" xfId="0" applyAlignment="1" applyFont="1">
      <alignment horizontal="center"/>
    </xf>
    <xf borderId="0" fillId="2" fontId="13" numFmtId="0" xfId="0" applyFont="1"/>
    <xf borderId="0" fillId="2" fontId="0" numFmtId="0" xfId="0" applyFont="1"/>
    <xf borderId="0" fillId="0" fontId="11" numFmtId="0" xfId="0" applyAlignment="1" applyFont="1">
      <alignment horizontal="left"/>
    </xf>
    <xf borderId="0" fillId="0" fontId="14" numFmtId="0" xfId="0" applyAlignment="1" applyFont="1">
      <alignment horizontal="center" readingOrder="0"/>
    </xf>
    <xf borderId="0" fillId="0" fontId="15" numFmtId="0" xfId="0" applyAlignment="1" applyFont="1">
      <alignment horizontal="center" readingOrder="0"/>
    </xf>
    <xf borderId="0" fillId="0" fontId="16" numFmtId="0" xfId="0" applyAlignment="1" applyFont="1">
      <alignment horizontal="center" readingOrder="0"/>
    </xf>
    <xf borderId="0" fillId="0" fontId="17" numFmtId="0" xfId="0" applyAlignment="1" applyFont="1">
      <alignment horizontal="center" readingOrder="0"/>
    </xf>
    <xf borderId="0" fillId="0" fontId="18" numFmtId="0" xfId="0" applyAlignment="1" applyFont="1">
      <alignment horizontal="left" readingOrder="0"/>
    </xf>
    <xf borderId="0" fillId="0" fontId="19" numFmtId="0" xfId="0" applyAlignment="1" applyFont="1">
      <alignment horizontal="left"/>
    </xf>
    <xf borderId="0" fillId="0" fontId="20" numFmtId="0" xfId="0" applyAlignment="1" applyFont="1">
      <alignment horizontal="center"/>
    </xf>
    <xf borderId="0" fillId="0" fontId="17" numFmtId="0" xfId="0" applyAlignment="1" applyFont="1">
      <alignment horizontal="right"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left" readingOrder="0"/>
    </xf>
    <xf borderId="0" fillId="0" fontId="21" numFmtId="0" xfId="0" applyAlignment="1" applyFont="1">
      <alignment horizontal="left" readingOrder="0"/>
    </xf>
    <xf borderId="0" fillId="0" fontId="22" numFmtId="0" xfId="0" applyAlignment="1" applyFont="1">
      <alignment horizontal="center" readingOrder="0"/>
    </xf>
    <xf borderId="0" fillId="0" fontId="23" numFmtId="0" xfId="0" applyAlignment="1" applyFont="1">
      <alignment horizontal="center"/>
    </xf>
    <xf borderId="0" fillId="0" fontId="11" numFmtId="0" xfId="0" applyFont="1"/>
    <xf borderId="0" fillId="2" fontId="12" numFmtId="0" xfId="0" applyFont="1"/>
  </cellXfs>
  <cellStyles count="1">
    <cellStyle xfId="0" name="Normal" builtinId="0"/>
  </cellStyles>
  <dxfs count="3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adixmr/leetcode" TargetMode="External"/><Relationship Id="rId2" Type="http://schemas.openxmlformats.org/officeDocument/2006/relationships/hyperlink" Target="https://www.linkedin.com/in/aditya-kumar-rajput/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 outlineLevelRow="1"/>
  <cols>
    <col customWidth="1" min="1" max="1" width="6.71"/>
    <col customWidth="1" min="2" max="2" width="27.86"/>
    <col customWidth="1" min="3" max="3" width="9.71"/>
    <col customWidth="1" min="4" max="4" width="10.57"/>
    <col customWidth="1" min="5" max="5" width="11.86"/>
    <col customWidth="1" min="6" max="6" width="10.29"/>
    <col customWidth="1" min="7" max="7" width="11.57"/>
    <col customWidth="1" min="8" max="8" width="32.14"/>
    <col customWidth="1" min="9" max="9" width="13.57"/>
    <col customWidth="1" min="10" max="10" width="8.14"/>
    <col customWidth="1" min="11" max="11" width="13.71"/>
    <col customWidth="1" min="12" max="12" width="13.0"/>
    <col customWidth="1" min="13" max="13" width="18.43"/>
    <col customWidth="1" min="14" max="15" width="17.14"/>
  </cols>
  <sheetData>
    <row r="1" ht="24.0" customHeight="1" outlineLevel="1">
      <c r="A1" s="1"/>
      <c r="B1" s="2" t="str">
        <f>HYPERLINK("https://github.com/adixmr/leetcode","Click to star the Github Repo")</f>
        <v>Click to star the Github Repo</v>
      </c>
      <c r="C1" s="3"/>
      <c r="D1" s="3"/>
      <c r="E1" s="4"/>
      <c r="F1" s="4"/>
      <c r="G1" s="5"/>
      <c r="H1" s="6" t="str">
        <f>HYPERLINK("https://www.linkedin.com/in/aditya-kumar-rajput/","Connect/Follow on LinkedIn")</f>
        <v>Connect/Follow on LinkedIn</v>
      </c>
      <c r="I1" s="4"/>
      <c r="J1" s="4"/>
      <c r="K1" s="7"/>
      <c r="L1" s="7"/>
      <c r="M1" s="7" t="s">
        <v>0</v>
      </c>
      <c r="N1" s="8" t="str">
        <f>SUBSTITUTE(MID(Github!BQ$3000, 12, 16), "T", " ") &amp; " (GMT)"</f>
        <v>2022-03-11 19:31 (GMT)</v>
      </c>
      <c r="O1" s="4"/>
    </row>
    <row r="2" ht="30.75" customHeight="1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</row>
    <row r="3">
      <c r="A3" s="10">
        <f>Github!J$2</f>
        <v>1</v>
      </c>
      <c r="B3" s="11" t="str">
        <f>HYPERLINK(CONCAT("http://leetcode.com/problems/",Github!C$2), Github!B$2)</f>
        <v>Two Sum</v>
      </c>
      <c r="C3" s="10">
        <f>Github!F$2</f>
        <v>30049</v>
      </c>
      <c r="D3" s="10">
        <f>Github!G$2</f>
        <v>945</v>
      </c>
      <c r="E3" s="10">
        <f>Github!F$2+Github!G$2</f>
        <v>30994</v>
      </c>
      <c r="F3" s="12">
        <f t="shared" ref="F3:F2199" si="1">IFERROR(ROUND(C3/D3, 2), C3)</f>
        <v>31.8</v>
      </c>
      <c r="G3" s="10" t="str">
        <f>Github!H$2</f>
        <v>Algorithms</v>
      </c>
      <c r="H3" s="13" t="str">
        <f>SUBSTITUTE(Github!L$2, ";", ", ")</f>
        <v>Array, Hash Table, </v>
      </c>
      <c r="I3" s="10" t="str">
        <f>Github!E$2</f>
        <v>Easy</v>
      </c>
      <c r="J3" s="10" t="str">
        <f>IF(TRIM(Github!D$2)="TRUE","FALSE","TRUE")</f>
        <v>TRUE</v>
      </c>
      <c r="K3" s="10" t="b">
        <f>Github!M$2</f>
        <v>1</v>
      </c>
      <c r="L3" s="10" t="b">
        <f>Github!N$2</f>
        <v>1</v>
      </c>
      <c r="M3" s="10" t="str">
        <f>ROUND(Github!O$2, 2)&amp;"%"</f>
        <v>48.34%</v>
      </c>
      <c r="N3" s="10">
        <f>Github!P$2</f>
        <v>6141290</v>
      </c>
      <c r="O3" s="10">
        <f>Github!Q$2</f>
        <v>12703800</v>
      </c>
    </row>
    <row r="4">
      <c r="A4" s="10">
        <f>Github!J$4</f>
        <v>3</v>
      </c>
      <c r="B4" s="11" t="str">
        <f>HYPERLINK(CONCAT("http://leetcode.com/problems/",Github!C$4), Github!B$4)</f>
        <v>Longest Substring Without Repeating Characters</v>
      </c>
      <c r="C4" s="10">
        <f>Github!F$4</f>
        <v>21990</v>
      </c>
      <c r="D4" s="10">
        <f>Github!G$4</f>
        <v>985</v>
      </c>
      <c r="E4" s="10">
        <f>Github!F$4+Github!G$4</f>
        <v>22975</v>
      </c>
      <c r="F4" s="12">
        <f t="shared" si="1"/>
        <v>22.32</v>
      </c>
      <c r="G4" s="10" t="str">
        <f>Github!H$4</f>
        <v>Algorithms</v>
      </c>
      <c r="H4" s="13" t="str">
        <f>SUBSTITUTE(Github!L$4, ";", ", ")</f>
        <v>Hash Table, String, Sliding Window, </v>
      </c>
      <c r="I4" s="10" t="str">
        <f>Github!E$4</f>
        <v>Medium</v>
      </c>
      <c r="J4" s="10" t="str">
        <f>IF(TRIM(Github!D$4)="TRUE","FALSE","TRUE")</f>
        <v>TRUE</v>
      </c>
      <c r="K4" s="10" t="b">
        <f>Github!M$4</f>
        <v>1</v>
      </c>
      <c r="L4" s="10" t="b">
        <f>Github!N$4</f>
        <v>1</v>
      </c>
      <c r="M4" s="10" t="str">
        <f>ROUND(Github!O$4, 2)&amp;"%"</f>
        <v>32.9%</v>
      </c>
      <c r="N4" s="10">
        <f>Github!P$4</f>
        <v>3057875</v>
      </c>
      <c r="O4" s="10">
        <f>Github!Q$4</f>
        <v>9294793</v>
      </c>
    </row>
    <row r="5">
      <c r="A5" s="10">
        <f>Github!J$54</f>
        <v>53</v>
      </c>
      <c r="B5" s="11" t="str">
        <f>HYPERLINK(CONCAT("http://leetcode.com/problems/",Github!C$54), Github!B$54)</f>
        <v>Maximum Subarray</v>
      </c>
      <c r="C5" s="10">
        <f>Github!F$54</f>
        <v>19026</v>
      </c>
      <c r="D5" s="10">
        <f>Github!G$54</f>
        <v>909</v>
      </c>
      <c r="E5" s="10">
        <f>Github!F$54+Github!G$54</f>
        <v>19935</v>
      </c>
      <c r="F5" s="12">
        <f t="shared" si="1"/>
        <v>20.93</v>
      </c>
      <c r="G5" s="10" t="str">
        <f>Github!H$54</f>
        <v>Algorithms</v>
      </c>
      <c r="H5" s="13" t="str">
        <f>SUBSTITUTE(Github!L$54, ";", ", ")</f>
        <v>Array, Divide and Conquer, Dynamic Programming, </v>
      </c>
      <c r="I5" s="10" t="str">
        <f>Github!E$54</f>
        <v>Easy</v>
      </c>
      <c r="J5" s="10" t="str">
        <f>IF(TRIM(Github!D$54)="TRUE","FALSE","TRUE")</f>
        <v>TRUE</v>
      </c>
      <c r="K5" s="10" t="b">
        <f>Github!M$54</f>
        <v>1</v>
      </c>
      <c r="L5" s="10" t="b">
        <f>Github!N$54</f>
        <v>0</v>
      </c>
      <c r="M5" s="10" t="str">
        <f>ROUND(Github!O$54, 2)&amp;"%"</f>
        <v>49.45%</v>
      </c>
      <c r="N5" s="10">
        <f>Github!P$54</f>
        <v>2152481</v>
      </c>
      <c r="O5" s="10">
        <f>Github!Q$54</f>
        <v>4353201</v>
      </c>
    </row>
    <row r="6">
      <c r="A6" s="10">
        <f>Github!J$3</f>
        <v>2</v>
      </c>
      <c r="B6" s="11" t="str">
        <f>HYPERLINK(CONCAT("http://leetcode.com/problems/",Github!C$3), Github!B$3)</f>
        <v>Add Two Numbers</v>
      </c>
      <c r="C6" s="10">
        <f>Github!F$3</f>
        <v>17226</v>
      </c>
      <c r="D6" s="10">
        <f>Github!G$3</f>
        <v>3593</v>
      </c>
      <c r="E6" s="10">
        <f>Github!F$3+Github!G$3</f>
        <v>20819</v>
      </c>
      <c r="F6" s="12">
        <f t="shared" si="1"/>
        <v>4.79</v>
      </c>
      <c r="G6" s="10" t="str">
        <f>Github!H$3</f>
        <v>Algorithms</v>
      </c>
      <c r="H6" s="13" t="str">
        <f>SUBSTITUTE(Github!L$3, ";", ", ")</f>
        <v>Linked List, Math, Recursion, </v>
      </c>
      <c r="I6" s="10" t="str">
        <f>Github!E$3</f>
        <v>Medium</v>
      </c>
      <c r="J6" s="10" t="str">
        <f>IF(TRIM(Github!D$3)="TRUE","FALSE","TRUE")</f>
        <v>TRUE</v>
      </c>
      <c r="K6" s="10" t="b">
        <f>Github!M$3</f>
        <v>1</v>
      </c>
      <c r="L6" s="10" t="b">
        <f>Github!N$3</f>
        <v>0</v>
      </c>
      <c r="M6" s="10" t="str">
        <f>ROUND(Github!O$3, 2)&amp;"%"</f>
        <v>38.29%</v>
      </c>
      <c r="N6" s="10">
        <f>Github!P$3</f>
        <v>2607699</v>
      </c>
      <c r="O6" s="10">
        <f>Github!Q$3</f>
        <v>6809878</v>
      </c>
    </row>
    <row r="7">
      <c r="A7" s="10">
        <f>Github!J$43</f>
        <v>42</v>
      </c>
      <c r="B7" s="11" t="str">
        <f>HYPERLINK(CONCAT("http://leetcode.com/problems/",Github!C$43), Github!B$43)</f>
        <v>Trapping Rain Water</v>
      </c>
      <c r="C7" s="10">
        <f>Github!F$43</f>
        <v>17150</v>
      </c>
      <c r="D7" s="10">
        <f>Github!G$43</f>
        <v>243</v>
      </c>
      <c r="E7" s="14">
        <f>Github!F$43+Github!G$43</f>
        <v>17393</v>
      </c>
      <c r="F7" s="12">
        <f t="shared" si="1"/>
        <v>70.58</v>
      </c>
      <c r="G7" s="10" t="str">
        <f>Github!H$43</f>
        <v>Algorithms</v>
      </c>
      <c r="H7" s="13" t="str">
        <f>SUBSTITUTE(Github!L$43, ";", ", ")</f>
        <v>Array, Two Pointers, Dynamic Programming, Stack, Monotonic Stack, </v>
      </c>
      <c r="I7" s="10" t="str">
        <f>Github!E$43</f>
        <v>Hard</v>
      </c>
      <c r="J7" s="10" t="str">
        <f>IF(TRIM(Github!D$43)="TRUE","FALSE","TRUE")</f>
        <v>TRUE</v>
      </c>
      <c r="K7" s="10" t="b">
        <f>Github!M$43</f>
        <v>1</v>
      </c>
      <c r="L7" s="10" t="b">
        <f>Github!N$43</f>
        <v>0</v>
      </c>
      <c r="M7" s="10" t="str">
        <f>ROUND(Github!O$43, 2)&amp;"%"</f>
        <v>55.96%</v>
      </c>
      <c r="N7" s="10">
        <f>Github!P$43</f>
        <v>1052579</v>
      </c>
      <c r="O7" s="10">
        <f>Github!Q$43</f>
        <v>1880908</v>
      </c>
    </row>
    <row r="8">
      <c r="A8" s="10">
        <f>Github!J$16</f>
        <v>15</v>
      </c>
      <c r="B8" s="11" t="str">
        <f>HYPERLINK(CONCAT("http://leetcode.com/problems/",Github!C$16), Github!B$16)</f>
        <v>3Sum</v>
      </c>
      <c r="C8" s="10">
        <f>Github!F$16</f>
        <v>16515</v>
      </c>
      <c r="D8" s="10">
        <f>Github!G$16</f>
        <v>1579</v>
      </c>
      <c r="E8" s="10">
        <f>Github!F$16+Github!G$16</f>
        <v>18094</v>
      </c>
      <c r="F8" s="12">
        <f t="shared" si="1"/>
        <v>10.46</v>
      </c>
      <c r="G8" s="10" t="str">
        <f>Github!H$16</f>
        <v>Algorithms</v>
      </c>
      <c r="H8" s="13" t="str">
        <f>SUBSTITUTE(Github!L$16, ";", ", ")</f>
        <v>Array, Two Pointers, Sorting, </v>
      </c>
      <c r="I8" s="10" t="str">
        <f>Github!E$16</f>
        <v>Medium</v>
      </c>
      <c r="J8" s="10" t="str">
        <f>IF(TRIM(Github!D$16)="TRUE","FALSE","TRUE")</f>
        <v>TRUE</v>
      </c>
      <c r="K8" s="10" t="b">
        <f>Github!M$16</f>
        <v>1</v>
      </c>
      <c r="L8" s="10" t="b">
        <f>Github!N$16</f>
        <v>0</v>
      </c>
      <c r="M8" s="10" t="str">
        <f>ROUND(Github!O$16, 2)&amp;"%"</f>
        <v>30.75%</v>
      </c>
      <c r="N8" s="10">
        <f>Github!P$16</f>
        <v>1815506</v>
      </c>
      <c r="O8" s="10">
        <f>Github!Q$16</f>
        <v>5905052</v>
      </c>
    </row>
    <row r="9">
      <c r="A9" s="10">
        <f>Github!J$6</f>
        <v>5</v>
      </c>
      <c r="B9" s="11" t="str">
        <f>HYPERLINK(CONCAT("http://leetcode.com/problems/",Github!C$6), Github!B$6)</f>
        <v>Longest Palindromic Substring</v>
      </c>
      <c r="C9" s="10">
        <f>Github!F$6</f>
        <v>16449</v>
      </c>
      <c r="D9" s="10">
        <f>Github!G$6</f>
        <v>970</v>
      </c>
      <c r="E9" s="10">
        <f>Github!F$6+Github!G$6</f>
        <v>17419</v>
      </c>
      <c r="F9" s="12">
        <f t="shared" si="1"/>
        <v>16.96</v>
      </c>
      <c r="G9" s="10" t="str">
        <f>Github!H$6</f>
        <v>Algorithms</v>
      </c>
      <c r="H9" s="13" t="str">
        <f>SUBSTITUTE(Github!L$6, ";", ", ")</f>
        <v>String, Dynamic Programming, </v>
      </c>
      <c r="I9" s="10" t="str">
        <f>Github!E$6</f>
        <v>Medium</v>
      </c>
      <c r="J9" s="10" t="str">
        <f>IF(TRIM(Github!D$6)="TRUE","FALSE","TRUE")</f>
        <v>TRUE</v>
      </c>
      <c r="K9" s="10" t="b">
        <f>Github!M$6</f>
        <v>1</v>
      </c>
      <c r="L9" s="10" t="b">
        <f>Github!N$6</f>
        <v>0</v>
      </c>
      <c r="M9" s="10" t="str">
        <f>ROUND(Github!O$6, 2)&amp;"%"</f>
        <v>31.7%</v>
      </c>
      <c r="N9" s="10">
        <f>Github!P$6</f>
        <v>1728857</v>
      </c>
      <c r="O9" s="10">
        <f>Github!Q$6</f>
        <v>5453509</v>
      </c>
    </row>
    <row r="10">
      <c r="A10" s="10">
        <f>Github!J$5</f>
        <v>4</v>
      </c>
      <c r="B10" s="11" t="str">
        <f>HYPERLINK(CONCAT("http://leetcode.com/problems/",Github!C$5), Github!B$5)</f>
        <v>Median of Two Sorted Arrays</v>
      </c>
      <c r="C10" s="10">
        <f>Github!F$5</f>
        <v>15335</v>
      </c>
      <c r="D10" s="10">
        <f>Github!G$5</f>
        <v>1920</v>
      </c>
      <c r="E10" s="10">
        <f>Github!F$5+Github!G$5</f>
        <v>17255</v>
      </c>
      <c r="F10" s="12">
        <f t="shared" si="1"/>
        <v>7.99</v>
      </c>
      <c r="G10" s="10" t="str">
        <f>Github!H$5</f>
        <v>Algorithms</v>
      </c>
      <c r="H10" s="13" t="str">
        <f>SUBSTITUTE(Github!L$5, ";", ", ")</f>
        <v>Array, Binary Search, Divide and Conquer, </v>
      </c>
      <c r="I10" s="10" t="str">
        <f>Github!E$5</f>
        <v>Hard</v>
      </c>
      <c r="J10" s="10" t="str">
        <f>IF(TRIM(Github!D$5)="TRUE","FALSE","TRUE")</f>
        <v>TRUE</v>
      </c>
      <c r="K10" s="10" t="b">
        <f>Github!M$5</f>
        <v>0</v>
      </c>
      <c r="L10" s="10" t="b">
        <f>Github!N$5</f>
        <v>0</v>
      </c>
      <c r="M10" s="10" t="str">
        <f>ROUND(Github!O$5, 2)&amp;"%"</f>
        <v>33.78%</v>
      </c>
      <c r="N10" s="10">
        <f>Github!P$5</f>
        <v>1290429</v>
      </c>
      <c r="O10" s="10">
        <f>Github!Q$5</f>
        <v>3819856</v>
      </c>
    </row>
    <row r="11">
      <c r="A11" s="10">
        <f>Github!J$12</f>
        <v>11</v>
      </c>
      <c r="B11" s="11" t="str">
        <f>HYPERLINK(CONCAT("http://leetcode.com/problems/",Github!C$12), Github!B$12)</f>
        <v>Container With Most Water</v>
      </c>
      <c r="C11" s="10">
        <f>Github!F$12</f>
        <v>14820</v>
      </c>
      <c r="D11" s="10">
        <f>Github!G$12</f>
        <v>889</v>
      </c>
      <c r="E11" s="10">
        <f>Github!F$12+Github!G$12</f>
        <v>15709</v>
      </c>
      <c r="F11" s="12">
        <f t="shared" si="1"/>
        <v>16.67</v>
      </c>
      <c r="G11" s="10" t="str">
        <f>Github!H$12</f>
        <v>Algorithms</v>
      </c>
      <c r="H11" s="13" t="str">
        <f>SUBSTITUTE(Github!L$12, ";", ", ")</f>
        <v>Array, Two Pointers, Greedy, </v>
      </c>
      <c r="I11" s="10" t="str">
        <f>Github!E$12</f>
        <v>Medium</v>
      </c>
      <c r="J11" s="10" t="str">
        <f>IF(TRIM(Github!D$12)="TRUE","FALSE","TRUE")</f>
        <v>TRUE</v>
      </c>
      <c r="K11" s="10" t="b">
        <f>Github!M$12</f>
        <v>1</v>
      </c>
      <c r="L11" s="10" t="b">
        <f>Github!N$12</f>
        <v>1</v>
      </c>
      <c r="M11" s="10" t="str">
        <f>ROUND(Github!O$12, 2)&amp;"%"</f>
        <v>53.43%</v>
      </c>
      <c r="N11" s="10">
        <f>Github!P$12</f>
        <v>1339155</v>
      </c>
      <c r="O11" s="10">
        <f>Github!Q$12</f>
        <v>2506502</v>
      </c>
    </row>
    <row r="12">
      <c r="A12" s="10">
        <f>Github!J$122</f>
        <v>121</v>
      </c>
      <c r="B12" s="11" t="str">
        <f>HYPERLINK(CONCAT("http://leetcode.com/problems/",Github!C$122), Github!B$122)</f>
        <v>Best Time to Buy and Sell Stock</v>
      </c>
      <c r="C12" s="10">
        <f>Github!F$122</f>
        <v>14798</v>
      </c>
      <c r="D12" s="10">
        <f>Github!G$122</f>
        <v>500</v>
      </c>
      <c r="E12" s="10">
        <f>Github!F$122+Github!G$122</f>
        <v>15298</v>
      </c>
      <c r="F12" s="12">
        <f t="shared" si="1"/>
        <v>29.6</v>
      </c>
      <c r="G12" s="10" t="str">
        <f>Github!H$122</f>
        <v>Algorithms</v>
      </c>
      <c r="H12" s="13" t="str">
        <f>SUBSTITUTE(Github!L$122, ";", ", ")</f>
        <v>Array, Dynamic Programming, </v>
      </c>
      <c r="I12" s="10" t="str">
        <f>Github!E$122</f>
        <v>Easy</v>
      </c>
      <c r="J12" s="10" t="str">
        <f>IF(TRIM(Github!D$122)="TRUE","FALSE","TRUE")</f>
        <v>TRUE</v>
      </c>
      <c r="K12" s="10" t="b">
        <f>Github!M$122</f>
        <v>1</v>
      </c>
      <c r="L12" s="10" t="b">
        <f>Github!N$122</f>
        <v>1</v>
      </c>
      <c r="M12" s="10" t="str">
        <f>ROUND(Github!O$122, 2)&amp;"%"</f>
        <v>53.88%</v>
      </c>
      <c r="N12" s="10">
        <f>Github!P$122</f>
        <v>1994646</v>
      </c>
      <c r="O12" s="10">
        <f>Github!Q$122</f>
        <v>3702125</v>
      </c>
    </row>
    <row r="13">
      <c r="A13" s="10">
        <f>Github!J$34</f>
        <v>33</v>
      </c>
      <c r="B13" s="11" t="str">
        <f>HYPERLINK(CONCAT("http://leetcode.com/problems/",Github!C$34), Github!B$34)</f>
        <v>Search in Rotated Sorted Array</v>
      </c>
      <c r="C13" s="10">
        <f>Github!F$34</f>
        <v>12999</v>
      </c>
      <c r="D13" s="10">
        <f>Github!G$34</f>
        <v>851</v>
      </c>
      <c r="E13" s="10">
        <f>Github!F$34+Github!G$34</f>
        <v>13850</v>
      </c>
      <c r="F13" s="12">
        <f t="shared" si="1"/>
        <v>15.27</v>
      </c>
      <c r="G13" s="10" t="str">
        <f>Github!H$34</f>
        <v>Algorithms</v>
      </c>
      <c r="H13" s="13" t="str">
        <f>SUBSTITUTE(Github!L$34, ";", ", ")</f>
        <v>Array, Binary Search, </v>
      </c>
      <c r="I13" s="10" t="str">
        <f>Github!E$34</f>
        <v>Medium</v>
      </c>
      <c r="J13" s="10" t="str">
        <f>IF(TRIM(Github!D$34)="TRUE","FALSE","TRUE")</f>
        <v>TRUE</v>
      </c>
      <c r="K13" s="10" t="b">
        <f>Github!M$34</f>
        <v>1</v>
      </c>
      <c r="L13" s="10" t="b">
        <f>Github!N$34</f>
        <v>0</v>
      </c>
      <c r="M13" s="10" t="str">
        <f>ROUND(Github!O$34, 2)&amp;"%"</f>
        <v>37.53%</v>
      </c>
      <c r="N13" s="10">
        <f>Github!P$34</f>
        <v>1374027</v>
      </c>
      <c r="O13" s="10">
        <f>Github!Q$34</f>
        <v>3660692</v>
      </c>
    </row>
    <row r="14">
      <c r="A14" s="10">
        <f>Github!J$201</f>
        <v>200</v>
      </c>
      <c r="B14" s="11" t="str">
        <f>HYPERLINK(CONCAT("http://leetcode.com/problems/",Github!C$201), Github!B$201)</f>
        <v>Number of Islands</v>
      </c>
      <c r="C14" s="10">
        <f>Github!F$201</f>
        <v>12751</v>
      </c>
      <c r="D14" s="10">
        <f>Github!G$201</f>
        <v>315</v>
      </c>
      <c r="E14" s="10">
        <f>Github!F$201+Github!G$201</f>
        <v>13066</v>
      </c>
      <c r="F14" s="12">
        <f t="shared" si="1"/>
        <v>40.48</v>
      </c>
      <c r="G14" s="10" t="str">
        <f>Github!H$201</f>
        <v>Algorithms</v>
      </c>
      <c r="H14" s="13" t="str">
        <f>SUBSTITUTE(Github!L$201, ";", ", ")</f>
        <v>Array, Depth-First Search, Breadth-First Search, Union Find, Matrix, </v>
      </c>
      <c r="I14" s="10" t="str">
        <f>Github!E$201</f>
        <v>Medium</v>
      </c>
      <c r="J14" s="10" t="str">
        <f>IF(TRIM(Github!D$201)="TRUE","FALSE","TRUE")</f>
        <v>TRUE</v>
      </c>
      <c r="K14" s="10" t="b">
        <f>Github!M$201</f>
        <v>1</v>
      </c>
      <c r="L14" s="10" t="b">
        <f>Github!N$201</f>
        <v>0</v>
      </c>
      <c r="M14" s="10" t="str">
        <f>ROUND(Github!O$201, 2)&amp;"%"</f>
        <v>53.38%</v>
      </c>
      <c r="N14" s="10">
        <f>Github!P$201</f>
        <v>1461753</v>
      </c>
      <c r="O14" s="10">
        <f>Github!Q$201</f>
        <v>2738286</v>
      </c>
    </row>
    <row r="15">
      <c r="A15" s="10">
        <f>Github!J$57</f>
        <v>56</v>
      </c>
      <c r="B15" s="11" t="str">
        <f>HYPERLINK(CONCAT("http://leetcode.com/problems/",Github!C$57), Github!B$57)</f>
        <v>Merge Intervals</v>
      </c>
      <c r="C15" s="10">
        <f>Github!F$57</f>
        <v>12513</v>
      </c>
      <c r="D15" s="10">
        <f>Github!G$57</f>
        <v>495</v>
      </c>
      <c r="E15" s="10">
        <f>Github!F$57+Github!G$57</f>
        <v>13008</v>
      </c>
      <c r="F15" s="12">
        <f t="shared" si="1"/>
        <v>25.28</v>
      </c>
      <c r="G15" s="10" t="str">
        <f>Github!H$57</f>
        <v>Algorithms</v>
      </c>
      <c r="H15" s="13" t="str">
        <f>SUBSTITUTE(Github!L$57, ";", ", ")</f>
        <v>Array, Sorting, </v>
      </c>
      <c r="I15" s="10" t="str">
        <f>Github!E$57</f>
        <v>Medium</v>
      </c>
      <c r="J15" s="10" t="str">
        <f>IF(TRIM(Github!D$57)="TRUE","FALSE","TRUE")</f>
        <v>TRUE</v>
      </c>
      <c r="K15" s="10" t="b">
        <f>Github!M$57</f>
        <v>1</v>
      </c>
      <c r="L15" s="10" t="b">
        <f>Github!N$57</f>
        <v>1</v>
      </c>
      <c r="M15" s="10" t="str">
        <f>ROUND(Github!O$57, 2)&amp;"%"</f>
        <v>44.58%</v>
      </c>
      <c r="N15" s="10">
        <f>Github!P$57</f>
        <v>1335277</v>
      </c>
      <c r="O15" s="10">
        <f>Github!Q$57</f>
        <v>2995124</v>
      </c>
    </row>
    <row r="16">
      <c r="A16" s="10">
        <f>Github!J$147</f>
        <v>146</v>
      </c>
      <c r="B16" s="11" t="str">
        <f>HYPERLINK(CONCAT("http://leetcode.com/problems/",Github!C$147), Github!B$147)</f>
        <v>LRU Cache</v>
      </c>
      <c r="C16" s="10">
        <f>Github!F$147</f>
        <v>12371</v>
      </c>
      <c r="D16" s="10">
        <f>Github!G$147</f>
        <v>484</v>
      </c>
      <c r="E16" s="10">
        <f>Github!F$147+Github!G$147</f>
        <v>12855</v>
      </c>
      <c r="F16" s="12">
        <f t="shared" si="1"/>
        <v>25.56</v>
      </c>
      <c r="G16" s="10" t="str">
        <f>Github!H$147</f>
        <v>Algorithms</v>
      </c>
      <c r="H16" s="13" t="str">
        <f>SUBSTITUTE(Github!L$147, ";", ", ")</f>
        <v>Hash Table, Linked List, Design, Doubly-Linked List, </v>
      </c>
      <c r="I16" s="10" t="str">
        <f>Github!E$147</f>
        <v>Medium</v>
      </c>
      <c r="J16" s="10" t="str">
        <f>IF(TRIM(Github!D$147)="TRUE","FALSE","TRUE")</f>
        <v>TRUE</v>
      </c>
      <c r="K16" s="10" t="b">
        <f>Github!M$147</f>
        <v>1</v>
      </c>
      <c r="L16" s="10" t="b">
        <f>Github!N$147</f>
        <v>0</v>
      </c>
      <c r="M16" s="10" t="str">
        <f>ROUND(Github!O$147, 2)&amp;"%"</f>
        <v>39.47%</v>
      </c>
      <c r="N16" s="10">
        <f>Github!P$147</f>
        <v>1010544</v>
      </c>
      <c r="O16" s="10">
        <f>Github!Q$147</f>
        <v>2560324</v>
      </c>
    </row>
    <row r="17">
      <c r="A17" s="10">
        <f>Github!J$561</f>
        <v>560</v>
      </c>
      <c r="B17" s="11" t="str">
        <f>HYPERLINK(CONCAT("http://leetcode.com/problems/",Github!C$561), Github!B$561)</f>
        <v>Subarray Sum Equals K</v>
      </c>
      <c r="C17" s="10">
        <f>Github!F$561</f>
        <v>12357</v>
      </c>
      <c r="D17" s="10">
        <f>Github!G$561</f>
        <v>390</v>
      </c>
      <c r="E17" s="10">
        <f>Github!F$561+Github!G$561</f>
        <v>12747</v>
      </c>
      <c r="F17" s="12">
        <f t="shared" si="1"/>
        <v>31.68</v>
      </c>
      <c r="G17" s="10" t="str">
        <f>Github!H$561</f>
        <v>Algorithms</v>
      </c>
      <c r="H17" s="13" t="str">
        <f>SUBSTITUTE(Github!L$561, ";", ", ")</f>
        <v>Array, Hash Table, Prefix Sum, </v>
      </c>
      <c r="I17" s="10" t="str">
        <f>Github!E$561</f>
        <v>Medium</v>
      </c>
      <c r="J17" s="10" t="str">
        <f>IF(TRIM(Github!D$561)="TRUE","FALSE","TRUE")</f>
        <v>TRUE</v>
      </c>
      <c r="K17" s="10" t="b">
        <f>Github!M$561</f>
        <v>1</v>
      </c>
      <c r="L17" s="10" t="b">
        <f>Github!N$561</f>
        <v>0</v>
      </c>
      <c r="M17" s="10" t="str">
        <f>ROUND(Github!O$561, 2)&amp;"%"</f>
        <v>44.15%</v>
      </c>
      <c r="N17" s="10">
        <f>Github!P$561</f>
        <v>731199</v>
      </c>
      <c r="O17" s="10">
        <f>Github!Q$561</f>
        <v>1656290</v>
      </c>
    </row>
    <row r="18">
      <c r="A18" s="10">
        <f>Github!J$23</f>
        <v>22</v>
      </c>
      <c r="B18" s="11" t="str">
        <f>HYPERLINK(CONCAT("http://leetcode.com/problems/",Github!C$23), Github!B$23)</f>
        <v>Generate Parentheses</v>
      </c>
      <c r="C18" s="10">
        <f>Github!F$23</f>
        <v>11973</v>
      </c>
      <c r="D18" s="10">
        <f>Github!G$23</f>
        <v>468</v>
      </c>
      <c r="E18" s="10">
        <f>Github!F$23+Github!G$23</f>
        <v>12441</v>
      </c>
      <c r="F18" s="12">
        <f t="shared" si="1"/>
        <v>25.58</v>
      </c>
      <c r="G18" s="10" t="str">
        <f>Github!H$23</f>
        <v>Algorithms</v>
      </c>
      <c r="H18" s="13" t="str">
        <f>SUBSTITUTE(Github!L$23, ";", ", ")</f>
        <v>String, Dynamic Programming, Backtracking, </v>
      </c>
      <c r="I18" s="10" t="str">
        <f>Github!E$23</f>
        <v>Medium</v>
      </c>
      <c r="J18" s="10" t="str">
        <f>IF(TRIM(Github!D$23)="TRUE","FALSE","TRUE")</f>
        <v>TRUE</v>
      </c>
      <c r="K18" s="10" t="b">
        <f>Github!M$23</f>
        <v>1</v>
      </c>
      <c r="L18" s="10" t="b">
        <f>Github!N$23</f>
        <v>0</v>
      </c>
      <c r="M18" s="10" t="str">
        <f>ROUND(Github!O$23, 2)&amp;"%"</f>
        <v>69.59%</v>
      </c>
      <c r="N18" s="10">
        <f>Github!P$23</f>
        <v>1000339</v>
      </c>
      <c r="O18" s="10">
        <f>Github!Q$23</f>
        <v>1437496</v>
      </c>
    </row>
    <row r="19">
      <c r="A19" s="10">
        <f>Github!J$288</f>
        <v>287</v>
      </c>
      <c r="B19" s="11" t="str">
        <f>HYPERLINK(CONCAT("http://leetcode.com/problems/",Github!C$288), Github!B$288)</f>
        <v>Find the Duplicate Number</v>
      </c>
      <c r="C19" s="10">
        <f>Github!F$288</f>
        <v>11972</v>
      </c>
      <c r="D19" s="10">
        <f>Github!G$288</f>
        <v>1319</v>
      </c>
      <c r="E19" s="10">
        <f>Github!F$288+Github!G$288</f>
        <v>13291</v>
      </c>
      <c r="F19" s="12">
        <f t="shared" si="1"/>
        <v>9.08</v>
      </c>
      <c r="G19" s="10" t="str">
        <f>Github!H$288</f>
        <v>Algorithms</v>
      </c>
      <c r="H19" s="13" t="str">
        <f>SUBSTITUTE(Github!L$288, ";", ", ")</f>
        <v>Array, Two Pointers, Binary Search, Bit Manipulation, </v>
      </c>
      <c r="I19" s="10" t="str">
        <f>Github!E$288</f>
        <v>Medium</v>
      </c>
      <c r="J19" s="10" t="str">
        <f>IF(TRIM(Github!D$288)="TRUE","FALSE","TRUE")</f>
        <v>TRUE</v>
      </c>
      <c r="K19" s="10" t="b">
        <f>Github!M$288</f>
        <v>1</v>
      </c>
      <c r="L19" s="10" t="b">
        <f>Github!N$288</f>
        <v>0</v>
      </c>
      <c r="M19" s="10" t="str">
        <f>ROUND(Github!O$288, 2)&amp;"%"</f>
        <v>58.42%</v>
      </c>
      <c r="N19" s="10">
        <f>Github!P$288</f>
        <v>738227</v>
      </c>
      <c r="O19" s="10">
        <f>Github!Q$288</f>
        <v>1263718</v>
      </c>
    </row>
    <row r="20">
      <c r="A20" s="10">
        <f>Github!J$21</f>
        <v>20</v>
      </c>
      <c r="B20" s="11" t="str">
        <f>HYPERLINK(CONCAT("http://leetcode.com/problems/",Github!C$21), Github!B$21)</f>
        <v>Valid Parentheses</v>
      </c>
      <c r="C20" s="10">
        <f>Github!F$21</f>
        <v>11641</v>
      </c>
      <c r="D20" s="10">
        <f>Github!G$21</f>
        <v>515</v>
      </c>
      <c r="E20" s="10">
        <f>Github!F$21+Github!G$21</f>
        <v>12156</v>
      </c>
      <c r="F20" s="12">
        <f t="shared" si="1"/>
        <v>22.6</v>
      </c>
      <c r="G20" s="10" t="str">
        <f>Github!H$21</f>
        <v>Algorithms</v>
      </c>
      <c r="H20" s="13" t="str">
        <f>SUBSTITUTE(Github!L$21, ";", ", ")</f>
        <v>String, Stack, </v>
      </c>
      <c r="I20" s="10" t="str">
        <f>Github!E$21</f>
        <v>Easy</v>
      </c>
      <c r="J20" s="10" t="str">
        <f>IF(TRIM(Github!D$21)="TRUE","FALSE","TRUE")</f>
        <v>TRUE</v>
      </c>
      <c r="K20" s="10" t="b">
        <f>Github!M$21</f>
        <v>1</v>
      </c>
      <c r="L20" s="10" t="b">
        <f>Github!N$21</f>
        <v>1</v>
      </c>
      <c r="M20" s="10" t="str">
        <f>ROUND(Github!O$21, 2)&amp;"%"</f>
        <v>40.61%</v>
      </c>
      <c r="N20" s="10">
        <f>Github!P$21</f>
        <v>2029783</v>
      </c>
      <c r="O20" s="10">
        <f>Github!Q$21</f>
        <v>4998031</v>
      </c>
    </row>
    <row r="21">
      <c r="A21" s="10">
        <f>Github!J$24</f>
        <v>23</v>
      </c>
      <c r="B21" s="11" t="str">
        <f>HYPERLINK(CONCAT("http://leetcode.com/problems/",Github!C$24), Github!B$24)</f>
        <v>Merge k Sorted Lists</v>
      </c>
      <c r="C21" s="10">
        <f>Github!F$24</f>
        <v>11431</v>
      </c>
      <c r="D21" s="10">
        <f>Github!G$24</f>
        <v>453</v>
      </c>
      <c r="E21" s="10">
        <f>Github!F$24+Github!G$24</f>
        <v>11884</v>
      </c>
      <c r="F21" s="12">
        <f t="shared" si="1"/>
        <v>25.23</v>
      </c>
      <c r="G21" s="10" t="str">
        <f>Github!H$24</f>
        <v>Algorithms</v>
      </c>
      <c r="H21" s="13" t="str">
        <f>SUBSTITUTE(Github!L$24, ";", ", ")</f>
        <v>Linked List, Divide and Conquer, Heap (Priority Queue), Merge Sort, </v>
      </c>
      <c r="I21" s="10" t="str">
        <f>Github!E$24</f>
        <v>Hard</v>
      </c>
      <c r="J21" s="10" t="str">
        <f>IF(TRIM(Github!D$24)="TRUE","FALSE","TRUE")</f>
        <v>TRUE</v>
      </c>
      <c r="K21" s="10" t="b">
        <f>Github!M$24</f>
        <v>1</v>
      </c>
      <c r="L21" s="10" t="b">
        <f>Github!N$24</f>
        <v>0</v>
      </c>
      <c r="M21" s="10" t="str">
        <f>ROUND(Github!O$24, 2)&amp;"%"</f>
        <v>46.64%</v>
      </c>
      <c r="N21" s="10">
        <f>Github!P$24</f>
        <v>1194119</v>
      </c>
      <c r="O21" s="10">
        <f>Github!Q$24</f>
        <v>2560272</v>
      </c>
    </row>
    <row r="22">
      <c r="A22" s="10">
        <f>Github!J$199</f>
        <v>198</v>
      </c>
      <c r="B22" s="11" t="str">
        <f>HYPERLINK(CONCAT("http://leetcode.com/problems/",Github!C$199), Github!B$199)</f>
        <v>House Robber</v>
      </c>
      <c r="C22" s="10">
        <f>Github!F$199</f>
        <v>11433</v>
      </c>
      <c r="D22" s="10">
        <f>Github!G$199</f>
        <v>247</v>
      </c>
      <c r="E22" s="10">
        <f>Github!F$199+Github!G$199</f>
        <v>11680</v>
      </c>
      <c r="F22" s="12">
        <f t="shared" si="1"/>
        <v>46.29</v>
      </c>
      <c r="G22" s="10" t="str">
        <f>Github!H$199</f>
        <v>Algorithms</v>
      </c>
      <c r="H22" s="13" t="str">
        <f>SUBSTITUTE(Github!L$199, ";", ", ")</f>
        <v>Array, Dynamic Programming, </v>
      </c>
      <c r="I22" s="10" t="str">
        <f>Github!E$199</f>
        <v>Medium</v>
      </c>
      <c r="J22" s="10" t="str">
        <f>IF(TRIM(Github!D$199)="TRUE","FALSE","TRUE")</f>
        <v>TRUE</v>
      </c>
      <c r="K22" s="10" t="b">
        <f>Github!M$199</f>
        <v>1</v>
      </c>
      <c r="L22" s="10" t="b">
        <f>Github!N$199</f>
        <v>0</v>
      </c>
      <c r="M22" s="10" t="str">
        <f>ROUND(Github!O$199, 2)&amp;"%"</f>
        <v>46.73%</v>
      </c>
      <c r="N22" s="10">
        <f>Github!P$199</f>
        <v>1054565</v>
      </c>
      <c r="O22" s="10">
        <f>Github!Q$199</f>
        <v>2256834</v>
      </c>
    </row>
    <row r="23">
      <c r="A23" s="10">
        <f>Github!J$239</f>
        <v>238</v>
      </c>
      <c r="B23" s="11" t="str">
        <f>HYPERLINK(CONCAT("http://leetcode.com/problems/",Github!C$239), Github!B$239)</f>
        <v>Product of Array Except Self</v>
      </c>
      <c r="C23" s="10">
        <f>Github!F$239</f>
        <v>11406</v>
      </c>
      <c r="D23" s="10">
        <f>Github!G$239</f>
        <v>696</v>
      </c>
      <c r="E23" s="10">
        <f>Github!F$239+Github!G$239</f>
        <v>12102</v>
      </c>
      <c r="F23" s="12">
        <f t="shared" si="1"/>
        <v>16.39</v>
      </c>
      <c r="G23" s="10" t="str">
        <f>Github!H$239</f>
        <v>Algorithms</v>
      </c>
      <c r="H23" s="13" t="str">
        <f>SUBSTITUTE(Github!L$239, ";", ", ")</f>
        <v>Array, Prefix Sum, </v>
      </c>
      <c r="I23" s="10" t="str">
        <f>Github!E$239</f>
        <v>Medium</v>
      </c>
      <c r="J23" s="10" t="str">
        <f>IF(TRIM(Github!D$239)="TRUE","FALSE","TRUE")</f>
        <v>TRUE</v>
      </c>
      <c r="K23" s="10" t="b">
        <f>Github!M$239</f>
        <v>1</v>
      </c>
      <c r="L23" s="10" t="b">
        <f>Github!N$239</f>
        <v>1</v>
      </c>
      <c r="M23" s="10" t="str">
        <f>ROUND(Github!O$239, 2)&amp;"%"</f>
        <v>63.68%</v>
      </c>
      <c r="N23" s="10">
        <f>Github!P$239</f>
        <v>1079312</v>
      </c>
      <c r="O23" s="10">
        <f>Github!Q$239</f>
        <v>1694815</v>
      </c>
    </row>
    <row r="24">
      <c r="A24" s="10">
        <f>Github!J$22</f>
        <v>21</v>
      </c>
      <c r="B24" s="11" t="str">
        <f>HYPERLINK(CONCAT("http://leetcode.com/problems/",Github!C$22), Github!B$22)</f>
        <v>Merge Two Sorted Lists</v>
      </c>
      <c r="C24" s="10">
        <f>Github!F$22</f>
        <v>11322</v>
      </c>
      <c r="D24" s="10">
        <f>Github!G$22</f>
        <v>1020</v>
      </c>
      <c r="E24" s="10">
        <f>Github!F$22+Github!G$22</f>
        <v>12342</v>
      </c>
      <c r="F24" s="12">
        <f t="shared" si="1"/>
        <v>11.1</v>
      </c>
      <c r="G24" s="10" t="str">
        <f>Github!H$22</f>
        <v>Algorithms</v>
      </c>
      <c r="H24" s="13" t="str">
        <f>SUBSTITUTE(Github!L$22, ";", ", ")</f>
        <v>Linked List, Recursion, </v>
      </c>
      <c r="I24" s="10" t="str">
        <f>Github!E$22</f>
        <v>Easy</v>
      </c>
      <c r="J24" s="10" t="str">
        <f>IF(TRIM(Github!D$22)="TRUE","FALSE","TRUE")</f>
        <v>TRUE</v>
      </c>
      <c r="K24" s="10" t="b">
        <f>Github!M$22</f>
        <v>1</v>
      </c>
      <c r="L24" s="10" t="b">
        <f>Github!N$22</f>
        <v>1</v>
      </c>
      <c r="M24" s="10" t="str">
        <f>ROUND(Github!O$22, 2)&amp;"%"</f>
        <v>59.89%</v>
      </c>
      <c r="N24" s="10">
        <f>Github!P$22</f>
        <v>2038563</v>
      </c>
      <c r="O24" s="10">
        <f>Github!Q$22</f>
        <v>3403704</v>
      </c>
    </row>
    <row r="25">
      <c r="A25" s="10">
        <f>Github!J$301</f>
        <v>300</v>
      </c>
      <c r="B25" s="11" t="str">
        <f>HYPERLINK(CONCAT("http://leetcode.com/problems/",Github!C$301), Github!B$301)</f>
        <v>Longest Increasing Subsequence</v>
      </c>
      <c r="C25" s="10">
        <f>Github!F$301</f>
        <v>11027</v>
      </c>
      <c r="D25" s="10">
        <f>Github!G$301</f>
        <v>217</v>
      </c>
      <c r="E25" s="10">
        <f>Github!F$301+Github!G$301</f>
        <v>11244</v>
      </c>
      <c r="F25" s="12">
        <f t="shared" si="1"/>
        <v>50.82</v>
      </c>
      <c r="G25" s="10" t="str">
        <f>Github!H$301</f>
        <v>Algorithms</v>
      </c>
      <c r="H25" s="13" t="str">
        <f>SUBSTITUTE(Github!L$301, ";", ", ")</f>
        <v>Array, Binary Search, Dynamic Programming, </v>
      </c>
      <c r="I25" s="10" t="str">
        <f>Github!E$301</f>
        <v>Medium</v>
      </c>
      <c r="J25" s="10" t="str">
        <f>IF(TRIM(Github!D$301)="TRUE","FALSE","TRUE")</f>
        <v>TRUE</v>
      </c>
      <c r="K25" s="10" t="b">
        <f>Github!M$301</f>
        <v>1</v>
      </c>
      <c r="L25" s="10" t="b">
        <f>Github!N$301</f>
        <v>0</v>
      </c>
      <c r="M25" s="10" t="str">
        <f>ROUND(Github!O$301, 2)&amp;"%"</f>
        <v>48.78%</v>
      </c>
      <c r="N25" s="10">
        <f>Github!P$301</f>
        <v>796935</v>
      </c>
      <c r="O25" s="10">
        <f>Github!Q$301</f>
        <v>1633889</v>
      </c>
    </row>
    <row r="26">
      <c r="A26" s="10">
        <f>Github!J$207</f>
        <v>206</v>
      </c>
      <c r="B26" s="11" t="str">
        <f>HYPERLINK(CONCAT("http://leetcode.com/problems/",Github!C$207), Github!B$207)</f>
        <v>Reverse Linked List</v>
      </c>
      <c r="C26" s="10">
        <f>Github!F$207</f>
        <v>10938</v>
      </c>
      <c r="D26" s="10">
        <f>Github!G$207</f>
        <v>185</v>
      </c>
      <c r="E26" s="10">
        <f>Github!F$207+Github!G$207</f>
        <v>11123</v>
      </c>
      <c r="F26" s="12">
        <f t="shared" si="1"/>
        <v>59.12</v>
      </c>
      <c r="G26" s="10" t="str">
        <f>Github!H$207</f>
        <v>Algorithms</v>
      </c>
      <c r="H26" s="13" t="str">
        <f>SUBSTITUTE(Github!L$207, ";", ", ")</f>
        <v>Linked List, Recursion, </v>
      </c>
      <c r="I26" s="10" t="str">
        <f>Github!E$207</f>
        <v>Easy</v>
      </c>
      <c r="J26" s="10" t="str">
        <f>IF(TRIM(Github!D$207)="TRUE","FALSE","TRUE")</f>
        <v>TRUE</v>
      </c>
      <c r="K26" s="10" t="b">
        <f>Github!M$207</f>
        <v>1</v>
      </c>
      <c r="L26" s="10" t="b">
        <f>Github!N$207</f>
        <v>0</v>
      </c>
      <c r="M26" s="10" t="str">
        <f>ROUND(Github!O$207, 2)&amp;"%"</f>
        <v>69.75%</v>
      </c>
      <c r="N26" s="10">
        <f>Github!P$207</f>
        <v>1975641</v>
      </c>
      <c r="O26" s="10">
        <f>Github!Q$207</f>
        <v>2832612</v>
      </c>
    </row>
    <row r="27">
      <c r="A27" s="10">
        <f>Github!J$71</f>
        <v>70</v>
      </c>
      <c r="B27" s="11" t="str">
        <f>HYPERLINK(CONCAT("http://leetcode.com/problems/",Github!C$71), Github!B$71)</f>
        <v>Climbing Stairs</v>
      </c>
      <c r="C27" s="10">
        <f>Github!F$71</f>
        <v>10778</v>
      </c>
      <c r="D27" s="10">
        <f>Github!G$71</f>
        <v>330</v>
      </c>
      <c r="E27" s="10">
        <f>Github!F$71+Github!G$71</f>
        <v>11108</v>
      </c>
      <c r="F27" s="12">
        <f t="shared" si="1"/>
        <v>32.66</v>
      </c>
      <c r="G27" s="10" t="str">
        <f>Github!H$71</f>
        <v>Algorithms</v>
      </c>
      <c r="H27" s="13" t="str">
        <f>SUBSTITUTE(Github!L$71, ";", ", ")</f>
        <v>Math, Dynamic Programming, Memoization, </v>
      </c>
      <c r="I27" s="10" t="str">
        <f>Github!E$71</f>
        <v>Easy</v>
      </c>
      <c r="J27" s="10" t="str">
        <f>IF(TRIM(Github!D$71)="TRUE","FALSE","TRUE")</f>
        <v>TRUE</v>
      </c>
      <c r="K27" s="10" t="b">
        <f>Github!M$71</f>
        <v>1</v>
      </c>
      <c r="L27" s="10" t="b">
        <f>Github!N$71</f>
        <v>0</v>
      </c>
      <c r="M27" s="10" t="str">
        <f>ROUND(Github!O$71, 2)&amp;"%"</f>
        <v>50.81%</v>
      </c>
      <c r="N27" s="10">
        <f>Github!P$71</f>
        <v>1441629</v>
      </c>
      <c r="O27" s="10">
        <f>Github!Q$71</f>
        <v>2837084</v>
      </c>
    </row>
    <row r="28">
      <c r="A28" s="10">
        <f>Github!J$153</f>
        <v>152</v>
      </c>
      <c r="B28" s="11" t="str">
        <f>HYPERLINK(CONCAT("http://leetcode.com/problems/",Github!C$153), Github!B$153)</f>
        <v>Maximum Product Subarray</v>
      </c>
      <c r="C28" s="10">
        <f>Github!F$153</f>
        <v>10708</v>
      </c>
      <c r="D28" s="10">
        <f>Github!G$153</f>
        <v>333</v>
      </c>
      <c r="E28" s="10">
        <f>Github!F$153+Github!G$153</f>
        <v>11041</v>
      </c>
      <c r="F28" s="12">
        <f t="shared" si="1"/>
        <v>32.16</v>
      </c>
      <c r="G28" s="10" t="str">
        <f>Github!H$153</f>
        <v>Algorithms</v>
      </c>
      <c r="H28" s="13" t="str">
        <f>SUBSTITUTE(Github!L$153, ";", ", ")</f>
        <v>Array, Dynamic Programming, </v>
      </c>
      <c r="I28" s="10" t="str">
        <f>Github!E$153</f>
        <v>Medium</v>
      </c>
      <c r="J28" s="10" t="str">
        <f>IF(TRIM(Github!D$153)="TRUE","FALSE","TRUE")</f>
        <v>TRUE</v>
      </c>
      <c r="K28" s="10" t="b">
        <f>Github!M$153</f>
        <v>1</v>
      </c>
      <c r="L28" s="10" t="b">
        <f>Github!N$153</f>
        <v>0</v>
      </c>
      <c r="M28" s="10" t="str">
        <f>ROUND(Github!O$153, 2)&amp;"%"</f>
        <v>34.45%</v>
      </c>
      <c r="N28" s="10">
        <f>Github!P$153</f>
        <v>693991</v>
      </c>
      <c r="O28" s="10">
        <f>Github!Q$153</f>
        <v>2014695</v>
      </c>
    </row>
    <row r="29">
      <c r="A29" s="10">
        <f>Github!J$323</f>
        <v>322</v>
      </c>
      <c r="B29" s="11" t="str">
        <f>HYPERLINK(CONCAT("http://leetcode.com/problems/",Github!C$323), Github!B$323)</f>
        <v>Coin Change</v>
      </c>
      <c r="C29" s="10">
        <f>Github!F$323</f>
        <v>10362</v>
      </c>
      <c r="D29" s="10">
        <f>Github!G$323</f>
        <v>252</v>
      </c>
      <c r="E29" s="10">
        <f>Github!F$323+Github!G$323</f>
        <v>10614</v>
      </c>
      <c r="F29" s="12">
        <f t="shared" si="1"/>
        <v>41.12</v>
      </c>
      <c r="G29" s="10" t="str">
        <f>Github!H$323</f>
        <v>Algorithms</v>
      </c>
      <c r="H29" s="13" t="str">
        <f>SUBSTITUTE(Github!L$323, ";", ", ")</f>
        <v>Array, Dynamic Programming, Breadth-First Search, </v>
      </c>
      <c r="I29" s="10" t="str">
        <f>Github!E$323</f>
        <v>Medium</v>
      </c>
      <c r="J29" s="10" t="str">
        <f>IF(TRIM(Github!D$323)="TRUE","FALSE","TRUE")</f>
        <v>TRUE</v>
      </c>
      <c r="K29" s="10" t="b">
        <f>Github!M$323</f>
        <v>1</v>
      </c>
      <c r="L29" s="10" t="b">
        <f>Github!N$323</f>
        <v>1</v>
      </c>
      <c r="M29" s="10" t="str">
        <f>ROUND(Github!O$323, 2)&amp;"%"</f>
        <v>39.84%</v>
      </c>
      <c r="N29" s="10">
        <f>Github!P$323</f>
        <v>914402</v>
      </c>
      <c r="O29" s="10">
        <f>Github!Q$323</f>
        <v>2295156</v>
      </c>
    </row>
    <row r="30">
      <c r="A30" s="10">
        <f>Github!J$56</f>
        <v>55</v>
      </c>
      <c r="B30" s="11" t="str">
        <f>HYPERLINK(CONCAT("http://leetcode.com/problems/",Github!C$56), Github!B$56)</f>
        <v>Jump Game</v>
      </c>
      <c r="C30" s="10">
        <f>Github!F$56</f>
        <v>10160</v>
      </c>
      <c r="D30" s="10">
        <f>Github!G$56</f>
        <v>588</v>
      </c>
      <c r="E30" s="10">
        <f>Github!F$56+Github!G$56</f>
        <v>10748</v>
      </c>
      <c r="F30" s="12">
        <f t="shared" si="1"/>
        <v>17.28</v>
      </c>
      <c r="G30" s="10" t="str">
        <f>Github!H$56</f>
        <v>Algorithms</v>
      </c>
      <c r="H30" s="13" t="str">
        <f>SUBSTITUTE(Github!L$56, ";", ", ")</f>
        <v>Array, Dynamic Programming, Greedy, </v>
      </c>
      <c r="I30" s="10" t="str">
        <f>Github!E$56</f>
        <v>Medium</v>
      </c>
      <c r="J30" s="10" t="str">
        <f>IF(TRIM(Github!D$56)="TRUE","FALSE","TRUE")</f>
        <v>TRUE</v>
      </c>
      <c r="K30" s="10" t="b">
        <f>Github!M$56</f>
        <v>1</v>
      </c>
      <c r="L30" s="10" t="b">
        <f>Github!N$56</f>
        <v>0</v>
      </c>
      <c r="M30" s="10" t="str">
        <f>ROUND(Github!O$56, 2)&amp;"%"</f>
        <v>37.56%</v>
      </c>
      <c r="N30" s="10">
        <f>Github!P$56</f>
        <v>934416</v>
      </c>
      <c r="O30" s="10">
        <f>Github!Q$56</f>
        <v>2487690</v>
      </c>
    </row>
    <row r="31">
      <c r="A31" s="10">
        <f>Github!J$40</f>
        <v>39</v>
      </c>
      <c r="B31" s="11" t="str">
        <f>HYPERLINK(CONCAT("http://leetcode.com/problems/",Github!C$40), Github!B$40)</f>
        <v>Combination Sum</v>
      </c>
      <c r="C31" s="10">
        <f>Github!F$40</f>
        <v>10065</v>
      </c>
      <c r="D31" s="10">
        <f>Github!G$40</f>
        <v>219</v>
      </c>
      <c r="E31" s="10">
        <f>Github!F$40+Github!G$40</f>
        <v>10284</v>
      </c>
      <c r="F31" s="12">
        <f t="shared" si="1"/>
        <v>45.96</v>
      </c>
      <c r="G31" s="10" t="str">
        <f>Github!H$40</f>
        <v>Algorithms</v>
      </c>
      <c r="H31" s="13" t="str">
        <f>SUBSTITUTE(Github!L$40, ";", ", ")</f>
        <v>Array, Backtracking, </v>
      </c>
      <c r="I31" s="10" t="str">
        <f>Github!E$40</f>
        <v>Medium</v>
      </c>
      <c r="J31" s="10" t="str">
        <f>IF(TRIM(Github!D$40)="TRUE","FALSE","TRUE")</f>
        <v>TRUE</v>
      </c>
      <c r="K31" s="10" t="b">
        <f>Github!M$40</f>
        <v>1</v>
      </c>
      <c r="L31" s="10" t="b">
        <f>Github!N$40</f>
        <v>0</v>
      </c>
      <c r="M31" s="10" t="str">
        <f>ROUND(Github!O$40, 2)&amp;"%"</f>
        <v>64.87%</v>
      </c>
      <c r="N31" s="10">
        <f>Github!P$40</f>
        <v>1021175</v>
      </c>
      <c r="O31" s="10">
        <f>Github!Q$40</f>
        <v>1574227</v>
      </c>
    </row>
    <row r="32">
      <c r="A32" s="10">
        <f>Github!J$140</f>
        <v>139</v>
      </c>
      <c r="B32" s="11" t="str">
        <f>HYPERLINK(CONCAT("http://leetcode.com/problems/",Github!C$140), Github!B$140)</f>
        <v>Word Break</v>
      </c>
      <c r="C32" s="10">
        <f>Github!F$140</f>
        <v>9808</v>
      </c>
      <c r="D32" s="10">
        <f>Github!G$140</f>
        <v>439</v>
      </c>
      <c r="E32" s="10">
        <f>Github!F$140+Github!G$140</f>
        <v>10247</v>
      </c>
      <c r="F32" s="12">
        <f t="shared" si="1"/>
        <v>22.34</v>
      </c>
      <c r="G32" s="10" t="str">
        <f>Github!H$140</f>
        <v>Algorithms</v>
      </c>
      <c r="H32" s="13" t="str">
        <f>SUBSTITUTE(Github!L$140, ";", ", ")</f>
        <v>Hash Table, String, Dynamic Programming, Trie, Memoization, </v>
      </c>
      <c r="I32" s="10" t="str">
        <f>Github!E$140</f>
        <v>Medium</v>
      </c>
      <c r="J32" s="10" t="str">
        <f>IF(TRIM(Github!D$140)="TRUE","FALSE","TRUE")</f>
        <v>TRUE</v>
      </c>
      <c r="K32" s="10" t="b">
        <f>Github!M$140</f>
        <v>1</v>
      </c>
      <c r="L32" s="10" t="b">
        <f>Github!N$140</f>
        <v>1</v>
      </c>
      <c r="M32" s="10" t="str">
        <f>ROUND(Github!O$140, 2)&amp;"%"</f>
        <v>44.26%</v>
      </c>
      <c r="N32" s="10">
        <f>Github!P$140</f>
        <v>1019611</v>
      </c>
      <c r="O32" s="10">
        <f>Github!Q$140</f>
        <v>2303447</v>
      </c>
    </row>
    <row r="33">
      <c r="A33" s="10">
        <f>Github!J$35</f>
        <v>34</v>
      </c>
      <c r="B33" s="11" t="str">
        <f>HYPERLINK(CONCAT("http://leetcode.com/problems/",Github!C$35), Github!B$35)</f>
        <v>Find First and Last Position of Element in Sorted Array</v>
      </c>
      <c r="C33" s="10">
        <f>Github!F$35</f>
        <v>9659</v>
      </c>
      <c r="D33" s="10">
        <f>Github!G$35</f>
        <v>274</v>
      </c>
      <c r="E33" s="10">
        <f>Github!F$35+Github!G$35</f>
        <v>9933</v>
      </c>
      <c r="F33" s="12">
        <f t="shared" si="1"/>
        <v>35.25</v>
      </c>
      <c r="G33" s="10" t="str">
        <f>Github!H$35</f>
        <v>Algorithms</v>
      </c>
      <c r="H33" s="13" t="str">
        <f>SUBSTITUTE(Github!L$35, ";", ", ")</f>
        <v>Array, Binary Search, </v>
      </c>
      <c r="I33" s="10" t="str">
        <f>Github!E$35</f>
        <v>Medium</v>
      </c>
      <c r="J33" s="10" t="str">
        <f>IF(TRIM(Github!D$35)="TRUE","FALSE","TRUE")</f>
        <v>TRUE</v>
      </c>
      <c r="K33" s="10" t="b">
        <f>Github!M$35</f>
        <v>1</v>
      </c>
      <c r="L33" s="10" t="b">
        <f>Github!N$35</f>
        <v>0</v>
      </c>
      <c r="M33" s="10" t="str">
        <f>ROUND(Github!O$35, 2)&amp;"%"</f>
        <v>39.76%</v>
      </c>
      <c r="N33" s="10">
        <f>Github!P$35</f>
        <v>1016480</v>
      </c>
      <c r="O33" s="10">
        <f>Github!Q$35</f>
        <v>2556604</v>
      </c>
    </row>
    <row r="34">
      <c r="A34" s="10">
        <f>Github!J$77</f>
        <v>76</v>
      </c>
      <c r="B34" s="11" t="str">
        <f>HYPERLINK(CONCAT("http://leetcode.com/problems/",Github!C$77), Github!B$77)</f>
        <v>Minimum Window Substring</v>
      </c>
      <c r="C34" s="10">
        <f>Github!F$77</f>
        <v>9628</v>
      </c>
      <c r="D34" s="10">
        <f>Github!G$77</f>
        <v>520</v>
      </c>
      <c r="E34" s="10">
        <f>Github!F$77+Github!G$77</f>
        <v>10148</v>
      </c>
      <c r="F34" s="12">
        <f t="shared" si="1"/>
        <v>18.52</v>
      </c>
      <c r="G34" s="10" t="str">
        <f>Github!H$77</f>
        <v>Algorithms</v>
      </c>
      <c r="H34" s="13" t="str">
        <f>SUBSTITUTE(Github!L$77, ";", ", ")</f>
        <v>Hash Table, String, Sliding Window, </v>
      </c>
      <c r="I34" s="10" t="str">
        <f>Github!E$77</f>
        <v>Hard</v>
      </c>
      <c r="J34" s="10" t="str">
        <f>IF(TRIM(Github!D$77)="TRUE","FALSE","TRUE")</f>
        <v>TRUE</v>
      </c>
      <c r="K34" s="10" t="b">
        <f>Github!M$77</f>
        <v>1</v>
      </c>
      <c r="L34" s="10" t="b">
        <f>Github!N$77</f>
        <v>0</v>
      </c>
      <c r="M34" s="10" t="str">
        <f>ROUND(Github!O$77, 2)&amp;"%"</f>
        <v>38.7%</v>
      </c>
      <c r="N34" s="10">
        <f>Github!P$77</f>
        <v>713261</v>
      </c>
      <c r="O34" s="10">
        <f>Github!Q$77</f>
        <v>1843172</v>
      </c>
    </row>
    <row r="35">
      <c r="A35" s="10">
        <f>Github!J$47</f>
        <v>46</v>
      </c>
      <c r="B35" s="11" t="str">
        <f>HYPERLINK(CONCAT("http://leetcode.com/problems/",Github!C$47), Github!B$47)</f>
        <v>Permutations</v>
      </c>
      <c r="C35" s="10">
        <f>Github!F$47</f>
        <v>9483</v>
      </c>
      <c r="D35" s="10">
        <f>Github!G$47</f>
        <v>176</v>
      </c>
      <c r="E35" s="10">
        <f>Github!F$47+Github!G$47</f>
        <v>9659</v>
      </c>
      <c r="F35" s="12">
        <f t="shared" si="1"/>
        <v>53.88</v>
      </c>
      <c r="G35" s="10" t="str">
        <f>Github!H$47</f>
        <v>Algorithms</v>
      </c>
      <c r="H35" s="13" t="str">
        <f>SUBSTITUTE(Github!L$47, ";", ", ")</f>
        <v>Array, Backtracking, </v>
      </c>
      <c r="I35" s="10" t="str">
        <f>Github!E$47</f>
        <v>Medium</v>
      </c>
      <c r="J35" s="10" t="str">
        <f>IF(TRIM(Github!D$47)="TRUE","FALSE","TRUE")</f>
        <v>TRUE</v>
      </c>
      <c r="K35" s="10" t="b">
        <f>Github!M$47</f>
        <v>1</v>
      </c>
      <c r="L35" s="10" t="b">
        <f>Github!N$47</f>
        <v>0</v>
      </c>
      <c r="M35" s="10" t="str">
        <f>ROUND(Github!O$47, 2)&amp;"%"</f>
        <v>71.64%</v>
      </c>
      <c r="N35" s="10">
        <f>Github!P$47</f>
        <v>1095122</v>
      </c>
      <c r="O35" s="10">
        <f>Github!Q$47</f>
        <v>1528739</v>
      </c>
    </row>
    <row r="36">
      <c r="A36" s="10">
        <f>Github!J$79</f>
        <v>78</v>
      </c>
      <c r="B36" s="11" t="str">
        <f>HYPERLINK(CONCAT("http://leetcode.com/problems/",Github!C$79), Github!B$79)</f>
        <v>Subsets</v>
      </c>
      <c r="C36" s="10">
        <f>Github!F$79</f>
        <v>9358</v>
      </c>
      <c r="D36" s="10">
        <f>Github!G$79</f>
        <v>148</v>
      </c>
      <c r="E36" s="10">
        <f>Github!F$79+Github!G$79</f>
        <v>9506</v>
      </c>
      <c r="F36" s="12">
        <f t="shared" si="1"/>
        <v>63.23</v>
      </c>
      <c r="G36" s="10" t="str">
        <f>Github!H$79</f>
        <v>Algorithms</v>
      </c>
      <c r="H36" s="13" t="str">
        <f>SUBSTITUTE(Github!L$79, ";", ", ")</f>
        <v>Array, Backtracking, Bit Manipulation, </v>
      </c>
      <c r="I36" s="10" t="str">
        <f>Github!E$79</f>
        <v>Medium</v>
      </c>
      <c r="J36" s="10" t="str">
        <f>IF(TRIM(Github!D$79)="TRUE","FALSE","TRUE")</f>
        <v>TRUE</v>
      </c>
      <c r="K36" s="10" t="b">
        <f>Github!M$79</f>
        <v>1</v>
      </c>
      <c r="L36" s="10" t="b">
        <f>Github!N$79</f>
        <v>0</v>
      </c>
      <c r="M36" s="10" t="str">
        <f>ROUND(Github!O$79, 2)&amp;"%"</f>
        <v>70.8%</v>
      </c>
      <c r="N36" s="10">
        <f>Github!P$79</f>
        <v>1032004</v>
      </c>
      <c r="O36" s="10">
        <f>Github!Q$79</f>
        <v>1457665</v>
      </c>
    </row>
    <row r="37">
      <c r="A37" s="10">
        <f>Github!J$85</f>
        <v>84</v>
      </c>
      <c r="B37" s="11" t="str">
        <f>HYPERLINK(CONCAT("http://leetcode.com/problems/",Github!C$85), Github!B$85)</f>
        <v>Largest Rectangle in Histogram</v>
      </c>
      <c r="C37" s="10">
        <f>Github!F$85</f>
        <v>9284</v>
      </c>
      <c r="D37" s="10">
        <f>Github!G$85</f>
        <v>137</v>
      </c>
      <c r="E37" s="10">
        <f>Github!F$85+Github!G$85</f>
        <v>9421</v>
      </c>
      <c r="F37" s="12">
        <f t="shared" si="1"/>
        <v>67.77</v>
      </c>
      <c r="G37" s="10" t="str">
        <f>Github!H$85</f>
        <v>Algorithms</v>
      </c>
      <c r="H37" s="13" t="str">
        <f>SUBSTITUTE(Github!L$85, ";", ", ")</f>
        <v>Array, Stack, Monotonic Stack, </v>
      </c>
      <c r="I37" s="10" t="str">
        <f>Github!E$85</f>
        <v>Hard</v>
      </c>
      <c r="J37" s="10" t="str">
        <f>IF(TRIM(Github!D$85)="TRUE","FALSE","TRUE")</f>
        <v>TRUE</v>
      </c>
      <c r="K37" s="10" t="b">
        <f>Github!M$85</f>
        <v>1</v>
      </c>
      <c r="L37" s="10" t="b">
        <f>Github!N$85</f>
        <v>1</v>
      </c>
      <c r="M37" s="10" t="str">
        <f>ROUND(Github!O$85, 2)&amp;"%"</f>
        <v>40.51%</v>
      </c>
      <c r="N37" s="10">
        <f>Github!P$85</f>
        <v>483957</v>
      </c>
      <c r="O37" s="10">
        <f>Github!Q$85</f>
        <v>1194715</v>
      </c>
    </row>
    <row r="38">
      <c r="A38" s="10">
        <f>Github!J$137</f>
        <v>136</v>
      </c>
      <c r="B38" s="11" t="str">
        <f>HYPERLINK(CONCAT("http://leetcode.com/problems/",Github!C$137), Github!B$137)</f>
        <v>Single Number</v>
      </c>
      <c r="C38" s="10">
        <f>Github!F$137</f>
        <v>9281</v>
      </c>
      <c r="D38" s="10">
        <f>Github!G$137</f>
        <v>327</v>
      </c>
      <c r="E38" s="10">
        <f>Github!F$137+Github!G$137</f>
        <v>9608</v>
      </c>
      <c r="F38" s="12">
        <f t="shared" si="1"/>
        <v>28.38</v>
      </c>
      <c r="G38" s="10" t="str">
        <f>Github!H$137</f>
        <v>Algorithms</v>
      </c>
      <c r="H38" s="13" t="str">
        <f>SUBSTITUTE(Github!L$137, ";", ", ")</f>
        <v>Array, Bit Manipulation, </v>
      </c>
      <c r="I38" s="10" t="str">
        <f>Github!E$137</f>
        <v>Easy</v>
      </c>
      <c r="J38" s="10" t="str">
        <f>IF(TRIM(Github!D$137)="TRUE","FALSE","TRUE")</f>
        <v>TRUE</v>
      </c>
      <c r="K38" s="10" t="b">
        <f>Github!M$137</f>
        <v>1</v>
      </c>
      <c r="L38" s="10" t="b">
        <f>Github!N$137</f>
        <v>0</v>
      </c>
      <c r="M38" s="10" t="str">
        <f>ROUND(Github!O$137, 2)&amp;"%"</f>
        <v>69.14%</v>
      </c>
      <c r="N38" s="10">
        <f>Github!P$137</f>
        <v>1563541</v>
      </c>
      <c r="O38" s="10">
        <f>Github!Q$137</f>
        <v>2261475</v>
      </c>
    </row>
    <row r="39">
      <c r="A39" s="10">
        <f>Github!J$18</f>
        <v>17</v>
      </c>
      <c r="B39" s="11" t="str">
        <f>HYPERLINK(CONCAT("http://leetcode.com/problems/",Github!C$18), Github!B$18)</f>
        <v>Letter Combinations of a Phone Number</v>
      </c>
      <c r="C39" s="10">
        <f>Github!F$18</f>
        <v>9234</v>
      </c>
      <c r="D39" s="10">
        <f>Github!G$18</f>
        <v>641</v>
      </c>
      <c r="E39" s="10">
        <f>Github!F$18+Github!G$18</f>
        <v>9875</v>
      </c>
      <c r="F39" s="12">
        <f t="shared" si="1"/>
        <v>14.41</v>
      </c>
      <c r="G39" s="10" t="str">
        <f>Github!H$18</f>
        <v>Algorithms</v>
      </c>
      <c r="H39" s="13" t="str">
        <f>SUBSTITUTE(Github!L$18, ";", ", ")</f>
        <v>Hash Table, String, Backtracking, </v>
      </c>
      <c r="I39" s="10" t="str">
        <f>Github!E$18</f>
        <v>Medium</v>
      </c>
      <c r="J39" s="10" t="str">
        <f>IF(TRIM(Github!D$18)="TRUE","FALSE","TRUE")</f>
        <v>TRUE</v>
      </c>
      <c r="K39" s="10" t="b">
        <f>Github!M$18</f>
        <v>1</v>
      </c>
      <c r="L39" s="10" t="b">
        <f>Github!N$18</f>
        <v>0</v>
      </c>
      <c r="M39" s="10" t="str">
        <f>ROUND(Github!O$18, 2)&amp;"%"</f>
        <v>53.19%</v>
      </c>
      <c r="N39" s="10">
        <f>Github!P$18</f>
        <v>1113199</v>
      </c>
      <c r="O39" s="10">
        <f>Github!Q$18</f>
        <v>2092945</v>
      </c>
    </row>
    <row r="40">
      <c r="A40" s="10">
        <f>Github!J$20</f>
        <v>19</v>
      </c>
      <c r="B40" s="11" t="str">
        <f>HYPERLINK(CONCAT("http://leetcode.com/problems/",Github!C$20), Github!B$20)</f>
        <v>Remove Nth Node From End of List</v>
      </c>
      <c r="C40" s="10">
        <f>Github!F$20</f>
        <v>9134</v>
      </c>
      <c r="D40" s="10">
        <f>Github!G$20</f>
        <v>434</v>
      </c>
      <c r="E40" s="14">
        <f>Github!F$20+Github!G$20</f>
        <v>9568</v>
      </c>
      <c r="F40" s="12">
        <f t="shared" si="1"/>
        <v>21.05</v>
      </c>
      <c r="G40" s="10" t="str">
        <f>Github!H$20</f>
        <v>Algorithms</v>
      </c>
      <c r="H40" s="13" t="str">
        <f>SUBSTITUTE(Github!L$20, ";", ", ")</f>
        <v>Linked List, Two Pointers, </v>
      </c>
      <c r="I40" s="10" t="str">
        <f>Github!E$20</f>
        <v>Medium</v>
      </c>
      <c r="J40" s="10" t="str">
        <f>IF(TRIM(Github!D$20)="TRUE","FALSE","TRUE")</f>
        <v>TRUE</v>
      </c>
      <c r="K40" s="10" t="b">
        <f>Github!M$20</f>
        <v>1</v>
      </c>
      <c r="L40" s="10" t="b">
        <f>Github!N$20</f>
        <v>1</v>
      </c>
      <c r="M40" s="10" t="str">
        <f>ROUND(Github!O$20, 2)&amp;"%"</f>
        <v>38.01%</v>
      </c>
      <c r="N40" s="10">
        <f>Github!P$20</f>
        <v>1284304</v>
      </c>
      <c r="O40" s="10">
        <f>Github!Q$20</f>
        <v>3378472</v>
      </c>
    </row>
    <row r="41">
      <c r="A41" s="10">
        <f>Github!J$32</f>
        <v>31</v>
      </c>
      <c r="B41" s="11" t="str">
        <f>HYPERLINK(CONCAT("http://leetcode.com/problems/",Github!C$32), Github!B$32)</f>
        <v>Next Permutation</v>
      </c>
      <c r="C41" s="10">
        <f>Github!F$32</f>
        <v>9113</v>
      </c>
      <c r="D41" s="10">
        <f>Github!G$32</f>
        <v>3070</v>
      </c>
      <c r="E41" s="10">
        <f>Github!F$32+Github!G$32</f>
        <v>12183</v>
      </c>
      <c r="F41" s="12">
        <f t="shared" si="1"/>
        <v>2.97</v>
      </c>
      <c r="G41" s="10" t="str">
        <f>Github!H$32</f>
        <v>Algorithms</v>
      </c>
      <c r="H41" s="13" t="str">
        <f>SUBSTITUTE(Github!L$32, ";", ", ")</f>
        <v>Array, Two Pointers, </v>
      </c>
      <c r="I41" s="10" t="str">
        <f>Github!E$32</f>
        <v>Medium</v>
      </c>
      <c r="J41" s="10" t="str">
        <f>IF(TRIM(Github!D$32)="TRUE","FALSE","TRUE")</f>
        <v>TRUE</v>
      </c>
      <c r="K41" s="10" t="b">
        <f>Github!M$32</f>
        <v>1</v>
      </c>
      <c r="L41" s="10" t="b">
        <f>Github!N$32</f>
        <v>0</v>
      </c>
      <c r="M41" s="10" t="str">
        <f>ROUND(Github!O$32, 2)&amp;"%"</f>
        <v>35.42%</v>
      </c>
      <c r="N41" s="10">
        <f>Github!P$32</f>
        <v>721094</v>
      </c>
      <c r="O41" s="10">
        <f>Github!Q$32</f>
        <v>2035961</v>
      </c>
    </row>
    <row r="42">
      <c r="A42" s="10">
        <f>Github!J$99</f>
        <v>98</v>
      </c>
      <c r="B42" s="11" t="str">
        <f>HYPERLINK(CONCAT("http://leetcode.com/problems/",Github!C$99), Github!B$99)</f>
        <v>Validate Binary Search Tree</v>
      </c>
      <c r="C42" s="10">
        <f>Github!F$99</f>
        <v>9093</v>
      </c>
      <c r="D42" s="10">
        <f>Github!G$99</f>
        <v>861</v>
      </c>
      <c r="E42" s="10">
        <f>Github!F$99+Github!G$99</f>
        <v>9954</v>
      </c>
      <c r="F42" s="12">
        <f t="shared" si="1"/>
        <v>10.56</v>
      </c>
      <c r="G42" s="10" t="str">
        <f>Github!H$99</f>
        <v>Algorithms</v>
      </c>
      <c r="H42" s="13" t="str">
        <f>SUBSTITUTE(Github!L$99, ";", ", ")</f>
        <v>Tree, Depth-First Search, Binary Search Tree, Binary Tree, </v>
      </c>
      <c r="I42" s="10" t="str">
        <f>Github!E$99</f>
        <v>Medium</v>
      </c>
      <c r="J42" s="10" t="str">
        <f>IF(TRIM(Github!D$99)="TRUE","FALSE","TRUE")</f>
        <v>TRUE</v>
      </c>
      <c r="K42" s="10" t="b">
        <f>Github!M$99</f>
        <v>1</v>
      </c>
      <c r="L42" s="10" t="b">
        <f>Github!N$99</f>
        <v>1</v>
      </c>
      <c r="M42" s="10" t="str">
        <f>ROUND(Github!O$99, 2)&amp;"%"</f>
        <v>30.31%</v>
      </c>
      <c r="N42" s="10">
        <f>Github!P$99</f>
        <v>1320659</v>
      </c>
      <c r="O42" s="10">
        <f>Github!Q$99</f>
        <v>4356681</v>
      </c>
    </row>
    <row r="43">
      <c r="A43" s="10">
        <f>Github!J$240</f>
        <v>239</v>
      </c>
      <c r="B43" s="11" t="str">
        <f>HYPERLINK(CONCAT("http://leetcode.com/problems/",Github!C$240), Github!B$240)</f>
        <v>Sliding Window Maximum</v>
      </c>
      <c r="C43" s="10">
        <f>Github!F$240</f>
        <v>9088</v>
      </c>
      <c r="D43" s="10">
        <f>Github!G$240</f>
        <v>317</v>
      </c>
      <c r="E43" s="10">
        <f>Github!F$240+Github!G$240</f>
        <v>9405</v>
      </c>
      <c r="F43" s="12">
        <f t="shared" si="1"/>
        <v>28.67</v>
      </c>
      <c r="G43" s="10" t="str">
        <f>Github!H$240</f>
        <v>Algorithms</v>
      </c>
      <c r="H43" s="13" t="str">
        <f>SUBSTITUTE(Github!L$240, ";", ", ")</f>
        <v>Array, Queue, Sliding Window, Heap (Priority Queue), Monotonic Queue, </v>
      </c>
      <c r="I43" s="10" t="str">
        <f>Github!E$240</f>
        <v>Hard</v>
      </c>
      <c r="J43" s="10" t="str">
        <f>IF(TRIM(Github!D$240)="TRUE","FALSE","TRUE")</f>
        <v>TRUE</v>
      </c>
      <c r="K43" s="10" t="b">
        <f>Github!M$240</f>
        <v>1</v>
      </c>
      <c r="L43" s="10" t="b">
        <f>Github!N$240</f>
        <v>0</v>
      </c>
      <c r="M43" s="10" t="str">
        <f>ROUND(Github!O$240, 2)&amp;"%"</f>
        <v>46.12%</v>
      </c>
      <c r="N43" s="10">
        <f>Github!P$240</f>
        <v>537807</v>
      </c>
      <c r="O43" s="10">
        <f>Github!Q$240</f>
        <v>1166152</v>
      </c>
    </row>
    <row r="44">
      <c r="A44" s="10">
        <f>Github!J$76</f>
        <v>75</v>
      </c>
      <c r="B44" s="11" t="str">
        <f>HYPERLINK(CONCAT("http://leetcode.com/problems/",Github!C$76), Github!B$76)</f>
        <v>Sort Colors</v>
      </c>
      <c r="C44" s="10">
        <f>Github!F$76</f>
        <v>9014</v>
      </c>
      <c r="D44" s="10">
        <f>Github!G$76</f>
        <v>393</v>
      </c>
      <c r="E44" s="10">
        <f>Github!F$76+Github!G$76</f>
        <v>9407</v>
      </c>
      <c r="F44" s="12">
        <f t="shared" si="1"/>
        <v>22.94</v>
      </c>
      <c r="G44" s="10" t="str">
        <f>Github!H$76</f>
        <v>Algorithms</v>
      </c>
      <c r="H44" s="13" t="str">
        <f>SUBSTITUTE(Github!L$76, ";", ", ")</f>
        <v>Array, Two Pointers, Sorting, </v>
      </c>
      <c r="I44" s="10" t="str">
        <f>Github!E$76</f>
        <v>Medium</v>
      </c>
      <c r="J44" s="10" t="str">
        <f>IF(TRIM(Github!D$76)="TRUE","FALSE","TRUE")</f>
        <v>TRUE</v>
      </c>
      <c r="K44" s="10" t="b">
        <f>Github!M$76</f>
        <v>1</v>
      </c>
      <c r="L44" s="10" t="b">
        <f>Github!N$76</f>
        <v>0</v>
      </c>
      <c r="M44" s="10" t="str">
        <f>ROUND(Github!O$76, 2)&amp;"%"</f>
        <v>54.24%</v>
      </c>
      <c r="N44" s="10">
        <f>Github!P$76</f>
        <v>945444</v>
      </c>
      <c r="O44" s="10">
        <f>Github!Q$76</f>
        <v>1742975</v>
      </c>
    </row>
    <row r="45">
      <c r="A45" s="10">
        <f>Github!J$237</f>
        <v>236</v>
      </c>
      <c r="B45" s="11" t="str">
        <f>HYPERLINK(CONCAT("http://leetcode.com/problems/",Github!C$237), Github!B$237)</f>
        <v>Lowest Common Ancestor of a Binary Tree</v>
      </c>
      <c r="C45" s="10">
        <f>Github!F$237</f>
        <v>9006</v>
      </c>
      <c r="D45" s="10">
        <f>Github!G$237</f>
        <v>260</v>
      </c>
      <c r="E45" s="10">
        <f>Github!F$237+Github!G$237</f>
        <v>9266</v>
      </c>
      <c r="F45" s="12">
        <f t="shared" si="1"/>
        <v>34.64</v>
      </c>
      <c r="G45" s="10" t="str">
        <f>Github!H$237</f>
        <v>Algorithms</v>
      </c>
      <c r="H45" s="13" t="str">
        <f>SUBSTITUTE(Github!L$237, ";", ", ")</f>
        <v>Tree, Depth-First Search, Binary Tree, </v>
      </c>
      <c r="I45" s="10" t="str">
        <f>Github!E$237</f>
        <v>Medium</v>
      </c>
      <c r="J45" s="10" t="str">
        <f>IF(TRIM(Github!D$237)="TRUE","FALSE","TRUE")</f>
        <v>TRUE</v>
      </c>
      <c r="K45" s="10" t="b">
        <f>Github!M$237</f>
        <v>1</v>
      </c>
      <c r="L45" s="10" t="b">
        <f>Github!N$237</f>
        <v>0</v>
      </c>
      <c r="M45" s="10" t="str">
        <f>ROUND(Github!O$237, 2)&amp;"%"</f>
        <v>54.67%</v>
      </c>
      <c r="N45" s="10">
        <f>Github!P$237</f>
        <v>931931</v>
      </c>
      <c r="O45" s="10">
        <f>Github!Q$237</f>
        <v>1704535</v>
      </c>
    </row>
    <row r="46">
      <c r="A46" s="10">
        <f>Github!J$170</f>
        <v>169</v>
      </c>
      <c r="B46" s="11" t="str">
        <f>HYPERLINK(CONCAT("http://leetcode.com/problems/",Github!C$170), Github!B$170)</f>
        <v>Majority Element</v>
      </c>
      <c r="C46" s="10">
        <f>Github!F$170</f>
        <v>8978</v>
      </c>
      <c r="D46" s="10">
        <f>Github!G$170</f>
        <v>323</v>
      </c>
      <c r="E46" s="10">
        <f>Github!F$170+Github!G$170</f>
        <v>9301</v>
      </c>
      <c r="F46" s="12">
        <f t="shared" si="1"/>
        <v>27.8</v>
      </c>
      <c r="G46" s="10" t="str">
        <f>Github!H$170</f>
        <v>Algorithms</v>
      </c>
      <c r="H46" s="13" t="str">
        <f>SUBSTITUTE(Github!L$170, ";", ", ")</f>
        <v>Array, Hash Table, Divide and Conquer, Sorting, Counting, </v>
      </c>
      <c r="I46" s="10" t="str">
        <f>Github!E$170</f>
        <v>Easy</v>
      </c>
      <c r="J46" s="10" t="str">
        <f>IF(TRIM(Github!D$170)="TRUE","FALSE","TRUE")</f>
        <v>TRUE</v>
      </c>
      <c r="K46" s="10" t="b">
        <f>Github!M$170</f>
        <v>1</v>
      </c>
      <c r="L46" s="10" t="b">
        <f>Github!N$170</f>
        <v>0</v>
      </c>
      <c r="M46" s="10" t="str">
        <f>ROUND(Github!O$170, 2)&amp;"%"</f>
        <v>62.68%</v>
      </c>
      <c r="N46" s="10">
        <f>Github!P$170</f>
        <v>1163296</v>
      </c>
      <c r="O46" s="10">
        <f>Github!Q$170</f>
        <v>1856061</v>
      </c>
    </row>
    <row r="47">
      <c r="A47" s="10">
        <f>Github!J$102</f>
        <v>101</v>
      </c>
      <c r="B47" s="11" t="str">
        <f>HYPERLINK(CONCAT("http://leetcode.com/problems/",Github!C$102), Github!B$102)</f>
        <v>Symmetric Tree</v>
      </c>
      <c r="C47" s="10">
        <f>Github!F$102</f>
        <v>8849</v>
      </c>
      <c r="D47" s="10">
        <f>Github!G$102</f>
        <v>220</v>
      </c>
      <c r="E47" s="10">
        <f>Github!F$102+Github!G$102</f>
        <v>9069</v>
      </c>
      <c r="F47" s="12">
        <f t="shared" si="1"/>
        <v>40.22</v>
      </c>
      <c r="G47" s="10" t="str">
        <f>Github!H$102</f>
        <v>Algorithms</v>
      </c>
      <c r="H47" s="13" t="str">
        <f>SUBSTITUTE(Github!L$102, ";", ", ")</f>
        <v>Tree, Depth-First Search, Breadth-First Search, Binary Tree, </v>
      </c>
      <c r="I47" s="10" t="str">
        <f>Github!E$102</f>
        <v>Easy</v>
      </c>
      <c r="J47" s="10" t="str">
        <f>IF(TRIM(Github!D$102)="TRUE","FALSE","TRUE")</f>
        <v>TRUE</v>
      </c>
      <c r="K47" s="10" t="b">
        <f>Github!M$102</f>
        <v>1</v>
      </c>
      <c r="L47" s="10" t="b">
        <f>Github!N$102</f>
        <v>0</v>
      </c>
      <c r="M47" s="10" t="str">
        <f>ROUND(Github!O$102, 2)&amp;"%"</f>
        <v>51.25%</v>
      </c>
      <c r="N47" s="10">
        <f>Github!P$102</f>
        <v>1173018</v>
      </c>
      <c r="O47" s="10">
        <f>Github!Q$102</f>
        <v>2289015</v>
      </c>
    </row>
    <row r="48">
      <c r="A48" s="10">
        <f>Github!J$125</f>
        <v>124</v>
      </c>
      <c r="B48" s="11" t="str">
        <f>HYPERLINK(CONCAT("http://leetcode.com/problems/",Github!C$125), Github!B$125)</f>
        <v>Binary Tree Maximum Path Sum</v>
      </c>
      <c r="C48" s="10">
        <f>Github!F$125</f>
        <v>8797</v>
      </c>
      <c r="D48" s="10">
        <f>Github!G$125</f>
        <v>513</v>
      </c>
      <c r="E48" s="10">
        <f>Github!F$125+Github!G$125</f>
        <v>9310</v>
      </c>
      <c r="F48" s="12">
        <f t="shared" si="1"/>
        <v>17.15</v>
      </c>
      <c r="G48" s="10" t="str">
        <f>Github!H$125</f>
        <v>Algorithms</v>
      </c>
      <c r="H48" s="13" t="str">
        <f>SUBSTITUTE(Github!L$125, ";", ", ")</f>
        <v>Dynamic Programming, Tree, Depth-First Search, Binary Tree, </v>
      </c>
      <c r="I48" s="10" t="str">
        <f>Github!E$125</f>
        <v>Hard</v>
      </c>
      <c r="J48" s="10" t="str">
        <f>IF(TRIM(Github!D$125)="TRUE","FALSE","TRUE")</f>
        <v>TRUE</v>
      </c>
      <c r="K48" s="10" t="b">
        <f>Github!M$125</f>
        <v>1</v>
      </c>
      <c r="L48" s="10" t="b">
        <f>Github!N$125</f>
        <v>0</v>
      </c>
      <c r="M48" s="10" t="str">
        <f>ROUND(Github!O$125, 2)&amp;"%"</f>
        <v>37.46%</v>
      </c>
      <c r="N48" s="10">
        <f>Github!P$125</f>
        <v>691608</v>
      </c>
      <c r="O48" s="10">
        <f>Github!Q$125</f>
        <v>1846413</v>
      </c>
    </row>
    <row r="49">
      <c r="A49" s="10">
        <f>Github!J$42</f>
        <v>41</v>
      </c>
      <c r="B49" s="11" t="str">
        <f>HYPERLINK(CONCAT("http://leetcode.com/problems/",Github!C$42), Github!B$42)</f>
        <v>First Missing Positive</v>
      </c>
      <c r="C49" s="10">
        <f>Github!F$42</f>
        <v>8798</v>
      </c>
      <c r="D49" s="10">
        <f>Github!G$42</f>
        <v>1264</v>
      </c>
      <c r="E49" s="10">
        <f>Github!F$42+Github!G$42</f>
        <v>10062</v>
      </c>
      <c r="F49" s="12">
        <f t="shared" si="1"/>
        <v>6.96</v>
      </c>
      <c r="G49" s="10" t="str">
        <f>Github!H$42</f>
        <v>Algorithms</v>
      </c>
      <c r="H49" s="13" t="str">
        <f>SUBSTITUTE(Github!L$42, ";", ", ")</f>
        <v>Array, Hash Table, </v>
      </c>
      <c r="I49" s="10" t="str">
        <f>Github!E$42</f>
        <v>Hard</v>
      </c>
      <c r="J49" s="10" t="str">
        <f>IF(TRIM(Github!D$42)="TRUE","FALSE","TRUE")</f>
        <v>TRUE</v>
      </c>
      <c r="K49" s="10" t="b">
        <f>Github!M$42</f>
        <v>1</v>
      </c>
      <c r="L49" s="10" t="b">
        <f>Github!N$42</f>
        <v>0</v>
      </c>
      <c r="M49" s="10" t="str">
        <f>ROUND(Github!O$42, 2)&amp;"%"</f>
        <v>35.76%</v>
      </c>
      <c r="N49" s="10">
        <f>Github!P$42</f>
        <v>641408</v>
      </c>
      <c r="O49" s="10">
        <f>Github!Q$42</f>
        <v>1793681</v>
      </c>
    </row>
    <row r="50">
      <c r="A50" s="10">
        <f>Github!J$190</f>
        <v>189</v>
      </c>
      <c r="B50" s="11" t="str">
        <f>HYPERLINK(CONCAT("http://leetcode.com/problems/",Github!C$190), Github!B$190)</f>
        <v>Rotate Array</v>
      </c>
      <c r="C50" s="10">
        <f>Github!F$190</f>
        <v>8703</v>
      </c>
      <c r="D50" s="10">
        <f>Github!G$190</f>
        <v>1238</v>
      </c>
      <c r="E50" s="10">
        <f>Github!F$190+Github!G$190</f>
        <v>9941</v>
      </c>
      <c r="F50" s="12">
        <f t="shared" si="1"/>
        <v>7.03</v>
      </c>
      <c r="G50" s="10" t="str">
        <f>Github!H$190</f>
        <v>Algorithms</v>
      </c>
      <c r="H50" s="13" t="str">
        <f>SUBSTITUTE(Github!L$190, ";", ", ")</f>
        <v>Array, Math, Two Pointers, </v>
      </c>
      <c r="I50" s="10" t="str">
        <f>Github!E$190</f>
        <v>Medium</v>
      </c>
      <c r="J50" s="10" t="str">
        <f>IF(TRIM(Github!D$190)="TRUE","FALSE","TRUE")</f>
        <v>TRUE</v>
      </c>
      <c r="K50" s="10" t="b">
        <f>Github!M$190</f>
        <v>1</v>
      </c>
      <c r="L50" s="10" t="b">
        <f>Github!N$190</f>
        <v>0</v>
      </c>
      <c r="M50" s="10" t="str">
        <f>ROUND(Github!O$190, 2)&amp;"%"</f>
        <v>38.39%</v>
      </c>
      <c r="N50" s="10">
        <f>Github!P$190</f>
        <v>1035688</v>
      </c>
      <c r="O50" s="10">
        <f>Github!Q$190</f>
        <v>2698026</v>
      </c>
    </row>
    <row r="51">
      <c r="A51" s="10">
        <f>Github!J$80</f>
        <v>79</v>
      </c>
      <c r="B51" s="11" t="str">
        <f>HYPERLINK(CONCAT("http://leetcode.com/problems/",Github!C$80), Github!B$80)</f>
        <v>Word Search</v>
      </c>
      <c r="C51" s="10">
        <f>Github!F$80</f>
        <v>8696</v>
      </c>
      <c r="D51" s="10">
        <f>Github!G$80</f>
        <v>329</v>
      </c>
      <c r="E51" s="10">
        <f>Github!F$80+Github!G$80</f>
        <v>9025</v>
      </c>
      <c r="F51" s="12">
        <f t="shared" si="1"/>
        <v>26.43</v>
      </c>
      <c r="G51" s="10" t="str">
        <f>Github!H$80</f>
        <v>Algorithms</v>
      </c>
      <c r="H51" s="13" t="str">
        <f>SUBSTITUTE(Github!L$80, ";", ", ")</f>
        <v>Array, Backtracking, Matrix, </v>
      </c>
      <c r="I51" s="10" t="str">
        <f>Github!E$80</f>
        <v>Medium</v>
      </c>
      <c r="J51" s="10" t="str">
        <f>IF(TRIM(Github!D$80)="TRUE","FALSE","TRUE")</f>
        <v>TRUE</v>
      </c>
      <c r="K51" s="10" t="b">
        <f>Github!M$80</f>
        <v>1</v>
      </c>
      <c r="L51" s="10" t="b">
        <f>Github!N$80</f>
        <v>0</v>
      </c>
      <c r="M51" s="10" t="str">
        <f>ROUND(Github!O$80, 2)&amp;"%"</f>
        <v>39.47%</v>
      </c>
      <c r="N51" s="10">
        <f>Github!P$80</f>
        <v>910847</v>
      </c>
      <c r="O51" s="10">
        <f>Github!Q$80</f>
        <v>2307936</v>
      </c>
    </row>
    <row r="52">
      <c r="A52" s="10">
        <f>Github!J$208</f>
        <v>207</v>
      </c>
      <c r="B52" s="11" t="str">
        <f>HYPERLINK(CONCAT("http://leetcode.com/problems/",Github!C$208), Github!B$208)</f>
        <v>Course Schedule</v>
      </c>
      <c r="C52" s="10">
        <f>Github!F$208</f>
        <v>8691</v>
      </c>
      <c r="D52" s="10">
        <f>Github!G$208</f>
        <v>351</v>
      </c>
      <c r="E52" s="10">
        <f>Github!F$208+Github!G$208</f>
        <v>9042</v>
      </c>
      <c r="F52" s="12">
        <f t="shared" si="1"/>
        <v>24.76</v>
      </c>
      <c r="G52" s="10" t="str">
        <f>Github!H$208</f>
        <v>Algorithms</v>
      </c>
      <c r="H52" s="13" t="str">
        <f>SUBSTITUTE(Github!L$208, ";", ", ")</f>
        <v>Depth-First Search, Breadth-First Search, Graph, Topological Sort, </v>
      </c>
      <c r="I52" s="10" t="str">
        <f>Github!E$208</f>
        <v>Medium</v>
      </c>
      <c r="J52" s="10" t="str">
        <f>IF(TRIM(Github!D$208)="TRUE","FALSE","TRUE")</f>
        <v>TRUE</v>
      </c>
      <c r="K52" s="10" t="b">
        <f>Github!M$208</f>
        <v>1</v>
      </c>
      <c r="L52" s="10" t="b">
        <f>Github!N$208</f>
        <v>0</v>
      </c>
      <c r="M52" s="10" t="str">
        <f>ROUND(Github!O$208, 2)&amp;"%"</f>
        <v>44.94%</v>
      </c>
      <c r="N52" s="10">
        <f>Github!P$208</f>
        <v>813462</v>
      </c>
      <c r="O52" s="10">
        <f>Github!Q$208</f>
        <v>1810214</v>
      </c>
    </row>
    <row r="53">
      <c r="A53" s="10">
        <f>Github!J$129</f>
        <v>128</v>
      </c>
      <c r="B53" s="11" t="str">
        <f>HYPERLINK(CONCAT("http://leetcode.com/problems/",Github!C$129), Github!B$129)</f>
        <v>Longest Consecutive Sequence</v>
      </c>
      <c r="C53" s="10">
        <f>Github!F$129</f>
        <v>8625</v>
      </c>
      <c r="D53" s="10">
        <f>Github!G$129</f>
        <v>375</v>
      </c>
      <c r="E53" s="10">
        <f>Github!F$129+Github!G$129</f>
        <v>9000</v>
      </c>
      <c r="F53" s="12">
        <f t="shared" si="1"/>
        <v>23</v>
      </c>
      <c r="G53" s="10" t="str">
        <f>Github!H$129</f>
        <v>Algorithms</v>
      </c>
      <c r="H53" s="13" t="str">
        <f>SUBSTITUTE(Github!L$129, ";", ", ")</f>
        <v>Array, Hash Table, Union Find, </v>
      </c>
      <c r="I53" s="10" t="str">
        <f>Github!E$129</f>
        <v>Medium</v>
      </c>
      <c r="J53" s="10" t="str">
        <f>IF(TRIM(Github!D$129)="TRUE","FALSE","TRUE")</f>
        <v>TRUE</v>
      </c>
      <c r="K53" s="10" t="b">
        <f>Github!M$129</f>
        <v>1</v>
      </c>
      <c r="L53" s="10" t="b">
        <f>Github!N$129</f>
        <v>0</v>
      </c>
      <c r="M53" s="10" t="str">
        <f>ROUND(Github!O$129, 2)&amp;"%"</f>
        <v>48.52%</v>
      </c>
      <c r="N53" s="10">
        <f>Github!P$129</f>
        <v>614467</v>
      </c>
      <c r="O53" s="10">
        <f>Github!Q$129</f>
        <v>1266538</v>
      </c>
    </row>
    <row r="54">
      <c r="A54" s="10">
        <f>Github!J$50</f>
        <v>49</v>
      </c>
      <c r="B54" s="11" t="str">
        <f>HYPERLINK(CONCAT("http://leetcode.com/problems/",Github!C$50), Github!B$50)</f>
        <v>Group Anagrams</v>
      </c>
      <c r="C54" s="10">
        <f>Github!F$50</f>
        <v>8537</v>
      </c>
      <c r="D54" s="10">
        <f>Github!G$50</f>
        <v>295</v>
      </c>
      <c r="E54" s="10">
        <f>Github!F$50+Github!G$50</f>
        <v>8832</v>
      </c>
      <c r="F54" s="12">
        <f t="shared" si="1"/>
        <v>28.94</v>
      </c>
      <c r="G54" s="10" t="str">
        <f>Github!H$50</f>
        <v>Algorithms</v>
      </c>
      <c r="H54" s="13" t="str">
        <f>SUBSTITUTE(Github!L$50, ";", ", ")</f>
        <v>Hash Table, String, Sorting, </v>
      </c>
      <c r="I54" s="10" t="str">
        <f>Github!E$50</f>
        <v>Medium</v>
      </c>
      <c r="J54" s="10" t="str">
        <f>IF(TRIM(Github!D$50)="TRUE","FALSE","TRUE")</f>
        <v>TRUE</v>
      </c>
      <c r="K54" s="10" t="b">
        <f>Github!M$50</f>
        <v>1</v>
      </c>
      <c r="L54" s="10" t="b">
        <f>Github!N$50</f>
        <v>1</v>
      </c>
      <c r="M54" s="10" t="str">
        <f>ROUND(Github!O$50, 2)&amp;"%"</f>
        <v>63.6%</v>
      </c>
      <c r="N54" s="10">
        <f>Github!P$50</f>
        <v>1261007</v>
      </c>
      <c r="O54" s="10">
        <f>Github!Q$50</f>
        <v>1982588</v>
      </c>
    </row>
    <row r="55">
      <c r="A55" s="10">
        <f>Github!J$216</f>
        <v>215</v>
      </c>
      <c r="B55" s="11" t="str">
        <f>HYPERLINK(CONCAT("http://leetcode.com/problems/",Github!C$216), Github!B$216)</f>
        <v>Kth Largest Element in an Array</v>
      </c>
      <c r="C55" s="10">
        <f>Github!F$216</f>
        <v>8522</v>
      </c>
      <c r="D55" s="10">
        <f>Github!G$216</f>
        <v>475</v>
      </c>
      <c r="E55" s="10">
        <f>Github!F$216+Github!G$216</f>
        <v>8997</v>
      </c>
      <c r="F55" s="12">
        <f t="shared" si="1"/>
        <v>17.94</v>
      </c>
      <c r="G55" s="10" t="str">
        <f>Github!H$216</f>
        <v>Algorithms</v>
      </c>
      <c r="H55" s="13" t="str">
        <f>SUBSTITUTE(Github!L$216, ";", ", ")</f>
        <v>Array, Divide and Conquer, Sorting, Heap (Priority Queue), Quickselect, </v>
      </c>
      <c r="I55" s="10" t="str">
        <f>Github!E$216</f>
        <v>Medium</v>
      </c>
      <c r="J55" s="10" t="str">
        <f>IF(TRIM(Github!D$216)="TRUE","FALSE","TRUE")</f>
        <v>TRUE</v>
      </c>
      <c r="K55" s="10" t="b">
        <f>Github!M$216</f>
        <v>1</v>
      </c>
      <c r="L55" s="10" t="b">
        <f>Github!N$216</f>
        <v>0</v>
      </c>
      <c r="M55" s="10" t="str">
        <f>ROUND(Github!O$216, 2)&amp;"%"</f>
        <v>62.91%</v>
      </c>
      <c r="N55" s="10">
        <f>Github!P$216</f>
        <v>1232292</v>
      </c>
      <c r="O55" s="10">
        <f>Github!Q$216</f>
        <v>1958933</v>
      </c>
    </row>
    <row r="56">
      <c r="A56" s="10">
        <f>Github!J$284</f>
        <v>283</v>
      </c>
      <c r="B56" s="11" t="str">
        <f>HYPERLINK(CONCAT("http://leetcode.com/problems/",Github!C$284), Github!B$284)</f>
        <v>Move Zeroes</v>
      </c>
      <c r="C56" s="10">
        <f>Github!F$284</f>
        <v>8447</v>
      </c>
      <c r="D56" s="10">
        <f>Github!G$284</f>
        <v>230</v>
      </c>
      <c r="E56" s="10">
        <f>Github!F$284+Github!G$284</f>
        <v>8677</v>
      </c>
      <c r="F56" s="12">
        <f t="shared" si="1"/>
        <v>36.73</v>
      </c>
      <c r="G56" s="10" t="str">
        <f>Github!H$284</f>
        <v>Algorithms</v>
      </c>
      <c r="H56" s="13" t="str">
        <f>SUBSTITUTE(Github!L$284, ";", ", ")</f>
        <v>Array, Two Pointers, </v>
      </c>
      <c r="I56" s="10" t="str">
        <f>Github!E$284</f>
        <v>Easy</v>
      </c>
      <c r="J56" s="10" t="str">
        <f>IF(TRIM(Github!D$284)="TRUE","FALSE","TRUE")</f>
        <v>TRUE</v>
      </c>
      <c r="K56" s="10" t="b">
        <f>Github!M$284</f>
        <v>1</v>
      </c>
      <c r="L56" s="10" t="b">
        <f>Github!N$284</f>
        <v>0</v>
      </c>
      <c r="M56" s="10" t="str">
        <f>ROUND(Github!O$284, 2)&amp;"%"</f>
        <v>60.37%</v>
      </c>
      <c r="N56" s="10">
        <f>Github!P$284</f>
        <v>1558785</v>
      </c>
      <c r="O56" s="10">
        <f>Github!Q$284</f>
        <v>2582109</v>
      </c>
    </row>
    <row r="57">
      <c r="A57" s="10">
        <f>Github!J$49</f>
        <v>48</v>
      </c>
      <c r="B57" s="11" t="str">
        <f>HYPERLINK(CONCAT("http://leetcode.com/problems/",Github!C$49), Github!B$49)</f>
        <v>Rotate Image</v>
      </c>
      <c r="C57" s="10">
        <f>Github!F$49</f>
        <v>8360</v>
      </c>
      <c r="D57" s="10">
        <f>Github!G$49</f>
        <v>464</v>
      </c>
      <c r="E57" s="10">
        <f>Github!F$49+Github!G$49</f>
        <v>8824</v>
      </c>
      <c r="F57" s="12">
        <f t="shared" si="1"/>
        <v>18.02</v>
      </c>
      <c r="G57" s="10" t="str">
        <f>Github!H$49</f>
        <v>Algorithms</v>
      </c>
      <c r="H57" s="13" t="str">
        <f>SUBSTITUTE(Github!L$49, ";", ", ")</f>
        <v>Array, Math, Matrix, </v>
      </c>
      <c r="I57" s="10" t="str">
        <f>Github!E$49</f>
        <v>Medium</v>
      </c>
      <c r="J57" s="10" t="str">
        <f>IF(TRIM(Github!D$49)="TRUE","FALSE","TRUE")</f>
        <v>TRUE</v>
      </c>
      <c r="K57" s="10" t="b">
        <f>Github!M$49</f>
        <v>1</v>
      </c>
      <c r="L57" s="10" t="b">
        <f>Github!N$49</f>
        <v>0</v>
      </c>
      <c r="M57" s="10" t="str">
        <f>ROUND(Github!O$49, 2)&amp;"%"</f>
        <v>65.93%</v>
      </c>
      <c r="N57" s="10">
        <f>Github!P$49</f>
        <v>827572</v>
      </c>
      <c r="O57" s="10">
        <f>Github!Q$49</f>
        <v>1255324</v>
      </c>
    </row>
    <row r="58">
      <c r="A58" s="10">
        <f>Github!J$161</f>
        <v>160</v>
      </c>
      <c r="B58" s="11" t="str">
        <f>HYPERLINK(CONCAT("http://leetcode.com/problems/",Github!C$161), Github!B$161)</f>
        <v>Intersection of Two Linked Lists</v>
      </c>
      <c r="C58" s="10">
        <f>Github!F$161</f>
        <v>8235</v>
      </c>
      <c r="D58" s="10">
        <f>Github!G$161</f>
        <v>830</v>
      </c>
      <c r="E58" s="10">
        <f>Github!F$161+Github!G$161</f>
        <v>9065</v>
      </c>
      <c r="F58" s="12">
        <f t="shared" si="1"/>
        <v>9.92</v>
      </c>
      <c r="G58" s="10" t="str">
        <f>Github!H$161</f>
        <v>Algorithms</v>
      </c>
      <c r="H58" s="13" t="str">
        <f>SUBSTITUTE(Github!L$161, ";", ", ")</f>
        <v>Hash Table, Linked List, Two Pointers, </v>
      </c>
      <c r="I58" s="10" t="str">
        <f>Github!E$161</f>
        <v>Easy</v>
      </c>
      <c r="J58" s="10" t="str">
        <f>IF(TRIM(Github!D$161)="TRUE","FALSE","TRUE")</f>
        <v>TRUE</v>
      </c>
      <c r="K58" s="10" t="b">
        <f>Github!M$161</f>
        <v>1</v>
      </c>
      <c r="L58" s="10" t="b">
        <f>Github!N$161</f>
        <v>1</v>
      </c>
      <c r="M58" s="10" t="str">
        <f>ROUND(Github!O$161, 2)&amp;"%"</f>
        <v>49.28%</v>
      </c>
      <c r="N58" s="10">
        <f>Github!P$161</f>
        <v>885557</v>
      </c>
      <c r="O58" s="10">
        <f>Github!Q$161</f>
        <v>1797080</v>
      </c>
    </row>
    <row r="59">
      <c r="A59" s="10">
        <f>Github!J$235</f>
        <v>234</v>
      </c>
      <c r="B59" s="11" t="str">
        <f>HYPERLINK(CONCAT("http://leetcode.com/problems/",Github!C$235), Github!B$235)</f>
        <v>Palindrome Linked List</v>
      </c>
      <c r="C59" s="10">
        <f>Github!F$235</f>
        <v>8193</v>
      </c>
      <c r="D59" s="10">
        <f>Github!G$235</f>
        <v>508</v>
      </c>
      <c r="E59" s="10">
        <f>Github!F$235+Github!G$235</f>
        <v>8701</v>
      </c>
      <c r="F59" s="12">
        <f t="shared" si="1"/>
        <v>16.13</v>
      </c>
      <c r="G59" s="10" t="str">
        <f>Github!H$235</f>
        <v>Algorithms</v>
      </c>
      <c r="H59" s="13" t="str">
        <f>SUBSTITUTE(Github!L$235, ";", ", ")</f>
        <v>Linked List, Two Pointers, Stack, Recursion, </v>
      </c>
      <c r="I59" s="10" t="str">
        <f>Github!E$235</f>
        <v>Easy</v>
      </c>
      <c r="J59" s="10" t="str">
        <f>IF(TRIM(Github!D$235)="TRUE","FALSE","TRUE")</f>
        <v>TRUE</v>
      </c>
      <c r="K59" s="10" t="b">
        <f>Github!M$235</f>
        <v>1</v>
      </c>
      <c r="L59" s="10" t="b">
        <f>Github!N$235</f>
        <v>1</v>
      </c>
      <c r="M59" s="10" t="str">
        <f>ROUND(Github!O$235, 2)&amp;"%"</f>
        <v>46.08%</v>
      </c>
      <c r="N59" s="10">
        <f>Github!P$235</f>
        <v>899165</v>
      </c>
      <c r="O59" s="10">
        <f>Github!Q$235</f>
        <v>1951442</v>
      </c>
    </row>
    <row r="60">
      <c r="A60" s="10">
        <f>Github!J$63</f>
        <v>62</v>
      </c>
      <c r="B60" s="11" t="str">
        <f>HYPERLINK(CONCAT("http://leetcode.com/problems/",Github!C$63), Github!B$63)</f>
        <v>Unique Paths</v>
      </c>
      <c r="C60" s="10">
        <f>Github!F$63</f>
        <v>8184</v>
      </c>
      <c r="D60" s="10">
        <f>Github!G$63</f>
        <v>282</v>
      </c>
      <c r="E60" s="10">
        <f>Github!F$63+Github!G$63</f>
        <v>8466</v>
      </c>
      <c r="F60" s="12">
        <f t="shared" si="1"/>
        <v>29.02</v>
      </c>
      <c r="G60" s="10" t="str">
        <f>Github!H$63</f>
        <v>Algorithms</v>
      </c>
      <c r="H60" s="13" t="str">
        <f>SUBSTITUTE(Github!L$63, ";", ", ")</f>
        <v>Math, Dynamic Programming, Combinatorics, </v>
      </c>
      <c r="I60" s="10" t="str">
        <f>Github!E$63</f>
        <v>Medium</v>
      </c>
      <c r="J60" s="10" t="str">
        <f>IF(TRIM(Github!D$63)="TRUE","FALSE","TRUE")</f>
        <v>TRUE</v>
      </c>
      <c r="K60" s="10" t="b">
        <f>Github!M$63</f>
        <v>1</v>
      </c>
      <c r="L60" s="10" t="b">
        <f>Github!N$63</f>
        <v>0</v>
      </c>
      <c r="M60" s="10" t="str">
        <f>ROUND(Github!O$63, 2)&amp;"%"</f>
        <v>59.62%</v>
      </c>
      <c r="N60" s="10">
        <f>Github!P$63</f>
        <v>882053</v>
      </c>
      <c r="O60" s="10">
        <f>Github!Q$63</f>
        <v>1479377</v>
      </c>
    </row>
    <row r="61">
      <c r="A61" s="10">
        <f>Github!J$106</f>
        <v>105</v>
      </c>
      <c r="B61" s="11" t="str">
        <f>HYPERLINK(CONCAT("http://leetcode.com/problems/",Github!C$106), Github!B$106)</f>
        <v>Construct Binary Tree from Preorder and Inorder Traversal</v>
      </c>
      <c r="C61" s="10">
        <f>Github!F$106</f>
        <v>7901</v>
      </c>
      <c r="D61" s="10">
        <f>Github!G$106</f>
        <v>204</v>
      </c>
      <c r="E61" s="10">
        <f>Github!F$106+Github!G$106</f>
        <v>8105</v>
      </c>
      <c r="F61" s="12">
        <f t="shared" si="1"/>
        <v>38.73</v>
      </c>
      <c r="G61" s="10" t="str">
        <f>Github!H$106</f>
        <v>Algorithms</v>
      </c>
      <c r="H61" s="13" t="str">
        <f>SUBSTITUTE(Github!L$106, ";", ", ")</f>
        <v>Array, Hash Table, Divide and Conquer, Tree, Binary Tree, </v>
      </c>
      <c r="I61" s="10" t="str">
        <f>Github!E$106</f>
        <v>Medium</v>
      </c>
      <c r="J61" s="10" t="str">
        <f>IF(TRIM(Github!D$106)="TRUE","FALSE","TRUE")</f>
        <v>TRUE</v>
      </c>
      <c r="K61" s="10" t="b">
        <f>Github!M$106</f>
        <v>1</v>
      </c>
      <c r="L61" s="10" t="b">
        <f>Github!N$106</f>
        <v>0</v>
      </c>
      <c r="M61" s="10" t="str">
        <f>ROUND(Github!O$106, 2)&amp;"%"</f>
        <v>57.03%</v>
      </c>
      <c r="N61" s="10">
        <f>Github!P$106</f>
        <v>668461</v>
      </c>
      <c r="O61" s="10">
        <f>Github!Q$106</f>
        <v>1172055</v>
      </c>
    </row>
    <row r="62">
      <c r="A62" s="10">
        <f>Github!J$73</f>
        <v>72</v>
      </c>
      <c r="B62" s="11" t="str">
        <f>HYPERLINK(CONCAT("http://leetcode.com/problems/",Github!C$73), Github!B$73)</f>
        <v>Edit Distance</v>
      </c>
      <c r="C62" s="10">
        <f>Github!F$73</f>
        <v>7821</v>
      </c>
      <c r="D62" s="10">
        <f>Github!G$73</f>
        <v>92</v>
      </c>
      <c r="E62" s="10">
        <f>Github!F$73+Github!G$73</f>
        <v>7913</v>
      </c>
      <c r="F62" s="12">
        <f t="shared" si="1"/>
        <v>85.01</v>
      </c>
      <c r="G62" s="10" t="str">
        <f>Github!H$73</f>
        <v>Algorithms</v>
      </c>
      <c r="H62" s="13" t="str">
        <f>SUBSTITUTE(Github!L$73, ";", ", ")</f>
        <v>String, Dynamic Programming, </v>
      </c>
      <c r="I62" s="10" t="str">
        <f>Github!E$73</f>
        <v>Hard</v>
      </c>
      <c r="J62" s="10" t="str">
        <f>IF(TRIM(Github!D$73)="TRUE","FALSE","TRUE")</f>
        <v>TRUE</v>
      </c>
      <c r="K62" s="10" t="b">
        <f>Github!M$73</f>
        <v>1</v>
      </c>
      <c r="L62" s="10" t="b">
        <f>Github!N$73</f>
        <v>0</v>
      </c>
      <c r="M62" s="10" t="str">
        <f>ROUND(Github!O$73, 2)&amp;"%"</f>
        <v>50.33%</v>
      </c>
      <c r="N62" s="10">
        <f>Github!P$73</f>
        <v>448134</v>
      </c>
      <c r="O62" s="10">
        <f>Github!Q$73</f>
        <v>890311</v>
      </c>
    </row>
    <row r="63">
      <c r="A63" s="10">
        <f>Github!J$227</f>
        <v>226</v>
      </c>
      <c r="B63" s="11" t="str">
        <f>HYPERLINK(CONCAT("http://leetcode.com/problems/",Github!C$227), Github!B$227)</f>
        <v>Invert Binary Tree</v>
      </c>
      <c r="C63" s="10">
        <f>Github!F$227</f>
        <v>7795</v>
      </c>
      <c r="D63" s="10">
        <f>Github!G$227</f>
        <v>105</v>
      </c>
      <c r="E63" s="10">
        <f>Github!F$227+Github!G$227</f>
        <v>7900</v>
      </c>
      <c r="F63" s="12">
        <f t="shared" si="1"/>
        <v>74.24</v>
      </c>
      <c r="G63" s="10" t="str">
        <f>Github!H$227</f>
        <v>Algorithms</v>
      </c>
      <c r="H63" s="13" t="str">
        <f>SUBSTITUTE(Github!L$227, ";", ", ")</f>
        <v>Tree, Depth-First Search, Breadth-First Search, Binary Tree, </v>
      </c>
      <c r="I63" s="10" t="str">
        <f>Github!E$227</f>
        <v>Easy</v>
      </c>
      <c r="J63" s="10" t="str">
        <f>IF(TRIM(Github!D$227)="TRUE","FALSE","TRUE")</f>
        <v>TRUE</v>
      </c>
      <c r="K63" s="10" t="b">
        <f>Github!M$227</f>
        <v>1</v>
      </c>
      <c r="L63" s="10" t="b">
        <f>Github!N$227</f>
        <v>1</v>
      </c>
      <c r="M63" s="10" t="str">
        <f>ROUND(Github!O$227, 2)&amp;"%"</f>
        <v>71.06%</v>
      </c>
      <c r="N63" s="10">
        <f>Github!P$227</f>
        <v>959958</v>
      </c>
      <c r="O63" s="10">
        <f>Github!Q$227</f>
        <v>1350948</v>
      </c>
    </row>
    <row r="64">
      <c r="A64" s="10">
        <f>Github!J$11</f>
        <v>10</v>
      </c>
      <c r="B64" s="11" t="str">
        <f>HYPERLINK(CONCAT("http://leetcode.com/problems/",Github!C$11), Github!B$11)</f>
        <v>Regular Expression Matching</v>
      </c>
      <c r="C64" s="10">
        <f>Github!F$11</f>
        <v>7691</v>
      </c>
      <c r="D64" s="10">
        <f>Github!G$11</f>
        <v>1117</v>
      </c>
      <c r="E64" s="10">
        <f>Github!F$11+Github!G$11</f>
        <v>8808</v>
      </c>
      <c r="F64" s="12">
        <f t="shared" si="1"/>
        <v>6.89</v>
      </c>
      <c r="G64" s="10" t="str">
        <f>Github!H$11</f>
        <v>Algorithms</v>
      </c>
      <c r="H64" s="13" t="str">
        <f>SUBSTITUTE(Github!L$11, ";", ", ")</f>
        <v>String, Dynamic Programming, Recursion, </v>
      </c>
      <c r="I64" s="10" t="str">
        <f>Github!E$11</f>
        <v>Hard</v>
      </c>
      <c r="J64" s="10" t="str">
        <f>IF(TRIM(Github!D$11)="TRUE","FALSE","TRUE")</f>
        <v>TRUE</v>
      </c>
      <c r="K64" s="10" t="b">
        <f>Github!M$11</f>
        <v>1</v>
      </c>
      <c r="L64" s="10" t="b">
        <f>Github!N$11</f>
        <v>0</v>
      </c>
      <c r="M64" s="10" t="str">
        <f>ROUND(Github!O$11, 2)&amp;"%"</f>
        <v>28.18%</v>
      </c>
      <c r="N64" s="10">
        <f>Github!P$11</f>
        <v>653912</v>
      </c>
      <c r="O64" s="10">
        <f>Github!Q$11</f>
        <v>2320166</v>
      </c>
    </row>
    <row r="65">
      <c r="A65" s="10">
        <f>Github!J$395</f>
        <v>394</v>
      </c>
      <c r="B65" s="11" t="str">
        <f>HYPERLINK(CONCAT("http://leetcode.com/problems/",Github!C$395), Github!B$395)</f>
        <v>Decode String</v>
      </c>
      <c r="C65" s="10">
        <f>Github!F$395</f>
        <v>7682</v>
      </c>
      <c r="D65" s="10">
        <f>Github!G$395</f>
        <v>326</v>
      </c>
      <c r="E65" s="10">
        <f>Github!F$395+Github!G$395</f>
        <v>8008</v>
      </c>
      <c r="F65" s="12">
        <f t="shared" si="1"/>
        <v>23.56</v>
      </c>
      <c r="G65" s="10" t="str">
        <f>Github!H$395</f>
        <v>Algorithms</v>
      </c>
      <c r="H65" s="13" t="str">
        <f>SUBSTITUTE(Github!L$395, ";", ", ")</f>
        <v>String, Stack, Recursion, </v>
      </c>
      <c r="I65" s="10" t="str">
        <f>Github!E$395</f>
        <v>Medium</v>
      </c>
      <c r="J65" s="10" t="str">
        <f>IF(TRIM(Github!D$395)="TRUE","FALSE","TRUE")</f>
        <v>TRUE</v>
      </c>
      <c r="K65" s="10" t="b">
        <f>Github!M$395</f>
        <v>1</v>
      </c>
      <c r="L65" s="10" t="b">
        <f>Github!N$395</f>
        <v>0</v>
      </c>
      <c r="M65" s="10" t="str">
        <f>ROUND(Github!O$395, 2)&amp;"%"</f>
        <v>56.03%</v>
      </c>
      <c r="N65" s="10">
        <f>Github!P$395</f>
        <v>463551</v>
      </c>
      <c r="O65" s="10">
        <f>Github!Q$395</f>
        <v>827396</v>
      </c>
    </row>
    <row r="66">
      <c r="A66" s="10">
        <f>Github!J$348</f>
        <v>347</v>
      </c>
      <c r="B66" s="11" t="str">
        <f>HYPERLINK(CONCAT("http://leetcode.com/problems/",Github!C$348), Github!B$348)</f>
        <v>Top K Frequent Elements</v>
      </c>
      <c r="C66" s="10">
        <f>Github!F$348</f>
        <v>7610</v>
      </c>
      <c r="D66" s="10">
        <f>Github!G$348</f>
        <v>333</v>
      </c>
      <c r="E66" s="10">
        <f>Github!F$348+Github!G$348</f>
        <v>7943</v>
      </c>
      <c r="F66" s="12">
        <f t="shared" si="1"/>
        <v>22.85</v>
      </c>
      <c r="G66" s="10" t="str">
        <f>Github!H$348</f>
        <v>Algorithms</v>
      </c>
      <c r="H66" s="13" t="str">
        <f>SUBSTITUTE(Github!L$348, ";", ", ")</f>
        <v>Array, Hash Table, Divide and Conquer, Sorting, Heap (Priority Queue), Bucket Sort, Counting, Quickselect, </v>
      </c>
      <c r="I66" s="10" t="str">
        <f>Github!E$348</f>
        <v>Medium</v>
      </c>
      <c r="J66" s="10" t="str">
        <f>IF(TRIM(Github!D$348)="TRUE","FALSE","TRUE")</f>
        <v>TRUE</v>
      </c>
      <c r="K66" s="10" t="b">
        <f>Github!M$348</f>
        <v>1</v>
      </c>
      <c r="L66" s="10" t="b">
        <f>Github!N$348</f>
        <v>0</v>
      </c>
      <c r="M66" s="10" t="str">
        <f>ROUND(Github!O$348, 2)&amp;"%"</f>
        <v>64.52%</v>
      </c>
      <c r="N66" s="10">
        <f>Github!P$348</f>
        <v>834608</v>
      </c>
      <c r="O66" s="10">
        <f>Github!Q$348</f>
        <v>1293636</v>
      </c>
    </row>
    <row r="67">
      <c r="A67" s="10">
        <f>Github!J$128</f>
        <v>127</v>
      </c>
      <c r="B67" s="11" t="str">
        <f>HYPERLINK(CONCAT("http://leetcode.com/problems/",Github!C$128), Github!B$128)</f>
        <v>Word Ladder</v>
      </c>
      <c r="C67" s="10">
        <f>Github!F$128</f>
        <v>7578</v>
      </c>
      <c r="D67" s="10">
        <f>Github!G$128</f>
        <v>1625</v>
      </c>
      <c r="E67" s="10">
        <f>Github!F$128+Github!G$128</f>
        <v>9203</v>
      </c>
      <c r="F67" s="12">
        <f t="shared" si="1"/>
        <v>4.66</v>
      </c>
      <c r="G67" s="10" t="str">
        <f>Github!H$128</f>
        <v>Algorithms</v>
      </c>
      <c r="H67" s="13" t="str">
        <f>SUBSTITUTE(Github!L$128, ";", ", ")</f>
        <v>Hash Table, String, Breadth-First Search, </v>
      </c>
      <c r="I67" s="10" t="str">
        <f>Github!E$128</f>
        <v>Hard</v>
      </c>
      <c r="J67" s="10" t="str">
        <f>IF(TRIM(Github!D$128)="TRUE","FALSE","TRUE")</f>
        <v>TRUE</v>
      </c>
      <c r="K67" s="10" t="b">
        <f>Github!M$128</f>
        <v>1</v>
      </c>
      <c r="L67" s="10" t="b">
        <f>Github!N$128</f>
        <v>1</v>
      </c>
      <c r="M67" s="10" t="str">
        <f>ROUND(Github!O$128, 2)&amp;"%"</f>
        <v>35.13%</v>
      </c>
      <c r="N67" s="10">
        <f>Github!P$128</f>
        <v>738815</v>
      </c>
      <c r="O67" s="10">
        <f>Github!Q$128</f>
        <v>2102964</v>
      </c>
    </row>
    <row r="68">
      <c r="A68" s="10">
        <f>Github!J$103</f>
        <v>102</v>
      </c>
      <c r="B68" s="11" t="str">
        <f>HYPERLINK(CONCAT("http://leetcode.com/problems/",Github!C$103), Github!B$103)</f>
        <v>Binary Tree Level Order Traversal</v>
      </c>
      <c r="C68" s="10">
        <f>Github!F$103</f>
        <v>7541</v>
      </c>
      <c r="D68" s="10">
        <f>Github!G$103</f>
        <v>151</v>
      </c>
      <c r="E68" s="10">
        <f>Github!F$103+Github!G$103</f>
        <v>7692</v>
      </c>
      <c r="F68" s="12">
        <f t="shared" si="1"/>
        <v>49.94</v>
      </c>
      <c r="G68" s="10" t="str">
        <f>Github!H$103</f>
        <v>Algorithms</v>
      </c>
      <c r="H68" s="13" t="str">
        <f>SUBSTITUTE(Github!L$103, ";", ", ")</f>
        <v>Tree, Breadth-First Search, Binary Tree, </v>
      </c>
      <c r="I68" s="10" t="str">
        <f>Github!E$103</f>
        <v>Medium</v>
      </c>
      <c r="J68" s="10" t="str">
        <f>IF(TRIM(Github!D$103)="TRUE","FALSE","TRUE")</f>
        <v>TRUE</v>
      </c>
      <c r="K68" s="10" t="b">
        <f>Github!M$103</f>
        <v>1</v>
      </c>
      <c r="L68" s="10" t="b">
        <f>Github!N$103</f>
        <v>0</v>
      </c>
      <c r="M68" s="10" t="str">
        <f>ROUND(Github!O$103, 2)&amp;"%"</f>
        <v>60.47%</v>
      </c>
      <c r="N68" s="10">
        <f>Github!P$103</f>
        <v>1161110</v>
      </c>
      <c r="O68" s="10">
        <f>Github!Q$103</f>
        <v>1920292</v>
      </c>
    </row>
    <row r="69">
      <c r="A69" s="10">
        <f>Github!J$142</f>
        <v>141</v>
      </c>
      <c r="B69" s="11" t="str">
        <f>HYPERLINK(CONCAT("http://leetcode.com/problems/",Github!C$142), Github!B$142)</f>
        <v>Linked List Cycle</v>
      </c>
      <c r="C69" s="10">
        <f>Github!F$142</f>
        <v>7541</v>
      </c>
      <c r="D69" s="10">
        <f>Github!G$142</f>
        <v>757</v>
      </c>
      <c r="E69" s="10">
        <f>Github!F$142+Github!G$142</f>
        <v>8298</v>
      </c>
      <c r="F69" s="12">
        <f t="shared" si="1"/>
        <v>9.96</v>
      </c>
      <c r="G69" s="10" t="str">
        <f>Github!H$142</f>
        <v>Algorithms</v>
      </c>
      <c r="H69" s="13" t="str">
        <f>SUBSTITUTE(Github!L$142, ";", ", ")</f>
        <v>Hash Table, Linked List, Two Pointers, </v>
      </c>
      <c r="I69" s="10" t="str">
        <f>Github!E$142</f>
        <v>Easy</v>
      </c>
      <c r="J69" s="10" t="str">
        <f>IF(TRIM(Github!D$142)="TRUE","FALSE","TRUE")</f>
        <v>TRUE</v>
      </c>
      <c r="K69" s="10" t="b">
        <f>Github!M$142</f>
        <v>1</v>
      </c>
      <c r="L69" s="10" t="b">
        <f>Github!N$142</f>
        <v>1</v>
      </c>
      <c r="M69" s="10" t="str">
        <f>ROUND(Github!O$142, 2)&amp;"%"</f>
        <v>45.59%</v>
      </c>
      <c r="N69" s="10">
        <f>Github!P$142</f>
        <v>1342958</v>
      </c>
      <c r="O69" s="10">
        <f>Github!Q$142</f>
        <v>2945782</v>
      </c>
    </row>
    <row r="70">
      <c r="A70" s="10">
        <f>Github!J$156</f>
        <v>155</v>
      </c>
      <c r="B70" s="11" t="str">
        <f>HYPERLINK(CONCAT("http://leetcode.com/problems/",Github!C$156), Github!B$156)</f>
        <v>Min Stack</v>
      </c>
      <c r="C70" s="10">
        <f>Github!F$156</f>
        <v>7527</v>
      </c>
      <c r="D70" s="10">
        <f>Github!G$156</f>
        <v>593</v>
      </c>
      <c r="E70" s="10">
        <f>Github!F$156+Github!G$156</f>
        <v>8120</v>
      </c>
      <c r="F70" s="12">
        <f t="shared" si="1"/>
        <v>12.69</v>
      </c>
      <c r="G70" s="10" t="str">
        <f>Github!H$156</f>
        <v>Algorithms</v>
      </c>
      <c r="H70" s="13" t="str">
        <f>SUBSTITUTE(Github!L$156, ";", ", ")</f>
        <v>Stack, Design, </v>
      </c>
      <c r="I70" s="10" t="str">
        <f>Github!E$156</f>
        <v>Easy</v>
      </c>
      <c r="J70" s="10" t="str">
        <f>IF(TRIM(Github!D$156)="TRUE","FALSE","TRUE")</f>
        <v>TRUE</v>
      </c>
      <c r="K70" s="10" t="b">
        <f>Github!M$156</f>
        <v>1</v>
      </c>
      <c r="L70" s="10" t="b">
        <f>Github!N$156</f>
        <v>0</v>
      </c>
      <c r="M70" s="10" t="str">
        <f>ROUND(Github!O$156, 2)&amp;"%"</f>
        <v>49.76%</v>
      </c>
      <c r="N70" s="10">
        <f>Github!P$156</f>
        <v>927548</v>
      </c>
      <c r="O70" s="10">
        <f>Github!Q$156</f>
        <v>1863873</v>
      </c>
    </row>
    <row r="71">
      <c r="A71" s="10">
        <f>Github!J$139</f>
        <v>138</v>
      </c>
      <c r="B71" s="11" t="str">
        <f>HYPERLINK(CONCAT("http://leetcode.com/problems/",Github!C$139), Github!B$139)</f>
        <v>Copy List with Random Pointer</v>
      </c>
      <c r="C71" s="10">
        <f>Github!F$139</f>
        <v>7465</v>
      </c>
      <c r="D71" s="10">
        <f>Github!G$139</f>
        <v>933</v>
      </c>
      <c r="E71" s="10">
        <f>Github!F$139+Github!G$139</f>
        <v>8398</v>
      </c>
      <c r="F71" s="12">
        <f t="shared" si="1"/>
        <v>8</v>
      </c>
      <c r="G71" s="10" t="str">
        <f>Github!H$139</f>
        <v>Algorithms</v>
      </c>
      <c r="H71" s="13" t="str">
        <f>SUBSTITUTE(Github!L$139, ";", ", ")</f>
        <v>Hash Table, Linked List, </v>
      </c>
      <c r="I71" s="10" t="str">
        <f>Github!E$139</f>
        <v>Medium</v>
      </c>
      <c r="J71" s="10" t="str">
        <f>IF(TRIM(Github!D$139)="TRUE","FALSE","TRUE")</f>
        <v>TRUE</v>
      </c>
      <c r="K71" s="10" t="b">
        <f>Github!M$139</f>
        <v>1</v>
      </c>
      <c r="L71" s="10" t="b">
        <f>Github!N$139</f>
        <v>0</v>
      </c>
      <c r="M71" s="10" t="str">
        <f>ROUND(Github!O$139, 2)&amp;"%"</f>
        <v>46.58%</v>
      </c>
      <c r="N71" s="10">
        <f>Github!P$139</f>
        <v>722337</v>
      </c>
      <c r="O71" s="10">
        <f>Github!Q$139</f>
        <v>1550638</v>
      </c>
    </row>
    <row r="72">
      <c r="A72" s="10">
        <f>Github!J$46</f>
        <v>45</v>
      </c>
      <c r="B72" s="11" t="str">
        <f>HYPERLINK(CONCAT("http://leetcode.com/problems/",Github!C$46), Github!B$46)</f>
        <v>Jump Game II</v>
      </c>
      <c r="C72" s="10">
        <f>Github!F$46</f>
        <v>7418</v>
      </c>
      <c r="D72" s="10">
        <f>Github!G$46</f>
        <v>278</v>
      </c>
      <c r="E72" s="10">
        <f>Github!F$46+Github!G$46</f>
        <v>7696</v>
      </c>
      <c r="F72" s="12">
        <f t="shared" si="1"/>
        <v>26.68</v>
      </c>
      <c r="G72" s="10" t="str">
        <f>Github!H$46</f>
        <v>Algorithms</v>
      </c>
      <c r="H72" s="13" t="str">
        <f>SUBSTITUTE(Github!L$46, ";", ", ")</f>
        <v>Array, Dynamic Programming, Greedy, </v>
      </c>
      <c r="I72" s="10" t="str">
        <f>Github!E$46</f>
        <v>Medium</v>
      </c>
      <c r="J72" s="10" t="str">
        <f>IF(TRIM(Github!D$46)="TRUE","FALSE","TRUE")</f>
        <v>TRUE</v>
      </c>
      <c r="K72" s="10" t="b">
        <f>Github!M$46</f>
        <v>1</v>
      </c>
      <c r="L72" s="10" t="b">
        <f>Github!N$46</f>
        <v>0</v>
      </c>
      <c r="M72" s="10" t="str">
        <f>ROUND(Github!O$46, 2)&amp;"%"</f>
        <v>36.65%</v>
      </c>
      <c r="N72" s="10">
        <f>Github!P$46</f>
        <v>559297</v>
      </c>
      <c r="O72" s="10">
        <f>Github!Q$46</f>
        <v>1525998</v>
      </c>
    </row>
    <row r="73">
      <c r="A73" s="10">
        <f>Github!J$544</f>
        <v>543</v>
      </c>
      <c r="B73" s="11" t="str">
        <f>HYPERLINK(CONCAT("http://leetcode.com/problems/",Github!C$544), Github!B$544)</f>
        <v>Diameter of Binary Tree</v>
      </c>
      <c r="C73" s="10">
        <f>Github!F$544</f>
        <v>7320</v>
      </c>
      <c r="D73" s="10">
        <f>Github!G$544</f>
        <v>455</v>
      </c>
      <c r="E73" s="10">
        <f>Github!F$544+Github!G$544</f>
        <v>7775</v>
      </c>
      <c r="F73" s="12">
        <f t="shared" si="1"/>
        <v>16.09</v>
      </c>
      <c r="G73" s="10" t="str">
        <f>Github!H$544</f>
        <v>Algorithms</v>
      </c>
      <c r="H73" s="13" t="str">
        <f>SUBSTITUTE(Github!L$544, ";", ", ")</f>
        <v>Tree, Depth-First Search, Binary Tree, </v>
      </c>
      <c r="I73" s="10" t="str">
        <f>Github!E$544</f>
        <v>Easy</v>
      </c>
      <c r="J73" s="10" t="str">
        <f>IF(TRIM(Github!D$544)="TRUE","FALSE","TRUE")</f>
        <v>TRUE</v>
      </c>
      <c r="K73" s="10" t="b">
        <f>Github!M$544</f>
        <v>1</v>
      </c>
      <c r="L73" s="10" t="b">
        <f>Github!N$544</f>
        <v>0</v>
      </c>
      <c r="M73" s="10" t="str">
        <f>ROUND(Github!O$544, 2)&amp;"%"</f>
        <v>53.72%</v>
      </c>
      <c r="N73" s="10">
        <f>Github!P$544</f>
        <v>681467</v>
      </c>
      <c r="O73" s="10">
        <f>Github!Q$544</f>
        <v>1268679</v>
      </c>
    </row>
    <row r="74">
      <c r="A74" s="10">
        <f>Github!J$33</f>
        <v>32</v>
      </c>
      <c r="B74" s="11" t="str">
        <f>HYPERLINK(CONCAT("http://leetcode.com/problems/",Github!C$33), Github!B$33)</f>
        <v>Longest Valid Parentheses</v>
      </c>
      <c r="C74" s="10">
        <f>Github!F$33</f>
        <v>7262</v>
      </c>
      <c r="D74" s="10">
        <f>Github!G$33</f>
        <v>248</v>
      </c>
      <c r="E74" s="10">
        <f>Github!F$33+Github!G$33</f>
        <v>7510</v>
      </c>
      <c r="F74" s="12">
        <f t="shared" si="1"/>
        <v>29.28</v>
      </c>
      <c r="G74" s="10" t="str">
        <f>Github!H$33</f>
        <v>Algorithms</v>
      </c>
      <c r="H74" s="13" t="str">
        <f>SUBSTITUTE(Github!L$33, ";", ", ")</f>
        <v>String, Dynamic Programming, Stack, </v>
      </c>
      <c r="I74" s="10" t="str">
        <f>Github!E$33</f>
        <v>Hard</v>
      </c>
      <c r="J74" s="10" t="str">
        <f>IF(TRIM(Github!D$33)="TRUE","FALSE","TRUE")</f>
        <v>TRUE</v>
      </c>
      <c r="K74" s="10" t="b">
        <f>Github!M$33</f>
        <v>1</v>
      </c>
      <c r="L74" s="10" t="b">
        <f>Github!N$33</f>
        <v>0</v>
      </c>
      <c r="M74" s="10" t="str">
        <f>ROUND(Github!O$33, 2)&amp;"%"</f>
        <v>31.13%</v>
      </c>
      <c r="N74" s="10">
        <f>Github!P$33</f>
        <v>463038</v>
      </c>
      <c r="O74" s="10">
        <f>Github!Q$33</f>
        <v>1487653</v>
      </c>
    </row>
    <row r="75">
      <c r="A75" s="10">
        <f>Github!J$15</f>
        <v>14</v>
      </c>
      <c r="B75" s="11" t="str">
        <f>HYPERLINK(CONCAT("http://leetcode.com/problems/",Github!C$15), Github!B$15)</f>
        <v>Longest Common Prefix</v>
      </c>
      <c r="C75" s="10">
        <f>Github!F$15</f>
        <v>7234</v>
      </c>
      <c r="D75" s="10">
        <f>Github!G$15</f>
        <v>2856</v>
      </c>
      <c r="E75" s="10">
        <f>Github!F$15+Github!G$15</f>
        <v>10090</v>
      </c>
      <c r="F75" s="12">
        <f t="shared" si="1"/>
        <v>2.53</v>
      </c>
      <c r="G75" s="10" t="str">
        <f>Github!H$15</f>
        <v>Algorithms</v>
      </c>
      <c r="H75" s="13" t="str">
        <f>SUBSTITUTE(Github!L$15, ";", ", ")</f>
        <v>String, </v>
      </c>
      <c r="I75" s="10" t="str">
        <f>Github!E$15</f>
        <v>Easy</v>
      </c>
      <c r="J75" s="10" t="str">
        <f>IF(TRIM(Github!D$15)="TRUE","FALSE","TRUE")</f>
        <v>TRUE</v>
      </c>
      <c r="K75" s="10" t="b">
        <f>Github!M$15</f>
        <v>1</v>
      </c>
      <c r="L75" s="10" t="b">
        <f>Github!N$15</f>
        <v>0</v>
      </c>
      <c r="M75" s="10" t="str">
        <f>ROUND(Github!O$15, 2)&amp;"%"</f>
        <v>39.06%</v>
      </c>
      <c r="N75" s="10">
        <f>Github!P$15</f>
        <v>1467620</v>
      </c>
      <c r="O75" s="10">
        <f>Github!Q$15</f>
        <v>3757279</v>
      </c>
    </row>
    <row r="76">
      <c r="A76" s="10">
        <f>Github!J$438</f>
        <v>437</v>
      </c>
      <c r="B76" s="11" t="str">
        <f>HYPERLINK(CONCAT("http://leetcode.com/problems/",Github!C$438), Github!B$438)</f>
        <v>Path Sum III</v>
      </c>
      <c r="C76" s="10">
        <f>Github!F$438</f>
        <v>7174</v>
      </c>
      <c r="D76" s="10">
        <f>Github!G$438</f>
        <v>357</v>
      </c>
      <c r="E76" s="10">
        <f>Github!F$438+Github!G$438</f>
        <v>7531</v>
      </c>
      <c r="F76" s="12">
        <f t="shared" si="1"/>
        <v>20.1</v>
      </c>
      <c r="G76" s="10" t="str">
        <f>Github!H$438</f>
        <v>Algorithms</v>
      </c>
      <c r="H76" s="13" t="str">
        <f>SUBSTITUTE(Github!L$438, ";", ", ")</f>
        <v>Tree, Depth-First Search, Binary Tree, </v>
      </c>
      <c r="I76" s="10" t="str">
        <f>Github!E$438</f>
        <v>Medium</v>
      </c>
      <c r="J76" s="10" t="str">
        <f>IF(TRIM(Github!D$438)="TRUE","FALSE","TRUE")</f>
        <v>TRUE</v>
      </c>
      <c r="K76" s="10" t="b">
        <f>Github!M$438</f>
        <v>1</v>
      </c>
      <c r="L76" s="10" t="b">
        <f>Github!N$438</f>
        <v>0</v>
      </c>
      <c r="M76" s="10" t="str">
        <f>ROUND(Github!O$438, 2)&amp;"%"</f>
        <v>50.13%</v>
      </c>
      <c r="N76" s="10">
        <f>Github!P$438</f>
        <v>350137</v>
      </c>
      <c r="O76" s="10">
        <f>Github!Q$438</f>
        <v>698519</v>
      </c>
    </row>
    <row r="77">
      <c r="A77" s="10">
        <f>Github!J$95</f>
        <v>94</v>
      </c>
      <c r="B77" s="11" t="str">
        <f>HYPERLINK(CONCAT("http://leetcode.com/problems/",Github!C$95), Github!B$95)</f>
        <v>Binary Tree Inorder Traversal</v>
      </c>
      <c r="C77" s="10">
        <f>Github!F$95</f>
        <v>7131</v>
      </c>
      <c r="D77" s="10">
        <f>Github!G$95</f>
        <v>315</v>
      </c>
      <c r="E77" s="10">
        <f>Github!F$95+Github!G$95</f>
        <v>7446</v>
      </c>
      <c r="F77" s="12">
        <f t="shared" si="1"/>
        <v>22.64</v>
      </c>
      <c r="G77" s="10" t="str">
        <f>Github!H$95</f>
        <v>Algorithms</v>
      </c>
      <c r="H77" s="13" t="str">
        <f>SUBSTITUTE(Github!L$95, ";", ", ")</f>
        <v>Stack, Tree, Depth-First Search, Binary Tree, </v>
      </c>
      <c r="I77" s="10" t="str">
        <f>Github!E$95</f>
        <v>Easy</v>
      </c>
      <c r="J77" s="10" t="str">
        <f>IF(TRIM(Github!D$95)="TRUE","FALSE","TRUE")</f>
        <v>TRUE</v>
      </c>
      <c r="K77" s="10" t="b">
        <f>Github!M$95</f>
        <v>1</v>
      </c>
      <c r="L77" s="10" t="b">
        <f>Github!N$95</f>
        <v>0</v>
      </c>
      <c r="M77" s="10" t="str">
        <f>ROUND(Github!O$95, 2)&amp;"%"</f>
        <v>70.26%</v>
      </c>
      <c r="N77" s="10">
        <f>Github!P$95</f>
        <v>1374840</v>
      </c>
      <c r="O77" s="10">
        <f>Github!Q$95</f>
        <v>1956770</v>
      </c>
    </row>
    <row r="78">
      <c r="A78" s="10">
        <f>Github!J$439</f>
        <v>438</v>
      </c>
      <c r="B78" s="11" t="str">
        <f>HYPERLINK(CONCAT("http://leetcode.com/problems/",Github!C$439), Github!B$439)</f>
        <v>Find All Anagrams in a String</v>
      </c>
      <c r="C78" s="10">
        <f>Github!F$439</f>
        <v>7088</v>
      </c>
      <c r="D78" s="10">
        <f>Github!G$439</f>
        <v>248</v>
      </c>
      <c r="E78" s="10">
        <f>Github!F$439+Github!G$439</f>
        <v>7336</v>
      </c>
      <c r="F78" s="12">
        <f t="shared" si="1"/>
        <v>28.58</v>
      </c>
      <c r="G78" s="10" t="str">
        <f>Github!H$439</f>
        <v>Algorithms</v>
      </c>
      <c r="H78" s="13" t="str">
        <f>SUBSTITUTE(Github!L$439, ";", ", ")</f>
        <v>Hash Table, String, Sliding Window, </v>
      </c>
      <c r="I78" s="10" t="str">
        <f>Github!E$439</f>
        <v>Medium</v>
      </c>
      <c r="J78" s="10" t="str">
        <f>IF(TRIM(Github!D$439)="TRUE","FALSE","TRUE")</f>
        <v>TRUE</v>
      </c>
      <c r="K78" s="10" t="b">
        <f>Github!M$439</f>
        <v>1</v>
      </c>
      <c r="L78" s="10" t="b">
        <f>Github!N$439</f>
        <v>0</v>
      </c>
      <c r="M78" s="10" t="str">
        <f>ROUND(Github!O$439, 2)&amp;"%"</f>
        <v>47.99%</v>
      </c>
      <c r="N78" s="10">
        <f>Github!P$439</f>
        <v>503352</v>
      </c>
      <c r="O78" s="10">
        <f>Github!Q$439</f>
        <v>1048845</v>
      </c>
    </row>
    <row r="79">
      <c r="A79" s="10">
        <f>Github!J$36</f>
        <v>35</v>
      </c>
      <c r="B79" s="11" t="str">
        <f>HYPERLINK(CONCAT("http://leetcode.com/problems/",Github!C$36), Github!B$36)</f>
        <v>Search Insert Position</v>
      </c>
      <c r="C79" s="10">
        <f>Github!F$36</f>
        <v>7044</v>
      </c>
      <c r="D79" s="10">
        <f>Github!G$36</f>
        <v>387</v>
      </c>
      <c r="E79" s="10">
        <f>Github!F$36+Github!G$36</f>
        <v>7431</v>
      </c>
      <c r="F79" s="12">
        <f t="shared" si="1"/>
        <v>18.2</v>
      </c>
      <c r="G79" s="10" t="str">
        <f>Github!H$36</f>
        <v>Algorithms</v>
      </c>
      <c r="H79" s="13" t="str">
        <f>SUBSTITUTE(Github!L$36, ";", ", ")</f>
        <v>Array, Binary Search, </v>
      </c>
      <c r="I79" s="10" t="str">
        <f>Github!E$36</f>
        <v>Easy</v>
      </c>
      <c r="J79" s="10" t="str">
        <f>IF(TRIM(Github!D$36)="TRUE","FALSE","TRUE")</f>
        <v>TRUE</v>
      </c>
      <c r="K79" s="10" t="b">
        <f>Github!M$36</f>
        <v>1</v>
      </c>
      <c r="L79" s="10" t="b">
        <f>Github!N$36</f>
        <v>0</v>
      </c>
      <c r="M79" s="10" t="str">
        <f>ROUND(Github!O$36, 2)&amp;"%"</f>
        <v>42.41%</v>
      </c>
      <c r="N79" s="10">
        <f>Github!P$36</f>
        <v>1303235</v>
      </c>
      <c r="O79" s="10">
        <f>Github!Q$36</f>
        <v>3073245</v>
      </c>
    </row>
    <row r="80">
      <c r="A80" s="10">
        <f>Github!J$417</f>
        <v>416</v>
      </c>
      <c r="B80" s="11" t="str">
        <f>HYPERLINK(CONCAT("http://leetcode.com/problems/",Github!C$417), Github!B$417)</f>
        <v>Partition Equal Subset Sum</v>
      </c>
      <c r="C80" s="10">
        <f>Github!F$417</f>
        <v>7025</v>
      </c>
      <c r="D80" s="10">
        <f>Github!G$417</f>
        <v>112</v>
      </c>
      <c r="E80" s="10">
        <f>Github!F$417+Github!G$417</f>
        <v>7137</v>
      </c>
      <c r="F80" s="12">
        <f t="shared" si="1"/>
        <v>62.72</v>
      </c>
      <c r="G80" s="10" t="str">
        <f>Github!H$417</f>
        <v>Algorithms</v>
      </c>
      <c r="H80" s="13" t="str">
        <f>SUBSTITUTE(Github!L$417, ";", ", ")</f>
        <v>Array, Dynamic Programming, </v>
      </c>
      <c r="I80" s="10" t="str">
        <f>Github!E$417</f>
        <v>Medium</v>
      </c>
      <c r="J80" s="10" t="str">
        <f>IF(TRIM(Github!D$417)="TRUE","FALSE","TRUE")</f>
        <v>TRUE</v>
      </c>
      <c r="K80" s="10" t="b">
        <f>Github!M$417</f>
        <v>1</v>
      </c>
      <c r="L80" s="10" t="b">
        <f>Github!N$417</f>
        <v>1</v>
      </c>
      <c r="M80" s="10" t="str">
        <f>ROUND(Github!O$417, 2)&amp;"%"</f>
        <v>46.3%</v>
      </c>
      <c r="N80" s="10">
        <f>Github!P$417</f>
        <v>414211</v>
      </c>
      <c r="O80" s="10">
        <f>Github!Q$417</f>
        <v>894556</v>
      </c>
    </row>
    <row r="81">
      <c r="A81" s="10">
        <f>Github!J$123</f>
        <v>122</v>
      </c>
      <c r="B81" s="11" t="str">
        <f>HYPERLINK(CONCAT("http://leetcode.com/problems/",Github!C$123), Github!B$123)</f>
        <v>Best Time to Buy and Sell Stock II</v>
      </c>
      <c r="C81" s="10">
        <f>Github!F$123</f>
        <v>6996</v>
      </c>
      <c r="D81" s="10">
        <f>Github!G$123</f>
        <v>2337</v>
      </c>
      <c r="E81" s="10">
        <f>Github!F$123+Github!G$123</f>
        <v>9333</v>
      </c>
      <c r="F81" s="12">
        <f t="shared" si="1"/>
        <v>2.99</v>
      </c>
      <c r="G81" s="10" t="str">
        <f>Github!H$123</f>
        <v>Algorithms</v>
      </c>
      <c r="H81" s="13" t="str">
        <f>SUBSTITUTE(Github!L$123, ";", ", ")</f>
        <v>Array, Dynamic Programming, Greedy, </v>
      </c>
      <c r="I81" s="10" t="str">
        <f>Github!E$123</f>
        <v>Medium</v>
      </c>
      <c r="J81" s="10" t="str">
        <f>IF(TRIM(Github!D$123)="TRUE","FALSE","TRUE")</f>
        <v>TRUE</v>
      </c>
      <c r="K81" s="10" t="b">
        <f>Github!M$123</f>
        <v>1</v>
      </c>
      <c r="L81" s="10" t="b">
        <f>Github!N$123</f>
        <v>1</v>
      </c>
      <c r="M81" s="10" t="str">
        <f>ROUND(Github!O$123, 2)&amp;"%"</f>
        <v>61.64%</v>
      </c>
      <c r="N81" s="10">
        <f>Github!P$123</f>
        <v>1094840</v>
      </c>
      <c r="O81" s="10">
        <f>Github!Q$123</f>
        <v>1776123</v>
      </c>
    </row>
    <row r="82">
      <c r="A82" s="10">
        <f>Github!J$65</f>
        <v>64</v>
      </c>
      <c r="B82" s="11" t="str">
        <f>HYPERLINK(CONCAT("http://leetcode.com/problems/",Github!C$65), Github!B$65)</f>
        <v>Minimum Path Sum</v>
      </c>
      <c r="C82" s="10">
        <f>Github!F$65</f>
        <v>6875</v>
      </c>
      <c r="D82" s="10">
        <f>Github!G$65</f>
        <v>94</v>
      </c>
      <c r="E82" s="10">
        <f>Github!F$65+Github!G$65</f>
        <v>6969</v>
      </c>
      <c r="F82" s="12">
        <f t="shared" si="1"/>
        <v>73.14</v>
      </c>
      <c r="G82" s="10" t="str">
        <f>Github!H$65</f>
        <v>Algorithms</v>
      </c>
      <c r="H82" s="13" t="str">
        <f>SUBSTITUTE(Github!L$65, ";", ", ")</f>
        <v>Array, Dynamic Programming, Matrix, </v>
      </c>
      <c r="I82" s="10" t="str">
        <f>Github!E$65</f>
        <v>Medium</v>
      </c>
      <c r="J82" s="10" t="str">
        <f>IF(TRIM(Github!D$65)="TRUE","FALSE","TRUE")</f>
        <v>TRUE</v>
      </c>
      <c r="K82" s="10" t="b">
        <f>Github!M$65</f>
        <v>1</v>
      </c>
      <c r="L82" s="10" t="b">
        <f>Github!N$65</f>
        <v>0</v>
      </c>
      <c r="M82" s="10" t="str">
        <f>ROUND(Github!O$65, 2)&amp;"%"</f>
        <v>59.04%</v>
      </c>
      <c r="N82" s="10">
        <f>Github!P$65</f>
        <v>676468</v>
      </c>
      <c r="O82" s="10">
        <f>Github!Q$65</f>
        <v>1145739</v>
      </c>
    </row>
    <row r="83">
      <c r="A83" s="10">
        <f>Github!J$241</f>
        <v>240</v>
      </c>
      <c r="B83" s="11" t="str">
        <f>HYPERLINK(CONCAT("http://leetcode.com/problems/",Github!C$241), Github!B$241)</f>
        <v>Search a 2D Matrix II</v>
      </c>
      <c r="C83" s="10">
        <f>Github!F$241</f>
        <v>6848</v>
      </c>
      <c r="D83" s="10">
        <f>Github!G$241</f>
        <v>119</v>
      </c>
      <c r="E83" s="10">
        <f>Github!F$241+Github!G$241</f>
        <v>6967</v>
      </c>
      <c r="F83" s="12">
        <f t="shared" si="1"/>
        <v>57.55</v>
      </c>
      <c r="G83" s="10" t="str">
        <f>Github!H$241</f>
        <v>Algorithms</v>
      </c>
      <c r="H83" s="13" t="str">
        <f>SUBSTITUTE(Github!L$241, ";", ", ")</f>
        <v>Array, Binary Search, Divide and Conquer, Matrix, </v>
      </c>
      <c r="I83" s="10" t="str">
        <f>Github!E$241</f>
        <v>Medium</v>
      </c>
      <c r="J83" s="10" t="str">
        <f>IF(TRIM(Github!D$241)="TRUE","FALSE","TRUE")</f>
        <v>TRUE</v>
      </c>
      <c r="K83" s="10" t="b">
        <f>Github!M$241</f>
        <v>1</v>
      </c>
      <c r="L83" s="10" t="b">
        <f>Github!N$241</f>
        <v>0</v>
      </c>
      <c r="M83" s="10" t="str">
        <f>ROUND(Github!O$241, 2)&amp;"%"</f>
        <v>47.97%</v>
      </c>
      <c r="N83" s="10">
        <f>Github!P$241</f>
        <v>569555</v>
      </c>
      <c r="O83" s="10">
        <f>Github!Q$241</f>
        <v>1187227</v>
      </c>
    </row>
    <row r="84">
      <c r="A84" s="10">
        <f>Github!J$222</f>
        <v>221</v>
      </c>
      <c r="B84" s="11" t="str">
        <f>HYPERLINK(CONCAT("http://leetcode.com/problems/",Github!C$222), Github!B$222)</f>
        <v>Maximal Square</v>
      </c>
      <c r="C84" s="10">
        <f>Github!F$222</f>
        <v>6838</v>
      </c>
      <c r="D84" s="10">
        <f>Github!G$222</f>
        <v>144</v>
      </c>
      <c r="E84" s="10">
        <f>Github!F$222+Github!G$222</f>
        <v>6982</v>
      </c>
      <c r="F84" s="12">
        <f t="shared" si="1"/>
        <v>47.49</v>
      </c>
      <c r="G84" s="10" t="str">
        <f>Github!H$222</f>
        <v>Algorithms</v>
      </c>
      <c r="H84" s="13" t="str">
        <f>SUBSTITUTE(Github!L$222, ";", ", ")</f>
        <v>Array, Dynamic Programming, Matrix, </v>
      </c>
      <c r="I84" s="10" t="str">
        <f>Github!E$222</f>
        <v>Medium</v>
      </c>
      <c r="J84" s="10" t="str">
        <f>IF(TRIM(Github!D$222)="TRUE","FALSE","TRUE")</f>
        <v>TRUE</v>
      </c>
      <c r="K84" s="10" t="b">
        <f>Github!M$222</f>
        <v>1</v>
      </c>
      <c r="L84" s="10" t="b">
        <f>Github!N$222</f>
        <v>0</v>
      </c>
      <c r="M84" s="10" t="str">
        <f>ROUND(Github!O$222, 2)&amp;"%"</f>
        <v>43.15%</v>
      </c>
      <c r="N84" s="10">
        <f>Github!P$222</f>
        <v>473712</v>
      </c>
      <c r="O84" s="10">
        <f>Github!Q$222</f>
        <v>1097817</v>
      </c>
    </row>
    <row r="85">
      <c r="A85" s="10">
        <f>Github!J$97</f>
        <v>96</v>
      </c>
      <c r="B85" s="11" t="str">
        <f>HYPERLINK(CONCAT("http://leetcode.com/problems/",Github!C$97), Github!B$97)</f>
        <v>Unique Binary Search Trees</v>
      </c>
      <c r="C85" s="10">
        <f>Github!F$97</f>
        <v>6836</v>
      </c>
      <c r="D85" s="10">
        <f>Github!G$97</f>
        <v>270</v>
      </c>
      <c r="E85" s="10">
        <f>Github!F$97+Github!G$97</f>
        <v>7106</v>
      </c>
      <c r="F85" s="12">
        <f t="shared" si="1"/>
        <v>25.32</v>
      </c>
      <c r="G85" s="10" t="str">
        <f>Github!H$97</f>
        <v>Algorithms</v>
      </c>
      <c r="H85" s="13" t="str">
        <f>SUBSTITUTE(Github!L$97, ";", ", ")</f>
        <v>Math, Dynamic Programming, Tree, Binary Search Tree, Binary Tree, </v>
      </c>
      <c r="I85" s="10" t="str">
        <f>Github!E$97</f>
        <v>Medium</v>
      </c>
      <c r="J85" s="10" t="str">
        <f>IF(TRIM(Github!D$97)="TRUE","FALSE","TRUE")</f>
        <v>TRUE</v>
      </c>
      <c r="K85" s="10" t="b">
        <f>Github!M$97</f>
        <v>1</v>
      </c>
      <c r="L85" s="10" t="b">
        <f>Github!N$97</f>
        <v>0</v>
      </c>
      <c r="M85" s="10" t="str">
        <f>ROUND(Github!O$97, 2)&amp;"%"</f>
        <v>58.01%</v>
      </c>
      <c r="N85" s="10">
        <f>Github!P$97</f>
        <v>464873</v>
      </c>
      <c r="O85" s="10">
        <f>Github!Q$97</f>
        <v>801416</v>
      </c>
    </row>
    <row r="86">
      <c r="A86" s="10">
        <f>Github!J$143</f>
        <v>142</v>
      </c>
      <c r="B86" s="11" t="str">
        <f>HYPERLINK(CONCAT("http://leetcode.com/problems/",Github!C$143), Github!B$143)</f>
        <v>Linked List Cycle II</v>
      </c>
      <c r="C86" s="10">
        <f>Github!F$143</f>
        <v>6814</v>
      </c>
      <c r="D86" s="10">
        <f>Github!G$143</f>
        <v>451</v>
      </c>
      <c r="E86" s="10">
        <f>Github!F$143+Github!G$143</f>
        <v>7265</v>
      </c>
      <c r="F86" s="12">
        <f t="shared" si="1"/>
        <v>15.11</v>
      </c>
      <c r="G86" s="10" t="str">
        <f>Github!H$143</f>
        <v>Algorithms</v>
      </c>
      <c r="H86" s="13" t="str">
        <f>SUBSTITUTE(Github!L$143, ";", ", ")</f>
        <v>Hash Table, Linked List, Two Pointers, </v>
      </c>
      <c r="I86" s="10" t="str">
        <f>Github!E$143</f>
        <v>Medium</v>
      </c>
      <c r="J86" s="10" t="str">
        <f>IF(TRIM(Github!D$143)="TRUE","FALSE","TRUE")</f>
        <v>TRUE</v>
      </c>
      <c r="K86" s="10" t="b">
        <f>Github!M$143</f>
        <v>1</v>
      </c>
      <c r="L86" s="10" t="b">
        <f>Github!N$143</f>
        <v>0</v>
      </c>
      <c r="M86" s="10" t="str">
        <f>ROUND(Github!O$143, 2)&amp;"%"</f>
        <v>43.88%</v>
      </c>
      <c r="N86" s="10">
        <f>Github!P$143</f>
        <v>636032</v>
      </c>
      <c r="O86" s="10">
        <f>Github!Q$143</f>
        <v>1449366</v>
      </c>
    </row>
    <row r="87">
      <c r="A87" s="10">
        <f>Github!J$149</f>
        <v>148</v>
      </c>
      <c r="B87" s="11" t="str">
        <f>HYPERLINK(CONCAT("http://leetcode.com/problems/",Github!C$149), Github!B$149)</f>
        <v>Sort List</v>
      </c>
      <c r="C87" s="10">
        <f>Github!F$149</f>
        <v>6813</v>
      </c>
      <c r="D87" s="10">
        <f>Github!G$149</f>
        <v>225</v>
      </c>
      <c r="E87" s="10">
        <f>Github!F$149+Github!G$149</f>
        <v>7038</v>
      </c>
      <c r="F87" s="12">
        <f t="shared" si="1"/>
        <v>30.28</v>
      </c>
      <c r="G87" s="10" t="str">
        <f>Github!H$149</f>
        <v>Algorithms</v>
      </c>
      <c r="H87" s="13" t="str">
        <f>SUBSTITUTE(Github!L$149, ";", ", ")</f>
        <v>Linked List, Two Pointers, Divide and Conquer, Sorting, Merge Sort, </v>
      </c>
      <c r="I87" s="10" t="str">
        <f>Github!E$149</f>
        <v>Medium</v>
      </c>
      <c r="J87" s="10" t="str">
        <f>IF(TRIM(Github!D$149)="TRUE","FALSE","TRUE")</f>
        <v>TRUE</v>
      </c>
      <c r="K87" s="10" t="b">
        <f>Github!M$149</f>
        <v>1</v>
      </c>
      <c r="L87" s="10" t="b">
        <f>Github!N$149</f>
        <v>0</v>
      </c>
      <c r="M87" s="10" t="str">
        <f>ROUND(Github!O$149, 2)&amp;"%"</f>
        <v>51.63%</v>
      </c>
      <c r="N87" s="10">
        <f>Github!P$149</f>
        <v>472707</v>
      </c>
      <c r="O87" s="10">
        <f>Github!Q$149</f>
        <v>915591</v>
      </c>
    </row>
    <row r="88">
      <c r="A88" s="10">
        <f>Github!J$8</f>
        <v>7</v>
      </c>
      <c r="B88" s="11" t="str">
        <f>HYPERLINK(CONCAT("http://leetcode.com/problems/",Github!C$8), Github!B$8)</f>
        <v>Reverse Integer</v>
      </c>
      <c r="C88" s="10">
        <f>Github!F$8</f>
        <v>6735</v>
      </c>
      <c r="D88" s="10">
        <f>Github!G$8</f>
        <v>9419</v>
      </c>
      <c r="E88" s="10">
        <f>Github!F$8+Github!G$8</f>
        <v>16154</v>
      </c>
      <c r="F88" s="12">
        <f t="shared" si="1"/>
        <v>0.72</v>
      </c>
      <c r="G88" s="10" t="str">
        <f>Github!H$8</f>
        <v>Algorithms</v>
      </c>
      <c r="H88" s="13" t="str">
        <f>SUBSTITUTE(Github!L$8, ";", ", ")</f>
        <v>Math, </v>
      </c>
      <c r="I88" s="10" t="str">
        <f>Github!E$8</f>
        <v>Medium</v>
      </c>
      <c r="J88" s="10" t="str">
        <f>IF(TRIM(Github!D$8)="TRUE","FALSE","TRUE")</f>
        <v>TRUE</v>
      </c>
      <c r="K88" s="10" t="b">
        <f>Github!M$8</f>
        <v>1</v>
      </c>
      <c r="L88" s="10" t="b">
        <f>Github!N$8</f>
        <v>0</v>
      </c>
      <c r="M88" s="10" t="str">
        <f>ROUND(Github!O$8, 2)&amp;"%"</f>
        <v>26.57%</v>
      </c>
      <c r="N88" s="10">
        <f>Github!P$8</f>
        <v>1979268</v>
      </c>
      <c r="O88" s="10">
        <f>Github!Q$8</f>
        <v>7450483</v>
      </c>
    </row>
    <row r="89">
      <c r="A89" s="10">
        <f>Github!J$115</f>
        <v>114</v>
      </c>
      <c r="B89" s="11" t="str">
        <f>HYPERLINK(CONCAT("http://leetcode.com/problems/",Github!C$115), Github!B$115)</f>
        <v>Flatten Binary Tree to Linked List</v>
      </c>
      <c r="C89" s="10">
        <f>Github!F$115</f>
        <v>6654</v>
      </c>
      <c r="D89" s="10">
        <f>Github!G$115</f>
        <v>455</v>
      </c>
      <c r="E89" s="10">
        <f>Github!F$115+Github!G$115</f>
        <v>7109</v>
      </c>
      <c r="F89" s="12">
        <f t="shared" si="1"/>
        <v>14.62</v>
      </c>
      <c r="G89" s="10" t="str">
        <f>Github!H$115</f>
        <v>Algorithms</v>
      </c>
      <c r="H89" s="13" t="str">
        <f>SUBSTITUTE(Github!L$115, ";", ", ")</f>
        <v>Linked List, Stack, Tree, Depth-First Search, Binary Tree, </v>
      </c>
      <c r="I89" s="10" t="str">
        <f>Github!E$115</f>
        <v>Medium</v>
      </c>
      <c r="J89" s="10" t="str">
        <f>IF(TRIM(Github!D$115)="TRUE","FALSE","TRUE")</f>
        <v>TRUE</v>
      </c>
      <c r="K89" s="10" t="b">
        <f>Github!M$115</f>
        <v>1</v>
      </c>
      <c r="L89" s="10" t="b">
        <f>Github!N$115</f>
        <v>0</v>
      </c>
      <c r="M89" s="10" t="str">
        <f>ROUND(Github!O$115, 2)&amp;"%"</f>
        <v>57.26%</v>
      </c>
      <c r="N89" s="10">
        <f>Github!P$115</f>
        <v>576979</v>
      </c>
      <c r="O89" s="10">
        <f>Github!Q$115</f>
        <v>1007649</v>
      </c>
    </row>
    <row r="90">
      <c r="A90" s="10">
        <f>Github!J$209</f>
        <v>208</v>
      </c>
      <c r="B90" s="11" t="str">
        <f>HYPERLINK(CONCAT("http://leetcode.com/problems/",Github!C$209), Github!B$209)</f>
        <v>Implement Trie (Prefix Tree)</v>
      </c>
      <c r="C90" s="10">
        <f>Github!F$209</f>
        <v>6621</v>
      </c>
      <c r="D90" s="10">
        <f>Github!G$209</f>
        <v>87</v>
      </c>
      <c r="E90" s="10">
        <f>Github!F$209+Github!G$209</f>
        <v>6708</v>
      </c>
      <c r="F90" s="12">
        <f t="shared" si="1"/>
        <v>76.1</v>
      </c>
      <c r="G90" s="10" t="str">
        <f>Github!H$209</f>
        <v>Algorithms</v>
      </c>
      <c r="H90" s="13" t="str">
        <f>SUBSTITUTE(Github!L$209, ";", ", ")</f>
        <v>Hash Table, String, Design, Trie, </v>
      </c>
      <c r="I90" s="10" t="str">
        <f>Github!E$209</f>
        <v>Medium</v>
      </c>
      <c r="J90" s="10" t="str">
        <f>IF(TRIM(Github!D$209)="TRUE","FALSE","TRUE")</f>
        <v>TRUE</v>
      </c>
      <c r="K90" s="10" t="b">
        <f>Github!M$209</f>
        <v>1</v>
      </c>
      <c r="L90" s="10" t="b">
        <f>Github!N$209</f>
        <v>0</v>
      </c>
      <c r="M90" s="10" t="str">
        <f>ROUND(Github!O$209, 2)&amp;"%"</f>
        <v>57.48%</v>
      </c>
      <c r="N90" s="10">
        <f>Github!P$209</f>
        <v>549425</v>
      </c>
      <c r="O90" s="10">
        <f>Github!Q$209</f>
        <v>955793</v>
      </c>
    </row>
    <row r="91">
      <c r="A91" s="10">
        <f>Github!J$740</f>
        <v>739</v>
      </c>
      <c r="B91" s="11" t="str">
        <f>HYPERLINK(CONCAT("http://leetcode.com/problems/",Github!C$740), Github!B$740)</f>
        <v>Daily Temperatures</v>
      </c>
      <c r="C91" s="10">
        <f>Github!F$740</f>
        <v>6550</v>
      </c>
      <c r="D91" s="10">
        <f>Github!G$740</f>
        <v>152</v>
      </c>
      <c r="E91" s="10">
        <f>Github!F$740+Github!G$740</f>
        <v>6702</v>
      </c>
      <c r="F91" s="12">
        <f t="shared" si="1"/>
        <v>43.09</v>
      </c>
      <c r="G91" s="10" t="str">
        <f>Github!H$740</f>
        <v>Algorithms</v>
      </c>
      <c r="H91" s="13" t="str">
        <f>SUBSTITUTE(Github!L$740, ";", ", ")</f>
        <v>Array, Stack, Monotonic Stack, </v>
      </c>
      <c r="I91" s="10" t="str">
        <f>Github!E$740</f>
        <v>Medium</v>
      </c>
      <c r="J91" s="10" t="str">
        <f>IF(TRIM(Github!D$740)="TRUE","FALSE","TRUE")</f>
        <v>TRUE</v>
      </c>
      <c r="K91" s="10" t="b">
        <f>Github!M$740</f>
        <v>1</v>
      </c>
      <c r="L91" s="10" t="b">
        <f>Github!N$740</f>
        <v>0</v>
      </c>
      <c r="M91" s="10" t="str">
        <f>ROUND(Github!O$740, 2)&amp;"%"</f>
        <v>66.9%</v>
      </c>
      <c r="N91" s="10">
        <f>Github!P$740</f>
        <v>360815</v>
      </c>
      <c r="O91" s="10">
        <f>Github!Q$740</f>
        <v>539351</v>
      </c>
    </row>
    <row r="92">
      <c r="A92" s="10">
        <f>Github!J$339</f>
        <v>338</v>
      </c>
      <c r="B92" s="11" t="str">
        <f>HYPERLINK(CONCAT("http://leetcode.com/problems/",Github!C$339), Github!B$339)</f>
        <v>Counting Bits</v>
      </c>
      <c r="C92" s="10">
        <f>Github!F$339</f>
        <v>6551</v>
      </c>
      <c r="D92" s="10">
        <f>Github!G$339</f>
        <v>308</v>
      </c>
      <c r="E92" s="10">
        <f>Github!F$339+Github!G$339</f>
        <v>6859</v>
      </c>
      <c r="F92" s="12">
        <f t="shared" si="1"/>
        <v>21.27</v>
      </c>
      <c r="G92" s="10" t="str">
        <f>Github!H$339</f>
        <v>Algorithms</v>
      </c>
      <c r="H92" s="13" t="str">
        <f>SUBSTITUTE(Github!L$339, ";", ", ")</f>
        <v>Dynamic Programming, Bit Manipulation, </v>
      </c>
      <c r="I92" s="10" t="str">
        <f>Github!E$339</f>
        <v>Easy</v>
      </c>
      <c r="J92" s="10" t="str">
        <f>IF(TRIM(Github!D$339)="TRUE","FALSE","TRUE")</f>
        <v>TRUE</v>
      </c>
      <c r="K92" s="10" t="b">
        <f>Github!M$339</f>
        <v>1</v>
      </c>
      <c r="L92" s="10" t="b">
        <f>Github!N$339</f>
        <v>0</v>
      </c>
      <c r="M92" s="10" t="str">
        <f>ROUND(Github!O$339, 2)&amp;"%"</f>
        <v>73.99%</v>
      </c>
      <c r="N92" s="10">
        <f>Github!P$339</f>
        <v>541978</v>
      </c>
      <c r="O92" s="10">
        <f>Github!Q$339</f>
        <v>732468</v>
      </c>
    </row>
    <row r="93">
      <c r="A93" s="10">
        <f>Github!J$26</f>
        <v>25</v>
      </c>
      <c r="B93" s="11" t="str">
        <f>HYPERLINK(CONCAT("http://leetcode.com/problems/",Github!C$26), Github!B$26)</f>
        <v>Reverse Nodes in k-Group</v>
      </c>
      <c r="C93" s="10">
        <f>Github!F$26</f>
        <v>6536</v>
      </c>
      <c r="D93" s="10">
        <f>Github!G$26</f>
        <v>475</v>
      </c>
      <c r="E93" s="10">
        <f>Github!F$26+Github!G$26</f>
        <v>7011</v>
      </c>
      <c r="F93" s="12">
        <f t="shared" si="1"/>
        <v>13.76</v>
      </c>
      <c r="G93" s="10" t="str">
        <f>Github!H$26</f>
        <v>Algorithms</v>
      </c>
      <c r="H93" s="13" t="str">
        <f>SUBSTITUTE(Github!L$26, ";", ", ")</f>
        <v>Linked List, Recursion, </v>
      </c>
      <c r="I93" s="10" t="str">
        <f>Github!E$26</f>
        <v>Hard</v>
      </c>
      <c r="J93" s="10" t="str">
        <f>IF(TRIM(Github!D$26)="TRUE","FALSE","TRUE")</f>
        <v>TRUE</v>
      </c>
      <c r="K93" s="10" t="b">
        <f>Github!M$26</f>
        <v>1</v>
      </c>
      <c r="L93" s="10" t="b">
        <f>Github!N$26</f>
        <v>0</v>
      </c>
      <c r="M93" s="10" t="str">
        <f>ROUND(Github!O$26, 2)&amp;"%"</f>
        <v>50.46%</v>
      </c>
      <c r="N93" s="10">
        <f>Github!P$26</f>
        <v>484173</v>
      </c>
      <c r="O93" s="10">
        <f>Github!Q$26</f>
        <v>959610</v>
      </c>
    </row>
    <row r="94">
      <c r="A94" s="10">
        <f>Github!J$25</f>
        <v>24</v>
      </c>
      <c r="B94" s="11" t="str">
        <f>HYPERLINK(CONCAT("http://leetcode.com/problems/",Github!C$25), Github!B$25)</f>
        <v>Swap Nodes in Pairs</v>
      </c>
      <c r="C94" s="10">
        <f>Github!F$25</f>
        <v>6506</v>
      </c>
      <c r="D94" s="10">
        <f>Github!G$25</f>
        <v>283</v>
      </c>
      <c r="E94" s="10">
        <f>Github!F$25+Github!G$25</f>
        <v>6789</v>
      </c>
      <c r="F94" s="12">
        <f t="shared" si="1"/>
        <v>22.99</v>
      </c>
      <c r="G94" s="10" t="str">
        <f>Github!H$25</f>
        <v>Algorithms</v>
      </c>
      <c r="H94" s="13" t="str">
        <f>SUBSTITUTE(Github!L$25, ";", ", ")</f>
        <v>Linked List, Recursion, </v>
      </c>
      <c r="I94" s="10" t="str">
        <f>Github!E$25</f>
        <v>Medium</v>
      </c>
      <c r="J94" s="10" t="str">
        <f>IF(TRIM(Github!D$25)="TRUE","FALSE","TRUE")</f>
        <v>TRUE</v>
      </c>
      <c r="K94" s="10" t="b">
        <f>Github!M$25</f>
        <v>1</v>
      </c>
      <c r="L94" s="10" t="b">
        <f>Github!N$25</f>
        <v>0</v>
      </c>
      <c r="M94" s="10" t="str">
        <f>ROUND(Github!O$25, 2)&amp;"%"</f>
        <v>58.26%</v>
      </c>
      <c r="N94" s="10">
        <f>Github!P$25</f>
        <v>827925</v>
      </c>
      <c r="O94" s="10">
        <f>Github!Q$25</f>
        <v>1421094</v>
      </c>
    </row>
    <row r="95">
      <c r="A95" s="10">
        <f>Github!J$55</f>
        <v>54</v>
      </c>
      <c r="B95" s="11" t="str">
        <f>HYPERLINK(CONCAT("http://leetcode.com/problems/",Github!C$55), Github!B$55)</f>
        <v>Spiral Matrix</v>
      </c>
      <c r="C95" s="10">
        <f>Github!F$55</f>
        <v>6492</v>
      </c>
      <c r="D95" s="10">
        <f>Github!G$55</f>
        <v>799</v>
      </c>
      <c r="E95" s="10">
        <f>Github!F$55+Github!G$55</f>
        <v>7291</v>
      </c>
      <c r="F95" s="12">
        <f t="shared" si="1"/>
        <v>8.13</v>
      </c>
      <c r="G95" s="10" t="str">
        <f>Github!H$55</f>
        <v>Algorithms</v>
      </c>
      <c r="H95" s="13" t="str">
        <f>SUBSTITUTE(Github!L$55, ";", ", ")</f>
        <v>Array, Matrix, Simulation, </v>
      </c>
      <c r="I95" s="10" t="str">
        <f>Github!E$55</f>
        <v>Medium</v>
      </c>
      <c r="J95" s="10" t="str">
        <f>IF(TRIM(Github!D$55)="TRUE","FALSE","TRUE")</f>
        <v>TRUE</v>
      </c>
      <c r="K95" s="10" t="b">
        <f>Github!M$55</f>
        <v>1</v>
      </c>
      <c r="L95" s="10" t="b">
        <f>Github!N$55</f>
        <v>0</v>
      </c>
      <c r="M95" s="10" t="str">
        <f>ROUND(Github!O$55, 2)&amp;"%"</f>
        <v>40.78%</v>
      </c>
      <c r="N95" s="10">
        <f>Github!P$55</f>
        <v>685991</v>
      </c>
      <c r="O95" s="10">
        <f>Github!Q$55</f>
        <v>1682099</v>
      </c>
    </row>
    <row r="96">
      <c r="A96" s="10">
        <f>Github!J$92</f>
        <v>91</v>
      </c>
      <c r="B96" s="11" t="str">
        <f>HYPERLINK(CONCAT("http://leetcode.com/problems/",Github!C$92), Github!B$92)</f>
        <v>Decode Ways</v>
      </c>
      <c r="C96" s="10">
        <f>Github!F$92</f>
        <v>6485</v>
      </c>
      <c r="D96" s="10">
        <f>Github!G$92</f>
        <v>3750</v>
      </c>
      <c r="E96" s="10">
        <f>Github!F$92+Github!G$92</f>
        <v>10235</v>
      </c>
      <c r="F96" s="12">
        <f t="shared" si="1"/>
        <v>1.73</v>
      </c>
      <c r="G96" s="10" t="str">
        <f>Github!H$92</f>
        <v>Algorithms</v>
      </c>
      <c r="H96" s="13" t="str">
        <f>SUBSTITUTE(Github!L$92, ";", ", ")</f>
        <v>String, Dynamic Programming, </v>
      </c>
      <c r="I96" s="10" t="str">
        <f>Github!E$92</f>
        <v>Medium</v>
      </c>
      <c r="J96" s="10" t="str">
        <f>IF(TRIM(Github!D$92)="TRUE","FALSE","TRUE")</f>
        <v>TRUE</v>
      </c>
      <c r="K96" s="10" t="b">
        <f>Github!M$92</f>
        <v>1</v>
      </c>
      <c r="L96" s="10" t="b">
        <f>Github!N$92</f>
        <v>1</v>
      </c>
      <c r="M96" s="10" t="str">
        <f>ROUND(Github!O$92, 2)&amp;"%"</f>
        <v>29.89%</v>
      </c>
      <c r="N96" s="10">
        <f>Github!P$92</f>
        <v>744070</v>
      </c>
      <c r="O96" s="10">
        <f>Github!Q$92</f>
        <v>2489685</v>
      </c>
    </row>
    <row r="97">
      <c r="A97" s="10">
        <f>Github!J$764</f>
        <v>763</v>
      </c>
      <c r="B97" s="11" t="str">
        <f>HYPERLINK(CONCAT("http://leetcode.com/problems/",Github!C$764), Github!B$764)</f>
        <v>Partition Labels</v>
      </c>
      <c r="C97" s="10">
        <f>Github!F$764</f>
        <v>6483</v>
      </c>
      <c r="D97" s="10">
        <f>Github!G$764</f>
        <v>254</v>
      </c>
      <c r="E97" s="10">
        <f>Github!F$764+Github!G$764</f>
        <v>6737</v>
      </c>
      <c r="F97" s="12">
        <f t="shared" si="1"/>
        <v>25.52</v>
      </c>
      <c r="G97" s="10" t="str">
        <f>Github!H$764</f>
        <v>Algorithms</v>
      </c>
      <c r="H97" s="13" t="str">
        <f>SUBSTITUTE(Github!L$764, ";", ", ")</f>
        <v>Hash Table, Two Pointers, String, Greedy, </v>
      </c>
      <c r="I97" s="10" t="str">
        <f>Github!E$764</f>
        <v>Medium</v>
      </c>
      <c r="J97" s="10" t="str">
        <f>IF(TRIM(Github!D$764)="TRUE","FALSE","TRUE")</f>
        <v>TRUE</v>
      </c>
      <c r="K97" s="10" t="b">
        <f>Github!M$764</f>
        <v>1</v>
      </c>
      <c r="L97" s="10" t="b">
        <f>Github!N$764</f>
        <v>0</v>
      </c>
      <c r="M97" s="10" t="str">
        <f>ROUND(Github!O$764, 2)&amp;"%"</f>
        <v>78.7%</v>
      </c>
      <c r="N97" s="10">
        <f>Github!P$764</f>
        <v>333145</v>
      </c>
      <c r="O97" s="10">
        <f>Github!Q$764</f>
        <v>423314</v>
      </c>
    </row>
    <row r="98">
      <c r="A98" s="10">
        <f>Github!J$105</f>
        <v>104</v>
      </c>
      <c r="B98" s="11" t="str">
        <f>HYPERLINK(CONCAT("http://leetcode.com/problems/",Github!C$105), Github!B$105)</f>
        <v>Maximum Depth of Binary Tree</v>
      </c>
      <c r="C98" s="10">
        <f>Github!F$105</f>
        <v>6484</v>
      </c>
      <c r="D98" s="10">
        <f>Github!G$105</f>
        <v>123</v>
      </c>
      <c r="E98" s="10">
        <f>Github!F$105+Github!G$105</f>
        <v>6607</v>
      </c>
      <c r="F98" s="12">
        <f t="shared" si="1"/>
        <v>52.72</v>
      </c>
      <c r="G98" s="10" t="str">
        <f>Github!H$105</f>
        <v>Algorithms</v>
      </c>
      <c r="H98" s="13" t="str">
        <f>SUBSTITUTE(Github!L$105, ";", ", ")</f>
        <v>Tree, Depth-First Search, Breadth-First Search, Binary Tree, </v>
      </c>
      <c r="I98" s="10" t="str">
        <f>Github!E$105</f>
        <v>Easy</v>
      </c>
      <c r="J98" s="10" t="str">
        <f>IF(TRIM(Github!D$105)="TRUE","FALSE","TRUE")</f>
        <v>TRUE</v>
      </c>
      <c r="K98" s="10" t="b">
        <f>Github!M$105</f>
        <v>1</v>
      </c>
      <c r="L98" s="10" t="b">
        <f>Github!N$105</f>
        <v>0</v>
      </c>
      <c r="M98" s="10" t="str">
        <f>ROUND(Github!O$105, 2)&amp;"%"</f>
        <v>71.52%</v>
      </c>
      <c r="N98" s="10">
        <f>Github!P$105</f>
        <v>1564817</v>
      </c>
      <c r="O98" s="10">
        <f>Github!Q$105</f>
        <v>2187878</v>
      </c>
    </row>
    <row r="99">
      <c r="A99" s="10">
        <f>Github!J$280</f>
        <v>279</v>
      </c>
      <c r="B99" s="11" t="str">
        <f>HYPERLINK(CONCAT("http://leetcode.com/problems/",Github!C$280), Github!B$280)</f>
        <v>Perfect Squares</v>
      </c>
      <c r="C99" s="10">
        <f>Github!F$280</f>
        <v>6403</v>
      </c>
      <c r="D99" s="10">
        <f>Github!G$280</f>
        <v>286</v>
      </c>
      <c r="E99" s="10">
        <f>Github!F$280+Github!G$280</f>
        <v>6689</v>
      </c>
      <c r="F99" s="12">
        <f t="shared" si="1"/>
        <v>22.39</v>
      </c>
      <c r="G99" s="10" t="str">
        <f>Github!H$280</f>
        <v>Algorithms</v>
      </c>
      <c r="H99" s="13" t="str">
        <f>SUBSTITUTE(Github!L$280, ";", ", ")</f>
        <v>Math, Dynamic Programming, Breadth-First Search, </v>
      </c>
      <c r="I99" s="10" t="str">
        <f>Github!E$280</f>
        <v>Medium</v>
      </c>
      <c r="J99" s="10" t="str">
        <f>IF(TRIM(Github!D$280)="TRUE","FALSE","TRUE")</f>
        <v>TRUE</v>
      </c>
      <c r="K99" s="10" t="b">
        <f>Github!M$280</f>
        <v>1</v>
      </c>
      <c r="L99" s="10" t="b">
        <f>Github!N$280</f>
        <v>0</v>
      </c>
      <c r="M99" s="10" t="str">
        <f>ROUND(Github!O$280, 2)&amp;"%"</f>
        <v>51.65%</v>
      </c>
      <c r="N99" s="10">
        <f>Github!P$280</f>
        <v>508501</v>
      </c>
      <c r="O99" s="10">
        <f>Github!Q$280</f>
        <v>984526</v>
      </c>
    </row>
    <row r="100">
      <c r="A100" s="10">
        <f>Github!J$296</f>
        <v>295</v>
      </c>
      <c r="B100" s="11" t="str">
        <f>HYPERLINK(CONCAT("http://leetcode.com/problems/",Github!C$296), Github!B$296)</f>
        <v>Find Median from Data Stream</v>
      </c>
      <c r="C100" s="10">
        <f>Github!F$296</f>
        <v>6401</v>
      </c>
      <c r="D100" s="10">
        <f>Github!G$296</f>
        <v>119</v>
      </c>
      <c r="E100" s="10">
        <f>Github!F$296+Github!G$296</f>
        <v>6520</v>
      </c>
      <c r="F100" s="12">
        <f t="shared" si="1"/>
        <v>53.79</v>
      </c>
      <c r="G100" s="10" t="str">
        <f>Github!H$296</f>
        <v>Algorithms</v>
      </c>
      <c r="H100" s="13" t="str">
        <f>SUBSTITUTE(Github!L$296, ";", ", ")</f>
        <v>Two Pointers, Design, Sorting, Heap (Priority Queue), Data Stream, </v>
      </c>
      <c r="I100" s="10" t="str">
        <f>Github!E$296</f>
        <v>Hard</v>
      </c>
      <c r="J100" s="10" t="str">
        <f>IF(TRIM(Github!D$296)="TRUE","FALSE","TRUE")</f>
        <v>TRUE</v>
      </c>
      <c r="K100" s="10" t="b">
        <f>Github!M$296</f>
        <v>1</v>
      </c>
      <c r="L100" s="10" t="b">
        <f>Github!N$296</f>
        <v>0</v>
      </c>
      <c r="M100" s="10" t="str">
        <f>ROUND(Github!O$296, 2)&amp;"%"</f>
        <v>50.08%</v>
      </c>
      <c r="N100" s="10">
        <f>Github!P$296</f>
        <v>430532</v>
      </c>
      <c r="O100" s="10">
        <f>Github!Q$296</f>
        <v>859720</v>
      </c>
    </row>
    <row r="101">
      <c r="A101" s="10">
        <f>Github!J$495</f>
        <v>494</v>
      </c>
      <c r="B101" s="11" t="str">
        <f>HYPERLINK(CONCAT("http://leetcode.com/problems/",Github!C$495), Github!B$495)</f>
        <v>Target Sum</v>
      </c>
      <c r="C101" s="10">
        <f>Github!F$495</f>
        <v>6366</v>
      </c>
      <c r="D101" s="10">
        <f>Github!G$495</f>
        <v>246</v>
      </c>
      <c r="E101" s="10">
        <f>Github!F$495+Github!G$495</f>
        <v>6612</v>
      </c>
      <c r="F101" s="12">
        <f t="shared" si="1"/>
        <v>25.88</v>
      </c>
      <c r="G101" s="10" t="str">
        <f>Github!H$495</f>
        <v>Algorithms</v>
      </c>
      <c r="H101" s="13" t="str">
        <f>SUBSTITUTE(Github!L$495, ";", ", ")</f>
        <v>Array, Dynamic Programming, Backtracking, </v>
      </c>
      <c r="I101" s="10" t="str">
        <f>Github!E$495</f>
        <v>Medium</v>
      </c>
      <c r="J101" s="10" t="str">
        <f>IF(TRIM(Github!D$495)="TRUE","FALSE","TRUE")</f>
        <v>TRUE</v>
      </c>
      <c r="K101" s="10" t="b">
        <f>Github!M$495</f>
        <v>1</v>
      </c>
      <c r="L101" s="10" t="b">
        <f>Github!N$495</f>
        <v>0</v>
      </c>
      <c r="M101" s="10" t="str">
        <f>ROUND(Github!O$495, 2)&amp;"%"</f>
        <v>45.33%</v>
      </c>
      <c r="N101" s="10">
        <f>Github!P$495</f>
        <v>328693</v>
      </c>
      <c r="O101" s="10">
        <f>Github!Q$495</f>
        <v>725033</v>
      </c>
    </row>
    <row r="102">
      <c r="A102" s="10">
        <f>Github!J$86</f>
        <v>85</v>
      </c>
      <c r="B102" s="11" t="str">
        <f>HYPERLINK(CONCAT("http://leetcode.com/problems/",Github!C$86), Github!B$86)</f>
        <v>Maximal Rectangle</v>
      </c>
      <c r="C102" s="10">
        <f>Github!F$86</f>
        <v>6281</v>
      </c>
      <c r="D102" s="10">
        <f>Github!G$86</f>
        <v>106</v>
      </c>
      <c r="E102" s="10">
        <f>Github!F$86+Github!G$86</f>
        <v>6387</v>
      </c>
      <c r="F102" s="12">
        <f t="shared" si="1"/>
        <v>59.25</v>
      </c>
      <c r="G102" s="10" t="str">
        <f>Github!H$86</f>
        <v>Algorithms</v>
      </c>
      <c r="H102" s="13" t="str">
        <f>SUBSTITUTE(Github!L$86, ";", ", ")</f>
        <v>Array, Dynamic Programming, Stack, Matrix, Monotonic Stack, </v>
      </c>
      <c r="I102" s="10" t="str">
        <f>Github!E$86</f>
        <v>Hard</v>
      </c>
      <c r="J102" s="10" t="str">
        <f>IF(TRIM(Github!D$86)="TRUE","FALSE","TRUE")</f>
        <v>TRUE</v>
      </c>
      <c r="K102" s="10" t="b">
        <f>Github!M$86</f>
        <v>1</v>
      </c>
      <c r="L102" s="10" t="b">
        <f>Github!N$86</f>
        <v>0</v>
      </c>
      <c r="M102" s="10" t="str">
        <f>ROUND(Github!O$86, 2)&amp;"%"</f>
        <v>42.46%</v>
      </c>
      <c r="N102" s="10">
        <f>Github!P$86</f>
        <v>286615</v>
      </c>
      <c r="O102" s="10">
        <f>Github!Q$86</f>
        <v>675021</v>
      </c>
    </row>
    <row r="103">
      <c r="A103" s="10">
        <f>Github!J$211</f>
        <v>210</v>
      </c>
      <c r="B103" s="11" t="str">
        <f>HYPERLINK(CONCAT("http://leetcode.com/problems/",Github!C$211), Github!B$211)</f>
        <v>Course Schedule II</v>
      </c>
      <c r="C103" s="10">
        <f>Github!F$211</f>
        <v>6265</v>
      </c>
      <c r="D103" s="10">
        <f>Github!G$211</f>
        <v>228</v>
      </c>
      <c r="E103" s="10">
        <f>Github!F$211+Github!G$211</f>
        <v>6493</v>
      </c>
      <c r="F103" s="12">
        <f t="shared" si="1"/>
        <v>27.48</v>
      </c>
      <c r="G103" s="10" t="str">
        <f>Github!H$211</f>
        <v>Algorithms</v>
      </c>
      <c r="H103" s="13" t="str">
        <f>SUBSTITUTE(Github!L$211, ";", ", ")</f>
        <v>Depth-First Search, Breadth-First Search, Graph, Topological Sort, </v>
      </c>
      <c r="I103" s="10" t="str">
        <f>Github!E$211</f>
        <v>Medium</v>
      </c>
      <c r="J103" s="10" t="str">
        <f>IF(TRIM(Github!D$211)="TRUE","FALSE","TRUE")</f>
        <v>TRUE</v>
      </c>
      <c r="K103" s="10" t="b">
        <f>Github!M$211</f>
        <v>1</v>
      </c>
      <c r="L103" s="10" t="b">
        <f>Github!N$211</f>
        <v>0</v>
      </c>
      <c r="M103" s="10" t="str">
        <f>ROUND(Github!O$211, 2)&amp;"%"</f>
        <v>46.19%</v>
      </c>
      <c r="N103" s="10">
        <f>Github!P$211</f>
        <v>584836</v>
      </c>
      <c r="O103" s="10">
        <f>Github!Q$211</f>
        <v>1266204</v>
      </c>
    </row>
    <row r="104">
      <c r="A104" s="10">
        <f>Github!J$75</f>
        <v>74</v>
      </c>
      <c r="B104" s="11" t="str">
        <f>HYPERLINK(CONCAT("http://leetcode.com/problems/",Github!C$75), Github!B$75)</f>
        <v>Search a 2D Matrix</v>
      </c>
      <c r="C104" s="10">
        <f>Github!F$75</f>
        <v>6271</v>
      </c>
      <c r="D104" s="10">
        <f>Github!G$75</f>
        <v>247</v>
      </c>
      <c r="E104" s="10">
        <f>Github!F$75+Github!G$75</f>
        <v>6518</v>
      </c>
      <c r="F104" s="12">
        <f t="shared" si="1"/>
        <v>25.39</v>
      </c>
      <c r="G104" s="10" t="str">
        <f>Github!H$75</f>
        <v>Algorithms</v>
      </c>
      <c r="H104" s="13" t="str">
        <f>SUBSTITUTE(Github!L$75, ";", ", ")</f>
        <v>Array, Binary Search, Matrix, </v>
      </c>
      <c r="I104" s="10" t="str">
        <f>Github!E$75</f>
        <v>Medium</v>
      </c>
      <c r="J104" s="10" t="str">
        <f>IF(TRIM(Github!D$75)="TRUE","FALSE","TRUE")</f>
        <v>TRUE</v>
      </c>
      <c r="K104" s="10" t="b">
        <f>Github!M$75</f>
        <v>1</v>
      </c>
      <c r="L104" s="10" t="b">
        <f>Github!N$75</f>
        <v>0</v>
      </c>
      <c r="M104" s="10" t="str">
        <f>ROUND(Github!O$75, 2)&amp;"%"</f>
        <v>42.72%</v>
      </c>
      <c r="N104" s="10">
        <f>Github!P$75</f>
        <v>675106</v>
      </c>
      <c r="O104" s="10">
        <f>Github!Q$75</f>
        <v>1580213</v>
      </c>
    </row>
    <row r="105">
      <c r="A105" s="10">
        <f>Github!J$74</f>
        <v>73</v>
      </c>
      <c r="B105" s="11" t="str">
        <f>HYPERLINK(CONCAT("http://leetcode.com/problems/",Github!C$74), Github!B$74)</f>
        <v>Set Matrix Zeroes</v>
      </c>
      <c r="C105" s="10">
        <f>Github!F$74</f>
        <v>6243</v>
      </c>
      <c r="D105" s="10">
        <f>Github!G$74</f>
        <v>470</v>
      </c>
      <c r="E105" s="10">
        <f>Github!F$74+Github!G$74</f>
        <v>6713</v>
      </c>
      <c r="F105" s="12">
        <f t="shared" si="1"/>
        <v>13.28</v>
      </c>
      <c r="G105" s="10" t="str">
        <f>Github!H$74</f>
        <v>Algorithms</v>
      </c>
      <c r="H105" s="13" t="str">
        <f>SUBSTITUTE(Github!L$74, ";", ", ")</f>
        <v>Array, Hash Table, Matrix, </v>
      </c>
      <c r="I105" s="10" t="str">
        <f>Github!E$74</f>
        <v>Medium</v>
      </c>
      <c r="J105" s="10" t="str">
        <f>IF(TRIM(Github!D$74)="TRUE","FALSE","TRUE")</f>
        <v>TRUE</v>
      </c>
      <c r="K105" s="10" t="b">
        <f>Github!M$74</f>
        <v>1</v>
      </c>
      <c r="L105" s="10" t="b">
        <f>Github!N$74</f>
        <v>0</v>
      </c>
      <c r="M105" s="10" t="str">
        <f>ROUND(Github!O$74, 2)&amp;"%"</f>
        <v>47.87%</v>
      </c>
      <c r="N105" s="10">
        <f>Github!P$74</f>
        <v>636660</v>
      </c>
      <c r="O105" s="10">
        <f>Github!Q$74</f>
        <v>1330059</v>
      </c>
    </row>
    <row r="106">
      <c r="A106" s="10">
        <f>Github!J$132</f>
        <v>131</v>
      </c>
      <c r="B106" s="11" t="str">
        <f>HYPERLINK(CONCAT("http://leetcode.com/problems/",Github!C$132), Github!B$132)</f>
        <v>Palindrome Partitioning</v>
      </c>
      <c r="C106" s="10">
        <f>Github!F$132</f>
        <v>6237</v>
      </c>
      <c r="D106" s="10">
        <f>Github!G$132</f>
        <v>193</v>
      </c>
      <c r="E106" s="10">
        <f>Github!F$132+Github!G$132</f>
        <v>6430</v>
      </c>
      <c r="F106" s="12">
        <f t="shared" si="1"/>
        <v>32.32</v>
      </c>
      <c r="G106" s="10" t="str">
        <f>Github!H$132</f>
        <v>Algorithms</v>
      </c>
      <c r="H106" s="13" t="str">
        <f>SUBSTITUTE(Github!L$132, ";", ", ")</f>
        <v>String, Dynamic Programming, Backtracking, </v>
      </c>
      <c r="I106" s="10" t="str">
        <f>Github!E$132</f>
        <v>Medium</v>
      </c>
      <c r="J106" s="10" t="str">
        <f>IF(TRIM(Github!D$132)="TRUE","FALSE","TRUE")</f>
        <v>TRUE</v>
      </c>
      <c r="K106" s="10" t="b">
        <f>Github!M$132</f>
        <v>1</v>
      </c>
      <c r="L106" s="10" t="b">
        <f>Github!N$132</f>
        <v>0</v>
      </c>
      <c r="M106" s="10" t="str">
        <f>ROUND(Github!O$132, 2)&amp;"%"</f>
        <v>58.83%</v>
      </c>
      <c r="N106" s="10">
        <f>Github!P$132</f>
        <v>430997</v>
      </c>
      <c r="O106" s="10">
        <f>Github!Q$132</f>
        <v>732613</v>
      </c>
    </row>
    <row r="107">
      <c r="A107" s="10">
        <f>Github!J$449</f>
        <v>448</v>
      </c>
      <c r="B107" s="11" t="str">
        <f>HYPERLINK(CONCAT("http://leetcode.com/problems/",Github!C$449), Github!B$449)</f>
        <v>Find All Numbers Disappeared in an Array</v>
      </c>
      <c r="C107" s="10">
        <f>Github!F$449</f>
        <v>6226</v>
      </c>
      <c r="D107" s="10">
        <f>Github!G$449</f>
        <v>368</v>
      </c>
      <c r="E107" s="10">
        <f>Github!F$449+Github!G$449</f>
        <v>6594</v>
      </c>
      <c r="F107" s="12">
        <f t="shared" si="1"/>
        <v>16.92</v>
      </c>
      <c r="G107" s="10" t="str">
        <f>Github!H$449</f>
        <v>Algorithms</v>
      </c>
      <c r="H107" s="13" t="str">
        <f>SUBSTITUTE(Github!L$449, ";", ", ")</f>
        <v>Array, Hash Table, </v>
      </c>
      <c r="I107" s="10" t="str">
        <f>Github!E$449</f>
        <v>Easy</v>
      </c>
      <c r="J107" s="10" t="str">
        <f>IF(TRIM(Github!D$449)="TRUE","FALSE","TRUE")</f>
        <v>TRUE</v>
      </c>
      <c r="K107" s="10" t="b">
        <f>Github!M$449</f>
        <v>1</v>
      </c>
      <c r="L107" s="10" t="b">
        <f>Github!N$449</f>
        <v>0</v>
      </c>
      <c r="M107" s="10" t="str">
        <f>ROUND(Github!O$449, 2)&amp;"%"</f>
        <v>58.87%</v>
      </c>
      <c r="N107" s="10">
        <f>Github!P$449</f>
        <v>544578</v>
      </c>
      <c r="O107" s="10">
        <f>Github!Q$449</f>
        <v>925023</v>
      </c>
    </row>
    <row r="108">
      <c r="A108" s="10">
        <f>Github!J$298</f>
        <v>297</v>
      </c>
      <c r="B108" s="11" t="str">
        <f>HYPERLINK(CONCAT("http://leetcode.com/problems/",Github!C$298), Github!B$298)</f>
        <v>Serialize and Deserialize Binary Tree</v>
      </c>
      <c r="C108" s="10">
        <f>Github!F$298</f>
        <v>6203</v>
      </c>
      <c r="D108" s="10">
        <f>Github!G$298</f>
        <v>241</v>
      </c>
      <c r="E108" s="10">
        <f>Github!F$298+Github!G$298</f>
        <v>6444</v>
      </c>
      <c r="F108" s="12">
        <f t="shared" si="1"/>
        <v>25.74</v>
      </c>
      <c r="G108" s="10" t="str">
        <f>Github!H$298</f>
        <v>Algorithms</v>
      </c>
      <c r="H108" s="13" t="str">
        <f>SUBSTITUTE(Github!L$298, ";", ", ")</f>
        <v>String, Tree, Depth-First Search, Breadth-First Search, Design, Binary Tree, </v>
      </c>
      <c r="I108" s="10" t="str">
        <f>Github!E$298</f>
        <v>Hard</v>
      </c>
      <c r="J108" s="10" t="str">
        <f>IF(TRIM(Github!D$298)="TRUE","FALSE","TRUE")</f>
        <v>TRUE</v>
      </c>
      <c r="K108" s="10" t="b">
        <f>Github!M$298</f>
        <v>1</v>
      </c>
      <c r="L108" s="10" t="b">
        <f>Github!N$298</f>
        <v>0</v>
      </c>
      <c r="M108" s="10" t="str">
        <f>ROUND(Github!O$298, 2)&amp;"%"</f>
        <v>53.31%</v>
      </c>
      <c r="N108" s="10">
        <f>Github!P$298</f>
        <v>576810</v>
      </c>
      <c r="O108" s="10">
        <f>Github!Q$298</f>
        <v>1082045</v>
      </c>
    </row>
    <row r="109">
      <c r="A109" s="10">
        <f>Github!J$618</f>
        <v>617</v>
      </c>
      <c r="B109" s="11" t="str">
        <f>HYPERLINK(CONCAT("http://leetcode.com/problems/",Github!C$618), Github!B$618)</f>
        <v>Merge Two Binary Trees</v>
      </c>
      <c r="C109" s="10">
        <f>Github!F$618</f>
        <v>6201</v>
      </c>
      <c r="D109" s="10">
        <f>Github!G$618</f>
        <v>240</v>
      </c>
      <c r="E109" s="10">
        <f>Github!F$618+Github!G$618</f>
        <v>6441</v>
      </c>
      <c r="F109" s="12">
        <f t="shared" si="1"/>
        <v>25.84</v>
      </c>
      <c r="G109" s="10" t="str">
        <f>Github!H$618</f>
        <v>Algorithms</v>
      </c>
      <c r="H109" s="13" t="str">
        <f>SUBSTITUTE(Github!L$618, ";", ", ")</f>
        <v>Tree, Depth-First Search, Breadth-First Search, Binary Tree, </v>
      </c>
      <c r="I109" s="10" t="str">
        <f>Github!E$618</f>
        <v>Easy</v>
      </c>
      <c r="J109" s="10" t="str">
        <f>IF(TRIM(Github!D$618)="TRUE","FALSE","TRUE")</f>
        <v>TRUE</v>
      </c>
      <c r="K109" s="10" t="b">
        <f>Github!M$618</f>
        <v>1</v>
      </c>
      <c r="L109" s="10" t="b">
        <f>Github!N$618</f>
        <v>0</v>
      </c>
      <c r="M109" s="10" t="str">
        <f>ROUND(Github!O$618, 2)&amp;"%"</f>
        <v>77.66%</v>
      </c>
      <c r="N109" s="10">
        <f>Github!P$618</f>
        <v>531991</v>
      </c>
      <c r="O109" s="10">
        <f>Github!Q$618</f>
        <v>685047</v>
      </c>
    </row>
    <row r="110">
      <c r="A110" s="10">
        <f>Github!J$154</f>
        <v>153</v>
      </c>
      <c r="B110" s="11" t="str">
        <f>HYPERLINK(CONCAT("http://leetcode.com/problems/",Github!C$154), Github!B$154)</f>
        <v>Find Minimum in Rotated Sorted Array</v>
      </c>
      <c r="C110" s="10">
        <f>Github!F$154</f>
        <v>6189</v>
      </c>
      <c r="D110" s="10">
        <f>Github!G$154</f>
        <v>375</v>
      </c>
      <c r="E110" s="10">
        <f>Github!F$154+Github!G$154</f>
        <v>6564</v>
      </c>
      <c r="F110" s="12">
        <f t="shared" si="1"/>
        <v>16.5</v>
      </c>
      <c r="G110" s="10" t="str">
        <f>Github!H$154</f>
        <v>Algorithms</v>
      </c>
      <c r="H110" s="13" t="str">
        <f>SUBSTITUTE(Github!L$154, ";", ", ")</f>
        <v>Array, Binary Search, </v>
      </c>
      <c r="I110" s="10" t="str">
        <f>Github!E$154</f>
        <v>Medium</v>
      </c>
      <c r="J110" s="10" t="str">
        <f>IF(TRIM(Github!D$154)="TRUE","FALSE","TRUE")</f>
        <v>TRUE</v>
      </c>
      <c r="K110" s="10" t="b">
        <f>Github!M$154</f>
        <v>1</v>
      </c>
      <c r="L110" s="10" t="b">
        <f>Github!N$154</f>
        <v>0</v>
      </c>
      <c r="M110" s="10" t="str">
        <f>ROUND(Github!O$154, 2)&amp;"%"</f>
        <v>47.76%</v>
      </c>
      <c r="N110" s="10">
        <f>Github!P$154</f>
        <v>858741</v>
      </c>
      <c r="O110" s="10">
        <f>Github!Q$154</f>
        <v>1797880</v>
      </c>
    </row>
    <row r="111">
      <c r="A111" s="10">
        <f>Github!J$622</f>
        <v>621</v>
      </c>
      <c r="B111" s="11" t="str">
        <f>HYPERLINK(CONCAT("http://leetcode.com/problems/",Github!C$622), Github!B$622)</f>
        <v>Task Scheduler</v>
      </c>
      <c r="C111" s="10">
        <f>Github!F$622</f>
        <v>6133</v>
      </c>
      <c r="D111" s="10">
        <f>Github!G$622</f>
        <v>1171</v>
      </c>
      <c r="E111" s="10">
        <f>Github!F$622+Github!G$622</f>
        <v>7304</v>
      </c>
      <c r="F111" s="12">
        <f t="shared" si="1"/>
        <v>5.24</v>
      </c>
      <c r="G111" s="10" t="str">
        <f>Github!H$622</f>
        <v>Algorithms</v>
      </c>
      <c r="H111" s="13" t="str">
        <f>SUBSTITUTE(Github!L$622, ";", ", ")</f>
        <v>Array, Hash Table, Greedy, Sorting, Heap (Priority Queue), Counting, </v>
      </c>
      <c r="I111" s="10" t="str">
        <f>Github!E$622</f>
        <v>Medium</v>
      </c>
      <c r="J111" s="10" t="str">
        <f>IF(TRIM(Github!D$622)="TRUE","FALSE","TRUE")</f>
        <v>TRUE</v>
      </c>
      <c r="K111" s="10" t="b">
        <f>Github!M$622</f>
        <v>1</v>
      </c>
      <c r="L111" s="10" t="b">
        <f>Github!N$622</f>
        <v>0</v>
      </c>
      <c r="M111" s="10" t="str">
        <f>ROUND(Github!O$622, 2)&amp;"%"</f>
        <v>54.27%</v>
      </c>
      <c r="N111" s="10">
        <f>Github!P$622</f>
        <v>326045</v>
      </c>
      <c r="O111" s="10">
        <f>Github!Q$622</f>
        <v>600831</v>
      </c>
    </row>
    <row r="112">
      <c r="A112" s="10">
        <f>Github!J$995</f>
        <v>994</v>
      </c>
      <c r="B112" s="11" t="str">
        <f>HYPERLINK(CONCAT("http://leetcode.com/problems/",Github!C$995), Github!B$995)</f>
        <v>Rotting Oranges</v>
      </c>
      <c r="C112" s="10">
        <f>Github!F$995</f>
        <v>6079</v>
      </c>
      <c r="D112" s="10">
        <f>Github!G$995</f>
        <v>265</v>
      </c>
      <c r="E112" s="10">
        <f>Github!F$995+Github!G$995</f>
        <v>6344</v>
      </c>
      <c r="F112" s="12">
        <f t="shared" si="1"/>
        <v>22.94</v>
      </c>
      <c r="G112" s="10" t="str">
        <f>Github!H$995</f>
        <v>Algorithms</v>
      </c>
      <c r="H112" s="13" t="str">
        <f>SUBSTITUTE(Github!L$995, ";", ", ")</f>
        <v>Array, Breadth-First Search, Matrix, </v>
      </c>
      <c r="I112" s="10" t="str">
        <f>Github!E$995</f>
        <v>Medium</v>
      </c>
      <c r="J112" s="10" t="str">
        <f>IF(TRIM(Github!D$995)="TRUE","FALSE","TRUE")</f>
        <v>TRUE</v>
      </c>
      <c r="K112" s="10" t="b">
        <f>Github!M$995</f>
        <v>1</v>
      </c>
      <c r="L112" s="10" t="b">
        <f>Github!N$995</f>
        <v>0</v>
      </c>
      <c r="M112" s="10" t="str">
        <f>ROUND(Github!O$995, 2)&amp;"%"</f>
        <v>51.57%</v>
      </c>
      <c r="N112" s="10">
        <f>Github!P$995</f>
        <v>353029</v>
      </c>
      <c r="O112" s="10">
        <f>Github!Q$995</f>
        <v>684550</v>
      </c>
    </row>
    <row r="113">
      <c r="A113" s="10">
        <f>Github!J$27</f>
        <v>26</v>
      </c>
      <c r="B113" s="11" t="str">
        <f>HYPERLINK(CONCAT("http://leetcode.com/problems/",Github!C$27), Github!B$27)</f>
        <v>Remove Duplicates from Sorted Array</v>
      </c>
      <c r="C113" s="10">
        <f>Github!F$27</f>
        <v>6077</v>
      </c>
      <c r="D113" s="10">
        <f>Github!G$27</f>
        <v>9551</v>
      </c>
      <c r="E113" s="10">
        <f>Github!F$27+Github!G$27</f>
        <v>15628</v>
      </c>
      <c r="F113" s="12">
        <f t="shared" si="1"/>
        <v>0.64</v>
      </c>
      <c r="G113" s="10" t="str">
        <f>Github!H$27</f>
        <v>Algorithms</v>
      </c>
      <c r="H113" s="13" t="str">
        <f>SUBSTITUTE(Github!L$27, ";", ", ")</f>
        <v>Array, Two Pointers, </v>
      </c>
      <c r="I113" s="10" t="str">
        <f>Github!E$27</f>
        <v>Easy</v>
      </c>
      <c r="J113" s="10" t="str">
        <f>IF(TRIM(Github!D$27)="TRUE","FALSE","TRUE")</f>
        <v>TRUE</v>
      </c>
      <c r="K113" s="10" t="b">
        <f>Github!M$27</f>
        <v>1</v>
      </c>
      <c r="L113" s="10" t="b">
        <f>Github!N$27</f>
        <v>1</v>
      </c>
      <c r="M113" s="10" t="str">
        <f>ROUND(Github!O$27, 2)&amp;"%"</f>
        <v>48.45%</v>
      </c>
      <c r="N113" s="10">
        <f>Github!P$27</f>
        <v>1999467</v>
      </c>
      <c r="O113" s="10">
        <f>Github!Q$27</f>
        <v>4126916</v>
      </c>
    </row>
    <row r="114">
      <c r="A114" s="10">
        <f>Github!J$200</f>
        <v>199</v>
      </c>
      <c r="B114" s="11" t="str">
        <f>HYPERLINK(CONCAT("http://leetcode.com/problems/",Github!C$200), Github!B$200)</f>
        <v>Binary Tree Right Side View</v>
      </c>
      <c r="C114" s="10">
        <f>Github!F$200</f>
        <v>6062</v>
      </c>
      <c r="D114" s="10">
        <f>Github!G$200</f>
        <v>327</v>
      </c>
      <c r="E114" s="10">
        <f>Github!F$200+Github!G$200</f>
        <v>6389</v>
      </c>
      <c r="F114" s="12">
        <f t="shared" si="1"/>
        <v>18.54</v>
      </c>
      <c r="G114" s="10" t="str">
        <f>Github!H$200</f>
        <v>Algorithms</v>
      </c>
      <c r="H114" s="13" t="str">
        <f>SUBSTITUTE(Github!L$200, ";", ", ")</f>
        <v>Tree, Depth-First Search, Breadth-First Search, Binary Tree, </v>
      </c>
      <c r="I114" s="10" t="str">
        <f>Github!E$200</f>
        <v>Medium</v>
      </c>
      <c r="J114" s="10" t="str">
        <f>IF(TRIM(Github!D$200)="TRUE","FALSE","TRUE")</f>
        <v>TRUE</v>
      </c>
      <c r="K114" s="10" t="b">
        <f>Github!M$200</f>
        <v>1</v>
      </c>
      <c r="L114" s="10" t="b">
        <f>Github!N$200</f>
        <v>0</v>
      </c>
      <c r="M114" s="10" t="str">
        <f>ROUND(Github!O$200, 2)&amp;"%"</f>
        <v>59.26%</v>
      </c>
      <c r="N114" s="10">
        <f>Github!P$200</f>
        <v>630330</v>
      </c>
      <c r="O114" s="10">
        <f>Github!Q$200</f>
        <v>1063625</v>
      </c>
    </row>
    <row r="115">
      <c r="A115" s="10">
        <f>Github!J$210</f>
        <v>209</v>
      </c>
      <c r="B115" s="11" t="str">
        <f>HYPERLINK(CONCAT("http://leetcode.com/problems/",Github!C$210), Github!B$210)</f>
        <v>Minimum Size Subarray Sum</v>
      </c>
      <c r="C115" s="10">
        <f>Github!F$210</f>
        <v>6043</v>
      </c>
      <c r="D115" s="10">
        <f>Github!G$210</f>
        <v>180</v>
      </c>
      <c r="E115" s="10">
        <f>Github!F$210+Github!G$210</f>
        <v>6223</v>
      </c>
      <c r="F115" s="12">
        <f t="shared" si="1"/>
        <v>33.57</v>
      </c>
      <c r="G115" s="10" t="str">
        <f>Github!H$210</f>
        <v>Algorithms</v>
      </c>
      <c r="H115" s="13" t="str">
        <f>SUBSTITUTE(Github!L$210, ";", ", ")</f>
        <v>Array, Binary Search, Sliding Window, Prefix Sum, </v>
      </c>
      <c r="I115" s="10" t="str">
        <f>Github!E$210</f>
        <v>Medium</v>
      </c>
      <c r="J115" s="10" t="str">
        <f>IF(TRIM(Github!D$210)="TRUE","FALSE","TRUE")</f>
        <v>TRUE</v>
      </c>
      <c r="K115" s="10" t="b">
        <f>Github!M$210</f>
        <v>1</v>
      </c>
      <c r="L115" s="10" t="b">
        <f>Github!N$210</f>
        <v>0</v>
      </c>
      <c r="M115" s="10" t="str">
        <f>ROUND(Github!O$210, 2)&amp;"%"</f>
        <v>42.84%</v>
      </c>
      <c r="N115" s="10">
        <f>Github!P$210</f>
        <v>488876</v>
      </c>
      <c r="O115" s="10">
        <f>Github!Q$210</f>
        <v>1141052</v>
      </c>
    </row>
    <row r="116">
      <c r="A116" s="10">
        <f>Github!J$117</f>
        <v>116</v>
      </c>
      <c r="B116" s="11" t="str">
        <f>HYPERLINK(CONCAT("http://leetcode.com/problems/",Github!C$117), Github!B$117)</f>
        <v>Populating Next Right Pointers in Each Node</v>
      </c>
      <c r="C116" s="10">
        <f>Github!F$117</f>
        <v>6026</v>
      </c>
      <c r="D116" s="10">
        <f>Github!G$117</f>
        <v>220</v>
      </c>
      <c r="E116" s="10">
        <f>Github!F$117+Github!G$117</f>
        <v>6246</v>
      </c>
      <c r="F116" s="12">
        <f t="shared" si="1"/>
        <v>27.39</v>
      </c>
      <c r="G116" s="10" t="str">
        <f>Github!H$117</f>
        <v>Algorithms</v>
      </c>
      <c r="H116" s="13" t="str">
        <f>SUBSTITUTE(Github!L$117, ";", ", ")</f>
        <v>Linked List, Tree, Depth-First Search, Breadth-First Search, Binary Tree, </v>
      </c>
      <c r="I116" s="10" t="str">
        <f>Github!E$117</f>
        <v>Medium</v>
      </c>
      <c r="J116" s="10" t="str">
        <f>IF(TRIM(Github!D$117)="TRUE","FALSE","TRUE")</f>
        <v>TRUE</v>
      </c>
      <c r="K116" s="10" t="b">
        <f>Github!M$117</f>
        <v>1</v>
      </c>
      <c r="L116" s="10" t="b">
        <f>Github!N$117</f>
        <v>0</v>
      </c>
      <c r="M116" s="10" t="str">
        <f>ROUND(Github!O$117, 2)&amp;"%"</f>
        <v>56.23%</v>
      </c>
      <c r="N116" s="10">
        <f>Github!P$117</f>
        <v>701245</v>
      </c>
      <c r="O116" s="10">
        <f>Github!Q$117</f>
        <v>1247017</v>
      </c>
    </row>
    <row r="117">
      <c r="A117" s="10">
        <f>Github!J$338</f>
        <v>337</v>
      </c>
      <c r="B117" s="11" t="str">
        <f>HYPERLINK(CONCAT("http://leetcode.com/problems/",Github!C$338), Github!B$338)</f>
        <v>House Robber III</v>
      </c>
      <c r="C117" s="10">
        <f>Github!F$338</f>
        <v>6007</v>
      </c>
      <c r="D117" s="10">
        <f>Github!G$338</f>
        <v>93</v>
      </c>
      <c r="E117" s="10">
        <f>Github!F$338+Github!G$338</f>
        <v>6100</v>
      </c>
      <c r="F117" s="12">
        <f t="shared" si="1"/>
        <v>64.59</v>
      </c>
      <c r="G117" s="10" t="str">
        <f>Github!H$338</f>
        <v>Algorithms</v>
      </c>
      <c r="H117" s="13" t="str">
        <f>SUBSTITUTE(Github!L$338, ";", ", ")</f>
        <v>Dynamic Programming, Tree, Depth-First Search, Binary Tree, </v>
      </c>
      <c r="I117" s="10" t="str">
        <f>Github!E$338</f>
        <v>Medium</v>
      </c>
      <c r="J117" s="10" t="str">
        <f>IF(TRIM(Github!D$338)="TRUE","FALSE","TRUE")</f>
        <v>TRUE</v>
      </c>
      <c r="K117" s="10" t="b">
        <f>Github!M$338</f>
        <v>1</v>
      </c>
      <c r="L117" s="10" t="b">
        <f>Github!N$338</f>
        <v>0</v>
      </c>
      <c r="M117" s="10" t="str">
        <f>ROUND(Github!O$338, 2)&amp;"%"</f>
        <v>53.4%</v>
      </c>
      <c r="N117" s="10">
        <f>Github!P$338</f>
        <v>277617</v>
      </c>
      <c r="O117" s="10">
        <f>Github!Q$338</f>
        <v>519854</v>
      </c>
    </row>
    <row r="118">
      <c r="A118" s="10">
        <f>Github!J$648</f>
        <v>647</v>
      </c>
      <c r="B118" s="11" t="str">
        <f>HYPERLINK(CONCAT("http://leetcode.com/problems/",Github!C$648), Github!B$648)</f>
        <v>Palindromic Substrings</v>
      </c>
      <c r="C118" s="10">
        <f>Github!F$648</f>
        <v>5980</v>
      </c>
      <c r="D118" s="10">
        <f>Github!G$648</f>
        <v>152</v>
      </c>
      <c r="E118" s="10">
        <f>Github!F$648+Github!G$648</f>
        <v>6132</v>
      </c>
      <c r="F118" s="12">
        <f t="shared" si="1"/>
        <v>39.34</v>
      </c>
      <c r="G118" s="10" t="str">
        <f>Github!H$648</f>
        <v>Algorithms</v>
      </c>
      <c r="H118" s="13" t="str">
        <f>SUBSTITUTE(Github!L$648, ";", ", ")</f>
        <v>String, Dynamic Programming, </v>
      </c>
      <c r="I118" s="10" t="str">
        <f>Github!E$648</f>
        <v>Medium</v>
      </c>
      <c r="J118" s="10" t="str">
        <f>IF(TRIM(Github!D$648)="TRUE","FALSE","TRUE")</f>
        <v>TRUE</v>
      </c>
      <c r="K118" s="10" t="b">
        <f>Github!M$648</f>
        <v>1</v>
      </c>
      <c r="L118" s="10" t="b">
        <f>Github!N$648</f>
        <v>0</v>
      </c>
      <c r="M118" s="10" t="str">
        <f>ROUND(Github!O$648, 2)&amp;"%"</f>
        <v>64.33%</v>
      </c>
      <c r="N118" s="10">
        <f>Github!P$648</f>
        <v>382500</v>
      </c>
      <c r="O118" s="10">
        <f>Github!Q$648</f>
        <v>594632</v>
      </c>
    </row>
    <row r="119">
      <c r="A119" s="10">
        <f>Github!J$109</f>
        <v>108</v>
      </c>
      <c r="B119" s="11" t="str">
        <f>HYPERLINK(CONCAT("http://leetcode.com/problems/",Github!C$109), Github!B$109)</f>
        <v>Convert Sorted Array to Binary Search Tree</v>
      </c>
      <c r="C119" s="10">
        <f>Github!F$109</f>
        <v>5927</v>
      </c>
      <c r="D119" s="10">
        <f>Github!G$109</f>
        <v>343</v>
      </c>
      <c r="E119" s="10">
        <f>Github!F$109+Github!G$109</f>
        <v>6270</v>
      </c>
      <c r="F119" s="12">
        <f t="shared" si="1"/>
        <v>17.28</v>
      </c>
      <c r="G119" s="10" t="str">
        <f>Github!H$109</f>
        <v>Algorithms</v>
      </c>
      <c r="H119" s="13" t="str">
        <f>SUBSTITUTE(Github!L$109, ";", ", ")</f>
        <v>Array, Divide and Conquer, Tree, Binary Search Tree, Binary Tree, </v>
      </c>
      <c r="I119" s="10" t="str">
        <f>Github!E$109</f>
        <v>Easy</v>
      </c>
      <c r="J119" s="10" t="str">
        <f>IF(TRIM(Github!D$109)="TRUE","FALSE","TRUE")</f>
        <v>TRUE</v>
      </c>
      <c r="K119" s="10" t="b">
        <f>Github!M$109</f>
        <v>1</v>
      </c>
      <c r="L119" s="10" t="b">
        <f>Github!N$109</f>
        <v>0</v>
      </c>
      <c r="M119" s="10" t="str">
        <f>ROUND(Github!O$109, 2)&amp;"%"</f>
        <v>65.54%</v>
      </c>
      <c r="N119" s="10">
        <f>Github!P$109</f>
        <v>704012</v>
      </c>
      <c r="O119" s="10">
        <f>Github!Q$109</f>
        <v>1074179</v>
      </c>
    </row>
    <row r="120">
      <c r="A120" s="10">
        <f>Github!J$231</f>
        <v>230</v>
      </c>
      <c r="B120" s="11" t="str">
        <f>HYPERLINK(CONCAT("http://leetcode.com/problems/",Github!C$231), Github!B$231)</f>
        <v>Kth Smallest Element in a BST</v>
      </c>
      <c r="C120" s="10">
        <f>Github!F$231</f>
        <v>5908</v>
      </c>
      <c r="D120" s="10">
        <f>Github!G$231</f>
        <v>116</v>
      </c>
      <c r="E120" s="10">
        <f>Github!F$231+Github!G$231</f>
        <v>6024</v>
      </c>
      <c r="F120" s="12">
        <f t="shared" si="1"/>
        <v>50.93</v>
      </c>
      <c r="G120" s="10" t="str">
        <f>Github!H$231</f>
        <v>Algorithms</v>
      </c>
      <c r="H120" s="13" t="str">
        <f>SUBSTITUTE(Github!L$231, ";", ", ")</f>
        <v>Tree, Depth-First Search, Binary Search Tree, Binary Tree, </v>
      </c>
      <c r="I120" s="10" t="str">
        <f>Github!E$231</f>
        <v>Medium</v>
      </c>
      <c r="J120" s="10" t="str">
        <f>IF(TRIM(Github!D$231)="TRUE","FALSE","TRUE")</f>
        <v>TRUE</v>
      </c>
      <c r="K120" s="10" t="b">
        <f>Github!M$231</f>
        <v>1</v>
      </c>
      <c r="L120" s="10" t="b">
        <f>Github!N$231</f>
        <v>0</v>
      </c>
      <c r="M120" s="10" t="str">
        <f>ROUND(Github!O$231, 2)&amp;"%"</f>
        <v>66.31%</v>
      </c>
      <c r="N120" s="10">
        <f>Github!P$231</f>
        <v>709648</v>
      </c>
      <c r="O120" s="10">
        <f>Github!Q$231</f>
        <v>1070168</v>
      </c>
    </row>
    <row r="121">
      <c r="A121" s="10">
        <f>Github!J$1144</f>
        <v>1143</v>
      </c>
      <c r="B121" s="11" t="str">
        <f>HYPERLINK(CONCAT("http://leetcode.com/problems/",Github!C$1144), Github!B$1144)</f>
        <v>Longest Common Subsequence</v>
      </c>
      <c r="C121" s="10">
        <f>Github!F$1144</f>
        <v>5883</v>
      </c>
      <c r="D121" s="10">
        <f>Github!G$1144</f>
        <v>65</v>
      </c>
      <c r="E121" s="10">
        <f>Github!F$1144+Github!G$1144</f>
        <v>5948</v>
      </c>
      <c r="F121" s="12">
        <f t="shared" si="1"/>
        <v>90.51</v>
      </c>
      <c r="G121" s="10" t="str">
        <f>Github!H$1144</f>
        <v>Algorithms</v>
      </c>
      <c r="H121" s="13" t="str">
        <f>SUBSTITUTE(Github!L$1144, ";", ", ")</f>
        <v>String, Dynamic Programming, </v>
      </c>
      <c r="I121" s="10" t="str">
        <f>Github!E$1144</f>
        <v>Medium</v>
      </c>
      <c r="J121" s="10" t="str">
        <f>IF(TRIM(Github!D$1144)="TRUE","FALSE","TRUE")</f>
        <v>TRUE</v>
      </c>
      <c r="K121" s="10" t="b">
        <f>Github!M$1144</f>
        <v>1</v>
      </c>
      <c r="L121" s="10" t="b">
        <f>Github!N$1144</f>
        <v>0</v>
      </c>
      <c r="M121" s="10" t="str">
        <f>ROUND(Github!O$1144, 2)&amp;"%"</f>
        <v>58.87%</v>
      </c>
      <c r="N121" s="10">
        <f>Github!P$1144</f>
        <v>370279</v>
      </c>
      <c r="O121" s="10">
        <f>Github!Q$1144</f>
        <v>628931</v>
      </c>
    </row>
    <row r="122">
      <c r="A122" s="10">
        <f>Github!J$403</f>
        <v>402</v>
      </c>
      <c r="B122" s="11" t="str">
        <f>HYPERLINK(CONCAT("http://leetcode.com/problems/",Github!C$403), Github!B$403)</f>
        <v>Remove K Digits</v>
      </c>
      <c r="C122" s="10">
        <f>Github!F$403</f>
        <v>5830</v>
      </c>
      <c r="D122" s="10">
        <f>Github!G$403</f>
        <v>243</v>
      </c>
      <c r="E122" s="10">
        <f>Github!F$403+Github!G$403</f>
        <v>6073</v>
      </c>
      <c r="F122" s="12">
        <f t="shared" si="1"/>
        <v>23.99</v>
      </c>
      <c r="G122" s="10" t="str">
        <f>Github!H$403</f>
        <v>Algorithms</v>
      </c>
      <c r="H122" s="13" t="str">
        <f>SUBSTITUTE(Github!L$403, ";", ", ")</f>
        <v>String, Stack, Greedy, Monotonic Stack, </v>
      </c>
      <c r="I122" s="10" t="str">
        <f>Github!E$403</f>
        <v>Medium</v>
      </c>
      <c r="J122" s="10" t="str">
        <f>IF(TRIM(Github!D$403)="TRUE","FALSE","TRUE")</f>
        <v>TRUE</v>
      </c>
      <c r="K122" s="10" t="b">
        <f>Github!M$403</f>
        <v>1</v>
      </c>
      <c r="L122" s="10" t="b">
        <f>Github!N$403</f>
        <v>0</v>
      </c>
      <c r="M122" s="10" t="str">
        <f>ROUND(Github!O$403, 2)&amp;"%"</f>
        <v>30.47%</v>
      </c>
      <c r="N122" s="10">
        <f>Github!P$403</f>
        <v>253412</v>
      </c>
      <c r="O122" s="10">
        <f>Github!Q$403</f>
        <v>831595</v>
      </c>
    </row>
    <row r="123">
      <c r="A123" s="10">
        <f>Github!J$443</f>
        <v>442</v>
      </c>
      <c r="B123" s="11" t="str">
        <f>HYPERLINK(CONCAT("http://leetcode.com/problems/",Github!C$443), Github!B$443)</f>
        <v>Find All Duplicates in an Array</v>
      </c>
      <c r="C123" s="10">
        <f>Github!F$443</f>
        <v>5820</v>
      </c>
      <c r="D123" s="10">
        <f>Github!G$443</f>
        <v>242</v>
      </c>
      <c r="E123" s="10">
        <f>Github!F$443+Github!G$443</f>
        <v>6062</v>
      </c>
      <c r="F123" s="12">
        <f t="shared" si="1"/>
        <v>24.05</v>
      </c>
      <c r="G123" s="10" t="str">
        <f>Github!H$443</f>
        <v>Algorithms</v>
      </c>
      <c r="H123" s="13" t="str">
        <f>SUBSTITUTE(Github!L$443, ";", ", ")</f>
        <v>Array, Hash Table, </v>
      </c>
      <c r="I123" s="10" t="str">
        <f>Github!E$443</f>
        <v>Medium</v>
      </c>
      <c r="J123" s="10" t="str">
        <f>IF(TRIM(Github!D$443)="TRUE","FALSE","TRUE")</f>
        <v>TRUE</v>
      </c>
      <c r="K123" s="10" t="b">
        <f>Github!M$443</f>
        <v>1</v>
      </c>
      <c r="L123" s="10" t="b">
        <f>Github!N$443</f>
        <v>0</v>
      </c>
      <c r="M123" s="10" t="str">
        <f>ROUND(Github!O$443, 2)&amp;"%"</f>
        <v>72.16%</v>
      </c>
      <c r="N123" s="10">
        <f>Github!P$443</f>
        <v>380789</v>
      </c>
      <c r="O123" s="10">
        <f>Github!Q$443</f>
        <v>527710</v>
      </c>
    </row>
    <row r="124">
      <c r="A124" s="10">
        <f>Github!J$864</f>
        <v>863</v>
      </c>
      <c r="B124" s="11" t="str">
        <f>HYPERLINK(CONCAT("http://leetcode.com/problems/",Github!C$864), Github!B$864)</f>
        <v>All Nodes Distance K in Binary Tree</v>
      </c>
      <c r="C124" s="10">
        <f>Github!F$864</f>
        <v>5808</v>
      </c>
      <c r="D124" s="10">
        <f>Github!G$864</f>
        <v>122</v>
      </c>
      <c r="E124" s="10">
        <f>Github!F$864+Github!G$864</f>
        <v>5930</v>
      </c>
      <c r="F124" s="12">
        <f t="shared" si="1"/>
        <v>47.61</v>
      </c>
      <c r="G124" s="10" t="str">
        <f>Github!H$864</f>
        <v>Algorithms</v>
      </c>
      <c r="H124" s="13" t="str">
        <f>SUBSTITUTE(Github!L$864, ";", ", ")</f>
        <v>Tree, Depth-First Search, Breadth-First Search, Binary Tree, </v>
      </c>
      <c r="I124" s="10" t="str">
        <f>Github!E$864</f>
        <v>Medium</v>
      </c>
      <c r="J124" s="10" t="str">
        <f>IF(TRIM(Github!D$864)="TRUE","FALSE","TRUE")</f>
        <v>TRUE</v>
      </c>
      <c r="K124" s="10" t="b">
        <f>Github!M$864</f>
        <v>1</v>
      </c>
      <c r="L124" s="10" t="b">
        <f>Github!N$864</f>
        <v>0</v>
      </c>
      <c r="M124" s="10" t="str">
        <f>ROUND(Github!O$864, 2)&amp;"%"</f>
        <v>60.77%</v>
      </c>
      <c r="N124" s="10">
        <f>Github!P$864</f>
        <v>216230</v>
      </c>
      <c r="O124" s="10">
        <f>Github!Q$864</f>
        <v>355794</v>
      </c>
    </row>
    <row r="125">
      <c r="A125" s="10">
        <f>Github!J$19</f>
        <v>18</v>
      </c>
      <c r="B125" s="11" t="str">
        <f>HYPERLINK(CONCAT("http://leetcode.com/problems/",Github!C$19), Github!B$19)</f>
        <v>4Sum</v>
      </c>
      <c r="C125" s="10">
        <f>Github!F$19</f>
        <v>5759</v>
      </c>
      <c r="D125" s="10">
        <f>Github!G$19</f>
        <v>656</v>
      </c>
      <c r="E125" s="10">
        <f>Github!F$19+Github!G$19</f>
        <v>6415</v>
      </c>
      <c r="F125" s="12">
        <f t="shared" si="1"/>
        <v>8.78</v>
      </c>
      <c r="G125" s="10" t="str">
        <f>Github!H$19</f>
        <v>Algorithms</v>
      </c>
      <c r="H125" s="13" t="str">
        <f>SUBSTITUTE(Github!L$19, ";", ", ")</f>
        <v>Array, Two Pointers, Sorting, </v>
      </c>
      <c r="I125" s="10" t="str">
        <f>Github!E$19</f>
        <v>Medium</v>
      </c>
      <c r="J125" s="10" t="str">
        <f>IF(TRIM(Github!D$19)="TRUE","FALSE","TRUE")</f>
        <v>TRUE</v>
      </c>
      <c r="K125" s="10" t="b">
        <f>Github!M$19</f>
        <v>1</v>
      </c>
      <c r="L125" s="10" t="b">
        <f>Github!N$19</f>
        <v>0</v>
      </c>
      <c r="M125" s="10" t="str">
        <f>ROUND(Github!O$19, 2)&amp;"%"</f>
        <v>37.09%</v>
      </c>
      <c r="N125" s="10">
        <f>Github!P$19</f>
        <v>552715</v>
      </c>
      <c r="O125" s="10">
        <f>Github!Q$19</f>
        <v>1490162</v>
      </c>
    </row>
    <row r="126">
      <c r="A126" s="10">
        <f>Github!J$93</f>
        <v>92</v>
      </c>
      <c r="B126" s="11" t="str">
        <f>HYPERLINK(CONCAT("http://leetcode.com/problems/",Github!C$93), Github!B$93)</f>
        <v>Reverse Linked List II</v>
      </c>
      <c r="C126" s="10">
        <f>Github!F$93</f>
        <v>5731</v>
      </c>
      <c r="D126" s="10">
        <f>Github!G$93</f>
        <v>271</v>
      </c>
      <c r="E126" s="10">
        <f>Github!F$93+Github!G$93</f>
        <v>6002</v>
      </c>
      <c r="F126" s="12">
        <f t="shared" si="1"/>
        <v>21.15</v>
      </c>
      <c r="G126" s="10" t="str">
        <f>Github!H$93</f>
        <v>Algorithms</v>
      </c>
      <c r="H126" s="13" t="str">
        <f>SUBSTITUTE(Github!L$93, ";", ", ")</f>
        <v>Linked List, </v>
      </c>
      <c r="I126" s="10" t="str">
        <f>Github!E$93</f>
        <v>Medium</v>
      </c>
      <c r="J126" s="10" t="str">
        <f>IF(TRIM(Github!D$93)="TRUE","FALSE","TRUE")</f>
        <v>TRUE</v>
      </c>
      <c r="K126" s="10" t="b">
        <f>Github!M$93</f>
        <v>1</v>
      </c>
      <c r="L126" s="10" t="b">
        <f>Github!N$93</f>
        <v>0</v>
      </c>
      <c r="M126" s="10" t="str">
        <f>ROUND(Github!O$93, 2)&amp;"%"</f>
        <v>43.15%</v>
      </c>
      <c r="N126" s="10">
        <f>Github!P$93</f>
        <v>459385</v>
      </c>
      <c r="O126" s="10">
        <f>Github!Q$93</f>
        <v>1064554</v>
      </c>
    </row>
    <row r="127">
      <c r="A127" s="10">
        <f>Github!J$313</f>
        <v>312</v>
      </c>
      <c r="B127" s="11" t="str">
        <f>HYPERLINK(CONCAT("http://leetcode.com/problems/",Github!C$313), Github!B$313)</f>
        <v>Burst Balloons</v>
      </c>
      <c r="C127" s="10">
        <f>Github!F$313</f>
        <v>5666</v>
      </c>
      <c r="D127" s="10">
        <f>Github!G$313</f>
        <v>154</v>
      </c>
      <c r="E127" s="10">
        <f>Github!F$313+Github!G$313</f>
        <v>5820</v>
      </c>
      <c r="F127" s="12">
        <f t="shared" si="1"/>
        <v>36.79</v>
      </c>
      <c r="G127" s="10" t="str">
        <f>Github!H$313</f>
        <v>Algorithms</v>
      </c>
      <c r="H127" s="13" t="str">
        <f>SUBSTITUTE(Github!L$313, ";", ", ")</f>
        <v>Array, Dynamic Programming, </v>
      </c>
      <c r="I127" s="10" t="str">
        <f>Github!E$313</f>
        <v>Hard</v>
      </c>
      <c r="J127" s="10" t="str">
        <f>IF(TRIM(Github!D$313)="TRUE","FALSE","TRUE")</f>
        <v>TRUE</v>
      </c>
      <c r="K127" s="10" t="b">
        <f>Github!M$313</f>
        <v>1</v>
      </c>
      <c r="L127" s="10" t="b">
        <f>Github!N$313</f>
        <v>0</v>
      </c>
      <c r="M127" s="10" t="str">
        <f>ROUND(Github!O$313, 2)&amp;"%"</f>
        <v>56.17%</v>
      </c>
      <c r="N127" s="10">
        <f>Github!P$313</f>
        <v>179349</v>
      </c>
      <c r="O127" s="10">
        <f>Github!Q$313</f>
        <v>319320</v>
      </c>
    </row>
    <row r="128">
      <c r="A128" s="10">
        <f>Github!J$213</f>
        <v>212</v>
      </c>
      <c r="B128" s="11" t="str">
        <f>HYPERLINK(CONCAT("http://leetcode.com/problems/",Github!C$213), Github!B$213)</f>
        <v>Word Search II</v>
      </c>
      <c r="C128" s="10">
        <f>Github!F$213</f>
        <v>5653</v>
      </c>
      <c r="D128" s="10">
        <f>Github!G$213</f>
        <v>197</v>
      </c>
      <c r="E128" s="10">
        <f>Github!F$213+Github!G$213</f>
        <v>5850</v>
      </c>
      <c r="F128" s="12">
        <f t="shared" si="1"/>
        <v>28.7</v>
      </c>
      <c r="G128" s="10" t="str">
        <f>Github!H$213</f>
        <v>Algorithms</v>
      </c>
      <c r="H128" s="13" t="str">
        <f>SUBSTITUTE(Github!L$213, ";", ", ")</f>
        <v>Array, String, Backtracking, Trie, Matrix, </v>
      </c>
      <c r="I128" s="10" t="str">
        <f>Github!E$213</f>
        <v>Hard</v>
      </c>
      <c r="J128" s="10" t="str">
        <f>IF(TRIM(Github!D$213)="TRUE","FALSE","TRUE")</f>
        <v>TRUE</v>
      </c>
      <c r="K128" s="10" t="b">
        <f>Github!M$213</f>
        <v>1</v>
      </c>
      <c r="L128" s="10" t="b">
        <f>Github!N$213</f>
        <v>0</v>
      </c>
      <c r="M128" s="10" t="str">
        <f>ROUND(Github!O$213, 2)&amp;"%"</f>
        <v>38.29%</v>
      </c>
      <c r="N128" s="10">
        <f>Github!P$213</f>
        <v>414190</v>
      </c>
      <c r="O128" s="10">
        <f>Github!Q$213</f>
        <v>1081761</v>
      </c>
    </row>
    <row r="129">
      <c r="A129" s="10">
        <f>Github!J$163</f>
        <v>162</v>
      </c>
      <c r="B129" s="11" t="str">
        <f>HYPERLINK(CONCAT("http://leetcode.com/problems/",Github!C$163), Github!B$163)</f>
        <v>Find Peak Element</v>
      </c>
      <c r="C129" s="10">
        <f>Github!F$163</f>
        <v>5533</v>
      </c>
      <c r="D129" s="10">
        <f>Github!G$163</f>
        <v>3570</v>
      </c>
      <c r="E129" s="10">
        <f>Github!F$163+Github!G$163</f>
        <v>9103</v>
      </c>
      <c r="F129" s="12">
        <f t="shared" si="1"/>
        <v>1.55</v>
      </c>
      <c r="G129" s="10" t="str">
        <f>Github!H$163</f>
        <v>Algorithms</v>
      </c>
      <c r="H129" s="13" t="str">
        <f>SUBSTITUTE(Github!L$163, ";", ", ")</f>
        <v>Array, Binary Search, </v>
      </c>
      <c r="I129" s="10" t="str">
        <f>Github!E$163</f>
        <v>Medium</v>
      </c>
      <c r="J129" s="10" t="str">
        <f>IF(TRIM(Github!D$163)="TRUE","FALSE","TRUE")</f>
        <v>TRUE</v>
      </c>
      <c r="K129" s="10" t="b">
        <f>Github!M$163</f>
        <v>1</v>
      </c>
      <c r="L129" s="10" t="b">
        <f>Github!N$163</f>
        <v>0</v>
      </c>
      <c r="M129" s="10" t="str">
        <f>ROUND(Github!O$163, 2)&amp;"%"</f>
        <v>45.73%</v>
      </c>
      <c r="N129" s="10">
        <f>Github!P$163</f>
        <v>733863</v>
      </c>
      <c r="O129" s="10">
        <f>Github!Q$163</f>
        <v>1604656</v>
      </c>
    </row>
    <row r="130">
      <c r="A130" s="10">
        <f>Github!J$379</f>
        <v>378</v>
      </c>
      <c r="B130" s="11" t="str">
        <f>HYPERLINK(CONCAT("http://leetcode.com/problems/",Github!C$379), Github!B$379)</f>
        <v>Kth Smallest Element in a Sorted Matrix</v>
      </c>
      <c r="C130" s="10">
        <f>Github!F$379</f>
        <v>5509</v>
      </c>
      <c r="D130" s="10">
        <f>Github!G$379</f>
        <v>230</v>
      </c>
      <c r="E130" s="10">
        <f>Github!F$379+Github!G$379</f>
        <v>5739</v>
      </c>
      <c r="F130" s="12">
        <f t="shared" si="1"/>
        <v>23.95</v>
      </c>
      <c r="G130" s="10" t="str">
        <f>Github!H$379</f>
        <v>Algorithms</v>
      </c>
      <c r="H130" s="13" t="str">
        <f>SUBSTITUTE(Github!L$379, ";", ", ")</f>
        <v>Array, Binary Search, Sorting, Heap (Priority Queue), Matrix, </v>
      </c>
      <c r="I130" s="10" t="str">
        <f>Github!E$379</f>
        <v>Medium</v>
      </c>
      <c r="J130" s="10" t="str">
        <f>IF(TRIM(Github!D$379)="TRUE","FALSE","TRUE")</f>
        <v>TRUE</v>
      </c>
      <c r="K130" s="10" t="b">
        <f>Github!M$379</f>
        <v>1</v>
      </c>
      <c r="L130" s="10" t="b">
        <f>Github!N$379</f>
        <v>0</v>
      </c>
      <c r="M130" s="10" t="str">
        <f>ROUND(Github!O$379, 2)&amp;"%"</f>
        <v>59.34%</v>
      </c>
      <c r="N130" s="10">
        <f>Github!P$379</f>
        <v>365538</v>
      </c>
      <c r="O130" s="10">
        <f>Github!Q$379</f>
        <v>615957</v>
      </c>
    </row>
    <row r="131">
      <c r="A131" s="10">
        <f>Github!J$135</f>
        <v>134</v>
      </c>
      <c r="B131" s="11" t="str">
        <f>HYPERLINK(CONCAT("http://leetcode.com/problems/",Github!C$135), Github!B$135)</f>
        <v>Gas Station</v>
      </c>
      <c r="C131" s="10">
        <f>Github!F$135</f>
        <v>5507</v>
      </c>
      <c r="D131" s="10">
        <f>Github!G$135</f>
        <v>582</v>
      </c>
      <c r="E131" s="10">
        <f>Github!F$135+Github!G$135</f>
        <v>6089</v>
      </c>
      <c r="F131" s="12">
        <f t="shared" si="1"/>
        <v>9.46</v>
      </c>
      <c r="G131" s="10" t="str">
        <f>Github!H$135</f>
        <v>Algorithms</v>
      </c>
      <c r="H131" s="13" t="str">
        <f>SUBSTITUTE(Github!L$135, ";", ", ")</f>
        <v>Array, Greedy, </v>
      </c>
      <c r="I131" s="10" t="str">
        <f>Github!E$135</f>
        <v>Medium</v>
      </c>
      <c r="J131" s="10" t="str">
        <f>IF(TRIM(Github!D$135)="TRUE","FALSE","TRUE")</f>
        <v>TRUE</v>
      </c>
      <c r="K131" s="10" t="b">
        <f>Github!M$135</f>
        <v>1</v>
      </c>
      <c r="L131" s="10" t="b">
        <f>Github!N$135</f>
        <v>0</v>
      </c>
      <c r="M131" s="10" t="str">
        <f>ROUND(Github!O$135, 2)&amp;"%"</f>
        <v>44.36%</v>
      </c>
      <c r="N131" s="10">
        <f>Github!P$135</f>
        <v>389337</v>
      </c>
      <c r="O131" s="10">
        <f>Github!Q$135</f>
        <v>877749</v>
      </c>
    </row>
    <row r="132">
      <c r="A132" s="10">
        <f>Github!J$696</f>
        <v>695</v>
      </c>
      <c r="B132" s="11" t="str">
        <f>HYPERLINK(CONCAT("http://leetcode.com/problems/",Github!C$696), Github!B$696)</f>
        <v>Max Area of Island</v>
      </c>
      <c r="C132" s="10">
        <f>Github!F$696</f>
        <v>5504</v>
      </c>
      <c r="D132" s="10">
        <f>Github!G$696</f>
        <v>142</v>
      </c>
      <c r="E132" s="10">
        <f>Github!F$696+Github!G$696</f>
        <v>5646</v>
      </c>
      <c r="F132" s="12">
        <f t="shared" si="1"/>
        <v>38.76</v>
      </c>
      <c r="G132" s="10" t="str">
        <f>Github!H$696</f>
        <v>Algorithms</v>
      </c>
      <c r="H132" s="13" t="str">
        <f>SUBSTITUTE(Github!L$696, ";", ", ")</f>
        <v>Array, Depth-First Search, Breadth-First Search, Union Find, Matrix, </v>
      </c>
      <c r="I132" s="10" t="str">
        <f>Github!E$696</f>
        <v>Medium</v>
      </c>
      <c r="J132" s="10" t="str">
        <f>IF(TRIM(Github!D$696)="TRUE","FALSE","TRUE")</f>
        <v>TRUE</v>
      </c>
      <c r="K132" s="10" t="b">
        <f>Github!M$696</f>
        <v>1</v>
      </c>
      <c r="L132" s="10" t="b">
        <f>Github!N$696</f>
        <v>0</v>
      </c>
      <c r="M132" s="10" t="str">
        <f>ROUND(Github!O$696, 2)&amp;"%"</f>
        <v>69.18%</v>
      </c>
      <c r="N132" s="10">
        <f>Github!P$696</f>
        <v>427582</v>
      </c>
      <c r="O132" s="10">
        <f>Github!Q$696</f>
        <v>618077</v>
      </c>
    </row>
    <row r="133">
      <c r="A133" s="10">
        <f>Github!J$747</f>
        <v>746</v>
      </c>
      <c r="B133" s="11" t="str">
        <f>HYPERLINK(CONCAT("http://leetcode.com/problems/",Github!C$747), Github!B$747)</f>
        <v>Min Cost Climbing Stairs</v>
      </c>
      <c r="C133" s="10">
        <f>Github!F$747</f>
        <v>5493</v>
      </c>
      <c r="D133" s="10">
        <f>Github!G$747</f>
        <v>961</v>
      </c>
      <c r="E133" s="10">
        <f>Github!F$747+Github!G$747</f>
        <v>6454</v>
      </c>
      <c r="F133" s="12">
        <f t="shared" si="1"/>
        <v>5.72</v>
      </c>
      <c r="G133" s="10" t="str">
        <f>Github!H$747</f>
        <v>Algorithms</v>
      </c>
      <c r="H133" s="13" t="str">
        <f>SUBSTITUTE(Github!L$747, ";", ", ")</f>
        <v>Array, Dynamic Programming, </v>
      </c>
      <c r="I133" s="10" t="str">
        <f>Github!E$747</f>
        <v>Easy</v>
      </c>
      <c r="J133" s="10" t="str">
        <f>IF(TRIM(Github!D$747)="TRUE","FALSE","TRUE")</f>
        <v>TRUE</v>
      </c>
      <c r="K133" s="10" t="b">
        <f>Github!M$747</f>
        <v>1</v>
      </c>
      <c r="L133" s="10" t="b">
        <f>Github!N$747</f>
        <v>0</v>
      </c>
      <c r="M133" s="10" t="str">
        <f>ROUND(Github!O$747, 2)&amp;"%"</f>
        <v>58.17%</v>
      </c>
      <c r="N133" s="10">
        <f>Github!P$747</f>
        <v>427861</v>
      </c>
      <c r="O133" s="10">
        <f>Github!Q$747</f>
        <v>735506</v>
      </c>
    </row>
    <row r="134">
      <c r="A134" s="10">
        <f>Github!J$144</f>
        <v>143</v>
      </c>
      <c r="B134" s="11" t="str">
        <f>HYPERLINK(CONCAT("http://leetcode.com/problems/",Github!C$144), Github!B$144)</f>
        <v>Reorder List</v>
      </c>
      <c r="C134" s="10">
        <f>Github!F$144</f>
        <v>5458</v>
      </c>
      <c r="D134" s="10">
        <f>Github!G$144</f>
        <v>202</v>
      </c>
      <c r="E134" s="10">
        <f>Github!F$144+Github!G$144</f>
        <v>5660</v>
      </c>
      <c r="F134" s="12">
        <f t="shared" si="1"/>
        <v>27.02</v>
      </c>
      <c r="G134" s="10" t="str">
        <f>Github!H$144</f>
        <v>Algorithms</v>
      </c>
      <c r="H134" s="13" t="str">
        <f>SUBSTITUTE(Github!L$144, ";", ", ")</f>
        <v>Linked List, Two Pointers, Stack, Recursion, </v>
      </c>
      <c r="I134" s="10" t="str">
        <f>Github!E$144</f>
        <v>Medium</v>
      </c>
      <c r="J134" s="10" t="str">
        <f>IF(TRIM(Github!D$144)="TRUE","FALSE","TRUE")</f>
        <v>TRUE</v>
      </c>
      <c r="K134" s="10" t="b">
        <f>Github!M$144</f>
        <v>1</v>
      </c>
      <c r="L134" s="10" t="b">
        <f>Github!N$144</f>
        <v>0</v>
      </c>
      <c r="M134" s="10" t="str">
        <f>ROUND(Github!O$144, 2)&amp;"%"</f>
        <v>47.09%</v>
      </c>
      <c r="N134" s="10">
        <f>Github!P$144</f>
        <v>452150</v>
      </c>
      <c r="O134" s="10">
        <f>Github!Q$144</f>
        <v>960240</v>
      </c>
    </row>
    <row r="135">
      <c r="A135" s="10">
        <f>Github!J$124</f>
        <v>123</v>
      </c>
      <c r="B135" s="11" t="str">
        <f>HYPERLINK(CONCAT("http://leetcode.com/problems/",Github!C$124), Github!B$124)</f>
        <v>Best Time to Buy and Sell Stock III</v>
      </c>
      <c r="C135" s="10">
        <f>Github!F$124</f>
        <v>5452</v>
      </c>
      <c r="D135" s="10">
        <f>Github!G$124</f>
        <v>114</v>
      </c>
      <c r="E135" s="10">
        <f>Github!F$124+Github!G$124</f>
        <v>5566</v>
      </c>
      <c r="F135" s="12">
        <f t="shared" si="1"/>
        <v>47.82</v>
      </c>
      <c r="G135" s="10" t="str">
        <f>Github!H$124</f>
        <v>Algorithms</v>
      </c>
      <c r="H135" s="13" t="str">
        <f>SUBSTITUTE(Github!L$124, ";", ", ")</f>
        <v>Array, Dynamic Programming, </v>
      </c>
      <c r="I135" s="10" t="str">
        <f>Github!E$124</f>
        <v>Hard</v>
      </c>
      <c r="J135" s="10" t="str">
        <f>IF(TRIM(Github!D$124)="TRUE","FALSE","TRUE")</f>
        <v>TRUE</v>
      </c>
      <c r="K135" s="10" t="b">
        <f>Github!M$124</f>
        <v>1</v>
      </c>
      <c r="L135" s="10" t="b">
        <f>Github!N$124</f>
        <v>0</v>
      </c>
      <c r="M135" s="10" t="str">
        <f>ROUND(Github!O$124, 2)&amp;"%"</f>
        <v>42.85%</v>
      </c>
      <c r="N135" s="10">
        <f>Github!P$124</f>
        <v>366596</v>
      </c>
      <c r="O135" s="10">
        <f>Github!Q$124</f>
        <v>855475</v>
      </c>
    </row>
    <row r="136">
      <c r="A136" s="10">
        <f>Github!J$104</f>
        <v>103</v>
      </c>
      <c r="B136" s="11" t="str">
        <f>HYPERLINK(CONCAT("http://leetcode.com/problems/",Github!C$104), Github!B$104)</f>
        <v>Binary Tree Zigzag Level Order Traversal</v>
      </c>
      <c r="C136" s="10">
        <f>Github!F$104</f>
        <v>5430</v>
      </c>
      <c r="D136" s="10">
        <f>Github!G$104</f>
        <v>167</v>
      </c>
      <c r="E136" s="10">
        <f>Github!F$104+Github!G$104</f>
        <v>5597</v>
      </c>
      <c r="F136" s="12">
        <f t="shared" si="1"/>
        <v>32.51</v>
      </c>
      <c r="G136" s="10" t="str">
        <f>Github!H$104</f>
        <v>Algorithms</v>
      </c>
      <c r="H136" s="13" t="str">
        <f>SUBSTITUTE(Github!L$104, ";", ", ")</f>
        <v>Tree, Breadth-First Search, Binary Tree, </v>
      </c>
      <c r="I136" s="10" t="str">
        <f>Github!E$104</f>
        <v>Medium</v>
      </c>
      <c r="J136" s="10" t="str">
        <f>IF(TRIM(Github!D$104)="TRUE","FALSE","TRUE")</f>
        <v>TRUE</v>
      </c>
      <c r="K136" s="10" t="b">
        <f>Github!M$104</f>
        <v>1</v>
      </c>
      <c r="L136" s="10" t="b">
        <f>Github!N$104</f>
        <v>0</v>
      </c>
      <c r="M136" s="10" t="str">
        <f>ROUND(Github!O$104, 2)&amp;"%"</f>
        <v>53.2%</v>
      </c>
      <c r="N136" s="10">
        <f>Github!P$104</f>
        <v>672658</v>
      </c>
      <c r="O136" s="10">
        <f>Github!Q$104</f>
        <v>1264306</v>
      </c>
    </row>
    <row r="137">
      <c r="A137" s="10">
        <f>Github!J$17</f>
        <v>16</v>
      </c>
      <c r="B137" s="11" t="str">
        <f>HYPERLINK(CONCAT("http://leetcode.com/problems/",Github!C$17), Github!B$17)</f>
        <v>3Sum Closest</v>
      </c>
      <c r="C137" s="10">
        <f>Github!F$17</f>
        <v>5428</v>
      </c>
      <c r="D137" s="10">
        <f>Github!G$17</f>
        <v>235</v>
      </c>
      <c r="E137" s="10">
        <f>Github!F$17+Github!G$17</f>
        <v>5663</v>
      </c>
      <c r="F137" s="12">
        <f t="shared" si="1"/>
        <v>23.1</v>
      </c>
      <c r="G137" s="10" t="str">
        <f>Github!H$17</f>
        <v>Algorithms</v>
      </c>
      <c r="H137" s="13" t="str">
        <f>SUBSTITUTE(Github!L$17, ";", ", ")</f>
        <v>Array, Two Pointers, Sorting, </v>
      </c>
      <c r="I137" s="10" t="str">
        <f>Github!E$17</f>
        <v>Medium</v>
      </c>
      <c r="J137" s="10" t="str">
        <f>IF(TRIM(Github!D$17)="TRUE","FALSE","TRUE")</f>
        <v>TRUE</v>
      </c>
      <c r="K137" s="10" t="b">
        <f>Github!M$17</f>
        <v>1</v>
      </c>
      <c r="L137" s="10" t="b">
        <f>Github!N$17</f>
        <v>0</v>
      </c>
      <c r="M137" s="10" t="str">
        <f>ROUND(Github!O$17, 2)&amp;"%"</f>
        <v>47.05%</v>
      </c>
      <c r="N137" s="10">
        <f>Github!P$17</f>
        <v>762835</v>
      </c>
      <c r="O137" s="10">
        <f>Github!Q$17</f>
        <v>1621211</v>
      </c>
    </row>
    <row r="138">
      <c r="A138" s="10">
        <f>Github!J$568</f>
        <v>567</v>
      </c>
      <c r="B138" s="11" t="str">
        <f>HYPERLINK(CONCAT("http://leetcode.com/problems/",Github!C$568), Github!B$568)</f>
        <v>Permutation in String</v>
      </c>
      <c r="C138" s="10">
        <f>Github!F$568</f>
        <v>5422</v>
      </c>
      <c r="D138" s="10">
        <f>Github!G$568</f>
        <v>156</v>
      </c>
      <c r="E138" s="10">
        <f>Github!F$568+Github!G$568</f>
        <v>5578</v>
      </c>
      <c r="F138" s="12">
        <f t="shared" si="1"/>
        <v>34.76</v>
      </c>
      <c r="G138" s="10" t="str">
        <f>Github!H$568</f>
        <v>Algorithms</v>
      </c>
      <c r="H138" s="13" t="str">
        <f>SUBSTITUTE(Github!L$568, ";", ", ")</f>
        <v>Hash Table, Two Pointers, String, Sliding Window, </v>
      </c>
      <c r="I138" s="10" t="str">
        <f>Github!E$568</f>
        <v>Medium</v>
      </c>
      <c r="J138" s="10" t="str">
        <f>IF(TRIM(Github!D$568)="TRUE","FALSE","TRUE")</f>
        <v>TRUE</v>
      </c>
      <c r="K138" s="10" t="b">
        <f>Github!M$568</f>
        <v>1</v>
      </c>
      <c r="L138" s="10" t="b">
        <f>Github!N$568</f>
        <v>0</v>
      </c>
      <c r="M138" s="10" t="str">
        <f>ROUND(Github!O$568, 2)&amp;"%"</f>
        <v>45.01%</v>
      </c>
      <c r="N138" s="10">
        <f>Github!P$568</f>
        <v>350009</v>
      </c>
      <c r="O138" s="10">
        <f>Github!Q$568</f>
        <v>777692</v>
      </c>
    </row>
    <row r="139">
      <c r="A139" s="10">
        <f>Github!J$310</f>
        <v>309</v>
      </c>
      <c r="B139" s="11" t="str">
        <f>HYPERLINK(CONCAT("http://leetcode.com/problems/",Github!C$310), Github!B$310)</f>
        <v>Best Time to Buy and Sell Stock with Cooldown</v>
      </c>
      <c r="C139" s="10">
        <f>Github!F$310</f>
        <v>5399</v>
      </c>
      <c r="D139" s="10">
        <f>Github!G$310</f>
        <v>185</v>
      </c>
      <c r="E139" s="10">
        <f>Github!F$310+Github!G$310</f>
        <v>5584</v>
      </c>
      <c r="F139" s="12">
        <f t="shared" si="1"/>
        <v>29.18</v>
      </c>
      <c r="G139" s="10" t="str">
        <f>Github!H$310</f>
        <v>Algorithms</v>
      </c>
      <c r="H139" s="13" t="str">
        <f>SUBSTITUTE(Github!L$310, ";", ", ")</f>
        <v>Array, Dynamic Programming, </v>
      </c>
      <c r="I139" s="10" t="str">
        <f>Github!E$310</f>
        <v>Medium</v>
      </c>
      <c r="J139" s="10" t="str">
        <f>IF(TRIM(Github!D$310)="TRUE","FALSE","TRUE")</f>
        <v>TRUE</v>
      </c>
      <c r="K139" s="10" t="b">
        <f>Github!M$310</f>
        <v>1</v>
      </c>
      <c r="L139" s="10" t="b">
        <f>Github!N$310</f>
        <v>0</v>
      </c>
      <c r="M139" s="10" t="str">
        <f>ROUND(Github!O$310, 2)&amp;"%"</f>
        <v>51.99%</v>
      </c>
      <c r="N139" s="10">
        <f>Github!P$310</f>
        <v>263825</v>
      </c>
      <c r="O139" s="10">
        <f>Github!Q$310</f>
        <v>507406</v>
      </c>
    </row>
    <row r="140">
      <c r="A140" s="10">
        <f>Github!J$83</f>
        <v>82</v>
      </c>
      <c r="B140" s="11" t="str">
        <f>HYPERLINK(CONCAT("http://leetcode.com/problems/",Github!C$83), Github!B$83)</f>
        <v>Remove Duplicates from Sorted List II</v>
      </c>
      <c r="C140" s="10">
        <f>Github!F$83</f>
        <v>5401</v>
      </c>
      <c r="D140" s="10">
        <f>Github!G$83</f>
        <v>161</v>
      </c>
      <c r="E140" s="10">
        <f>Github!F$83+Github!G$83</f>
        <v>5562</v>
      </c>
      <c r="F140" s="12">
        <f t="shared" si="1"/>
        <v>33.55</v>
      </c>
      <c r="G140" s="10" t="str">
        <f>Github!H$83</f>
        <v>Algorithms</v>
      </c>
      <c r="H140" s="13" t="str">
        <f>SUBSTITUTE(Github!L$83, ";", ", ")</f>
        <v>Linked List, Two Pointers, </v>
      </c>
      <c r="I140" s="10" t="str">
        <f>Github!E$83</f>
        <v>Medium</v>
      </c>
      <c r="J140" s="10" t="str">
        <f>IF(TRIM(Github!D$83)="TRUE","FALSE","TRUE")</f>
        <v>TRUE</v>
      </c>
      <c r="K140" s="10" t="b">
        <f>Github!M$83</f>
        <v>1</v>
      </c>
      <c r="L140" s="10" t="b">
        <f>Github!N$83</f>
        <v>0</v>
      </c>
      <c r="M140" s="10" t="str">
        <f>ROUND(Github!O$83, 2)&amp;"%"</f>
        <v>43.93%</v>
      </c>
      <c r="N140" s="10">
        <f>Github!P$83</f>
        <v>466583</v>
      </c>
      <c r="O140" s="10">
        <f>Github!Q$83</f>
        <v>1062201</v>
      </c>
    </row>
    <row r="141">
      <c r="A141" s="10">
        <f>Github!J$134</f>
        <v>133</v>
      </c>
      <c r="B141" s="11" t="str">
        <f>HYPERLINK(CONCAT("http://leetcode.com/problems/",Github!C$134), Github!B$134)</f>
        <v>Clone Graph</v>
      </c>
      <c r="C141" s="10">
        <f>Github!F$134</f>
        <v>5344</v>
      </c>
      <c r="D141" s="10">
        <f>Github!G$134</f>
        <v>2390</v>
      </c>
      <c r="E141" s="10">
        <f>Github!F$134+Github!G$134</f>
        <v>7734</v>
      </c>
      <c r="F141" s="12">
        <f t="shared" si="1"/>
        <v>2.24</v>
      </c>
      <c r="G141" s="10" t="str">
        <f>Github!H$134</f>
        <v>Algorithms</v>
      </c>
      <c r="H141" s="13" t="str">
        <f>SUBSTITUTE(Github!L$134, ";", ", ")</f>
        <v>Hash Table, Depth-First Search, Breadth-First Search, Graph, </v>
      </c>
      <c r="I141" s="10" t="str">
        <f>Github!E$134</f>
        <v>Medium</v>
      </c>
      <c r="J141" s="10" t="str">
        <f>IF(TRIM(Github!D$134)="TRUE","FALSE","TRUE")</f>
        <v>TRUE</v>
      </c>
      <c r="K141" s="10" t="b">
        <f>Github!M$134</f>
        <v>1</v>
      </c>
      <c r="L141" s="10" t="b">
        <f>Github!N$134</f>
        <v>0</v>
      </c>
      <c r="M141" s="10" t="str">
        <f>ROUND(Github!O$134, 2)&amp;"%"</f>
        <v>46.82%</v>
      </c>
      <c r="N141" s="10">
        <f>Github!P$134</f>
        <v>674843</v>
      </c>
      <c r="O141" s="10">
        <f>Github!Q$134</f>
        <v>1441288</v>
      </c>
    </row>
    <row r="142">
      <c r="A142" s="10">
        <f>Github!J$52</f>
        <v>51</v>
      </c>
      <c r="B142" s="11" t="str">
        <f>HYPERLINK(CONCAT("http://leetcode.com/problems/",Github!C$52), Github!B$52)</f>
        <v>N-Queens</v>
      </c>
      <c r="C142" s="10">
        <f>Github!F$52</f>
        <v>5335</v>
      </c>
      <c r="D142" s="10">
        <f>Github!G$52</f>
        <v>145</v>
      </c>
      <c r="E142" s="10">
        <f>Github!F$52+Github!G$52</f>
        <v>5480</v>
      </c>
      <c r="F142" s="12">
        <f t="shared" si="1"/>
        <v>36.79</v>
      </c>
      <c r="G142" s="10" t="str">
        <f>Github!H$52</f>
        <v>Algorithms</v>
      </c>
      <c r="H142" s="13" t="str">
        <f>SUBSTITUTE(Github!L$52, ";", ", ")</f>
        <v>Array, Backtracking, </v>
      </c>
      <c r="I142" s="10" t="str">
        <f>Github!E$52</f>
        <v>Hard</v>
      </c>
      <c r="J142" s="10" t="str">
        <f>IF(TRIM(Github!D$52)="TRUE","FALSE","TRUE")</f>
        <v>TRUE</v>
      </c>
      <c r="K142" s="10" t="b">
        <f>Github!M$52</f>
        <v>1</v>
      </c>
      <c r="L142" s="10" t="b">
        <f>Github!N$52</f>
        <v>0</v>
      </c>
      <c r="M142" s="10" t="str">
        <f>ROUND(Github!O$52, 2)&amp;"%"</f>
        <v>56.63%</v>
      </c>
      <c r="N142" s="10">
        <f>Github!P$52</f>
        <v>347022</v>
      </c>
      <c r="O142" s="10">
        <f>Github!Q$52</f>
        <v>612829</v>
      </c>
    </row>
    <row r="143">
      <c r="A143" s="10">
        <f>Github!J$10</f>
        <v>9</v>
      </c>
      <c r="B143" s="11" t="str">
        <f>HYPERLINK(CONCAT("http://leetcode.com/problems/",Github!C$10), Github!B$10)</f>
        <v>Palindrome Number</v>
      </c>
      <c r="C143" s="10">
        <f>Github!F$10</f>
        <v>5322</v>
      </c>
      <c r="D143" s="10">
        <f>Github!G$10</f>
        <v>2056</v>
      </c>
      <c r="E143" s="10">
        <f>Github!F$10+Github!G$10</f>
        <v>7378</v>
      </c>
      <c r="F143" s="12">
        <f t="shared" si="1"/>
        <v>2.59</v>
      </c>
      <c r="G143" s="10" t="str">
        <f>Github!H$10</f>
        <v>Algorithms</v>
      </c>
      <c r="H143" s="13" t="str">
        <f>SUBSTITUTE(Github!L$10, ";", ", ")</f>
        <v>Math, </v>
      </c>
      <c r="I143" s="10" t="str">
        <f>Github!E$10</f>
        <v>Easy</v>
      </c>
      <c r="J143" s="10" t="str">
        <f>IF(TRIM(Github!D$10)="TRUE","FALSE","TRUE")</f>
        <v>TRUE</v>
      </c>
      <c r="K143" s="10" t="b">
        <f>Github!M$10</f>
        <v>1</v>
      </c>
      <c r="L143" s="10" t="b">
        <f>Github!N$10</f>
        <v>0</v>
      </c>
      <c r="M143" s="10" t="str">
        <f>ROUND(Github!O$10, 2)&amp;"%"</f>
        <v>52.2%</v>
      </c>
      <c r="N143" s="10">
        <f>Github!P$10</f>
        <v>1908907</v>
      </c>
      <c r="O143" s="10">
        <f>Github!Q$10</f>
        <v>3656628</v>
      </c>
    </row>
    <row r="144">
      <c r="A144" s="10">
        <f>Github!J$111</f>
        <v>110</v>
      </c>
      <c r="B144" s="11" t="str">
        <f>HYPERLINK(CONCAT("http://leetcode.com/problems/",Github!C$111), Github!B$111)</f>
        <v>Balanced Binary Tree</v>
      </c>
      <c r="C144" s="10">
        <f>Github!F$111</f>
        <v>5317</v>
      </c>
      <c r="D144" s="10">
        <f>Github!G$111</f>
        <v>289</v>
      </c>
      <c r="E144" s="10">
        <f>Github!F$111+Github!G$111</f>
        <v>5606</v>
      </c>
      <c r="F144" s="12">
        <f t="shared" si="1"/>
        <v>18.4</v>
      </c>
      <c r="G144" s="10" t="str">
        <f>Github!H$111</f>
        <v>Algorithms</v>
      </c>
      <c r="H144" s="13" t="str">
        <f>SUBSTITUTE(Github!L$111, ";", ", ")</f>
        <v>Tree, Depth-First Search, Binary Tree, </v>
      </c>
      <c r="I144" s="10" t="str">
        <f>Github!E$111</f>
        <v>Easy</v>
      </c>
      <c r="J144" s="10" t="str">
        <f>IF(TRIM(Github!D$111)="TRUE","FALSE","TRUE")</f>
        <v>TRUE</v>
      </c>
      <c r="K144" s="10" t="b">
        <f>Github!M$111</f>
        <v>1</v>
      </c>
      <c r="L144" s="10" t="b">
        <f>Github!N$111</f>
        <v>0</v>
      </c>
      <c r="M144" s="10" t="str">
        <f>ROUND(Github!O$111, 2)&amp;"%"</f>
        <v>46.49%</v>
      </c>
      <c r="N144" s="10">
        <f>Github!P$111</f>
        <v>718872</v>
      </c>
      <c r="O144" s="10">
        <f>Github!Q$111</f>
        <v>1546379</v>
      </c>
    </row>
    <row r="145">
      <c r="A145" s="10">
        <f>Github!J$254</f>
        <v>253</v>
      </c>
      <c r="B145" s="11" t="str">
        <f>HYPERLINK(CONCAT("http://leetcode.com/problems/",Github!C$254), Github!B$254)</f>
        <v>Meeting Rooms II</v>
      </c>
      <c r="C145" s="10">
        <f>Github!F$254</f>
        <v>5236</v>
      </c>
      <c r="D145" s="10">
        <f>Github!G$254</f>
        <v>104</v>
      </c>
      <c r="E145" s="10">
        <f>Github!F$254+Github!G$254</f>
        <v>5340</v>
      </c>
      <c r="F145" s="12">
        <f t="shared" si="1"/>
        <v>50.35</v>
      </c>
      <c r="G145" s="10" t="str">
        <f>Github!H$254</f>
        <v>Algorithms</v>
      </c>
      <c r="H145" s="13" t="str">
        <f>SUBSTITUTE(Github!L$254, ";", ", ")</f>
        <v>Array, Two Pointers, Greedy, Sorting, Heap (Priority Queue), </v>
      </c>
      <c r="I145" s="10" t="str">
        <f>Github!E$254</f>
        <v>Medium</v>
      </c>
      <c r="J145" s="10" t="str">
        <f>IF(TRIM(Github!D$254)="TRUE","FALSE","TRUE")</f>
        <v>FALSE</v>
      </c>
      <c r="K145" s="10" t="b">
        <f>Github!M$254</f>
        <v>1</v>
      </c>
      <c r="L145" s="10" t="b">
        <f>Github!N$254</f>
        <v>0</v>
      </c>
      <c r="M145" s="10" t="str">
        <f>ROUND(Github!O$254, 2)&amp;"%"</f>
        <v>49.4%</v>
      </c>
      <c r="N145" s="10">
        <f>Github!P$254</f>
        <v>599198</v>
      </c>
      <c r="O145" s="10">
        <f>Github!Q$254</f>
        <v>1212875</v>
      </c>
    </row>
    <row r="146">
      <c r="A146" s="10">
        <f>Github!J$316</f>
        <v>315</v>
      </c>
      <c r="B146" s="11" t="str">
        <f>HYPERLINK(CONCAT("http://leetcode.com/problems/",Github!C$316), Github!B$316)</f>
        <v>Count of Smaller Numbers After Self</v>
      </c>
      <c r="C146" s="10">
        <f>Github!F$316</f>
        <v>5234</v>
      </c>
      <c r="D146" s="10">
        <f>Github!G$316</f>
        <v>150</v>
      </c>
      <c r="E146" s="10">
        <f>Github!F$316+Github!G$316</f>
        <v>5384</v>
      </c>
      <c r="F146" s="12">
        <f t="shared" si="1"/>
        <v>34.89</v>
      </c>
      <c r="G146" s="10" t="str">
        <f>Github!H$316</f>
        <v>Algorithms</v>
      </c>
      <c r="H146" s="13" t="str">
        <f>SUBSTITUTE(Github!L$316, ";", ", ")</f>
        <v>Array, Binary Search, Divide and Conquer, Binary Indexed Tree, Segment Tree, Merge Sort, Ordered Set, </v>
      </c>
      <c r="I146" s="10" t="str">
        <f>Github!E$316</f>
        <v>Hard</v>
      </c>
      <c r="J146" s="10" t="str">
        <f>IF(TRIM(Github!D$316)="TRUE","FALSE","TRUE")</f>
        <v>TRUE</v>
      </c>
      <c r="K146" s="10" t="b">
        <f>Github!M$316</f>
        <v>1</v>
      </c>
      <c r="L146" s="10" t="b">
        <f>Github!N$316</f>
        <v>0</v>
      </c>
      <c r="M146" s="10" t="str">
        <f>ROUND(Github!O$316, 2)&amp;"%"</f>
        <v>42.06%</v>
      </c>
      <c r="N146" s="10">
        <f>Github!P$316</f>
        <v>220056</v>
      </c>
      <c r="O146" s="10">
        <f>Github!Q$316</f>
        <v>523149</v>
      </c>
    </row>
    <row r="147">
      <c r="A147" s="10">
        <f>Github!J$101</f>
        <v>100</v>
      </c>
      <c r="B147" s="11" t="str">
        <f>HYPERLINK(CONCAT("http://leetcode.com/problems/",Github!C$101), Github!B$101)</f>
        <v>Same Tree</v>
      </c>
      <c r="C147" s="10">
        <f>Github!F$101</f>
        <v>5220</v>
      </c>
      <c r="D147" s="10">
        <f>Github!G$101</f>
        <v>127</v>
      </c>
      <c r="E147" s="10">
        <f>Github!F$101+Github!G$101</f>
        <v>5347</v>
      </c>
      <c r="F147" s="12">
        <f t="shared" si="1"/>
        <v>41.1</v>
      </c>
      <c r="G147" s="10" t="str">
        <f>Github!H$101</f>
        <v>Algorithms</v>
      </c>
      <c r="H147" s="13" t="str">
        <f>SUBSTITUTE(Github!L$101, ";", ", ")</f>
        <v>Tree, Depth-First Search, Breadth-First Search, Binary Tree, </v>
      </c>
      <c r="I147" s="10" t="str">
        <f>Github!E$101</f>
        <v>Easy</v>
      </c>
      <c r="J147" s="10" t="str">
        <f>IF(TRIM(Github!D$101)="TRUE","FALSE","TRUE")</f>
        <v>TRUE</v>
      </c>
      <c r="K147" s="10" t="b">
        <f>Github!M$101</f>
        <v>1</v>
      </c>
      <c r="L147" s="10" t="b">
        <f>Github!N$101</f>
        <v>0</v>
      </c>
      <c r="M147" s="10" t="str">
        <f>ROUND(Github!O$101, 2)&amp;"%"</f>
        <v>55.34%</v>
      </c>
      <c r="N147" s="10">
        <f>Github!P$101</f>
        <v>971446</v>
      </c>
      <c r="O147" s="10">
        <f>Github!Q$101</f>
        <v>1755469</v>
      </c>
    </row>
    <row r="148">
      <c r="A148" s="10">
        <f>Github!J$236</f>
        <v>235</v>
      </c>
      <c r="B148" s="11" t="str">
        <f>HYPERLINK(CONCAT("http://leetcode.com/problems/",Github!C$236), Github!B$236)</f>
        <v>Lowest Common Ancestor of a Binary Search Tree</v>
      </c>
      <c r="C148" s="10">
        <f>Github!F$236</f>
        <v>5191</v>
      </c>
      <c r="D148" s="10">
        <f>Github!G$236</f>
        <v>174</v>
      </c>
      <c r="E148" s="10">
        <f>Github!F$236+Github!G$236</f>
        <v>5365</v>
      </c>
      <c r="F148" s="12">
        <f t="shared" si="1"/>
        <v>29.83</v>
      </c>
      <c r="G148" s="10" t="str">
        <f>Github!H$236</f>
        <v>Algorithms</v>
      </c>
      <c r="H148" s="13" t="str">
        <f>SUBSTITUTE(Github!L$236, ";", ", ")</f>
        <v>Tree, Depth-First Search, Binary Search Tree, Binary Tree, </v>
      </c>
      <c r="I148" s="10" t="str">
        <f>Github!E$236</f>
        <v>Easy</v>
      </c>
      <c r="J148" s="10" t="str">
        <f>IF(TRIM(Github!D$236)="TRUE","FALSE","TRUE")</f>
        <v>TRUE</v>
      </c>
      <c r="K148" s="10" t="b">
        <f>Github!M$236</f>
        <v>1</v>
      </c>
      <c r="L148" s="10" t="b">
        <f>Github!N$236</f>
        <v>0</v>
      </c>
      <c r="M148" s="10" t="str">
        <f>ROUND(Github!O$236, 2)&amp;"%"</f>
        <v>56.46%</v>
      </c>
      <c r="N148" s="10">
        <f>Github!P$236</f>
        <v>701994</v>
      </c>
      <c r="O148" s="10">
        <f>Github!Q$236</f>
        <v>1243412</v>
      </c>
    </row>
    <row r="149">
      <c r="A149" s="10">
        <f>Github!J$526</f>
        <v>525</v>
      </c>
      <c r="B149" s="11" t="str">
        <f>HYPERLINK(CONCAT("http://leetcode.com/problems/",Github!C$526), Github!B$526)</f>
        <v>Contiguous Array</v>
      </c>
      <c r="C149" s="10">
        <f>Github!F$526</f>
        <v>5144</v>
      </c>
      <c r="D149" s="10">
        <f>Github!G$526</f>
        <v>221</v>
      </c>
      <c r="E149" s="10">
        <f>Github!F$526+Github!G$526</f>
        <v>5365</v>
      </c>
      <c r="F149" s="12">
        <f t="shared" si="1"/>
        <v>23.28</v>
      </c>
      <c r="G149" s="10" t="str">
        <f>Github!H$526</f>
        <v>Algorithms</v>
      </c>
      <c r="H149" s="13" t="str">
        <f>SUBSTITUTE(Github!L$526, ";", ", ")</f>
        <v>Array, Hash Table, Prefix Sum, </v>
      </c>
      <c r="I149" s="10" t="str">
        <f>Github!E$526</f>
        <v>Medium</v>
      </c>
      <c r="J149" s="10" t="str">
        <f>IF(TRIM(Github!D$526)="TRUE","FALSE","TRUE")</f>
        <v>TRUE</v>
      </c>
      <c r="K149" s="10" t="b">
        <f>Github!M$526</f>
        <v>1</v>
      </c>
      <c r="L149" s="10" t="b">
        <f>Github!N$526</f>
        <v>0</v>
      </c>
      <c r="M149" s="10" t="str">
        <f>ROUND(Github!O$526, 2)&amp;"%"</f>
        <v>46.2%</v>
      </c>
      <c r="N149" s="10">
        <f>Github!P$526</f>
        <v>254317</v>
      </c>
      <c r="O149" s="10">
        <f>Github!Q$526</f>
        <v>550433</v>
      </c>
    </row>
    <row r="150">
      <c r="A150" s="10">
        <f>Github!J$381</f>
        <v>380</v>
      </c>
      <c r="B150" s="11" t="str">
        <f>HYPERLINK(CONCAT("http://leetcode.com/problems/",Github!C$381), Github!B$381)</f>
        <v>Insert Delete GetRandom O(1)</v>
      </c>
      <c r="C150" s="10">
        <f>Github!F$381</f>
        <v>5135</v>
      </c>
      <c r="D150" s="10">
        <f>Github!G$381</f>
        <v>272</v>
      </c>
      <c r="E150" s="10">
        <f>Github!F$381+Github!G$381</f>
        <v>5407</v>
      </c>
      <c r="F150" s="12">
        <f t="shared" si="1"/>
        <v>18.88</v>
      </c>
      <c r="G150" s="10" t="str">
        <f>Github!H$381</f>
        <v>Algorithms</v>
      </c>
      <c r="H150" s="13" t="str">
        <f>SUBSTITUTE(Github!L$381, ";", ", ")</f>
        <v>Array, Hash Table, Math, Design, Randomized, </v>
      </c>
      <c r="I150" s="10" t="str">
        <f>Github!E$381</f>
        <v>Medium</v>
      </c>
      <c r="J150" s="10" t="str">
        <f>IF(TRIM(Github!D$381)="TRUE","FALSE","TRUE")</f>
        <v>TRUE</v>
      </c>
      <c r="K150" s="10" t="b">
        <f>Github!M$381</f>
        <v>1</v>
      </c>
      <c r="L150" s="10" t="b">
        <f>Github!N$381</f>
        <v>0</v>
      </c>
      <c r="M150" s="10" t="str">
        <f>ROUND(Github!O$381, 2)&amp;"%"</f>
        <v>51.15%</v>
      </c>
      <c r="N150" s="10">
        <f>Github!P$381</f>
        <v>454744</v>
      </c>
      <c r="O150" s="10">
        <f>Github!Q$381</f>
        <v>889115</v>
      </c>
    </row>
    <row r="151">
      <c r="A151" s="10">
        <f>Github!J$119</f>
        <v>118</v>
      </c>
      <c r="B151" s="11" t="str">
        <f>HYPERLINK(CONCAT("http://leetcode.com/problems/",Github!C$119), Github!B$119)</f>
        <v>Pascal's Triangle</v>
      </c>
      <c r="C151" s="10">
        <f>Github!F$119</f>
        <v>5134</v>
      </c>
      <c r="D151" s="10">
        <f>Github!G$119</f>
        <v>198</v>
      </c>
      <c r="E151" s="10">
        <f>Github!F$119+Github!G$119</f>
        <v>5332</v>
      </c>
      <c r="F151" s="12">
        <f t="shared" si="1"/>
        <v>25.93</v>
      </c>
      <c r="G151" s="10" t="str">
        <f>Github!H$119</f>
        <v>Algorithms</v>
      </c>
      <c r="H151" s="13" t="str">
        <f>SUBSTITUTE(Github!L$119, ";", ", ")</f>
        <v>Array, Dynamic Programming, </v>
      </c>
      <c r="I151" s="10" t="str">
        <f>Github!E$119</f>
        <v>Easy</v>
      </c>
      <c r="J151" s="10" t="str">
        <f>IF(TRIM(Github!D$119)="TRUE","FALSE","TRUE")</f>
        <v>TRUE</v>
      </c>
      <c r="K151" s="10" t="b">
        <f>Github!M$119</f>
        <v>1</v>
      </c>
      <c r="L151" s="10" t="b">
        <f>Github!N$119</f>
        <v>1</v>
      </c>
      <c r="M151" s="10" t="str">
        <f>ROUND(Github!O$119, 2)&amp;"%"</f>
        <v>63.45%</v>
      </c>
      <c r="N151" s="10">
        <f>Github!P$119</f>
        <v>735080</v>
      </c>
      <c r="O151" s="10">
        <f>Github!Q$119</f>
        <v>1158576</v>
      </c>
    </row>
    <row r="152">
      <c r="A152" s="10">
        <f>Github!J$974</f>
        <v>973</v>
      </c>
      <c r="B152" s="11" t="str">
        <f>HYPERLINK(CONCAT("http://leetcode.com/problems/",Github!C$974), Github!B$974)</f>
        <v>K Closest Points to Origin</v>
      </c>
      <c r="C152" s="10">
        <f>Github!F$974</f>
        <v>5097</v>
      </c>
      <c r="D152" s="10">
        <f>Github!G$974</f>
        <v>201</v>
      </c>
      <c r="E152" s="10">
        <f>Github!F$974+Github!G$974</f>
        <v>5298</v>
      </c>
      <c r="F152" s="12">
        <f t="shared" si="1"/>
        <v>25.36</v>
      </c>
      <c r="G152" s="10" t="str">
        <f>Github!H$974</f>
        <v>Algorithms</v>
      </c>
      <c r="H152" s="13" t="str">
        <f>SUBSTITUTE(Github!L$974, ";", ", ")</f>
        <v>Array, Math, Divide and Conquer, Geometry, Sorting, Heap (Priority Queue), Quickselect, </v>
      </c>
      <c r="I152" s="10" t="str">
        <f>Github!E$974</f>
        <v>Medium</v>
      </c>
      <c r="J152" s="10" t="str">
        <f>IF(TRIM(Github!D$974)="TRUE","FALSE","TRUE")</f>
        <v>TRUE</v>
      </c>
      <c r="K152" s="10" t="b">
        <f>Github!M$974</f>
        <v>1</v>
      </c>
      <c r="L152" s="10" t="b">
        <f>Github!N$974</f>
        <v>0</v>
      </c>
      <c r="M152" s="10" t="str">
        <f>ROUND(Github!O$974, 2)&amp;"%"</f>
        <v>66%</v>
      </c>
      <c r="N152" s="10">
        <f>Github!P$974</f>
        <v>706578</v>
      </c>
      <c r="O152" s="10">
        <f>Github!Q$974</f>
        <v>1070524</v>
      </c>
    </row>
    <row r="153">
      <c r="A153" s="10">
        <f>Github!J$113</f>
        <v>112</v>
      </c>
      <c r="B153" s="11" t="str">
        <f>HYPERLINK(CONCAT("http://leetcode.com/problems/",Github!C$113), Github!B$113)</f>
        <v>Path Sum</v>
      </c>
      <c r="C153" s="10">
        <f>Github!F$113</f>
        <v>5083</v>
      </c>
      <c r="D153" s="10">
        <f>Github!G$113</f>
        <v>763</v>
      </c>
      <c r="E153" s="10">
        <f>Github!F$113+Github!G$113</f>
        <v>5846</v>
      </c>
      <c r="F153" s="12">
        <f t="shared" si="1"/>
        <v>6.66</v>
      </c>
      <c r="G153" s="10" t="str">
        <f>Github!H$113</f>
        <v>Algorithms</v>
      </c>
      <c r="H153" s="13" t="str">
        <f>SUBSTITUTE(Github!L$113, ";", ", ")</f>
        <v>Tree, Depth-First Search, Breadth-First Search, Binary Tree, </v>
      </c>
      <c r="I153" s="10" t="str">
        <f>Github!E$113</f>
        <v>Easy</v>
      </c>
      <c r="J153" s="10" t="str">
        <f>IF(TRIM(Github!D$113)="TRUE","FALSE","TRUE")</f>
        <v>TRUE</v>
      </c>
      <c r="K153" s="10" t="b">
        <f>Github!M$113</f>
        <v>1</v>
      </c>
      <c r="L153" s="10" t="b">
        <f>Github!N$113</f>
        <v>0</v>
      </c>
      <c r="M153" s="10" t="str">
        <f>ROUND(Github!O$113, 2)&amp;"%"</f>
        <v>45.16%</v>
      </c>
      <c r="N153" s="10">
        <f>Github!P$113</f>
        <v>828596</v>
      </c>
      <c r="O153" s="10">
        <f>Github!Q$113</f>
        <v>1834881</v>
      </c>
    </row>
    <row r="154">
      <c r="A154" s="10">
        <f>Github!J$269</f>
        <v>268</v>
      </c>
      <c r="B154" s="11" t="str">
        <f>HYPERLINK(CONCAT("http://leetcode.com/problems/",Github!C$269), Github!B$269)</f>
        <v>Missing Number</v>
      </c>
      <c r="C154" s="10">
        <f>Github!F$269</f>
        <v>5039</v>
      </c>
      <c r="D154" s="10">
        <f>Github!G$269</f>
        <v>2806</v>
      </c>
      <c r="E154" s="10">
        <f>Github!F$269+Github!G$269</f>
        <v>7845</v>
      </c>
      <c r="F154" s="12">
        <f t="shared" si="1"/>
        <v>1.8</v>
      </c>
      <c r="G154" s="10" t="str">
        <f>Github!H$269</f>
        <v>Algorithms</v>
      </c>
      <c r="H154" s="13" t="str">
        <f>SUBSTITUTE(Github!L$269, ";", ", ")</f>
        <v>Array, Hash Table, Math, Bit Manipulation, Sorting, </v>
      </c>
      <c r="I154" s="10" t="str">
        <f>Github!E$269</f>
        <v>Easy</v>
      </c>
      <c r="J154" s="10" t="str">
        <f>IF(TRIM(Github!D$269)="TRUE","FALSE","TRUE")</f>
        <v>TRUE</v>
      </c>
      <c r="K154" s="10" t="b">
        <f>Github!M$269</f>
        <v>1</v>
      </c>
      <c r="L154" s="10" t="b">
        <f>Github!N$269</f>
        <v>0</v>
      </c>
      <c r="M154" s="10" t="str">
        <f>ROUND(Github!O$269, 2)&amp;"%"</f>
        <v>58.98%</v>
      </c>
      <c r="N154" s="10">
        <f>Github!P$269</f>
        <v>939465</v>
      </c>
      <c r="O154" s="10">
        <f>Github!Q$269</f>
        <v>1592981</v>
      </c>
    </row>
    <row r="155">
      <c r="A155" s="10">
        <f>Github!J$329</f>
        <v>328</v>
      </c>
      <c r="B155" s="11" t="str">
        <f>HYPERLINK(CONCAT("http://leetcode.com/problems/",Github!C$329), Github!B$329)</f>
        <v>Odd Even Linked List</v>
      </c>
      <c r="C155" s="10">
        <f>Github!F$329</f>
        <v>5037</v>
      </c>
      <c r="D155" s="10">
        <f>Github!G$329</f>
        <v>380</v>
      </c>
      <c r="E155" s="10">
        <f>Github!F$329+Github!G$329</f>
        <v>5417</v>
      </c>
      <c r="F155" s="12">
        <f t="shared" si="1"/>
        <v>13.26</v>
      </c>
      <c r="G155" s="10" t="str">
        <f>Github!H$329</f>
        <v>Algorithms</v>
      </c>
      <c r="H155" s="13" t="str">
        <f>SUBSTITUTE(Github!L$329, ";", ", ")</f>
        <v>Linked List, </v>
      </c>
      <c r="I155" s="10" t="str">
        <f>Github!E$329</f>
        <v>Medium</v>
      </c>
      <c r="J155" s="10" t="str">
        <f>IF(TRIM(Github!D$329)="TRUE","FALSE","TRUE")</f>
        <v>TRUE</v>
      </c>
      <c r="K155" s="10" t="b">
        <f>Github!M$329</f>
        <v>1</v>
      </c>
      <c r="L155" s="10" t="b">
        <f>Github!N$329</f>
        <v>0</v>
      </c>
      <c r="M155" s="10" t="str">
        <f>ROUND(Github!O$329, 2)&amp;"%"</f>
        <v>59.37%</v>
      </c>
      <c r="N155" s="10">
        <f>Github!P$329</f>
        <v>507124</v>
      </c>
      <c r="O155" s="10">
        <f>Github!Q$329</f>
        <v>854156</v>
      </c>
    </row>
    <row r="156">
      <c r="A156" s="10">
        <f>Github!J$174</f>
        <v>173</v>
      </c>
      <c r="B156" s="11" t="str">
        <f>HYPERLINK(CONCAT("http://leetcode.com/problems/",Github!C$174), Github!B$174)</f>
        <v>Binary Search Tree Iterator</v>
      </c>
      <c r="C156" s="10">
        <f>Github!F$174</f>
        <v>5013</v>
      </c>
      <c r="D156" s="10">
        <f>Github!G$174</f>
        <v>360</v>
      </c>
      <c r="E156" s="10">
        <f>Github!F$174+Github!G$174</f>
        <v>5373</v>
      </c>
      <c r="F156" s="12">
        <f t="shared" si="1"/>
        <v>13.93</v>
      </c>
      <c r="G156" s="10" t="str">
        <f>Github!H$174</f>
        <v>Algorithms</v>
      </c>
      <c r="H156" s="13" t="str">
        <f>SUBSTITUTE(Github!L$174, ";", ", ")</f>
        <v>Stack, Tree, Design, Binary Search Tree, Binary Tree, Iterator, </v>
      </c>
      <c r="I156" s="10" t="str">
        <f>Github!E$174</f>
        <v>Medium</v>
      </c>
      <c r="J156" s="10" t="str">
        <f>IF(TRIM(Github!D$174)="TRUE","FALSE","TRUE")</f>
        <v>TRUE</v>
      </c>
      <c r="K156" s="10" t="b">
        <f>Github!M$174</f>
        <v>1</v>
      </c>
      <c r="L156" s="10" t="b">
        <f>Github!N$174</f>
        <v>0</v>
      </c>
      <c r="M156" s="10" t="str">
        <f>ROUND(Github!O$174, 2)&amp;"%"</f>
        <v>65.17%</v>
      </c>
      <c r="N156" s="10">
        <f>Github!P$174</f>
        <v>510563</v>
      </c>
      <c r="O156" s="10">
        <f>Github!Q$174</f>
        <v>783432</v>
      </c>
    </row>
    <row r="157">
      <c r="A157" s="10">
        <f>Github!J$214</f>
        <v>213</v>
      </c>
      <c r="B157" s="11" t="str">
        <f>HYPERLINK(CONCAT("http://leetcode.com/problems/",Github!C$214), Github!B$214)</f>
        <v>House Robber II</v>
      </c>
      <c r="C157" s="10">
        <f>Github!F$214</f>
        <v>4999</v>
      </c>
      <c r="D157" s="10">
        <f>Github!G$214</f>
        <v>89</v>
      </c>
      <c r="E157" s="10">
        <f>Github!F$214+Github!G$214</f>
        <v>5088</v>
      </c>
      <c r="F157" s="12">
        <f t="shared" si="1"/>
        <v>56.17</v>
      </c>
      <c r="G157" s="10" t="str">
        <f>Github!H$214</f>
        <v>Algorithms</v>
      </c>
      <c r="H157" s="13" t="str">
        <f>SUBSTITUTE(Github!L$214, ";", ", ")</f>
        <v>Array, Dynamic Programming, </v>
      </c>
      <c r="I157" s="10" t="str">
        <f>Github!E$214</f>
        <v>Medium</v>
      </c>
      <c r="J157" s="10" t="str">
        <f>IF(TRIM(Github!D$214)="TRUE","FALSE","TRUE")</f>
        <v>TRUE</v>
      </c>
      <c r="K157" s="10" t="b">
        <f>Github!M$214</f>
        <v>1</v>
      </c>
      <c r="L157" s="10" t="b">
        <f>Github!N$214</f>
        <v>0</v>
      </c>
      <c r="M157" s="10" t="str">
        <f>ROUND(Github!O$214, 2)&amp;"%"</f>
        <v>39.62%</v>
      </c>
      <c r="N157" s="10">
        <f>Github!P$214</f>
        <v>364792</v>
      </c>
      <c r="O157" s="10">
        <f>Github!Q$214</f>
        <v>920830</v>
      </c>
    </row>
    <row r="158">
      <c r="A158" s="10">
        <f>Github!J$451</f>
        <v>450</v>
      </c>
      <c r="B158" s="11" t="str">
        <f>HYPERLINK(CONCAT("http://leetcode.com/problems/",Github!C$451), Github!B$451)</f>
        <v>Delete Node in a BST</v>
      </c>
      <c r="C158" s="10">
        <f>Github!F$451</f>
        <v>4980</v>
      </c>
      <c r="D158" s="10">
        <f>Github!G$451</f>
        <v>146</v>
      </c>
      <c r="E158" s="10">
        <f>Github!F$451+Github!G$451</f>
        <v>5126</v>
      </c>
      <c r="F158" s="12">
        <f t="shared" si="1"/>
        <v>34.11</v>
      </c>
      <c r="G158" s="10" t="str">
        <f>Github!H$451</f>
        <v>Algorithms</v>
      </c>
      <c r="H158" s="13" t="str">
        <f>SUBSTITUTE(Github!L$451, ";", ", ")</f>
        <v>Tree, Binary Search Tree, Binary Tree, </v>
      </c>
      <c r="I158" s="10" t="str">
        <f>Github!E$451</f>
        <v>Medium</v>
      </c>
      <c r="J158" s="10" t="str">
        <f>IF(TRIM(Github!D$451)="TRUE","FALSE","TRUE")</f>
        <v>TRUE</v>
      </c>
      <c r="K158" s="10" t="b">
        <f>Github!M$451</f>
        <v>1</v>
      </c>
      <c r="L158" s="10" t="b">
        <f>Github!N$451</f>
        <v>0</v>
      </c>
      <c r="M158" s="10" t="str">
        <f>ROUND(Github!O$451, 2)&amp;"%"</f>
        <v>48.65%</v>
      </c>
      <c r="N158" s="10">
        <f>Github!P$451</f>
        <v>258382</v>
      </c>
      <c r="O158" s="10">
        <f>Github!Q$451</f>
        <v>531068</v>
      </c>
    </row>
    <row r="159">
      <c r="A159" s="10">
        <f>Github!J$330</f>
        <v>329</v>
      </c>
      <c r="B159" s="11" t="str">
        <f>HYPERLINK(CONCAT("http://leetcode.com/problems/",Github!C$330), Github!B$330)</f>
        <v>Longest Increasing Path in a Matrix</v>
      </c>
      <c r="C159" s="10">
        <f>Github!F$330</f>
        <v>4958</v>
      </c>
      <c r="D159" s="10">
        <f>Github!G$330</f>
        <v>86</v>
      </c>
      <c r="E159" s="10">
        <f>Github!F$330+Github!G$330</f>
        <v>5044</v>
      </c>
      <c r="F159" s="12">
        <f t="shared" si="1"/>
        <v>57.65</v>
      </c>
      <c r="G159" s="10" t="str">
        <f>Github!H$330</f>
        <v>Algorithms</v>
      </c>
      <c r="H159" s="13" t="str">
        <f>SUBSTITUTE(Github!L$330, ";", ", ")</f>
        <v>Dynamic Programming, Depth-First Search, Breadth-First Search, Graph, Topological Sort, Memoization, </v>
      </c>
      <c r="I159" s="10" t="str">
        <f>Github!E$330</f>
        <v>Hard</v>
      </c>
      <c r="J159" s="10" t="str">
        <f>IF(TRIM(Github!D$330)="TRUE","FALSE","TRUE")</f>
        <v>TRUE</v>
      </c>
      <c r="K159" s="10" t="b">
        <f>Github!M$330</f>
        <v>1</v>
      </c>
      <c r="L159" s="10" t="b">
        <f>Github!N$330</f>
        <v>0</v>
      </c>
      <c r="M159" s="10" t="str">
        <f>ROUND(Github!O$330, 2)&amp;"%"</f>
        <v>49.31%</v>
      </c>
      <c r="N159" s="10">
        <f>Github!P$330</f>
        <v>307204</v>
      </c>
      <c r="O159" s="10">
        <f>Github!Q$330</f>
        <v>622948</v>
      </c>
    </row>
    <row r="160">
      <c r="A160" s="10">
        <f>Github!J$311</f>
        <v>310</v>
      </c>
      <c r="B160" s="11" t="str">
        <f>HYPERLINK(CONCAT("http://leetcode.com/problems/",Github!C$311), Github!B$311)</f>
        <v>Minimum Height Trees</v>
      </c>
      <c r="C160" s="10">
        <f>Github!F$311</f>
        <v>4942</v>
      </c>
      <c r="D160" s="10">
        <f>Github!G$311</f>
        <v>205</v>
      </c>
      <c r="E160" s="10">
        <f>Github!F$311+Github!G$311</f>
        <v>5147</v>
      </c>
      <c r="F160" s="12">
        <f t="shared" si="1"/>
        <v>24.11</v>
      </c>
      <c r="G160" s="10" t="str">
        <f>Github!H$311</f>
        <v>Algorithms</v>
      </c>
      <c r="H160" s="13" t="str">
        <f>SUBSTITUTE(Github!L$311, ";", ", ")</f>
        <v>Depth-First Search, Breadth-First Search, Graph, Topological Sort, </v>
      </c>
      <c r="I160" s="10" t="str">
        <f>Github!E$311</f>
        <v>Medium</v>
      </c>
      <c r="J160" s="10" t="str">
        <f>IF(TRIM(Github!D$311)="TRUE","FALSE","TRUE")</f>
        <v>TRUE</v>
      </c>
      <c r="K160" s="10" t="b">
        <f>Github!M$311</f>
        <v>1</v>
      </c>
      <c r="L160" s="10" t="b">
        <f>Github!N$311</f>
        <v>0</v>
      </c>
      <c r="M160" s="10" t="str">
        <f>ROUND(Github!O$311, 2)&amp;"%"</f>
        <v>38.02%</v>
      </c>
      <c r="N160" s="10">
        <f>Github!P$311</f>
        <v>188440</v>
      </c>
      <c r="O160" s="10">
        <f>Github!Q$311</f>
        <v>495698</v>
      </c>
    </row>
    <row r="161">
      <c r="A161" s="10">
        <f>Github!J$573</f>
        <v>572</v>
      </c>
      <c r="B161" s="11" t="str">
        <f>HYPERLINK(CONCAT("http://leetcode.com/problems/",Github!C$573), Github!B$573)</f>
        <v>Subtree of Another Tree</v>
      </c>
      <c r="C161" s="10">
        <f>Github!F$573</f>
        <v>4923</v>
      </c>
      <c r="D161" s="10">
        <f>Github!G$573</f>
        <v>251</v>
      </c>
      <c r="E161" s="10">
        <f>Github!F$573+Github!G$573</f>
        <v>5174</v>
      </c>
      <c r="F161" s="12">
        <f t="shared" si="1"/>
        <v>19.61</v>
      </c>
      <c r="G161" s="10" t="str">
        <f>Github!H$573</f>
        <v>Algorithms</v>
      </c>
      <c r="H161" s="13" t="str">
        <f>SUBSTITUTE(Github!L$573, ";", ", ")</f>
        <v>Tree, Depth-First Search, String Matching, Binary Tree, Hash Function, </v>
      </c>
      <c r="I161" s="10" t="str">
        <f>Github!E$573</f>
        <v>Easy</v>
      </c>
      <c r="J161" s="10" t="str">
        <f>IF(TRIM(Github!D$573)="TRUE","FALSE","TRUE")</f>
        <v>TRUE</v>
      </c>
      <c r="K161" s="10" t="b">
        <f>Github!M$573</f>
        <v>0</v>
      </c>
      <c r="L161" s="10" t="b">
        <f>Github!N$573</f>
        <v>0</v>
      </c>
      <c r="M161" s="10" t="str">
        <f>ROUND(Github!O$573, 2)&amp;"%"</f>
        <v>45.21%</v>
      </c>
      <c r="N161" s="10">
        <f>Github!P$573</f>
        <v>433697</v>
      </c>
      <c r="O161" s="10">
        <f>Github!Q$573</f>
        <v>959209</v>
      </c>
    </row>
    <row r="162">
      <c r="A162" s="10">
        <f>Github!J$203</f>
        <v>202</v>
      </c>
      <c r="B162" s="11" t="str">
        <f>HYPERLINK(CONCAT("http://leetcode.com/problems/",Github!C$203), Github!B$203)</f>
        <v>Happy Number</v>
      </c>
      <c r="C162" s="10">
        <f>Github!F$203</f>
        <v>4907</v>
      </c>
      <c r="D162" s="10">
        <f>Github!G$203</f>
        <v>674</v>
      </c>
      <c r="E162" s="10">
        <f>Github!F$203+Github!G$203</f>
        <v>5581</v>
      </c>
      <c r="F162" s="12">
        <f t="shared" si="1"/>
        <v>7.28</v>
      </c>
      <c r="G162" s="10" t="str">
        <f>Github!H$203</f>
        <v>Algorithms</v>
      </c>
      <c r="H162" s="13" t="str">
        <f>SUBSTITUTE(Github!L$203, ";", ", ")</f>
        <v>Hash Table, Math, Two Pointers, </v>
      </c>
      <c r="I162" s="10" t="str">
        <f>Github!E$203</f>
        <v>Easy</v>
      </c>
      <c r="J162" s="10" t="str">
        <f>IF(TRIM(Github!D$203)="TRUE","FALSE","TRUE")</f>
        <v>TRUE</v>
      </c>
      <c r="K162" s="10" t="b">
        <f>Github!M$203</f>
        <v>1</v>
      </c>
      <c r="L162" s="10" t="b">
        <f>Github!N$203</f>
        <v>0</v>
      </c>
      <c r="M162" s="10" t="str">
        <f>ROUND(Github!O$203, 2)&amp;"%"</f>
        <v>52.92%</v>
      </c>
      <c r="N162" s="10">
        <f>Github!P$203</f>
        <v>770186</v>
      </c>
      <c r="O162" s="10">
        <f>Github!Q$203</f>
        <v>1455417</v>
      </c>
    </row>
    <row r="163">
      <c r="A163" s="10">
        <f>Github!J$168</f>
        <v>167</v>
      </c>
      <c r="B163" s="11" t="str">
        <f>HYPERLINK(CONCAT("http://leetcode.com/problems/",Github!C$168), Github!B$168)</f>
        <v>Two Sum II - Input Array Is Sorted</v>
      </c>
      <c r="C163" s="10">
        <f>Github!F$168</f>
        <v>4854</v>
      </c>
      <c r="D163" s="10">
        <f>Github!G$168</f>
        <v>897</v>
      </c>
      <c r="E163" s="10">
        <f>Github!F$168+Github!G$168</f>
        <v>5751</v>
      </c>
      <c r="F163" s="12">
        <f t="shared" si="1"/>
        <v>5.41</v>
      </c>
      <c r="G163" s="10" t="str">
        <f>Github!H$168</f>
        <v>Algorithms</v>
      </c>
      <c r="H163" s="13" t="str">
        <f>SUBSTITUTE(Github!L$168, ";", ", ")</f>
        <v>Array, Two Pointers, Binary Search, </v>
      </c>
      <c r="I163" s="10" t="str">
        <f>Github!E$168</f>
        <v>Medium</v>
      </c>
      <c r="J163" s="10" t="str">
        <f>IF(TRIM(Github!D$168)="TRUE","FALSE","TRUE")</f>
        <v>TRUE</v>
      </c>
      <c r="K163" s="10" t="b">
        <f>Github!M$168</f>
        <v>1</v>
      </c>
      <c r="L163" s="10" t="b">
        <f>Github!N$168</f>
        <v>0</v>
      </c>
      <c r="M163" s="10" t="str">
        <f>ROUND(Github!O$168, 2)&amp;"%"</f>
        <v>58.36%</v>
      </c>
      <c r="N163" s="10">
        <f>Github!P$168</f>
        <v>883416</v>
      </c>
      <c r="O163" s="10">
        <f>Github!Q$168</f>
        <v>1513620</v>
      </c>
    </row>
    <row r="164">
      <c r="A164" s="10">
        <f>Github!J$517</f>
        <v>516</v>
      </c>
      <c r="B164" s="11" t="str">
        <f>HYPERLINK(CONCAT("http://leetcode.com/problems/",Github!C$517), Github!B$517)</f>
        <v>Longest Palindromic Subsequence</v>
      </c>
      <c r="C164" s="10">
        <f>Github!F$517</f>
        <v>4848</v>
      </c>
      <c r="D164" s="10">
        <f>Github!G$517</f>
        <v>244</v>
      </c>
      <c r="E164" s="10">
        <f>Github!F$517+Github!G$517</f>
        <v>5092</v>
      </c>
      <c r="F164" s="12">
        <f t="shared" si="1"/>
        <v>19.87</v>
      </c>
      <c r="G164" s="10" t="str">
        <f>Github!H$517</f>
        <v>Algorithms</v>
      </c>
      <c r="H164" s="13" t="str">
        <f>SUBSTITUTE(Github!L$517, ";", ", ")</f>
        <v>String, Dynamic Programming, </v>
      </c>
      <c r="I164" s="10" t="str">
        <f>Github!E$517</f>
        <v>Medium</v>
      </c>
      <c r="J164" s="10" t="str">
        <f>IF(TRIM(Github!D$517)="TRUE","FALSE","TRUE")</f>
        <v>TRUE</v>
      </c>
      <c r="K164" s="10" t="b">
        <f>Github!M$517</f>
        <v>0</v>
      </c>
      <c r="L164" s="10" t="b">
        <f>Github!N$517</f>
        <v>0</v>
      </c>
      <c r="M164" s="10" t="str">
        <f>ROUND(Github!O$517, 2)&amp;"%"</f>
        <v>59%</v>
      </c>
      <c r="N164" s="10">
        <f>Github!P$517</f>
        <v>239319</v>
      </c>
      <c r="O164" s="10">
        <f>Github!Q$517</f>
        <v>405636</v>
      </c>
    </row>
    <row r="165">
      <c r="A165" s="10">
        <f>Github!J$582</f>
        <v>581</v>
      </c>
      <c r="B165" s="11" t="str">
        <f>HYPERLINK(CONCAT("http://leetcode.com/problems/",Github!C$582), Github!B$582)</f>
        <v>Shortest Unsorted Continuous Subarray</v>
      </c>
      <c r="C165" s="10">
        <f>Github!F$582</f>
        <v>4841</v>
      </c>
      <c r="D165" s="10">
        <f>Github!G$582</f>
        <v>200</v>
      </c>
      <c r="E165" s="10">
        <f>Github!F$582+Github!G$582</f>
        <v>5041</v>
      </c>
      <c r="F165" s="12">
        <f t="shared" si="1"/>
        <v>24.21</v>
      </c>
      <c r="G165" s="10" t="str">
        <f>Github!H$582</f>
        <v>Algorithms</v>
      </c>
      <c r="H165" s="13" t="str">
        <f>SUBSTITUTE(Github!L$582, ";", ", ")</f>
        <v>Array, Two Pointers, Stack, Greedy, Sorting, Monotonic Stack, </v>
      </c>
      <c r="I165" s="10" t="str">
        <f>Github!E$582</f>
        <v>Medium</v>
      </c>
      <c r="J165" s="10" t="str">
        <f>IF(TRIM(Github!D$582)="TRUE","FALSE","TRUE")</f>
        <v>TRUE</v>
      </c>
      <c r="K165" s="10" t="b">
        <f>Github!M$582</f>
        <v>1</v>
      </c>
      <c r="L165" s="10" t="b">
        <f>Github!N$582</f>
        <v>0</v>
      </c>
      <c r="M165" s="10" t="str">
        <f>ROUND(Github!O$582, 2)&amp;"%"</f>
        <v>34.07%</v>
      </c>
      <c r="N165" s="10">
        <f>Github!P$582</f>
        <v>212121</v>
      </c>
      <c r="O165" s="10">
        <f>Github!Q$582</f>
        <v>622609</v>
      </c>
    </row>
    <row r="166">
      <c r="A166" s="10">
        <f>Github!J$877</f>
        <v>876</v>
      </c>
      <c r="B166" s="11" t="str">
        <f>HYPERLINK(CONCAT("http://leetcode.com/problems/",Github!C$877), Github!B$877)</f>
        <v>Middle of the Linked List</v>
      </c>
      <c r="C166" s="10">
        <f>Github!F$877</f>
        <v>4844</v>
      </c>
      <c r="D166" s="10">
        <f>Github!G$877</f>
        <v>120</v>
      </c>
      <c r="E166" s="10">
        <f>Github!F$877+Github!G$877</f>
        <v>4964</v>
      </c>
      <c r="F166" s="12">
        <f t="shared" si="1"/>
        <v>40.37</v>
      </c>
      <c r="G166" s="10" t="str">
        <f>Github!H$877</f>
        <v>Algorithms</v>
      </c>
      <c r="H166" s="13" t="str">
        <f>SUBSTITUTE(Github!L$877, ";", ", ")</f>
        <v>Linked List, Two Pointers, </v>
      </c>
      <c r="I166" s="10" t="str">
        <f>Github!E$877</f>
        <v>Easy</v>
      </c>
      <c r="J166" s="10" t="str">
        <f>IF(TRIM(Github!D$877)="TRUE","FALSE","TRUE")</f>
        <v>TRUE</v>
      </c>
      <c r="K166" s="10" t="b">
        <f>Github!M$877</f>
        <v>1</v>
      </c>
      <c r="L166" s="10" t="b">
        <f>Github!N$877</f>
        <v>0</v>
      </c>
      <c r="M166" s="10" t="str">
        <f>ROUND(Github!O$877, 2)&amp;"%"</f>
        <v>72.32%</v>
      </c>
      <c r="N166" s="10">
        <f>Github!P$877</f>
        <v>584640</v>
      </c>
      <c r="O166" s="10">
        <f>Github!Q$877</f>
        <v>808361</v>
      </c>
    </row>
    <row r="167">
      <c r="A167" s="10">
        <f>Github!J$519</f>
        <v>518</v>
      </c>
      <c r="B167" s="11" t="str">
        <f>HYPERLINK(CONCAT("http://leetcode.com/problems/",Github!C$519), Github!B$519)</f>
        <v>Coin Change 2</v>
      </c>
      <c r="C167" s="10">
        <f>Github!F$519</f>
        <v>4817</v>
      </c>
      <c r="D167" s="10">
        <f>Github!G$519</f>
        <v>99</v>
      </c>
      <c r="E167" s="10">
        <f>Github!F$519+Github!G$519</f>
        <v>4916</v>
      </c>
      <c r="F167" s="12">
        <f t="shared" si="1"/>
        <v>48.66</v>
      </c>
      <c r="G167" s="10" t="str">
        <f>Github!H$519</f>
        <v>Algorithms</v>
      </c>
      <c r="H167" s="13" t="str">
        <f>SUBSTITUTE(Github!L$519, ";", ", ")</f>
        <v>Array, Dynamic Programming, </v>
      </c>
      <c r="I167" s="10" t="str">
        <f>Github!E$519</f>
        <v>Medium</v>
      </c>
      <c r="J167" s="10" t="str">
        <f>IF(TRIM(Github!D$519)="TRUE","FALSE","TRUE")</f>
        <v>TRUE</v>
      </c>
      <c r="K167" s="10" t="b">
        <f>Github!M$519</f>
        <v>1</v>
      </c>
      <c r="L167" s="10" t="b">
        <f>Github!N$519</f>
        <v>0</v>
      </c>
      <c r="M167" s="10" t="str">
        <f>ROUND(Github!O$519, 2)&amp;"%"</f>
        <v>56.92%</v>
      </c>
      <c r="N167" s="10">
        <f>Github!P$519</f>
        <v>274645</v>
      </c>
      <c r="O167" s="10">
        <f>Github!Q$519</f>
        <v>482494</v>
      </c>
    </row>
    <row r="168">
      <c r="A168" s="10">
        <f>Github!J$978</f>
        <v>977</v>
      </c>
      <c r="B168" s="11" t="str">
        <f>HYPERLINK(CONCAT("http://leetcode.com/problems/",Github!C$978), Github!B$978)</f>
        <v>Squares of a Sorted Array</v>
      </c>
      <c r="C168" s="10">
        <f>Github!F$978</f>
        <v>4819</v>
      </c>
      <c r="D168" s="10">
        <f>Github!G$978</f>
        <v>147</v>
      </c>
      <c r="E168" s="10">
        <f>Github!F$978+Github!G$978</f>
        <v>4966</v>
      </c>
      <c r="F168" s="12">
        <f t="shared" si="1"/>
        <v>32.78</v>
      </c>
      <c r="G168" s="10" t="str">
        <f>Github!H$978</f>
        <v>Algorithms</v>
      </c>
      <c r="H168" s="13" t="str">
        <f>SUBSTITUTE(Github!L$978, ";", ", ")</f>
        <v>Array, Two Pointers, Sorting, </v>
      </c>
      <c r="I168" s="10" t="str">
        <f>Github!E$978</f>
        <v>Easy</v>
      </c>
      <c r="J168" s="10" t="str">
        <f>IF(TRIM(Github!D$978)="TRUE","FALSE","TRUE")</f>
        <v>TRUE</v>
      </c>
      <c r="K168" s="10" t="b">
        <f>Github!M$978</f>
        <v>1</v>
      </c>
      <c r="L168" s="10" t="b">
        <f>Github!N$978</f>
        <v>1</v>
      </c>
      <c r="M168" s="10" t="str">
        <f>ROUND(Github!O$978, 2)&amp;"%"</f>
        <v>71.56%</v>
      </c>
      <c r="N168" s="10">
        <f>Github!P$978</f>
        <v>893484</v>
      </c>
      <c r="O168" s="10">
        <f>Github!Q$978</f>
        <v>1248623</v>
      </c>
    </row>
    <row r="169">
      <c r="A169" s="10">
        <f>Github!J$548</f>
        <v>547</v>
      </c>
      <c r="B169" s="11" t="str">
        <f>HYPERLINK(CONCAT("http://leetcode.com/problems/",Github!C$548), Github!B$548)</f>
        <v>Number of Provinces</v>
      </c>
      <c r="C169" s="10">
        <f>Github!F$548</f>
        <v>4811</v>
      </c>
      <c r="D169" s="10">
        <f>Github!G$548</f>
        <v>229</v>
      </c>
      <c r="E169" s="10">
        <f>Github!F$548+Github!G$548</f>
        <v>5040</v>
      </c>
      <c r="F169" s="12">
        <f t="shared" si="1"/>
        <v>21.01</v>
      </c>
      <c r="G169" s="10" t="str">
        <f>Github!H$548</f>
        <v>Algorithms</v>
      </c>
      <c r="H169" s="13" t="str">
        <f>SUBSTITUTE(Github!L$548, ";", ", ")</f>
        <v>Depth-First Search, Breadth-First Search, Union Find, Graph, </v>
      </c>
      <c r="I169" s="10" t="str">
        <f>Github!E$548</f>
        <v>Medium</v>
      </c>
      <c r="J169" s="10" t="str">
        <f>IF(TRIM(Github!D$548)="TRUE","FALSE","TRUE")</f>
        <v>TRUE</v>
      </c>
      <c r="K169" s="10" t="b">
        <f>Github!M$548</f>
        <v>1</v>
      </c>
      <c r="L169" s="10" t="b">
        <f>Github!N$548</f>
        <v>0</v>
      </c>
      <c r="M169" s="10" t="str">
        <f>ROUND(Github!O$548, 2)&amp;"%"</f>
        <v>62.51%</v>
      </c>
      <c r="N169" s="10">
        <f>Github!P$548</f>
        <v>427656</v>
      </c>
      <c r="O169" s="10">
        <f>Github!Q$548</f>
        <v>684176</v>
      </c>
    </row>
    <row r="170">
      <c r="A170" s="10">
        <f>Github!J$41</f>
        <v>40</v>
      </c>
      <c r="B170" s="11" t="str">
        <f>HYPERLINK(CONCAT("http://leetcode.com/problems/",Github!C$41), Github!B$41)</f>
        <v>Combination Sum II</v>
      </c>
      <c r="C170" s="10">
        <f>Github!F$41</f>
        <v>4810</v>
      </c>
      <c r="D170" s="10">
        <f>Github!G$41</f>
        <v>126</v>
      </c>
      <c r="E170" s="10">
        <f>Github!F$41+Github!G$41</f>
        <v>4936</v>
      </c>
      <c r="F170" s="12">
        <f t="shared" si="1"/>
        <v>38.17</v>
      </c>
      <c r="G170" s="10" t="str">
        <f>Github!H$41</f>
        <v>Algorithms</v>
      </c>
      <c r="H170" s="13" t="str">
        <f>SUBSTITUTE(Github!L$41, ";", ", ")</f>
        <v>Array, Backtracking, </v>
      </c>
      <c r="I170" s="10" t="str">
        <f>Github!E$41</f>
        <v>Medium</v>
      </c>
      <c r="J170" s="10" t="str">
        <f>IF(TRIM(Github!D$41)="TRUE","FALSE","TRUE")</f>
        <v>TRUE</v>
      </c>
      <c r="K170" s="10" t="b">
        <f>Github!M$41</f>
        <v>1</v>
      </c>
      <c r="L170" s="10" t="b">
        <f>Github!N$41</f>
        <v>0</v>
      </c>
      <c r="M170" s="10" t="str">
        <f>ROUND(Github!O$41, 2)&amp;"%"</f>
        <v>52.13%</v>
      </c>
      <c r="N170" s="10">
        <f>Github!P$41</f>
        <v>525426</v>
      </c>
      <c r="O170" s="10">
        <f>Github!Q$41</f>
        <v>1007853</v>
      </c>
    </row>
    <row r="171">
      <c r="A171" s="10">
        <f>Github!J$541</f>
        <v>540</v>
      </c>
      <c r="B171" s="11" t="str">
        <f>HYPERLINK(CONCAT("http://leetcode.com/problems/",Github!C$541), Github!B$541)</f>
        <v>Single Element in a Sorted Array</v>
      </c>
      <c r="C171" s="10">
        <f>Github!F$541</f>
        <v>4766</v>
      </c>
      <c r="D171" s="10">
        <f>Github!G$541</f>
        <v>109</v>
      </c>
      <c r="E171" s="10">
        <f>Github!F$541+Github!G$541</f>
        <v>4875</v>
      </c>
      <c r="F171" s="12">
        <f t="shared" si="1"/>
        <v>43.72</v>
      </c>
      <c r="G171" s="10" t="str">
        <f>Github!H$541</f>
        <v>Algorithms</v>
      </c>
      <c r="H171" s="13" t="str">
        <f>SUBSTITUTE(Github!L$541, ";", ", ")</f>
        <v>Array, Binary Search, </v>
      </c>
      <c r="I171" s="10" t="str">
        <f>Github!E$541</f>
        <v>Medium</v>
      </c>
      <c r="J171" s="10" t="str">
        <f>IF(TRIM(Github!D$541)="TRUE","FALSE","TRUE")</f>
        <v>TRUE</v>
      </c>
      <c r="K171" s="10" t="b">
        <f>Github!M$541</f>
        <v>1</v>
      </c>
      <c r="L171" s="10" t="b">
        <f>Github!N$541</f>
        <v>0</v>
      </c>
      <c r="M171" s="10" t="str">
        <f>ROUND(Github!O$541, 2)&amp;"%"</f>
        <v>58.7%</v>
      </c>
      <c r="N171" s="10">
        <f>Github!P$541</f>
        <v>276845</v>
      </c>
      <c r="O171" s="10">
        <f>Github!Q$541</f>
        <v>471608</v>
      </c>
    </row>
    <row r="172">
      <c r="A172" s="10">
        <f>Github!J$400</f>
        <v>399</v>
      </c>
      <c r="B172" s="11" t="str">
        <f>HYPERLINK(CONCAT("http://leetcode.com/problems/",Github!C$400), Github!B$400)</f>
        <v>Evaluate Division</v>
      </c>
      <c r="C172" s="10">
        <f>Github!F$400</f>
        <v>4743</v>
      </c>
      <c r="D172" s="10">
        <f>Github!G$400</f>
        <v>398</v>
      </c>
      <c r="E172" s="10">
        <f>Github!F$400+Github!G$400</f>
        <v>5141</v>
      </c>
      <c r="F172" s="12">
        <f t="shared" si="1"/>
        <v>11.92</v>
      </c>
      <c r="G172" s="10" t="str">
        <f>Github!H$400</f>
        <v>Algorithms</v>
      </c>
      <c r="H172" s="13" t="str">
        <f>SUBSTITUTE(Github!L$400, ";", ", ")</f>
        <v>Array, Depth-First Search, Breadth-First Search, Union Find, Graph, Shortest Path, </v>
      </c>
      <c r="I172" s="10" t="str">
        <f>Github!E$400</f>
        <v>Medium</v>
      </c>
      <c r="J172" s="10" t="str">
        <f>IF(TRIM(Github!D$400)="TRUE","FALSE","TRUE")</f>
        <v>TRUE</v>
      </c>
      <c r="K172" s="10" t="b">
        <f>Github!M$400</f>
        <v>1</v>
      </c>
      <c r="L172" s="10" t="b">
        <f>Github!N$400</f>
        <v>0</v>
      </c>
      <c r="M172" s="10" t="str">
        <f>ROUND(Github!O$400, 2)&amp;"%"</f>
        <v>56.81%</v>
      </c>
      <c r="N172" s="10">
        <f>Github!P$400</f>
        <v>238990</v>
      </c>
      <c r="O172" s="10">
        <f>Github!Q$400</f>
        <v>420698</v>
      </c>
    </row>
    <row r="173">
      <c r="A173" s="10">
        <f>Github!J$38</f>
        <v>37</v>
      </c>
      <c r="B173" s="11" t="str">
        <f>HYPERLINK(CONCAT("http://leetcode.com/problems/",Github!C$38), Github!B$38)</f>
        <v>Sudoku Solver</v>
      </c>
      <c r="C173" s="10">
        <f>Github!F$38</f>
        <v>4737</v>
      </c>
      <c r="D173" s="10">
        <f>Github!G$38</f>
        <v>145</v>
      </c>
      <c r="E173" s="10">
        <f>Github!F$38+Github!G$38</f>
        <v>4882</v>
      </c>
      <c r="F173" s="12">
        <f t="shared" si="1"/>
        <v>32.67</v>
      </c>
      <c r="G173" s="10" t="str">
        <f>Github!H$38</f>
        <v>Algorithms</v>
      </c>
      <c r="H173" s="13" t="str">
        <f>SUBSTITUTE(Github!L$38, ";", ", ")</f>
        <v>Array, Backtracking, Matrix, </v>
      </c>
      <c r="I173" s="10" t="str">
        <f>Github!E$38</f>
        <v>Hard</v>
      </c>
      <c r="J173" s="10" t="str">
        <f>IF(TRIM(Github!D$38)="TRUE","FALSE","TRUE")</f>
        <v>TRUE</v>
      </c>
      <c r="K173" s="10" t="b">
        <f>Github!M$38</f>
        <v>1</v>
      </c>
      <c r="L173" s="10" t="b">
        <f>Github!N$38</f>
        <v>0</v>
      </c>
      <c r="M173" s="10" t="str">
        <f>ROUND(Github!O$38, 2)&amp;"%"</f>
        <v>53.23%</v>
      </c>
      <c r="N173" s="10">
        <f>Github!P$38</f>
        <v>330655</v>
      </c>
      <c r="O173" s="10">
        <f>Github!Q$38</f>
        <v>621144</v>
      </c>
    </row>
    <row r="174">
      <c r="A174" s="10">
        <f>Github!J$407</f>
        <v>406</v>
      </c>
      <c r="B174" s="11" t="str">
        <f>HYPERLINK(CONCAT("http://leetcode.com/problems/",Github!C$407), Github!B$407)</f>
        <v>Queue Reconstruction by Height</v>
      </c>
      <c r="C174" s="10">
        <f>Github!F$407</f>
        <v>4726</v>
      </c>
      <c r="D174" s="10">
        <f>Github!G$407</f>
        <v>508</v>
      </c>
      <c r="E174" s="10">
        <f>Github!F$407+Github!G$407</f>
        <v>5234</v>
      </c>
      <c r="F174" s="12">
        <f t="shared" si="1"/>
        <v>9.3</v>
      </c>
      <c r="G174" s="10" t="str">
        <f>Github!H$407</f>
        <v>Algorithms</v>
      </c>
      <c r="H174" s="13" t="str">
        <f>SUBSTITUTE(Github!L$407, ";", ", ")</f>
        <v>Array, Greedy, Sorting, </v>
      </c>
      <c r="I174" s="10" t="str">
        <f>Github!E$407</f>
        <v>Medium</v>
      </c>
      <c r="J174" s="10" t="str">
        <f>IF(TRIM(Github!D$407)="TRUE","FALSE","TRUE")</f>
        <v>TRUE</v>
      </c>
      <c r="K174" s="10" t="b">
        <f>Github!M$407</f>
        <v>1</v>
      </c>
      <c r="L174" s="10" t="b">
        <f>Github!N$407</f>
        <v>0</v>
      </c>
      <c r="M174" s="10" t="str">
        <f>ROUND(Github!O$407, 2)&amp;"%"</f>
        <v>69.93%</v>
      </c>
      <c r="N174" s="10">
        <f>Github!P$407</f>
        <v>218189</v>
      </c>
      <c r="O174" s="10">
        <f>Github!Q$407</f>
        <v>312004</v>
      </c>
    </row>
    <row r="175">
      <c r="A175" s="10">
        <f>Github!J$68</f>
        <v>67</v>
      </c>
      <c r="B175" s="11" t="str">
        <f>HYPERLINK(CONCAT("http://leetcode.com/problems/",Github!C$68), Github!B$68)</f>
        <v>Add Binary</v>
      </c>
      <c r="C175" s="10">
        <f>Github!F$68</f>
        <v>4689</v>
      </c>
      <c r="D175" s="10">
        <f>Github!G$68</f>
        <v>519</v>
      </c>
      <c r="E175" s="10">
        <f>Github!F$68+Github!G$68</f>
        <v>5208</v>
      </c>
      <c r="F175" s="12">
        <f t="shared" si="1"/>
        <v>9.03</v>
      </c>
      <c r="G175" s="10" t="str">
        <f>Github!H$68</f>
        <v>Algorithms</v>
      </c>
      <c r="H175" s="13" t="str">
        <f>SUBSTITUTE(Github!L$68, ";", ", ")</f>
        <v>Math, String, Bit Manipulation, Simulation, </v>
      </c>
      <c r="I175" s="10" t="str">
        <f>Github!E$68</f>
        <v>Easy</v>
      </c>
      <c r="J175" s="10" t="str">
        <f>IF(TRIM(Github!D$68)="TRUE","FALSE","TRUE")</f>
        <v>TRUE</v>
      </c>
      <c r="K175" s="10" t="b">
        <f>Github!M$68</f>
        <v>1</v>
      </c>
      <c r="L175" s="10" t="b">
        <f>Github!N$68</f>
        <v>0</v>
      </c>
      <c r="M175" s="10" t="str">
        <f>ROUND(Github!O$68, 2)&amp;"%"</f>
        <v>50.18%</v>
      </c>
      <c r="N175" s="10">
        <f>Github!P$68</f>
        <v>797812</v>
      </c>
      <c r="O175" s="10">
        <f>Github!Q$68</f>
        <v>1590030</v>
      </c>
    </row>
    <row r="176">
      <c r="A176" s="10">
        <f>Github!J$212</f>
        <v>211</v>
      </c>
      <c r="B176" s="11" t="str">
        <f>HYPERLINK(CONCAT("http://leetcode.com/problems/",Github!C$212), Github!B$212)</f>
        <v>Design Add and Search Words Data Structure</v>
      </c>
      <c r="C176" s="10">
        <f>Github!F$212</f>
        <v>4652</v>
      </c>
      <c r="D176" s="10">
        <f>Github!G$212</f>
        <v>194</v>
      </c>
      <c r="E176" s="10">
        <f>Github!F$212+Github!G$212</f>
        <v>4846</v>
      </c>
      <c r="F176" s="12">
        <f t="shared" si="1"/>
        <v>23.98</v>
      </c>
      <c r="G176" s="10" t="str">
        <f>Github!H$212</f>
        <v>Algorithms</v>
      </c>
      <c r="H176" s="13" t="str">
        <f>SUBSTITUTE(Github!L$212, ";", ", ")</f>
        <v>String, Depth-First Search, Design, Trie, </v>
      </c>
      <c r="I176" s="10" t="str">
        <f>Github!E$212</f>
        <v>Medium</v>
      </c>
      <c r="J176" s="10" t="str">
        <f>IF(TRIM(Github!D$212)="TRUE","FALSE","TRUE")</f>
        <v>TRUE</v>
      </c>
      <c r="K176" s="10" t="b">
        <f>Github!M$212</f>
        <v>1</v>
      </c>
      <c r="L176" s="10" t="b">
        <f>Github!N$212</f>
        <v>0</v>
      </c>
      <c r="M176" s="10" t="str">
        <f>ROUND(Github!O$212, 2)&amp;"%"</f>
        <v>43.99%</v>
      </c>
      <c r="N176" s="10">
        <f>Github!P$212</f>
        <v>384785</v>
      </c>
      <c r="O176" s="10">
        <f>Github!Q$212</f>
        <v>874665</v>
      </c>
    </row>
    <row r="177">
      <c r="A177" s="10">
        <f>Github!J$388</f>
        <v>387</v>
      </c>
      <c r="B177" s="11" t="str">
        <f>HYPERLINK(CONCAT("http://leetcode.com/problems/",Github!C$388), Github!B$388)</f>
        <v>First Unique Character in a String</v>
      </c>
      <c r="C177" s="10">
        <f>Github!F$388</f>
        <v>4647</v>
      </c>
      <c r="D177" s="10">
        <f>Github!G$388</f>
        <v>187</v>
      </c>
      <c r="E177" s="10">
        <f>Github!F$388+Github!G$388</f>
        <v>4834</v>
      </c>
      <c r="F177" s="12">
        <f t="shared" si="1"/>
        <v>24.85</v>
      </c>
      <c r="G177" s="10" t="str">
        <f>Github!H$388</f>
        <v>Algorithms</v>
      </c>
      <c r="H177" s="13" t="str">
        <f>SUBSTITUTE(Github!L$388, ";", ", ")</f>
        <v>Hash Table, String, Queue, Counting, </v>
      </c>
      <c r="I177" s="10" t="str">
        <f>Github!E$388</f>
        <v>Easy</v>
      </c>
      <c r="J177" s="10" t="str">
        <f>IF(TRIM(Github!D$388)="TRUE","FALSE","TRUE")</f>
        <v>TRUE</v>
      </c>
      <c r="K177" s="10" t="b">
        <f>Github!M$388</f>
        <v>1</v>
      </c>
      <c r="L177" s="10" t="b">
        <f>Github!N$388</f>
        <v>0</v>
      </c>
      <c r="M177" s="10" t="str">
        <f>ROUND(Github!O$388, 2)&amp;"%"</f>
        <v>56.75%</v>
      </c>
      <c r="N177" s="10">
        <f>Github!P$388</f>
        <v>993384</v>
      </c>
      <c r="O177" s="10">
        <f>Github!Q$388</f>
        <v>1750544</v>
      </c>
    </row>
    <row r="178">
      <c r="A178" s="10">
        <f>Github!J$91</f>
        <v>90</v>
      </c>
      <c r="B178" s="11" t="str">
        <f>HYPERLINK(CONCAT("http://leetcode.com/problems/",Github!C$91), Github!B$91)</f>
        <v>Subsets II</v>
      </c>
      <c r="C178" s="10">
        <f>Github!F$91</f>
        <v>4615</v>
      </c>
      <c r="D178" s="10">
        <f>Github!G$91</f>
        <v>144</v>
      </c>
      <c r="E178" s="10">
        <f>Github!F$91+Github!G$91</f>
        <v>4759</v>
      </c>
      <c r="F178" s="12">
        <f t="shared" si="1"/>
        <v>32.05</v>
      </c>
      <c r="G178" s="10" t="str">
        <f>Github!H$91</f>
        <v>Algorithms</v>
      </c>
      <c r="H178" s="13" t="str">
        <f>SUBSTITUTE(Github!L$91, ";", ", ")</f>
        <v>Array, Backtracking, Bit Manipulation, </v>
      </c>
      <c r="I178" s="10" t="str">
        <f>Github!E$91</f>
        <v>Medium</v>
      </c>
      <c r="J178" s="10" t="str">
        <f>IF(TRIM(Github!D$91)="TRUE","FALSE","TRUE")</f>
        <v>TRUE</v>
      </c>
      <c r="K178" s="10" t="b">
        <f>Github!M$91</f>
        <v>1</v>
      </c>
      <c r="L178" s="10" t="b">
        <f>Github!N$91</f>
        <v>0</v>
      </c>
      <c r="M178" s="10" t="str">
        <f>ROUND(Github!O$91, 2)&amp;"%"</f>
        <v>52.77%</v>
      </c>
      <c r="N178" s="10">
        <f>Github!P$91</f>
        <v>475668</v>
      </c>
      <c r="O178" s="10">
        <f>Github!Q$91</f>
        <v>901350</v>
      </c>
    </row>
    <row r="179">
      <c r="A179" s="10">
        <f>Github!J$48</f>
        <v>47</v>
      </c>
      <c r="B179" s="11" t="str">
        <f>HYPERLINK(CONCAT("http://leetcode.com/problems/",Github!C$48), Github!B$48)</f>
        <v>Permutations II</v>
      </c>
      <c r="C179" s="10">
        <f>Github!F$48</f>
        <v>4610</v>
      </c>
      <c r="D179" s="10">
        <f>Github!G$48</f>
        <v>90</v>
      </c>
      <c r="E179" s="10">
        <f>Github!F$48+Github!G$48</f>
        <v>4700</v>
      </c>
      <c r="F179" s="12">
        <f t="shared" si="1"/>
        <v>51.22</v>
      </c>
      <c r="G179" s="10" t="str">
        <f>Github!H$48</f>
        <v>Algorithms</v>
      </c>
      <c r="H179" s="13" t="str">
        <f>SUBSTITUTE(Github!L$48, ";", ", ")</f>
        <v>Array, Backtracking, </v>
      </c>
      <c r="I179" s="10" t="str">
        <f>Github!E$48</f>
        <v>Medium</v>
      </c>
      <c r="J179" s="10" t="str">
        <f>IF(TRIM(Github!D$48)="TRUE","FALSE","TRUE")</f>
        <v>TRUE</v>
      </c>
      <c r="K179" s="10" t="b">
        <f>Github!M$48</f>
        <v>1</v>
      </c>
      <c r="L179" s="10" t="b">
        <f>Github!N$48</f>
        <v>0</v>
      </c>
      <c r="M179" s="10" t="str">
        <f>ROUND(Github!O$48, 2)&amp;"%"</f>
        <v>53.6%</v>
      </c>
      <c r="N179" s="10">
        <f>Github!P$48</f>
        <v>580501</v>
      </c>
      <c r="O179" s="10">
        <f>Github!Q$48</f>
        <v>1082987</v>
      </c>
    </row>
    <row r="180">
      <c r="A180" s="10">
        <f>Github!J$37</f>
        <v>36</v>
      </c>
      <c r="B180" s="11" t="str">
        <f>HYPERLINK(CONCAT("http://leetcode.com/problems/",Github!C$37), Github!B$37)</f>
        <v>Valid Sudoku</v>
      </c>
      <c r="C180" s="10">
        <f>Github!F$37</f>
        <v>4604</v>
      </c>
      <c r="D180" s="10">
        <f>Github!G$37</f>
        <v>677</v>
      </c>
      <c r="E180" s="10">
        <f>Github!F$37+Github!G$37</f>
        <v>5281</v>
      </c>
      <c r="F180" s="12">
        <f t="shared" si="1"/>
        <v>6.8</v>
      </c>
      <c r="G180" s="10" t="str">
        <f>Github!H$37</f>
        <v>Algorithms</v>
      </c>
      <c r="H180" s="13" t="str">
        <f>SUBSTITUTE(Github!L$37, ";", ", ")</f>
        <v>Array, Hash Table, Matrix, </v>
      </c>
      <c r="I180" s="10" t="str">
        <f>Github!E$37</f>
        <v>Medium</v>
      </c>
      <c r="J180" s="10" t="str">
        <f>IF(TRIM(Github!D$37)="TRUE","FALSE","TRUE")</f>
        <v>TRUE</v>
      </c>
      <c r="K180" s="10" t="b">
        <f>Github!M$37</f>
        <v>1</v>
      </c>
      <c r="L180" s="10" t="b">
        <f>Github!N$37</f>
        <v>0</v>
      </c>
      <c r="M180" s="10" t="str">
        <f>ROUND(Github!O$37, 2)&amp;"%"</f>
        <v>54.62%</v>
      </c>
      <c r="N180" s="10">
        <f>Github!P$37</f>
        <v>685038</v>
      </c>
      <c r="O180" s="10">
        <f>Github!Q$37</f>
        <v>1254245</v>
      </c>
    </row>
    <row r="181">
      <c r="A181" s="10">
        <f>Github!J$204</f>
        <v>203</v>
      </c>
      <c r="B181" s="11" t="str">
        <f>HYPERLINK(CONCAT("http://leetcode.com/problems/",Github!C$204), Github!B$204)</f>
        <v>Remove Linked List Elements</v>
      </c>
      <c r="C181" s="10">
        <f>Github!F$204</f>
        <v>4596</v>
      </c>
      <c r="D181" s="10">
        <f>Github!G$204</f>
        <v>157</v>
      </c>
      <c r="E181" s="10">
        <f>Github!F$204+Github!G$204</f>
        <v>4753</v>
      </c>
      <c r="F181" s="12">
        <f t="shared" si="1"/>
        <v>29.27</v>
      </c>
      <c r="G181" s="10" t="str">
        <f>Github!H$204</f>
        <v>Algorithms</v>
      </c>
      <c r="H181" s="13" t="str">
        <f>SUBSTITUTE(Github!L$204, ";", ", ")</f>
        <v>Linked List, Recursion, </v>
      </c>
      <c r="I181" s="10" t="str">
        <f>Github!E$204</f>
        <v>Easy</v>
      </c>
      <c r="J181" s="10" t="str">
        <f>IF(TRIM(Github!D$204)="TRUE","FALSE","TRUE")</f>
        <v>TRUE</v>
      </c>
      <c r="K181" s="10" t="b">
        <f>Github!M$204</f>
        <v>1</v>
      </c>
      <c r="L181" s="10" t="b">
        <f>Github!N$204</f>
        <v>0</v>
      </c>
      <c r="M181" s="10" t="str">
        <f>ROUND(Github!O$204, 2)&amp;"%"</f>
        <v>43.12%</v>
      </c>
      <c r="N181" s="10">
        <f>Github!P$204</f>
        <v>664128</v>
      </c>
      <c r="O181" s="10">
        <f>Github!Q$204</f>
        <v>1540226</v>
      </c>
    </row>
    <row r="182">
      <c r="A182" s="10">
        <f>Github!J$788</f>
        <v>787</v>
      </c>
      <c r="B182" s="11" t="str">
        <f>HYPERLINK(CONCAT("http://leetcode.com/problems/",Github!C$788), Github!B$788)</f>
        <v>Cheapest Flights Within K Stops</v>
      </c>
      <c r="C182" s="10">
        <f>Github!F$788</f>
        <v>4593</v>
      </c>
      <c r="D182" s="10">
        <f>Github!G$788</f>
        <v>193</v>
      </c>
      <c r="E182" s="10">
        <f>Github!F$788+Github!G$788</f>
        <v>4786</v>
      </c>
      <c r="F182" s="12">
        <f t="shared" si="1"/>
        <v>23.8</v>
      </c>
      <c r="G182" s="10" t="str">
        <f>Github!H$788</f>
        <v>Algorithms</v>
      </c>
      <c r="H182" s="13" t="str">
        <f>SUBSTITUTE(Github!L$788, ";", ", ")</f>
        <v>Dynamic Programming, Depth-First Search, Breadth-First Search, Graph, Heap (Priority Queue), Shortest Path, </v>
      </c>
      <c r="I182" s="10" t="str">
        <f>Github!E$788</f>
        <v>Medium</v>
      </c>
      <c r="J182" s="10" t="str">
        <f>IF(TRIM(Github!D$788)="TRUE","FALSE","TRUE")</f>
        <v>TRUE</v>
      </c>
      <c r="K182" s="10" t="b">
        <f>Github!M$788</f>
        <v>1</v>
      </c>
      <c r="L182" s="10" t="b">
        <f>Github!N$788</f>
        <v>0</v>
      </c>
      <c r="M182" s="10" t="str">
        <f>ROUND(Github!O$788, 2)&amp;"%"</f>
        <v>36.19%</v>
      </c>
      <c r="N182" s="10">
        <f>Github!P$788</f>
        <v>218897</v>
      </c>
      <c r="O182" s="10">
        <f>Github!Q$788</f>
        <v>604821</v>
      </c>
    </row>
    <row r="183">
      <c r="A183" s="10">
        <f>Github!J$180</f>
        <v>179</v>
      </c>
      <c r="B183" s="11" t="str">
        <f>HYPERLINK(CONCAT("http://leetcode.com/problems/",Github!C$180), Github!B$180)</f>
        <v>Largest Number</v>
      </c>
      <c r="C183" s="10">
        <f>Github!F$180</f>
        <v>4588</v>
      </c>
      <c r="D183" s="10">
        <f>Github!G$180</f>
        <v>392</v>
      </c>
      <c r="E183" s="10">
        <f>Github!F$180+Github!G$180</f>
        <v>4980</v>
      </c>
      <c r="F183" s="12">
        <f t="shared" si="1"/>
        <v>11.7</v>
      </c>
      <c r="G183" s="10" t="str">
        <f>Github!H$180</f>
        <v>Algorithms</v>
      </c>
      <c r="H183" s="13" t="str">
        <f>SUBSTITUTE(Github!L$180, ";", ", ")</f>
        <v>String, Greedy, Sorting, </v>
      </c>
      <c r="I183" s="10" t="str">
        <f>Github!E$180</f>
        <v>Medium</v>
      </c>
      <c r="J183" s="10" t="str">
        <f>IF(TRIM(Github!D$180)="TRUE","FALSE","TRUE")</f>
        <v>TRUE</v>
      </c>
      <c r="K183" s="10" t="b">
        <f>Github!M$180</f>
        <v>1</v>
      </c>
      <c r="L183" s="10" t="b">
        <f>Github!N$180</f>
        <v>0</v>
      </c>
      <c r="M183" s="10" t="str">
        <f>ROUND(Github!O$180, 2)&amp;"%"</f>
        <v>32.65%</v>
      </c>
      <c r="N183" s="10">
        <f>Github!P$180</f>
        <v>304734</v>
      </c>
      <c r="O183" s="10">
        <f>Github!Q$180</f>
        <v>933341</v>
      </c>
    </row>
    <row r="184">
      <c r="A184" s="10">
        <f>Github!J$121</f>
        <v>120</v>
      </c>
      <c r="B184" s="11" t="str">
        <f>HYPERLINK(CONCAT("http://leetcode.com/problems/",Github!C$121), Github!B$121)</f>
        <v>Triangle</v>
      </c>
      <c r="C184" s="10">
        <f>Github!F$121</f>
        <v>4578</v>
      </c>
      <c r="D184" s="10">
        <f>Github!G$121</f>
        <v>376</v>
      </c>
      <c r="E184" s="10">
        <f>Github!F$121+Github!G$121</f>
        <v>4954</v>
      </c>
      <c r="F184" s="12">
        <f t="shared" si="1"/>
        <v>12.18</v>
      </c>
      <c r="G184" s="10" t="str">
        <f>Github!H$121</f>
        <v>Algorithms</v>
      </c>
      <c r="H184" s="13" t="str">
        <f>SUBSTITUTE(Github!L$121, ";", ", ")</f>
        <v>Array, Dynamic Programming, </v>
      </c>
      <c r="I184" s="10" t="str">
        <f>Github!E$121</f>
        <v>Medium</v>
      </c>
      <c r="J184" s="10" t="str">
        <f>IF(TRIM(Github!D$121)="TRUE","FALSE","TRUE")</f>
        <v>TRUE</v>
      </c>
      <c r="K184" s="10" t="b">
        <f>Github!M$121</f>
        <v>1</v>
      </c>
      <c r="L184" s="10" t="b">
        <f>Github!N$121</f>
        <v>0</v>
      </c>
      <c r="M184" s="10" t="str">
        <f>ROUND(Github!O$121, 2)&amp;"%"</f>
        <v>50.24%</v>
      </c>
      <c r="N184" s="10">
        <f>Github!P$121</f>
        <v>397125</v>
      </c>
      <c r="O184" s="10">
        <f>Github!Q$121</f>
        <v>790504</v>
      </c>
    </row>
    <row r="185">
      <c r="A185" s="10">
        <f>Github!J$223</f>
        <v>222</v>
      </c>
      <c r="B185" s="11" t="str">
        <f>HYPERLINK(CONCAT("http://leetcode.com/problems/",Github!C$223), Github!B$223)</f>
        <v>Count Complete Tree Nodes</v>
      </c>
      <c r="C185" s="10">
        <f>Github!F$223</f>
        <v>4574</v>
      </c>
      <c r="D185" s="10">
        <f>Github!G$223</f>
        <v>305</v>
      </c>
      <c r="E185" s="10">
        <f>Github!F$223+Github!G$223</f>
        <v>4879</v>
      </c>
      <c r="F185" s="12">
        <f t="shared" si="1"/>
        <v>15</v>
      </c>
      <c r="G185" s="10" t="str">
        <f>Github!H$223</f>
        <v>Algorithms</v>
      </c>
      <c r="H185" s="13" t="str">
        <f>SUBSTITUTE(Github!L$223, ";", ", ")</f>
        <v>Binary Search, Tree, Depth-First Search, Binary Tree, </v>
      </c>
      <c r="I185" s="10" t="str">
        <f>Github!E$223</f>
        <v>Medium</v>
      </c>
      <c r="J185" s="10" t="str">
        <f>IF(TRIM(Github!D$223)="TRUE","FALSE","TRUE")</f>
        <v>TRUE</v>
      </c>
      <c r="K185" s="10" t="b">
        <f>Github!M$223</f>
        <v>1</v>
      </c>
      <c r="L185" s="10" t="b">
        <f>Github!N$223</f>
        <v>0</v>
      </c>
      <c r="M185" s="10" t="str">
        <f>ROUND(Github!O$223, 2)&amp;"%"</f>
        <v>54.71%</v>
      </c>
      <c r="N185" s="10">
        <f>Github!P$223</f>
        <v>387153</v>
      </c>
      <c r="O185" s="10">
        <f>Github!Q$223</f>
        <v>707624</v>
      </c>
    </row>
    <row r="186">
      <c r="A186" s="10">
        <f>Github!J$131</f>
        <v>130</v>
      </c>
      <c r="B186" s="11" t="str">
        <f>HYPERLINK(CONCAT("http://leetcode.com/problems/",Github!C$131), Github!B$131)</f>
        <v>Surrounded Regions</v>
      </c>
      <c r="C186" s="10">
        <f>Github!F$131</f>
        <v>4538</v>
      </c>
      <c r="D186" s="10">
        <f>Github!G$131</f>
        <v>1121</v>
      </c>
      <c r="E186" s="10">
        <f>Github!F$131+Github!G$131</f>
        <v>5659</v>
      </c>
      <c r="F186" s="12">
        <f t="shared" si="1"/>
        <v>4.05</v>
      </c>
      <c r="G186" s="10" t="str">
        <f>Github!H$131</f>
        <v>Algorithms</v>
      </c>
      <c r="H186" s="13" t="str">
        <f>SUBSTITUTE(Github!L$131, ";", ", ")</f>
        <v>Array, Depth-First Search, Breadth-First Search, Union Find, Matrix, </v>
      </c>
      <c r="I186" s="10" t="str">
        <f>Github!E$131</f>
        <v>Medium</v>
      </c>
      <c r="J186" s="10" t="str">
        <f>IF(TRIM(Github!D$131)="TRUE","FALSE","TRUE")</f>
        <v>TRUE</v>
      </c>
      <c r="K186" s="10" t="b">
        <f>Github!M$131</f>
        <v>1</v>
      </c>
      <c r="L186" s="10" t="b">
        <f>Github!N$131</f>
        <v>0</v>
      </c>
      <c r="M186" s="10" t="str">
        <f>ROUND(Github!O$131, 2)&amp;"%"</f>
        <v>33.58%</v>
      </c>
      <c r="N186" s="10">
        <f>Github!P$131</f>
        <v>395562</v>
      </c>
      <c r="O186" s="10">
        <f>Github!Q$131</f>
        <v>1177797</v>
      </c>
    </row>
    <row r="187">
      <c r="A187" s="10">
        <f>Github!J$205</f>
        <v>204</v>
      </c>
      <c r="B187" s="11" t="str">
        <f>HYPERLINK(CONCAT("http://leetcode.com/problems/",Github!C$205), Github!B$205)</f>
        <v>Count Primes</v>
      </c>
      <c r="C187" s="10">
        <f>Github!F$205</f>
        <v>4533</v>
      </c>
      <c r="D187" s="10">
        <f>Github!G$205</f>
        <v>973</v>
      </c>
      <c r="E187" s="10">
        <f>Github!F$205+Github!G$205</f>
        <v>5506</v>
      </c>
      <c r="F187" s="12">
        <f t="shared" si="1"/>
        <v>4.66</v>
      </c>
      <c r="G187" s="10" t="str">
        <f>Github!H$205</f>
        <v>Algorithms</v>
      </c>
      <c r="H187" s="13" t="str">
        <f>SUBSTITUTE(Github!L$205, ";", ", ")</f>
        <v>Array, Math, Enumeration, Number Theory, </v>
      </c>
      <c r="I187" s="10" t="str">
        <f>Github!E$205</f>
        <v>Medium</v>
      </c>
      <c r="J187" s="10" t="str">
        <f>IF(TRIM(Github!D$205)="TRUE","FALSE","TRUE")</f>
        <v>TRUE</v>
      </c>
      <c r="K187" s="10" t="b">
        <f>Github!M$205</f>
        <v>1</v>
      </c>
      <c r="L187" s="10" t="b">
        <f>Github!N$205</f>
        <v>0</v>
      </c>
      <c r="M187" s="10" t="str">
        <f>ROUND(Github!O$205, 2)&amp;"%"</f>
        <v>32.97%</v>
      </c>
      <c r="N187" s="10">
        <f>Github!P$205</f>
        <v>589280</v>
      </c>
      <c r="O187" s="10">
        <f>Github!Q$205</f>
        <v>1787579</v>
      </c>
    </row>
    <row r="188">
      <c r="A188" s="10">
        <f>Github!J$699</f>
        <v>698</v>
      </c>
      <c r="B188" s="11" t="str">
        <f>HYPERLINK(CONCAT("http://leetcode.com/problems/",Github!C$699), Github!B$699)</f>
        <v>Partition to K Equal Sum Subsets</v>
      </c>
      <c r="C188" s="10">
        <f>Github!F$699</f>
        <v>4513</v>
      </c>
      <c r="D188" s="10">
        <f>Github!G$699</f>
        <v>280</v>
      </c>
      <c r="E188" s="10">
        <f>Github!F$699+Github!G$699</f>
        <v>4793</v>
      </c>
      <c r="F188" s="12">
        <f t="shared" si="1"/>
        <v>16.12</v>
      </c>
      <c r="G188" s="10" t="str">
        <f>Github!H$699</f>
        <v>Algorithms</v>
      </c>
      <c r="H188" s="13" t="str">
        <f>SUBSTITUTE(Github!L$699, ";", ", ")</f>
        <v>Array, Dynamic Programming, Backtracking, Bit Manipulation, Memoization, Bitmask, </v>
      </c>
      <c r="I188" s="10" t="str">
        <f>Github!E$699</f>
        <v>Medium</v>
      </c>
      <c r="J188" s="10" t="str">
        <f>IF(TRIM(Github!D$699)="TRUE","FALSE","TRUE")</f>
        <v>TRUE</v>
      </c>
      <c r="K188" s="10" t="b">
        <f>Github!M$699</f>
        <v>1</v>
      </c>
      <c r="L188" s="10" t="b">
        <f>Github!N$699</f>
        <v>0</v>
      </c>
      <c r="M188" s="10" t="str">
        <f>ROUND(Github!O$699, 2)&amp;"%"</f>
        <v>44.83%</v>
      </c>
      <c r="N188" s="10">
        <f>Github!P$699</f>
        <v>188053</v>
      </c>
      <c r="O188" s="10">
        <f>Github!Q$699</f>
        <v>419455</v>
      </c>
    </row>
    <row r="189">
      <c r="A189" s="10">
        <f>Github!J$96</f>
        <v>95</v>
      </c>
      <c r="B189" s="11" t="str">
        <f>HYPERLINK(CONCAT("http://leetcode.com/problems/",Github!C$96), Github!B$96)</f>
        <v>Unique Binary Search Trees II</v>
      </c>
      <c r="C189" s="10">
        <f>Github!F$96</f>
        <v>4511</v>
      </c>
      <c r="D189" s="10">
        <f>Github!G$96</f>
        <v>293</v>
      </c>
      <c r="E189" s="10">
        <f>Github!F$96+Github!G$96</f>
        <v>4804</v>
      </c>
      <c r="F189" s="12">
        <f t="shared" si="1"/>
        <v>15.4</v>
      </c>
      <c r="G189" s="10" t="str">
        <f>Github!H$96</f>
        <v>Algorithms</v>
      </c>
      <c r="H189" s="13" t="str">
        <f>SUBSTITUTE(Github!L$96, ";", ", ")</f>
        <v>Dynamic Programming, Backtracking, Tree, Binary Search Tree, Binary Tree, </v>
      </c>
      <c r="I189" s="10" t="str">
        <f>Github!E$96</f>
        <v>Medium</v>
      </c>
      <c r="J189" s="10" t="str">
        <f>IF(TRIM(Github!D$96)="TRUE","FALSE","TRUE")</f>
        <v>TRUE</v>
      </c>
      <c r="K189" s="10" t="b">
        <f>Github!M$96</f>
        <v>1</v>
      </c>
      <c r="L189" s="10" t="b">
        <f>Github!N$96</f>
        <v>0</v>
      </c>
      <c r="M189" s="10" t="str">
        <f>ROUND(Github!O$96, 2)&amp;"%"</f>
        <v>48.91%</v>
      </c>
      <c r="N189" s="10">
        <f>Github!P$96</f>
        <v>296377</v>
      </c>
      <c r="O189" s="10">
        <f>Github!Q$96</f>
        <v>605978</v>
      </c>
    </row>
    <row r="190">
      <c r="A190" s="10">
        <f>Github!J$393</f>
        <v>392</v>
      </c>
      <c r="B190" s="11" t="str">
        <f>HYPERLINK(CONCAT("http://leetcode.com/problems/",Github!C$393), Github!B$393)</f>
        <v>Is Subsequence</v>
      </c>
      <c r="C190" s="10">
        <f>Github!F$393</f>
        <v>4488</v>
      </c>
      <c r="D190" s="10">
        <f>Github!G$393</f>
        <v>280</v>
      </c>
      <c r="E190" s="10">
        <f>Github!F$393+Github!G$393</f>
        <v>4768</v>
      </c>
      <c r="F190" s="12">
        <f t="shared" si="1"/>
        <v>16.03</v>
      </c>
      <c r="G190" s="10" t="str">
        <f>Github!H$393</f>
        <v>Algorithms</v>
      </c>
      <c r="H190" s="13" t="str">
        <f>SUBSTITUTE(Github!L$393, ";", ", ")</f>
        <v>Two Pointers, String, Dynamic Programming, </v>
      </c>
      <c r="I190" s="10" t="str">
        <f>Github!E$393</f>
        <v>Easy</v>
      </c>
      <c r="J190" s="10" t="str">
        <f>IF(TRIM(Github!D$393)="TRUE","FALSE","TRUE")</f>
        <v>TRUE</v>
      </c>
      <c r="K190" s="10" t="b">
        <f>Github!M$393</f>
        <v>1</v>
      </c>
      <c r="L190" s="10" t="b">
        <f>Github!N$393</f>
        <v>0</v>
      </c>
      <c r="M190" s="10" t="str">
        <f>ROUND(Github!O$393, 2)&amp;"%"</f>
        <v>50.94%</v>
      </c>
      <c r="N190" s="10">
        <f>Github!P$393</f>
        <v>442008</v>
      </c>
      <c r="O190" s="10">
        <f>Github!Q$393</f>
        <v>867693</v>
      </c>
    </row>
    <row r="191">
      <c r="A191" s="10">
        <f>Github!J$230</f>
        <v>229</v>
      </c>
      <c r="B191" s="11" t="str">
        <f>HYPERLINK(CONCAT("http://leetcode.com/problems/",Github!C$230), Github!B$230)</f>
        <v>Majority Element II</v>
      </c>
      <c r="C191" s="10">
        <f>Github!F$230</f>
        <v>4482</v>
      </c>
      <c r="D191" s="10">
        <f>Github!G$230</f>
        <v>270</v>
      </c>
      <c r="E191" s="10">
        <f>Github!F$230+Github!G$230</f>
        <v>4752</v>
      </c>
      <c r="F191" s="12">
        <f t="shared" si="1"/>
        <v>16.6</v>
      </c>
      <c r="G191" s="10" t="str">
        <f>Github!H$230</f>
        <v>Algorithms</v>
      </c>
      <c r="H191" s="13" t="str">
        <f>SUBSTITUTE(Github!L$230, ";", ", ")</f>
        <v>Array, Hash Table, Sorting, Counting, </v>
      </c>
      <c r="I191" s="10" t="str">
        <f>Github!E$230</f>
        <v>Medium</v>
      </c>
      <c r="J191" s="10" t="str">
        <f>IF(TRIM(Github!D$230)="TRUE","FALSE","TRUE")</f>
        <v>TRUE</v>
      </c>
      <c r="K191" s="10" t="b">
        <f>Github!M$230</f>
        <v>1</v>
      </c>
      <c r="L191" s="10" t="b">
        <f>Github!N$230</f>
        <v>0</v>
      </c>
      <c r="M191" s="10" t="str">
        <f>ROUND(Github!O$230, 2)&amp;"%"</f>
        <v>41.97%</v>
      </c>
      <c r="N191" s="10">
        <f>Github!P$230</f>
        <v>273562</v>
      </c>
      <c r="O191" s="10">
        <f>Github!Q$230</f>
        <v>651872</v>
      </c>
    </row>
    <row r="192">
      <c r="A192" s="10">
        <f>Github!J$411</f>
        <v>410</v>
      </c>
      <c r="B192" s="11" t="str">
        <f>HYPERLINK(CONCAT("http://leetcode.com/problems/",Github!C$411), Github!B$411)</f>
        <v>Split Array Largest Sum</v>
      </c>
      <c r="C192" s="10">
        <f>Github!F$411</f>
        <v>4474</v>
      </c>
      <c r="D192" s="10">
        <f>Github!G$411</f>
        <v>128</v>
      </c>
      <c r="E192" s="10">
        <f>Github!F$411+Github!G$411</f>
        <v>4602</v>
      </c>
      <c r="F192" s="12">
        <f t="shared" si="1"/>
        <v>34.95</v>
      </c>
      <c r="G192" s="10" t="str">
        <f>Github!H$411</f>
        <v>Algorithms</v>
      </c>
      <c r="H192" s="13" t="str">
        <f>SUBSTITUTE(Github!L$411, ";", ", ")</f>
        <v>Array, Binary Search, Dynamic Programming, Greedy, </v>
      </c>
      <c r="I192" s="10" t="str">
        <f>Github!E$411</f>
        <v>Hard</v>
      </c>
      <c r="J192" s="10" t="str">
        <f>IF(TRIM(Github!D$411)="TRUE","FALSE","TRUE")</f>
        <v>TRUE</v>
      </c>
      <c r="K192" s="10" t="b">
        <f>Github!M$411</f>
        <v>1</v>
      </c>
      <c r="L192" s="10" t="b">
        <f>Github!N$411</f>
        <v>0</v>
      </c>
      <c r="M192" s="10" t="str">
        <f>ROUND(Github!O$411, 2)&amp;"%"</f>
        <v>49.98%</v>
      </c>
      <c r="N192" s="10">
        <f>Github!P$411</f>
        <v>171893</v>
      </c>
      <c r="O192" s="10">
        <f>Github!Q$411</f>
        <v>343940</v>
      </c>
    </row>
    <row r="193">
      <c r="A193" s="10">
        <f>Github!J$141</f>
        <v>140</v>
      </c>
      <c r="B193" s="11" t="str">
        <f>HYPERLINK(CONCAT("http://leetcode.com/problems/",Github!C$141), Github!B$141)</f>
        <v>Word Break II</v>
      </c>
      <c r="C193" s="10">
        <f>Github!F$141</f>
        <v>4468</v>
      </c>
      <c r="D193" s="10">
        <f>Github!G$141</f>
        <v>473</v>
      </c>
      <c r="E193" s="10">
        <f>Github!F$141+Github!G$141</f>
        <v>4941</v>
      </c>
      <c r="F193" s="12">
        <f t="shared" si="1"/>
        <v>9.45</v>
      </c>
      <c r="G193" s="10" t="str">
        <f>Github!H$141</f>
        <v>Algorithms</v>
      </c>
      <c r="H193" s="13" t="str">
        <f>SUBSTITUTE(Github!L$141, ";", ", ")</f>
        <v>Hash Table, String, Dynamic Programming, Backtracking, Trie, Memoization, </v>
      </c>
      <c r="I193" s="10" t="str">
        <f>Github!E$141</f>
        <v>Hard</v>
      </c>
      <c r="J193" s="10" t="str">
        <f>IF(TRIM(Github!D$141)="TRUE","FALSE","TRUE")</f>
        <v>TRUE</v>
      </c>
      <c r="K193" s="10" t="b">
        <f>Github!M$141</f>
        <v>1</v>
      </c>
      <c r="L193" s="10" t="b">
        <f>Github!N$141</f>
        <v>0</v>
      </c>
      <c r="M193" s="10" t="str">
        <f>ROUND(Github!O$141, 2)&amp;"%"</f>
        <v>41.46%</v>
      </c>
      <c r="N193" s="10">
        <f>Github!P$141</f>
        <v>424643</v>
      </c>
      <c r="O193" s="10">
        <f>Github!Q$141</f>
        <v>1024216</v>
      </c>
    </row>
    <row r="194">
      <c r="A194" s="10">
        <f>Github!J$58</f>
        <v>57</v>
      </c>
      <c r="B194" s="11" t="str">
        <f>HYPERLINK(CONCAT("http://leetcode.com/problems/",Github!C$58), Github!B$58)</f>
        <v>Insert Interval</v>
      </c>
      <c r="C194" s="10">
        <f>Github!F$58</f>
        <v>4456</v>
      </c>
      <c r="D194" s="10">
        <f>Github!G$58</f>
        <v>325</v>
      </c>
      <c r="E194" s="10">
        <f>Github!F$58+Github!G$58</f>
        <v>4781</v>
      </c>
      <c r="F194" s="12">
        <f t="shared" si="1"/>
        <v>13.71</v>
      </c>
      <c r="G194" s="10" t="str">
        <f>Github!H$58</f>
        <v>Algorithms</v>
      </c>
      <c r="H194" s="13" t="str">
        <f>SUBSTITUTE(Github!L$58, ";", ", ")</f>
        <v>Array, </v>
      </c>
      <c r="I194" s="10" t="str">
        <f>Github!E$58</f>
        <v>Medium</v>
      </c>
      <c r="J194" s="10" t="str">
        <f>IF(TRIM(Github!D$58)="TRUE","FALSE","TRUE")</f>
        <v>TRUE</v>
      </c>
      <c r="K194" s="10" t="b">
        <f>Github!M$58</f>
        <v>1</v>
      </c>
      <c r="L194" s="10" t="b">
        <f>Github!N$58</f>
        <v>0</v>
      </c>
      <c r="M194" s="10" t="str">
        <f>ROUND(Github!O$58, 2)&amp;"%"</f>
        <v>37.19%</v>
      </c>
      <c r="N194" s="10">
        <f>Github!P$58</f>
        <v>473569</v>
      </c>
      <c r="O194" s="10">
        <f>Github!Q$58</f>
        <v>1273405</v>
      </c>
    </row>
    <row r="195">
      <c r="A195" s="10">
        <f>Github!J$62</f>
        <v>61</v>
      </c>
      <c r="B195" s="11" t="str">
        <f>HYPERLINK(CONCAT("http://leetcode.com/problems/",Github!C$62), Github!B$62)</f>
        <v>Rotate List</v>
      </c>
      <c r="C195" s="10">
        <f>Github!F$62</f>
        <v>4714</v>
      </c>
      <c r="D195" s="10">
        <f>Github!G$62</f>
        <v>1261</v>
      </c>
      <c r="E195" s="10">
        <f>Github!F$62+Github!G$62</f>
        <v>5975</v>
      </c>
      <c r="F195" s="12">
        <f t="shared" si="1"/>
        <v>3.74</v>
      </c>
      <c r="G195" s="10" t="str">
        <f>Github!H$62</f>
        <v>Algorithms</v>
      </c>
      <c r="H195" s="13" t="str">
        <f>SUBSTITUTE(Github!L$62, ";", ", ")</f>
        <v>Linked List, Two Pointers, </v>
      </c>
      <c r="I195" s="10" t="str">
        <f>Github!E$62</f>
        <v>Medium</v>
      </c>
      <c r="J195" s="10" t="str">
        <f>IF(TRIM(Github!D$62)="TRUE","FALSE","TRUE")</f>
        <v>TRUE</v>
      </c>
      <c r="K195" s="10" t="b">
        <f>Github!M$62</f>
        <v>1</v>
      </c>
      <c r="L195" s="10" t="b">
        <f>Github!N$62</f>
        <v>0</v>
      </c>
      <c r="M195" s="10" t="str">
        <f>ROUND(Github!O$62, 2)&amp;"%"</f>
        <v>34.57%</v>
      </c>
      <c r="N195" s="10">
        <f>Github!P$62</f>
        <v>524703</v>
      </c>
      <c r="O195" s="10">
        <f>Github!Q$62</f>
        <v>1518253</v>
      </c>
    </row>
    <row r="196">
      <c r="A196" s="10">
        <f>Github!J$302</f>
        <v>301</v>
      </c>
      <c r="B196" s="11" t="str">
        <f>HYPERLINK(CONCAT("http://leetcode.com/problems/",Github!C$302), Github!B$302)</f>
        <v>Remove Invalid Parentheses</v>
      </c>
      <c r="C196" s="10">
        <f>Github!F$302</f>
        <v>4448</v>
      </c>
      <c r="D196" s="10">
        <f>Github!G$302</f>
        <v>225</v>
      </c>
      <c r="E196" s="10">
        <f>Github!F$302+Github!G$302</f>
        <v>4673</v>
      </c>
      <c r="F196" s="12">
        <f t="shared" si="1"/>
        <v>19.77</v>
      </c>
      <c r="G196" s="10" t="str">
        <f>Github!H$302</f>
        <v>Algorithms</v>
      </c>
      <c r="H196" s="13" t="str">
        <f>SUBSTITUTE(Github!L$302, ";", ", ")</f>
        <v>String, Backtracking, Breadth-First Search, </v>
      </c>
      <c r="I196" s="10" t="str">
        <f>Github!E$302</f>
        <v>Hard</v>
      </c>
      <c r="J196" s="10" t="str">
        <f>IF(TRIM(Github!D$302)="TRUE","FALSE","TRUE")</f>
        <v>TRUE</v>
      </c>
      <c r="K196" s="10" t="b">
        <f>Github!M$302</f>
        <v>1</v>
      </c>
      <c r="L196" s="10" t="b">
        <f>Github!N$302</f>
        <v>0</v>
      </c>
      <c r="M196" s="10" t="str">
        <f>ROUND(Github!O$302, 2)&amp;"%"</f>
        <v>46.68%</v>
      </c>
      <c r="N196" s="10">
        <f>Github!P$302</f>
        <v>336677</v>
      </c>
      <c r="O196" s="10">
        <f>Github!Q$302</f>
        <v>721261</v>
      </c>
    </row>
    <row r="197">
      <c r="A197" s="10">
        <f>Github!J$114</f>
        <v>113</v>
      </c>
      <c r="B197" s="11" t="str">
        <f>HYPERLINK(CONCAT("http://leetcode.com/problems/",Github!C$114), Github!B$114)</f>
        <v>Path Sum II</v>
      </c>
      <c r="C197" s="10">
        <f>Github!F$114</f>
        <v>4440</v>
      </c>
      <c r="D197" s="10">
        <f>Github!G$114</f>
        <v>104</v>
      </c>
      <c r="E197" s="10">
        <f>Github!F$114+Github!G$114</f>
        <v>4544</v>
      </c>
      <c r="F197" s="12">
        <f t="shared" si="1"/>
        <v>42.69</v>
      </c>
      <c r="G197" s="10" t="str">
        <f>Github!H$114</f>
        <v>Algorithms</v>
      </c>
      <c r="H197" s="13" t="str">
        <f>SUBSTITUTE(Github!L$114, ";", ", ")</f>
        <v>Backtracking, Tree, Depth-First Search, Binary Tree, </v>
      </c>
      <c r="I197" s="10" t="str">
        <f>Github!E$114</f>
        <v>Medium</v>
      </c>
      <c r="J197" s="10" t="str">
        <f>IF(TRIM(Github!D$114)="TRUE","FALSE","TRUE")</f>
        <v>TRUE</v>
      </c>
      <c r="K197" s="10" t="b">
        <f>Github!M$114</f>
        <v>1</v>
      </c>
      <c r="L197" s="10" t="b">
        <f>Github!N$114</f>
        <v>0</v>
      </c>
      <c r="M197" s="10" t="str">
        <f>ROUND(Github!O$114, 2)&amp;"%"</f>
        <v>53.56%</v>
      </c>
      <c r="N197" s="10">
        <f>Github!P$114</f>
        <v>553479</v>
      </c>
      <c r="O197" s="10">
        <f>Github!Q$114</f>
        <v>1033336</v>
      </c>
    </row>
    <row r="198">
      <c r="A198" s="10">
        <f>Github!J$84</f>
        <v>83</v>
      </c>
      <c r="B198" s="11" t="str">
        <f>HYPERLINK(CONCAT("http://leetcode.com/problems/",Github!C$84), Github!B$84)</f>
        <v>Remove Duplicates from Sorted List</v>
      </c>
      <c r="C198" s="10">
        <f>Github!F$84</f>
        <v>4420</v>
      </c>
      <c r="D198" s="10">
        <f>Github!G$84</f>
        <v>179</v>
      </c>
      <c r="E198" s="10">
        <f>Github!F$84+Github!G$84</f>
        <v>4599</v>
      </c>
      <c r="F198" s="12">
        <f t="shared" si="1"/>
        <v>24.69</v>
      </c>
      <c r="G198" s="10" t="str">
        <f>Github!H$84</f>
        <v>Algorithms</v>
      </c>
      <c r="H198" s="13" t="str">
        <f>SUBSTITUTE(Github!L$84, ";", ", ")</f>
        <v>Linked List, </v>
      </c>
      <c r="I198" s="10" t="str">
        <f>Github!E$84</f>
        <v>Easy</v>
      </c>
      <c r="J198" s="10" t="str">
        <f>IF(TRIM(Github!D$84)="TRUE","FALSE","TRUE")</f>
        <v>TRUE</v>
      </c>
      <c r="K198" s="10" t="b">
        <f>Github!M$84</f>
        <v>1</v>
      </c>
      <c r="L198" s="10" t="b">
        <f>Github!N$84</f>
        <v>0</v>
      </c>
      <c r="M198" s="10" t="str">
        <f>ROUND(Github!O$84, 2)&amp;"%"</f>
        <v>48.77%</v>
      </c>
      <c r="N198" s="10">
        <f>Github!P$84</f>
        <v>810067</v>
      </c>
      <c r="O198" s="10">
        <f>Github!Q$84</f>
        <v>1661074</v>
      </c>
    </row>
    <row r="199">
      <c r="A199" s="10">
        <f>Github!J$279</f>
        <v>278</v>
      </c>
      <c r="B199" s="11" t="str">
        <f>HYPERLINK(CONCAT("http://leetcode.com/problems/",Github!C$279), Github!B$279)</f>
        <v>First Bad Version</v>
      </c>
      <c r="C199" s="10">
        <f>Github!F$279</f>
        <v>4384</v>
      </c>
      <c r="D199" s="10">
        <f>Github!G$279</f>
        <v>1642</v>
      </c>
      <c r="E199" s="10">
        <f>Github!F$279+Github!G$279</f>
        <v>6026</v>
      </c>
      <c r="F199" s="12">
        <f t="shared" si="1"/>
        <v>2.67</v>
      </c>
      <c r="G199" s="10" t="str">
        <f>Github!H$279</f>
        <v>Algorithms</v>
      </c>
      <c r="H199" s="13" t="str">
        <f>SUBSTITUTE(Github!L$279, ";", ", ")</f>
        <v>Binary Search, Interactive, </v>
      </c>
      <c r="I199" s="10" t="str">
        <f>Github!E$279</f>
        <v>Easy</v>
      </c>
      <c r="J199" s="10" t="str">
        <f>IF(TRIM(Github!D$279)="TRUE","FALSE","TRUE")</f>
        <v>TRUE</v>
      </c>
      <c r="K199" s="10" t="b">
        <f>Github!M$279</f>
        <v>1</v>
      </c>
      <c r="L199" s="10" t="b">
        <f>Github!N$279</f>
        <v>1</v>
      </c>
      <c r="M199" s="10" t="str">
        <f>ROUND(Github!O$279, 2)&amp;"%"</f>
        <v>41.19%</v>
      </c>
      <c r="N199" s="10">
        <f>Github!P$279</f>
        <v>906214</v>
      </c>
      <c r="O199" s="10">
        <f>Github!Q$279</f>
        <v>2199854</v>
      </c>
    </row>
    <row r="200">
      <c r="A200" s="10">
        <f>Github!J$741</f>
        <v>740</v>
      </c>
      <c r="B200" s="11" t="str">
        <f>HYPERLINK(CONCAT("http://leetcode.com/problems/",Github!C$741), Github!B$741)</f>
        <v>Delete and Earn</v>
      </c>
      <c r="C200" s="10">
        <f>Github!F$741</f>
        <v>4388</v>
      </c>
      <c r="D200" s="10">
        <f>Github!G$741</f>
        <v>248</v>
      </c>
      <c r="E200" s="10">
        <f>Github!F$741+Github!G$741</f>
        <v>4636</v>
      </c>
      <c r="F200" s="12">
        <f t="shared" si="1"/>
        <v>17.69</v>
      </c>
      <c r="G200" s="10" t="str">
        <f>Github!H$741</f>
        <v>Algorithms</v>
      </c>
      <c r="H200" s="13" t="str">
        <f>SUBSTITUTE(Github!L$741, ";", ", ")</f>
        <v>Array, Hash Table, Dynamic Programming, </v>
      </c>
      <c r="I200" s="10" t="str">
        <f>Github!E$741</f>
        <v>Medium</v>
      </c>
      <c r="J200" s="10" t="str">
        <f>IF(TRIM(Github!D$741)="TRUE","FALSE","TRUE")</f>
        <v>TRUE</v>
      </c>
      <c r="K200" s="10" t="b">
        <f>Github!M$741</f>
        <v>1</v>
      </c>
      <c r="L200" s="10" t="b">
        <f>Github!N$741</f>
        <v>0</v>
      </c>
      <c r="M200" s="10" t="str">
        <f>ROUND(Github!O$741, 2)&amp;"%"</f>
        <v>57.04%</v>
      </c>
      <c r="N200" s="10">
        <f>Github!P$741</f>
        <v>164738</v>
      </c>
      <c r="O200" s="10">
        <f>Github!Q$741</f>
        <v>288792</v>
      </c>
    </row>
    <row r="201">
      <c r="A201" s="10">
        <f>Github!J$243</f>
        <v>242</v>
      </c>
      <c r="B201" s="11" t="str">
        <f>HYPERLINK(CONCAT("http://leetcode.com/problems/",Github!C$243), Github!B$243)</f>
        <v>Valid Anagram</v>
      </c>
      <c r="C201" s="10">
        <f>Github!F$243</f>
        <v>4367</v>
      </c>
      <c r="D201" s="10">
        <f>Github!G$243</f>
        <v>203</v>
      </c>
      <c r="E201" s="10">
        <f>Github!F$243+Github!G$243</f>
        <v>4570</v>
      </c>
      <c r="F201" s="12">
        <f t="shared" si="1"/>
        <v>21.51</v>
      </c>
      <c r="G201" s="10" t="str">
        <f>Github!H$243</f>
        <v>Algorithms</v>
      </c>
      <c r="H201" s="13" t="str">
        <f>SUBSTITUTE(Github!L$243, ";", ", ")</f>
        <v>Hash Table, String, Sorting, </v>
      </c>
      <c r="I201" s="10" t="str">
        <f>Github!E$243</f>
        <v>Easy</v>
      </c>
      <c r="J201" s="10" t="str">
        <f>IF(TRIM(Github!D$243)="TRUE","FALSE","TRUE")</f>
        <v>TRUE</v>
      </c>
      <c r="K201" s="10" t="b">
        <f>Github!M$243</f>
        <v>1</v>
      </c>
      <c r="L201" s="10" t="b">
        <f>Github!N$243</f>
        <v>1</v>
      </c>
      <c r="M201" s="10" t="str">
        <f>ROUND(Github!O$243, 2)&amp;"%"</f>
        <v>61.13%</v>
      </c>
      <c r="N201" s="10">
        <f>Github!P$243</f>
        <v>1144693</v>
      </c>
      <c r="O201" s="10">
        <f>Github!Q$243</f>
        <v>1872557</v>
      </c>
    </row>
    <row r="202">
      <c r="A202" s="10">
        <f>Github!J$768</f>
        <v>767</v>
      </c>
      <c r="B202" s="11" t="str">
        <f>HYPERLINK(CONCAT("http://leetcode.com/problems/",Github!C$768), Github!B$768)</f>
        <v>Reorganize String</v>
      </c>
      <c r="C202" s="10">
        <f>Github!F$768</f>
        <v>4365</v>
      </c>
      <c r="D202" s="10">
        <f>Github!G$768</f>
        <v>170</v>
      </c>
      <c r="E202" s="10">
        <f>Github!F$768+Github!G$768</f>
        <v>4535</v>
      </c>
      <c r="F202" s="12">
        <f t="shared" si="1"/>
        <v>25.68</v>
      </c>
      <c r="G202" s="10" t="str">
        <f>Github!H$768</f>
        <v>Algorithms</v>
      </c>
      <c r="H202" s="13" t="str">
        <f>SUBSTITUTE(Github!L$768, ";", ", ")</f>
        <v>Hash Table, String, Greedy, Sorting, Heap (Priority Queue), Counting, </v>
      </c>
      <c r="I202" s="10" t="str">
        <f>Github!E$768</f>
        <v>Medium</v>
      </c>
      <c r="J202" s="10" t="str">
        <f>IF(TRIM(Github!D$768)="TRUE","FALSE","TRUE")</f>
        <v>TRUE</v>
      </c>
      <c r="K202" s="10" t="b">
        <f>Github!M$768</f>
        <v>0</v>
      </c>
      <c r="L202" s="10" t="b">
        <f>Github!N$768</f>
        <v>0</v>
      </c>
      <c r="M202" s="10" t="str">
        <f>ROUND(Github!O$768, 2)&amp;"%"</f>
        <v>51.83%</v>
      </c>
      <c r="N202" s="10">
        <f>Github!P$768</f>
        <v>198901</v>
      </c>
      <c r="O202" s="10">
        <f>Github!Q$768</f>
        <v>383786</v>
      </c>
    </row>
    <row r="203">
      <c r="A203" s="10">
        <f>Github!J$64</f>
        <v>63</v>
      </c>
      <c r="B203" s="11" t="str">
        <f>HYPERLINK(CONCAT("http://leetcode.com/problems/",Github!C$64), Github!B$64)</f>
        <v>Unique Paths II</v>
      </c>
      <c r="C203" s="10">
        <f>Github!F$64</f>
        <v>4363</v>
      </c>
      <c r="D203" s="10">
        <f>Github!G$64</f>
        <v>366</v>
      </c>
      <c r="E203" s="10">
        <f>Github!F$64+Github!G$64</f>
        <v>4729</v>
      </c>
      <c r="F203" s="12">
        <f t="shared" si="1"/>
        <v>11.92</v>
      </c>
      <c r="G203" s="10" t="str">
        <f>Github!H$64</f>
        <v>Algorithms</v>
      </c>
      <c r="H203" s="13" t="str">
        <f>SUBSTITUTE(Github!L$64, ";", ", ")</f>
        <v>Array, Dynamic Programming, Matrix, </v>
      </c>
      <c r="I203" s="10" t="str">
        <f>Github!E$64</f>
        <v>Medium</v>
      </c>
      <c r="J203" s="10" t="str">
        <f>IF(TRIM(Github!D$64)="TRUE","FALSE","TRUE")</f>
        <v>TRUE</v>
      </c>
      <c r="K203" s="10" t="b">
        <f>Github!M$64</f>
        <v>1</v>
      </c>
      <c r="L203" s="10" t="b">
        <f>Github!N$64</f>
        <v>0</v>
      </c>
      <c r="M203" s="10" t="str">
        <f>ROUND(Github!O$64, 2)&amp;"%"</f>
        <v>37.3%</v>
      </c>
      <c r="N203" s="10">
        <f>Github!P$64</f>
        <v>486115</v>
      </c>
      <c r="O203" s="10">
        <f>Github!Q$64</f>
        <v>1303156</v>
      </c>
    </row>
    <row r="204">
      <c r="A204" s="10">
        <f>Github!J$45</f>
        <v>44</v>
      </c>
      <c r="B204" s="11" t="str">
        <f>HYPERLINK(CONCAT("http://leetcode.com/problems/",Github!C$45), Github!B$45)</f>
        <v>Wildcard Matching</v>
      </c>
      <c r="C204" s="10">
        <f>Github!F$45</f>
        <v>4335</v>
      </c>
      <c r="D204" s="10">
        <f>Github!G$45</f>
        <v>193</v>
      </c>
      <c r="E204" s="10">
        <f>Github!F$45+Github!G$45</f>
        <v>4528</v>
      </c>
      <c r="F204" s="12">
        <f t="shared" si="1"/>
        <v>22.46</v>
      </c>
      <c r="G204" s="10" t="str">
        <f>Github!H$45</f>
        <v>Algorithms</v>
      </c>
      <c r="H204" s="13" t="str">
        <f>SUBSTITUTE(Github!L$45, ";", ", ")</f>
        <v>String, Dynamic Programming, Greedy, Recursion, </v>
      </c>
      <c r="I204" s="10" t="str">
        <f>Github!E$45</f>
        <v>Hard</v>
      </c>
      <c r="J204" s="10" t="str">
        <f>IF(TRIM(Github!D$45)="TRUE","FALSE","TRUE")</f>
        <v>TRUE</v>
      </c>
      <c r="K204" s="10" t="b">
        <f>Github!M$45</f>
        <v>1</v>
      </c>
      <c r="L204" s="10" t="b">
        <f>Github!N$45</f>
        <v>0</v>
      </c>
      <c r="M204" s="10" t="str">
        <f>ROUND(Github!O$45, 2)&amp;"%"</f>
        <v>26.43%</v>
      </c>
      <c r="N204" s="10">
        <f>Github!P$45</f>
        <v>369203</v>
      </c>
      <c r="O204" s="10">
        <f>Github!Q$45</f>
        <v>1396957</v>
      </c>
    </row>
    <row r="205">
      <c r="A205" s="10">
        <f>Github!J$110</f>
        <v>109</v>
      </c>
      <c r="B205" s="11" t="str">
        <f>HYPERLINK(CONCAT("http://leetcode.com/problems/",Github!C$110), Github!B$110)</f>
        <v>Convert Sorted List to Binary Search Tree</v>
      </c>
      <c r="C205" s="10">
        <f>Github!F$110</f>
        <v>4326</v>
      </c>
      <c r="D205" s="10">
        <f>Github!G$110</f>
        <v>111</v>
      </c>
      <c r="E205" s="10">
        <f>Github!F$110+Github!G$110</f>
        <v>4437</v>
      </c>
      <c r="F205" s="12">
        <f t="shared" si="1"/>
        <v>38.97</v>
      </c>
      <c r="G205" s="10" t="str">
        <f>Github!H$110</f>
        <v>Algorithms</v>
      </c>
      <c r="H205" s="13" t="str">
        <f>SUBSTITUTE(Github!L$110, ";", ", ")</f>
        <v>Linked List, Divide and Conquer, Tree, Binary Search Tree, Binary Tree, </v>
      </c>
      <c r="I205" s="10" t="str">
        <f>Github!E$110</f>
        <v>Medium</v>
      </c>
      <c r="J205" s="10" t="str">
        <f>IF(TRIM(Github!D$110)="TRUE","FALSE","TRUE")</f>
        <v>TRUE</v>
      </c>
      <c r="K205" s="10" t="b">
        <f>Github!M$110</f>
        <v>1</v>
      </c>
      <c r="L205" s="10" t="b">
        <f>Github!N$110</f>
        <v>0</v>
      </c>
      <c r="M205" s="10" t="str">
        <f>ROUND(Github!O$110, 2)&amp;"%"</f>
        <v>55.05%</v>
      </c>
      <c r="N205" s="10">
        <f>Github!P$110</f>
        <v>361174</v>
      </c>
      <c r="O205" s="10">
        <f>Github!Q$110</f>
        <v>656045</v>
      </c>
    </row>
    <row r="206">
      <c r="A206" s="10">
        <f>Github!J$663</f>
        <v>662</v>
      </c>
      <c r="B206" s="11" t="str">
        <f>HYPERLINK(CONCAT("http://leetcode.com/problems/",Github!C$663), Github!B$663)</f>
        <v>Maximum Width of Binary Tree</v>
      </c>
      <c r="C206" s="10">
        <f>Github!F$663</f>
        <v>4291</v>
      </c>
      <c r="D206" s="10">
        <f>Github!G$663</f>
        <v>693</v>
      </c>
      <c r="E206" s="10">
        <f>Github!F$663+Github!G$663</f>
        <v>4984</v>
      </c>
      <c r="F206" s="12">
        <f t="shared" si="1"/>
        <v>6.19</v>
      </c>
      <c r="G206" s="10" t="str">
        <f>Github!H$663</f>
        <v>Algorithms</v>
      </c>
      <c r="H206" s="13" t="str">
        <f>SUBSTITUTE(Github!L$663, ";", ", ")</f>
        <v>Tree, Depth-First Search, Breadth-First Search, Binary Tree, </v>
      </c>
      <c r="I206" s="10" t="str">
        <f>Github!E$663</f>
        <v>Medium</v>
      </c>
      <c r="J206" s="10" t="str">
        <f>IF(TRIM(Github!D$663)="TRUE","FALSE","TRUE")</f>
        <v>TRUE</v>
      </c>
      <c r="K206" s="10" t="b">
        <f>Github!M$663</f>
        <v>1</v>
      </c>
      <c r="L206" s="10" t="b">
        <f>Github!N$663</f>
        <v>0</v>
      </c>
      <c r="M206" s="10" t="str">
        <f>ROUND(Github!O$663, 2)&amp;"%"</f>
        <v>40.15%</v>
      </c>
      <c r="N206" s="10">
        <f>Github!P$663</f>
        <v>174656</v>
      </c>
      <c r="O206" s="10">
        <f>Github!Q$663</f>
        <v>434993</v>
      </c>
    </row>
    <row r="207">
      <c r="A207" s="10">
        <f>Github!J$543</f>
        <v>542</v>
      </c>
      <c r="B207" s="11" t="str">
        <f>HYPERLINK(CONCAT("http://leetcode.com/problems/",Github!C$543), Github!B$543)</f>
        <v>01 Matrix</v>
      </c>
      <c r="C207" s="10">
        <f>Github!F$543</f>
        <v>4245</v>
      </c>
      <c r="D207" s="10">
        <f>Github!G$543</f>
        <v>208</v>
      </c>
      <c r="E207" s="10">
        <f>Github!F$543+Github!G$543</f>
        <v>4453</v>
      </c>
      <c r="F207" s="12">
        <f t="shared" si="1"/>
        <v>20.41</v>
      </c>
      <c r="G207" s="10" t="str">
        <f>Github!H$543</f>
        <v>Algorithms</v>
      </c>
      <c r="H207" s="13" t="str">
        <f>SUBSTITUTE(Github!L$543, ";", ", ")</f>
        <v>Array, Dynamic Programming, Breadth-First Search, Matrix, </v>
      </c>
      <c r="I207" s="10" t="str">
        <f>Github!E$543</f>
        <v>Medium</v>
      </c>
      <c r="J207" s="10" t="str">
        <f>IF(TRIM(Github!D$543)="TRUE","FALSE","TRUE")</f>
        <v>TRUE</v>
      </c>
      <c r="K207" s="10" t="b">
        <f>Github!M$543</f>
        <v>1</v>
      </c>
      <c r="L207" s="10" t="b">
        <f>Github!N$543</f>
        <v>0</v>
      </c>
      <c r="M207" s="10" t="str">
        <f>ROUND(Github!O$543, 2)&amp;"%"</f>
        <v>43.56%</v>
      </c>
      <c r="N207" s="10">
        <f>Github!P$543</f>
        <v>221361</v>
      </c>
      <c r="O207" s="10">
        <f>Github!Q$543</f>
        <v>508165</v>
      </c>
    </row>
    <row r="208">
      <c r="A208" s="10">
        <f>Github!J$107</f>
        <v>106</v>
      </c>
      <c r="B208" s="11" t="str">
        <f>HYPERLINK(CONCAT("http://leetcode.com/problems/",Github!C$107), Github!B$107)</f>
        <v>Construct Binary Tree from Inorder and Postorder Traversal</v>
      </c>
      <c r="C208" s="10">
        <f>Github!F$107</f>
        <v>4227</v>
      </c>
      <c r="D208" s="10">
        <f>Github!G$107</f>
        <v>70</v>
      </c>
      <c r="E208" s="10">
        <f>Github!F$107+Github!G$107</f>
        <v>4297</v>
      </c>
      <c r="F208" s="12">
        <f t="shared" si="1"/>
        <v>60.39</v>
      </c>
      <c r="G208" s="10" t="str">
        <f>Github!H$107</f>
        <v>Algorithms</v>
      </c>
      <c r="H208" s="13" t="str">
        <f>SUBSTITUTE(Github!L$107, ";", ", ")</f>
        <v>Array, Hash Table, Divide and Conquer, Tree, Binary Tree, </v>
      </c>
      <c r="I208" s="10" t="str">
        <f>Github!E$107</f>
        <v>Medium</v>
      </c>
      <c r="J208" s="10" t="str">
        <f>IF(TRIM(Github!D$107)="TRUE","FALSE","TRUE")</f>
        <v>TRUE</v>
      </c>
      <c r="K208" s="10" t="b">
        <f>Github!M$107</f>
        <v>1</v>
      </c>
      <c r="L208" s="10" t="b">
        <f>Github!N$107</f>
        <v>0</v>
      </c>
      <c r="M208" s="10" t="str">
        <f>ROUND(Github!O$107, 2)&amp;"%"</f>
        <v>54.86%</v>
      </c>
      <c r="N208" s="10">
        <f>Github!P$107</f>
        <v>382327</v>
      </c>
      <c r="O208" s="10">
        <f>Github!Q$107</f>
        <v>696907</v>
      </c>
    </row>
    <row r="209">
      <c r="A209" s="10">
        <f>Github!J$984</f>
        <v>983</v>
      </c>
      <c r="B209" s="11" t="str">
        <f>HYPERLINK(CONCAT("http://leetcode.com/problems/",Github!C$984), Github!B$984)</f>
        <v>Minimum Cost For Tickets</v>
      </c>
      <c r="C209" s="10">
        <f>Github!F$984</f>
        <v>4221</v>
      </c>
      <c r="D209" s="10">
        <f>Github!G$984</f>
        <v>72</v>
      </c>
      <c r="E209" s="10">
        <f>Github!F$984+Github!G$984</f>
        <v>4293</v>
      </c>
      <c r="F209" s="12">
        <f t="shared" si="1"/>
        <v>58.63</v>
      </c>
      <c r="G209" s="10" t="str">
        <f>Github!H$984</f>
        <v>Algorithms</v>
      </c>
      <c r="H209" s="13" t="str">
        <f>SUBSTITUTE(Github!L$984, ";", ", ")</f>
        <v>Array, Dynamic Programming, </v>
      </c>
      <c r="I209" s="10" t="str">
        <f>Github!E$984</f>
        <v>Medium</v>
      </c>
      <c r="J209" s="10" t="str">
        <f>IF(TRIM(Github!D$984)="TRUE","FALSE","TRUE")</f>
        <v>TRUE</v>
      </c>
      <c r="K209" s="10" t="b">
        <f>Github!M$984</f>
        <v>1</v>
      </c>
      <c r="L209" s="10" t="b">
        <f>Github!N$984</f>
        <v>0</v>
      </c>
      <c r="M209" s="10" t="str">
        <f>ROUND(Github!O$984, 2)&amp;"%"</f>
        <v>63.88%</v>
      </c>
      <c r="N209" s="10">
        <f>Github!P$984</f>
        <v>146130</v>
      </c>
      <c r="O209" s="10">
        <f>Github!Q$984</f>
        <v>228750</v>
      </c>
    </row>
    <row r="210">
      <c r="A210" s="10">
        <f>Github!J$504</f>
        <v>503</v>
      </c>
      <c r="B210" s="11" t="str">
        <f>HYPERLINK(CONCAT("http://leetcode.com/problems/",Github!C$504), Github!B$504)</f>
        <v>Next Greater Element II</v>
      </c>
      <c r="C210" s="10">
        <f>Github!F$504</f>
        <v>4179</v>
      </c>
      <c r="D210" s="10">
        <f>Github!G$504</f>
        <v>127</v>
      </c>
      <c r="E210" s="10">
        <f>Github!F$504+Github!G$504</f>
        <v>4306</v>
      </c>
      <c r="F210" s="12">
        <f t="shared" si="1"/>
        <v>32.91</v>
      </c>
      <c r="G210" s="10" t="str">
        <f>Github!H$504</f>
        <v>Algorithms</v>
      </c>
      <c r="H210" s="13" t="str">
        <f>SUBSTITUTE(Github!L$504, ";", ", ")</f>
        <v>Array, Stack, Monotonic Stack, </v>
      </c>
      <c r="I210" s="10" t="str">
        <f>Github!E$504</f>
        <v>Medium</v>
      </c>
      <c r="J210" s="10" t="str">
        <f>IF(TRIM(Github!D$504)="TRUE","FALSE","TRUE")</f>
        <v>TRUE</v>
      </c>
      <c r="K210" s="10" t="b">
        <f>Github!M$504</f>
        <v>1</v>
      </c>
      <c r="L210" s="10" t="b">
        <f>Github!N$504</f>
        <v>0</v>
      </c>
      <c r="M210" s="10" t="str">
        <f>ROUND(Github!O$504, 2)&amp;"%"</f>
        <v>61.7%</v>
      </c>
      <c r="N210" s="10">
        <f>Github!P$504</f>
        <v>202798</v>
      </c>
      <c r="O210" s="10">
        <f>Github!Q$504</f>
        <v>328682</v>
      </c>
    </row>
    <row r="211">
      <c r="A211" s="10">
        <f>Github!J$693</f>
        <v>692</v>
      </c>
      <c r="B211" s="11" t="str">
        <f>HYPERLINK(CONCAT("http://leetcode.com/problems/",Github!C$693), Github!B$693)</f>
        <v>Top K Frequent Words</v>
      </c>
      <c r="C211" s="10">
        <f>Github!F$693</f>
        <v>4173</v>
      </c>
      <c r="D211" s="10">
        <f>Github!G$693</f>
        <v>240</v>
      </c>
      <c r="E211" s="10">
        <f>Github!F$693+Github!G$693</f>
        <v>4413</v>
      </c>
      <c r="F211" s="12">
        <f t="shared" si="1"/>
        <v>17.39</v>
      </c>
      <c r="G211" s="10" t="str">
        <f>Github!H$693</f>
        <v>Algorithms</v>
      </c>
      <c r="H211" s="13" t="str">
        <f>SUBSTITUTE(Github!L$693, ";", ", ")</f>
        <v>Hash Table, String, Trie, Sorting, Heap (Priority Queue), Bucket Sort, Counting, </v>
      </c>
      <c r="I211" s="10" t="str">
        <f>Github!E$693</f>
        <v>Medium</v>
      </c>
      <c r="J211" s="10" t="str">
        <f>IF(TRIM(Github!D$693)="TRUE","FALSE","TRUE")</f>
        <v>TRUE</v>
      </c>
      <c r="K211" s="10" t="b">
        <f>Github!M$693</f>
        <v>0</v>
      </c>
      <c r="L211" s="10" t="b">
        <f>Github!N$693</f>
        <v>0</v>
      </c>
      <c r="M211" s="10" t="str">
        <f>ROUND(Github!O$693, 2)&amp;"%"</f>
        <v>54.22%</v>
      </c>
      <c r="N211" s="10">
        <f>Github!P$693</f>
        <v>360426</v>
      </c>
      <c r="O211" s="10">
        <f>Github!Q$693</f>
        <v>664720</v>
      </c>
    </row>
    <row r="212">
      <c r="A212" s="10">
        <f>Github!J$464</f>
        <v>463</v>
      </c>
      <c r="B212" s="11" t="str">
        <f>HYPERLINK(CONCAT("http://leetcode.com/problems/",Github!C$464), Github!B$464)</f>
        <v>Island Perimeter</v>
      </c>
      <c r="C212" s="10">
        <f>Github!F$464</f>
        <v>4156</v>
      </c>
      <c r="D212" s="10">
        <f>Github!G$464</f>
        <v>231</v>
      </c>
      <c r="E212" s="10">
        <f>Github!F$464+Github!G$464</f>
        <v>4387</v>
      </c>
      <c r="F212" s="12">
        <f t="shared" si="1"/>
        <v>17.99</v>
      </c>
      <c r="G212" s="10" t="str">
        <f>Github!H$464</f>
        <v>Algorithms</v>
      </c>
      <c r="H212" s="13" t="str">
        <f>SUBSTITUTE(Github!L$464, ";", ", ")</f>
        <v>Array, Depth-First Search, Breadth-First Search, Matrix, </v>
      </c>
      <c r="I212" s="10" t="str">
        <f>Github!E$464</f>
        <v>Easy</v>
      </c>
      <c r="J212" s="10" t="str">
        <f>IF(TRIM(Github!D$464)="TRUE","FALSE","TRUE")</f>
        <v>TRUE</v>
      </c>
      <c r="K212" s="10" t="b">
        <f>Github!M$464</f>
        <v>1</v>
      </c>
      <c r="L212" s="10" t="b">
        <f>Github!N$464</f>
        <v>0</v>
      </c>
      <c r="M212" s="10" t="str">
        <f>ROUND(Github!O$464, 2)&amp;"%"</f>
        <v>68.78%</v>
      </c>
      <c r="N212" s="10">
        <f>Github!P$464</f>
        <v>353032</v>
      </c>
      <c r="O212" s="10">
        <f>Github!Q$464</f>
        <v>513308</v>
      </c>
    </row>
    <row r="213">
      <c r="A213" s="10">
        <f>Github!J$44</f>
        <v>43</v>
      </c>
      <c r="B213" s="11" t="str">
        <f>HYPERLINK(CONCAT("http://leetcode.com/problems/",Github!C$44), Github!B$44)</f>
        <v>Multiply Strings</v>
      </c>
      <c r="C213" s="10">
        <f>Github!F$44</f>
        <v>4126</v>
      </c>
      <c r="D213" s="10">
        <f>Github!G$44</f>
        <v>1615</v>
      </c>
      <c r="E213" s="10">
        <f>Github!F$44+Github!G$44</f>
        <v>5741</v>
      </c>
      <c r="F213" s="12">
        <f t="shared" si="1"/>
        <v>2.55</v>
      </c>
      <c r="G213" s="10" t="str">
        <f>Github!H$44</f>
        <v>Algorithms</v>
      </c>
      <c r="H213" s="13" t="str">
        <f>SUBSTITUTE(Github!L$44, ";", ", ")</f>
        <v>Math, String, Simulation, </v>
      </c>
      <c r="I213" s="10" t="str">
        <f>Github!E$44</f>
        <v>Medium</v>
      </c>
      <c r="J213" s="10" t="str">
        <f>IF(TRIM(Github!D$44)="TRUE","FALSE","TRUE")</f>
        <v>TRUE</v>
      </c>
      <c r="K213" s="10" t="b">
        <f>Github!M$44</f>
        <v>1</v>
      </c>
      <c r="L213" s="10" t="b">
        <f>Github!N$44</f>
        <v>0</v>
      </c>
      <c r="M213" s="10" t="str">
        <f>ROUND(Github!O$44, 2)&amp;"%"</f>
        <v>37.45%</v>
      </c>
      <c r="N213" s="10">
        <f>Github!P$44</f>
        <v>488464</v>
      </c>
      <c r="O213" s="10">
        <f>Github!Q$44</f>
        <v>1304216</v>
      </c>
    </row>
    <row r="214">
      <c r="A214" s="10">
        <f>Github!J$345</f>
        <v>344</v>
      </c>
      <c r="B214" s="11" t="str">
        <f>HYPERLINK(CONCAT("http://leetcode.com/problems/",Github!C$345), Github!B$345)</f>
        <v>Reverse String</v>
      </c>
      <c r="C214" s="10">
        <f>Github!F$345</f>
        <v>4120</v>
      </c>
      <c r="D214" s="10">
        <f>Github!G$345</f>
        <v>901</v>
      </c>
      <c r="E214" s="10">
        <f>Github!F$345+Github!G$345</f>
        <v>5021</v>
      </c>
      <c r="F214" s="12">
        <f t="shared" si="1"/>
        <v>4.57</v>
      </c>
      <c r="G214" s="10" t="str">
        <f>Github!H$345</f>
        <v>Algorithms</v>
      </c>
      <c r="H214" s="13" t="str">
        <f>SUBSTITUTE(Github!L$345, ";", ", ")</f>
        <v>Two Pointers, String, Recursion, </v>
      </c>
      <c r="I214" s="10" t="str">
        <f>Github!E$345</f>
        <v>Easy</v>
      </c>
      <c r="J214" s="10" t="str">
        <f>IF(TRIM(Github!D$345)="TRUE","FALSE","TRUE")</f>
        <v>TRUE</v>
      </c>
      <c r="K214" s="10" t="b">
        <f>Github!M$345</f>
        <v>1</v>
      </c>
      <c r="L214" s="10" t="b">
        <f>Github!N$345</f>
        <v>1</v>
      </c>
      <c r="M214" s="10" t="str">
        <f>ROUND(Github!O$345, 2)&amp;"%"</f>
        <v>73.87%</v>
      </c>
      <c r="N214" s="10">
        <f>Github!P$345</f>
        <v>1439626</v>
      </c>
      <c r="O214" s="10">
        <f>Github!Q$345</f>
        <v>1948948</v>
      </c>
    </row>
    <row r="215">
      <c r="A215" s="10">
        <f>Github!J$681</f>
        <v>680</v>
      </c>
      <c r="B215" s="11" t="str">
        <f>HYPERLINK(CONCAT("http://leetcode.com/problems/",Github!C$681), Github!B$681)</f>
        <v>Valid Palindrome II</v>
      </c>
      <c r="C215" s="10">
        <f>Github!F$681</f>
        <v>4107</v>
      </c>
      <c r="D215" s="10">
        <f>Github!G$681</f>
        <v>245</v>
      </c>
      <c r="E215" s="10">
        <f>Github!F$681+Github!G$681</f>
        <v>4352</v>
      </c>
      <c r="F215" s="12">
        <f t="shared" si="1"/>
        <v>16.76</v>
      </c>
      <c r="G215" s="10" t="str">
        <f>Github!H$681</f>
        <v>Algorithms</v>
      </c>
      <c r="H215" s="13" t="str">
        <f>SUBSTITUTE(Github!L$681, ";", ", ")</f>
        <v>Two Pointers, String, Greedy, </v>
      </c>
      <c r="I215" s="10" t="str">
        <f>Github!E$681</f>
        <v>Easy</v>
      </c>
      <c r="J215" s="10" t="str">
        <f>IF(TRIM(Github!D$681)="TRUE","FALSE","TRUE")</f>
        <v>TRUE</v>
      </c>
      <c r="K215" s="10" t="b">
        <f>Github!M$681</f>
        <v>0</v>
      </c>
      <c r="L215" s="10" t="b">
        <f>Github!N$681</f>
        <v>0</v>
      </c>
      <c r="M215" s="10" t="str">
        <f>ROUND(Github!O$681, 2)&amp;"%"</f>
        <v>38.52%</v>
      </c>
      <c r="N215" s="10">
        <f>Github!P$681</f>
        <v>412446</v>
      </c>
      <c r="O215" s="10">
        <f>Github!Q$681</f>
        <v>1070789</v>
      </c>
    </row>
    <row r="216">
      <c r="A216" s="10">
        <f>Github!J$51</f>
        <v>50</v>
      </c>
      <c r="B216" s="11" t="str">
        <f>HYPERLINK(CONCAT("http://leetcode.com/problems/",Github!C$51), Github!B$51)</f>
        <v>Pow(x, n)</v>
      </c>
      <c r="C216" s="10">
        <f>Github!F$51</f>
        <v>4105</v>
      </c>
      <c r="D216" s="10">
        <f>Github!G$51</f>
        <v>5123</v>
      </c>
      <c r="E216" s="10">
        <f>Github!F$51+Github!G$51</f>
        <v>9228</v>
      </c>
      <c r="F216" s="12">
        <f t="shared" si="1"/>
        <v>0.8</v>
      </c>
      <c r="G216" s="10" t="str">
        <f>Github!H$51</f>
        <v>Algorithms</v>
      </c>
      <c r="H216" s="13" t="str">
        <f>SUBSTITUTE(Github!L$51, ";", ", ")</f>
        <v>Math, Recursion, </v>
      </c>
      <c r="I216" s="10" t="str">
        <f>Github!E$51</f>
        <v>Medium</v>
      </c>
      <c r="J216" s="10" t="str">
        <f>IF(TRIM(Github!D$51)="TRUE","FALSE","TRUE")</f>
        <v>TRUE</v>
      </c>
      <c r="K216" s="10" t="b">
        <f>Github!M$51</f>
        <v>1</v>
      </c>
      <c r="L216" s="10" t="b">
        <f>Github!N$51</f>
        <v>0</v>
      </c>
      <c r="M216" s="10" t="str">
        <f>ROUND(Github!O$51, 2)&amp;"%"</f>
        <v>32.17%</v>
      </c>
      <c r="N216" s="10">
        <f>Github!P$51</f>
        <v>851048</v>
      </c>
      <c r="O216" s="10">
        <f>Github!Q$51</f>
        <v>2645225</v>
      </c>
    </row>
    <row r="217">
      <c r="A217" s="10">
        <f>Github!J$238</f>
        <v>237</v>
      </c>
      <c r="B217" s="11" t="str">
        <f>HYPERLINK(CONCAT("http://leetcode.com/problems/",Github!C$238), Github!B$238)</f>
        <v>Delete Node in a Linked List</v>
      </c>
      <c r="C217" s="10">
        <f>Github!F$238</f>
        <v>4080</v>
      </c>
      <c r="D217" s="10">
        <f>Github!G$238</f>
        <v>11277</v>
      </c>
      <c r="E217" s="10">
        <f>Github!F$238+Github!G$238</f>
        <v>15357</v>
      </c>
      <c r="F217" s="12">
        <f t="shared" si="1"/>
        <v>0.36</v>
      </c>
      <c r="G217" s="10" t="str">
        <f>Github!H$238</f>
        <v>Algorithms</v>
      </c>
      <c r="H217" s="13" t="str">
        <f>SUBSTITUTE(Github!L$238, ";", ", ")</f>
        <v>Linked List, </v>
      </c>
      <c r="I217" s="10" t="str">
        <f>Github!E$238</f>
        <v>Easy</v>
      </c>
      <c r="J217" s="10" t="str">
        <f>IF(TRIM(Github!D$238)="TRUE","FALSE","TRUE")</f>
        <v>TRUE</v>
      </c>
      <c r="K217" s="10" t="b">
        <f>Github!M$238</f>
        <v>0</v>
      </c>
      <c r="L217" s="10" t="b">
        <f>Github!N$238</f>
        <v>0</v>
      </c>
      <c r="M217" s="10" t="str">
        <f>ROUND(Github!O$238, 2)&amp;"%"</f>
        <v>71.39%</v>
      </c>
      <c r="N217" s="10">
        <f>Github!P$238</f>
        <v>765360</v>
      </c>
      <c r="O217" s="10">
        <f>Github!Q$238</f>
        <v>1072081</v>
      </c>
    </row>
    <row r="218">
      <c r="A218" s="10">
        <f>Github!J$351</f>
        <v>350</v>
      </c>
      <c r="B218" s="11" t="str">
        <f>HYPERLINK(CONCAT("http://leetcode.com/problems/",Github!C$351), Github!B$351)</f>
        <v>Intersection of Two Arrays II</v>
      </c>
      <c r="C218" s="10">
        <f>Github!F$351</f>
        <v>4077</v>
      </c>
      <c r="D218" s="10">
        <f>Github!G$351</f>
        <v>669</v>
      </c>
      <c r="E218" s="10">
        <f>Github!F$351+Github!G$351</f>
        <v>4746</v>
      </c>
      <c r="F218" s="12">
        <f t="shared" si="1"/>
        <v>6.09</v>
      </c>
      <c r="G218" s="10" t="str">
        <f>Github!H$351</f>
        <v>Algorithms</v>
      </c>
      <c r="H218" s="13" t="str">
        <f>SUBSTITUTE(Github!L$351, ";", ", ")</f>
        <v>Array, Hash Table, Two Pointers, Binary Search, Sorting, </v>
      </c>
      <c r="I218" s="10" t="str">
        <f>Github!E$351</f>
        <v>Easy</v>
      </c>
      <c r="J218" s="10" t="str">
        <f>IF(TRIM(Github!D$351)="TRUE","FALSE","TRUE")</f>
        <v>TRUE</v>
      </c>
      <c r="K218" s="10" t="b">
        <f>Github!M$351</f>
        <v>1</v>
      </c>
      <c r="L218" s="10" t="b">
        <f>Github!N$351</f>
        <v>0</v>
      </c>
      <c r="M218" s="10" t="str">
        <f>ROUND(Github!O$351, 2)&amp;"%"</f>
        <v>54.62%</v>
      </c>
      <c r="N218" s="10">
        <f>Github!P$351</f>
        <v>745037</v>
      </c>
      <c r="O218" s="10">
        <f>Github!Q$351</f>
        <v>1364165</v>
      </c>
    </row>
    <row r="219">
      <c r="A219" s="10">
        <f>Github!J$218</f>
        <v>217</v>
      </c>
      <c r="B219" s="11" t="str">
        <f>HYPERLINK(CONCAT("http://leetcode.com/problems/",Github!C$218), Github!B$218)</f>
        <v>Contains Duplicate</v>
      </c>
      <c r="C219" s="10">
        <f>Github!F$218</f>
        <v>4054</v>
      </c>
      <c r="D219" s="10">
        <f>Github!G$218</f>
        <v>931</v>
      </c>
      <c r="E219" s="10">
        <f>Github!F$218+Github!G$218</f>
        <v>4985</v>
      </c>
      <c r="F219" s="12">
        <f t="shared" si="1"/>
        <v>4.35</v>
      </c>
      <c r="G219" s="10" t="str">
        <f>Github!H$218</f>
        <v>Algorithms</v>
      </c>
      <c r="H219" s="13" t="str">
        <f>SUBSTITUTE(Github!L$218, ";", ", ")</f>
        <v>Array, Hash Table, Sorting, </v>
      </c>
      <c r="I219" s="10" t="str">
        <f>Github!E$218</f>
        <v>Easy</v>
      </c>
      <c r="J219" s="10" t="str">
        <f>IF(TRIM(Github!D$218)="TRUE","FALSE","TRUE")</f>
        <v>TRUE</v>
      </c>
      <c r="K219" s="10" t="b">
        <f>Github!M$218</f>
        <v>1</v>
      </c>
      <c r="L219" s="10" t="b">
        <f>Github!N$218</f>
        <v>0</v>
      </c>
      <c r="M219" s="10" t="str">
        <f>ROUND(Github!O$218, 2)&amp;"%"</f>
        <v>60.39%</v>
      </c>
      <c r="N219" s="10">
        <f>Github!P$218</f>
        <v>1386740</v>
      </c>
      <c r="O219" s="10">
        <f>Github!Q$218</f>
        <v>2296499</v>
      </c>
    </row>
    <row r="220">
      <c r="A220" s="10">
        <f>Github!J$228</f>
        <v>227</v>
      </c>
      <c r="B220" s="11" t="str">
        <f>HYPERLINK(CONCAT("http://leetcode.com/problems/",Github!C$228), Github!B$228)</f>
        <v>Basic Calculator II</v>
      </c>
      <c r="C220" s="10">
        <f>Github!F$228</f>
        <v>4044</v>
      </c>
      <c r="D220" s="10">
        <f>Github!G$228</f>
        <v>533</v>
      </c>
      <c r="E220" s="10">
        <f>Github!F$228+Github!G$228</f>
        <v>4577</v>
      </c>
      <c r="F220" s="12">
        <f t="shared" si="1"/>
        <v>7.59</v>
      </c>
      <c r="G220" s="10" t="str">
        <f>Github!H$228</f>
        <v>Algorithms</v>
      </c>
      <c r="H220" s="13" t="str">
        <f>SUBSTITUTE(Github!L$228, ";", ", ")</f>
        <v>Math, String, Stack, </v>
      </c>
      <c r="I220" s="10" t="str">
        <f>Github!E$228</f>
        <v>Medium</v>
      </c>
      <c r="J220" s="10" t="str">
        <f>IF(TRIM(Github!D$228)="TRUE","FALSE","TRUE")</f>
        <v>TRUE</v>
      </c>
      <c r="K220" s="10" t="b">
        <f>Github!M$228</f>
        <v>1</v>
      </c>
      <c r="L220" s="10" t="b">
        <f>Github!N$228</f>
        <v>0</v>
      </c>
      <c r="M220" s="10" t="str">
        <f>ROUND(Github!O$228, 2)&amp;"%"</f>
        <v>41.31%</v>
      </c>
      <c r="N220" s="10">
        <f>Github!P$228</f>
        <v>400138</v>
      </c>
      <c r="O220" s="10">
        <f>Github!Q$228</f>
        <v>968626</v>
      </c>
    </row>
    <row r="221">
      <c r="A221" s="10">
        <f>Github!J$1005</f>
        <v>1004</v>
      </c>
      <c r="B221" s="11" t="str">
        <f>HYPERLINK(CONCAT("http://leetcode.com/problems/",Github!C$1005), Github!B$1005)</f>
        <v>Max Consecutive Ones III</v>
      </c>
      <c r="C221" s="10">
        <f>Github!F$1005</f>
        <v>4042</v>
      </c>
      <c r="D221" s="10">
        <f>Github!G$1005</f>
        <v>55</v>
      </c>
      <c r="E221" s="10">
        <f>Github!F$1005+Github!G$1005</f>
        <v>4097</v>
      </c>
      <c r="F221" s="12">
        <f t="shared" si="1"/>
        <v>73.49</v>
      </c>
      <c r="G221" s="10" t="str">
        <f>Github!H$1005</f>
        <v>Algorithms</v>
      </c>
      <c r="H221" s="13" t="str">
        <f>SUBSTITUTE(Github!L$1005, ";", ", ")</f>
        <v>Array, Binary Search, Sliding Window, Prefix Sum, </v>
      </c>
      <c r="I221" s="10" t="str">
        <f>Github!E$1005</f>
        <v>Medium</v>
      </c>
      <c r="J221" s="10" t="str">
        <f>IF(TRIM(Github!D$1005)="TRUE","FALSE","TRUE")</f>
        <v>TRUE</v>
      </c>
      <c r="K221" s="10" t="b">
        <f>Github!M$1005</f>
        <v>1</v>
      </c>
      <c r="L221" s="10" t="b">
        <f>Github!N$1005</f>
        <v>0</v>
      </c>
      <c r="M221" s="10" t="str">
        <f>ROUND(Github!O$1005, 2)&amp;"%"</f>
        <v>62.65%</v>
      </c>
      <c r="N221" s="10">
        <f>Github!P$1005</f>
        <v>191761</v>
      </c>
      <c r="O221" s="10">
        <f>Github!Q$1005</f>
        <v>306068</v>
      </c>
    </row>
    <row r="222">
      <c r="A222" s="10">
        <f>Github!J$722</f>
        <v>721</v>
      </c>
      <c r="B222" s="11" t="str">
        <f>HYPERLINK(CONCAT("http://leetcode.com/problems/",Github!C$722), Github!B$722)</f>
        <v>Accounts Merge</v>
      </c>
      <c r="C222" s="10">
        <f>Github!F$722</f>
        <v>4002</v>
      </c>
      <c r="D222" s="10">
        <f>Github!G$722</f>
        <v>719</v>
      </c>
      <c r="E222" s="10">
        <f>Github!F$722+Github!G$722</f>
        <v>4721</v>
      </c>
      <c r="F222" s="12">
        <f t="shared" si="1"/>
        <v>5.57</v>
      </c>
      <c r="G222" s="10" t="str">
        <f>Github!H$722</f>
        <v>Algorithms</v>
      </c>
      <c r="H222" s="13" t="str">
        <f>SUBSTITUTE(Github!L$722, ";", ", ")</f>
        <v>Array, String, Depth-First Search, Breadth-First Search, Union Find, </v>
      </c>
      <c r="I222" s="10" t="str">
        <f>Github!E$722</f>
        <v>Medium</v>
      </c>
      <c r="J222" s="10" t="str">
        <f>IF(TRIM(Github!D$722)="TRUE","FALSE","TRUE")</f>
        <v>TRUE</v>
      </c>
      <c r="K222" s="10" t="b">
        <f>Github!M$722</f>
        <v>1</v>
      </c>
      <c r="L222" s="10" t="b">
        <f>Github!N$722</f>
        <v>0</v>
      </c>
      <c r="M222" s="10" t="str">
        <f>ROUND(Github!O$722, 2)&amp;"%"</f>
        <v>55.56%</v>
      </c>
      <c r="N222" s="10">
        <f>Github!P$722</f>
        <v>233615</v>
      </c>
      <c r="O222" s="10">
        <f>Github!Q$722</f>
        <v>420436</v>
      </c>
    </row>
    <row r="223">
      <c r="A223" s="10">
        <f>Github!J$100</f>
        <v>99</v>
      </c>
      <c r="B223" s="11" t="str">
        <f>HYPERLINK(CONCAT("http://leetcode.com/problems/",Github!C$100), Github!B$100)</f>
        <v>Recover Binary Search Tree</v>
      </c>
      <c r="C223" s="10">
        <f>Github!F$100</f>
        <v>3986</v>
      </c>
      <c r="D223" s="10">
        <f>Github!G$100</f>
        <v>149</v>
      </c>
      <c r="E223" s="10">
        <f>Github!F$100+Github!G$100</f>
        <v>4135</v>
      </c>
      <c r="F223" s="12">
        <f t="shared" si="1"/>
        <v>26.75</v>
      </c>
      <c r="G223" s="10" t="str">
        <f>Github!H$100</f>
        <v>Algorithms</v>
      </c>
      <c r="H223" s="13" t="str">
        <f>SUBSTITUTE(Github!L$100, ";", ", ")</f>
        <v>Tree, Depth-First Search, Binary Search Tree, Binary Tree, </v>
      </c>
      <c r="I223" s="10" t="str">
        <f>Github!E$100</f>
        <v>Medium</v>
      </c>
      <c r="J223" s="10" t="str">
        <f>IF(TRIM(Github!D$100)="TRUE","FALSE","TRUE")</f>
        <v>TRUE</v>
      </c>
      <c r="K223" s="10" t="b">
        <f>Github!M$100</f>
        <v>1</v>
      </c>
      <c r="L223" s="10" t="b">
        <f>Github!N$100</f>
        <v>0</v>
      </c>
      <c r="M223" s="10" t="str">
        <f>ROUND(Github!O$100, 2)&amp;"%"</f>
        <v>45.98%</v>
      </c>
      <c r="N223" s="10">
        <f>Github!P$100</f>
        <v>272068</v>
      </c>
      <c r="O223" s="10">
        <f>Github!Q$100</f>
        <v>591738</v>
      </c>
    </row>
    <row r="224">
      <c r="A224" s="10">
        <f>Github!J$425</f>
        <v>424</v>
      </c>
      <c r="B224" s="11" t="str">
        <f>HYPERLINK(CONCAT("http://leetcode.com/problems/",Github!C$425), Github!B$425)</f>
        <v>Longest Repeating Character Replacement</v>
      </c>
      <c r="C224" s="10">
        <f>Github!F$425</f>
        <v>3982</v>
      </c>
      <c r="D224" s="10">
        <f>Github!G$425</f>
        <v>156</v>
      </c>
      <c r="E224" s="10">
        <f>Github!F$425+Github!G$425</f>
        <v>4138</v>
      </c>
      <c r="F224" s="12">
        <f t="shared" si="1"/>
        <v>25.53</v>
      </c>
      <c r="G224" s="10" t="str">
        <f>Github!H$425</f>
        <v>Algorithms</v>
      </c>
      <c r="H224" s="13" t="str">
        <f>SUBSTITUTE(Github!L$425, ";", ", ")</f>
        <v>Hash Table, String, Sliding Window, </v>
      </c>
      <c r="I224" s="10" t="str">
        <f>Github!E$425</f>
        <v>Medium</v>
      </c>
      <c r="J224" s="10" t="str">
        <f>IF(TRIM(Github!D$425)="TRUE","FALSE","TRUE")</f>
        <v>TRUE</v>
      </c>
      <c r="K224" s="10" t="b">
        <f>Github!M$425</f>
        <v>0</v>
      </c>
      <c r="L224" s="10" t="b">
        <f>Github!N$425</f>
        <v>0</v>
      </c>
      <c r="M224" s="10" t="str">
        <f>ROUND(Github!O$425, 2)&amp;"%"</f>
        <v>50.59%</v>
      </c>
      <c r="N224" s="10">
        <f>Github!P$425</f>
        <v>191318</v>
      </c>
      <c r="O224" s="10">
        <f>Github!Q$425</f>
        <v>378166</v>
      </c>
    </row>
    <row r="225">
      <c r="A225" s="10">
        <f>Github!J$659</f>
        <v>658</v>
      </c>
      <c r="B225" s="11" t="str">
        <f>HYPERLINK(CONCAT("http://leetcode.com/problems/",Github!C$659), Github!B$659)</f>
        <v>Find K Closest Elements</v>
      </c>
      <c r="C225" s="10">
        <f>Github!F$659</f>
        <v>3970</v>
      </c>
      <c r="D225" s="10">
        <f>Github!G$659</f>
        <v>407</v>
      </c>
      <c r="E225" s="10">
        <f>Github!F$659+Github!G$659</f>
        <v>4377</v>
      </c>
      <c r="F225" s="12">
        <f t="shared" si="1"/>
        <v>9.75</v>
      </c>
      <c r="G225" s="10" t="str">
        <f>Github!H$659</f>
        <v>Algorithms</v>
      </c>
      <c r="H225" s="13" t="str">
        <f>SUBSTITUTE(Github!L$659, ";", ", ")</f>
        <v>Array, Two Pointers, Binary Search, Sorting, Heap (Priority Queue), </v>
      </c>
      <c r="I225" s="10" t="str">
        <f>Github!E$659</f>
        <v>Medium</v>
      </c>
      <c r="J225" s="10" t="str">
        <f>IF(TRIM(Github!D$659)="TRUE","FALSE","TRUE")</f>
        <v>TRUE</v>
      </c>
      <c r="K225" s="10" t="b">
        <f>Github!M$659</f>
        <v>1</v>
      </c>
      <c r="L225" s="10" t="b">
        <f>Github!N$659</f>
        <v>0</v>
      </c>
      <c r="M225" s="10" t="str">
        <f>ROUND(Github!O$659, 2)&amp;"%"</f>
        <v>44.33%</v>
      </c>
      <c r="N225" s="10">
        <f>Github!P$659</f>
        <v>266820</v>
      </c>
      <c r="O225" s="10">
        <f>Github!Q$659</f>
        <v>601951</v>
      </c>
    </row>
    <row r="226">
      <c r="A226" s="10">
        <f>Github!J$987</f>
        <v>986</v>
      </c>
      <c r="B226" s="11" t="str">
        <f>HYPERLINK(CONCAT("http://leetcode.com/problems/",Github!C$987), Github!B$987)</f>
        <v>Interval List Intersections</v>
      </c>
      <c r="C226" s="10">
        <f>Github!F$987</f>
        <v>3970</v>
      </c>
      <c r="D226" s="10">
        <f>Github!G$987</f>
        <v>82</v>
      </c>
      <c r="E226" s="10">
        <f>Github!F$987+Github!G$987</f>
        <v>4052</v>
      </c>
      <c r="F226" s="12">
        <f t="shared" si="1"/>
        <v>48.41</v>
      </c>
      <c r="G226" s="10" t="str">
        <f>Github!H$987</f>
        <v>Algorithms</v>
      </c>
      <c r="H226" s="13" t="str">
        <f>SUBSTITUTE(Github!L$987, ";", ", ")</f>
        <v>Array, Two Pointers, </v>
      </c>
      <c r="I226" s="10" t="str">
        <f>Github!E$987</f>
        <v>Medium</v>
      </c>
      <c r="J226" s="10" t="str">
        <f>IF(TRIM(Github!D$987)="TRUE","FALSE","TRUE")</f>
        <v>TRUE</v>
      </c>
      <c r="K226" s="10" t="b">
        <f>Github!M$987</f>
        <v>1</v>
      </c>
      <c r="L226" s="10" t="b">
        <f>Github!N$987</f>
        <v>0</v>
      </c>
      <c r="M226" s="10" t="str">
        <f>ROUND(Github!O$987, 2)&amp;"%"</f>
        <v>70.94%</v>
      </c>
      <c r="N226" s="10">
        <f>Github!P$987</f>
        <v>283078</v>
      </c>
      <c r="O226" s="10">
        <f>Github!Q$987</f>
        <v>399040</v>
      </c>
    </row>
    <row r="227">
      <c r="A227" s="10">
        <f>Github!J$130</f>
        <v>129</v>
      </c>
      <c r="B227" s="11" t="str">
        <f>HYPERLINK(CONCAT("http://leetcode.com/problems/",Github!C$130), Github!B$130)</f>
        <v>Sum Root to Leaf Numbers</v>
      </c>
      <c r="C227" s="10">
        <f>Github!F$130</f>
        <v>3929</v>
      </c>
      <c r="D227" s="10">
        <f>Github!G$130</f>
        <v>77</v>
      </c>
      <c r="E227" s="10">
        <f>Github!F$130+Github!G$130</f>
        <v>4006</v>
      </c>
      <c r="F227" s="12">
        <f t="shared" si="1"/>
        <v>51.03</v>
      </c>
      <c r="G227" s="10" t="str">
        <f>Github!H$130</f>
        <v>Algorithms</v>
      </c>
      <c r="H227" s="13" t="str">
        <f>SUBSTITUTE(Github!L$130, ";", ", ")</f>
        <v>Tree, Depth-First Search, Binary Tree, </v>
      </c>
      <c r="I227" s="10" t="str">
        <f>Github!E$130</f>
        <v>Medium</v>
      </c>
      <c r="J227" s="10" t="str">
        <f>IF(TRIM(Github!D$130)="TRUE","FALSE","TRUE")</f>
        <v>TRUE</v>
      </c>
      <c r="K227" s="10" t="b">
        <f>Github!M$130</f>
        <v>1</v>
      </c>
      <c r="L227" s="10" t="b">
        <f>Github!N$130</f>
        <v>0</v>
      </c>
      <c r="M227" s="10" t="str">
        <f>ROUND(Github!O$130, 2)&amp;"%"</f>
        <v>56.35%</v>
      </c>
      <c r="N227" s="10">
        <f>Github!P$130</f>
        <v>438784</v>
      </c>
      <c r="O227" s="10">
        <f>Github!Q$130</f>
        <v>778709</v>
      </c>
    </row>
    <row r="228">
      <c r="A228" s="10">
        <f>Github!J$317</f>
        <v>316</v>
      </c>
      <c r="B228" s="11" t="str">
        <f>HYPERLINK(CONCAT("http://leetcode.com/problems/",Github!C$317), Github!B$317)</f>
        <v>Remove Duplicate Letters</v>
      </c>
      <c r="C228" s="10">
        <f>Github!F$317</f>
        <v>3918</v>
      </c>
      <c r="D228" s="10">
        <f>Github!G$317</f>
        <v>275</v>
      </c>
      <c r="E228" s="10">
        <f>Github!F$317+Github!G$317</f>
        <v>4193</v>
      </c>
      <c r="F228" s="12">
        <f t="shared" si="1"/>
        <v>14.25</v>
      </c>
      <c r="G228" s="10" t="str">
        <f>Github!H$317</f>
        <v>Algorithms</v>
      </c>
      <c r="H228" s="13" t="str">
        <f>SUBSTITUTE(Github!L$317, ";", ", ")</f>
        <v>String, Stack, Greedy, Monotonic Stack, </v>
      </c>
      <c r="I228" s="10" t="str">
        <f>Github!E$317</f>
        <v>Medium</v>
      </c>
      <c r="J228" s="10" t="str">
        <f>IF(TRIM(Github!D$317)="TRUE","FALSE","TRUE")</f>
        <v>TRUE</v>
      </c>
      <c r="K228" s="10" t="b">
        <f>Github!M$317</f>
        <v>1</v>
      </c>
      <c r="L228" s="10" t="b">
        <f>Github!N$317</f>
        <v>0</v>
      </c>
      <c r="M228" s="10" t="str">
        <f>ROUND(Github!O$317, 2)&amp;"%"</f>
        <v>41.42%</v>
      </c>
      <c r="N228" s="10">
        <f>Github!P$317</f>
        <v>155026</v>
      </c>
      <c r="O228" s="10">
        <f>Github!Q$317</f>
        <v>374244</v>
      </c>
    </row>
    <row r="229">
      <c r="A229" s="10">
        <f>Github!J$146</f>
        <v>145</v>
      </c>
      <c r="B229" s="11" t="str">
        <f>HYPERLINK(CONCAT("http://leetcode.com/problems/",Github!C$146), Github!B$146)</f>
        <v>Binary Tree Postorder Traversal</v>
      </c>
      <c r="C229" s="10">
        <f>Github!F$146</f>
        <v>3892</v>
      </c>
      <c r="D229" s="10">
        <f>Github!G$146</f>
        <v>134</v>
      </c>
      <c r="E229" s="10">
        <f>Github!F$146+Github!G$146</f>
        <v>4026</v>
      </c>
      <c r="F229" s="12">
        <f t="shared" si="1"/>
        <v>29.04</v>
      </c>
      <c r="G229" s="10" t="str">
        <f>Github!H$146</f>
        <v>Algorithms</v>
      </c>
      <c r="H229" s="13" t="str">
        <f>SUBSTITUTE(Github!L$146, ";", ", ")</f>
        <v>Stack, Tree, Depth-First Search, Binary Tree, </v>
      </c>
      <c r="I229" s="10" t="str">
        <f>Github!E$146</f>
        <v>Easy</v>
      </c>
      <c r="J229" s="10" t="str">
        <f>IF(TRIM(Github!D$146)="TRUE","FALSE","TRUE")</f>
        <v>TRUE</v>
      </c>
      <c r="K229" s="10" t="b">
        <f>Github!M$146</f>
        <v>0</v>
      </c>
      <c r="L229" s="10" t="b">
        <f>Github!N$146</f>
        <v>0</v>
      </c>
      <c r="M229" s="10" t="str">
        <f>ROUND(Github!O$146, 2)&amp;"%"</f>
        <v>63.37%</v>
      </c>
      <c r="N229" s="10">
        <f>Github!P$146</f>
        <v>675144</v>
      </c>
      <c r="O229" s="10">
        <f>Github!Q$146</f>
        <v>1065454</v>
      </c>
    </row>
    <row r="230">
      <c r="A230" s="10">
        <f>Github!J$786</f>
        <v>785</v>
      </c>
      <c r="B230" s="11" t="str">
        <f>HYPERLINK(CONCAT("http://leetcode.com/problems/",Github!C$786), Github!B$786)</f>
        <v>Is Graph Bipartite?</v>
      </c>
      <c r="C230" s="10">
        <f>Github!F$786</f>
        <v>3894</v>
      </c>
      <c r="D230" s="10">
        <f>Github!G$786</f>
        <v>255</v>
      </c>
      <c r="E230" s="10">
        <f>Github!F$786+Github!G$786</f>
        <v>4149</v>
      </c>
      <c r="F230" s="12">
        <f t="shared" si="1"/>
        <v>15.27</v>
      </c>
      <c r="G230" s="10" t="str">
        <f>Github!H$786</f>
        <v>Algorithms</v>
      </c>
      <c r="H230" s="13" t="str">
        <f>SUBSTITUTE(Github!L$786, ";", ", ")</f>
        <v>Depth-First Search, Breadth-First Search, Union Find, Graph, </v>
      </c>
      <c r="I230" s="10" t="str">
        <f>Github!E$786</f>
        <v>Medium</v>
      </c>
      <c r="J230" s="10" t="str">
        <f>IF(TRIM(Github!D$786)="TRUE","FALSE","TRUE")</f>
        <v>TRUE</v>
      </c>
      <c r="K230" s="10" t="b">
        <f>Github!M$786</f>
        <v>1</v>
      </c>
      <c r="L230" s="10" t="b">
        <f>Github!N$786</f>
        <v>0</v>
      </c>
      <c r="M230" s="10" t="str">
        <f>ROUND(Github!O$786, 2)&amp;"%"</f>
        <v>50.15%</v>
      </c>
      <c r="N230" s="10">
        <f>Github!P$786</f>
        <v>266386</v>
      </c>
      <c r="O230" s="10">
        <f>Github!Q$786</f>
        <v>531136</v>
      </c>
    </row>
    <row r="231">
      <c r="A231" s="10">
        <f>Github!J$939</f>
        <v>938</v>
      </c>
      <c r="B231" s="11" t="str">
        <f>HYPERLINK(CONCAT("http://leetcode.com/problems/",Github!C$939), Github!B$939)</f>
        <v>Range Sum of BST</v>
      </c>
      <c r="C231" s="10">
        <f>Github!F$939</f>
        <v>3878</v>
      </c>
      <c r="D231" s="10">
        <f>Github!G$939</f>
        <v>326</v>
      </c>
      <c r="E231" s="10">
        <f>Github!F$939+Github!G$939</f>
        <v>4204</v>
      </c>
      <c r="F231" s="12">
        <f t="shared" si="1"/>
        <v>11.9</v>
      </c>
      <c r="G231" s="10" t="str">
        <f>Github!H$939</f>
        <v>Algorithms</v>
      </c>
      <c r="H231" s="13" t="str">
        <f>SUBSTITUTE(Github!L$939, ";", ", ")</f>
        <v>Tree, Depth-First Search, Binary Search Tree, Binary Tree, </v>
      </c>
      <c r="I231" s="10" t="str">
        <f>Github!E$939</f>
        <v>Easy</v>
      </c>
      <c r="J231" s="10" t="str">
        <f>IF(TRIM(Github!D$939)="TRUE","FALSE","TRUE")</f>
        <v>TRUE</v>
      </c>
      <c r="K231" s="10" t="b">
        <f>Github!M$939</f>
        <v>1</v>
      </c>
      <c r="L231" s="10" t="b">
        <f>Github!N$939</f>
        <v>1</v>
      </c>
      <c r="M231" s="10" t="str">
        <f>ROUND(Github!O$939, 2)&amp;"%"</f>
        <v>84.93%</v>
      </c>
      <c r="N231" s="10">
        <f>Github!P$939</f>
        <v>577669</v>
      </c>
      <c r="O231" s="10">
        <f>Github!Q$939</f>
        <v>680174</v>
      </c>
    </row>
    <row r="232">
      <c r="A232" s="10">
        <f>Github!J$138</f>
        <v>137</v>
      </c>
      <c r="B232" s="11" t="str">
        <f>HYPERLINK(CONCAT("http://leetcode.com/problems/",Github!C$138), Github!B$138)</f>
        <v>Single Number II</v>
      </c>
      <c r="C232" s="10">
        <f>Github!F$138</f>
        <v>3867</v>
      </c>
      <c r="D232" s="10">
        <f>Github!G$138</f>
        <v>470</v>
      </c>
      <c r="E232" s="10">
        <f>Github!F$138+Github!G$138</f>
        <v>4337</v>
      </c>
      <c r="F232" s="12">
        <f t="shared" si="1"/>
        <v>8.23</v>
      </c>
      <c r="G232" s="10" t="str">
        <f>Github!H$138</f>
        <v>Algorithms</v>
      </c>
      <c r="H232" s="13" t="str">
        <f>SUBSTITUTE(Github!L$138, ";", ", ")</f>
        <v>Array, Bit Manipulation, </v>
      </c>
      <c r="I232" s="10" t="str">
        <f>Github!E$138</f>
        <v>Medium</v>
      </c>
      <c r="J232" s="10" t="str">
        <f>IF(TRIM(Github!D$138)="TRUE","FALSE","TRUE")</f>
        <v>TRUE</v>
      </c>
      <c r="K232" s="10" t="b">
        <f>Github!M$138</f>
        <v>1</v>
      </c>
      <c r="L232" s="10" t="b">
        <f>Github!N$138</f>
        <v>0</v>
      </c>
      <c r="M232" s="10" t="str">
        <f>ROUND(Github!O$138, 2)&amp;"%"</f>
        <v>56.34%</v>
      </c>
      <c r="N232" s="10">
        <f>Github!P$138</f>
        <v>336803</v>
      </c>
      <c r="O232" s="10">
        <f>Github!Q$138</f>
        <v>597815</v>
      </c>
    </row>
    <row r="233">
      <c r="A233" s="10">
        <f>Github!J$175</f>
        <v>174</v>
      </c>
      <c r="B233" s="11" t="str">
        <f>HYPERLINK(CONCAT("http://leetcode.com/problems/",Github!C$175), Github!B$175)</f>
        <v>Dungeon Game</v>
      </c>
      <c r="C233" s="10">
        <f>Github!F$175</f>
        <v>3857</v>
      </c>
      <c r="D233" s="10">
        <f>Github!G$175</f>
        <v>81</v>
      </c>
      <c r="E233" s="10">
        <f>Github!F$175+Github!G$175</f>
        <v>3938</v>
      </c>
      <c r="F233" s="12">
        <f t="shared" si="1"/>
        <v>47.62</v>
      </c>
      <c r="G233" s="10" t="str">
        <f>Github!H$175</f>
        <v>Algorithms</v>
      </c>
      <c r="H233" s="13" t="str">
        <f>SUBSTITUTE(Github!L$175, ";", ", ")</f>
        <v>Array, Dynamic Programming, Matrix, </v>
      </c>
      <c r="I233" s="10" t="str">
        <f>Github!E$175</f>
        <v>Hard</v>
      </c>
      <c r="J233" s="10" t="str">
        <f>IF(TRIM(Github!D$175)="TRUE","FALSE","TRUE")</f>
        <v>TRUE</v>
      </c>
      <c r="K233" s="10" t="b">
        <f>Github!M$175</f>
        <v>1</v>
      </c>
      <c r="L233" s="10" t="b">
        <f>Github!N$175</f>
        <v>0</v>
      </c>
      <c r="M233" s="10" t="str">
        <f>ROUND(Github!O$175, 2)&amp;"%"</f>
        <v>36.27%</v>
      </c>
      <c r="N233" s="10">
        <f>Github!P$175</f>
        <v>166639</v>
      </c>
      <c r="O233" s="10">
        <f>Github!Q$175</f>
        <v>459384</v>
      </c>
    </row>
    <row r="234">
      <c r="A234" s="10">
        <f>Github!J$1012</f>
        <v>1011</v>
      </c>
      <c r="B234" s="11" t="str">
        <f>HYPERLINK(CONCAT("http://leetcode.com/problems/",Github!C$1012), Github!B$1012)</f>
        <v>Capacity To Ship Packages Within D Days</v>
      </c>
      <c r="C234" s="10">
        <f>Github!F$1012</f>
        <v>3853</v>
      </c>
      <c r="D234" s="10">
        <f>Github!G$1012</f>
        <v>92</v>
      </c>
      <c r="E234" s="10">
        <f>Github!F$1012+Github!G$1012</f>
        <v>3945</v>
      </c>
      <c r="F234" s="12">
        <f t="shared" si="1"/>
        <v>41.88</v>
      </c>
      <c r="G234" s="10" t="str">
        <f>Github!H$1012</f>
        <v>Algorithms</v>
      </c>
      <c r="H234" s="13" t="str">
        <f>SUBSTITUTE(Github!L$1012, ";", ", ")</f>
        <v>Array, Binary Search, Greedy, </v>
      </c>
      <c r="I234" s="10" t="str">
        <f>Github!E$1012</f>
        <v>Medium</v>
      </c>
      <c r="J234" s="10" t="str">
        <f>IF(TRIM(Github!D$1012)="TRUE","FALSE","TRUE")</f>
        <v>TRUE</v>
      </c>
      <c r="K234" s="10" t="b">
        <f>Github!M$1012</f>
        <v>0</v>
      </c>
      <c r="L234" s="10" t="b">
        <f>Github!N$1012</f>
        <v>0</v>
      </c>
      <c r="M234" s="10" t="str">
        <f>ROUND(Github!O$1012, 2)&amp;"%"</f>
        <v>63.21%</v>
      </c>
      <c r="N234" s="10">
        <f>Github!P$1012</f>
        <v>133641</v>
      </c>
      <c r="O234" s="10">
        <f>Github!Q$1012</f>
        <v>211417</v>
      </c>
    </row>
    <row r="235">
      <c r="A235" s="10">
        <f>Github!J$78</f>
        <v>77</v>
      </c>
      <c r="B235" s="11" t="str">
        <f>HYPERLINK(CONCAT("http://leetcode.com/problems/",Github!C$78), Github!B$78)</f>
        <v>Combinations</v>
      </c>
      <c r="C235" s="10">
        <f>Github!F$78</f>
        <v>3851</v>
      </c>
      <c r="D235" s="10">
        <f>Github!G$78</f>
        <v>127</v>
      </c>
      <c r="E235" s="10">
        <f>Github!F$78+Github!G$78</f>
        <v>3978</v>
      </c>
      <c r="F235" s="12">
        <f t="shared" si="1"/>
        <v>30.32</v>
      </c>
      <c r="G235" s="10" t="str">
        <f>Github!H$78</f>
        <v>Algorithms</v>
      </c>
      <c r="H235" s="13" t="str">
        <f>SUBSTITUTE(Github!L$78, ";", ", ")</f>
        <v>Array, Backtracking, </v>
      </c>
      <c r="I235" s="10" t="str">
        <f>Github!E$78</f>
        <v>Medium</v>
      </c>
      <c r="J235" s="10" t="str">
        <f>IF(TRIM(Github!D$78)="TRUE","FALSE","TRUE")</f>
        <v>TRUE</v>
      </c>
      <c r="K235" s="10" t="b">
        <f>Github!M$78</f>
        <v>1</v>
      </c>
      <c r="L235" s="10" t="b">
        <f>Github!N$78</f>
        <v>0</v>
      </c>
      <c r="M235" s="10" t="str">
        <f>ROUND(Github!O$78, 2)&amp;"%"</f>
        <v>63.21%</v>
      </c>
      <c r="N235" s="10">
        <f>Github!P$78</f>
        <v>492579</v>
      </c>
      <c r="O235" s="10">
        <f>Github!Q$78</f>
        <v>779289</v>
      </c>
    </row>
    <row r="236">
      <c r="A236" s="10">
        <f>Github!J$452</f>
        <v>451</v>
      </c>
      <c r="B236" s="11" t="str">
        <f>HYPERLINK(CONCAT("http://leetcode.com/problems/",Github!C$452), Github!B$452)</f>
        <v>Sort Characters By Frequency</v>
      </c>
      <c r="C236" s="10">
        <f>Github!F$452</f>
        <v>3832</v>
      </c>
      <c r="D236" s="10">
        <f>Github!G$452</f>
        <v>177</v>
      </c>
      <c r="E236" s="10">
        <f>Github!F$452+Github!G$452</f>
        <v>4009</v>
      </c>
      <c r="F236" s="12">
        <f t="shared" si="1"/>
        <v>21.65</v>
      </c>
      <c r="G236" s="10" t="str">
        <f>Github!H$452</f>
        <v>Algorithms</v>
      </c>
      <c r="H236" s="13" t="str">
        <f>SUBSTITUTE(Github!L$452, ";", ", ")</f>
        <v>Hash Table, String, Sorting, Heap (Priority Queue), Bucket Sort, Counting, </v>
      </c>
      <c r="I236" s="10" t="str">
        <f>Github!E$452</f>
        <v>Medium</v>
      </c>
      <c r="J236" s="10" t="str">
        <f>IF(TRIM(Github!D$452)="TRUE","FALSE","TRUE")</f>
        <v>TRUE</v>
      </c>
      <c r="K236" s="10" t="b">
        <f>Github!M$452</f>
        <v>1</v>
      </c>
      <c r="L236" s="10" t="b">
        <f>Github!N$452</f>
        <v>0</v>
      </c>
      <c r="M236" s="10" t="str">
        <f>ROUND(Github!O$452, 2)&amp;"%"</f>
        <v>67.49%</v>
      </c>
      <c r="N236" s="10">
        <f>Github!P$452</f>
        <v>345752</v>
      </c>
      <c r="O236" s="10">
        <f>Github!Q$452</f>
        <v>512273</v>
      </c>
    </row>
    <row r="237">
      <c r="A237" s="10">
        <f>Github!J$112</f>
        <v>111</v>
      </c>
      <c r="B237" s="11" t="str">
        <f>HYPERLINK(CONCAT("http://leetcode.com/problems/",Github!C$112), Github!B$112)</f>
        <v>Minimum Depth of Binary Tree</v>
      </c>
      <c r="C237" s="10">
        <f>Github!F$112</f>
        <v>3821</v>
      </c>
      <c r="D237" s="10">
        <f>Github!G$112</f>
        <v>934</v>
      </c>
      <c r="E237" s="10">
        <f>Github!F$112+Github!G$112</f>
        <v>4755</v>
      </c>
      <c r="F237" s="12">
        <f t="shared" si="1"/>
        <v>4.09</v>
      </c>
      <c r="G237" s="10" t="str">
        <f>Github!H$112</f>
        <v>Algorithms</v>
      </c>
      <c r="H237" s="13" t="str">
        <f>SUBSTITUTE(Github!L$112, ";", ", ")</f>
        <v>Tree, Depth-First Search, Breadth-First Search, Binary Tree, </v>
      </c>
      <c r="I237" s="10" t="str">
        <f>Github!E$112</f>
        <v>Easy</v>
      </c>
      <c r="J237" s="10" t="str">
        <f>IF(TRIM(Github!D$112)="TRUE","FALSE","TRUE")</f>
        <v>TRUE</v>
      </c>
      <c r="K237" s="10" t="b">
        <f>Github!M$112</f>
        <v>1</v>
      </c>
      <c r="L237" s="10" t="b">
        <f>Github!N$112</f>
        <v>0</v>
      </c>
      <c r="M237" s="10" t="str">
        <f>ROUND(Github!O$112, 2)&amp;"%"</f>
        <v>42.2%</v>
      </c>
      <c r="N237" s="10">
        <f>Github!P$112</f>
        <v>717412</v>
      </c>
      <c r="O237" s="10">
        <f>Github!Q$112</f>
        <v>1700197</v>
      </c>
    </row>
    <row r="238">
      <c r="A238" s="10">
        <f>Github!J$265</f>
        <v>264</v>
      </c>
      <c r="B238" s="11" t="str">
        <f>HYPERLINK(CONCAT("http://leetcode.com/problems/",Github!C$265), Github!B$265)</f>
        <v>Ugly Number II</v>
      </c>
      <c r="C238" s="10">
        <f>Github!F$265</f>
        <v>3810</v>
      </c>
      <c r="D238" s="10">
        <f>Github!G$265</f>
        <v>205</v>
      </c>
      <c r="E238" s="10">
        <f>Github!F$265+Github!G$265</f>
        <v>4015</v>
      </c>
      <c r="F238" s="12">
        <f t="shared" si="1"/>
        <v>18.59</v>
      </c>
      <c r="G238" s="10" t="str">
        <f>Github!H$265</f>
        <v>Algorithms</v>
      </c>
      <c r="H238" s="13" t="str">
        <f>SUBSTITUTE(Github!L$265, ";", ", ")</f>
        <v>Hash Table, Math, Dynamic Programming, Heap (Priority Queue), </v>
      </c>
      <c r="I238" s="10" t="str">
        <f>Github!E$265</f>
        <v>Medium</v>
      </c>
      <c r="J238" s="10" t="str">
        <f>IF(TRIM(Github!D$265)="TRUE","FALSE","TRUE")</f>
        <v>TRUE</v>
      </c>
      <c r="K238" s="10" t="b">
        <f>Github!M$265</f>
        <v>0</v>
      </c>
      <c r="L238" s="10" t="b">
        <f>Github!N$265</f>
        <v>0</v>
      </c>
      <c r="M238" s="10" t="str">
        <f>ROUND(Github!O$265, 2)&amp;"%"</f>
        <v>45.03%</v>
      </c>
      <c r="N238" s="10">
        <f>Github!P$265</f>
        <v>249952</v>
      </c>
      <c r="O238" s="10">
        <f>Github!Q$265</f>
        <v>555073</v>
      </c>
    </row>
    <row r="239">
      <c r="A239" s="10">
        <f>Github!J$798</f>
        <v>797</v>
      </c>
      <c r="B239" s="11" t="str">
        <f>HYPERLINK(CONCAT("http://leetcode.com/problems/",Github!C$798), Github!B$798)</f>
        <v>All Paths From Source to Target</v>
      </c>
      <c r="C239" s="10">
        <f>Github!F$798</f>
        <v>3810</v>
      </c>
      <c r="D239" s="10">
        <f>Github!G$798</f>
        <v>113</v>
      </c>
      <c r="E239" s="10">
        <f>Github!F$798+Github!G$798</f>
        <v>3923</v>
      </c>
      <c r="F239" s="12">
        <f t="shared" si="1"/>
        <v>33.72</v>
      </c>
      <c r="G239" s="10" t="str">
        <f>Github!H$798</f>
        <v>Algorithms</v>
      </c>
      <c r="H239" s="13" t="str">
        <f>SUBSTITUTE(Github!L$798, ";", ", ")</f>
        <v>Backtracking, Depth-First Search, Breadth-First Search, Graph, </v>
      </c>
      <c r="I239" s="10" t="str">
        <f>Github!E$798</f>
        <v>Medium</v>
      </c>
      <c r="J239" s="10" t="str">
        <f>IF(TRIM(Github!D$798)="TRUE","FALSE","TRUE")</f>
        <v>TRUE</v>
      </c>
      <c r="K239" s="10" t="b">
        <f>Github!M$798</f>
        <v>1</v>
      </c>
      <c r="L239" s="10" t="b">
        <f>Github!N$798</f>
        <v>0</v>
      </c>
      <c r="M239" s="10" t="str">
        <f>ROUND(Github!O$798, 2)&amp;"%"</f>
        <v>80.74%</v>
      </c>
      <c r="N239" s="10">
        <f>Github!P$798</f>
        <v>257563</v>
      </c>
      <c r="O239" s="10">
        <f>Github!Q$798</f>
        <v>318993</v>
      </c>
    </row>
    <row r="240">
      <c r="A240" s="10">
        <f>Github!J$876</f>
        <v>875</v>
      </c>
      <c r="B240" s="11" t="str">
        <f>HYPERLINK(CONCAT("http://leetcode.com/problems/",Github!C$876), Github!B$876)</f>
        <v>Koko Eating Bananas</v>
      </c>
      <c r="C240" s="10">
        <f>Github!F$876</f>
        <v>3803</v>
      </c>
      <c r="D240" s="10">
        <f>Github!G$876</f>
        <v>170</v>
      </c>
      <c r="E240" s="10">
        <f>Github!F$876+Github!G$876</f>
        <v>3973</v>
      </c>
      <c r="F240" s="12">
        <f t="shared" si="1"/>
        <v>22.37</v>
      </c>
      <c r="G240" s="10" t="str">
        <f>Github!H$876</f>
        <v>Algorithms</v>
      </c>
      <c r="H240" s="13" t="str">
        <f>SUBSTITUTE(Github!L$876, ";", ", ")</f>
        <v>Array, Binary Search, </v>
      </c>
      <c r="I240" s="10" t="str">
        <f>Github!E$876</f>
        <v>Medium</v>
      </c>
      <c r="J240" s="10" t="str">
        <f>IF(TRIM(Github!D$876)="TRUE","FALSE","TRUE")</f>
        <v>TRUE</v>
      </c>
      <c r="K240" s="10" t="b">
        <f>Github!M$876</f>
        <v>1</v>
      </c>
      <c r="L240" s="10" t="b">
        <f>Github!N$876</f>
        <v>0</v>
      </c>
      <c r="M240" s="10" t="str">
        <f>ROUND(Github!O$876, 2)&amp;"%"</f>
        <v>54.59%</v>
      </c>
      <c r="N240" s="10">
        <f>Github!P$876</f>
        <v>159741</v>
      </c>
      <c r="O240" s="10">
        <f>Github!Q$876</f>
        <v>292608</v>
      </c>
    </row>
    <row r="241">
      <c r="A241" s="10">
        <f>Github!J$258</f>
        <v>257</v>
      </c>
      <c r="B241" s="11" t="str">
        <f>HYPERLINK(CONCAT("http://leetcode.com/problems/",Github!C$258), Github!B$258)</f>
        <v>Binary Tree Paths</v>
      </c>
      <c r="C241" s="10">
        <f>Github!F$258</f>
        <v>3790</v>
      </c>
      <c r="D241" s="10">
        <f>Github!G$258</f>
        <v>175</v>
      </c>
      <c r="E241" s="10">
        <f>Github!F$258+Github!G$258</f>
        <v>3965</v>
      </c>
      <c r="F241" s="12">
        <f t="shared" si="1"/>
        <v>21.66</v>
      </c>
      <c r="G241" s="10" t="str">
        <f>Github!H$258</f>
        <v>Algorithms</v>
      </c>
      <c r="H241" s="13" t="str">
        <f>SUBSTITUTE(Github!L$258, ";", ", ")</f>
        <v>String, Backtracking, Tree, Depth-First Search, Binary Tree, </v>
      </c>
      <c r="I241" s="10" t="str">
        <f>Github!E$258</f>
        <v>Easy</v>
      </c>
      <c r="J241" s="10" t="str">
        <f>IF(TRIM(Github!D$258)="TRUE","FALSE","TRUE")</f>
        <v>TRUE</v>
      </c>
      <c r="K241" s="10" t="b">
        <f>Github!M$258</f>
        <v>1</v>
      </c>
      <c r="L241" s="10" t="b">
        <f>Github!N$258</f>
        <v>0</v>
      </c>
      <c r="M241" s="10" t="str">
        <f>ROUND(Github!O$258, 2)&amp;"%"</f>
        <v>58.07%</v>
      </c>
      <c r="N241" s="10">
        <f>Github!P$258</f>
        <v>489450</v>
      </c>
      <c r="O241" s="10">
        <f>Github!Q$258</f>
        <v>842837</v>
      </c>
    </row>
    <row r="242">
      <c r="A242" s="10">
        <f>Github!J$145</f>
        <v>144</v>
      </c>
      <c r="B242" s="11" t="str">
        <f>HYPERLINK(CONCAT("http://leetcode.com/problems/",Github!C$145), Github!B$145)</f>
        <v>Binary Tree Preorder Traversal</v>
      </c>
      <c r="C242" s="10">
        <f>Github!F$145</f>
        <v>3785</v>
      </c>
      <c r="D242" s="10">
        <f>Github!G$145</f>
        <v>117</v>
      </c>
      <c r="E242" s="10">
        <f>Github!F$145+Github!G$145</f>
        <v>3902</v>
      </c>
      <c r="F242" s="12">
        <f t="shared" si="1"/>
        <v>32.35</v>
      </c>
      <c r="G242" s="10" t="str">
        <f>Github!H$145</f>
        <v>Algorithms</v>
      </c>
      <c r="H242" s="13" t="str">
        <f>SUBSTITUTE(Github!L$145, ";", ", ")</f>
        <v>Stack, Tree, Depth-First Search, Binary Tree, </v>
      </c>
      <c r="I242" s="10" t="str">
        <f>Github!E$145</f>
        <v>Easy</v>
      </c>
      <c r="J242" s="10" t="str">
        <f>IF(TRIM(Github!D$145)="TRUE","FALSE","TRUE")</f>
        <v>TRUE</v>
      </c>
      <c r="K242" s="10" t="b">
        <f>Github!M$145</f>
        <v>1</v>
      </c>
      <c r="L242" s="10" t="b">
        <f>Github!N$145</f>
        <v>0</v>
      </c>
      <c r="M242" s="10" t="str">
        <f>ROUND(Github!O$145, 2)&amp;"%"</f>
        <v>61.97%</v>
      </c>
      <c r="N242" s="10">
        <f>Github!P$145</f>
        <v>884736</v>
      </c>
      <c r="O242" s="10">
        <f>Github!Q$145</f>
        <v>1427685</v>
      </c>
    </row>
    <row r="243">
      <c r="A243" s="10">
        <f>Github!J$744</f>
        <v>743</v>
      </c>
      <c r="B243" s="11" t="str">
        <f>HYPERLINK(CONCAT("http://leetcode.com/problems/",Github!C$744), Github!B$744)</f>
        <v>Network Delay Time</v>
      </c>
      <c r="C243" s="10">
        <f>Github!F$744</f>
        <v>3778</v>
      </c>
      <c r="D243" s="10">
        <f>Github!G$744</f>
        <v>274</v>
      </c>
      <c r="E243" s="10">
        <f>Github!F$744+Github!G$744</f>
        <v>4052</v>
      </c>
      <c r="F243" s="12">
        <f t="shared" si="1"/>
        <v>13.79</v>
      </c>
      <c r="G243" s="10" t="str">
        <f>Github!H$744</f>
        <v>Algorithms</v>
      </c>
      <c r="H243" s="13" t="str">
        <f>SUBSTITUTE(Github!L$744, ";", ", ")</f>
        <v>Depth-First Search, Breadth-First Search, Graph, Heap (Priority Queue), Shortest Path, </v>
      </c>
      <c r="I243" s="10" t="str">
        <f>Github!E$744</f>
        <v>Medium</v>
      </c>
      <c r="J243" s="10" t="str">
        <f>IF(TRIM(Github!D$744)="TRUE","FALSE","TRUE")</f>
        <v>TRUE</v>
      </c>
      <c r="K243" s="10" t="b">
        <f>Github!M$744</f>
        <v>1</v>
      </c>
      <c r="L243" s="10" t="b">
        <f>Github!N$744</f>
        <v>0</v>
      </c>
      <c r="M243" s="10" t="str">
        <f>ROUND(Github!O$744, 2)&amp;"%"</f>
        <v>48.15%</v>
      </c>
      <c r="N243" s="10">
        <f>Github!P$744</f>
        <v>222292</v>
      </c>
      <c r="O243" s="10">
        <f>Github!Q$744</f>
        <v>461653</v>
      </c>
    </row>
    <row r="244">
      <c r="A244" s="10">
        <f>Github!J$67</f>
        <v>66</v>
      </c>
      <c r="B244" s="11" t="str">
        <f>HYPERLINK(CONCAT("http://leetcode.com/problems/",Github!C$67), Github!B$67)</f>
        <v>Plus One</v>
      </c>
      <c r="C244" s="10">
        <f>Github!F$67</f>
        <v>3778</v>
      </c>
      <c r="D244" s="10">
        <f>Github!G$67</f>
        <v>4007</v>
      </c>
      <c r="E244" s="10">
        <f>Github!F$67+Github!G$67</f>
        <v>7785</v>
      </c>
      <c r="F244" s="12">
        <f t="shared" si="1"/>
        <v>0.94</v>
      </c>
      <c r="G244" s="10" t="str">
        <f>Github!H$67</f>
        <v>Algorithms</v>
      </c>
      <c r="H244" s="13" t="str">
        <f>SUBSTITUTE(Github!L$67, ";", ", ")</f>
        <v>Array, Math, </v>
      </c>
      <c r="I244" s="10" t="str">
        <f>Github!E$67</f>
        <v>Easy</v>
      </c>
      <c r="J244" s="10" t="str">
        <f>IF(TRIM(Github!D$67)="TRUE","FALSE","TRUE")</f>
        <v>TRUE</v>
      </c>
      <c r="K244" s="10" t="b">
        <f>Github!M$67</f>
        <v>1</v>
      </c>
      <c r="L244" s="10" t="b">
        <f>Github!N$67</f>
        <v>0</v>
      </c>
      <c r="M244" s="10" t="str">
        <f>ROUND(Github!O$67, 2)&amp;"%"</f>
        <v>42.58%</v>
      </c>
      <c r="N244" s="10">
        <f>Github!P$67</f>
        <v>1122398</v>
      </c>
      <c r="O244" s="10">
        <f>Github!Q$67</f>
        <v>2635745</v>
      </c>
    </row>
    <row r="245">
      <c r="A245" s="10">
        <f>Github!J$422</f>
        <v>421</v>
      </c>
      <c r="B245" s="11" t="str">
        <f>HYPERLINK(CONCAT("http://leetcode.com/problems/",Github!C$422), Github!B$422)</f>
        <v>Maximum XOR of Two Numbers in an Array</v>
      </c>
      <c r="C245" s="10">
        <f>Github!F$422</f>
        <v>3759</v>
      </c>
      <c r="D245" s="10">
        <f>Github!G$422</f>
        <v>319</v>
      </c>
      <c r="E245" s="10">
        <f>Github!F$422+Github!G$422</f>
        <v>4078</v>
      </c>
      <c r="F245" s="12">
        <f t="shared" si="1"/>
        <v>11.78</v>
      </c>
      <c r="G245" s="10" t="str">
        <f>Github!H$422</f>
        <v>Algorithms</v>
      </c>
      <c r="H245" s="13" t="str">
        <f>SUBSTITUTE(Github!L$422, ";", ", ")</f>
        <v>Array, Hash Table, Bit Manipulation, Trie, </v>
      </c>
      <c r="I245" s="10" t="str">
        <f>Github!E$422</f>
        <v>Medium</v>
      </c>
      <c r="J245" s="10" t="str">
        <f>IF(TRIM(Github!D$422)="TRUE","FALSE","TRUE")</f>
        <v>TRUE</v>
      </c>
      <c r="K245" s="10" t="b">
        <f>Github!M$422</f>
        <v>1</v>
      </c>
      <c r="L245" s="10" t="b">
        <f>Github!N$422</f>
        <v>0</v>
      </c>
      <c r="M245" s="10" t="str">
        <f>ROUND(Github!O$422, 2)&amp;"%"</f>
        <v>54.23%</v>
      </c>
      <c r="N245" s="10">
        <f>Github!P$422</f>
        <v>119625</v>
      </c>
      <c r="O245" s="10">
        <f>Github!Q$422</f>
        <v>220592</v>
      </c>
    </row>
    <row r="246">
      <c r="A246" s="10">
        <f>Github!J$414</f>
        <v>413</v>
      </c>
      <c r="B246" s="11" t="str">
        <f>HYPERLINK(CONCAT("http://leetcode.com/problems/",Github!C$414), Github!B$414)</f>
        <v>Arithmetic Slices</v>
      </c>
      <c r="C246" s="10">
        <f>Github!F$414</f>
        <v>3743</v>
      </c>
      <c r="D246" s="10">
        <f>Github!G$414</f>
        <v>247</v>
      </c>
      <c r="E246" s="10">
        <f>Github!F$414+Github!G$414</f>
        <v>3990</v>
      </c>
      <c r="F246" s="12">
        <f t="shared" si="1"/>
        <v>15.15</v>
      </c>
      <c r="G246" s="10" t="str">
        <f>Github!H$414</f>
        <v>Algorithms</v>
      </c>
      <c r="H246" s="13" t="str">
        <f>SUBSTITUTE(Github!L$414, ";", ", ")</f>
        <v>Array, Dynamic Programming, </v>
      </c>
      <c r="I246" s="10" t="str">
        <f>Github!E$414</f>
        <v>Medium</v>
      </c>
      <c r="J246" s="10" t="str">
        <f>IF(TRIM(Github!D$414)="TRUE","FALSE","TRUE")</f>
        <v>TRUE</v>
      </c>
      <c r="K246" s="10" t="b">
        <f>Github!M$414</f>
        <v>1</v>
      </c>
      <c r="L246" s="10" t="b">
        <f>Github!N$414</f>
        <v>0</v>
      </c>
      <c r="M246" s="10" t="str">
        <f>ROUND(Github!O$414, 2)&amp;"%"</f>
        <v>64.23%</v>
      </c>
      <c r="N246" s="10">
        <f>Github!P$414</f>
        <v>219243</v>
      </c>
      <c r="O246" s="10">
        <f>Github!Q$414</f>
        <v>341339</v>
      </c>
    </row>
    <row r="247">
      <c r="A247" s="10">
        <f>Github!J$89</f>
        <v>88</v>
      </c>
      <c r="B247" s="11" t="str">
        <f>HYPERLINK(CONCAT("http://leetcode.com/problems/",Github!C$89), Github!B$89)</f>
        <v>Merge Sorted Array</v>
      </c>
      <c r="C247" s="10">
        <f>Github!F$89</f>
        <v>3736</v>
      </c>
      <c r="D247" s="10">
        <f>Github!G$89</f>
        <v>352</v>
      </c>
      <c r="E247" s="10">
        <f>Github!F$89+Github!G$89</f>
        <v>4088</v>
      </c>
      <c r="F247" s="12">
        <f t="shared" si="1"/>
        <v>10.61</v>
      </c>
      <c r="G247" s="10" t="str">
        <f>Github!H$89</f>
        <v>Algorithms</v>
      </c>
      <c r="H247" s="13" t="str">
        <f>SUBSTITUTE(Github!L$89, ";", ", ")</f>
        <v>Array, Two Pointers, Sorting, </v>
      </c>
      <c r="I247" s="10" t="str">
        <f>Github!E$89</f>
        <v>Easy</v>
      </c>
      <c r="J247" s="10" t="str">
        <f>IF(TRIM(Github!D$89)="TRUE","FALSE","TRUE")</f>
        <v>TRUE</v>
      </c>
      <c r="K247" s="10" t="b">
        <f>Github!M$89</f>
        <v>1</v>
      </c>
      <c r="L247" s="10" t="b">
        <f>Github!N$89</f>
        <v>0</v>
      </c>
      <c r="M247" s="10" t="str">
        <f>ROUND(Github!O$89, 2)&amp;"%"</f>
        <v>43.45%</v>
      </c>
      <c r="N247" s="10">
        <f>Github!P$89</f>
        <v>1285509</v>
      </c>
      <c r="O247" s="10">
        <f>Github!Q$89</f>
        <v>2958543</v>
      </c>
    </row>
    <row r="248">
      <c r="A248" s="10">
        <f>Github!J$261</f>
        <v>260</v>
      </c>
      <c r="B248" s="11" t="str">
        <f>HYPERLINK(CONCAT("http://leetcode.com/problems/",Github!C$261), Github!B$261)</f>
        <v>Single Number III</v>
      </c>
      <c r="C248" s="10">
        <f>Github!F$261</f>
        <v>3720</v>
      </c>
      <c r="D248" s="10">
        <f>Github!G$261</f>
        <v>178</v>
      </c>
      <c r="E248" s="10">
        <f>Github!F$261+Github!G$261</f>
        <v>3898</v>
      </c>
      <c r="F248" s="12">
        <f t="shared" si="1"/>
        <v>20.9</v>
      </c>
      <c r="G248" s="10" t="str">
        <f>Github!H$261</f>
        <v>Algorithms</v>
      </c>
      <c r="H248" s="13" t="str">
        <f>SUBSTITUTE(Github!L$261, ";", ", ")</f>
        <v>Array, Bit Manipulation, </v>
      </c>
      <c r="I248" s="10" t="str">
        <f>Github!E$261</f>
        <v>Medium</v>
      </c>
      <c r="J248" s="10" t="str">
        <f>IF(TRIM(Github!D$261)="TRUE","FALSE","TRUE")</f>
        <v>TRUE</v>
      </c>
      <c r="K248" s="10" t="b">
        <f>Github!M$261</f>
        <v>1</v>
      </c>
      <c r="L248" s="10" t="b">
        <f>Github!N$261</f>
        <v>0</v>
      </c>
      <c r="M248" s="10" t="str">
        <f>ROUND(Github!O$261, 2)&amp;"%"</f>
        <v>67.04%</v>
      </c>
      <c r="N248" s="10">
        <f>Github!P$261</f>
        <v>246158</v>
      </c>
      <c r="O248" s="10">
        <f>Github!Q$261</f>
        <v>367182</v>
      </c>
    </row>
    <row r="249">
      <c r="A249" s="10">
        <f>Github!J$396</f>
        <v>395</v>
      </c>
      <c r="B249" s="11" t="str">
        <f>HYPERLINK(CONCAT("http://leetcode.com/problems/",Github!C$396), Github!B$396)</f>
        <v>Longest Substring with At Least K Repeating Characters</v>
      </c>
      <c r="C249" s="10">
        <f>Github!F$396</f>
        <v>3717</v>
      </c>
      <c r="D249" s="10">
        <f>Github!G$396</f>
        <v>315</v>
      </c>
      <c r="E249" s="10">
        <f>Github!F$396+Github!G$396</f>
        <v>4032</v>
      </c>
      <c r="F249" s="12">
        <f t="shared" si="1"/>
        <v>11.8</v>
      </c>
      <c r="G249" s="10" t="str">
        <f>Github!H$396</f>
        <v>Algorithms</v>
      </c>
      <c r="H249" s="13" t="str">
        <f>SUBSTITUTE(Github!L$396, ";", ", ")</f>
        <v>Hash Table, String, Divide and Conquer, Sliding Window, </v>
      </c>
      <c r="I249" s="10" t="str">
        <f>Github!E$396</f>
        <v>Medium</v>
      </c>
      <c r="J249" s="10" t="str">
        <f>IF(TRIM(Github!D$396)="TRUE","FALSE","TRUE")</f>
        <v>TRUE</v>
      </c>
      <c r="K249" s="10" t="b">
        <f>Github!M$396</f>
        <v>1</v>
      </c>
      <c r="L249" s="10" t="b">
        <f>Github!N$396</f>
        <v>0</v>
      </c>
      <c r="M249" s="10" t="str">
        <f>ROUND(Github!O$396, 2)&amp;"%"</f>
        <v>44.49%</v>
      </c>
      <c r="N249" s="10">
        <f>Github!P$396</f>
        <v>150533</v>
      </c>
      <c r="O249" s="10">
        <f>Github!Q$396</f>
        <v>338364</v>
      </c>
    </row>
    <row r="250">
      <c r="A250" s="10">
        <f>Github!J$705</f>
        <v>704</v>
      </c>
      <c r="B250" s="11" t="str">
        <f>HYPERLINK(CONCAT("http://leetcode.com/problems/",Github!C$705), Github!B$705)</f>
        <v>Binary Search</v>
      </c>
      <c r="C250" s="10">
        <f>Github!F$705</f>
        <v>3695</v>
      </c>
      <c r="D250" s="10">
        <f>Github!G$705</f>
        <v>94</v>
      </c>
      <c r="E250" s="10">
        <f>Github!F$705+Github!G$705</f>
        <v>3789</v>
      </c>
      <c r="F250" s="12">
        <f t="shared" si="1"/>
        <v>39.31</v>
      </c>
      <c r="G250" s="10" t="str">
        <f>Github!H$705</f>
        <v>Algorithms</v>
      </c>
      <c r="H250" s="13" t="str">
        <f>SUBSTITUTE(Github!L$705, ";", ", ")</f>
        <v>Array, Binary Search, </v>
      </c>
      <c r="I250" s="10" t="str">
        <f>Github!E$705</f>
        <v>Easy</v>
      </c>
      <c r="J250" s="10" t="str">
        <f>IF(TRIM(Github!D$705)="TRUE","FALSE","TRUE")</f>
        <v>TRUE</v>
      </c>
      <c r="K250" s="10" t="b">
        <f>Github!M$705</f>
        <v>1</v>
      </c>
      <c r="L250" s="10" t="b">
        <f>Github!N$705</f>
        <v>0</v>
      </c>
      <c r="M250" s="10" t="str">
        <f>ROUND(Github!O$705, 2)&amp;"%"</f>
        <v>54.58%</v>
      </c>
      <c r="N250" s="10">
        <f>Github!P$705</f>
        <v>693029</v>
      </c>
      <c r="O250" s="10">
        <f>Github!Q$705</f>
        <v>1269720</v>
      </c>
    </row>
    <row r="251">
      <c r="A251" s="10">
        <f>Github!J$715</f>
        <v>714</v>
      </c>
      <c r="B251" s="11" t="str">
        <f>HYPERLINK(CONCAT("http://leetcode.com/problems/",Github!C$715), Github!B$715)</f>
        <v>Best Time to Buy and Sell Stock with Transaction Fee</v>
      </c>
      <c r="C251" s="10">
        <f>Github!F$715</f>
        <v>3692</v>
      </c>
      <c r="D251" s="10">
        <f>Github!G$715</f>
        <v>98</v>
      </c>
      <c r="E251" s="10">
        <f>Github!F$715+Github!G$715</f>
        <v>3790</v>
      </c>
      <c r="F251" s="12">
        <f t="shared" si="1"/>
        <v>37.67</v>
      </c>
      <c r="G251" s="10" t="str">
        <f>Github!H$715</f>
        <v>Algorithms</v>
      </c>
      <c r="H251" s="13" t="str">
        <f>SUBSTITUTE(Github!L$715, ";", ", ")</f>
        <v>Array, Dynamic Programming, Greedy, </v>
      </c>
      <c r="I251" s="10" t="str">
        <f>Github!E$715</f>
        <v>Medium</v>
      </c>
      <c r="J251" s="10" t="str">
        <f>IF(TRIM(Github!D$715)="TRUE","FALSE","TRUE")</f>
        <v>TRUE</v>
      </c>
      <c r="K251" s="10" t="b">
        <f>Github!M$715</f>
        <v>1</v>
      </c>
      <c r="L251" s="10" t="b">
        <f>Github!N$715</f>
        <v>0</v>
      </c>
      <c r="M251" s="10" t="str">
        <f>ROUND(Github!O$715, 2)&amp;"%"</f>
        <v>61.66%</v>
      </c>
      <c r="N251" s="10">
        <f>Github!P$715</f>
        <v>155515</v>
      </c>
      <c r="O251" s="10">
        <f>Github!Q$715</f>
        <v>252208</v>
      </c>
    </row>
    <row r="252">
      <c r="A252" s="10">
        <f>Github!J$455</f>
        <v>454</v>
      </c>
      <c r="B252" s="11" t="str">
        <f>HYPERLINK(CONCAT("http://leetcode.com/problems/",Github!C$455), Github!B$455)</f>
        <v>4Sum II</v>
      </c>
      <c r="C252" s="10">
        <f>Github!F$455</f>
        <v>3684</v>
      </c>
      <c r="D252" s="10">
        <f>Github!G$455</f>
        <v>111</v>
      </c>
      <c r="E252" s="10">
        <f>Github!F$455+Github!G$455</f>
        <v>3795</v>
      </c>
      <c r="F252" s="12">
        <f t="shared" si="1"/>
        <v>33.19</v>
      </c>
      <c r="G252" s="10" t="str">
        <f>Github!H$455</f>
        <v>Algorithms</v>
      </c>
      <c r="H252" s="13" t="str">
        <f>SUBSTITUTE(Github!L$455, ";", ", ")</f>
        <v>Array, Hash Table, </v>
      </c>
      <c r="I252" s="10" t="str">
        <f>Github!E$455</f>
        <v>Medium</v>
      </c>
      <c r="J252" s="10" t="str">
        <f>IF(TRIM(Github!D$455)="TRUE","FALSE","TRUE")</f>
        <v>TRUE</v>
      </c>
      <c r="K252" s="10" t="b">
        <f>Github!M$455</f>
        <v>1</v>
      </c>
      <c r="L252" s="10" t="b">
        <f>Github!N$455</f>
        <v>0</v>
      </c>
      <c r="M252" s="10" t="str">
        <f>ROUND(Github!O$455, 2)&amp;"%"</f>
        <v>56.94%</v>
      </c>
      <c r="N252" s="10">
        <f>Github!P$455</f>
        <v>245245</v>
      </c>
      <c r="O252" s="10">
        <f>Github!Q$455</f>
        <v>430700</v>
      </c>
    </row>
    <row r="253">
      <c r="A253" s="10">
        <f>Github!J$333</f>
        <v>332</v>
      </c>
      <c r="B253" s="11" t="str">
        <f>HYPERLINK(CONCAT("http://leetcode.com/problems/",Github!C$333), Github!B$333)</f>
        <v>Reconstruct Itinerary</v>
      </c>
      <c r="C253" s="10">
        <f>Github!F$333</f>
        <v>3674</v>
      </c>
      <c r="D253" s="10">
        <f>Github!G$333</f>
        <v>1539</v>
      </c>
      <c r="E253" s="10">
        <f>Github!F$333+Github!G$333</f>
        <v>5213</v>
      </c>
      <c r="F253" s="12">
        <f t="shared" si="1"/>
        <v>2.39</v>
      </c>
      <c r="G253" s="10" t="str">
        <f>Github!H$333</f>
        <v>Algorithms</v>
      </c>
      <c r="H253" s="13" t="str">
        <f>SUBSTITUTE(Github!L$333, ";", ", ")</f>
        <v>Depth-First Search, Graph, Eulerian Circuit, </v>
      </c>
      <c r="I253" s="10" t="str">
        <f>Github!E$333</f>
        <v>Hard</v>
      </c>
      <c r="J253" s="10" t="str">
        <f>IF(TRIM(Github!D$333)="TRUE","FALSE","TRUE")</f>
        <v>TRUE</v>
      </c>
      <c r="K253" s="10" t="b">
        <f>Github!M$333</f>
        <v>1</v>
      </c>
      <c r="L253" s="10" t="b">
        <f>Github!N$333</f>
        <v>0</v>
      </c>
      <c r="M253" s="10" t="str">
        <f>ROUND(Github!O$333, 2)&amp;"%"</f>
        <v>39.96%</v>
      </c>
      <c r="N253" s="10">
        <f>Github!P$333</f>
        <v>270755</v>
      </c>
      <c r="O253" s="10">
        <f>Github!Q$333</f>
        <v>677518</v>
      </c>
    </row>
    <row r="254">
      <c r="A254" s="10">
        <f>Github!J$29</f>
        <v>28</v>
      </c>
      <c r="B254" s="11" t="str">
        <f>HYPERLINK(CONCAT("http://leetcode.com/problems/",Github!C$29), Github!B$29)</f>
        <v>Implement strStr()</v>
      </c>
      <c r="C254" s="10">
        <f>Github!F$29</f>
        <v>3675</v>
      </c>
      <c r="D254" s="10">
        <f>Github!G$29</f>
        <v>3458</v>
      </c>
      <c r="E254" s="10">
        <f>Github!F$29+Github!G$29</f>
        <v>7133</v>
      </c>
      <c r="F254" s="12">
        <f t="shared" si="1"/>
        <v>1.06</v>
      </c>
      <c r="G254" s="10" t="str">
        <f>Github!H$29</f>
        <v>Algorithms</v>
      </c>
      <c r="H254" s="13" t="str">
        <f>SUBSTITUTE(Github!L$29, ";", ", ")</f>
        <v>Two Pointers, String, String Matching, </v>
      </c>
      <c r="I254" s="10" t="str">
        <f>Github!E$29</f>
        <v>Easy</v>
      </c>
      <c r="J254" s="10" t="str">
        <f>IF(TRIM(Github!D$29)="TRUE","FALSE","TRUE")</f>
        <v>TRUE</v>
      </c>
      <c r="K254" s="10" t="b">
        <f>Github!M$29</f>
        <v>0</v>
      </c>
      <c r="L254" s="10" t="b">
        <f>Github!N$29</f>
        <v>0</v>
      </c>
      <c r="M254" s="10" t="str">
        <f>ROUND(Github!O$29, 2)&amp;"%"</f>
        <v>35.62%</v>
      </c>
      <c r="N254" s="10">
        <f>Github!P$29</f>
        <v>1172642</v>
      </c>
      <c r="O254" s="10">
        <f>Github!Q$29</f>
        <v>3292283</v>
      </c>
    </row>
    <row r="255">
      <c r="A255" s="10">
        <f>Github!J$219</f>
        <v>218</v>
      </c>
      <c r="B255" s="11" t="str">
        <f>HYPERLINK(CONCAT("http://leetcode.com/problems/",Github!C$219), Github!B$219)</f>
        <v>The Skyline Problem</v>
      </c>
      <c r="C255" s="10">
        <f>Github!F$219</f>
        <v>3670</v>
      </c>
      <c r="D255" s="10">
        <f>Github!G$219</f>
        <v>190</v>
      </c>
      <c r="E255" s="10">
        <f>Github!F$219+Github!G$219</f>
        <v>3860</v>
      </c>
      <c r="F255" s="12">
        <f t="shared" si="1"/>
        <v>19.32</v>
      </c>
      <c r="G255" s="10" t="str">
        <f>Github!H$219</f>
        <v>Algorithms</v>
      </c>
      <c r="H255" s="13" t="str">
        <f>SUBSTITUTE(Github!L$219, ";", ", ")</f>
        <v>Array, Divide and Conquer, Binary Indexed Tree, Segment Tree, Line Sweep, Heap (Priority Queue), Ordered Set, </v>
      </c>
      <c r="I255" s="10" t="str">
        <f>Github!E$219</f>
        <v>Hard</v>
      </c>
      <c r="J255" s="10" t="str">
        <f>IF(TRIM(Github!D$219)="TRUE","FALSE","TRUE")</f>
        <v>TRUE</v>
      </c>
      <c r="K255" s="10" t="b">
        <f>Github!M$219</f>
        <v>1</v>
      </c>
      <c r="L255" s="10" t="b">
        <f>Github!N$219</f>
        <v>0</v>
      </c>
      <c r="M255" s="10" t="str">
        <f>ROUND(Github!O$219, 2)&amp;"%"</f>
        <v>38.45%</v>
      </c>
      <c r="N255" s="10">
        <f>Github!P$219</f>
        <v>200622</v>
      </c>
      <c r="O255" s="10">
        <f>Github!Q$219</f>
        <v>521827</v>
      </c>
    </row>
    <row r="256">
      <c r="A256" s="10">
        <f>Github!J$714</f>
        <v>713</v>
      </c>
      <c r="B256" s="11" t="str">
        <f>HYPERLINK(CONCAT("http://leetcode.com/problems/",Github!C$714), Github!B$714)</f>
        <v>Subarray Product Less Than K</v>
      </c>
      <c r="C256" s="10">
        <f>Github!F$714</f>
        <v>3667</v>
      </c>
      <c r="D256" s="10">
        <f>Github!G$714</f>
        <v>127</v>
      </c>
      <c r="E256" s="10">
        <f>Github!F$714+Github!G$714</f>
        <v>3794</v>
      </c>
      <c r="F256" s="12">
        <f t="shared" si="1"/>
        <v>28.87</v>
      </c>
      <c r="G256" s="10" t="str">
        <f>Github!H$714</f>
        <v>Algorithms</v>
      </c>
      <c r="H256" s="13" t="str">
        <f>SUBSTITUTE(Github!L$714, ";", ", ")</f>
        <v>Array, Sliding Window, </v>
      </c>
      <c r="I256" s="10" t="str">
        <f>Github!E$714</f>
        <v>Medium</v>
      </c>
      <c r="J256" s="10" t="str">
        <f>IF(TRIM(Github!D$714)="TRUE","FALSE","TRUE")</f>
        <v>TRUE</v>
      </c>
      <c r="K256" s="10" t="b">
        <f>Github!M$714</f>
        <v>1</v>
      </c>
      <c r="L256" s="10" t="b">
        <f>Github!N$714</f>
        <v>0</v>
      </c>
      <c r="M256" s="10" t="str">
        <f>ROUND(Github!O$714, 2)&amp;"%"</f>
        <v>43.31%</v>
      </c>
      <c r="N256" s="10">
        <f>Github!P$714</f>
        <v>152907</v>
      </c>
      <c r="O256" s="10">
        <f>Github!Q$714</f>
        <v>353083</v>
      </c>
    </row>
    <row r="257">
      <c r="A257" s="10">
        <f>Github!J$734</f>
        <v>733</v>
      </c>
      <c r="B257" s="11" t="str">
        <f>HYPERLINK(CONCAT("http://leetcode.com/problems/",Github!C$734), Github!B$734)</f>
        <v>Flood Fill</v>
      </c>
      <c r="C257" s="10">
        <f>Github!F$734</f>
        <v>3671</v>
      </c>
      <c r="D257" s="10">
        <f>Github!G$734</f>
        <v>352</v>
      </c>
      <c r="E257" s="10">
        <f>Github!F$734+Github!G$734</f>
        <v>4023</v>
      </c>
      <c r="F257" s="12">
        <f t="shared" si="1"/>
        <v>10.43</v>
      </c>
      <c r="G257" s="10" t="str">
        <f>Github!H$734</f>
        <v>Algorithms</v>
      </c>
      <c r="H257" s="13" t="str">
        <f>SUBSTITUTE(Github!L$734, ";", ", ")</f>
        <v>Array, Depth-First Search, Breadth-First Search, Matrix, </v>
      </c>
      <c r="I257" s="10" t="str">
        <f>Github!E$734</f>
        <v>Easy</v>
      </c>
      <c r="J257" s="10" t="str">
        <f>IF(TRIM(Github!D$734)="TRUE","FALSE","TRUE")</f>
        <v>TRUE</v>
      </c>
      <c r="K257" s="10" t="b">
        <f>Github!M$734</f>
        <v>1</v>
      </c>
      <c r="L257" s="10" t="b">
        <f>Github!N$734</f>
        <v>0</v>
      </c>
      <c r="M257" s="10" t="str">
        <f>ROUND(Github!O$734, 2)&amp;"%"</f>
        <v>57.86%</v>
      </c>
      <c r="N257" s="10">
        <f>Github!P$734</f>
        <v>366010</v>
      </c>
      <c r="O257" s="10">
        <f>Github!Q$734</f>
        <v>632585</v>
      </c>
    </row>
    <row r="258">
      <c r="A258" s="10">
        <f>Github!J$845</f>
        <v>844</v>
      </c>
      <c r="B258" s="11" t="str">
        <f>HYPERLINK(CONCAT("http://leetcode.com/problems/",Github!C$845), Github!B$845)</f>
        <v>Backspace String Compare</v>
      </c>
      <c r="C258" s="10">
        <f>Github!F$845</f>
        <v>3662</v>
      </c>
      <c r="D258" s="10">
        <f>Github!G$845</f>
        <v>172</v>
      </c>
      <c r="E258" s="10">
        <f>Github!F$845+Github!G$845</f>
        <v>3834</v>
      </c>
      <c r="F258" s="12">
        <f t="shared" si="1"/>
        <v>21.29</v>
      </c>
      <c r="G258" s="10" t="str">
        <f>Github!H$845</f>
        <v>Algorithms</v>
      </c>
      <c r="H258" s="13" t="str">
        <f>SUBSTITUTE(Github!L$845, ";", ", ")</f>
        <v>Two Pointers, String, Stack, Simulation, </v>
      </c>
      <c r="I258" s="10" t="str">
        <f>Github!E$845</f>
        <v>Easy</v>
      </c>
      <c r="J258" s="10" t="str">
        <f>IF(TRIM(Github!D$845)="TRUE","FALSE","TRUE")</f>
        <v>TRUE</v>
      </c>
      <c r="K258" s="10" t="b">
        <f>Github!M$845</f>
        <v>1</v>
      </c>
      <c r="L258" s="10" t="b">
        <f>Github!N$845</f>
        <v>0</v>
      </c>
      <c r="M258" s="10" t="str">
        <f>ROUND(Github!O$845, 2)&amp;"%"</f>
        <v>47.34%</v>
      </c>
      <c r="N258" s="10">
        <f>Github!P$845</f>
        <v>392028</v>
      </c>
      <c r="O258" s="10">
        <f>Github!Q$845</f>
        <v>828085</v>
      </c>
    </row>
    <row r="259">
      <c r="A259" s="10">
        <f>Github!J$335</f>
        <v>334</v>
      </c>
      <c r="B259" s="11" t="str">
        <f>HYPERLINK(CONCAT("http://leetcode.com/problems/",Github!C$335), Github!B$335)</f>
        <v>Increasing Triplet Subsequence</v>
      </c>
      <c r="C259" s="10">
        <f>Github!F$335</f>
        <v>3655</v>
      </c>
      <c r="D259" s="10">
        <f>Github!G$335</f>
        <v>204</v>
      </c>
      <c r="E259" s="10">
        <f>Github!F$335+Github!G$335</f>
        <v>3859</v>
      </c>
      <c r="F259" s="12">
        <f t="shared" si="1"/>
        <v>17.92</v>
      </c>
      <c r="G259" s="10" t="str">
        <f>Github!H$335</f>
        <v>Algorithms</v>
      </c>
      <c r="H259" s="13" t="str">
        <f>SUBSTITUTE(Github!L$335, ";", ", ")</f>
        <v>Array, Greedy, </v>
      </c>
      <c r="I259" s="10" t="str">
        <f>Github!E$335</f>
        <v>Medium</v>
      </c>
      <c r="J259" s="10" t="str">
        <f>IF(TRIM(Github!D$335)="TRUE","FALSE","TRUE")</f>
        <v>TRUE</v>
      </c>
      <c r="K259" s="10" t="b">
        <f>Github!M$335</f>
        <v>1</v>
      </c>
      <c r="L259" s="10" t="b">
        <f>Github!N$335</f>
        <v>0</v>
      </c>
      <c r="M259" s="10" t="str">
        <f>ROUND(Github!O$335, 2)&amp;"%"</f>
        <v>41.42%</v>
      </c>
      <c r="N259" s="10">
        <f>Github!P$335</f>
        <v>260349</v>
      </c>
      <c r="O259" s="10">
        <f>Github!Q$335</f>
        <v>628619</v>
      </c>
    </row>
    <row r="260">
      <c r="A260" s="10">
        <f>Github!J$98</f>
        <v>97</v>
      </c>
      <c r="B260" s="11" t="str">
        <f>HYPERLINK(CONCAT("http://leetcode.com/problems/",Github!C$98), Github!B$98)</f>
        <v>Interleaving String</v>
      </c>
      <c r="C260" s="10">
        <f>Github!F$98</f>
        <v>3650</v>
      </c>
      <c r="D260" s="10">
        <f>Github!G$98</f>
        <v>194</v>
      </c>
      <c r="E260" s="10">
        <f>Github!F$98+Github!G$98</f>
        <v>3844</v>
      </c>
      <c r="F260" s="12">
        <f t="shared" si="1"/>
        <v>18.81</v>
      </c>
      <c r="G260" s="10" t="str">
        <f>Github!H$98</f>
        <v>Algorithms</v>
      </c>
      <c r="H260" s="13" t="str">
        <f>SUBSTITUTE(Github!L$98, ";", ", ")</f>
        <v>String, Dynamic Programming, </v>
      </c>
      <c r="I260" s="10" t="str">
        <f>Github!E$98</f>
        <v>Medium</v>
      </c>
      <c r="J260" s="10" t="str">
        <f>IF(TRIM(Github!D$98)="TRUE","FALSE","TRUE")</f>
        <v>TRUE</v>
      </c>
      <c r="K260" s="10" t="b">
        <f>Github!M$98</f>
        <v>1</v>
      </c>
      <c r="L260" s="10" t="b">
        <f>Github!N$98</f>
        <v>0</v>
      </c>
      <c r="M260" s="10" t="str">
        <f>ROUND(Github!O$98, 2)&amp;"%"</f>
        <v>34.56%</v>
      </c>
      <c r="N260" s="10">
        <f>Github!P$98</f>
        <v>253743</v>
      </c>
      <c r="O260" s="10">
        <f>Github!Q$98</f>
        <v>734247</v>
      </c>
    </row>
    <row r="261">
      <c r="A261" s="10">
        <f>Github!J$1250</f>
        <v>1249</v>
      </c>
      <c r="B261" s="11" t="str">
        <f>HYPERLINK(CONCAT("http://leetcode.com/problems/",Github!C$1250), Github!B$1250)</f>
        <v>Minimum Remove to Make Valid Parentheses</v>
      </c>
      <c r="C261" s="10">
        <f>Github!F$1250</f>
        <v>3646</v>
      </c>
      <c r="D261" s="10">
        <f>Github!G$1250</f>
        <v>69</v>
      </c>
      <c r="E261" s="10">
        <f>Github!F$1250+Github!G$1250</f>
        <v>3715</v>
      </c>
      <c r="F261" s="12">
        <f t="shared" si="1"/>
        <v>52.84</v>
      </c>
      <c r="G261" s="10" t="str">
        <f>Github!H$1250</f>
        <v>Algorithms</v>
      </c>
      <c r="H261" s="13" t="str">
        <f>SUBSTITUTE(Github!L$1250, ";", ", ")</f>
        <v>String, Stack, </v>
      </c>
      <c r="I261" s="10" t="str">
        <f>Github!E$1250</f>
        <v>Medium</v>
      </c>
      <c r="J261" s="10" t="str">
        <f>IF(TRIM(Github!D$1250)="TRUE","FALSE","TRUE")</f>
        <v>TRUE</v>
      </c>
      <c r="K261" s="10" t="b">
        <f>Github!M$1250</f>
        <v>1</v>
      </c>
      <c r="L261" s="10" t="b">
        <f>Github!N$1250</f>
        <v>0</v>
      </c>
      <c r="M261" s="10" t="str">
        <f>ROUND(Github!O$1250, 2)&amp;"%"</f>
        <v>65.22%</v>
      </c>
      <c r="N261" s="10">
        <f>Github!P$1250</f>
        <v>352622</v>
      </c>
      <c r="O261" s="10">
        <f>Github!Q$1250</f>
        <v>540627</v>
      </c>
    </row>
    <row r="262">
      <c r="A262" s="10">
        <f>Github!J$436</f>
        <v>435</v>
      </c>
      <c r="B262" s="11" t="str">
        <f>HYPERLINK(CONCAT("http://leetcode.com/problems/",Github!C$436), Github!B$436)</f>
        <v>Non-overlapping Intervals</v>
      </c>
      <c r="C262" s="10">
        <f>Github!F$436</f>
        <v>3643</v>
      </c>
      <c r="D262" s="10">
        <f>Github!G$436</f>
        <v>101</v>
      </c>
      <c r="E262" s="10">
        <f>Github!F$436+Github!G$436</f>
        <v>3744</v>
      </c>
      <c r="F262" s="12">
        <f t="shared" si="1"/>
        <v>36.07</v>
      </c>
      <c r="G262" s="10" t="str">
        <f>Github!H$436</f>
        <v>Algorithms</v>
      </c>
      <c r="H262" s="13" t="str">
        <f>SUBSTITUTE(Github!L$436, ";", ", ")</f>
        <v>Array, Dynamic Programming, Greedy, Sorting, </v>
      </c>
      <c r="I262" s="10" t="str">
        <f>Github!E$436</f>
        <v>Medium</v>
      </c>
      <c r="J262" s="10" t="str">
        <f>IF(TRIM(Github!D$436)="TRUE","FALSE","TRUE")</f>
        <v>TRUE</v>
      </c>
      <c r="K262" s="10" t="b">
        <f>Github!M$436</f>
        <v>1</v>
      </c>
      <c r="L262" s="10" t="b">
        <f>Github!N$436</f>
        <v>0</v>
      </c>
      <c r="M262" s="10" t="str">
        <f>ROUND(Github!O$436, 2)&amp;"%"</f>
        <v>47.8%</v>
      </c>
      <c r="N262" s="10">
        <f>Github!P$436</f>
        <v>226071</v>
      </c>
      <c r="O262" s="10">
        <f>Github!Q$436</f>
        <v>472908</v>
      </c>
    </row>
    <row r="263">
      <c r="A263" s="10">
        <f>Github!J$189</f>
        <v>188</v>
      </c>
      <c r="B263" s="11" t="str">
        <f>HYPERLINK(CONCAT("http://leetcode.com/problems/",Github!C$189), Github!B$189)</f>
        <v>Best Time to Buy and Sell Stock IV</v>
      </c>
      <c r="C263" s="10">
        <f>Github!F$189</f>
        <v>3631</v>
      </c>
      <c r="D263" s="10">
        <f>Github!G$189</f>
        <v>150</v>
      </c>
      <c r="E263" s="10">
        <f>Github!F$189+Github!G$189</f>
        <v>3781</v>
      </c>
      <c r="F263" s="12">
        <f t="shared" si="1"/>
        <v>24.21</v>
      </c>
      <c r="G263" s="10" t="str">
        <f>Github!H$189</f>
        <v>Algorithms</v>
      </c>
      <c r="H263" s="13" t="str">
        <f>SUBSTITUTE(Github!L$189, ";", ", ")</f>
        <v>Array, Dynamic Programming, </v>
      </c>
      <c r="I263" s="10" t="str">
        <f>Github!E$189</f>
        <v>Hard</v>
      </c>
      <c r="J263" s="10" t="str">
        <f>IF(TRIM(Github!D$189)="TRUE","FALSE","TRUE")</f>
        <v>TRUE</v>
      </c>
      <c r="K263" s="10" t="b">
        <f>Github!M$189</f>
        <v>1</v>
      </c>
      <c r="L263" s="10" t="b">
        <f>Github!N$189</f>
        <v>0</v>
      </c>
      <c r="M263" s="10" t="str">
        <f>ROUND(Github!O$189, 2)&amp;"%"</f>
        <v>33.15%</v>
      </c>
      <c r="N263" s="10">
        <f>Github!P$189</f>
        <v>233288</v>
      </c>
      <c r="O263" s="10">
        <f>Github!Q$189</f>
        <v>703742</v>
      </c>
    </row>
    <row r="264">
      <c r="A264" s="10">
        <f>Github!J$290</f>
        <v>289</v>
      </c>
      <c r="B264" s="11" t="str">
        <f>HYPERLINK(CONCAT("http://leetcode.com/problems/",Github!C$290), Github!B$290)</f>
        <v>Game of Life</v>
      </c>
      <c r="C264" s="10">
        <f>Github!F$290</f>
        <v>3617</v>
      </c>
      <c r="D264" s="10">
        <f>Github!G$290</f>
        <v>391</v>
      </c>
      <c r="E264" s="10">
        <f>Github!F$290+Github!G$290</f>
        <v>4008</v>
      </c>
      <c r="F264" s="12">
        <f t="shared" si="1"/>
        <v>9.25</v>
      </c>
      <c r="G264" s="10" t="str">
        <f>Github!H$290</f>
        <v>Algorithms</v>
      </c>
      <c r="H264" s="13" t="str">
        <f>SUBSTITUTE(Github!L$290, ";", ", ")</f>
        <v>Array, Matrix, Simulation, </v>
      </c>
      <c r="I264" s="10" t="str">
        <f>Github!E$290</f>
        <v>Medium</v>
      </c>
      <c r="J264" s="10" t="str">
        <f>IF(TRIM(Github!D$290)="TRUE","FALSE","TRUE")</f>
        <v>TRUE</v>
      </c>
      <c r="K264" s="10" t="b">
        <f>Github!M$290</f>
        <v>1</v>
      </c>
      <c r="L264" s="10" t="b">
        <f>Github!N$290</f>
        <v>1</v>
      </c>
      <c r="M264" s="10" t="str">
        <f>ROUND(Github!O$290, 2)&amp;"%"</f>
        <v>62.37%</v>
      </c>
      <c r="N264" s="10">
        <f>Github!P$290</f>
        <v>288002</v>
      </c>
      <c r="O264" s="10">
        <f>Github!Q$290</f>
        <v>461741</v>
      </c>
    </row>
    <row r="265">
      <c r="A265" s="10">
        <f>Github!J$719</f>
        <v>718</v>
      </c>
      <c r="B265" s="11" t="str">
        <f>HYPERLINK(CONCAT("http://leetcode.com/problems/",Github!C$719), Github!B$719)</f>
        <v>Maximum Length of Repeated Subarray</v>
      </c>
      <c r="C265" s="10">
        <f>Github!F$719</f>
        <v>3593</v>
      </c>
      <c r="D265" s="10">
        <f>Github!G$719</f>
        <v>87</v>
      </c>
      <c r="E265" s="10">
        <f>Github!F$719+Github!G$719</f>
        <v>3680</v>
      </c>
      <c r="F265" s="12">
        <f t="shared" si="1"/>
        <v>41.3</v>
      </c>
      <c r="G265" s="10" t="str">
        <f>Github!H$719</f>
        <v>Algorithms</v>
      </c>
      <c r="H265" s="13" t="str">
        <f>SUBSTITUTE(Github!L$719, ";", ", ")</f>
        <v>Array, Binary Search, Dynamic Programming, Sliding Window, Rolling Hash, Hash Function, </v>
      </c>
      <c r="I265" s="10" t="str">
        <f>Github!E$719</f>
        <v>Medium</v>
      </c>
      <c r="J265" s="10" t="str">
        <f>IF(TRIM(Github!D$719)="TRUE","FALSE","TRUE")</f>
        <v>TRUE</v>
      </c>
      <c r="K265" s="10" t="b">
        <f>Github!M$719</f>
        <v>1</v>
      </c>
      <c r="L265" s="10" t="b">
        <f>Github!N$719</f>
        <v>0</v>
      </c>
      <c r="M265" s="10" t="str">
        <f>ROUND(Github!O$719, 2)&amp;"%"</f>
        <v>51.34%</v>
      </c>
      <c r="N265" s="10">
        <f>Github!P$719</f>
        <v>162851</v>
      </c>
      <c r="O265" s="10">
        <f>Github!Q$719</f>
        <v>317173</v>
      </c>
    </row>
    <row r="266">
      <c r="A266" s="10">
        <f>Github!J$666</f>
        <v>665</v>
      </c>
      <c r="B266" s="11" t="str">
        <f>HYPERLINK(CONCAT("http://leetcode.com/problems/",Github!C$666), Github!B$666)</f>
        <v>Non-decreasing Array</v>
      </c>
      <c r="C266" s="10">
        <f>Github!F$666</f>
        <v>3531</v>
      </c>
      <c r="D266" s="10">
        <f>Github!G$666</f>
        <v>663</v>
      </c>
      <c r="E266" s="10">
        <f>Github!F$666+Github!G$666</f>
        <v>4194</v>
      </c>
      <c r="F266" s="12">
        <f t="shared" si="1"/>
        <v>5.33</v>
      </c>
      <c r="G266" s="10" t="str">
        <f>Github!H$666</f>
        <v>Algorithms</v>
      </c>
      <c r="H266" s="13" t="str">
        <f>SUBSTITUTE(Github!L$666, ";", ", ")</f>
        <v>Array, </v>
      </c>
      <c r="I266" s="10" t="str">
        <f>Github!E$666</f>
        <v>Medium</v>
      </c>
      <c r="J266" s="10" t="str">
        <f>IF(TRIM(Github!D$666)="TRUE","FALSE","TRUE")</f>
        <v>TRUE</v>
      </c>
      <c r="K266" s="10" t="b">
        <f>Github!M$666</f>
        <v>1</v>
      </c>
      <c r="L266" s="10" t="b">
        <f>Github!N$666</f>
        <v>0</v>
      </c>
      <c r="M266" s="10" t="str">
        <f>ROUND(Github!O$666, 2)&amp;"%"</f>
        <v>21.44%</v>
      </c>
      <c r="N266" s="10">
        <f>Github!P$666</f>
        <v>169130</v>
      </c>
      <c r="O266" s="10">
        <f>Github!Q$666</f>
        <v>788954</v>
      </c>
    </row>
    <row r="267">
      <c r="A267" s="10">
        <f>Github!J$670</f>
        <v>669</v>
      </c>
      <c r="B267" s="11" t="str">
        <f>HYPERLINK(CONCAT("http://leetcode.com/problems/",Github!C$670), Github!B$670)</f>
        <v>Trim a Binary Search Tree</v>
      </c>
      <c r="C267" s="10">
        <f>Github!F$670</f>
        <v>3527</v>
      </c>
      <c r="D267" s="10">
        <f>Github!G$670</f>
        <v>216</v>
      </c>
      <c r="E267" s="10">
        <f>Github!F$670+Github!G$670</f>
        <v>3743</v>
      </c>
      <c r="F267" s="12">
        <f t="shared" si="1"/>
        <v>16.33</v>
      </c>
      <c r="G267" s="10" t="str">
        <f>Github!H$670</f>
        <v>Algorithms</v>
      </c>
      <c r="H267" s="13" t="str">
        <f>SUBSTITUTE(Github!L$670, ";", ", ")</f>
        <v>Tree, Depth-First Search, Binary Search Tree, Binary Tree, </v>
      </c>
      <c r="I267" s="10" t="str">
        <f>Github!E$670</f>
        <v>Medium</v>
      </c>
      <c r="J267" s="10" t="str">
        <f>IF(TRIM(Github!D$670)="TRUE","FALSE","TRUE")</f>
        <v>TRUE</v>
      </c>
      <c r="K267" s="10" t="b">
        <f>Github!M$670</f>
        <v>1</v>
      </c>
      <c r="L267" s="10" t="b">
        <f>Github!N$670</f>
        <v>0</v>
      </c>
      <c r="M267" s="10" t="str">
        <f>ROUND(Github!O$670, 2)&amp;"%"</f>
        <v>64.56%</v>
      </c>
      <c r="N267" s="10">
        <f>Github!P$670</f>
        <v>186518</v>
      </c>
      <c r="O267" s="10">
        <f>Github!Q$670</f>
        <v>288909</v>
      </c>
    </row>
    <row r="268">
      <c r="A268" s="10">
        <f>Github!J$127</f>
        <v>126</v>
      </c>
      <c r="B268" s="11" t="str">
        <f>HYPERLINK(CONCAT("http://leetcode.com/problems/",Github!C$127), Github!B$127)</f>
        <v>Word Ladder II</v>
      </c>
      <c r="C268" s="10">
        <f>Github!F$127</f>
        <v>3508</v>
      </c>
      <c r="D268" s="10">
        <f>Github!G$127</f>
        <v>331</v>
      </c>
      <c r="E268" s="10">
        <f>Github!F$127+Github!G$127</f>
        <v>3839</v>
      </c>
      <c r="F268" s="12">
        <f t="shared" si="1"/>
        <v>10.6</v>
      </c>
      <c r="G268" s="10" t="str">
        <f>Github!H$127</f>
        <v>Algorithms</v>
      </c>
      <c r="H268" s="13" t="str">
        <f>SUBSTITUTE(Github!L$127, ";", ", ")</f>
        <v>Hash Table, String, Backtracking, Breadth-First Search, </v>
      </c>
      <c r="I268" s="10" t="str">
        <f>Github!E$127</f>
        <v>Hard</v>
      </c>
      <c r="J268" s="10" t="str">
        <f>IF(TRIM(Github!D$127)="TRUE","FALSE","TRUE")</f>
        <v>TRUE</v>
      </c>
      <c r="K268" s="10" t="b">
        <f>Github!M$127</f>
        <v>1</v>
      </c>
      <c r="L268" s="10" t="b">
        <f>Github!N$127</f>
        <v>0</v>
      </c>
      <c r="M268" s="10" t="str">
        <f>ROUND(Github!O$127, 2)&amp;"%"</f>
        <v>26.7%</v>
      </c>
      <c r="N268" s="10">
        <f>Github!P$127</f>
        <v>281694</v>
      </c>
      <c r="O268" s="10">
        <f>Github!Q$127</f>
        <v>1054979</v>
      </c>
    </row>
    <row r="269">
      <c r="A269" s="10">
        <f>Github!J$118</f>
        <v>117</v>
      </c>
      <c r="B269" s="11" t="str">
        <f>HYPERLINK(CONCAT("http://leetcode.com/problems/",Github!C$118), Github!B$118)</f>
        <v>Populating Next Right Pointers in Each Node II</v>
      </c>
      <c r="C269" s="10">
        <f>Github!F$118</f>
        <v>3490</v>
      </c>
      <c r="D269" s="10">
        <f>Github!G$118</f>
        <v>231</v>
      </c>
      <c r="E269" s="10">
        <f>Github!F$118+Github!G$118</f>
        <v>3721</v>
      </c>
      <c r="F269" s="12">
        <f t="shared" si="1"/>
        <v>15.11</v>
      </c>
      <c r="G269" s="10" t="str">
        <f>Github!H$118</f>
        <v>Algorithms</v>
      </c>
      <c r="H269" s="13" t="str">
        <f>SUBSTITUTE(Github!L$118, ";", ", ")</f>
        <v>Linked List, Tree, Depth-First Search, Breadth-First Search, Binary Tree, </v>
      </c>
      <c r="I269" s="10" t="str">
        <f>Github!E$118</f>
        <v>Medium</v>
      </c>
      <c r="J269" s="10" t="str">
        <f>IF(TRIM(Github!D$118)="TRUE","FALSE","TRUE")</f>
        <v>TRUE</v>
      </c>
      <c r="K269" s="10" t="b">
        <f>Github!M$118</f>
        <v>1</v>
      </c>
      <c r="L269" s="10" t="b">
        <f>Github!N$118</f>
        <v>0</v>
      </c>
      <c r="M269" s="10" t="str">
        <f>ROUND(Github!O$118, 2)&amp;"%"</f>
        <v>46.07%</v>
      </c>
      <c r="N269" s="10">
        <f>Github!P$118</f>
        <v>418342</v>
      </c>
      <c r="O269" s="10">
        <f>Github!Q$118</f>
        <v>908119</v>
      </c>
    </row>
    <row r="270">
      <c r="A270" s="10">
        <f>Github!J$431</f>
        <v>430</v>
      </c>
      <c r="B270" s="11" t="str">
        <f>HYPERLINK(CONCAT("http://leetcode.com/problems/",Github!C$431), Github!B$431)</f>
        <v>Flatten a Multilevel Doubly Linked List</v>
      </c>
      <c r="C270" s="10">
        <f>Github!F$431</f>
        <v>3490</v>
      </c>
      <c r="D270" s="10">
        <f>Github!G$431</f>
        <v>246</v>
      </c>
      <c r="E270" s="10">
        <f>Github!F$431+Github!G$431</f>
        <v>3736</v>
      </c>
      <c r="F270" s="12">
        <f t="shared" si="1"/>
        <v>14.19</v>
      </c>
      <c r="G270" s="10" t="str">
        <f>Github!H$431</f>
        <v>Algorithms</v>
      </c>
      <c r="H270" s="13" t="str">
        <f>SUBSTITUTE(Github!L$431, ";", ", ")</f>
        <v>Linked List, Depth-First Search, Doubly-Linked List, </v>
      </c>
      <c r="I270" s="10" t="str">
        <f>Github!E$431</f>
        <v>Medium</v>
      </c>
      <c r="J270" s="10" t="str">
        <f>IF(TRIM(Github!D$431)="TRUE","FALSE","TRUE")</f>
        <v>TRUE</v>
      </c>
      <c r="K270" s="10" t="b">
        <f>Github!M$431</f>
        <v>1</v>
      </c>
      <c r="L270" s="10" t="b">
        <f>Github!N$431</f>
        <v>0</v>
      </c>
      <c r="M270" s="10" t="str">
        <f>ROUND(Github!O$431, 2)&amp;"%"</f>
        <v>58.82%</v>
      </c>
      <c r="N270" s="10">
        <f>Github!P$431</f>
        <v>223013</v>
      </c>
      <c r="O270" s="10">
        <f>Github!Q$431</f>
        <v>379160</v>
      </c>
    </row>
    <row r="271">
      <c r="A271" s="10">
        <f>Github!J$980</f>
        <v>979</v>
      </c>
      <c r="B271" s="11" t="str">
        <f>HYPERLINK(CONCAT("http://leetcode.com/problems/",Github!C$980), Github!B$980)</f>
        <v>Distribute Coins in Binary Tree</v>
      </c>
      <c r="C271" s="10">
        <f>Github!F$980</f>
        <v>3469</v>
      </c>
      <c r="D271" s="10">
        <f>Github!G$980</f>
        <v>116</v>
      </c>
      <c r="E271" s="10">
        <f>Github!F$980+Github!G$980</f>
        <v>3585</v>
      </c>
      <c r="F271" s="12">
        <f t="shared" si="1"/>
        <v>29.91</v>
      </c>
      <c r="G271" s="10" t="str">
        <f>Github!H$980</f>
        <v>Algorithms</v>
      </c>
      <c r="H271" s="13" t="str">
        <f>SUBSTITUTE(Github!L$980, ";", ", ")</f>
        <v>Tree, Depth-First Search, Binary Tree, </v>
      </c>
      <c r="I271" s="10" t="str">
        <f>Github!E$980</f>
        <v>Medium</v>
      </c>
      <c r="J271" s="10" t="str">
        <f>IF(TRIM(Github!D$980)="TRUE","FALSE","TRUE")</f>
        <v>TRUE</v>
      </c>
      <c r="K271" s="10" t="b">
        <f>Github!M$980</f>
        <v>1</v>
      </c>
      <c r="L271" s="10" t="b">
        <f>Github!N$980</f>
        <v>0</v>
      </c>
      <c r="M271" s="10" t="str">
        <f>ROUND(Github!O$980, 2)&amp;"%"</f>
        <v>71.38%</v>
      </c>
      <c r="N271" s="10">
        <f>Github!P$980</f>
        <v>80183</v>
      </c>
      <c r="O271" s="10">
        <f>Github!Q$980</f>
        <v>112340</v>
      </c>
    </row>
    <row r="272">
      <c r="A272" s="10">
        <f>Github!J$685</f>
        <v>684</v>
      </c>
      <c r="B272" s="11" t="str">
        <f>HYPERLINK(CONCAT("http://leetcode.com/problems/",Github!C$685), Github!B$685)</f>
        <v>Redundant Connection</v>
      </c>
      <c r="C272" s="10">
        <f>Github!F$685</f>
        <v>3454</v>
      </c>
      <c r="D272" s="10">
        <f>Github!G$685</f>
        <v>281</v>
      </c>
      <c r="E272" s="10">
        <f>Github!F$685+Github!G$685</f>
        <v>3735</v>
      </c>
      <c r="F272" s="12">
        <f t="shared" si="1"/>
        <v>12.29</v>
      </c>
      <c r="G272" s="10" t="str">
        <f>Github!H$685</f>
        <v>Algorithms</v>
      </c>
      <c r="H272" s="13" t="str">
        <f>SUBSTITUTE(Github!L$685, ";", ", ")</f>
        <v>Depth-First Search, Breadth-First Search, Union Find, Graph, </v>
      </c>
      <c r="I272" s="10" t="str">
        <f>Github!E$685</f>
        <v>Medium</v>
      </c>
      <c r="J272" s="10" t="str">
        <f>IF(TRIM(Github!D$685)="TRUE","FALSE","TRUE")</f>
        <v>TRUE</v>
      </c>
      <c r="K272" s="10" t="b">
        <f>Github!M$685</f>
        <v>1</v>
      </c>
      <c r="L272" s="10" t="b">
        <f>Github!N$685</f>
        <v>0</v>
      </c>
      <c r="M272" s="10" t="str">
        <f>ROUND(Github!O$685, 2)&amp;"%"</f>
        <v>60.99%</v>
      </c>
      <c r="N272" s="10">
        <f>Github!P$685</f>
        <v>189013</v>
      </c>
      <c r="O272" s="10">
        <f>Github!Q$685</f>
        <v>309887</v>
      </c>
    </row>
    <row r="273">
      <c r="A273" s="10">
        <f>Github!J$61</f>
        <v>60</v>
      </c>
      <c r="B273" s="11" t="str">
        <f>HYPERLINK(CONCAT("http://leetcode.com/problems/",Github!C$61), Github!B$61)</f>
        <v>Permutation Sequence</v>
      </c>
      <c r="C273" s="10">
        <f>Github!F$61</f>
        <v>3448</v>
      </c>
      <c r="D273" s="10">
        <f>Github!G$61</f>
        <v>390</v>
      </c>
      <c r="E273" s="10">
        <f>Github!F$61+Github!G$61</f>
        <v>3838</v>
      </c>
      <c r="F273" s="12">
        <f t="shared" si="1"/>
        <v>8.84</v>
      </c>
      <c r="G273" s="10" t="str">
        <f>Github!H$61</f>
        <v>Algorithms</v>
      </c>
      <c r="H273" s="13" t="str">
        <f>SUBSTITUTE(Github!L$61, ";", ", ")</f>
        <v>Math, Recursion, </v>
      </c>
      <c r="I273" s="10" t="str">
        <f>Github!E$61</f>
        <v>Hard</v>
      </c>
      <c r="J273" s="10" t="str">
        <f>IF(TRIM(Github!D$61)="TRUE","FALSE","TRUE")</f>
        <v>TRUE</v>
      </c>
      <c r="K273" s="10" t="b">
        <f>Github!M$61</f>
        <v>1</v>
      </c>
      <c r="L273" s="10" t="b">
        <f>Github!N$61</f>
        <v>0</v>
      </c>
      <c r="M273" s="10" t="str">
        <f>ROUND(Github!O$61, 2)&amp;"%"</f>
        <v>41.77%</v>
      </c>
      <c r="N273" s="10">
        <f>Github!P$61</f>
        <v>261215</v>
      </c>
      <c r="O273" s="10">
        <f>Github!Q$61</f>
        <v>625344</v>
      </c>
    </row>
    <row r="274">
      <c r="A274" s="10">
        <f>Github!J$81</f>
        <v>80</v>
      </c>
      <c r="B274" s="11" t="str">
        <f>HYPERLINK(CONCAT("http://leetcode.com/problems/",Github!C$81), Github!B$81)</f>
        <v>Remove Duplicates from Sorted Array II</v>
      </c>
      <c r="C274" s="10">
        <f>Github!F$81</f>
        <v>3446</v>
      </c>
      <c r="D274" s="10">
        <f>Github!G$81</f>
        <v>908</v>
      </c>
      <c r="E274" s="10">
        <f>Github!F$81+Github!G$81</f>
        <v>4354</v>
      </c>
      <c r="F274" s="12">
        <f t="shared" si="1"/>
        <v>3.8</v>
      </c>
      <c r="G274" s="10" t="str">
        <f>Github!H$81</f>
        <v>Algorithms</v>
      </c>
      <c r="H274" s="13" t="str">
        <f>SUBSTITUTE(Github!L$81, ";", ", ")</f>
        <v>Array, Two Pointers, </v>
      </c>
      <c r="I274" s="10" t="str">
        <f>Github!E$81</f>
        <v>Medium</v>
      </c>
      <c r="J274" s="10" t="str">
        <f>IF(TRIM(Github!D$81)="TRUE","FALSE","TRUE")</f>
        <v>TRUE</v>
      </c>
      <c r="K274" s="10" t="b">
        <f>Github!M$81</f>
        <v>1</v>
      </c>
      <c r="L274" s="10" t="b">
        <f>Github!N$81</f>
        <v>0</v>
      </c>
      <c r="M274" s="10" t="str">
        <f>ROUND(Github!O$81, 2)&amp;"%"</f>
        <v>50.29%</v>
      </c>
      <c r="N274" s="10">
        <f>Github!P$81</f>
        <v>420396</v>
      </c>
      <c r="O274" s="10">
        <f>Github!Q$81</f>
        <v>836017</v>
      </c>
    </row>
    <row r="275">
      <c r="A275" s="10">
        <f>Github!J$655</f>
        <v>654</v>
      </c>
      <c r="B275" s="11" t="str">
        <f>HYPERLINK(CONCAT("http://leetcode.com/problems/",Github!C$655), Github!B$655)</f>
        <v>Maximum Binary Tree</v>
      </c>
      <c r="C275" s="10">
        <f>Github!F$655</f>
        <v>3445</v>
      </c>
      <c r="D275" s="10">
        <f>Github!G$655</f>
        <v>294</v>
      </c>
      <c r="E275" s="10">
        <f>Github!F$655+Github!G$655</f>
        <v>3739</v>
      </c>
      <c r="F275" s="12">
        <f t="shared" si="1"/>
        <v>11.72</v>
      </c>
      <c r="G275" s="10" t="str">
        <f>Github!H$655</f>
        <v>Algorithms</v>
      </c>
      <c r="H275" s="13" t="str">
        <f>SUBSTITUTE(Github!L$655, ";", ", ")</f>
        <v>Array, Divide and Conquer, Stack, Tree, Monotonic Stack, Binary Tree, </v>
      </c>
      <c r="I275" s="10" t="str">
        <f>Github!E$655</f>
        <v>Medium</v>
      </c>
      <c r="J275" s="10" t="str">
        <f>IF(TRIM(Github!D$655)="TRUE","FALSE","TRUE")</f>
        <v>TRUE</v>
      </c>
      <c r="K275" s="10" t="b">
        <f>Github!M$655</f>
        <v>1</v>
      </c>
      <c r="L275" s="10" t="b">
        <f>Github!N$655</f>
        <v>0</v>
      </c>
      <c r="M275" s="10" t="str">
        <f>ROUND(Github!O$655, 2)&amp;"%"</f>
        <v>83.32%</v>
      </c>
      <c r="N275" s="10">
        <f>Github!P$655</f>
        <v>204374</v>
      </c>
      <c r="O275" s="10">
        <f>Github!Q$655</f>
        <v>245301</v>
      </c>
    </row>
    <row r="276">
      <c r="A276" s="10">
        <f>Github!J$70</f>
        <v>69</v>
      </c>
      <c r="B276" s="11" t="str">
        <f>HYPERLINK(CONCAT("http://leetcode.com/problems/",Github!C$70), Github!B$70)</f>
        <v>Sqrt(x)</v>
      </c>
      <c r="C276" s="10">
        <f>Github!F$70</f>
        <v>3444</v>
      </c>
      <c r="D276" s="10">
        <f>Github!G$70</f>
        <v>3049</v>
      </c>
      <c r="E276" s="10">
        <f>Github!F$70+Github!G$70</f>
        <v>6493</v>
      </c>
      <c r="F276" s="12">
        <f t="shared" si="1"/>
        <v>1.13</v>
      </c>
      <c r="G276" s="10" t="str">
        <f>Github!H$70</f>
        <v>Algorithms</v>
      </c>
      <c r="H276" s="13" t="str">
        <f>SUBSTITUTE(Github!L$70, ";", ", ")</f>
        <v>Math, Binary Search, </v>
      </c>
      <c r="I276" s="10" t="str">
        <f>Github!E$70</f>
        <v>Easy</v>
      </c>
      <c r="J276" s="10" t="str">
        <f>IF(TRIM(Github!D$70)="TRUE","FALSE","TRUE")</f>
        <v>TRUE</v>
      </c>
      <c r="K276" s="10" t="b">
        <f>Github!M$70</f>
        <v>1</v>
      </c>
      <c r="L276" s="10" t="b">
        <f>Github!N$70</f>
        <v>0</v>
      </c>
      <c r="M276" s="10" t="str">
        <f>ROUND(Github!O$70, 2)&amp;"%"</f>
        <v>36.31%</v>
      </c>
      <c r="N276" s="10">
        <f>Github!P$70</f>
        <v>973356</v>
      </c>
      <c r="O276" s="10">
        <f>Github!Q$70</f>
        <v>2680443</v>
      </c>
    </row>
    <row r="277">
      <c r="A277" s="10">
        <f>Github!J$7</f>
        <v>6</v>
      </c>
      <c r="B277" s="11" t="str">
        <f>HYPERLINK(CONCAT("http://leetcode.com/problems/",Github!C$7), Github!B$7)</f>
        <v>Zigzag Conversion</v>
      </c>
      <c r="C277" s="10">
        <f>Github!F$7</f>
        <v>3431</v>
      </c>
      <c r="D277" s="10">
        <f>Github!G$7</f>
        <v>7969</v>
      </c>
      <c r="E277" s="10">
        <f>Github!F$7+Github!G$7</f>
        <v>11400</v>
      </c>
      <c r="F277" s="12">
        <f t="shared" si="1"/>
        <v>0.43</v>
      </c>
      <c r="G277" s="10" t="str">
        <f>Github!H$7</f>
        <v>Algorithms</v>
      </c>
      <c r="H277" s="13" t="str">
        <f>SUBSTITUTE(Github!L$7, ";", ", ")</f>
        <v>String, </v>
      </c>
      <c r="I277" s="10" t="str">
        <f>Github!E$7</f>
        <v>Medium</v>
      </c>
      <c r="J277" s="10" t="str">
        <f>IF(TRIM(Github!D$7)="TRUE","FALSE","TRUE")</f>
        <v>TRUE</v>
      </c>
      <c r="K277" s="10" t="b">
        <f>Github!M$7</f>
        <v>1</v>
      </c>
      <c r="L277" s="10" t="b">
        <f>Github!N$7</f>
        <v>0</v>
      </c>
      <c r="M277" s="10" t="str">
        <f>ROUND(Github!O$7, 2)&amp;"%"</f>
        <v>41.13%</v>
      </c>
      <c r="N277" s="10">
        <f>Github!P$7</f>
        <v>727324</v>
      </c>
      <c r="O277" s="10">
        <f>Github!Q$7</f>
        <v>1768574</v>
      </c>
    </row>
    <row r="278">
      <c r="A278" s="10">
        <f>Github!J$82</f>
        <v>81</v>
      </c>
      <c r="B278" s="11" t="str">
        <f>HYPERLINK(CONCAT("http://leetcode.com/problems/",Github!C$82), Github!B$82)</f>
        <v>Search in Rotated Sorted Array II</v>
      </c>
      <c r="C278" s="10">
        <f>Github!F$82</f>
        <v>3420</v>
      </c>
      <c r="D278" s="10">
        <f>Github!G$82</f>
        <v>655</v>
      </c>
      <c r="E278" s="10">
        <f>Github!F$82+Github!G$82</f>
        <v>4075</v>
      </c>
      <c r="F278" s="12">
        <f t="shared" si="1"/>
        <v>5.22</v>
      </c>
      <c r="G278" s="10" t="str">
        <f>Github!H$82</f>
        <v>Algorithms</v>
      </c>
      <c r="H278" s="13" t="str">
        <f>SUBSTITUTE(Github!L$82, ";", ", ")</f>
        <v>Array, Binary Search, </v>
      </c>
      <c r="I278" s="10" t="str">
        <f>Github!E$82</f>
        <v>Medium</v>
      </c>
      <c r="J278" s="10" t="str">
        <f>IF(TRIM(Github!D$82)="TRUE","FALSE","TRUE")</f>
        <v>TRUE</v>
      </c>
      <c r="K278" s="10" t="b">
        <f>Github!M$82</f>
        <v>1</v>
      </c>
      <c r="L278" s="10" t="b">
        <f>Github!N$82</f>
        <v>0</v>
      </c>
      <c r="M278" s="10" t="str">
        <f>ROUND(Github!O$82, 2)&amp;"%"</f>
        <v>34.44%</v>
      </c>
      <c r="N278" s="10">
        <f>Github!P$82</f>
        <v>373095</v>
      </c>
      <c r="O278" s="10">
        <f>Github!Q$82</f>
        <v>1083218</v>
      </c>
    </row>
    <row r="279">
      <c r="A279" s="10">
        <f>Github!J$1009</f>
        <v>1008</v>
      </c>
      <c r="B279" s="11" t="str">
        <f>HYPERLINK(CONCAT("http://leetcode.com/problems/",Github!C$1009), Github!B$1009)</f>
        <v>Construct Binary Search Tree from Preorder Traversal</v>
      </c>
      <c r="C279" s="10">
        <f>Github!F$1009</f>
        <v>3408</v>
      </c>
      <c r="D279" s="10">
        <f>Github!G$1009</f>
        <v>58</v>
      </c>
      <c r="E279" s="10">
        <f>Github!F$1009+Github!G$1009</f>
        <v>3466</v>
      </c>
      <c r="F279" s="12">
        <f t="shared" si="1"/>
        <v>58.76</v>
      </c>
      <c r="G279" s="10" t="str">
        <f>Github!H$1009</f>
        <v>Algorithms</v>
      </c>
      <c r="H279" s="13" t="str">
        <f>SUBSTITUTE(Github!L$1009, ";", ", ")</f>
        <v>Array, Stack, Tree, Binary Search Tree, Monotonic Stack, Binary Tree, </v>
      </c>
      <c r="I279" s="10" t="str">
        <f>Github!E$1009</f>
        <v>Medium</v>
      </c>
      <c r="J279" s="10" t="str">
        <f>IF(TRIM(Github!D$1009)="TRUE","FALSE","TRUE")</f>
        <v>TRUE</v>
      </c>
      <c r="K279" s="10" t="b">
        <f>Github!M$1009</f>
        <v>1</v>
      </c>
      <c r="L279" s="10" t="b">
        <f>Github!N$1009</f>
        <v>0</v>
      </c>
      <c r="M279" s="10" t="str">
        <f>ROUND(Github!O$1009, 2)&amp;"%"</f>
        <v>80.1%</v>
      </c>
      <c r="N279" s="10">
        <f>Github!P$1009</f>
        <v>224337</v>
      </c>
      <c r="O279" s="10">
        <f>Github!Q$1009</f>
        <v>280082</v>
      </c>
    </row>
    <row r="280">
      <c r="A280" s="10">
        <f>Github!J$225</f>
        <v>224</v>
      </c>
      <c r="B280" s="11" t="str">
        <f>HYPERLINK(CONCAT("http://leetcode.com/problems/",Github!C$225), Github!B$225)</f>
        <v>Basic Calculator</v>
      </c>
      <c r="C280" s="10">
        <f>Github!F$225</f>
        <v>3403</v>
      </c>
      <c r="D280" s="10">
        <f>Github!G$225</f>
        <v>285</v>
      </c>
      <c r="E280" s="10">
        <f>Github!F$225+Github!G$225</f>
        <v>3688</v>
      </c>
      <c r="F280" s="12">
        <f t="shared" si="1"/>
        <v>11.94</v>
      </c>
      <c r="G280" s="10" t="str">
        <f>Github!H$225</f>
        <v>Algorithms</v>
      </c>
      <c r="H280" s="13" t="str">
        <f>SUBSTITUTE(Github!L$225, ";", ", ")</f>
        <v>Math, String, Stack, Recursion, </v>
      </c>
      <c r="I280" s="10" t="str">
        <f>Github!E$225</f>
        <v>Hard</v>
      </c>
      <c r="J280" s="10" t="str">
        <f>IF(TRIM(Github!D$225)="TRUE","FALSE","TRUE")</f>
        <v>TRUE</v>
      </c>
      <c r="K280" s="10" t="b">
        <f>Github!M$225</f>
        <v>1</v>
      </c>
      <c r="L280" s="10" t="b">
        <f>Github!N$225</f>
        <v>0</v>
      </c>
      <c r="M280" s="10" t="str">
        <f>ROUND(Github!O$225, 2)&amp;"%"</f>
        <v>40.29%</v>
      </c>
      <c r="N280" s="10">
        <f>Github!P$225</f>
        <v>281306</v>
      </c>
      <c r="O280" s="10">
        <f>Github!Q$225</f>
        <v>698192</v>
      </c>
    </row>
    <row r="281">
      <c r="A281" s="10">
        <f>Github!J$270</f>
        <v>269</v>
      </c>
      <c r="B281" s="11" t="str">
        <f>HYPERLINK(CONCAT("http://leetcode.com/problems/",Github!C$270), Github!B$270)</f>
        <v>Alien Dictionary</v>
      </c>
      <c r="C281" s="10">
        <f>Github!F$270</f>
        <v>3402</v>
      </c>
      <c r="D281" s="10">
        <f>Github!G$270</f>
        <v>694</v>
      </c>
      <c r="E281" s="10">
        <f>Github!F$270+Github!G$270</f>
        <v>4096</v>
      </c>
      <c r="F281" s="12">
        <f t="shared" si="1"/>
        <v>4.9</v>
      </c>
      <c r="G281" s="10" t="str">
        <f>Github!H$270</f>
        <v>Algorithms</v>
      </c>
      <c r="H281" s="13" t="str">
        <f>SUBSTITUTE(Github!L$270, ";", ", ")</f>
        <v>Array, String, Depth-First Search, Breadth-First Search, Graph, Topological Sort, </v>
      </c>
      <c r="I281" s="10" t="str">
        <f>Github!E$270</f>
        <v>Hard</v>
      </c>
      <c r="J281" s="10" t="str">
        <f>IF(TRIM(Github!D$270)="TRUE","FALSE","TRUE")</f>
        <v>FALSE</v>
      </c>
      <c r="K281" s="10" t="b">
        <f>Github!M$270</f>
        <v>1</v>
      </c>
      <c r="L281" s="10" t="b">
        <f>Github!N$270</f>
        <v>0</v>
      </c>
      <c r="M281" s="10" t="str">
        <f>ROUND(Github!O$270, 2)&amp;"%"</f>
        <v>34.7%</v>
      </c>
      <c r="N281" s="10">
        <f>Github!P$270</f>
        <v>274986</v>
      </c>
      <c r="O281" s="10">
        <f>Github!Q$270</f>
        <v>792439</v>
      </c>
    </row>
    <row r="282">
      <c r="A282" s="10">
        <f>Github!J$1193</f>
        <v>1192</v>
      </c>
      <c r="B282" s="11" t="str">
        <f>HYPERLINK(CONCAT("http://leetcode.com/problems/",Github!C$1193), Github!B$1193)</f>
        <v>Critical Connections in a Network</v>
      </c>
      <c r="C282" s="10">
        <f>Github!F$1193</f>
        <v>3395</v>
      </c>
      <c r="D282" s="10">
        <f>Github!G$1193</f>
        <v>138</v>
      </c>
      <c r="E282" s="10">
        <f>Github!F$1193+Github!G$1193</f>
        <v>3533</v>
      </c>
      <c r="F282" s="12">
        <f t="shared" si="1"/>
        <v>24.6</v>
      </c>
      <c r="G282" s="10" t="str">
        <f>Github!H$1193</f>
        <v>Algorithms</v>
      </c>
      <c r="H282" s="13" t="str">
        <f>SUBSTITUTE(Github!L$1193, ";", ", ")</f>
        <v>Depth-First Search, Graph, Biconnected Component, </v>
      </c>
      <c r="I282" s="10" t="str">
        <f>Github!E$1193</f>
        <v>Hard</v>
      </c>
      <c r="J282" s="10" t="str">
        <f>IF(TRIM(Github!D$1193)="TRUE","FALSE","TRUE")</f>
        <v>TRUE</v>
      </c>
      <c r="K282" s="10" t="b">
        <f>Github!M$1193</f>
        <v>1</v>
      </c>
      <c r="L282" s="10" t="b">
        <f>Github!N$1193</f>
        <v>0</v>
      </c>
      <c r="M282" s="10" t="str">
        <f>ROUND(Github!O$1193, 2)&amp;"%"</f>
        <v>52.03%</v>
      </c>
      <c r="N282" s="10">
        <f>Github!P$1193</f>
        <v>142553</v>
      </c>
      <c r="O282" s="10">
        <f>Github!Q$1193</f>
        <v>273962</v>
      </c>
    </row>
    <row r="283">
      <c r="A283" s="10">
        <f>Github!J$654</f>
        <v>653</v>
      </c>
      <c r="B283" s="11" t="str">
        <f>HYPERLINK(CONCAT("http://leetcode.com/problems/",Github!C$654), Github!B$654)</f>
        <v>Two Sum IV - Input is a BST</v>
      </c>
      <c r="C283" s="10">
        <f>Github!F$654</f>
        <v>3394</v>
      </c>
      <c r="D283" s="10">
        <f>Github!G$654</f>
        <v>195</v>
      </c>
      <c r="E283" s="10">
        <f>Github!F$654+Github!G$654</f>
        <v>3589</v>
      </c>
      <c r="F283" s="12">
        <f t="shared" si="1"/>
        <v>17.41</v>
      </c>
      <c r="G283" s="10" t="str">
        <f>Github!H$654</f>
        <v>Algorithms</v>
      </c>
      <c r="H283" s="13" t="str">
        <f>SUBSTITUTE(Github!L$654, ";", ", ")</f>
        <v>Hash Table, Two Pointers, Tree, Depth-First Search, Breadth-First Search, Binary Search Tree, Binary Tree, </v>
      </c>
      <c r="I283" s="10" t="str">
        <f>Github!E$654</f>
        <v>Easy</v>
      </c>
      <c r="J283" s="10" t="str">
        <f>IF(TRIM(Github!D$654)="TRUE","FALSE","TRUE")</f>
        <v>TRUE</v>
      </c>
      <c r="K283" s="10" t="b">
        <f>Github!M$654</f>
        <v>1</v>
      </c>
      <c r="L283" s="10" t="b">
        <f>Github!N$654</f>
        <v>0</v>
      </c>
      <c r="M283" s="10" t="str">
        <f>ROUND(Github!O$654, 2)&amp;"%"</f>
        <v>58.61%</v>
      </c>
      <c r="N283" s="10">
        <f>Github!P$654</f>
        <v>292714</v>
      </c>
      <c r="O283" s="10">
        <f>Github!Q$654</f>
        <v>499444</v>
      </c>
    </row>
    <row r="284">
      <c r="A284" s="10">
        <f>Github!J$14</f>
        <v>13</v>
      </c>
      <c r="B284" s="11" t="str">
        <f>HYPERLINK(CONCAT("http://leetcode.com/problems/",Github!C$14), Github!B$14)</f>
        <v>Roman to Integer</v>
      </c>
      <c r="C284" s="10">
        <f>Github!F$14</f>
        <v>3394</v>
      </c>
      <c r="D284" s="10">
        <f>Github!G$14</f>
        <v>243</v>
      </c>
      <c r="E284" s="10">
        <f>Github!F$14+Github!G$14</f>
        <v>3637</v>
      </c>
      <c r="F284" s="12">
        <f t="shared" si="1"/>
        <v>13.97</v>
      </c>
      <c r="G284" s="10" t="str">
        <f>Github!H$14</f>
        <v>Algorithms</v>
      </c>
      <c r="H284" s="13" t="str">
        <f>SUBSTITUTE(Github!L$14, ";", ", ")</f>
        <v>Hash Table, Math, String, </v>
      </c>
      <c r="I284" s="10" t="str">
        <f>Github!E$14</f>
        <v>Easy</v>
      </c>
      <c r="J284" s="10" t="str">
        <f>IF(TRIM(Github!D$14)="TRUE","FALSE","TRUE")</f>
        <v>TRUE</v>
      </c>
      <c r="K284" s="10" t="b">
        <f>Github!M$14</f>
        <v>1</v>
      </c>
      <c r="L284" s="10" t="b">
        <f>Github!N$14</f>
        <v>0</v>
      </c>
      <c r="M284" s="10" t="str">
        <f>ROUND(Github!O$14, 2)&amp;"%"</f>
        <v>57.89%</v>
      </c>
      <c r="N284" s="10">
        <f>Github!P$14</f>
        <v>1425319</v>
      </c>
      <c r="O284" s="10">
        <f>Github!Q$14</f>
        <v>2462296</v>
      </c>
    </row>
    <row r="285">
      <c r="A285" s="10">
        <f>Github!J$242</f>
        <v>241</v>
      </c>
      <c r="B285" s="11" t="str">
        <f>HYPERLINK(CONCAT("http://leetcode.com/problems/",Github!C$242), Github!B$242)</f>
        <v>Different Ways to Add Parentheses</v>
      </c>
      <c r="C285" s="10">
        <f>Github!F$242</f>
        <v>3385</v>
      </c>
      <c r="D285" s="10">
        <f>Github!G$242</f>
        <v>169</v>
      </c>
      <c r="E285" s="10">
        <f>Github!F$242+Github!G$242</f>
        <v>3554</v>
      </c>
      <c r="F285" s="12">
        <f t="shared" si="1"/>
        <v>20.03</v>
      </c>
      <c r="G285" s="10" t="str">
        <f>Github!H$242</f>
        <v>Algorithms</v>
      </c>
      <c r="H285" s="13" t="str">
        <f>SUBSTITUTE(Github!L$242, ";", ", ")</f>
        <v>Math, String, Dynamic Programming, Recursion, Memoization, </v>
      </c>
      <c r="I285" s="10" t="str">
        <f>Github!E$242</f>
        <v>Medium</v>
      </c>
      <c r="J285" s="10" t="str">
        <f>IF(TRIM(Github!D$242)="TRUE","FALSE","TRUE")</f>
        <v>TRUE</v>
      </c>
      <c r="K285" s="10" t="b">
        <f>Github!M$242</f>
        <v>0</v>
      </c>
      <c r="L285" s="10" t="b">
        <f>Github!N$242</f>
        <v>0</v>
      </c>
      <c r="M285" s="10" t="str">
        <f>ROUND(Github!O$242, 2)&amp;"%"</f>
        <v>61.17%</v>
      </c>
      <c r="N285" s="10">
        <f>Github!P$242</f>
        <v>155923</v>
      </c>
      <c r="O285" s="10">
        <f>Github!Q$242</f>
        <v>254903</v>
      </c>
    </row>
    <row r="286">
      <c r="A286" s="10">
        <f>Github!J$291</f>
        <v>290</v>
      </c>
      <c r="B286" s="11" t="str">
        <f>HYPERLINK(CONCAT("http://leetcode.com/problems/",Github!C$291), Github!B$291)</f>
        <v>Word Pattern</v>
      </c>
      <c r="C286" s="10">
        <f>Github!F$291</f>
        <v>3380</v>
      </c>
      <c r="D286" s="10">
        <f>Github!G$291</f>
        <v>386</v>
      </c>
      <c r="E286" s="10">
        <f>Github!F$291+Github!G$291</f>
        <v>3766</v>
      </c>
      <c r="F286" s="12">
        <f t="shared" si="1"/>
        <v>8.76</v>
      </c>
      <c r="G286" s="10" t="str">
        <f>Github!H$291</f>
        <v>Algorithms</v>
      </c>
      <c r="H286" s="13" t="str">
        <f>SUBSTITUTE(Github!L$291, ";", ", ")</f>
        <v>Hash Table, String, </v>
      </c>
      <c r="I286" s="10" t="str">
        <f>Github!E$291</f>
        <v>Easy</v>
      </c>
      <c r="J286" s="10" t="str">
        <f>IF(TRIM(Github!D$291)="TRUE","FALSE","TRUE")</f>
        <v>TRUE</v>
      </c>
      <c r="K286" s="10" t="b">
        <f>Github!M$291</f>
        <v>1</v>
      </c>
      <c r="L286" s="10" t="b">
        <f>Github!N$291</f>
        <v>0</v>
      </c>
      <c r="M286" s="10" t="str">
        <f>ROUND(Github!O$291, 2)&amp;"%"</f>
        <v>40.13%</v>
      </c>
      <c r="N286" s="10">
        <f>Github!P$291</f>
        <v>348358</v>
      </c>
      <c r="O286" s="10">
        <f>Github!Q$291</f>
        <v>868003</v>
      </c>
    </row>
    <row r="287">
      <c r="A287" s="10">
        <f>Github!J$772</f>
        <v>771</v>
      </c>
      <c r="B287" s="11" t="str">
        <f>HYPERLINK(CONCAT("http://leetcode.com/problems/",Github!C$772), Github!B$772)</f>
        <v>Jewels and Stones</v>
      </c>
      <c r="C287" s="10">
        <f>Github!F$772</f>
        <v>3377</v>
      </c>
      <c r="D287" s="10">
        <f>Github!G$772</f>
        <v>482</v>
      </c>
      <c r="E287" s="10">
        <f>Github!F$772+Github!G$772</f>
        <v>3859</v>
      </c>
      <c r="F287" s="12">
        <f t="shared" si="1"/>
        <v>7.01</v>
      </c>
      <c r="G287" s="10" t="str">
        <f>Github!H$772</f>
        <v>Algorithms</v>
      </c>
      <c r="H287" s="13" t="str">
        <f>SUBSTITUTE(Github!L$772, ";", ", ")</f>
        <v>Hash Table, String, </v>
      </c>
      <c r="I287" s="10" t="str">
        <f>Github!E$772</f>
        <v>Easy</v>
      </c>
      <c r="J287" s="10" t="str">
        <f>IF(TRIM(Github!D$772)="TRUE","FALSE","TRUE")</f>
        <v>TRUE</v>
      </c>
      <c r="K287" s="10" t="b">
        <f>Github!M$772</f>
        <v>1</v>
      </c>
      <c r="L287" s="10" t="b">
        <f>Github!N$772</f>
        <v>0</v>
      </c>
      <c r="M287" s="10" t="str">
        <f>ROUND(Github!O$772, 2)&amp;"%"</f>
        <v>87.63%</v>
      </c>
      <c r="N287" s="10">
        <f>Github!P$772</f>
        <v>719457</v>
      </c>
      <c r="O287" s="10">
        <f>Github!Q$772</f>
        <v>820980</v>
      </c>
    </row>
    <row r="288">
      <c r="A288" s="10">
        <f>Github!J$446</f>
        <v>445</v>
      </c>
      <c r="B288" s="11" t="str">
        <f>HYPERLINK(CONCAT("http://leetcode.com/problems/",Github!C$446), Github!B$446)</f>
        <v>Add Two Numbers II</v>
      </c>
      <c r="C288" s="10">
        <f>Github!F$446</f>
        <v>3313</v>
      </c>
      <c r="D288" s="10">
        <f>Github!G$446</f>
        <v>225</v>
      </c>
      <c r="E288" s="10">
        <f>Github!F$446+Github!G$446</f>
        <v>3538</v>
      </c>
      <c r="F288" s="12">
        <f t="shared" si="1"/>
        <v>14.72</v>
      </c>
      <c r="G288" s="10" t="str">
        <f>Github!H$446</f>
        <v>Algorithms</v>
      </c>
      <c r="H288" s="13" t="str">
        <f>SUBSTITUTE(Github!L$446, ";", ", ")</f>
        <v>Linked List, Math, Stack, </v>
      </c>
      <c r="I288" s="10" t="str">
        <f>Github!E$446</f>
        <v>Medium</v>
      </c>
      <c r="J288" s="10" t="str">
        <f>IF(TRIM(Github!D$446)="TRUE","FALSE","TRUE")</f>
        <v>TRUE</v>
      </c>
      <c r="K288" s="10" t="b">
        <f>Github!M$446</f>
        <v>1</v>
      </c>
      <c r="L288" s="10" t="b">
        <f>Github!N$446</f>
        <v>0</v>
      </c>
      <c r="M288" s="10" t="str">
        <f>ROUND(Github!O$446, 2)&amp;"%"</f>
        <v>58.36%</v>
      </c>
      <c r="N288" s="10">
        <f>Github!P$446</f>
        <v>299111</v>
      </c>
      <c r="O288" s="10">
        <f>Github!Q$446</f>
        <v>512517</v>
      </c>
    </row>
    <row r="289">
      <c r="A289" s="10">
        <f>Github!J$206</f>
        <v>205</v>
      </c>
      <c r="B289" s="11" t="str">
        <f>HYPERLINK(CONCAT("http://leetcode.com/problems/",Github!C$206), Github!B$206)</f>
        <v>Isomorphic Strings</v>
      </c>
      <c r="C289" s="10">
        <f>Github!F$206</f>
        <v>3304</v>
      </c>
      <c r="D289" s="10">
        <f>Github!G$206</f>
        <v>626</v>
      </c>
      <c r="E289" s="10">
        <f>Github!F$206+Github!G$206</f>
        <v>3930</v>
      </c>
      <c r="F289" s="12">
        <f t="shared" si="1"/>
        <v>5.28</v>
      </c>
      <c r="G289" s="10" t="str">
        <f>Github!H$206</f>
        <v>Algorithms</v>
      </c>
      <c r="H289" s="13" t="str">
        <f>SUBSTITUTE(Github!L$206, ";", ", ")</f>
        <v>Hash Table, String, </v>
      </c>
      <c r="I289" s="10" t="str">
        <f>Github!E$206</f>
        <v>Easy</v>
      </c>
      <c r="J289" s="10" t="str">
        <f>IF(TRIM(Github!D$206)="TRUE","FALSE","TRUE")</f>
        <v>TRUE</v>
      </c>
      <c r="K289" s="10" t="b">
        <f>Github!M$206</f>
        <v>1</v>
      </c>
      <c r="L289" s="10" t="b">
        <f>Github!N$206</f>
        <v>0</v>
      </c>
      <c r="M289" s="10" t="str">
        <f>ROUND(Github!O$206, 2)&amp;"%"</f>
        <v>41.97%</v>
      </c>
      <c r="N289" s="10">
        <f>Github!P$206</f>
        <v>477364</v>
      </c>
      <c r="O289" s="10">
        <f>Github!Q$206</f>
        <v>1137261</v>
      </c>
    </row>
    <row r="290">
      <c r="A290" s="10">
        <f>Github!J$453</f>
        <v>452</v>
      </c>
      <c r="B290" s="11" t="str">
        <f>HYPERLINK(CONCAT("http://leetcode.com/problems/",Github!C$453), Github!B$453)</f>
        <v>Minimum Number of Arrows to Burst Balloons</v>
      </c>
      <c r="C290" s="10">
        <f>Github!F$453</f>
        <v>3291</v>
      </c>
      <c r="D290" s="10">
        <f>Github!G$453</f>
        <v>96</v>
      </c>
      <c r="E290" s="10">
        <f>Github!F$453+Github!G$453</f>
        <v>3387</v>
      </c>
      <c r="F290" s="12">
        <f t="shared" si="1"/>
        <v>34.28</v>
      </c>
      <c r="G290" s="10" t="str">
        <f>Github!H$453</f>
        <v>Algorithms</v>
      </c>
      <c r="H290" s="13" t="str">
        <f>SUBSTITUTE(Github!L$453, ";", ", ")</f>
        <v>Array, Greedy, Sorting, </v>
      </c>
      <c r="I290" s="10" t="str">
        <f>Github!E$453</f>
        <v>Medium</v>
      </c>
      <c r="J290" s="10" t="str">
        <f>IF(TRIM(Github!D$453)="TRUE","FALSE","TRUE")</f>
        <v>TRUE</v>
      </c>
      <c r="K290" s="10" t="b">
        <f>Github!M$453</f>
        <v>1</v>
      </c>
      <c r="L290" s="10" t="b">
        <f>Github!N$453</f>
        <v>0</v>
      </c>
      <c r="M290" s="10" t="str">
        <f>ROUND(Github!O$453, 2)&amp;"%"</f>
        <v>52.78%</v>
      </c>
      <c r="N290" s="10">
        <f>Github!P$453</f>
        <v>181526</v>
      </c>
      <c r="O290" s="10">
        <f>Github!Q$453</f>
        <v>343917</v>
      </c>
    </row>
    <row r="291">
      <c r="A291" s="10">
        <f>Github!J$418</f>
        <v>417</v>
      </c>
      <c r="B291" s="11" t="str">
        <f>HYPERLINK(CONCAT("http://leetcode.com/problems/",Github!C$418), Github!B$418)</f>
        <v>Pacific Atlantic Water Flow</v>
      </c>
      <c r="C291" s="10">
        <f>Github!F$418</f>
        <v>3287</v>
      </c>
      <c r="D291" s="10">
        <f>Github!G$418</f>
        <v>758</v>
      </c>
      <c r="E291" s="10">
        <f>Github!F$418+Github!G$418</f>
        <v>4045</v>
      </c>
      <c r="F291" s="12">
        <f t="shared" si="1"/>
        <v>4.34</v>
      </c>
      <c r="G291" s="10" t="str">
        <f>Github!H$418</f>
        <v>Algorithms</v>
      </c>
      <c r="H291" s="13" t="str">
        <f>SUBSTITUTE(Github!L$418, ";", ", ")</f>
        <v>Array, Depth-First Search, Breadth-First Search, Matrix, </v>
      </c>
      <c r="I291" s="10" t="str">
        <f>Github!E$418</f>
        <v>Medium</v>
      </c>
      <c r="J291" s="10" t="str">
        <f>IF(TRIM(Github!D$418)="TRUE","FALSE","TRUE")</f>
        <v>TRUE</v>
      </c>
      <c r="K291" s="10" t="b">
        <f>Github!M$418</f>
        <v>1</v>
      </c>
      <c r="L291" s="10" t="b">
        <f>Github!N$418</f>
        <v>0</v>
      </c>
      <c r="M291" s="10" t="str">
        <f>ROUND(Github!O$418, 2)&amp;"%"</f>
        <v>48.3%</v>
      </c>
      <c r="N291" s="10">
        <f>Github!P$418</f>
        <v>180785</v>
      </c>
      <c r="O291" s="10">
        <f>Github!Q$418</f>
        <v>374287</v>
      </c>
    </row>
    <row r="292">
      <c r="A292" s="10">
        <f>Github!J$28</f>
        <v>27</v>
      </c>
      <c r="B292" s="11" t="str">
        <f>HYPERLINK(CONCAT("http://leetcode.com/problems/",Github!C$28), Github!B$28)</f>
        <v>Remove Element</v>
      </c>
      <c r="C292" s="10">
        <f>Github!F$28</f>
        <v>3287</v>
      </c>
      <c r="D292" s="10">
        <f>Github!G$28</f>
        <v>4957</v>
      </c>
      <c r="E292" s="10">
        <f>Github!F$28+Github!G$28</f>
        <v>8244</v>
      </c>
      <c r="F292" s="12">
        <f t="shared" si="1"/>
        <v>0.66</v>
      </c>
      <c r="G292" s="10" t="str">
        <f>Github!H$28</f>
        <v>Algorithms</v>
      </c>
      <c r="H292" s="13" t="str">
        <f>SUBSTITUTE(Github!L$28, ";", ", ")</f>
        <v>Array, Two Pointers, </v>
      </c>
      <c r="I292" s="10" t="str">
        <f>Github!E$28</f>
        <v>Easy</v>
      </c>
      <c r="J292" s="10" t="str">
        <f>IF(TRIM(Github!D$28)="TRUE","FALSE","TRUE")</f>
        <v>TRUE</v>
      </c>
      <c r="K292" s="10" t="b">
        <f>Github!M$28</f>
        <v>1</v>
      </c>
      <c r="L292" s="10" t="b">
        <f>Github!N$28</f>
        <v>0</v>
      </c>
      <c r="M292" s="10" t="str">
        <f>ROUND(Github!O$28, 2)&amp;"%"</f>
        <v>50.99%</v>
      </c>
      <c r="N292" s="10">
        <f>Github!P$28</f>
        <v>1194835</v>
      </c>
      <c r="O292" s="10">
        <f>Github!Q$28</f>
        <v>2343238</v>
      </c>
    </row>
    <row r="293">
      <c r="A293" s="10">
        <f>Github!J$736</f>
        <v>735</v>
      </c>
      <c r="B293" s="11" t="str">
        <f>HYPERLINK(CONCAT("http://leetcode.com/problems/",Github!C$736), Github!B$736)</f>
        <v>Asteroid Collision</v>
      </c>
      <c r="C293" s="10">
        <f>Github!F$736</f>
        <v>3271</v>
      </c>
      <c r="D293" s="10">
        <f>Github!G$736</f>
        <v>260</v>
      </c>
      <c r="E293" s="10">
        <f>Github!F$736+Github!G$736</f>
        <v>3531</v>
      </c>
      <c r="F293" s="12">
        <f t="shared" si="1"/>
        <v>12.58</v>
      </c>
      <c r="G293" s="10" t="str">
        <f>Github!H$736</f>
        <v>Algorithms</v>
      </c>
      <c r="H293" s="13" t="str">
        <f>SUBSTITUTE(Github!L$736, ";", ", ")</f>
        <v>Array, Stack, </v>
      </c>
      <c r="I293" s="10" t="str">
        <f>Github!E$736</f>
        <v>Medium</v>
      </c>
      <c r="J293" s="10" t="str">
        <f>IF(TRIM(Github!D$736)="TRUE","FALSE","TRUE")</f>
        <v>TRUE</v>
      </c>
      <c r="K293" s="10" t="b">
        <f>Github!M$736</f>
        <v>1</v>
      </c>
      <c r="L293" s="10" t="b">
        <f>Github!N$736</f>
        <v>0</v>
      </c>
      <c r="M293" s="10" t="str">
        <f>ROUND(Github!O$736, 2)&amp;"%"</f>
        <v>44.38%</v>
      </c>
      <c r="N293" s="10">
        <f>Github!P$736</f>
        <v>185423</v>
      </c>
      <c r="O293" s="10">
        <f>Github!Q$736</f>
        <v>417779</v>
      </c>
    </row>
    <row r="294">
      <c r="A294" s="10">
        <f>Github!J$87</f>
        <v>86</v>
      </c>
      <c r="B294" s="11" t="str">
        <f>HYPERLINK(CONCAT("http://leetcode.com/problems/",Github!C$87), Github!B$87)</f>
        <v>Partition List</v>
      </c>
      <c r="C294" s="10">
        <f>Github!F$87</f>
        <v>3258</v>
      </c>
      <c r="D294" s="10">
        <f>Github!G$87</f>
        <v>465</v>
      </c>
      <c r="E294" s="10">
        <f>Github!F$87+Github!G$87</f>
        <v>3723</v>
      </c>
      <c r="F294" s="12">
        <f t="shared" si="1"/>
        <v>7.01</v>
      </c>
      <c r="G294" s="10" t="str">
        <f>Github!H$87</f>
        <v>Algorithms</v>
      </c>
      <c r="H294" s="13" t="str">
        <f>SUBSTITUTE(Github!L$87, ";", ", ")</f>
        <v>Linked List, Two Pointers, </v>
      </c>
      <c r="I294" s="10" t="str">
        <f>Github!E$87</f>
        <v>Medium</v>
      </c>
      <c r="J294" s="10" t="str">
        <f>IF(TRIM(Github!D$87)="TRUE","FALSE","TRUE")</f>
        <v>TRUE</v>
      </c>
      <c r="K294" s="10" t="b">
        <f>Github!M$87</f>
        <v>1</v>
      </c>
      <c r="L294" s="10" t="b">
        <f>Github!N$87</f>
        <v>0</v>
      </c>
      <c r="M294" s="10" t="str">
        <f>ROUND(Github!O$87, 2)&amp;"%"</f>
        <v>47.51%</v>
      </c>
      <c r="N294" s="10">
        <f>Github!P$87</f>
        <v>329838</v>
      </c>
      <c r="O294" s="10">
        <f>Github!Q$87</f>
        <v>694209</v>
      </c>
    </row>
    <row r="295">
      <c r="A295" s="10">
        <f>Github!J$674</f>
        <v>673</v>
      </c>
      <c r="B295" s="11" t="str">
        <f>HYPERLINK(CONCAT("http://leetcode.com/problems/",Github!C$674), Github!B$674)</f>
        <v>Number of Longest Increasing Subsequence</v>
      </c>
      <c r="C295" s="10">
        <f>Github!F$674</f>
        <v>3239</v>
      </c>
      <c r="D295" s="10">
        <f>Github!G$674</f>
        <v>161</v>
      </c>
      <c r="E295" s="10">
        <f>Github!F$674+Github!G$674</f>
        <v>3400</v>
      </c>
      <c r="F295" s="12">
        <f t="shared" si="1"/>
        <v>20.12</v>
      </c>
      <c r="G295" s="10" t="str">
        <f>Github!H$674</f>
        <v>Algorithms</v>
      </c>
      <c r="H295" s="13" t="str">
        <f>SUBSTITUTE(Github!L$674, ";", ", ")</f>
        <v>Array, Dynamic Programming, Binary Indexed Tree, Segment Tree, </v>
      </c>
      <c r="I295" s="10" t="str">
        <f>Github!E$674</f>
        <v>Medium</v>
      </c>
      <c r="J295" s="10" t="str">
        <f>IF(TRIM(Github!D$674)="TRUE","FALSE","TRUE")</f>
        <v>TRUE</v>
      </c>
      <c r="K295" s="10" t="b">
        <f>Github!M$674</f>
        <v>0</v>
      </c>
      <c r="L295" s="10" t="b">
        <f>Github!N$674</f>
        <v>0</v>
      </c>
      <c r="M295" s="10" t="str">
        <f>ROUND(Github!O$674, 2)&amp;"%"</f>
        <v>40.57%</v>
      </c>
      <c r="N295" s="10">
        <f>Github!P$674</f>
        <v>105492</v>
      </c>
      <c r="O295" s="10">
        <f>Github!Q$674</f>
        <v>260046</v>
      </c>
    </row>
    <row r="296">
      <c r="A296" s="10">
        <f>Github!J$126</f>
        <v>125</v>
      </c>
      <c r="B296" s="11" t="str">
        <f>HYPERLINK(CONCAT("http://leetcode.com/problems/",Github!C$126), Github!B$126)</f>
        <v>Valid Palindrome</v>
      </c>
      <c r="C296" s="10">
        <f>Github!F$126</f>
        <v>3223</v>
      </c>
      <c r="D296" s="10">
        <f>Github!G$126</f>
        <v>4936</v>
      </c>
      <c r="E296" s="10">
        <f>Github!F$126+Github!G$126</f>
        <v>8159</v>
      </c>
      <c r="F296" s="12">
        <f t="shared" si="1"/>
        <v>0.65</v>
      </c>
      <c r="G296" s="10" t="str">
        <f>Github!H$126</f>
        <v>Algorithms</v>
      </c>
      <c r="H296" s="13" t="str">
        <f>SUBSTITUTE(Github!L$126, ";", ", ")</f>
        <v>Two Pointers, String, </v>
      </c>
      <c r="I296" s="10" t="str">
        <f>Github!E$126</f>
        <v>Easy</v>
      </c>
      <c r="J296" s="10" t="str">
        <f>IF(TRIM(Github!D$126)="TRUE","FALSE","TRUE")</f>
        <v>TRUE</v>
      </c>
      <c r="K296" s="10" t="b">
        <f>Github!M$126</f>
        <v>1</v>
      </c>
      <c r="L296" s="10" t="b">
        <f>Github!N$126</f>
        <v>0</v>
      </c>
      <c r="M296" s="10" t="str">
        <f>ROUND(Github!O$126, 2)&amp;"%"</f>
        <v>41.09%</v>
      </c>
      <c r="N296" s="10">
        <f>Github!P$126</f>
        <v>1168555</v>
      </c>
      <c r="O296" s="10">
        <f>Github!Q$126</f>
        <v>2843833</v>
      </c>
    </row>
    <row r="297">
      <c r="A297" s="10">
        <f>Github!J$908</f>
        <v>907</v>
      </c>
      <c r="B297" s="11" t="str">
        <f>HYPERLINK(CONCAT("http://leetcode.com/problems/",Github!C$908), Github!B$908)</f>
        <v>Sum of Subarray Minimums</v>
      </c>
      <c r="C297" s="10">
        <f>Github!F$908</f>
        <v>3215</v>
      </c>
      <c r="D297" s="10">
        <f>Github!G$908</f>
        <v>207</v>
      </c>
      <c r="E297" s="10">
        <f>Github!F$908+Github!G$908</f>
        <v>3422</v>
      </c>
      <c r="F297" s="12">
        <f t="shared" si="1"/>
        <v>15.53</v>
      </c>
      <c r="G297" s="10" t="str">
        <f>Github!H$908</f>
        <v>Algorithms</v>
      </c>
      <c r="H297" s="13" t="str">
        <f>SUBSTITUTE(Github!L$908, ";", ", ")</f>
        <v>Array, Dynamic Programming, Stack, Monotonic Stack, </v>
      </c>
      <c r="I297" s="10" t="str">
        <f>Github!E$908</f>
        <v>Medium</v>
      </c>
      <c r="J297" s="10" t="str">
        <f>IF(TRIM(Github!D$908)="TRUE","FALSE","TRUE")</f>
        <v>TRUE</v>
      </c>
      <c r="K297" s="10" t="b">
        <f>Github!M$908</f>
        <v>0</v>
      </c>
      <c r="L297" s="10" t="b">
        <f>Github!N$908</f>
        <v>0</v>
      </c>
      <c r="M297" s="10" t="str">
        <f>ROUND(Github!O$908, 2)&amp;"%"</f>
        <v>33.75%</v>
      </c>
      <c r="N297" s="10">
        <f>Github!P$908</f>
        <v>68671</v>
      </c>
      <c r="O297" s="10">
        <f>Github!Q$908</f>
        <v>203446</v>
      </c>
    </row>
    <row r="298">
      <c r="A298" s="10">
        <f>Github!J$378</f>
        <v>377</v>
      </c>
      <c r="B298" s="11" t="str">
        <f>HYPERLINK(CONCAT("http://leetcode.com/problems/",Github!C$378), Github!B$378)</f>
        <v>Combination Sum IV</v>
      </c>
      <c r="C298" s="10">
        <f>Github!F$378</f>
        <v>3212</v>
      </c>
      <c r="D298" s="10">
        <f>Github!G$378</f>
        <v>371</v>
      </c>
      <c r="E298" s="10">
        <f>Github!F$378+Github!G$378</f>
        <v>3583</v>
      </c>
      <c r="F298" s="12">
        <f t="shared" si="1"/>
        <v>8.66</v>
      </c>
      <c r="G298" s="10" t="str">
        <f>Github!H$378</f>
        <v>Algorithms</v>
      </c>
      <c r="H298" s="13" t="str">
        <f>SUBSTITUTE(Github!L$378, ";", ", ")</f>
        <v>Array, Dynamic Programming, </v>
      </c>
      <c r="I298" s="10" t="str">
        <f>Github!E$378</f>
        <v>Medium</v>
      </c>
      <c r="J298" s="10" t="str">
        <f>IF(TRIM(Github!D$378)="TRUE","FALSE","TRUE")</f>
        <v>TRUE</v>
      </c>
      <c r="K298" s="10" t="b">
        <f>Github!M$378</f>
        <v>1</v>
      </c>
      <c r="L298" s="10" t="b">
        <f>Github!N$378</f>
        <v>0</v>
      </c>
      <c r="M298" s="10" t="str">
        <f>ROUND(Github!O$378, 2)&amp;"%"</f>
        <v>49.06%</v>
      </c>
      <c r="N298" s="10">
        <f>Github!P$378</f>
        <v>230147</v>
      </c>
      <c r="O298" s="10">
        <f>Github!Q$378</f>
        <v>469149</v>
      </c>
    </row>
    <row r="299">
      <c r="A299" s="10">
        <f>Github!J$679</f>
        <v>678</v>
      </c>
      <c r="B299" s="11" t="str">
        <f>HYPERLINK(CONCAT("http://leetcode.com/problems/",Github!C$679), Github!B$679)</f>
        <v>Valid Parenthesis String</v>
      </c>
      <c r="C299" s="10">
        <f>Github!F$679</f>
        <v>3194</v>
      </c>
      <c r="D299" s="10">
        <f>Github!G$679</f>
        <v>79</v>
      </c>
      <c r="E299" s="10">
        <f>Github!F$679+Github!G$679</f>
        <v>3273</v>
      </c>
      <c r="F299" s="12">
        <f t="shared" si="1"/>
        <v>40.43</v>
      </c>
      <c r="G299" s="10" t="str">
        <f>Github!H$679</f>
        <v>Algorithms</v>
      </c>
      <c r="H299" s="13" t="str">
        <f>SUBSTITUTE(Github!L$679, ";", ", ")</f>
        <v>String, Dynamic Programming, Stack, Greedy, </v>
      </c>
      <c r="I299" s="10" t="str">
        <f>Github!E$679</f>
        <v>Medium</v>
      </c>
      <c r="J299" s="10" t="str">
        <f>IF(TRIM(Github!D$679)="TRUE","FALSE","TRUE")</f>
        <v>TRUE</v>
      </c>
      <c r="K299" s="10" t="b">
        <f>Github!M$679</f>
        <v>1</v>
      </c>
      <c r="L299" s="10" t="b">
        <f>Github!N$679</f>
        <v>0</v>
      </c>
      <c r="M299" s="10" t="str">
        <f>ROUND(Github!O$679, 2)&amp;"%"</f>
        <v>33.03%</v>
      </c>
      <c r="N299" s="10">
        <f>Github!P$679</f>
        <v>162446</v>
      </c>
      <c r="O299" s="10">
        <f>Github!Q$679</f>
        <v>491847</v>
      </c>
    </row>
    <row r="300">
      <c r="A300" s="10">
        <f>Github!J$998</f>
        <v>997</v>
      </c>
      <c r="B300" s="11" t="str">
        <f>HYPERLINK(CONCAT("http://leetcode.com/problems/",Github!C$998), Github!B$998)</f>
        <v>Find the Town Judge</v>
      </c>
      <c r="C300" s="10">
        <f>Github!F$998</f>
        <v>3191</v>
      </c>
      <c r="D300" s="10">
        <f>Github!G$998</f>
        <v>241</v>
      </c>
      <c r="E300" s="10">
        <f>Github!F$998+Github!G$998</f>
        <v>3432</v>
      </c>
      <c r="F300" s="12">
        <f t="shared" si="1"/>
        <v>13.24</v>
      </c>
      <c r="G300" s="10" t="str">
        <f>Github!H$998</f>
        <v>Algorithms</v>
      </c>
      <c r="H300" s="13" t="str">
        <f>SUBSTITUTE(Github!L$998, ";", ", ")</f>
        <v>Array, Hash Table, Graph, </v>
      </c>
      <c r="I300" s="10" t="str">
        <f>Github!E$998</f>
        <v>Easy</v>
      </c>
      <c r="J300" s="10" t="str">
        <f>IF(TRIM(Github!D$998)="TRUE","FALSE","TRUE")</f>
        <v>TRUE</v>
      </c>
      <c r="K300" s="10" t="b">
        <f>Github!M$998</f>
        <v>1</v>
      </c>
      <c r="L300" s="10" t="b">
        <f>Github!N$998</f>
        <v>0</v>
      </c>
      <c r="M300" s="10" t="str">
        <f>ROUND(Github!O$998, 2)&amp;"%"</f>
        <v>49.93%</v>
      </c>
      <c r="N300" s="10">
        <f>Github!P$998</f>
        <v>262311</v>
      </c>
      <c r="O300" s="10">
        <f>Github!Q$998</f>
        <v>525360</v>
      </c>
    </row>
    <row r="301">
      <c r="A301" s="10">
        <f>Github!J$133</f>
        <v>132</v>
      </c>
      <c r="B301" s="11" t="str">
        <f>HYPERLINK(CONCAT("http://leetcode.com/problems/",Github!C$133), Github!B$133)</f>
        <v>Palindrome Partitioning II</v>
      </c>
      <c r="C301" s="10">
        <f>Github!F$133</f>
        <v>3167</v>
      </c>
      <c r="D301" s="10">
        <f>Github!G$133</f>
        <v>77</v>
      </c>
      <c r="E301" s="10">
        <f>Github!F$133+Github!G$133</f>
        <v>3244</v>
      </c>
      <c r="F301" s="12">
        <f t="shared" si="1"/>
        <v>41.13</v>
      </c>
      <c r="G301" s="10" t="str">
        <f>Github!H$133</f>
        <v>Algorithms</v>
      </c>
      <c r="H301" s="13" t="str">
        <f>SUBSTITUTE(Github!L$133, ";", ", ")</f>
        <v>String, Dynamic Programming, </v>
      </c>
      <c r="I301" s="10" t="str">
        <f>Github!E$133</f>
        <v>Hard</v>
      </c>
      <c r="J301" s="10" t="str">
        <f>IF(TRIM(Github!D$133)="TRUE","FALSE","TRUE")</f>
        <v>TRUE</v>
      </c>
      <c r="K301" s="10" t="b">
        <f>Github!M$133</f>
        <v>1</v>
      </c>
      <c r="L301" s="10" t="b">
        <f>Github!N$133</f>
        <v>0</v>
      </c>
      <c r="M301" s="10" t="str">
        <f>ROUND(Github!O$133, 2)&amp;"%"</f>
        <v>33.07%</v>
      </c>
      <c r="N301" s="10">
        <f>Github!P$133</f>
        <v>198026</v>
      </c>
      <c r="O301" s="10">
        <f>Github!Q$133</f>
        <v>598848</v>
      </c>
    </row>
    <row r="302">
      <c r="A302" s="10">
        <f>Github!J$539</f>
        <v>538</v>
      </c>
      <c r="B302" s="11" t="str">
        <f>HYPERLINK(CONCAT("http://leetcode.com/problems/",Github!C$539), Github!B$539)</f>
        <v>Convert BST to Greater Tree</v>
      </c>
      <c r="C302" s="10">
        <f>Github!F$539</f>
        <v>3150</v>
      </c>
      <c r="D302" s="10">
        <f>Github!G$539</f>
        <v>148</v>
      </c>
      <c r="E302" s="10">
        <f>Github!F$539+Github!G$539</f>
        <v>3298</v>
      </c>
      <c r="F302" s="12">
        <f t="shared" si="1"/>
        <v>21.28</v>
      </c>
      <c r="G302" s="10" t="str">
        <f>Github!H$539</f>
        <v>Algorithms</v>
      </c>
      <c r="H302" s="13" t="str">
        <f>SUBSTITUTE(Github!L$539, ";", ", ")</f>
        <v>Tree, Depth-First Search, Binary Search Tree, Binary Tree, </v>
      </c>
      <c r="I302" s="10" t="str">
        <f>Github!E$539</f>
        <v>Medium</v>
      </c>
      <c r="J302" s="10" t="str">
        <f>IF(TRIM(Github!D$539)="TRUE","FALSE","TRUE")</f>
        <v>TRUE</v>
      </c>
      <c r="K302" s="10" t="b">
        <f>Github!M$539</f>
        <v>1</v>
      </c>
      <c r="L302" s="10" t="b">
        <f>Github!N$539</f>
        <v>0</v>
      </c>
      <c r="M302" s="10" t="str">
        <f>ROUND(Github!O$539, 2)&amp;"%"</f>
        <v>62.58%</v>
      </c>
      <c r="N302" s="10">
        <f>Github!P$539</f>
        <v>192768</v>
      </c>
      <c r="O302" s="10">
        <f>Github!Q$539</f>
        <v>308059</v>
      </c>
    </row>
    <row r="303">
      <c r="A303" s="10">
        <f>Github!J$116</f>
        <v>115</v>
      </c>
      <c r="B303" s="11" t="str">
        <f>HYPERLINK(CONCAT("http://leetcode.com/problems/",Github!C$116), Github!B$116)</f>
        <v>Distinct Subsequences</v>
      </c>
      <c r="C303" s="10">
        <f>Github!F$116</f>
        <v>3149</v>
      </c>
      <c r="D303" s="10">
        <f>Github!G$116</f>
        <v>140</v>
      </c>
      <c r="E303" s="10">
        <f>Github!F$116+Github!G$116</f>
        <v>3289</v>
      </c>
      <c r="F303" s="12">
        <f t="shared" si="1"/>
        <v>22.49</v>
      </c>
      <c r="G303" s="10" t="str">
        <f>Github!H$116</f>
        <v>Algorithms</v>
      </c>
      <c r="H303" s="13" t="str">
        <f>SUBSTITUTE(Github!L$116, ";", ", ")</f>
        <v>String, Dynamic Programming, </v>
      </c>
      <c r="I303" s="10" t="str">
        <f>Github!E$116</f>
        <v>Hard</v>
      </c>
      <c r="J303" s="10" t="str">
        <f>IF(TRIM(Github!D$116)="TRUE","FALSE","TRUE")</f>
        <v>TRUE</v>
      </c>
      <c r="K303" s="10" t="b">
        <f>Github!M$116</f>
        <v>1</v>
      </c>
      <c r="L303" s="10" t="b">
        <f>Github!N$116</f>
        <v>0</v>
      </c>
      <c r="M303" s="10" t="str">
        <f>ROUND(Github!O$116, 2)&amp;"%"</f>
        <v>42.06%</v>
      </c>
      <c r="N303" s="10">
        <f>Github!P$116</f>
        <v>210240</v>
      </c>
      <c r="O303" s="10">
        <f>Github!Q$116</f>
        <v>499808</v>
      </c>
    </row>
    <row r="304">
      <c r="A304" s="10">
        <f>Github!J$172</f>
        <v>171</v>
      </c>
      <c r="B304" s="11" t="str">
        <f>HYPERLINK(CONCAT("http://leetcode.com/problems/",Github!C$172), Github!B$172)</f>
        <v>Excel Sheet Column Number</v>
      </c>
      <c r="C304" s="10">
        <f>Github!F$172</f>
        <v>3141</v>
      </c>
      <c r="D304" s="10">
        <f>Github!G$172</f>
        <v>263</v>
      </c>
      <c r="E304" s="10">
        <f>Github!F$172+Github!G$172</f>
        <v>3404</v>
      </c>
      <c r="F304" s="12">
        <f t="shared" si="1"/>
        <v>11.94</v>
      </c>
      <c r="G304" s="10" t="str">
        <f>Github!H$172</f>
        <v>Algorithms</v>
      </c>
      <c r="H304" s="13" t="str">
        <f>SUBSTITUTE(Github!L$172, ";", ", ")</f>
        <v>Math, String, </v>
      </c>
      <c r="I304" s="10" t="str">
        <f>Github!E$172</f>
        <v>Easy</v>
      </c>
      <c r="J304" s="10" t="str">
        <f>IF(TRIM(Github!D$172)="TRUE","FALSE","TRUE")</f>
        <v>TRUE</v>
      </c>
      <c r="K304" s="10" t="b">
        <f>Github!M$172</f>
        <v>1</v>
      </c>
      <c r="L304" s="10" t="b">
        <f>Github!N$172</f>
        <v>0</v>
      </c>
      <c r="M304" s="10" t="str">
        <f>ROUND(Github!O$172, 2)&amp;"%"</f>
        <v>60.45%</v>
      </c>
      <c r="N304" s="10">
        <f>Github!P$172</f>
        <v>486964</v>
      </c>
      <c r="O304" s="10">
        <f>Github!Q$172</f>
        <v>805558</v>
      </c>
    </row>
    <row r="305">
      <c r="A305" s="10">
        <f>Github!J$460</f>
        <v>459</v>
      </c>
      <c r="B305" s="11" t="str">
        <f>HYPERLINK(CONCAT("http://leetcode.com/problems/",Github!C$460), Github!B$460)</f>
        <v>Repeated Substring Pattern</v>
      </c>
      <c r="C305" s="10">
        <f>Github!F$460</f>
        <v>3131</v>
      </c>
      <c r="D305" s="10">
        <f>Github!G$460</f>
        <v>302</v>
      </c>
      <c r="E305" s="10">
        <f>Github!F$460+Github!G$460</f>
        <v>3433</v>
      </c>
      <c r="F305" s="12">
        <f t="shared" si="1"/>
        <v>10.37</v>
      </c>
      <c r="G305" s="10" t="str">
        <f>Github!H$460</f>
        <v>Algorithms</v>
      </c>
      <c r="H305" s="13" t="str">
        <f>SUBSTITUTE(Github!L$460, ";", ", ")</f>
        <v>String, String Matching, </v>
      </c>
      <c r="I305" s="10" t="str">
        <f>Github!E$460</f>
        <v>Easy</v>
      </c>
      <c r="J305" s="10" t="str">
        <f>IF(TRIM(Github!D$460)="TRUE","FALSE","TRUE")</f>
        <v>TRUE</v>
      </c>
      <c r="K305" s="10" t="b">
        <f>Github!M$460</f>
        <v>0</v>
      </c>
      <c r="L305" s="10" t="b">
        <f>Github!N$460</f>
        <v>0</v>
      </c>
      <c r="M305" s="10" t="str">
        <f>ROUND(Github!O$460, 2)&amp;"%"</f>
        <v>43.52%</v>
      </c>
      <c r="N305" s="10">
        <f>Github!P$460</f>
        <v>230703</v>
      </c>
      <c r="O305" s="10">
        <f>Github!Q$460</f>
        <v>530112</v>
      </c>
    </row>
    <row r="306">
      <c r="A306" s="10">
        <f>Github!J$1049</f>
        <v>1048</v>
      </c>
      <c r="B306" s="11" t="str">
        <f>HYPERLINK(CONCAT("http://leetcode.com/problems/",Github!C$1049), Github!B$1049)</f>
        <v>Longest String Chain</v>
      </c>
      <c r="C306" s="10">
        <f>Github!F$1049</f>
        <v>3132</v>
      </c>
      <c r="D306" s="10">
        <f>Github!G$1049</f>
        <v>158</v>
      </c>
      <c r="E306" s="10">
        <f>Github!F$1049+Github!G$1049</f>
        <v>3290</v>
      </c>
      <c r="F306" s="12">
        <f t="shared" si="1"/>
        <v>19.82</v>
      </c>
      <c r="G306" s="10" t="str">
        <f>Github!H$1049</f>
        <v>Algorithms</v>
      </c>
      <c r="H306" s="13" t="str">
        <f>SUBSTITUTE(Github!L$1049, ";", ", ")</f>
        <v>Array, Hash Table, Two Pointers, String, Dynamic Programming, </v>
      </c>
      <c r="I306" s="10" t="str">
        <f>Github!E$1049</f>
        <v>Medium</v>
      </c>
      <c r="J306" s="10" t="str">
        <f>IF(TRIM(Github!D$1049)="TRUE","FALSE","TRUE")</f>
        <v>TRUE</v>
      </c>
      <c r="K306" s="10" t="b">
        <f>Github!M$1049</f>
        <v>1</v>
      </c>
      <c r="L306" s="10" t="b">
        <f>Github!N$1049</f>
        <v>0</v>
      </c>
      <c r="M306" s="10" t="str">
        <f>ROUND(Github!O$1049, 2)&amp;"%"</f>
        <v>57.67%</v>
      </c>
      <c r="N306" s="10">
        <f>Github!P$1049</f>
        <v>188220</v>
      </c>
      <c r="O306" s="10">
        <f>Github!Q$1049</f>
        <v>326361</v>
      </c>
    </row>
    <row r="307">
      <c r="A307" s="10">
        <f>Github!J$1278</f>
        <v>1277</v>
      </c>
      <c r="B307" s="11" t="str">
        <f>HYPERLINK(CONCAT("http://leetcode.com/problems/",Github!C$1278), Github!B$1278)</f>
        <v>Count Square Submatrices with All Ones</v>
      </c>
      <c r="C307" s="10">
        <f>Github!F$1278</f>
        <v>3121</v>
      </c>
      <c r="D307" s="10">
        <f>Github!G$1278</f>
        <v>52</v>
      </c>
      <c r="E307" s="10">
        <f>Github!F$1278+Github!G$1278</f>
        <v>3173</v>
      </c>
      <c r="F307" s="12">
        <f t="shared" si="1"/>
        <v>60.02</v>
      </c>
      <c r="G307" s="10" t="str">
        <f>Github!H$1278</f>
        <v>Algorithms</v>
      </c>
      <c r="H307" s="13" t="str">
        <f>SUBSTITUTE(Github!L$1278, ";", ", ")</f>
        <v>Array, Dynamic Programming, Matrix, </v>
      </c>
      <c r="I307" s="10" t="str">
        <f>Github!E$1278</f>
        <v>Medium</v>
      </c>
      <c r="J307" s="10" t="str">
        <f>IF(TRIM(Github!D$1278)="TRUE","FALSE","TRUE")</f>
        <v>TRUE</v>
      </c>
      <c r="K307" s="10" t="b">
        <f>Github!M$1278</f>
        <v>0</v>
      </c>
      <c r="L307" s="10" t="b">
        <f>Github!N$1278</f>
        <v>0</v>
      </c>
      <c r="M307" s="10" t="str">
        <f>ROUND(Github!O$1278, 2)&amp;"%"</f>
        <v>74.14%</v>
      </c>
      <c r="N307" s="10">
        <f>Github!P$1278</f>
        <v>155277</v>
      </c>
      <c r="O307" s="10">
        <f>Github!Q$1278</f>
        <v>209425</v>
      </c>
    </row>
    <row r="308">
      <c r="A308" s="10">
        <f>Github!J$785</f>
        <v>784</v>
      </c>
      <c r="B308" s="11" t="str">
        <f>HYPERLINK(CONCAT("http://leetcode.com/problems/",Github!C$785), Github!B$785)</f>
        <v>Letter Case Permutation</v>
      </c>
      <c r="C308" s="10">
        <f>Github!F$785</f>
        <v>3117</v>
      </c>
      <c r="D308" s="10">
        <f>Github!G$785</f>
        <v>141</v>
      </c>
      <c r="E308" s="10">
        <f>Github!F$785+Github!G$785</f>
        <v>3258</v>
      </c>
      <c r="F308" s="12">
        <f t="shared" si="1"/>
        <v>22.11</v>
      </c>
      <c r="G308" s="10" t="str">
        <f>Github!H$785</f>
        <v>Algorithms</v>
      </c>
      <c r="H308" s="13" t="str">
        <f>SUBSTITUTE(Github!L$785, ";", ", ")</f>
        <v>String, Backtracking, Bit Manipulation, </v>
      </c>
      <c r="I308" s="10" t="str">
        <f>Github!E$785</f>
        <v>Medium</v>
      </c>
      <c r="J308" s="10" t="str">
        <f>IF(TRIM(Github!D$785)="TRUE","FALSE","TRUE")</f>
        <v>TRUE</v>
      </c>
      <c r="K308" s="10" t="b">
        <f>Github!M$785</f>
        <v>1</v>
      </c>
      <c r="L308" s="10" t="b">
        <f>Github!N$785</f>
        <v>0</v>
      </c>
      <c r="M308" s="10" t="str">
        <f>ROUND(Github!O$785, 2)&amp;"%"</f>
        <v>71.92%</v>
      </c>
      <c r="N308" s="10">
        <f>Github!P$785</f>
        <v>200436</v>
      </c>
      <c r="O308" s="10">
        <f>Github!Q$785</f>
        <v>278700</v>
      </c>
    </row>
    <row r="309">
      <c r="A309" s="10">
        <f>Github!J$457</f>
        <v>456</v>
      </c>
      <c r="B309" s="11" t="str">
        <f>HYPERLINK(CONCAT("http://leetcode.com/problems/",Github!C$457), Github!B$457)</f>
        <v>132 Pattern</v>
      </c>
      <c r="C309" s="10">
        <f>Github!F$457</f>
        <v>3112</v>
      </c>
      <c r="D309" s="10">
        <f>Github!G$457</f>
        <v>171</v>
      </c>
      <c r="E309" s="10">
        <f>Github!F$457+Github!G$457</f>
        <v>3283</v>
      </c>
      <c r="F309" s="12">
        <f t="shared" si="1"/>
        <v>18.2</v>
      </c>
      <c r="G309" s="10" t="str">
        <f>Github!H$457</f>
        <v>Algorithms</v>
      </c>
      <c r="H309" s="13" t="str">
        <f>SUBSTITUTE(Github!L$457, ";", ", ")</f>
        <v>Array, Binary Search, Stack, Monotonic Stack, Ordered Set, </v>
      </c>
      <c r="I309" s="10" t="str">
        <f>Github!E$457</f>
        <v>Medium</v>
      </c>
      <c r="J309" s="10" t="str">
        <f>IF(TRIM(Github!D$457)="TRUE","FALSE","TRUE")</f>
        <v>TRUE</v>
      </c>
      <c r="K309" s="10" t="b">
        <f>Github!M$457</f>
        <v>1</v>
      </c>
      <c r="L309" s="10" t="b">
        <f>Github!N$457</f>
        <v>1</v>
      </c>
      <c r="M309" s="10" t="str">
        <f>ROUND(Github!O$457, 2)&amp;"%"</f>
        <v>30.92%</v>
      </c>
      <c r="N309" s="10">
        <f>Github!P$457</f>
        <v>104619</v>
      </c>
      <c r="O309" s="10">
        <f>Github!Q$457</f>
        <v>338402</v>
      </c>
    </row>
    <row r="310">
      <c r="A310" s="10">
        <f>Github!J$405</f>
        <v>404</v>
      </c>
      <c r="B310" s="11" t="str">
        <f>HYPERLINK(CONCAT("http://leetcode.com/problems/",Github!C$405), Github!B$405)</f>
        <v>Sum of Left Leaves</v>
      </c>
      <c r="C310" s="10">
        <f>Github!F$405</f>
        <v>3108</v>
      </c>
      <c r="D310" s="10">
        <f>Github!G$405</f>
        <v>240</v>
      </c>
      <c r="E310" s="10">
        <f>Github!F$405+Github!G$405</f>
        <v>3348</v>
      </c>
      <c r="F310" s="12">
        <f t="shared" si="1"/>
        <v>12.95</v>
      </c>
      <c r="G310" s="10" t="str">
        <f>Github!H$405</f>
        <v>Algorithms</v>
      </c>
      <c r="H310" s="13" t="str">
        <f>SUBSTITUTE(Github!L$405, ";", ", ")</f>
        <v>Tree, Depth-First Search, Breadth-First Search, Binary Tree, </v>
      </c>
      <c r="I310" s="10" t="str">
        <f>Github!E$405</f>
        <v>Easy</v>
      </c>
      <c r="J310" s="10" t="str">
        <f>IF(TRIM(Github!D$405)="TRUE","FALSE","TRUE")</f>
        <v>TRUE</v>
      </c>
      <c r="K310" s="10" t="b">
        <f>Github!M$405</f>
        <v>1</v>
      </c>
      <c r="L310" s="10" t="b">
        <f>Github!N$405</f>
        <v>0</v>
      </c>
      <c r="M310" s="10" t="str">
        <f>ROUND(Github!O$405, 2)&amp;"%"</f>
        <v>54.73%</v>
      </c>
      <c r="N310" s="10">
        <f>Github!P$405</f>
        <v>331957</v>
      </c>
      <c r="O310" s="10">
        <f>Github!Q$405</f>
        <v>606491</v>
      </c>
    </row>
    <row r="311">
      <c r="A311" s="10">
        <f>Github!J$702</f>
        <v>701</v>
      </c>
      <c r="B311" s="11" t="str">
        <f>HYPERLINK(CONCAT("http://leetcode.com/problems/",Github!C$702), Github!B$702)</f>
        <v>Insert into a Binary Search Tree</v>
      </c>
      <c r="C311" s="10">
        <f>Github!F$702</f>
        <v>3094</v>
      </c>
      <c r="D311" s="10">
        <f>Github!G$702</f>
        <v>133</v>
      </c>
      <c r="E311" s="10">
        <f>Github!F$702+Github!G$702</f>
        <v>3227</v>
      </c>
      <c r="F311" s="12">
        <f t="shared" si="1"/>
        <v>23.26</v>
      </c>
      <c r="G311" s="10" t="str">
        <f>Github!H$702</f>
        <v>Algorithms</v>
      </c>
      <c r="H311" s="13" t="str">
        <f>SUBSTITUTE(Github!L$702, ";", ", ")</f>
        <v>Tree, Binary Search Tree, Binary Tree, </v>
      </c>
      <c r="I311" s="10" t="str">
        <f>Github!E$702</f>
        <v>Medium</v>
      </c>
      <c r="J311" s="10" t="str">
        <f>IF(TRIM(Github!D$702)="TRUE","FALSE","TRUE")</f>
        <v>TRUE</v>
      </c>
      <c r="K311" s="10" t="b">
        <f>Github!M$702</f>
        <v>1</v>
      </c>
      <c r="L311" s="10" t="b">
        <f>Github!N$702</f>
        <v>0</v>
      </c>
      <c r="M311" s="10" t="str">
        <f>ROUND(Github!O$702, 2)&amp;"%"</f>
        <v>74.97%</v>
      </c>
      <c r="N311" s="10">
        <f>Github!P$702</f>
        <v>287311</v>
      </c>
      <c r="O311" s="10">
        <f>Github!Q$702</f>
        <v>383235</v>
      </c>
    </row>
    <row r="312">
      <c r="A312" s="10">
        <f>Github!J$510</f>
        <v>509</v>
      </c>
      <c r="B312" s="11" t="str">
        <f>HYPERLINK(CONCAT("http://leetcode.com/problems/",Github!C$510), Github!B$510)</f>
        <v>Fibonacci Number</v>
      </c>
      <c r="C312" s="10">
        <f>Github!F$510</f>
        <v>3084</v>
      </c>
      <c r="D312" s="10">
        <f>Github!G$510</f>
        <v>256</v>
      </c>
      <c r="E312" s="10">
        <f>Github!F$510+Github!G$510</f>
        <v>3340</v>
      </c>
      <c r="F312" s="12">
        <f t="shared" si="1"/>
        <v>12.05</v>
      </c>
      <c r="G312" s="10" t="str">
        <f>Github!H$510</f>
        <v>Algorithms</v>
      </c>
      <c r="H312" s="13" t="str">
        <f>SUBSTITUTE(Github!L$510, ";", ", ")</f>
        <v>Math, Dynamic Programming, Recursion, Memoization, </v>
      </c>
      <c r="I312" s="10" t="str">
        <f>Github!E$510</f>
        <v>Easy</v>
      </c>
      <c r="J312" s="10" t="str">
        <f>IF(TRIM(Github!D$510)="TRUE","FALSE","TRUE")</f>
        <v>TRUE</v>
      </c>
      <c r="K312" s="10" t="b">
        <f>Github!M$510</f>
        <v>1</v>
      </c>
      <c r="L312" s="10" t="b">
        <f>Github!N$510</f>
        <v>0</v>
      </c>
      <c r="M312" s="10" t="str">
        <f>ROUND(Github!O$510, 2)&amp;"%"</f>
        <v>68.09%</v>
      </c>
      <c r="N312" s="10">
        <f>Github!P$510</f>
        <v>689399</v>
      </c>
      <c r="O312" s="10">
        <f>Github!Q$510</f>
        <v>1012518</v>
      </c>
    </row>
    <row r="313">
      <c r="A313" s="10">
        <f>Github!J$369</f>
        <v>368</v>
      </c>
      <c r="B313" s="11" t="str">
        <f>HYPERLINK(CONCAT("http://leetcode.com/problems/",Github!C$369), Github!B$369)</f>
        <v>Largest Divisible Subset</v>
      </c>
      <c r="C313" s="10">
        <f>Github!F$369</f>
        <v>3045</v>
      </c>
      <c r="D313" s="10">
        <f>Github!G$369</f>
        <v>141</v>
      </c>
      <c r="E313" s="10">
        <f>Github!F$369+Github!G$369</f>
        <v>3186</v>
      </c>
      <c r="F313" s="12">
        <f t="shared" si="1"/>
        <v>21.6</v>
      </c>
      <c r="G313" s="10" t="str">
        <f>Github!H$369</f>
        <v>Algorithms</v>
      </c>
      <c r="H313" s="13" t="str">
        <f>SUBSTITUTE(Github!L$369, ";", ", ")</f>
        <v>Array, Math, Dynamic Programming, Sorting, </v>
      </c>
      <c r="I313" s="10" t="str">
        <f>Github!E$369</f>
        <v>Medium</v>
      </c>
      <c r="J313" s="10" t="str">
        <f>IF(TRIM(Github!D$369)="TRUE","FALSE","TRUE")</f>
        <v>TRUE</v>
      </c>
      <c r="K313" s="10" t="b">
        <f>Github!M$369</f>
        <v>1</v>
      </c>
      <c r="L313" s="10" t="b">
        <f>Github!N$369</f>
        <v>0</v>
      </c>
      <c r="M313" s="10" t="str">
        <f>ROUND(Github!O$369, 2)&amp;"%"</f>
        <v>40.42%</v>
      </c>
      <c r="N313" s="10">
        <f>Github!P$369</f>
        <v>146937</v>
      </c>
      <c r="O313" s="10">
        <f>Github!Q$369</f>
        <v>363513</v>
      </c>
    </row>
    <row r="314">
      <c r="A314" s="10">
        <f>Github!J$857</f>
        <v>856</v>
      </c>
      <c r="B314" s="11" t="str">
        <f>HYPERLINK(CONCAT("http://leetcode.com/problems/",Github!C$857), Github!B$857)</f>
        <v>Score of Parentheses</v>
      </c>
      <c r="C314" s="10">
        <f>Github!F$857</f>
        <v>3046</v>
      </c>
      <c r="D314" s="10">
        <f>Github!G$857</f>
        <v>88</v>
      </c>
      <c r="E314" s="10">
        <f>Github!F$857+Github!G$857</f>
        <v>3134</v>
      </c>
      <c r="F314" s="12">
        <f t="shared" si="1"/>
        <v>34.61</v>
      </c>
      <c r="G314" s="10" t="str">
        <f>Github!H$857</f>
        <v>Algorithms</v>
      </c>
      <c r="H314" s="13" t="str">
        <f>SUBSTITUTE(Github!L$857, ";", ", ")</f>
        <v>String, Stack, </v>
      </c>
      <c r="I314" s="10" t="str">
        <f>Github!E$857</f>
        <v>Medium</v>
      </c>
      <c r="J314" s="10" t="str">
        <f>IF(TRIM(Github!D$857)="TRUE","FALSE","TRUE")</f>
        <v>TRUE</v>
      </c>
      <c r="K314" s="10" t="b">
        <f>Github!M$857</f>
        <v>1</v>
      </c>
      <c r="L314" s="10" t="b">
        <f>Github!N$857</f>
        <v>0</v>
      </c>
      <c r="M314" s="10" t="str">
        <f>ROUND(Github!O$857, 2)&amp;"%"</f>
        <v>65.39%</v>
      </c>
      <c r="N314" s="10">
        <f>Github!P$857</f>
        <v>95175</v>
      </c>
      <c r="O314" s="10">
        <f>Github!Q$857</f>
        <v>145546</v>
      </c>
    </row>
    <row r="315">
      <c r="A315" s="10">
        <f>Github!J$233</f>
        <v>232</v>
      </c>
      <c r="B315" s="11" t="str">
        <f>HYPERLINK(CONCAT("http://leetcode.com/problems/",Github!C$233), Github!B$233)</f>
        <v>Implement Queue using Stacks</v>
      </c>
      <c r="C315" s="10">
        <f>Github!F$233</f>
        <v>3031</v>
      </c>
      <c r="D315" s="10">
        <f>Github!G$233</f>
        <v>211</v>
      </c>
      <c r="E315" s="10">
        <f>Github!F$233+Github!G$233</f>
        <v>3242</v>
      </c>
      <c r="F315" s="12">
        <f t="shared" si="1"/>
        <v>14.36</v>
      </c>
      <c r="G315" s="10" t="str">
        <f>Github!H$233</f>
        <v>Algorithms</v>
      </c>
      <c r="H315" s="13" t="str">
        <f>SUBSTITUTE(Github!L$233, ";", ", ")</f>
        <v>Stack, Design, Queue, </v>
      </c>
      <c r="I315" s="10" t="str">
        <f>Github!E$233</f>
        <v>Easy</v>
      </c>
      <c r="J315" s="10" t="str">
        <f>IF(TRIM(Github!D$233)="TRUE","FALSE","TRUE")</f>
        <v>TRUE</v>
      </c>
      <c r="K315" s="10" t="b">
        <f>Github!M$233</f>
        <v>1</v>
      </c>
      <c r="L315" s="10" t="b">
        <f>Github!N$233</f>
        <v>0</v>
      </c>
      <c r="M315" s="10" t="str">
        <f>ROUND(Github!O$233, 2)&amp;"%"</f>
        <v>57.33%</v>
      </c>
      <c r="N315" s="10">
        <f>Github!P$233</f>
        <v>378966</v>
      </c>
      <c r="O315" s="10">
        <f>Github!Q$233</f>
        <v>661042</v>
      </c>
    </row>
    <row r="316">
      <c r="A316" s="10">
        <f>Github!J$653</f>
        <v>652</v>
      </c>
      <c r="B316" s="11" t="str">
        <f>HYPERLINK(CONCAT("http://leetcode.com/problems/",Github!C$653), Github!B$653)</f>
        <v>Find Duplicate Subtrees</v>
      </c>
      <c r="C316" s="10">
        <f>Github!F$653</f>
        <v>3033</v>
      </c>
      <c r="D316" s="10">
        <f>Github!G$653</f>
        <v>291</v>
      </c>
      <c r="E316" s="10">
        <f>Github!F$653+Github!G$653</f>
        <v>3324</v>
      </c>
      <c r="F316" s="12">
        <f t="shared" si="1"/>
        <v>10.42</v>
      </c>
      <c r="G316" s="10" t="str">
        <f>Github!H$653</f>
        <v>Algorithms</v>
      </c>
      <c r="H316" s="13" t="str">
        <f>SUBSTITUTE(Github!L$653, ";", ", ")</f>
        <v>Hash Table, Tree, Depth-First Search, Binary Tree, </v>
      </c>
      <c r="I316" s="10" t="str">
        <f>Github!E$653</f>
        <v>Medium</v>
      </c>
      <c r="J316" s="10" t="str">
        <f>IF(TRIM(Github!D$653)="TRUE","FALSE","TRUE")</f>
        <v>TRUE</v>
      </c>
      <c r="K316" s="10" t="b">
        <f>Github!M$653</f>
        <v>0</v>
      </c>
      <c r="L316" s="10" t="b">
        <f>Github!N$653</f>
        <v>0</v>
      </c>
      <c r="M316" s="10" t="str">
        <f>ROUND(Github!O$653, 2)&amp;"%"</f>
        <v>55.51%</v>
      </c>
      <c r="N316" s="10">
        <f>Github!P$653</f>
        <v>140000</v>
      </c>
      <c r="O316" s="10">
        <f>Github!Q$653</f>
        <v>252187</v>
      </c>
    </row>
    <row r="317">
      <c r="A317" s="10">
        <f>Github!J$108</f>
        <v>107</v>
      </c>
      <c r="B317" s="11" t="str">
        <f>HYPERLINK(CONCAT("http://leetcode.com/problems/",Github!C$108), Github!B$108)</f>
        <v>Binary Tree Level Order Traversal II</v>
      </c>
      <c r="C317" s="10">
        <f>Github!F$108</f>
        <v>3016</v>
      </c>
      <c r="D317" s="10">
        <f>Github!G$108</f>
        <v>274</v>
      </c>
      <c r="E317" s="10">
        <f>Github!F$108+Github!G$108</f>
        <v>3290</v>
      </c>
      <c r="F317" s="12">
        <f t="shared" si="1"/>
        <v>11.01</v>
      </c>
      <c r="G317" s="10" t="str">
        <f>Github!H$108</f>
        <v>Algorithms</v>
      </c>
      <c r="H317" s="13" t="str">
        <f>SUBSTITUTE(Github!L$108, ";", ", ")</f>
        <v>Tree, Breadth-First Search, Binary Tree, </v>
      </c>
      <c r="I317" s="10" t="str">
        <f>Github!E$108</f>
        <v>Medium</v>
      </c>
      <c r="J317" s="10" t="str">
        <f>IF(TRIM(Github!D$108)="TRUE","FALSE","TRUE")</f>
        <v>TRUE</v>
      </c>
      <c r="K317" s="10" t="b">
        <f>Github!M$108</f>
        <v>1</v>
      </c>
      <c r="L317" s="10" t="b">
        <f>Github!N$108</f>
        <v>0</v>
      </c>
      <c r="M317" s="10" t="str">
        <f>ROUND(Github!O$108, 2)&amp;"%"</f>
        <v>58.27%</v>
      </c>
      <c r="N317" s="10">
        <f>Github!P$108</f>
        <v>484744</v>
      </c>
      <c r="O317" s="10">
        <f>Github!Q$108</f>
        <v>831961</v>
      </c>
    </row>
    <row r="318">
      <c r="A318" s="10">
        <f>Github!J$416</f>
        <v>415</v>
      </c>
      <c r="B318" s="11" t="str">
        <f>HYPERLINK(CONCAT("http://leetcode.com/problems/",Github!C$416), Github!B$416)</f>
        <v>Add Strings</v>
      </c>
      <c r="C318" s="10">
        <f>Github!F$416</f>
        <v>3015</v>
      </c>
      <c r="D318" s="10">
        <f>Github!G$416</f>
        <v>532</v>
      </c>
      <c r="E318" s="10">
        <f>Github!F$416+Github!G$416</f>
        <v>3547</v>
      </c>
      <c r="F318" s="12">
        <f t="shared" si="1"/>
        <v>5.67</v>
      </c>
      <c r="G318" s="10" t="str">
        <f>Github!H$416</f>
        <v>Algorithms</v>
      </c>
      <c r="H318" s="13" t="str">
        <f>SUBSTITUTE(Github!L$416, ";", ", ")</f>
        <v>Math, String, Simulation, </v>
      </c>
      <c r="I318" s="10" t="str">
        <f>Github!E$416</f>
        <v>Easy</v>
      </c>
      <c r="J318" s="10" t="str">
        <f>IF(TRIM(Github!D$416)="TRUE","FALSE","TRUE")</f>
        <v>TRUE</v>
      </c>
      <c r="K318" s="10" t="b">
        <f>Github!M$416</f>
        <v>1</v>
      </c>
      <c r="L318" s="10" t="b">
        <f>Github!N$416</f>
        <v>0</v>
      </c>
      <c r="M318" s="10" t="str">
        <f>ROUND(Github!O$416, 2)&amp;"%"</f>
        <v>51.86%</v>
      </c>
      <c r="N318" s="10">
        <f>Github!P$416</f>
        <v>448161</v>
      </c>
      <c r="O318" s="10">
        <f>Github!Q$416</f>
        <v>864225</v>
      </c>
    </row>
    <row r="319">
      <c r="A319" s="10">
        <f>Github!J$1011</f>
        <v>1010</v>
      </c>
      <c r="B319" s="11" t="str">
        <f>HYPERLINK(CONCAT("http://leetcode.com/problems/",Github!C$1011), Github!B$1011)</f>
        <v>Pairs of Songs With Total Durations Divisible by 60</v>
      </c>
      <c r="C319" s="10">
        <f>Github!F$1011</f>
        <v>3011</v>
      </c>
      <c r="D319" s="10">
        <f>Github!G$1011</f>
        <v>116</v>
      </c>
      <c r="E319" s="10">
        <f>Github!F$1011+Github!G$1011</f>
        <v>3127</v>
      </c>
      <c r="F319" s="12">
        <f t="shared" si="1"/>
        <v>25.96</v>
      </c>
      <c r="G319" s="10" t="str">
        <f>Github!H$1011</f>
        <v>Algorithms</v>
      </c>
      <c r="H319" s="13" t="str">
        <f>SUBSTITUTE(Github!L$1011, ";", ", ")</f>
        <v>Array, Hash Table, Counting, </v>
      </c>
      <c r="I319" s="10" t="str">
        <f>Github!E$1011</f>
        <v>Medium</v>
      </c>
      <c r="J319" s="10" t="str">
        <f>IF(TRIM(Github!D$1011)="TRUE","FALSE","TRUE")</f>
        <v>TRUE</v>
      </c>
      <c r="K319" s="10" t="b">
        <f>Github!M$1011</f>
        <v>1</v>
      </c>
      <c r="L319" s="10" t="b">
        <f>Github!N$1011</f>
        <v>0</v>
      </c>
      <c r="M319" s="10" t="str">
        <f>ROUND(Github!O$1011, 2)&amp;"%"</f>
        <v>53.77%</v>
      </c>
      <c r="N319" s="10">
        <f>Github!P$1011</f>
        <v>184020</v>
      </c>
      <c r="O319" s="10">
        <f>Github!Q$1011</f>
        <v>342224</v>
      </c>
    </row>
    <row r="320">
      <c r="A320" s="10">
        <f>Github!J$1236</f>
        <v>1235</v>
      </c>
      <c r="B320" s="11" t="str">
        <f>HYPERLINK(CONCAT("http://leetcode.com/problems/",Github!C$1236), Github!B$1236)</f>
        <v>Maximum Profit in Job Scheduling</v>
      </c>
      <c r="C320" s="10">
        <f>Github!F$1236</f>
        <v>3007</v>
      </c>
      <c r="D320" s="10">
        <f>Github!G$1236</f>
        <v>32</v>
      </c>
      <c r="E320" s="10">
        <f>Github!F$1236+Github!G$1236</f>
        <v>3039</v>
      </c>
      <c r="F320" s="12">
        <f t="shared" si="1"/>
        <v>93.97</v>
      </c>
      <c r="G320" s="10" t="str">
        <f>Github!H$1236</f>
        <v>Algorithms</v>
      </c>
      <c r="H320" s="13" t="str">
        <f>SUBSTITUTE(Github!L$1236, ";", ", ")</f>
        <v>Array, Binary Search, Dynamic Programming, Sorting, </v>
      </c>
      <c r="I320" s="10" t="str">
        <f>Github!E$1236</f>
        <v>Hard</v>
      </c>
      <c r="J320" s="10" t="str">
        <f>IF(TRIM(Github!D$1236)="TRUE","FALSE","TRUE")</f>
        <v>TRUE</v>
      </c>
      <c r="K320" s="10" t="b">
        <f>Github!M$1236</f>
        <v>1</v>
      </c>
      <c r="L320" s="10" t="b">
        <f>Github!N$1236</f>
        <v>0</v>
      </c>
      <c r="M320" s="10" t="str">
        <f>ROUND(Github!O$1236, 2)&amp;"%"</f>
        <v>50.84%</v>
      </c>
      <c r="N320" s="10">
        <f>Github!P$1236</f>
        <v>105570</v>
      </c>
      <c r="O320" s="10">
        <f>Github!Q$1236</f>
        <v>207645</v>
      </c>
    </row>
    <row r="321">
      <c r="A321" s="10">
        <f>Github!J$461</f>
        <v>460</v>
      </c>
      <c r="B321" s="11" t="str">
        <f>HYPERLINK(CONCAT("http://leetcode.com/problems/",Github!C$461), Github!B$461)</f>
        <v>LFU Cache</v>
      </c>
      <c r="C321" s="10">
        <f>Github!F$461</f>
        <v>3009</v>
      </c>
      <c r="D321" s="10">
        <f>Github!G$461</f>
        <v>200</v>
      </c>
      <c r="E321" s="10">
        <f>Github!F$461+Github!G$461</f>
        <v>3209</v>
      </c>
      <c r="F321" s="12">
        <f t="shared" si="1"/>
        <v>15.05</v>
      </c>
      <c r="G321" s="10" t="str">
        <f>Github!H$461</f>
        <v>Algorithms</v>
      </c>
      <c r="H321" s="13" t="str">
        <f>SUBSTITUTE(Github!L$461, ";", ", ")</f>
        <v>Hash Table, Linked List, Design, Doubly-Linked List, </v>
      </c>
      <c r="I321" s="10" t="str">
        <f>Github!E$461</f>
        <v>Hard</v>
      </c>
      <c r="J321" s="10" t="str">
        <f>IF(TRIM(Github!D$461)="TRUE","FALSE","TRUE")</f>
        <v>TRUE</v>
      </c>
      <c r="K321" s="10" t="b">
        <f>Github!M$461</f>
        <v>0</v>
      </c>
      <c r="L321" s="10" t="b">
        <f>Github!N$461</f>
        <v>0</v>
      </c>
      <c r="M321" s="10" t="str">
        <f>ROUND(Github!O$461, 2)&amp;"%"</f>
        <v>39.11%</v>
      </c>
      <c r="N321" s="10">
        <f>Github!P$461</f>
        <v>145570</v>
      </c>
      <c r="O321" s="10">
        <f>Github!Q$461</f>
        <v>372240</v>
      </c>
    </row>
    <row r="322">
      <c r="A322" s="10">
        <f>Github!J$342</f>
        <v>341</v>
      </c>
      <c r="B322" s="11" t="str">
        <f>HYPERLINK(CONCAT("http://leetcode.com/problems/",Github!C$342), Github!B$342)</f>
        <v>Flatten Nested List Iterator</v>
      </c>
      <c r="C322" s="10">
        <f>Github!F$342</f>
        <v>2984</v>
      </c>
      <c r="D322" s="10">
        <f>Github!G$342</f>
        <v>1039</v>
      </c>
      <c r="E322" s="10">
        <f>Github!F$342+Github!G$342</f>
        <v>4023</v>
      </c>
      <c r="F322" s="12">
        <f t="shared" si="1"/>
        <v>2.87</v>
      </c>
      <c r="G322" s="10" t="str">
        <f>Github!H$342</f>
        <v>Algorithms</v>
      </c>
      <c r="H322" s="13" t="str">
        <f>SUBSTITUTE(Github!L$342, ";", ", ")</f>
        <v>Stack, Tree, Depth-First Search, Design, Queue, Iterator, </v>
      </c>
      <c r="I322" s="10" t="str">
        <f>Github!E$342</f>
        <v>Medium</v>
      </c>
      <c r="J322" s="10" t="str">
        <f>IF(TRIM(Github!D$342)="TRUE","FALSE","TRUE")</f>
        <v>TRUE</v>
      </c>
      <c r="K322" s="10" t="b">
        <f>Github!M$342</f>
        <v>1</v>
      </c>
      <c r="L322" s="10" t="b">
        <f>Github!N$342</f>
        <v>0</v>
      </c>
      <c r="M322" s="10" t="str">
        <f>ROUND(Github!O$342, 2)&amp;"%"</f>
        <v>58.36%</v>
      </c>
      <c r="N322" s="10">
        <f>Github!P$342</f>
        <v>277761</v>
      </c>
      <c r="O322" s="10">
        <f>Github!Q$342</f>
        <v>475984</v>
      </c>
    </row>
    <row r="323">
      <c r="A323" s="10">
        <f>Github!J$462</f>
        <v>461</v>
      </c>
      <c r="B323" s="11" t="str">
        <f>HYPERLINK(CONCAT("http://leetcode.com/problems/",Github!C$462), Github!B$462)</f>
        <v>Hamming Distance</v>
      </c>
      <c r="C323" s="10">
        <f>Github!F$462</f>
        <v>2972</v>
      </c>
      <c r="D323" s="10">
        <f>Github!G$462</f>
        <v>197</v>
      </c>
      <c r="E323" s="10">
        <f>Github!F$462+Github!G$462</f>
        <v>3169</v>
      </c>
      <c r="F323" s="12">
        <f t="shared" si="1"/>
        <v>15.09</v>
      </c>
      <c r="G323" s="10" t="str">
        <f>Github!H$462</f>
        <v>Algorithms</v>
      </c>
      <c r="H323" s="13" t="str">
        <f>SUBSTITUTE(Github!L$462, ";", ", ")</f>
        <v>Bit Manipulation, </v>
      </c>
      <c r="I323" s="10" t="str">
        <f>Github!E$462</f>
        <v>Easy</v>
      </c>
      <c r="J323" s="10" t="str">
        <f>IF(TRIM(Github!D$462)="TRUE","FALSE","TRUE")</f>
        <v>TRUE</v>
      </c>
      <c r="K323" s="10" t="b">
        <f>Github!M$462</f>
        <v>1</v>
      </c>
      <c r="L323" s="10" t="b">
        <f>Github!N$462</f>
        <v>0</v>
      </c>
      <c r="M323" s="10" t="str">
        <f>ROUND(Github!O$462, 2)&amp;"%"</f>
        <v>74.43%</v>
      </c>
      <c r="N323" s="10">
        <f>Github!P$462</f>
        <v>464904</v>
      </c>
      <c r="O323" s="10">
        <f>Github!Q$462</f>
        <v>624583</v>
      </c>
    </row>
    <row r="324">
      <c r="A324" s="10">
        <f>Github!J$688</f>
        <v>687</v>
      </c>
      <c r="B324" s="11" t="str">
        <f>HYPERLINK(CONCAT("http://leetcode.com/problems/",Github!C$688), Github!B$688)</f>
        <v>Longest Univalue Path</v>
      </c>
      <c r="C324" s="10">
        <f>Github!F$688</f>
        <v>2966</v>
      </c>
      <c r="D324" s="10">
        <f>Github!G$688</f>
        <v>604</v>
      </c>
      <c r="E324" s="10">
        <f>Github!F$688+Github!G$688</f>
        <v>3570</v>
      </c>
      <c r="F324" s="12">
        <f t="shared" si="1"/>
        <v>4.91</v>
      </c>
      <c r="G324" s="10" t="str">
        <f>Github!H$688</f>
        <v>Algorithms</v>
      </c>
      <c r="H324" s="13" t="str">
        <f>SUBSTITUTE(Github!L$688, ";", ", ")</f>
        <v>Tree, Depth-First Search, Binary Tree, </v>
      </c>
      <c r="I324" s="10" t="str">
        <f>Github!E$688</f>
        <v>Medium</v>
      </c>
      <c r="J324" s="10" t="str">
        <f>IF(TRIM(Github!D$688)="TRUE","FALSE","TRUE")</f>
        <v>TRUE</v>
      </c>
      <c r="K324" s="10" t="b">
        <f>Github!M$688</f>
        <v>1</v>
      </c>
      <c r="L324" s="10" t="b">
        <f>Github!N$688</f>
        <v>0</v>
      </c>
      <c r="M324" s="10" t="str">
        <f>ROUND(Github!O$688, 2)&amp;"%"</f>
        <v>39.19%</v>
      </c>
      <c r="N324" s="10">
        <f>Github!P$688</f>
        <v>137503</v>
      </c>
      <c r="O324" s="10">
        <f>Github!Q$688</f>
        <v>350861</v>
      </c>
    </row>
    <row r="325">
      <c r="A325" s="10">
        <f>Github!J$232</f>
        <v>231</v>
      </c>
      <c r="B325" s="11" t="str">
        <f>HYPERLINK(CONCAT("http://leetcode.com/problems/",Github!C$232), Github!B$232)</f>
        <v>Power of Two</v>
      </c>
      <c r="C325" s="10">
        <f>Github!F$232</f>
        <v>2950</v>
      </c>
      <c r="D325" s="10">
        <f>Github!G$232</f>
        <v>281</v>
      </c>
      <c r="E325" s="10">
        <f>Github!F$232+Github!G$232</f>
        <v>3231</v>
      </c>
      <c r="F325" s="12">
        <f t="shared" si="1"/>
        <v>10.5</v>
      </c>
      <c r="G325" s="10" t="str">
        <f>Github!H$232</f>
        <v>Algorithms</v>
      </c>
      <c r="H325" s="13" t="str">
        <f>SUBSTITUTE(Github!L$232, ";", ", ")</f>
        <v>Math, Bit Manipulation, Recursion, </v>
      </c>
      <c r="I325" s="10" t="str">
        <f>Github!E$232</f>
        <v>Easy</v>
      </c>
      <c r="J325" s="10" t="str">
        <f>IF(TRIM(Github!D$232)="TRUE","FALSE","TRUE")</f>
        <v>TRUE</v>
      </c>
      <c r="K325" s="10" t="b">
        <f>Github!M$232</f>
        <v>1</v>
      </c>
      <c r="L325" s="10" t="b">
        <f>Github!N$232</f>
        <v>0</v>
      </c>
      <c r="M325" s="10" t="str">
        <f>ROUND(Github!O$232, 2)&amp;"%"</f>
        <v>44.86%</v>
      </c>
      <c r="N325" s="10">
        <f>Github!P$232</f>
        <v>588290</v>
      </c>
      <c r="O325" s="10">
        <f>Github!Q$232</f>
        <v>1311328</v>
      </c>
    </row>
    <row r="326">
      <c r="A326" s="10">
        <f>Github!J$1131</f>
        <v>1130</v>
      </c>
      <c r="B326" s="11" t="str">
        <f>HYPERLINK(CONCAT("http://leetcode.com/problems/",Github!C$1131), Github!B$1131)</f>
        <v>Minimum Cost Tree From Leaf Values</v>
      </c>
      <c r="C326" s="10">
        <f>Github!F$1131</f>
        <v>2940</v>
      </c>
      <c r="D326" s="10">
        <f>Github!G$1131</f>
        <v>207</v>
      </c>
      <c r="E326" s="10">
        <f>Github!F$1131+Github!G$1131</f>
        <v>3147</v>
      </c>
      <c r="F326" s="12">
        <f t="shared" si="1"/>
        <v>14.2</v>
      </c>
      <c r="G326" s="10" t="str">
        <f>Github!H$1131</f>
        <v>Algorithms</v>
      </c>
      <c r="H326" s="13" t="str">
        <f>SUBSTITUTE(Github!L$1131, ";", ", ")</f>
        <v>Dynamic Programming, Stack, Greedy, Monotonic Stack, </v>
      </c>
      <c r="I326" s="10" t="str">
        <f>Github!E$1131</f>
        <v>Medium</v>
      </c>
      <c r="J326" s="10" t="str">
        <f>IF(TRIM(Github!D$1131)="TRUE","FALSE","TRUE")</f>
        <v>TRUE</v>
      </c>
      <c r="K326" s="10" t="b">
        <f>Github!M$1131</f>
        <v>0</v>
      </c>
      <c r="L326" s="10" t="b">
        <f>Github!N$1131</f>
        <v>0</v>
      </c>
      <c r="M326" s="10" t="str">
        <f>ROUND(Github!O$1131, 2)&amp;"%"</f>
        <v>68.39%</v>
      </c>
      <c r="N326" s="10">
        <f>Github!P$1131</f>
        <v>69104</v>
      </c>
      <c r="O326" s="10">
        <f>Github!Q$1131</f>
        <v>101048</v>
      </c>
    </row>
    <row r="327">
      <c r="A327" s="10">
        <f>Github!J$1048</f>
        <v>1047</v>
      </c>
      <c r="B327" s="11" t="str">
        <f>HYPERLINK(CONCAT("http://leetcode.com/problems/",Github!C$1048), Github!B$1048)</f>
        <v>Remove All Adjacent Duplicates In String</v>
      </c>
      <c r="C327" s="10">
        <f>Github!F$1048</f>
        <v>2938</v>
      </c>
      <c r="D327" s="10">
        <f>Github!G$1048</f>
        <v>148</v>
      </c>
      <c r="E327" s="10">
        <f>Github!F$1048+Github!G$1048</f>
        <v>3086</v>
      </c>
      <c r="F327" s="12">
        <f t="shared" si="1"/>
        <v>19.85</v>
      </c>
      <c r="G327" s="10" t="str">
        <f>Github!H$1048</f>
        <v>Algorithms</v>
      </c>
      <c r="H327" s="13" t="str">
        <f>SUBSTITUTE(Github!L$1048, ";", ", ")</f>
        <v>String, Stack, </v>
      </c>
      <c r="I327" s="10" t="str">
        <f>Github!E$1048</f>
        <v>Easy</v>
      </c>
      <c r="J327" s="10" t="str">
        <f>IF(TRIM(Github!D$1048)="TRUE","FALSE","TRUE")</f>
        <v>TRUE</v>
      </c>
      <c r="K327" s="10" t="b">
        <f>Github!M$1048</f>
        <v>1</v>
      </c>
      <c r="L327" s="10" t="b">
        <f>Github!N$1048</f>
        <v>0</v>
      </c>
      <c r="M327" s="10" t="str">
        <f>ROUND(Github!O$1048, 2)&amp;"%"</f>
        <v>71.01%</v>
      </c>
      <c r="N327" s="10">
        <f>Github!P$1048</f>
        <v>263663</v>
      </c>
      <c r="O327" s="10">
        <f>Github!Q$1048</f>
        <v>371323</v>
      </c>
    </row>
    <row r="328">
      <c r="A328" s="10">
        <f>Github!J$1095</f>
        <v>1094</v>
      </c>
      <c r="B328" s="11" t="str">
        <f>HYPERLINK(CONCAT("http://leetcode.com/problems/",Github!C$1095), Github!B$1095)</f>
        <v>Car Pooling</v>
      </c>
      <c r="C328" s="10">
        <f>Github!F$1095</f>
        <v>2936</v>
      </c>
      <c r="D328" s="10">
        <f>Github!G$1095</f>
        <v>64</v>
      </c>
      <c r="E328" s="10">
        <f>Github!F$1095+Github!G$1095</f>
        <v>3000</v>
      </c>
      <c r="F328" s="12">
        <f t="shared" si="1"/>
        <v>45.88</v>
      </c>
      <c r="G328" s="10" t="str">
        <f>Github!H$1095</f>
        <v>Algorithms</v>
      </c>
      <c r="H328" s="13" t="str">
        <f>SUBSTITUTE(Github!L$1095, ";", ", ")</f>
        <v>Array, Sorting, Heap (Priority Queue), Simulation, Prefix Sum, </v>
      </c>
      <c r="I328" s="10" t="str">
        <f>Github!E$1095</f>
        <v>Medium</v>
      </c>
      <c r="J328" s="10" t="str">
        <f>IF(TRIM(Github!D$1095)="TRUE","FALSE","TRUE")</f>
        <v>TRUE</v>
      </c>
      <c r="K328" s="10" t="b">
        <f>Github!M$1095</f>
        <v>1</v>
      </c>
      <c r="L328" s="10" t="b">
        <f>Github!N$1095</f>
        <v>0</v>
      </c>
      <c r="M328" s="10" t="str">
        <f>ROUND(Github!O$1095, 2)&amp;"%"</f>
        <v>58.42%</v>
      </c>
      <c r="N328" s="10">
        <f>Github!P$1095</f>
        <v>143932</v>
      </c>
      <c r="O328" s="10">
        <f>Github!Q$1095</f>
        <v>246371</v>
      </c>
    </row>
    <row r="329">
      <c r="A329" s="10">
        <f>Github!J$725</f>
        <v>724</v>
      </c>
      <c r="B329" s="11" t="str">
        <f>HYPERLINK(CONCAT("http://leetcode.com/problems/",Github!C$725), Github!B$725)</f>
        <v>Find Pivot Index</v>
      </c>
      <c r="C329" s="10">
        <f>Github!F$725</f>
        <v>2924</v>
      </c>
      <c r="D329" s="10">
        <f>Github!G$725</f>
        <v>361</v>
      </c>
      <c r="E329" s="10">
        <f>Github!F$725+Github!G$725</f>
        <v>3285</v>
      </c>
      <c r="F329" s="12">
        <f t="shared" si="1"/>
        <v>8.1</v>
      </c>
      <c r="G329" s="10" t="str">
        <f>Github!H$725</f>
        <v>Algorithms</v>
      </c>
      <c r="H329" s="13" t="str">
        <f>SUBSTITUTE(Github!L$725, ";", ", ")</f>
        <v>Array, Prefix Sum, </v>
      </c>
      <c r="I329" s="10" t="str">
        <f>Github!E$725</f>
        <v>Easy</v>
      </c>
      <c r="J329" s="10" t="str">
        <f>IF(TRIM(Github!D$725)="TRUE","FALSE","TRUE")</f>
        <v>TRUE</v>
      </c>
      <c r="K329" s="10" t="b">
        <f>Github!M$725</f>
        <v>1</v>
      </c>
      <c r="L329" s="10" t="b">
        <f>Github!N$725</f>
        <v>0</v>
      </c>
      <c r="M329" s="10" t="str">
        <f>ROUND(Github!O$725, 2)&amp;"%"</f>
        <v>51.05%</v>
      </c>
      <c r="N329" s="10">
        <f>Github!P$725</f>
        <v>288716</v>
      </c>
      <c r="O329" s="10">
        <f>Github!Q$725</f>
        <v>565515</v>
      </c>
    </row>
    <row r="330">
      <c r="A330" s="10">
        <f>Github!J$1366</f>
        <v>1365</v>
      </c>
      <c r="B330" s="11" t="str">
        <f>HYPERLINK(CONCAT("http://leetcode.com/problems/",Github!C$1366), Github!B$1366)</f>
        <v>How Many Numbers Are Smaller Than the Current Number</v>
      </c>
      <c r="C330" s="10">
        <f>Github!F$1366</f>
        <v>2902</v>
      </c>
      <c r="D330" s="10">
        <f>Github!G$1366</f>
        <v>60</v>
      </c>
      <c r="E330" s="10">
        <f>Github!F$1366+Github!G$1366</f>
        <v>2962</v>
      </c>
      <c r="F330" s="12">
        <f t="shared" si="1"/>
        <v>48.37</v>
      </c>
      <c r="G330" s="10" t="str">
        <f>Github!H$1366</f>
        <v>Algorithms</v>
      </c>
      <c r="H330" s="13" t="str">
        <f>SUBSTITUTE(Github!L$1366, ";", ", ")</f>
        <v>Array, Hash Table, Sorting, Counting, </v>
      </c>
      <c r="I330" s="10" t="str">
        <f>Github!E$1366</f>
        <v>Easy</v>
      </c>
      <c r="J330" s="10" t="str">
        <f>IF(TRIM(Github!D$1366)="TRUE","FALSE","TRUE")</f>
        <v>TRUE</v>
      </c>
      <c r="K330" s="10" t="b">
        <f>Github!M$1366</f>
        <v>0</v>
      </c>
      <c r="L330" s="10" t="b">
        <f>Github!N$1366</f>
        <v>0</v>
      </c>
      <c r="M330" s="10" t="str">
        <f>ROUND(Github!O$1366, 2)&amp;"%"</f>
        <v>86.25%</v>
      </c>
      <c r="N330" s="10">
        <f>Github!P$1366</f>
        <v>290706</v>
      </c>
      <c r="O330" s="10">
        <f>Github!Q$1366</f>
        <v>337046</v>
      </c>
    </row>
    <row r="331">
      <c r="A331" s="10">
        <f>Github!J$988</f>
        <v>987</v>
      </c>
      <c r="B331" s="11" t="str">
        <f>HYPERLINK(CONCAT("http://leetcode.com/problems/",Github!C$988), Github!B$988)</f>
        <v>Vertical Order Traversal of a Binary Tree</v>
      </c>
      <c r="C331" s="10">
        <f>Github!F$988</f>
        <v>2894</v>
      </c>
      <c r="D331" s="10">
        <f>Github!G$988</f>
        <v>3194</v>
      </c>
      <c r="E331" s="10">
        <f>Github!F$988+Github!G$988</f>
        <v>6088</v>
      </c>
      <c r="F331" s="12">
        <f t="shared" si="1"/>
        <v>0.91</v>
      </c>
      <c r="G331" s="10" t="str">
        <f>Github!H$988</f>
        <v>Algorithms</v>
      </c>
      <c r="H331" s="13" t="str">
        <f>SUBSTITUTE(Github!L$988, ";", ", ")</f>
        <v>Hash Table, Tree, Depth-First Search, Breadth-First Search, Binary Tree, </v>
      </c>
      <c r="I331" s="10" t="str">
        <f>Github!E$988</f>
        <v>Hard</v>
      </c>
      <c r="J331" s="10" t="str">
        <f>IF(TRIM(Github!D$988)="TRUE","FALSE","TRUE")</f>
        <v>TRUE</v>
      </c>
      <c r="K331" s="10" t="b">
        <f>Github!M$988</f>
        <v>1</v>
      </c>
      <c r="L331" s="10" t="b">
        <f>Github!N$988</f>
        <v>1</v>
      </c>
      <c r="M331" s="10" t="str">
        <f>ROUND(Github!O$988, 2)&amp;"%"</f>
        <v>41.15%</v>
      </c>
      <c r="N331" s="10">
        <f>Github!P$988</f>
        <v>205073</v>
      </c>
      <c r="O331" s="10">
        <f>Github!Q$988</f>
        <v>498329</v>
      </c>
    </row>
    <row r="332">
      <c r="A332" s="10">
        <f>Github!J$355</f>
        <v>354</v>
      </c>
      <c r="B332" s="11" t="str">
        <f>HYPERLINK(CONCAT("http://leetcode.com/problems/",Github!C$355), Github!B$355)</f>
        <v>Russian Doll Envelopes</v>
      </c>
      <c r="C332" s="10">
        <f>Github!F$355</f>
        <v>2894</v>
      </c>
      <c r="D332" s="10">
        <f>Github!G$355</f>
        <v>72</v>
      </c>
      <c r="E332" s="10">
        <f>Github!F$355+Github!G$355</f>
        <v>2966</v>
      </c>
      <c r="F332" s="12">
        <f t="shared" si="1"/>
        <v>40.19</v>
      </c>
      <c r="G332" s="10" t="str">
        <f>Github!H$355</f>
        <v>Algorithms</v>
      </c>
      <c r="H332" s="13" t="str">
        <f>SUBSTITUTE(Github!L$355, ";", ", ")</f>
        <v>Array, Binary Search, Dynamic Programming, Sorting, </v>
      </c>
      <c r="I332" s="10" t="str">
        <f>Github!E$355</f>
        <v>Hard</v>
      </c>
      <c r="J332" s="10" t="str">
        <f>IF(TRIM(Github!D$355)="TRUE","FALSE","TRUE")</f>
        <v>TRUE</v>
      </c>
      <c r="K332" s="10" t="b">
        <f>Github!M$355</f>
        <v>1</v>
      </c>
      <c r="L332" s="10" t="b">
        <f>Github!N$355</f>
        <v>0</v>
      </c>
      <c r="M332" s="10" t="str">
        <f>ROUND(Github!O$355, 2)&amp;"%"</f>
        <v>39.22%</v>
      </c>
      <c r="N332" s="10">
        <f>Github!P$355</f>
        <v>132784</v>
      </c>
      <c r="O332" s="10">
        <f>Github!Q$355</f>
        <v>338601</v>
      </c>
    </row>
    <row r="333">
      <c r="A333" s="10">
        <f>Github!J$13</f>
        <v>12</v>
      </c>
      <c r="B333" s="11" t="str">
        <f>HYPERLINK(CONCAT("http://leetcode.com/problems/",Github!C$13), Github!B$13)</f>
        <v>Integer to Roman</v>
      </c>
      <c r="C333" s="10">
        <f>Github!F$13</f>
        <v>2887</v>
      </c>
      <c r="D333" s="10">
        <f>Github!G$13</f>
        <v>3866</v>
      </c>
      <c r="E333" s="10">
        <f>Github!F$13+Github!G$13</f>
        <v>6753</v>
      </c>
      <c r="F333" s="12">
        <f t="shared" si="1"/>
        <v>0.75</v>
      </c>
      <c r="G333" s="10" t="str">
        <f>Github!H$13</f>
        <v>Algorithms</v>
      </c>
      <c r="H333" s="13" t="str">
        <f>SUBSTITUTE(Github!L$13, ";", ", ")</f>
        <v>Hash Table, Math, String, </v>
      </c>
      <c r="I333" s="10" t="str">
        <f>Github!E$13</f>
        <v>Medium</v>
      </c>
      <c r="J333" s="10" t="str">
        <f>IF(TRIM(Github!D$13)="TRUE","FALSE","TRUE")</f>
        <v>TRUE</v>
      </c>
      <c r="K333" s="10" t="b">
        <f>Github!M$13</f>
        <v>1</v>
      </c>
      <c r="L333" s="10" t="b">
        <f>Github!N$13</f>
        <v>0</v>
      </c>
      <c r="M333" s="10" t="str">
        <f>ROUND(Github!O$13, 2)&amp;"%"</f>
        <v>59.15%</v>
      </c>
      <c r="N333" s="10">
        <f>Github!P$13</f>
        <v>649478</v>
      </c>
      <c r="O333" s="10">
        <f>Github!Q$13</f>
        <v>1098088</v>
      </c>
    </row>
    <row r="334">
      <c r="A334" s="10">
        <f>Github!J$374</f>
        <v>373</v>
      </c>
      <c r="B334" s="11" t="str">
        <f>HYPERLINK(CONCAT("http://leetcode.com/problems/",Github!C$374), Github!B$374)</f>
        <v>Find K Pairs with Smallest Sums</v>
      </c>
      <c r="C334" s="10">
        <f>Github!F$374</f>
        <v>2881</v>
      </c>
      <c r="D334" s="10">
        <f>Github!G$374</f>
        <v>176</v>
      </c>
      <c r="E334" s="10">
        <f>Github!F$374+Github!G$374</f>
        <v>3057</v>
      </c>
      <c r="F334" s="12">
        <f t="shared" si="1"/>
        <v>16.37</v>
      </c>
      <c r="G334" s="10" t="str">
        <f>Github!H$374</f>
        <v>Algorithms</v>
      </c>
      <c r="H334" s="13" t="str">
        <f>SUBSTITUTE(Github!L$374, ";", ", ")</f>
        <v>Array, Heap (Priority Queue), </v>
      </c>
      <c r="I334" s="10" t="str">
        <f>Github!E$374</f>
        <v>Medium</v>
      </c>
      <c r="J334" s="10" t="str">
        <f>IF(TRIM(Github!D$374)="TRUE","FALSE","TRUE")</f>
        <v>TRUE</v>
      </c>
      <c r="K334" s="10" t="b">
        <f>Github!M$374</f>
        <v>0</v>
      </c>
      <c r="L334" s="10" t="b">
        <f>Github!N$374</f>
        <v>0</v>
      </c>
      <c r="M334" s="10" t="str">
        <f>ROUND(Github!O$374, 2)&amp;"%"</f>
        <v>38.88%</v>
      </c>
      <c r="N334" s="10">
        <f>Github!P$374</f>
        <v>163277</v>
      </c>
      <c r="O334" s="10">
        <f>Github!Q$374</f>
        <v>419973</v>
      </c>
    </row>
    <row r="335">
      <c r="A335" s="10">
        <f>Github!J$152</f>
        <v>151</v>
      </c>
      <c r="B335" s="11" t="str">
        <f>HYPERLINK(CONCAT("http://leetcode.com/problems/",Github!C$152), Github!B$152)</f>
        <v>Reverse Words in a String</v>
      </c>
      <c r="C335" s="10">
        <f>Github!F$152</f>
        <v>2878</v>
      </c>
      <c r="D335" s="10">
        <f>Github!G$152</f>
        <v>3795</v>
      </c>
      <c r="E335" s="10">
        <f>Github!F$152+Github!G$152</f>
        <v>6673</v>
      </c>
      <c r="F335" s="12">
        <f t="shared" si="1"/>
        <v>0.76</v>
      </c>
      <c r="G335" s="10" t="str">
        <f>Github!H$152</f>
        <v>Algorithms</v>
      </c>
      <c r="H335" s="13" t="str">
        <f>SUBSTITUTE(Github!L$152, ";", ", ")</f>
        <v>Two Pointers, String, </v>
      </c>
      <c r="I335" s="10" t="str">
        <f>Github!E$152</f>
        <v>Medium</v>
      </c>
      <c r="J335" s="10" t="str">
        <f>IF(TRIM(Github!D$152)="TRUE","FALSE","TRUE")</f>
        <v>TRUE</v>
      </c>
      <c r="K335" s="10" t="b">
        <f>Github!M$152</f>
        <v>1</v>
      </c>
      <c r="L335" s="10" t="b">
        <f>Github!N$152</f>
        <v>0</v>
      </c>
      <c r="M335" s="10" t="str">
        <f>ROUND(Github!O$152, 2)&amp;"%"</f>
        <v>28.02%</v>
      </c>
      <c r="N335" s="10">
        <f>Github!P$152</f>
        <v>674203</v>
      </c>
      <c r="O335" s="10">
        <f>Github!Q$152</f>
        <v>2405940</v>
      </c>
    </row>
    <row r="336">
      <c r="A336" s="10">
        <f>Github!J$1042</f>
        <v>1041</v>
      </c>
      <c r="B336" s="11" t="str">
        <f>HYPERLINK(CONCAT("http://leetcode.com/problems/",Github!C$1042), Github!B$1042)</f>
        <v>Robot Bounded In Circle</v>
      </c>
      <c r="C336" s="10">
        <f>Github!F$1042</f>
        <v>2870</v>
      </c>
      <c r="D336" s="10">
        <f>Github!G$1042</f>
        <v>606</v>
      </c>
      <c r="E336" s="10">
        <f>Github!F$1042+Github!G$1042</f>
        <v>3476</v>
      </c>
      <c r="F336" s="12">
        <f t="shared" si="1"/>
        <v>4.74</v>
      </c>
      <c r="G336" s="10" t="str">
        <f>Github!H$1042</f>
        <v>Algorithms</v>
      </c>
      <c r="H336" s="13" t="str">
        <f>SUBSTITUTE(Github!L$1042, ";", ", ")</f>
        <v>Math, String, Simulation, </v>
      </c>
      <c r="I336" s="10" t="str">
        <f>Github!E$1042</f>
        <v>Medium</v>
      </c>
      <c r="J336" s="10" t="str">
        <f>IF(TRIM(Github!D$1042)="TRUE","FALSE","TRUE")</f>
        <v>TRUE</v>
      </c>
      <c r="K336" s="10" t="b">
        <f>Github!M$1042</f>
        <v>1</v>
      </c>
      <c r="L336" s="10" t="b">
        <f>Github!N$1042</f>
        <v>0</v>
      </c>
      <c r="M336" s="10" t="str">
        <f>ROUND(Github!O$1042, 2)&amp;"%"</f>
        <v>55.48%</v>
      </c>
      <c r="N336" s="10">
        <f>Github!P$1042</f>
        <v>178609</v>
      </c>
      <c r="O336" s="10">
        <f>Github!Q$1042</f>
        <v>321928</v>
      </c>
    </row>
    <row r="337">
      <c r="A337" s="10">
        <f>Github!J$919</f>
        <v>918</v>
      </c>
      <c r="B337" s="11" t="str">
        <f>HYPERLINK(CONCAT("http://leetcode.com/problems/",Github!C$919), Github!B$919)</f>
        <v>Maximum Sum Circular Subarray</v>
      </c>
      <c r="C337" s="10">
        <f>Github!F$919</f>
        <v>2874</v>
      </c>
      <c r="D337" s="10">
        <f>Github!G$919</f>
        <v>132</v>
      </c>
      <c r="E337" s="10">
        <f>Github!F$919+Github!G$919</f>
        <v>3006</v>
      </c>
      <c r="F337" s="12">
        <f t="shared" si="1"/>
        <v>21.77</v>
      </c>
      <c r="G337" s="10" t="str">
        <f>Github!H$919</f>
        <v>Algorithms</v>
      </c>
      <c r="H337" s="13" t="str">
        <f>SUBSTITUTE(Github!L$919, ";", ", ")</f>
        <v>Array, Divide and Conquer, Dynamic Programming, Queue, Monotonic Queue, </v>
      </c>
      <c r="I337" s="10" t="str">
        <f>Github!E$919</f>
        <v>Medium</v>
      </c>
      <c r="J337" s="10" t="str">
        <f>IF(TRIM(Github!D$919)="TRUE","FALSE","TRUE")</f>
        <v>TRUE</v>
      </c>
      <c r="K337" s="10" t="b">
        <f>Github!M$919</f>
        <v>1</v>
      </c>
      <c r="L337" s="10" t="b">
        <f>Github!N$919</f>
        <v>0</v>
      </c>
      <c r="M337" s="10" t="str">
        <f>ROUND(Github!O$919, 2)&amp;"%"</f>
        <v>36.82%</v>
      </c>
      <c r="N337" s="10">
        <f>Github!P$919</f>
        <v>108598</v>
      </c>
      <c r="O337" s="10">
        <f>Github!Q$919</f>
        <v>294928</v>
      </c>
    </row>
    <row r="338">
      <c r="A338" s="10">
        <f>Github!J$191</f>
        <v>190</v>
      </c>
      <c r="B338" s="11" t="str">
        <f>HYPERLINK(CONCAT("http://leetcode.com/problems/",Github!C$191), Github!B$191)</f>
        <v>Reverse Bits</v>
      </c>
      <c r="C338" s="10">
        <f>Github!F$191</f>
        <v>2832</v>
      </c>
      <c r="D338" s="10">
        <f>Github!G$191</f>
        <v>768</v>
      </c>
      <c r="E338" s="10">
        <f>Github!F$191+Github!G$191</f>
        <v>3600</v>
      </c>
      <c r="F338" s="12">
        <f t="shared" si="1"/>
        <v>3.69</v>
      </c>
      <c r="G338" s="10" t="str">
        <f>Github!H$191</f>
        <v>Algorithms</v>
      </c>
      <c r="H338" s="13" t="str">
        <f>SUBSTITUTE(Github!L$191, ";", ", ")</f>
        <v>Divide and Conquer, Bit Manipulation, </v>
      </c>
      <c r="I338" s="10" t="str">
        <f>Github!E$191</f>
        <v>Easy</v>
      </c>
      <c r="J338" s="10" t="str">
        <f>IF(TRIM(Github!D$191)="TRUE","FALSE","TRUE")</f>
        <v>TRUE</v>
      </c>
      <c r="K338" s="10" t="b">
        <f>Github!M$191</f>
        <v>1</v>
      </c>
      <c r="L338" s="10" t="b">
        <f>Github!N$191</f>
        <v>0</v>
      </c>
      <c r="M338" s="10" t="str">
        <f>ROUND(Github!O$191, 2)&amp;"%"</f>
        <v>48.04%</v>
      </c>
      <c r="N338" s="10">
        <f>Github!P$191</f>
        <v>444745</v>
      </c>
      <c r="O338" s="10">
        <f>Github!Q$191</f>
        <v>925855</v>
      </c>
    </row>
    <row r="339">
      <c r="A339" s="10">
        <f>Github!J$638</f>
        <v>637</v>
      </c>
      <c r="B339" s="11" t="str">
        <f>HYPERLINK(CONCAT("http://leetcode.com/problems/",Github!C$638), Github!B$638)</f>
        <v>Average of Levels in Binary Tree</v>
      </c>
      <c r="C339" s="10">
        <f>Github!F$638</f>
        <v>2816</v>
      </c>
      <c r="D339" s="10">
        <f>Github!G$638</f>
        <v>229</v>
      </c>
      <c r="E339" s="10">
        <f>Github!F$638+Github!G$638</f>
        <v>3045</v>
      </c>
      <c r="F339" s="12">
        <f t="shared" si="1"/>
        <v>12.3</v>
      </c>
      <c r="G339" s="10" t="str">
        <f>Github!H$638</f>
        <v>Algorithms</v>
      </c>
      <c r="H339" s="13" t="str">
        <f>SUBSTITUTE(Github!L$638, ";", ", ")</f>
        <v>Tree, Depth-First Search, Breadth-First Search, Binary Tree, </v>
      </c>
      <c r="I339" s="10" t="str">
        <f>Github!E$638</f>
        <v>Easy</v>
      </c>
      <c r="J339" s="10" t="str">
        <f>IF(TRIM(Github!D$638)="TRUE","FALSE","TRUE")</f>
        <v>TRUE</v>
      </c>
      <c r="K339" s="10" t="b">
        <f>Github!M$638</f>
        <v>1</v>
      </c>
      <c r="L339" s="10" t="b">
        <f>Github!N$638</f>
        <v>0</v>
      </c>
      <c r="M339" s="10" t="str">
        <f>ROUND(Github!O$638, 2)&amp;"%"</f>
        <v>68.35%</v>
      </c>
      <c r="N339" s="10">
        <f>Github!P$638</f>
        <v>256053</v>
      </c>
      <c r="O339" s="10">
        <f>Github!Q$638</f>
        <v>374597</v>
      </c>
    </row>
    <row r="340">
      <c r="A340" s="10">
        <f>Github!J$842</f>
        <v>841</v>
      </c>
      <c r="B340" s="11" t="str">
        <f>HYPERLINK(CONCAT("http://leetcode.com/problems/",Github!C$842), Github!B$842)</f>
        <v>Keys and Rooms</v>
      </c>
      <c r="C340" s="10">
        <f>Github!F$842</f>
        <v>2817</v>
      </c>
      <c r="D340" s="10">
        <f>Github!G$842</f>
        <v>165</v>
      </c>
      <c r="E340" s="10">
        <f>Github!F$842+Github!G$842</f>
        <v>2982</v>
      </c>
      <c r="F340" s="12">
        <f t="shared" si="1"/>
        <v>17.07</v>
      </c>
      <c r="G340" s="10" t="str">
        <f>Github!H$842</f>
        <v>Algorithms</v>
      </c>
      <c r="H340" s="13" t="str">
        <f>SUBSTITUTE(Github!L$842, ";", ", ")</f>
        <v>Depth-First Search, Breadth-First Search, Graph, </v>
      </c>
      <c r="I340" s="10" t="str">
        <f>Github!E$842</f>
        <v>Medium</v>
      </c>
      <c r="J340" s="10" t="str">
        <f>IF(TRIM(Github!D$842)="TRUE","FALSE","TRUE")</f>
        <v>TRUE</v>
      </c>
      <c r="K340" s="10" t="b">
        <f>Github!M$842</f>
        <v>1</v>
      </c>
      <c r="L340" s="10" t="b">
        <f>Github!N$842</f>
        <v>0</v>
      </c>
      <c r="M340" s="10" t="str">
        <f>ROUND(Github!O$842, 2)&amp;"%"</f>
        <v>68.53%</v>
      </c>
      <c r="N340" s="10">
        <f>Github!P$842</f>
        <v>180806</v>
      </c>
      <c r="O340" s="10">
        <f>Github!Q$842</f>
        <v>263823</v>
      </c>
    </row>
    <row r="341">
      <c r="A341" s="10">
        <f>Github!J$993</f>
        <v>992</v>
      </c>
      <c r="B341" s="11" t="str">
        <f>HYPERLINK(CONCAT("http://leetcode.com/problems/",Github!C$993), Github!B$993)</f>
        <v>Subarrays with K Different Integers</v>
      </c>
      <c r="C341" s="10">
        <f>Github!F$993</f>
        <v>2794</v>
      </c>
      <c r="D341" s="10">
        <f>Github!G$993</f>
        <v>40</v>
      </c>
      <c r="E341" s="10">
        <f>Github!F$993+Github!G$993</f>
        <v>2834</v>
      </c>
      <c r="F341" s="12">
        <f t="shared" si="1"/>
        <v>69.85</v>
      </c>
      <c r="G341" s="10" t="str">
        <f>Github!H$993</f>
        <v>Algorithms</v>
      </c>
      <c r="H341" s="13" t="str">
        <f>SUBSTITUTE(Github!L$993, ";", ", ")</f>
        <v>Array, Hash Table, Sliding Window, Counting, </v>
      </c>
      <c r="I341" s="10" t="str">
        <f>Github!E$993</f>
        <v>Hard</v>
      </c>
      <c r="J341" s="10" t="str">
        <f>IF(TRIM(Github!D$993)="TRUE","FALSE","TRUE")</f>
        <v>TRUE</v>
      </c>
      <c r="K341" s="10" t="b">
        <f>Github!M$993</f>
        <v>0</v>
      </c>
      <c r="L341" s="10" t="b">
        <f>Github!N$993</f>
        <v>0</v>
      </c>
      <c r="M341" s="10" t="str">
        <f>ROUND(Github!O$993, 2)&amp;"%"</f>
        <v>53.26%</v>
      </c>
      <c r="N341" s="10">
        <f>Github!P$993</f>
        <v>65698</v>
      </c>
      <c r="O341" s="10">
        <f>Github!Q$993</f>
        <v>123346</v>
      </c>
    </row>
    <row r="342">
      <c r="A342" s="10">
        <f>Github!J$793</f>
        <v>792</v>
      </c>
      <c r="B342" s="11" t="str">
        <f>HYPERLINK(CONCAT("http://leetcode.com/problems/",Github!C$793), Github!B$793)</f>
        <v>Number of Matching Subsequences</v>
      </c>
      <c r="C342" s="10">
        <f>Github!F$793</f>
        <v>2793</v>
      </c>
      <c r="D342" s="10">
        <f>Github!G$793</f>
        <v>142</v>
      </c>
      <c r="E342" s="10">
        <f>Github!F$793+Github!G$793</f>
        <v>2935</v>
      </c>
      <c r="F342" s="12">
        <f t="shared" si="1"/>
        <v>19.67</v>
      </c>
      <c r="G342" s="10" t="str">
        <f>Github!H$793</f>
        <v>Algorithms</v>
      </c>
      <c r="H342" s="13" t="str">
        <f>SUBSTITUTE(Github!L$793, ";", ", ")</f>
        <v>Hash Table, String, Trie, Sorting, </v>
      </c>
      <c r="I342" s="10" t="str">
        <f>Github!E$793</f>
        <v>Medium</v>
      </c>
      <c r="J342" s="10" t="str">
        <f>IF(TRIM(Github!D$793)="TRUE","FALSE","TRUE")</f>
        <v>TRUE</v>
      </c>
      <c r="K342" s="10" t="b">
        <f>Github!M$793</f>
        <v>1</v>
      </c>
      <c r="L342" s="10" t="b">
        <f>Github!N$793</f>
        <v>0</v>
      </c>
      <c r="M342" s="10" t="str">
        <f>ROUND(Github!O$793, 2)&amp;"%"</f>
        <v>50.33%</v>
      </c>
      <c r="N342" s="10">
        <f>Github!P$793</f>
        <v>123415</v>
      </c>
      <c r="O342" s="10">
        <f>Github!Q$793</f>
        <v>245189</v>
      </c>
    </row>
    <row r="343">
      <c r="A343" s="10">
        <f>Github!J$606</f>
        <v>605</v>
      </c>
      <c r="B343" s="11" t="str">
        <f>HYPERLINK(CONCAT("http://leetcode.com/problems/",Github!C$606), Github!B$606)</f>
        <v>Can Place Flowers</v>
      </c>
      <c r="C343" s="10">
        <f>Github!F$606</f>
        <v>2775</v>
      </c>
      <c r="D343" s="10">
        <f>Github!G$606</f>
        <v>629</v>
      </c>
      <c r="E343" s="10">
        <f>Github!F$606+Github!G$606</f>
        <v>3404</v>
      </c>
      <c r="F343" s="12">
        <f t="shared" si="1"/>
        <v>4.41</v>
      </c>
      <c r="G343" s="10" t="str">
        <f>Github!H$606</f>
        <v>Algorithms</v>
      </c>
      <c r="H343" s="13" t="str">
        <f>SUBSTITUTE(Github!L$606, ";", ", ")</f>
        <v>Array, Greedy, </v>
      </c>
      <c r="I343" s="10" t="str">
        <f>Github!E$606</f>
        <v>Easy</v>
      </c>
      <c r="J343" s="10" t="str">
        <f>IF(TRIM(Github!D$606)="TRUE","FALSE","TRUE")</f>
        <v>TRUE</v>
      </c>
      <c r="K343" s="10" t="b">
        <f>Github!M$606</f>
        <v>1</v>
      </c>
      <c r="L343" s="10" t="b">
        <f>Github!N$606</f>
        <v>0</v>
      </c>
      <c r="M343" s="10" t="str">
        <f>ROUND(Github!O$606, 2)&amp;"%"</f>
        <v>33.01%</v>
      </c>
      <c r="N343" s="10">
        <f>Github!P$606</f>
        <v>280827</v>
      </c>
      <c r="O343" s="10">
        <f>Github!Q$606</f>
        <v>850668</v>
      </c>
    </row>
    <row r="344">
      <c r="A344" s="10">
        <f>Github!J$487</f>
        <v>486</v>
      </c>
      <c r="B344" s="11" t="str">
        <f>HYPERLINK(CONCAT("http://leetcode.com/problems/",Github!C$487), Github!B$487)</f>
        <v>Predict the Winner</v>
      </c>
      <c r="C344" s="10">
        <f>Github!F$487</f>
        <v>2753</v>
      </c>
      <c r="D344" s="10">
        <f>Github!G$487</f>
        <v>143</v>
      </c>
      <c r="E344" s="10">
        <f>Github!F$487+Github!G$487</f>
        <v>2896</v>
      </c>
      <c r="F344" s="12">
        <f t="shared" si="1"/>
        <v>19.25</v>
      </c>
      <c r="G344" s="10" t="str">
        <f>Github!H$487</f>
        <v>Algorithms</v>
      </c>
      <c r="H344" s="13" t="str">
        <f>SUBSTITUTE(Github!L$487, ";", ", ")</f>
        <v>Array, Math, Dynamic Programming, Recursion, Game Theory, </v>
      </c>
      <c r="I344" s="10" t="str">
        <f>Github!E$487</f>
        <v>Medium</v>
      </c>
      <c r="J344" s="10" t="str">
        <f>IF(TRIM(Github!D$487)="TRUE","FALSE","TRUE")</f>
        <v>TRUE</v>
      </c>
      <c r="K344" s="10" t="b">
        <f>Github!M$487</f>
        <v>1</v>
      </c>
      <c r="L344" s="10" t="b">
        <f>Github!N$487</f>
        <v>0</v>
      </c>
      <c r="M344" s="10" t="str">
        <f>ROUND(Github!O$487, 2)&amp;"%"</f>
        <v>50.11%</v>
      </c>
      <c r="N344" s="10">
        <f>Github!P$487</f>
        <v>107896</v>
      </c>
      <c r="O344" s="10">
        <f>Github!Q$487</f>
        <v>215304</v>
      </c>
    </row>
    <row r="345">
      <c r="A345" s="10">
        <f>Github!J$192</f>
        <v>191</v>
      </c>
      <c r="B345" s="11" t="str">
        <f>HYPERLINK(CONCAT("http://leetcode.com/problems/",Github!C$192), Github!B$192)</f>
        <v>Number of 1 Bits</v>
      </c>
      <c r="C345" s="10">
        <f>Github!F$192</f>
        <v>2722</v>
      </c>
      <c r="D345" s="10">
        <f>Github!G$192</f>
        <v>763</v>
      </c>
      <c r="E345" s="10">
        <f>Github!F$192+Github!G$192</f>
        <v>3485</v>
      </c>
      <c r="F345" s="12">
        <f t="shared" si="1"/>
        <v>3.57</v>
      </c>
      <c r="G345" s="10" t="str">
        <f>Github!H$192</f>
        <v>Algorithms</v>
      </c>
      <c r="H345" s="13" t="str">
        <f>SUBSTITUTE(Github!L$192, ";", ", ")</f>
        <v>Bit Manipulation, </v>
      </c>
      <c r="I345" s="10" t="str">
        <f>Github!E$192</f>
        <v>Easy</v>
      </c>
      <c r="J345" s="10" t="str">
        <f>IF(TRIM(Github!D$192)="TRUE","FALSE","TRUE")</f>
        <v>TRUE</v>
      </c>
      <c r="K345" s="10" t="b">
        <f>Github!M$192</f>
        <v>1</v>
      </c>
      <c r="L345" s="10" t="b">
        <f>Github!N$192</f>
        <v>0</v>
      </c>
      <c r="M345" s="10" t="str">
        <f>ROUND(Github!O$192, 2)&amp;"%"</f>
        <v>59.49%</v>
      </c>
      <c r="N345" s="10">
        <f>Github!P$192</f>
        <v>663108</v>
      </c>
      <c r="O345" s="10">
        <f>Github!Q$192</f>
        <v>1114685</v>
      </c>
    </row>
    <row r="346">
      <c r="A346" s="10">
        <f>Github!J$475</f>
        <v>474</v>
      </c>
      <c r="B346" s="11" t="str">
        <f>HYPERLINK(CONCAT("http://leetcode.com/problems/",Github!C$475), Github!B$475)</f>
        <v>Ones and Zeroes</v>
      </c>
      <c r="C346" s="10">
        <f>Github!F$475</f>
        <v>2719</v>
      </c>
      <c r="D346" s="10">
        <f>Github!G$475</f>
        <v>317</v>
      </c>
      <c r="E346" s="10">
        <f>Github!F$475+Github!G$475</f>
        <v>3036</v>
      </c>
      <c r="F346" s="12">
        <f t="shared" si="1"/>
        <v>8.58</v>
      </c>
      <c r="G346" s="10" t="str">
        <f>Github!H$475</f>
        <v>Algorithms</v>
      </c>
      <c r="H346" s="13" t="str">
        <f>SUBSTITUTE(Github!L$475, ";", ", ")</f>
        <v>Array, String, Dynamic Programming, </v>
      </c>
      <c r="I346" s="10" t="str">
        <f>Github!E$475</f>
        <v>Medium</v>
      </c>
      <c r="J346" s="10" t="str">
        <f>IF(TRIM(Github!D$475)="TRUE","FALSE","TRUE")</f>
        <v>TRUE</v>
      </c>
      <c r="K346" s="10" t="b">
        <f>Github!M$475</f>
        <v>1</v>
      </c>
      <c r="L346" s="10" t="b">
        <f>Github!N$475</f>
        <v>0</v>
      </c>
      <c r="M346" s="10" t="str">
        <f>ROUND(Github!O$475, 2)&amp;"%"</f>
        <v>44.42%</v>
      </c>
      <c r="N346" s="10">
        <f>Github!P$475</f>
        <v>103376</v>
      </c>
      <c r="O346" s="10">
        <f>Github!Q$475</f>
        <v>232719</v>
      </c>
    </row>
    <row r="347">
      <c r="A347" s="10">
        <f>Github!J$863</f>
        <v>862</v>
      </c>
      <c r="B347" s="11" t="str">
        <f>HYPERLINK(CONCAT("http://leetcode.com/problems/",Github!C$863), Github!B$863)</f>
        <v>Shortest Subarray with Sum at Least K</v>
      </c>
      <c r="C347" s="10">
        <f>Github!F$863</f>
        <v>2716</v>
      </c>
      <c r="D347" s="10">
        <f>Github!G$863</f>
        <v>69</v>
      </c>
      <c r="E347" s="10">
        <f>Github!F$863+Github!G$863</f>
        <v>2785</v>
      </c>
      <c r="F347" s="12">
        <f t="shared" si="1"/>
        <v>39.36</v>
      </c>
      <c r="G347" s="10" t="str">
        <f>Github!H$863</f>
        <v>Algorithms</v>
      </c>
      <c r="H347" s="13" t="str">
        <f>SUBSTITUTE(Github!L$863, ";", ", ")</f>
        <v>Array, Binary Search, Queue, Sliding Window, Heap (Priority Queue), Prefix Sum, Monotonic Queue, </v>
      </c>
      <c r="I347" s="10" t="str">
        <f>Github!E$863</f>
        <v>Hard</v>
      </c>
      <c r="J347" s="10" t="str">
        <f>IF(TRIM(Github!D$863)="TRUE","FALSE","TRUE")</f>
        <v>TRUE</v>
      </c>
      <c r="K347" s="10" t="b">
        <f>Github!M$863</f>
        <v>1</v>
      </c>
      <c r="L347" s="10" t="b">
        <f>Github!N$863</f>
        <v>0</v>
      </c>
      <c r="M347" s="10" t="str">
        <f>ROUND(Github!O$863, 2)&amp;"%"</f>
        <v>26.14%</v>
      </c>
      <c r="N347" s="10">
        <f>Github!P$863</f>
        <v>66823</v>
      </c>
      <c r="O347" s="10">
        <f>Github!Q$863</f>
        <v>255677</v>
      </c>
    </row>
    <row r="348">
      <c r="A348" s="10">
        <f>Github!J$155</f>
        <v>154</v>
      </c>
      <c r="B348" s="11" t="str">
        <f>HYPERLINK(CONCAT("http://leetcode.com/problems/",Github!C$155), Github!B$155)</f>
        <v>Find Minimum in Rotated Sorted Array II</v>
      </c>
      <c r="C348" s="10">
        <f>Github!F$155</f>
        <v>2713</v>
      </c>
      <c r="D348" s="10">
        <f>Github!G$155</f>
        <v>365</v>
      </c>
      <c r="E348" s="10">
        <f>Github!F$155+Github!G$155</f>
        <v>3078</v>
      </c>
      <c r="F348" s="12">
        <f t="shared" si="1"/>
        <v>7.43</v>
      </c>
      <c r="G348" s="10" t="str">
        <f>Github!H$155</f>
        <v>Algorithms</v>
      </c>
      <c r="H348" s="13" t="str">
        <f>SUBSTITUTE(Github!L$155, ";", ", ")</f>
        <v>Array, Binary Search, </v>
      </c>
      <c r="I348" s="10" t="str">
        <f>Github!E$155</f>
        <v>Hard</v>
      </c>
      <c r="J348" s="10" t="str">
        <f>IF(TRIM(Github!D$155)="TRUE","FALSE","TRUE")</f>
        <v>TRUE</v>
      </c>
      <c r="K348" s="10" t="b">
        <f>Github!M$155</f>
        <v>1</v>
      </c>
      <c r="L348" s="10" t="b">
        <f>Github!N$155</f>
        <v>0</v>
      </c>
      <c r="M348" s="10" t="str">
        <f>ROUND(Github!O$155, 2)&amp;"%"</f>
        <v>43.24%</v>
      </c>
      <c r="N348" s="10">
        <f>Github!P$155</f>
        <v>315230</v>
      </c>
      <c r="O348" s="10">
        <f>Github!Q$155</f>
        <v>729081</v>
      </c>
    </row>
    <row r="349">
      <c r="A349" s="10">
        <f>Github!J$1111</f>
        <v>1110</v>
      </c>
      <c r="B349" s="11" t="str">
        <f>HYPERLINK(CONCAT("http://leetcode.com/problems/",Github!C$1111), Github!B$1111)</f>
        <v>Delete Nodes And Return Forest</v>
      </c>
      <c r="C349" s="10">
        <f>Github!F$1111</f>
        <v>2704</v>
      </c>
      <c r="D349" s="10">
        <f>Github!G$1111</f>
        <v>78</v>
      </c>
      <c r="E349" s="10">
        <f>Github!F$1111+Github!G$1111</f>
        <v>2782</v>
      </c>
      <c r="F349" s="12">
        <f t="shared" si="1"/>
        <v>34.67</v>
      </c>
      <c r="G349" s="10" t="str">
        <f>Github!H$1111</f>
        <v>Algorithms</v>
      </c>
      <c r="H349" s="13" t="str">
        <f>SUBSTITUTE(Github!L$1111, ";", ", ")</f>
        <v>Tree, Depth-First Search, Binary Tree, </v>
      </c>
      <c r="I349" s="10" t="str">
        <f>Github!E$1111</f>
        <v>Medium</v>
      </c>
      <c r="J349" s="10" t="str">
        <f>IF(TRIM(Github!D$1111)="TRUE","FALSE","TRUE")</f>
        <v>TRUE</v>
      </c>
      <c r="K349" s="10" t="b">
        <f>Github!M$1111</f>
        <v>0</v>
      </c>
      <c r="L349" s="10" t="b">
        <f>Github!N$1111</f>
        <v>0</v>
      </c>
      <c r="M349" s="10" t="str">
        <f>ROUND(Github!O$1111, 2)&amp;"%"</f>
        <v>69.2%</v>
      </c>
      <c r="N349" s="10">
        <f>Github!P$1111</f>
        <v>150830</v>
      </c>
      <c r="O349" s="10">
        <f>Github!Q$1111</f>
        <v>217975</v>
      </c>
    </row>
    <row r="350">
      <c r="A350" s="10">
        <f>Github!J$151</f>
        <v>150</v>
      </c>
      <c r="B350" s="11" t="str">
        <f>HYPERLINK(CONCAT("http://leetcode.com/problems/",Github!C$151), Github!B$151)</f>
        <v>Evaluate Reverse Polish Notation</v>
      </c>
      <c r="C350" s="10">
        <f>Github!F$151</f>
        <v>2696</v>
      </c>
      <c r="D350" s="10">
        <f>Github!G$151</f>
        <v>603</v>
      </c>
      <c r="E350" s="10">
        <f>Github!F$151+Github!G$151</f>
        <v>3299</v>
      </c>
      <c r="F350" s="12">
        <f t="shared" si="1"/>
        <v>4.47</v>
      </c>
      <c r="G350" s="10" t="str">
        <f>Github!H$151</f>
        <v>Algorithms</v>
      </c>
      <c r="H350" s="13" t="str">
        <f>SUBSTITUTE(Github!L$151, ";", ", ")</f>
        <v>Array, Math, Stack, </v>
      </c>
      <c r="I350" s="10" t="str">
        <f>Github!E$151</f>
        <v>Medium</v>
      </c>
      <c r="J350" s="10" t="str">
        <f>IF(TRIM(Github!D$151)="TRUE","FALSE","TRUE")</f>
        <v>TRUE</v>
      </c>
      <c r="K350" s="10" t="b">
        <f>Github!M$151</f>
        <v>1</v>
      </c>
      <c r="L350" s="10" t="b">
        <f>Github!N$151</f>
        <v>0</v>
      </c>
      <c r="M350" s="10" t="str">
        <f>ROUND(Github!O$151, 2)&amp;"%"</f>
        <v>41.86%</v>
      </c>
      <c r="N350" s="10">
        <f>Github!P$151</f>
        <v>378673</v>
      </c>
      <c r="O350" s="10">
        <f>Github!Q$151</f>
        <v>904599</v>
      </c>
    </row>
    <row r="351">
      <c r="A351" s="10">
        <f>Github!J$697</f>
        <v>696</v>
      </c>
      <c r="B351" s="11" t="str">
        <f>HYPERLINK(CONCAT("http://leetcode.com/problems/",Github!C$697), Github!B$697)</f>
        <v>Count Binary Substrings</v>
      </c>
      <c r="C351" s="10">
        <f>Github!F$697</f>
        <v>2678</v>
      </c>
      <c r="D351" s="10">
        <f>Github!G$697</f>
        <v>562</v>
      </c>
      <c r="E351" s="10">
        <f>Github!F$697+Github!G$697</f>
        <v>3240</v>
      </c>
      <c r="F351" s="12">
        <f t="shared" si="1"/>
        <v>4.77</v>
      </c>
      <c r="G351" s="10" t="str">
        <f>Github!H$697</f>
        <v>Algorithms</v>
      </c>
      <c r="H351" s="13" t="str">
        <f>SUBSTITUTE(Github!L$697, ";", ", ")</f>
        <v>Two Pointers, String, </v>
      </c>
      <c r="I351" s="10" t="str">
        <f>Github!E$697</f>
        <v>Easy</v>
      </c>
      <c r="J351" s="10" t="str">
        <f>IF(TRIM(Github!D$697)="TRUE","FALSE","TRUE")</f>
        <v>TRUE</v>
      </c>
      <c r="K351" s="10" t="b">
        <f>Github!M$697</f>
        <v>1</v>
      </c>
      <c r="L351" s="10" t="b">
        <f>Github!N$697</f>
        <v>0</v>
      </c>
      <c r="M351" s="10" t="str">
        <f>ROUND(Github!O$697, 2)&amp;"%"</f>
        <v>64.56%</v>
      </c>
      <c r="N351" s="10">
        <f>Github!P$697</f>
        <v>138170</v>
      </c>
      <c r="O351" s="10">
        <f>Github!Q$697</f>
        <v>214010</v>
      </c>
    </row>
    <row r="352">
      <c r="A352" s="10">
        <f>Github!J$981</f>
        <v>980</v>
      </c>
      <c r="B352" s="11" t="str">
        <f>HYPERLINK(CONCAT("http://leetcode.com/problems/",Github!C$981), Github!B$981)</f>
        <v>Unique Paths III</v>
      </c>
      <c r="C352" s="10">
        <f>Github!F$981</f>
        <v>2658</v>
      </c>
      <c r="D352" s="10">
        <f>Github!G$981</f>
        <v>130</v>
      </c>
      <c r="E352" s="10">
        <f>Github!F$981+Github!G$981</f>
        <v>2788</v>
      </c>
      <c r="F352" s="12">
        <f t="shared" si="1"/>
        <v>20.45</v>
      </c>
      <c r="G352" s="10" t="str">
        <f>Github!H$981</f>
        <v>Algorithms</v>
      </c>
      <c r="H352" s="13" t="str">
        <f>SUBSTITUTE(Github!L$981, ";", ", ")</f>
        <v>Array, Backtracking, Bit Manipulation, Matrix, </v>
      </c>
      <c r="I352" s="10" t="str">
        <f>Github!E$981</f>
        <v>Hard</v>
      </c>
      <c r="J352" s="10" t="str">
        <f>IF(TRIM(Github!D$981)="TRUE","FALSE","TRUE")</f>
        <v>TRUE</v>
      </c>
      <c r="K352" s="10" t="b">
        <f>Github!M$981</f>
        <v>1</v>
      </c>
      <c r="L352" s="10" t="b">
        <f>Github!N$981</f>
        <v>0</v>
      </c>
      <c r="M352" s="10" t="str">
        <f>ROUND(Github!O$981, 2)&amp;"%"</f>
        <v>79.43%</v>
      </c>
      <c r="N352" s="10">
        <f>Github!P$981</f>
        <v>110430</v>
      </c>
      <c r="O352" s="10">
        <f>Github!Q$981</f>
        <v>139036</v>
      </c>
    </row>
    <row r="353">
      <c r="A353" s="10">
        <f>Github!J$217</f>
        <v>216</v>
      </c>
      <c r="B353" s="11" t="str">
        <f>HYPERLINK(CONCAT("http://leetcode.com/problems/",Github!C$217), Github!B$217)</f>
        <v>Combination Sum III</v>
      </c>
      <c r="C353" s="10">
        <f>Github!F$217</f>
        <v>2655</v>
      </c>
      <c r="D353" s="10">
        <f>Github!G$217</f>
        <v>73</v>
      </c>
      <c r="E353" s="10">
        <f>Github!F$217+Github!G$217</f>
        <v>2728</v>
      </c>
      <c r="F353" s="12">
        <f t="shared" si="1"/>
        <v>36.37</v>
      </c>
      <c r="G353" s="10" t="str">
        <f>Github!H$217</f>
        <v>Algorithms</v>
      </c>
      <c r="H353" s="13" t="str">
        <f>SUBSTITUTE(Github!L$217, ";", ", ")</f>
        <v>Array, Backtracking, </v>
      </c>
      <c r="I353" s="10" t="str">
        <f>Github!E$217</f>
        <v>Medium</v>
      </c>
      <c r="J353" s="10" t="str">
        <f>IF(TRIM(Github!D$217)="TRUE","FALSE","TRUE")</f>
        <v>TRUE</v>
      </c>
      <c r="K353" s="10" t="b">
        <f>Github!M$217</f>
        <v>1</v>
      </c>
      <c r="L353" s="10" t="b">
        <f>Github!N$217</f>
        <v>0</v>
      </c>
      <c r="M353" s="10" t="str">
        <f>ROUND(Github!O$217, 2)&amp;"%"</f>
        <v>63.63%</v>
      </c>
      <c r="N353" s="10">
        <f>Github!P$217</f>
        <v>278081</v>
      </c>
      <c r="O353" s="10">
        <f>Github!Q$217</f>
        <v>437057</v>
      </c>
    </row>
    <row r="354">
      <c r="A354" s="10">
        <f>Github!J$1424</f>
        <v>1423</v>
      </c>
      <c r="B354" s="11" t="str">
        <f>HYPERLINK(CONCAT("http://leetcode.com/problems/",Github!C$1424), Github!B$1424)</f>
        <v>Maximum Points You Can Obtain from Cards</v>
      </c>
      <c r="C354" s="10">
        <f>Github!F$1424</f>
        <v>2642</v>
      </c>
      <c r="D354" s="10">
        <f>Github!G$1424</f>
        <v>107</v>
      </c>
      <c r="E354" s="10">
        <f>Github!F$1424+Github!G$1424</f>
        <v>2749</v>
      </c>
      <c r="F354" s="12">
        <f t="shared" si="1"/>
        <v>24.69</v>
      </c>
      <c r="G354" s="10" t="str">
        <f>Github!H$1424</f>
        <v>Algorithms</v>
      </c>
      <c r="H354" s="13" t="str">
        <f>SUBSTITUTE(Github!L$1424, ";", ", ")</f>
        <v>Array, Sliding Window, Prefix Sum, </v>
      </c>
      <c r="I354" s="10" t="str">
        <f>Github!E$1424</f>
        <v>Medium</v>
      </c>
      <c r="J354" s="10" t="str">
        <f>IF(TRIM(Github!D$1424)="TRUE","FALSE","TRUE")</f>
        <v>TRUE</v>
      </c>
      <c r="K354" s="10" t="b">
        <f>Github!M$1424</f>
        <v>1</v>
      </c>
      <c r="L354" s="10" t="b">
        <f>Github!N$1424</f>
        <v>0</v>
      </c>
      <c r="M354" s="10" t="str">
        <f>ROUND(Github!O$1424, 2)&amp;"%"</f>
        <v>49.89%</v>
      </c>
      <c r="N354" s="10">
        <f>Github!P$1424</f>
        <v>122207</v>
      </c>
      <c r="O354" s="10">
        <f>Github!Q$1424</f>
        <v>244950</v>
      </c>
    </row>
    <row r="355">
      <c r="A355" s="10">
        <f>Github!J$753</f>
        <v>752</v>
      </c>
      <c r="B355" s="11" t="str">
        <f>HYPERLINK(CONCAT("http://leetcode.com/problems/",Github!C$753), Github!B$753)</f>
        <v>Open the Lock</v>
      </c>
      <c r="C355" s="10">
        <f>Github!F$753</f>
        <v>2641</v>
      </c>
      <c r="D355" s="10">
        <f>Github!G$753</f>
        <v>88</v>
      </c>
      <c r="E355" s="10">
        <f>Github!F$753+Github!G$753</f>
        <v>2729</v>
      </c>
      <c r="F355" s="12">
        <f t="shared" si="1"/>
        <v>30.01</v>
      </c>
      <c r="G355" s="10" t="str">
        <f>Github!H$753</f>
        <v>Algorithms</v>
      </c>
      <c r="H355" s="13" t="str">
        <f>SUBSTITUTE(Github!L$753, ";", ", ")</f>
        <v>Array, Hash Table, String, Breadth-First Search, </v>
      </c>
      <c r="I355" s="10" t="str">
        <f>Github!E$753</f>
        <v>Medium</v>
      </c>
      <c r="J355" s="10" t="str">
        <f>IF(TRIM(Github!D$753)="TRUE","FALSE","TRUE")</f>
        <v>TRUE</v>
      </c>
      <c r="K355" s="10" t="b">
        <f>Github!M$753</f>
        <v>1</v>
      </c>
      <c r="L355" s="10" t="b">
        <f>Github!N$753</f>
        <v>0</v>
      </c>
      <c r="M355" s="10" t="str">
        <f>ROUND(Github!O$753, 2)&amp;"%"</f>
        <v>55.23%</v>
      </c>
      <c r="N355" s="10">
        <f>Github!P$753</f>
        <v>152515</v>
      </c>
      <c r="O355" s="10">
        <f>Github!Q$753</f>
        <v>276127</v>
      </c>
    </row>
    <row r="356">
      <c r="A356" s="10">
        <f>Github!J$169</f>
        <v>168</v>
      </c>
      <c r="B356" s="11" t="str">
        <f>HYPERLINK(CONCAT("http://leetcode.com/problems/",Github!C$169), Github!B$169)</f>
        <v>Excel Sheet Column Title</v>
      </c>
      <c r="C356" s="10">
        <f>Github!F$169</f>
        <v>2623</v>
      </c>
      <c r="D356" s="10">
        <f>Github!G$169</f>
        <v>395</v>
      </c>
      <c r="E356" s="10">
        <f>Github!F$169+Github!G$169</f>
        <v>3018</v>
      </c>
      <c r="F356" s="12">
        <f t="shared" si="1"/>
        <v>6.64</v>
      </c>
      <c r="G356" s="10" t="str">
        <f>Github!H$169</f>
        <v>Algorithms</v>
      </c>
      <c r="H356" s="13" t="str">
        <f>SUBSTITUTE(Github!L$169, ";", ", ")</f>
        <v>Math, String, </v>
      </c>
      <c r="I356" s="10" t="str">
        <f>Github!E$169</f>
        <v>Easy</v>
      </c>
      <c r="J356" s="10" t="str">
        <f>IF(TRIM(Github!D$169)="TRUE","FALSE","TRUE")</f>
        <v>TRUE</v>
      </c>
      <c r="K356" s="10" t="b">
        <f>Github!M$169</f>
        <v>0</v>
      </c>
      <c r="L356" s="10" t="b">
        <f>Github!N$169</f>
        <v>0</v>
      </c>
      <c r="M356" s="10" t="str">
        <f>ROUND(Github!O$169, 2)&amp;"%"</f>
        <v>33.7%</v>
      </c>
      <c r="N356" s="10">
        <f>Github!P$169</f>
        <v>304424</v>
      </c>
      <c r="O356" s="10">
        <f>Github!Q$169</f>
        <v>903245</v>
      </c>
    </row>
    <row r="357">
      <c r="A357" s="10">
        <f>Github!J$308</f>
        <v>307</v>
      </c>
      <c r="B357" s="11" t="str">
        <f>HYPERLINK(CONCAT("http://leetcode.com/problems/",Github!C$308), Github!B$308)</f>
        <v>Range Sum Query - Mutable</v>
      </c>
      <c r="C357" s="10">
        <f>Github!F$308</f>
        <v>2623</v>
      </c>
      <c r="D357" s="10">
        <f>Github!G$308</f>
        <v>142</v>
      </c>
      <c r="E357" s="10">
        <f>Github!F$308+Github!G$308</f>
        <v>2765</v>
      </c>
      <c r="F357" s="12">
        <f t="shared" si="1"/>
        <v>18.47</v>
      </c>
      <c r="G357" s="10" t="str">
        <f>Github!H$308</f>
        <v>Algorithms</v>
      </c>
      <c r="H357" s="13" t="str">
        <f>SUBSTITUTE(Github!L$308, ";", ", ")</f>
        <v>Array, Design, Binary Indexed Tree, Segment Tree, </v>
      </c>
      <c r="I357" s="10" t="str">
        <f>Github!E$308</f>
        <v>Medium</v>
      </c>
      <c r="J357" s="10" t="str">
        <f>IF(TRIM(Github!D$308)="TRUE","FALSE","TRUE")</f>
        <v>TRUE</v>
      </c>
      <c r="K357" s="10" t="b">
        <f>Github!M$308</f>
        <v>1</v>
      </c>
      <c r="L357" s="10" t="b">
        <f>Github!N$308</f>
        <v>0</v>
      </c>
      <c r="M357" s="10" t="str">
        <f>ROUND(Github!O$308, 2)&amp;"%"</f>
        <v>38.53%</v>
      </c>
      <c r="N357" s="10">
        <f>Github!P$308</f>
        <v>176521</v>
      </c>
      <c r="O357" s="10">
        <f>Github!Q$308</f>
        <v>458083</v>
      </c>
    </row>
    <row r="358">
      <c r="A358" s="10">
        <f>Github!J$136</f>
        <v>135</v>
      </c>
      <c r="B358" s="11" t="str">
        <f>HYPERLINK(CONCAT("http://leetcode.com/problems/",Github!C$136), Github!B$136)</f>
        <v>Candy</v>
      </c>
      <c r="C358" s="10">
        <f>Github!F$136</f>
        <v>2623</v>
      </c>
      <c r="D358" s="10">
        <f>Github!G$136</f>
        <v>245</v>
      </c>
      <c r="E358" s="10">
        <f>Github!F$136+Github!G$136</f>
        <v>2868</v>
      </c>
      <c r="F358" s="12">
        <f t="shared" si="1"/>
        <v>10.71</v>
      </c>
      <c r="G358" s="10" t="str">
        <f>Github!H$136</f>
        <v>Algorithms</v>
      </c>
      <c r="H358" s="13" t="str">
        <f>SUBSTITUTE(Github!L$136, ";", ", ")</f>
        <v>Array, Greedy, </v>
      </c>
      <c r="I358" s="10" t="str">
        <f>Github!E$136</f>
        <v>Hard</v>
      </c>
      <c r="J358" s="10" t="str">
        <f>IF(TRIM(Github!D$136)="TRUE","FALSE","TRUE")</f>
        <v>TRUE</v>
      </c>
      <c r="K358" s="10" t="b">
        <f>Github!M$136</f>
        <v>1</v>
      </c>
      <c r="L358" s="10" t="b">
        <f>Github!N$136</f>
        <v>0</v>
      </c>
      <c r="M358" s="10" t="str">
        <f>ROUND(Github!O$136, 2)&amp;"%"</f>
        <v>36.74%</v>
      </c>
      <c r="N358" s="10">
        <f>Github!P$136</f>
        <v>206695</v>
      </c>
      <c r="O358" s="10">
        <f>Github!Q$136</f>
        <v>562524</v>
      </c>
    </row>
    <row r="359">
      <c r="A359" s="10">
        <f>Github!J$954</f>
        <v>953</v>
      </c>
      <c r="B359" s="11" t="str">
        <f>HYPERLINK(CONCAT("http://leetcode.com/problems/",Github!C$954), Github!B$954)</f>
        <v>Verifying an Alien Dictionary</v>
      </c>
      <c r="C359" s="10">
        <f>Github!F$954</f>
        <v>2621</v>
      </c>
      <c r="D359" s="10">
        <f>Github!G$954</f>
        <v>888</v>
      </c>
      <c r="E359" s="10">
        <f>Github!F$954+Github!G$954</f>
        <v>3509</v>
      </c>
      <c r="F359" s="12">
        <f t="shared" si="1"/>
        <v>2.95</v>
      </c>
      <c r="G359" s="10" t="str">
        <f>Github!H$954</f>
        <v>Algorithms</v>
      </c>
      <c r="H359" s="13" t="str">
        <f>SUBSTITUTE(Github!L$954, ";", ", ")</f>
        <v>Array, Hash Table, String, </v>
      </c>
      <c r="I359" s="10" t="str">
        <f>Github!E$954</f>
        <v>Easy</v>
      </c>
      <c r="J359" s="10" t="str">
        <f>IF(TRIM(Github!D$954)="TRUE","FALSE","TRUE")</f>
        <v>TRUE</v>
      </c>
      <c r="K359" s="10" t="b">
        <f>Github!M$954</f>
        <v>1</v>
      </c>
      <c r="L359" s="10" t="b">
        <f>Github!N$954</f>
        <v>0</v>
      </c>
      <c r="M359" s="10" t="str">
        <f>ROUND(Github!O$954, 2)&amp;"%"</f>
        <v>52.42%</v>
      </c>
      <c r="N359" s="10">
        <f>Github!P$954</f>
        <v>334506</v>
      </c>
      <c r="O359" s="10">
        <f>Github!Q$954</f>
        <v>638116</v>
      </c>
    </row>
    <row r="360">
      <c r="A360" s="10">
        <f>Github!J$975</f>
        <v>974</v>
      </c>
      <c r="B360" s="11" t="str">
        <f>HYPERLINK(CONCAT("http://leetcode.com/problems/",Github!C$975), Github!B$975)</f>
        <v>Subarray Sums Divisible by K</v>
      </c>
      <c r="C360" s="10">
        <f>Github!F$975</f>
        <v>2618</v>
      </c>
      <c r="D360" s="10">
        <f>Github!G$975</f>
        <v>131</v>
      </c>
      <c r="E360" s="10">
        <f>Github!F$975+Github!G$975</f>
        <v>2749</v>
      </c>
      <c r="F360" s="12">
        <f t="shared" si="1"/>
        <v>19.98</v>
      </c>
      <c r="G360" s="10" t="str">
        <f>Github!H$975</f>
        <v>Algorithms</v>
      </c>
      <c r="H360" s="13" t="str">
        <f>SUBSTITUTE(Github!L$975, ";", ", ")</f>
        <v>Array, Hash Table, Prefix Sum, </v>
      </c>
      <c r="I360" s="10" t="str">
        <f>Github!E$975</f>
        <v>Medium</v>
      </c>
      <c r="J360" s="10" t="str">
        <f>IF(TRIM(Github!D$975)="TRUE","FALSE","TRUE")</f>
        <v>TRUE</v>
      </c>
      <c r="K360" s="10" t="b">
        <f>Github!M$975</f>
        <v>0</v>
      </c>
      <c r="L360" s="10" t="b">
        <f>Github!N$975</f>
        <v>0</v>
      </c>
      <c r="M360" s="10" t="str">
        <f>ROUND(Github!O$975, 2)&amp;"%"</f>
        <v>53.05%</v>
      </c>
      <c r="N360" s="10">
        <f>Github!P$975</f>
        <v>89084</v>
      </c>
      <c r="O360" s="10">
        <f>Github!Q$975</f>
        <v>167941</v>
      </c>
    </row>
    <row r="361">
      <c r="A361" s="10">
        <f>Github!J$584</f>
        <v>583</v>
      </c>
      <c r="B361" s="11" t="str">
        <f>HYPERLINK(CONCAT("http://leetcode.com/problems/",Github!C$584), Github!B$584)</f>
        <v>Delete Operation for Two Strings</v>
      </c>
      <c r="C361" s="10">
        <f>Github!F$584</f>
        <v>2615</v>
      </c>
      <c r="D361" s="10">
        <f>Github!G$584</f>
        <v>42</v>
      </c>
      <c r="E361" s="10">
        <f>Github!F$584+Github!G$584</f>
        <v>2657</v>
      </c>
      <c r="F361" s="12">
        <f t="shared" si="1"/>
        <v>62.26</v>
      </c>
      <c r="G361" s="10" t="str">
        <f>Github!H$584</f>
        <v>Algorithms</v>
      </c>
      <c r="H361" s="13" t="str">
        <f>SUBSTITUTE(Github!L$584, ";", ", ")</f>
        <v>String, Dynamic Programming, </v>
      </c>
      <c r="I361" s="10" t="str">
        <f>Github!E$584</f>
        <v>Medium</v>
      </c>
      <c r="J361" s="10" t="str">
        <f>IF(TRIM(Github!D$584)="TRUE","FALSE","TRUE")</f>
        <v>TRUE</v>
      </c>
      <c r="K361" s="10" t="b">
        <f>Github!M$584</f>
        <v>1</v>
      </c>
      <c r="L361" s="10" t="b">
        <f>Github!N$584</f>
        <v>0</v>
      </c>
      <c r="M361" s="10" t="str">
        <f>ROUND(Github!O$584, 2)&amp;"%"</f>
        <v>55.3%</v>
      </c>
      <c r="N361" s="10">
        <f>Github!P$584</f>
        <v>109421</v>
      </c>
      <c r="O361" s="10">
        <f>Github!Q$584</f>
        <v>197867</v>
      </c>
    </row>
    <row r="362">
      <c r="A362" s="10">
        <f>Github!J$390</f>
        <v>389</v>
      </c>
      <c r="B362" s="11" t="str">
        <f>HYPERLINK(CONCAT("http://leetcode.com/problems/",Github!C$390), Github!B$390)</f>
        <v>Find the Difference</v>
      </c>
      <c r="C362" s="10">
        <f>Github!F$390</f>
        <v>2607</v>
      </c>
      <c r="D362" s="10">
        <f>Github!G$390</f>
        <v>373</v>
      </c>
      <c r="E362" s="10">
        <f>Github!F$390+Github!G$390</f>
        <v>2980</v>
      </c>
      <c r="F362" s="12">
        <f t="shared" si="1"/>
        <v>6.99</v>
      </c>
      <c r="G362" s="10" t="str">
        <f>Github!H$390</f>
        <v>Algorithms</v>
      </c>
      <c r="H362" s="13" t="str">
        <f>SUBSTITUTE(Github!L$390, ";", ", ")</f>
        <v>Hash Table, String, Bit Manipulation, Sorting, </v>
      </c>
      <c r="I362" s="10" t="str">
        <f>Github!E$390</f>
        <v>Easy</v>
      </c>
      <c r="J362" s="10" t="str">
        <f>IF(TRIM(Github!D$390)="TRUE","FALSE","TRUE")</f>
        <v>TRUE</v>
      </c>
      <c r="K362" s="10" t="b">
        <f>Github!M$390</f>
        <v>1</v>
      </c>
      <c r="L362" s="10" t="b">
        <f>Github!N$390</f>
        <v>0</v>
      </c>
      <c r="M362" s="10" t="str">
        <f>ROUND(Github!O$390, 2)&amp;"%"</f>
        <v>60.48%</v>
      </c>
      <c r="N362" s="10">
        <f>Github!P$390</f>
        <v>373292</v>
      </c>
      <c r="O362" s="10">
        <f>Github!Q$390</f>
        <v>617198</v>
      </c>
    </row>
    <row r="363">
      <c r="A363" s="10">
        <f>Github!J$60</f>
        <v>59</v>
      </c>
      <c r="B363" s="11" t="str">
        <f>HYPERLINK(CONCAT("http://leetcode.com/problems/",Github!C$60), Github!B$60)</f>
        <v>Spiral Matrix II</v>
      </c>
      <c r="C363" s="10">
        <f>Github!F$60</f>
        <v>2608</v>
      </c>
      <c r="D363" s="10">
        <f>Github!G$60</f>
        <v>163</v>
      </c>
      <c r="E363" s="10">
        <f>Github!F$60+Github!G$60</f>
        <v>2771</v>
      </c>
      <c r="F363" s="12">
        <f t="shared" si="1"/>
        <v>16</v>
      </c>
      <c r="G363" s="10" t="str">
        <f>Github!H$60</f>
        <v>Algorithms</v>
      </c>
      <c r="H363" s="13" t="str">
        <f>SUBSTITUTE(Github!L$60, ";", ", ")</f>
        <v>Array, Matrix, Simulation, </v>
      </c>
      <c r="I363" s="10" t="str">
        <f>Github!E$60</f>
        <v>Medium</v>
      </c>
      <c r="J363" s="10" t="str">
        <f>IF(TRIM(Github!D$60)="TRUE","FALSE","TRUE")</f>
        <v>TRUE</v>
      </c>
      <c r="K363" s="10" t="b">
        <f>Github!M$60</f>
        <v>1</v>
      </c>
      <c r="L363" s="10" t="b">
        <f>Github!N$60</f>
        <v>0</v>
      </c>
      <c r="M363" s="10" t="str">
        <f>ROUND(Github!O$60, 2)&amp;"%"</f>
        <v>61.97%</v>
      </c>
      <c r="N363" s="10">
        <f>Github!P$60</f>
        <v>307790</v>
      </c>
      <c r="O363" s="10">
        <f>Github!Q$60</f>
        <v>496700</v>
      </c>
    </row>
    <row r="364">
      <c r="A364" s="10">
        <f>Github!J$994</f>
        <v>993</v>
      </c>
      <c r="B364" s="11" t="str">
        <f>HYPERLINK(CONCAT("http://leetcode.com/problems/",Github!C$994), Github!B$994)</f>
        <v>Cousins in Binary Tree</v>
      </c>
      <c r="C364" s="10">
        <f>Github!F$994</f>
        <v>2605</v>
      </c>
      <c r="D364" s="10">
        <f>Github!G$994</f>
        <v>136</v>
      </c>
      <c r="E364" s="10">
        <f>Github!F$994+Github!G$994</f>
        <v>2741</v>
      </c>
      <c r="F364" s="12">
        <f t="shared" si="1"/>
        <v>19.15</v>
      </c>
      <c r="G364" s="10" t="str">
        <f>Github!H$994</f>
        <v>Algorithms</v>
      </c>
      <c r="H364" s="13" t="str">
        <f>SUBSTITUTE(Github!L$994, ";", ", ")</f>
        <v>Tree, Depth-First Search, Breadth-First Search, Binary Tree, </v>
      </c>
      <c r="I364" s="10" t="str">
        <f>Github!E$994</f>
        <v>Easy</v>
      </c>
      <c r="J364" s="10" t="str">
        <f>IF(TRIM(Github!D$994)="TRUE","FALSE","TRUE")</f>
        <v>TRUE</v>
      </c>
      <c r="K364" s="10" t="b">
        <f>Github!M$994</f>
        <v>1</v>
      </c>
      <c r="L364" s="10" t="b">
        <f>Github!N$994</f>
        <v>0</v>
      </c>
      <c r="M364" s="10" t="str">
        <f>ROUND(Github!O$994, 2)&amp;"%"</f>
        <v>53.76%</v>
      </c>
      <c r="N364" s="10">
        <f>Github!P$994</f>
        <v>200926</v>
      </c>
      <c r="O364" s="10">
        <f>Github!Q$994</f>
        <v>373739</v>
      </c>
    </row>
    <row r="365">
      <c r="A365" s="10">
        <f>Github!J$344</f>
        <v>343</v>
      </c>
      <c r="B365" s="11" t="str">
        <f>HYPERLINK(CONCAT("http://leetcode.com/problems/",Github!C$344), Github!B$344)</f>
        <v>Integer Break</v>
      </c>
      <c r="C365" s="10">
        <f>Github!F$344</f>
        <v>2589</v>
      </c>
      <c r="D365" s="10">
        <f>Github!G$344</f>
        <v>317</v>
      </c>
      <c r="E365" s="10">
        <f>Github!F$344+Github!G$344</f>
        <v>2906</v>
      </c>
      <c r="F365" s="12">
        <f t="shared" si="1"/>
        <v>8.17</v>
      </c>
      <c r="G365" s="10" t="str">
        <f>Github!H$344</f>
        <v>Algorithms</v>
      </c>
      <c r="H365" s="13" t="str">
        <f>SUBSTITUTE(Github!L$344, ";", ", ")</f>
        <v>Math, Dynamic Programming, </v>
      </c>
      <c r="I365" s="10" t="str">
        <f>Github!E$344</f>
        <v>Medium</v>
      </c>
      <c r="J365" s="10" t="str">
        <f>IF(TRIM(Github!D$344)="TRUE","FALSE","TRUE")</f>
        <v>TRUE</v>
      </c>
      <c r="K365" s="10" t="b">
        <f>Github!M$344</f>
        <v>0</v>
      </c>
      <c r="L365" s="10" t="b">
        <f>Github!N$344</f>
        <v>0</v>
      </c>
      <c r="M365" s="10" t="str">
        <f>ROUND(Github!O$344, 2)&amp;"%"</f>
        <v>53.76%</v>
      </c>
      <c r="N365" s="10">
        <f>Github!P$344</f>
        <v>177476</v>
      </c>
      <c r="O365" s="10">
        <f>Github!Q$344</f>
        <v>330102</v>
      </c>
    </row>
    <row r="366">
      <c r="A366" s="10">
        <f>Github!J$30</f>
        <v>29</v>
      </c>
      <c r="B366" s="11" t="str">
        <f>HYPERLINK(CONCAT("http://leetcode.com/problems/",Github!C$30), Github!B$30)</f>
        <v>Divide Two Integers</v>
      </c>
      <c r="C366" s="10">
        <f>Github!F$30</f>
        <v>2579</v>
      </c>
      <c r="D366" s="10">
        <f>Github!G$30</f>
        <v>9085</v>
      </c>
      <c r="E366" s="10">
        <f>Github!F$30+Github!G$30</f>
        <v>11664</v>
      </c>
      <c r="F366" s="12">
        <f t="shared" si="1"/>
        <v>0.28</v>
      </c>
      <c r="G366" s="10" t="str">
        <f>Github!H$30</f>
        <v>Algorithms</v>
      </c>
      <c r="H366" s="13" t="str">
        <f>SUBSTITUTE(Github!L$30, ";", ", ")</f>
        <v>Math, Bit Manipulation, </v>
      </c>
      <c r="I366" s="10" t="str">
        <f>Github!E$30</f>
        <v>Medium</v>
      </c>
      <c r="J366" s="10" t="str">
        <f>IF(TRIM(Github!D$30)="TRUE","FALSE","TRUE")</f>
        <v>TRUE</v>
      </c>
      <c r="K366" s="10" t="b">
        <f>Github!M$30</f>
        <v>1</v>
      </c>
      <c r="L366" s="10" t="b">
        <f>Github!N$30</f>
        <v>0</v>
      </c>
      <c r="M366" s="10" t="str">
        <f>ROUND(Github!O$30, 2)&amp;"%"</f>
        <v>17.05%</v>
      </c>
      <c r="N366" s="10">
        <f>Github!P$30</f>
        <v>452629</v>
      </c>
      <c r="O366" s="10">
        <f>Github!Q$30</f>
        <v>2655484</v>
      </c>
    </row>
    <row r="367">
      <c r="A367" s="10">
        <f>Github!J$350</f>
        <v>349</v>
      </c>
      <c r="B367" s="11" t="str">
        <f>HYPERLINK(CONCAT("http://leetcode.com/problems/",Github!C$350), Github!B$350)</f>
        <v>Intersection of Two Arrays</v>
      </c>
      <c r="C367" s="10">
        <f>Github!F$350</f>
        <v>2580</v>
      </c>
      <c r="D367" s="10">
        <f>Github!G$350</f>
        <v>1860</v>
      </c>
      <c r="E367" s="10">
        <f>Github!F$350+Github!G$350</f>
        <v>4440</v>
      </c>
      <c r="F367" s="12">
        <f t="shared" si="1"/>
        <v>1.39</v>
      </c>
      <c r="G367" s="10" t="str">
        <f>Github!H$350</f>
        <v>Algorithms</v>
      </c>
      <c r="H367" s="13" t="str">
        <f>SUBSTITUTE(Github!L$350, ";", ", ")</f>
        <v>Array, Hash Table, Two Pointers, Binary Search, Sorting, </v>
      </c>
      <c r="I367" s="10" t="str">
        <f>Github!E$350</f>
        <v>Easy</v>
      </c>
      <c r="J367" s="10" t="str">
        <f>IF(TRIM(Github!D$350)="TRUE","FALSE","TRUE")</f>
        <v>TRUE</v>
      </c>
      <c r="K367" s="10" t="b">
        <f>Github!M$350</f>
        <v>1</v>
      </c>
      <c r="L367" s="10" t="b">
        <f>Github!N$350</f>
        <v>0</v>
      </c>
      <c r="M367" s="10" t="str">
        <f>ROUND(Github!O$350, 2)&amp;"%"</f>
        <v>68.61%</v>
      </c>
      <c r="N367" s="10">
        <f>Github!P$350</f>
        <v>628357</v>
      </c>
      <c r="O367" s="10">
        <f>Github!Q$350</f>
        <v>915786</v>
      </c>
    </row>
    <row r="368">
      <c r="A368" s="10">
        <f>Github!J$408</f>
        <v>407</v>
      </c>
      <c r="B368" s="11" t="str">
        <f>HYPERLINK(CONCAT("http://leetcode.com/problems/",Github!C$408), Github!B$408)</f>
        <v>Trapping Rain Water II</v>
      </c>
      <c r="C368" s="10">
        <f>Github!F$408</f>
        <v>2576</v>
      </c>
      <c r="D368" s="10">
        <f>Github!G$408</f>
        <v>57</v>
      </c>
      <c r="E368" s="10">
        <f>Github!F$408+Github!G$408</f>
        <v>2633</v>
      </c>
      <c r="F368" s="12">
        <f t="shared" si="1"/>
        <v>45.19</v>
      </c>
      <c r="G368" s="10" t="str">
        <f>Github!H$408</f>
        <v>Algorithms</v>
      </c>
      <c r="H368" s="13" t="str">
        <f>SUBSTITUTE(Github!L$408, ";", ", ")</f>
        <v>Array, Breadth-First Search, Heap (Priority Queue), Matrix, </v>
      </c>
      <c r="I368" s="10" t="str">
        <f>Github!E$408</f>
        <v>Hard</v>
      </c>
      <c r="J368" s="10" t="str">
        <f>IF(TRIM(Github!D$408)="TRUE","FALSE","TRUE")</f>
        <v>TRUE</v>
      </c>
      <c r="K368" s="10" t="b">
        <f>Github!M$408</f>
        <v>0</v>
      </c>
      <c r="L368" s="10" t="b">
        <f>Github!N$408</f>
        <v>0</v>
      </c>
      <c r="M368" s="10" t="str">
        <f>ROUND(Github!O$408, 2)&amp;"%"</f>
        <v>46.75%</v>
      </c>
      <c r="N368" s="10">
        <f>Github!P$408</f>
        <v>66476</v>
      </c>
      <c r="O368" s="10">
        <f>Github!Q$408</f>
        <v>142202</v>
      </c>
    </row>
    <row r="369">
      <c r="A369" s="10">
        <f>Github!J$701</f>
        <v>700</v>
      </c>
      <c r="B369" s="11" t="str">
        <f>HYPERLINK(CONCAT("http://leetcode.com/problems/",Github!C$701), Github!B$701)</f>
        <v>Search in a Binary Search Tree</v>
      </c>
      <c r="C369" s="10">
        <f>Github!F$701</f>
        <v>2577</v>
      </c>
      <c r="D369" s="10">
        <f>Github!G$701</f>
        <v>141</v>
      </c>
      <c r="E369" s="10">
        <f>Github!F$701+Github!G$701</f>
        <v>2718</v>
      </c>
      <c r="F369" s="12">
        <f t="shared" si="1"/>
        <v>18.28</v>
      </c>
      <c r="G369" s="10" t="str">
        <f>Github!H$701</f>
        <v>Algorithms</v>
      </c>
      <c r="H369" s="13" t="str">
        <f>SUBSTITUTE(Github!L$701, ";", ", ")</f>
        <v>Tree, Binary Search Tree, Binary Tree, </v>
      </c>
      <c r="I369" s="10" t="str">
        <f>Github!E$701</f>
        <v>Easy</v>
      </c>
      <c r="J369" s="10" t="str">
        <f>IF(TRIM(Github!D$701)="TRUE","FALSE","TRUE")</f>
        <v>TRUE</v>
      </c>
      <c r="K369" s="10" t="b">
        <f>Github!M$701</f>
        <v>1</v>
      </c>
      <c r="L369" s="10" t="b">
        <f>Github!N$701</f>
        <v>0</v>
      </c>
      <c r="M369" s="10" t="str">
        <f>ROUND(Github!O$701, 2)&amp;"%"</f>
        <v>75.18%</v>
      </c>
      <c r="N369" s="10">
        <f>Github!P$701</f>
        <v>404238</v>
      </c>
      <c r="O369" s="10">
        <f>Github!Q$701</f>
        <v>537670</v>
      </c>
    </row>
    <row r="370">
      <c r="A370" s="10">
        <f>Github!J$494</f>
        <v>493</v>
      </c>
      <c r="B370" s="11" t="str">
        <f>HYPERLINK(CONCAT("http://leetcode.com/problems/",Github!C$494), Github!B$494)</f>
        <v>Reverse Pairs</v>
      </c>
      <c r="C370" s="10">
        <f>Github!F$494</f>
        <v>2573</v>
      </c>
      <c r="D370" s="10">
        <f>Github!G$494</f>
        <v>174</v>
      </c>
      <c r="E370" s="10">
        <f>Github!F$494+Github!G$494</f>
        <v>2747</v>
      </c>
      <c r="F370" s="12">
        <f t="shared" si="1"/>
        <v>14.79</v>
      </c>
      <c r="G370" s="10" t="str">
        <f>Github!H$494</f>
        <v>Algorithms</v>
      </c>
      <c r="H370" s="13" t="str">
        <f>SUBSTITUTE(Github!L$494, ";", ", ")</f>
        <v>Array, Binary Search, Divide and Conquer, Binary Indexed Tree, Segment Tree, Merge Sort, Ordered Set, </v>
      </c>
      <c r="I370" s="10" t="str">
        <f>Github!E$494</f>
        <v>Hard</v>
      </c>
      <c r="J370" s="10" t="str">
        <f>IF(TRIM(Github!D$494)="TRUE","FALSE","TRUE")</f>
        <v>TRUE</v>
      </c>
      <c r="K370" s="10" t="b">
        <f>Github!M$494</f>
        <v>0</v>
      </c>
      <c r="L370" s="10" t="b">
        <f>Github!N$494</f>
        <v>0</v>
      </c>
      <c r="M370" s="10" t="str">
        <f>ROUND(Github!O$494, 2)&amp;"%"</f>
        <v>29.68%</v>
      </c>
      <c r="N370" s="10">
        <f>Github!P$494</f>
        <v>77962</v>
      </c>
      <c r="O370" s="10">
        <f>Github!Q$494</f>
        <v>262723</v>
      </c>
    </row>
    <row r="371">
      <c r="A371" s="10">
        <f>Github!J$337</f>
        <v>336</v>
      </c>
      <c r="B371" s="11" t="str">
        <f>HYPERLINK(CONCAT("http://leetcode.com/problems/",Github!C$337), Github!B$337)</f>
        <v>Palindrome Pairs</v>
      </c>
      <c r="C371" s="10">
        <f>Github!F$337</f>
        <v>2567</v>
      </c>
      <c r="D371" s="10">
        <f>Github!G$337</f>
        <v>230</v>
      </c>
      <c r="E371" s="10">
        <f>Github!F$337+Github!G$337</f>
        <v>2797</v>
      </c>
      <c r="F371" s="12">
        <f t="shared" si="1"/>
        <v>11.16</v>
      </c>
      <c r="G371" s="10" t="str">
        <f>Github!H$337</f>
        <v>Algorithms</v>
      </c>
      <c r="H371" s="13" t="str">
        <f>SUBSTITUTE(Github!L$337, ";", ", ")</f>
        <v>Array, Hash Table, String, Trie, </v>
      </c>
      <c r="I371" s="10" t="str">
        <f>Github!E$337</f>
        <v>Hard</v>
      </c>
      <c r="J371" s="10" t="str">
        <f>IF(TRIM(Github!D$337)="TRUE","FALSE","TRUE")</f>
        <v>TRUE</v>
      </c>
      <c r="K371" s="10" t="b">
        <f>Github!M$337</f>
        <v>1</v>
      </c>
      <c r="L371" s="10" t="b">
        <f>Github!N$337</f>
        <v>0</v>
      </c>
      <c r="M371" s="10" t="str">
        <f>ROUND(Github!O$337, 2)&amp;"%"</f>
        <v>35.98%</v>
      </c>
      <c r="N371" s="10">
        <f>Github!P$337</f>
        <v>144943</v>
      </c>
      <c r="O371" s="10">
        <f>Github!Q$337</f>
        <v>402834</v>
      </c>
    </row>
    <row r="372">
      <c r="A372" s="10">
        <f>Github!J$450</f>
        <v>449</v>
      </c>
      <c r="B372" s="11" t="str">
        <f>HYPERLINK(CONCAT("http://leetcode.com/problems/",Github!C$450), Github!B$450)</f>
        <v>Serialize and Deserialize BST</v>
      </c>
      <c r="C372" s="10">
        <f>Github!F$450</f>
        <v>2564</v>
      </c>
      <c r="D372" s="10">
        <f>Github!G$450</f>
        <v>127</v>
      </c>
      <c r="E372" s="10">
        <f>Github!F$450+Github!G$450</f>
        <v>2691</v>
      </c>
      <c r="F372" s="12">
        <f t="shared" si="1"/>
        <v>20.19</v>
      </c>
      <c r="G372" s="10" t="str">
        <f>Github!H$450</f>
        <v>Algorithms</v>
      </c>
      <c r="H372" s="13" t="str">
        <f>SUBSTITUTE(Github!L$450, ";", ", ")</f>
        <v>String, Tree, Depth-First Search, Breadth-First Search, Design, Binary Search Tree, Binary Tree, </v>
      </c>
      <c r="I372" s="10" t="str">
        <f>Github!E$450</f>
        <v>Medium</v>
      </c>
      <c r="J372" s="10" t="str">
        <f>IF(TRIM(Github!D$450)="TRUE","FALSE","TRUE")</f>
        <v>TRUE</v>
      </c>
      <c r="K372" s="10" t="b">
        <f>Github!M$450</f>
        <v>1</v>
      </c>
      <c r="L372" s="10" t="b">
        <f>Github!N$450</f>
        <v>0</v>
      </c>
      <c r="M372" s="10" t="str">
        <f>ROUND(Github!O$450, 2)&amp;"%"</f>
        <v>55.99%</v>
      </c>
      <c r="N372" s="10">
        <f>Github!P$450</f>
        <v>186883</v>
      </c>
      <c r="O372" s="10">
        <f>Github!Q$450</f>
        <v>333778</v>
      </c>
    </row>
    <row r="373">
      <c r="A373" s="10">
        <f>Github!J$94</f>
        <v>93</v>
      </c>
      <c r="B373" s="11" t="str">
        <f>HYPERLINK(CONCAT("http://leetcode.com/problems/",Github!C$94), Github!B$94)</f>
        <v>Restore IP Addresses</v>
      </c>
      <c r="C373" s="10">
        <f>Github!F$94</f>
        <v>2564</v>
      </c>
      <c r="D373" s="10">
        <f>Github!G$94</f>
        <v>620</v>
      </c>
      <c r="E373" s="10">
        <f>Github!F$94+Github!G$94</f>
        <v>3184</v>
      </c>
      <c r="F373" s="12">
        <f t="shared" si="1"/>
        <v>4.14</v>
      </c>
      <c r="G373" s="10" t="str">
        <f>Github!H$94</f>
        <v>Algorithms</v>
      </c>
      <c r="H373" s="13" t="str">
        <f>SUBSTITUTE(Github!L$94, ";", ", ")</f>
        <v>String, Backtracking, </v>
      </c>
      <c r="I373" s="10" t="str">
        <f>Github!E$94</f>
        <v>Medium</v>
      </c>
      <c r="J373" s="10" t="str">
        <f>IF(TRIM(Github!D$94)="TRUE","FALSE","TRUE")</f>
        <v>TRUE</v>
      </c>
      <c r="K373" s="10" t="b">
        <f>Github!M$94</f>
        <v>1</v>
      </c>
      <c r="L373" s="10" t="b">
        <f>Github!N$94</f>
        <v>0</v>
      </c>
      <c r="M373" s="10" t="str">
        <f>ROUND(Github!O$94, 2)&amp;"%"</f>
        <v>41.37%</v>
      </c>
      <c r="N373" s="10">
        <f>Github!P$94</f>
        <v>288141</v>
      </c>
      <c r="O373" s="10">
        <f>Github!Q$94</f>
        <v>696578</v>
      </c>
    </row>
    <row r="374">
      <c r="A374" s="10">
        <f>Github!J$377</f>
        <v>376</v>
      </c>
      <c r="B374" s="11" t="str">
        <f>HYPERLINK(CONCAT("http://leetcode.com/problems/",Github!C$377), Github!B$377)</f>
        <v>Wiggle Subsequence</v>
      </c>
      <c r="C374" s="10">
        <f>Github!F$377</f>
        <v>2538</v>
      </c>
      <c r="D374" s="10">
        <f>Github!G$377</f>
        <v>88</v>
      </c>
      <c r="E374" s="10">
        <f>Github!F$377+Github!G$377</f>
        <v>2626</v>
      </c>
      <c r="F374" s="12">
        <f t="shared" si="1"/>
        <v>28.84</v>
      </c>
      <c r="G374" s="10" t="str">
        <f>Github!H$377</f>
        <v>Algorithms</v>
      </c>
      <c r="H374" s="13" t="str">
        <f>SUBSTITUTE(Github!L$377, ";", ", ")</f>
        <v>Array, Dynamic Programming, Greedy, </v>
      </c>
      <c r="I374" s="10" t="str">
        <f>Github!E$377</f>
        <v>Medium</v>
      </c>
      <c r="J374" s="10" t="str">
        <f>IF(TRIM(Github!D$377)="TRUE","FALSE","TRUE")</f>
        <v>TRUE</v>
      </c>
      <c r="K374" s="10" t="b">
        <f>Github!M$377</f>
        <v>1</v>
      </c>
      <c r="L374" s="10" t="b">
        <f>Github!N$377</f>
        <v>0</v>
      </c>
      <c r="M374" s="10" t="str">
        <f>ROUND(Github!O$377, 2)&amp;"%"</f>
        <v>44.62%</v>
      </c>
      <c r="N374" s="10">
        <f>Github!P$377</f>
        <v>132038</v>
      </c>
      <c r="O374" s="10">
        <f>Github!Q$377</f>
        <v>295923</v>
      </c>
    </row>
    <row r="375">
      <c r="A375" s="10">
        <f>Github!J$906</f>
        <v>905</v>
      </c>
      <c r="B375" s="11" t="str">
        <f>HYPERLINK(CONCAT("http://leetcode.com/problems/",Github!C$906), Github!B$906)</f>
        <v>Sort Array By Parity</v>
      </c>
      <c r="C375" s="10">
        <f>Github!F$906</f>
        <v>2536</v>
      </c>
      <c r="D375" s="10">
        <f>Github!G$906</f>
        <v>111</v>
      </c>
      <c r="E375" s="10">
        <f>Github!F$906+Github!G$906</f>
        <v>2647</v>
      </c>
      <c r="F375" s="12">
        <f t="shared" si="1"/>
        <v>22.85</v>
      </c>
      <c r="G375" s="10" t="str">
        <f>Github!H$906</f>
        <v>Algorithms</v>
      </c>
      <c r="H375" s="13" t="str">
        <f>SUBSTITUTE(Github!L$906, ";", ", ")</f>
        <v>Array, Two Pointers, Sorting, </v>
      </c>
      <c r="I375" s="10" t="str">
        <f>Github!E$906</f>
        <v>Easy</v>
      </c>
      <c r="J375" s="10" t="str">
        <f>IF(TRIM(Github!D$906)="TRUE","FALSE","TRUE")</f>
        <v>TRUE</v>
      </c>
      <c r="K375" s="10" t="b">
        <f>Github!M$906</f>
        <v>1</v>
      </c>
      <c r="L375" s="10" t="b">
        <f>Github!N$906</f>
        <v>0</v>
      </c>
      <c r="M375" s="10" t="str">
        <f>ROUND(Github!O$906, 2)&amp;"%"</f>
        <v>74.78%</v>
      </c>
      <c r="N375" s="10">
        <f>Github!P$906</f>
        <v>423633</v>
      </c>
      <c r="O375" s="10">
        <f>Github!Q$906</f>
        <v>566503</v>
      </c>
    </row>
    <row r="376">
      <c r="A376" s="10">
        <f>Github!J$558</f>
        <v>557</v>
      </c>
      <c r="B376" s="11" t="str">
        <f>HYPERLINK(CONCAT("http://leetcode.com/problems/",Github!C$558), Github!B$558)</f>
        <v>Reverse Words in a String III</v>
      </c>
      <c r="C376" s="10">
        <f>Github!F$558</f>
        <v>2526</v>
      </c>
      <c r="D376" s="10">
        <f>Github!G$558</f>
        <v>151</v>
      </c>
      <c r="E376" s="10">
        <f>Github!F$558+Github!G$558</f>
        <v>2677</v>
      </c>
      <c r="F376" s="12">
        <f t="shared" si="1"/>
        <v>16.73</v>
      </c>
      <c r="G376" s="10" t="str">
        <f>Github!H$558</f>
        <v>Algorithms</v>
      </c>
      <c r="H376" s="13" t="str">
        <f>SUBSTITUTE(Github!L$558, ";", ", ")</f>
        <v>Two Pointers, String, </v>
      </c>
      <c r="I376" s="10" t="str">
        <f>Github!E$558</f>
        <v>Easy</v>
      </c>
      <c r="J376" s="10" t="str">
        <f>IF(TRIM(Github!D$558)="TRUE","FALSE","TRUE")</f>
        <v>TRUE</v>
      </c>
      <c r="K376" s="10" t="b">
        <f>Github!M$558</f>
        <v>1</v>
      </c>
      <c r="L376" s="10" t="b">
        <f>Github!N$558</f>
        <v>0</v>
      </c>
      <c r="M376" s="10" t="str">
        <f>ROUND(Github!O$558, 2)&amp;"%"</f>
        <v>78.01%</v>
      </c>
      <c r="N376" s="10">
        <f>Github!P$558</f>
        <v>407915</v>
      </c>
      <c r="O376" s="10">
        <f>Github!Q$558</f>
        <v>522885</v>
      </c>
    </row>
    <row r="377">
      <c r="A377" s="10">
        <f>Github!J$969</f>
        <v>968</v>
      </c>
      <c r="B377" s="11" t="str">
        <f>HYPERLINK(CONCAT("http://leetcode.com/problems/",Github!C$969), Github!B$969)</f>
        <v>Binary Tree Cameras</v>
      </c>
      <c r="C377" s="10">
        <f>Github!F$969</f>
        <v>2527</v>
      </c>
      <c r="D377" s="10">
        <f>Github!G$969</f>
        <v>33</v>
      </c>
      <c r="E377" s="10">
        <f>Github!F$969+Github!G$969</f>
        <v>2560</v>
      </c>
      <c r="F377" s="12">
        <f t="shared" si="1"/>
        <v>76.58</v>
      </c>
      <c r="G377" s="10" t="str">
        <f>Github!H$969</f>
        <v>Algorithms</v>
      </c>
      <c r="H377" s="13" t="str">
        <f>SUBSTITUTE(Github!L$969, ";", ", ")</f>
        <v>Dynamic Programming, Tree, Depth-First Search, Binary Tree, </v>
      </c>
      <c r="I377" s="10" t="str">
        <f>Github!E$969</f>
        <v>Hard</v>
      </c>
      <c r="J377" s="10" t="str">
        <f>IF(TRIM(Github!D$969)="TRUE","FALSE","TRUE")</f>
        <v>TRUE</v>
      </c>
      <c r="K377" s="10" t="b">
        <f>Github!M$969</f>
        <v>1</v>
      </c>
      <c r="L377" s="10" t="b">
        <f>Github!N$969</f>
        <v>0</v>
      </c>
      <c r="M377" s="10" t="str">
        <f>ROUND(Github!O$969, 2)&amp;"%"</f>
        <v>41.72%</v>
      </c>
      <c r="N377" s="10">
        <f>Github!P$969</f>
        <v>61621</v>
      </c>
      <c r="O377" s="10">
        <f>Github!Q$969</f>
        <v>147701</v>
      </c>
    </row>
    <row r="378">
      <c r="A378" s="10">
        <f>Github!J$1307</f>
        <v>1306</v>
      </c>
      <c r="B378" s="11" t="str">
        <f>HYPERLINK(CONCAT("http://leetcode.com/problems/",Github!C$1307), Github!B$1307)</f>
        <v>Jump Game III</v>
      </c>
      <c r="C378" s="10">
        <f>Github!F$1307</f>
        <v>2521</v>
      </c>
      <c r="D378" s="10">
        <f>Github!G$1307</f>
        <v>60</v>
      </c>
      <c r="E378" s="10">
        <f>Github!F$1307+Github!G$1307</f>
        <v>2581</v>
      </c>
      <c r="F378" s="12">
        <f t="shared" si="1"/>
        <v>42.02</v>
      </c>
      <c r="G378" s="10" t="str">
        <f>Github!H$1307</f>
        <v>Algorithms</v>
      </c>
      <c r="H378" s="13" t="str">
        <f>SUBSTITUTE(Github!L$1307, ";", ", ")</f>
        <v>Array, Depth-First Search, Breadth-First Search, </v>
      </c>
      <c r="I378" s="10" t="str">
        <f>Github!E$1307</f>
        <v>Medium</v>
      </c>
      <c r="J378" s="10" t="str">
        <f>IF(TRIM(Github!D$1307)="TRUE","FALSE","TRUE")</f>
        <v>TRUE</v>
      </c>
      <c r="K378" s="10" t="b">
        <f>Github!M$1307</f>
        <v>1</v>
      </c>
      <c r="L378" s="10" t="b">
        <f>Github!N$1307</f>
        <v>1</v>
      </c>
      <c r="M378" s="10" t="str">
        <f>ROUND(Github!O$1307, 2)&amp;"%"</f>
        <v>62.62%</v>
      </c>
      <c r="N378" s="10">
        <f>Github!P$1307</f>
        <v>136082</v>
      </c>
      <c r="O378" s="10">
        <f>Github!Q$1307</f>
        <v>217321</v>
      </c>
    </row>
    <row r="379">
      <c r="A379" s="10">
        <f>Github!J$629</f>
        <v>628</v>
      </c>
      <c r="B379" s="11" t="str">
        <f>HYPERLINK(CONCAT("http://leetcode.com/problems/",Github!C$629), Github!B$629)</f>
        <v>Maximum Product of Three Numbers</v>
      </c>
      <c r="C379" s="10">
        <f>Github!F$629</f>
        <v>2519</v>
      </c>
      <c r="D379" s="10">
        <f>Github!G$629</f>
        <v>513</v>
      </c>
      <c r="E379" s="10">
        <f>Github!F$629+Github!G$629</f>
        <v>3032</v>
      </c>
      <c r="F379" s="12">
        <f t="shared" si="1"/>
        <v>4.91</v>
      </c>
      <c r="G379" s="10" t="str">
        <f>Github!H$629</f>
        <v>Algorithms</v>
      </c>
      <c r="H379" s="13" t="str">
        <f>SUBSTITUTE(Github!L$629, ";", ", ")</f>
        <v>Array, Math, Sorting, </v>
      </c>
      <c r="I379" s="10" t="str">
        <f>Github!E$629</f>
        <v>Easy</v>
      </c>
      <c r="J379" s="10" t="str">
        <f>IF(TRIM(Github!D$629)="TRUE","FALSE","TRUE")</f>
        <v>TRUE</v>
      </c>
      <c r="K379" s="10" t="b">
        <f>Github!M$629</f>
        <v>1</v>
      </c>
      <c r="L379" s="10" t="b">
        <f>Github!N$629</f>
        <v>0</v>
      </c>
      <c r="M379" s="10" t="str">
        <f>ROUND(Github!O$629, 2)&amp;"%"</f>
        <v>46.78%</v>
      </c>
      <c r="N379" s="10">
        <f>Github!P$629</f>
        <v>199412</v>
      </c>
      <c r="O379" s="10">
        <f>Github!Q$629</f>
        <v>426238</v>
      </c>
    </row>
    <row r="380">
      <c r="A380" s="10">
        <f>Github!J$850</f>
        <v>849</v>
      </c>
      <c r="B380" s="11" t="str">
        <f>HYPERLINK(CONCAT("http://leetcode.com/problems/",Github!C$850), Github!B$850)</f>
        <v>Maximize Distance to Closest Person</v>
      </c>
      <c r="C380" s="10">
        <f>Github!F$850</f>
        <v>2515</v>
      </c>
      <c r="D380" s="10">
        <f>Github!G$850</f>
        <v>162</v>
      </c>
      <c r="E380" s="10">
        <f>Github!F$850+Github!G$850</f>
        <v>2677</v>
      </c>
      <c r="F380" s="12">
        <f t="shared" si="1"/>
        <v>15.52</v>
      </c>
      <c r="G380" s="10" t="str">
        <f>Github!H$850</f>
        <v>Algorithms</v>
      </c>
      <c r="H380" s="13" t="str">
        <f>SUBSTITUTE(Github!L$850, ";", ", ")</f>
        <v>Array, </v>
      </c>
      <c r="I380" s="10" t="str">
        <f>Github!E$850</f>
        <v>Medium</v>
      </c>
      <c r="J380" s="10" t="str">
        <f>IF(TRIM(Github!D$850)="TRUE","FALSE","TRUE")</f>
        <v>TRUE</v>
      </c>
      <c r="K380" s="10" t="b">
        <f>Github!M$850</f>
        <v>1</v>
      </c>
      <c r="L380" s="10" t="b">
        <f>Github!N$850</f>
        <v>0</v>
      </c>
      <c r="M380" s="10" t="str">
        <f>ROUND(Github!O$850, 2)&amp;"%"</f>
        <v>47.43%</v>
      </c>
      <c r="N380" s="10">
        <f>Github!P$850</f>
        <v>167297</v>
      </c>
      <c r="O380" s="10">
        <f>Github!Q$850</f>
        <v>352735</v>
      </c>
    </row>
    <row r="381">
      <c r="A381" s="10">
        <f>Github!J$896</f>
        <v>895</v>
      </c>
      <c r="B381" s="11" t="str">
        <f>HYPERLINK(CONCAT("http://leetcode.com/problems/",Github!C$896), Github!B$896)</f>
        <v>Maximum Frequency Stack</v>
      </c>
      <c r="C381" s="10">
        <f>Github!F$896</f>
        <v>2490</v>
      </c>
      <c r="D381" s="10">
        <f>Github!G$896</f>
        <v>42</v>
      </c>
      <c r="E381" s="10">
        <f>Github!F$896+Github!G$896</f>
        <v>2532</v>
      </c>
      <c r="F381" s="12">
        <f t="shared" si="1"/>
        <v>59.29</v>
      </c>
      <c r="G381" s="10" t="str">
        <f>Github!H$896</f>
        <v>Algorithms</v>
      </c>
      <c r="H381" s="13" t="str">
        <f>SUBSTITUTE(Github!L$896, ";", ", ")</f>
        <v>Hash Table, Stack, Design, Ordered Set, </v>
      </c>
      <c r="I381" s="10" t="str">
        <f>Github!E$896</f>
        <v>Hard</v>
      </c>
      <c r="J381" s="10" t="str">
        <f>IF(TRIM(Github!D$896)="TRUE","FALSE","TRUE")</f>
        <v>TRUE</v>
      </c>
      <c r="K381" s="10" t="b">
        <f>Github!M$896</f>
        <v>1</v>
      </c>
      <c r="L381" s="10" t="b">
        <f>Github!N$896</f>
        <v>0</v>
      </c>
      <c r="M381" s="10" t="str">
        <f>ROUND(Github!O$896, 2)&amp;"%"</f>
        <v>64.81%</v>
      </c>
      <c r="N381" s="10">
        <f>Github!P$896</f>
        <v>91817</v>
      </c>
      <c r="O381" s="10">
        <f>Github!Q$896</f>
        <v>141672</v>
      </c>
    </row>
    <row r="382">
      <c r="A382" s="10">
        <f>Github!J$533</f>
        <v>532</v>
      </c>
      <c r="B382" s="11" t="str">
        <f>HYPERLINK(CONCAT("http://leetcode.com/problems/",Github!C$533), Github!B$533)</f>
        <v>K-diff Pairs in an Array</v>
      </c>
      <c r="C382" s="10">
        <f>Github!F$533</f>
        <v>2490</v>
      </c>
      <c r="D382" s="10">
        <f>Github!G$533</f>
        <v>2036</v>
      </c>
      <c r="E382" s="10">
        <f>Github!F$533+Github!G$533</f>
        <v>4526</v>
      </c>
      <c r="F382" s="12">
        <f t="shared" si="1"/>
        <v>1.22</v>
      </c>
      <c r="G382" s="10" t="str">
        <f>Github!H$533</f>
        <v>Algorithms</v>
      </c>
      <c r="H382" s="13" t="str">
        <f>SUBSTITUTE(Github!L$533, ";", ", ")</f>
        <v>Array, Hash Table, Two Pointers, Binary Search, Sorting, </v>
      </c>
      <c r="I382" s="10" t="str">
        <f>Github!E$533</f>
        <v>Medium</v>
      </c>
      <c r="J382" s="10" t="str">
        <f>IF(TRIM(Github!D$533)="TRUE","FALSE","TRUE")</f>
        <v>TRUE</v>
      </c>
      <c r="K382" s="10" t="b">
        <f>Github!M$533</f>
        <v>1</v>
      </c>
      <c r="L382" s="10" t="b">
        <f>Github!N$533</f>
        <v>0</v>
      </c>
      <c r="M382" s="10" t="str">
        <f>ROUND(Github!O$533, 2)&amp;"%"</f>
        <v>39.92%</v>
      </c>
      <c r="N382" s="10">
        <f>Github!P$533</f>
        <v>246345</v>
      </c>
      <c r="O382" s="10">
        <f>Github!Q$533</f>
        <v>617049</v>
      </c>
    </row>
    <row r="383">
      <c r="A383" s="10">
        <f>Github!J$742</f>
        <v>741</v>
      </c>
      <c r="B383" s="11" t="str">
        <f>HYPERLINK(CONCAT("http://leetcode.com/problems/",Github!C$742), Github!B$742)</f>
        <v>Cherry Pickup</v>
      </c>
      <c r="C383" s="10">
        <f>Github!F$742</f>
        <v>2484</v>
      </c>
      <c r="D383" s="10">
        <f>Github!G$742</f>
        <v>117</v>
      </c>
      <c r="E383" s="10">
        <f>Github!F$742+Github!G$742</f>
        <v>2601</v>
      </c>
      <c r="F383" s="12">
        <f t="shared" si="1"/>
        <v>21.23</v>
      </c>
      <c r="G383" s="10" t="str">
        <f>Github!H$742</f>
        <v>Algorithms</v>
      </c>
      <c r="H383" s="13" t="str">
        <f>SUBSTITUTE(Github!L$742, ";", ", ")</f>
        <v>Array, Dynamic Programming, Matrix, </v>
      </c>
      <c r="I383" s="10" t="str">
        <f>Github!E$742</f>
        <v>Hard</v>
      </c>
      <c r="J383" s="10" t="str">
        <f>IF(TRIM(Github!D$742)="TRUE","FALSE","TRUE")</f>
        <v>TRUE</v>
      </c>
      <c r="K383" s="10" t="b">
        <f>Github!M$742</f>
        <v>1</v>
      </c>
      <c r="L383" s="10" t="b">
        <f>Github!N$742</f>
        <v>0</v>
      </c>
      <c r="M383" s="10" t="str">
        <f>ROUND(Github!O$742, 2)&amp;"%"</f>
        <v>36.14%</v>
      </c>
      <c r="N383" s="10">
        <f>Github!P$742</f>
        <v>51255</v>
      </c>
      <c r="O383" s="10">
        <f>Github!Q$742</f>
        <v>141812</v>
      </c>
    </row>
    <row r="384">
      <c r="A384" s="10">
        <f>Github!J$410</f>
        <v>409</v>
      </c>
      <c r="B384" s="11" t="str">
        <f>HYPERLINK(CONCAT("http://leetcode.com/problems/",Github!C$410), Github!B$410)</f>
        <v>Longest Palindrome</v>
      </c>
      <c r="C384" s="10">
        <f>Github!F$410</f>
        <v>2479</v>
      </c>
      <c r="D384" s="10">
        <f>Github!G$410</f>
        <v>146</v>
      </c>
      <c r="E384" s="10">
        <f>Github!F$410+Github!G$410</f>
        <v>2625</v>
      </c>
      <c r="F384" s="12">
        <f t="shared" si="1"/>
        <v>16.98</v>
      </c>
      <c r="G384" s="10" t="str">
        <f>Github!H$410</f>
        <v>Algorithms</v>
      </c>
      <c r="H384" s="13" t="str">
        <f>SUBSTITUTE(Github!L$410, ";", ", ")</f>
        <v>Hash Table, String, Greedy, </v>
      </c>
      <c r="I384" s="10" t="str">
        <f>Github!E$410</f>
        <v>Easy</v>
      </c>
      <c r="J384" s="10" t="str">
        <f>IF(TRIM(Github!D$410)="TRUE","FALSE","TRUE")</f>
        <v>TRUE</v>
      </c>
      <c r="K384" s="10" t="b">
        <f>Github!M$410</f>
        <v>1</v>
      </c>
      <c r="L384" s="10" t="b">
        <f>Github!N$410</f>
        <v>0</v>
      </c>
      <c r="M384" s="10" t="str">
        <f>ROUND(Github!O$410, 2)&amp;"%"</f>
        <v>53.36%</v>
      </c>
      <c r="N384" s="10">
        <f>Github!P$410</f>
        <v>257789</v>
      </c>
      <c r="O384" s="10">
        <f>Github!Q$410</f>
        <v>483096</v>
      </c>
    </row>
    <row r="385">
      <c r="A385" s="10">
        <f>Github!J$1210</f>
        <v>1209</v>
      </c>
      <c r="B385" s="11" t="str">
        <f>HYPERLINK(CONCAT("http://leetcode.com/problems/",Github!C$1210), Github!B$1210)</f>
        <v>Remove All Adjacent Duplicates in String II</v>
      </c>
      <c r="C385" s="10">
        <f>Github!F$1210</f>
        <v>2470</v>
      </c>
      <c r="D385" s="10">
        <f>Github!G$1210</f>
        <v>48</v>
      </c>
      <c r="E385" s="10">
        <f>Github!F$1210+Github!G$1210</f>
        <v>2518</v>
      </c>
      <c r="F385" s="12">
        <f t="shared" si="1"/>
        <v>51.46</v>
      </c>
      <c r="G385" s="10" t="str">
        <f>Github!H$1210</f>
        <v>Algorithms</v>
      </c>
      <c r="H385" s="13" t="str">
        <f>SUBSTITUTE(Github!L$1210, ";", ", ")</f>
        <v>String, Stack, </v>
      </c>
      <c r="I385" s="10" t="str">
        <f>Github!E$1210</f>
        <v>Medium</v>
      </c>
      <c r="J385" s="10" t="str">
        <f>IF(TRIM(Github!D$1210)="TRUE","FALSE","TRUE")</f>
        <v>TRUE</v>
      </c>
      <c r="K385" s="10" t="b">
        <f>Github!M$1210</f>
        <v>1</v>
      </c>
      <c r="L385" s="10" t="b">
        <f>Github!N$1210</f>
        <v>0</v>
      </c>
      <c r="M385" s="10" t="str">
        <f>ROUND(Github!O$1210, 2)&amp;"%"</f>
        <v>56.03%</v>
      </c>
      <c r="N385" s="10">
        <f>Github!P$1210</f>
        <v>151016</v>
      </c>
      <c r="O385" s="10">
        <f>Github!Q$1210</f>
        <v>269545</v>
      </c>
    </row>
    <row r="386">
      <c r="A386" s="10">
        <f>Github!J$707</f>
        <v>706</v>
      </c>
      <c r="B386" s="11" t="str">
        <f>HYPERLINK(CONCAT("http://leetcode.com/problems/",Github!C$707), Github!B$707)</f>
        <v>Design HashMap</v>
      </c>
      <c r="C386" s="10">
        <f>Github!F$707</f>
        <v>2457</v>
      </c>
      <c r="D386" s="10">
        <f>Github!G$707</f>
        <v>262</v>
      </c>
      <c r="E386" s="10">
        <f>Github!F$707+Github!G$707</f>
        <v>2719</v>
      </c>
      <c r="F386" s="12">
        <f t="shared" si="1"/>
        <v>9.38</v>
      </c>
      <c r="G386" s="10" t="str">
        <f>Github!H$707</f>
        <v>Algorithms</v>
      </c>
      <c r="H386" s="13" t="str">
        <f>SUBSTITUTE(Github!L$707, ";", ", ")</f>
        <v>Array, Hash Table, Linked List, Design, Hash Function, </v>
      </c>
      <c r="I386" s="10" t="str">
        <f>Github!E$707</f>
        <v>Easy</v>
      </c>
      <c r="J386" s="10" t="str">
        <f>IF(TRIM(Github!D$707)="TRUE","FALSE","TRUE")</f>
        <v>TRUE</v>
      </c>
      <c r="K386" s="10" t="b">
        <f>Github!M$707</f>
        <v>1</v>
      </c>
      <c r="L386" s="10" t="b">
        <f>Github!N$707</f>
        <v>0</v>
      </c>
      <c r="M386" s="10" t="str">
        <f>ROUND(Github!O$707, 2)&amp;"%"</f>
        <v>63.78%</v>
      </c>
      <c r="N386" s="10">
        <f>Github!P$707</f>
        <v>269318</v>
      </c>
      <c r="O386" s="10">
        <f>Github!Q$707</f>
        <v>422287</v>
      </c>
    </row>
    <row r="387">
      <c r="A387" s="10">
        <f>Github!J$902</f>
        <v>901</v>
      </c>
      <c r="B387" s="11" t="str">
        <f>HYPERLINK(CONCAT("http://leetcode.com/problems/",Github!C$902), Github!B$902)</f>
        <v>Online Stock Span</v>
      </c>
      <c r="C387" s="10">
        <f>Github!F$902</f>
        <v>2440</v>
      </c>
      <c r="D387" s="10">
        <f>Github!G$902</f>
        <v>200</v>
      </c>
      <c r="E387" s="10">
        <f>Github!F$902+Github!G$902</f>
        <v>2640</v>
      </c>
      <c r="F387" s="12">
        <f t="shared" si="1"/>
        <v>12.2</v>
      </c>
      <c r="G387" s="10" t="str">
        <f>Github!H$902</f>
        <v>Algorithms</v>
      </c>
      <c r="H387" s="13" t="str">
        <f>SUBSTITUTE(Github!L$902, ";", ", ")</f>
        <v>Stack, Design, Monotonic Stack, Data Stream, </v>
      </c>
      <c r="I387" s="10" t="str">
        <f>Github!E$902</f>
        <v>Medium</v>
      </c>
      <c r="J387" s="10" t="str">
        <f>IF(TRIM(Github!D$902)="TRUE","FALSE","TRUE")</f>
        <v>TRUE</v>
      </c>
      <c r="K387" s="10" t="b">
        <f>Github!M$902</f>
        <v>0</v>
      </c>
      <c r="L387" s="10" t="b">
        <f>Github!N$902</f>
        <v>0</v>
      </c>
      <c r="M387" s="10" t="str">
        <f>ROUND(Github!O$902, 2)&amp;"%"</f>
        <v>62.95%</v>
      </c>
      <c r="N387" s="10">
        <f>Github!P$902</f>
        <v>118614</v>
      </c>
      <c r="O387" s="10">
        <f>Github!Q$902</f>
        <v>188436</v>
      </c>
    </row>
    <row r="388">
      <c r="A388" s="10">
        <f>Github!J$305</f>
        <v>304</v>
      </c>
      <c r="B388" s="11" t="str">
        <f>HYPERLINK(CONCAT("http://leetcode.com/problems/",Github!C$305), Github!B$305)</f>
        <v>Range Sum Query 2D - Immutable</v>
      </c>
      <c r="C388" s="10">
        <f>Github!F$305</f>
        <v>2434</v>
      </c>
      <c r="D388" s="10">
        <f>Github!G$305</f>
        <v>242</v>
      </c>
      <c r="E388" s="10">
        <f>Github!F$305+Github!G$305</f>
        <v>2676</v>
      </c>
      <c r="F388" s="12">
        <f t="shared" si="1"/>
        <v>10.06</v>
      </c>
      <c r="G388" s="10" t="str">
        <f>Github!H$305</f>
        <v>Algorithms</v>
      </c>
      <c r="H388" s="13" t="str">
        <f>SUBSTITUTE(Github!L$305, ";", ", ")</f>
        <v>Array, Design, Matrix, Prefix Sum, </v>
      </c>
      <c r="I388" s="10" t="str">
        <f>Github!E$305</f>
        <v>Medium</v>
      </c>
      <c r="J388" s="10" t="str">
        <f>IF(TRIM(Github!D$305)="TRUE","FALSE","TRUE")</f>
        <v>TRUE</v>
      </c>
      <c r="K388" s="10" t="b">
        <f>Github!M$305</f>
        <v>1</v>
      </c>
      <c r="L388" s="10" t="b">
        <f>Github!N$305</f>
        <v>0</v>
      </c>
      <c r="M388" s="10" t="str">
        <f>ROUND(Github!O$305, 2)&amp;"%"</f>
        <v>47.07%</v>
      </c>
      <c r="N388" s="10">
        <f>Github!P$305</f>
        <v>214874</v>
      </c>
      <c r="O388" s="10">
        <f>Github!Q$305</f>
        <v>456468</v>
      </c>
    </row>
    <row r="389">
      <c r="A389" s="10">
        <f>Github!J$895</f>
        <v>894</v>
      </c>
      <c r="B389" s="11" t="str">
        <f>HYPERLINK(CONCAT("http://leetcode.com/problems/",Github!C$895), Github!B$895)</f>
        <v>All Possible Full Binary Trees</v>
      </c>
      <c r="C389" s="10">
        <f>Github!F$895</f>
        <v>2434</v>
      </c>
      <c r="D389" s="10">
        <f>Github!G$895</f>
        <v>182</v>
      </c>
      <c r="E389" s="10">
        <f>Github!F$895+Github!G$895</f>
        <v>2616</v>
      </c>
      <c r="F389" s="12">
        <f t="shared" si="1"/>
        <v>13.37</v>
      </c>
      <c r="G389" s="10" t="str">
        <f>Github!H$895</f>
        <v>Algorithms</v>
      </c>
      <c r="H389" s="13" t="str">
        <f>SUBSTITUTE(Github!L$895, ";", ", ")</f>
        <v>Dynamic Programming, Tree, Recursion, Memoization, Binary Tree, </v>
      </c>
      <c r="I389" s="10" t="str">
        <f>Github!E$895</f>
        <v>Medium</v>
      </c>
      <c r="J389" s="10" t="str">
        <f>IF(TRIM(Github!D$895)="TRUE","FALSE","TRUE")</f>
        <v>TRUE</v>
      </c>
      <c r="K389" s="10" t="b">
        <f>Github!M$895</f>
        <v>1</v>
      </c>
      <c r="L389" s="10" t="b">
        <f>Github!N$895</f>
        <v>0</v>
      </c>
      <c r="M389" s="10" t="str">
        <f>ROUND(Github!O$895, 2)&amp;"%"</f>
        <v>79.29%</v>
      </c>
      <c r="N389" s="10">
        <f>Github!P$895</f>
        <v>79495</v>
      </c>
      <c r="O389" s="10">
        <f>Github!Q$895</f>
        <v>100258</v>
      </c>
    </row>
    <row r="390">
      <c r="A390" s="10">
        <f>Github!J$1023</f>
        <v>1022</v>
      </c>
      <c r="B390" s="11" t="str">
        <f>HYPERLINK(CONCAT("http://leetcode.com/problems/",Github!C$1023), Github!B$1023)</f>
        <v>Sum of Root To Leaf Binary Numbers</v>
      </c>
      <c r="C390" s="10">
        <f>Github!F$1023</f>
        <v>2414</v>
      </c>
      <c r="D390" s="10">
        <f>Github!G$1023</f>
        <v>146</v>
      </c>
      <c r="E390" s="10">
        <f>Github!F$1023+Github!G$1023</f>
        <v>2560</v>
      </c>
      <c r="F390" s="12">
        <f t="shared" si="1"/>
        <v>16.53</v>
      </c>
      <c r="G390" s="10" t="str">
        <f>Github!H$1023</f>
        <v>Algorithms</v>
      </c>
      <c r="H390" s="13" t="str">
        <f>SUBSTITUTE(Github!L$1023, ";", ", ")</f>
        <v>Tree, Depth-First Search, Binary Tree, </v>
      </c>
      <c r="I390" s="10" t="str">
        <f>Github!E$1023</f>
        <v>Easy</v>
      </c>
      <c r="J390" s="10" t="str">
        <f>IF(TRIM(Github!D$1023)="TRUE","FALSE","TRUE")</f>
        <v>TRUE</v>
      </c>
      <c r="K390" s="10" t="b">
        <f>Github!M$1023</f>
        <v>1</v>
      </c>
      <c r="L390" s="10" t="b">
        <f>Github!N$1023</f>
        <v>0</v>
      </c>
      <c r="M390" s="10" t="str">
        <f>ROUND(Github!O$1023, 2)&amp;"%"</f>
        <v>73.9%</v>
      </c>
      <c r="N390" s="10">
        <f>Github!P$1023</f>
        <v>156198</v>
      </c>
      <c r="O390" s="10">
        <f>Github!Q$1023</f>
        <v>211377</v>
      </c>
    </row>
    <row r="391">
      <c r="A391" s="10">
        <f>Github!J$283</f>
        <v>282</v>
      </c>
      <c r="B391" s="11" t="str">
        <f>HYPERLINK(CONCAT("http://leetcode.com/problems/",Github!C$283), Github!B$283)</f>
        <v>Expression Add Operators</v>
      </c>
      <c r="C391" s="10">
        <f>Github!F$283</f>
        <v>2414</v>
      </c>
      <c r="D391" s="10">
        <f>Github!G$283</f>
        <v>405</v>
      </c>
      <c r="E391" s="10">
        <f>Github!F$283+Github!G$283</f>
        <v>2819</v>
      </c>
      <c r="F391" s="12">
        <f t="shared" si="1"/>
        <v>5.96</v>
      </c>
      <c r="G391" s="10" t="str">
        <f>Github!H$283</f>
        <v>Algorithms</v>
      </c>
      <c r="H391" s="13" t="str">
        <f>SUBSTITUTE(Github!L$283, ";", ", ")</f>
        <v>Math, String, Backtracking, </v>
      </c>
      <c r="I391" s="10" t="str">
        <f>Github!E$283</f>
        <v>Hard</v>
      </c>
      <c r="J391" s="10" t="str">
        <f>IF(TRIM(Github!D$283)="TRUE","FALSE","TRUE")</f>
        <v>TRUE</v>
      </c>
      <c r="K391" s="10" t="b">
        <f>Github!M$283</f>
        <v>1</v>
      </c>
      <c r="L391" s="10" t="b">
        <f>Github!N$283</f>
        <v>0</v>
      </c>
      <c r="M391" s="10" t="str">
        <f>ROUND(Github!O$283, 2)&amp;"%"</f>
        <v>39.09%</v>
      </c>
      <c r="N391" s="10">
        <f>Github!P$283</f>
        <v>175857</v>
      </c>
      <c r="O391" s="10">
        <f>Github!Q$283</f>
        <v>449847</v>
      </c>
    </row>
    <row r="392">
      <c r="A392" s="10">
        <f>Github!J$835</f>
        <v>834</v>
      </c>
      <c r="B392" s="11" t="str">
        <f>HYPERLINK(CONCAT("http://leetcode.com/problems/",Github!C$835), Github!B$835)</f>
        <v>Sum of Distances in Tree</v>
      </c>
      <c r="C392" s="10">
        <f>Github!F$835</f>
        <v>2413</v>
      </c>
      <c r="D392" s="10">
        <f>Github!G$835</f>
        <v>57</v>
      </c>
      <c r="E392" s="10">
        <f>Github!F$835+Github!G$835</f>
        <v>2470</v>
      </c>
      <c r="F392" s="12">
        <f t="shared" si="1"/>
        <v>42.33</v>
      </c>
      <c r="G392" s="10" t="str">
        <f>Github!H$835</f>
        <v>Algorithms</v>
      </c>
      <c r="H392" s="13" t="str">
        <f>SUBSTITUTE(Github!L$835, ";", ", ")</f>
        <v>Dynamic Programming, Tree, Depth-First Search, Graph, </v>
      </c>
      <c r="I392" s="10" t="str">
        <f>Github!E$835</f>
        <v>Hard</v>
      </c>
      <c r="J392" s="10" t="str">
        <f>IF(TRIM(Github!D$835)="TRUE","FALSE","TRUE")</f>
        <v>TRUE</v>
      </c>
      <c r="K392" s="10" t="b">
        <f>Github!M$835</f>
        <v>1</v>
      </c>
      <c r="L392" s="10" t="b">
        <f>Github!N$835</f>
        <v>0</v>
      </c>
      <c r="M392" s="10" t="str">
        <f>ROUND(Github!O$835, 2)&amp;"%"</f>
        <v>52.75%</v>
      </c>
      <c r="N392" s="10">
        <f>Github!P$835</f>
        <v>39965</v>
      </c>
      <c r="O392" s="10">
        <f>Github!Q$835</f>
        <v>75763</v>
      </c>
    </row>
    <row r="393">
      <c r="A393" s="10">
        <f>Github!J$486</f>
        <v>485</v>
      </c>
      <c r="B393" s="11" t="str">
        <f>HYPERLINK(CONCAT("http://leetcode.com/problems/",Github!C$486), Github!B$486)</f>
        <v>Max Consecutive Ones</v>
      </c>
      <c r="C393" s="10">
        <f>Github!F$486</f>
        <v>2409</v>
      </c>
      <c r="D393" s="10">
        <f>Github!G$486</f>
        <v>394</v>
      </c>
      <c r="E393" s="10">
        <f>Github!F$486+Github!G$486</f>
        <v>2803</v>
      </c>
      <c r="F393" s="12">
        <f t="shared" si="1"/>
        <v>6.11</v>
      </c>
      <c r="G393" s="10" t="str">
        <f>Github!H$486</f>
        <v>Algorithms</v>
      </c>
      <c r="H393" s="13" t="str">
        <f>SUBSTITUTE(Github!L$486, ";", ", ")</f>
        <v>Array, </v>
      </c>
      <c r="I393" s="10" t="str">
        <f>Github!E$486</f>
        <v>Easy</v>
      </c>
      <c r="J393" s="10" t="str">
        <f>IF(TRIM(Github!D$486)="TRUE","FALSE","TRUE")</f>
        <v>TRUE</v>
      </c>
      <c r="K393" s="10" t="b">
        <f>Github!M$486</f>
        <v>1</v>
      </c>
      <c r="L393" s="10" t="b">
        <f>Github!N$486</f>
        <v>0</v>
      </c>
      <c r="M393" s="10" t="str">
        <f>ROUND(Github!O$486, 2)&amp;"%"</f>
        <v>54.89%</v>
      </c>
      <c r="N393" s="10">
        <f>Github!P$486</f>
        <v>617867</v>
      </c>
      <c r="O393" s="10">
        <f>Github!Q$486</f>
        <v>1125634</v>
      </c>
    </row>
    <row r="394">
      <c r="A394" s="10">
        <f>Github!J$947</f>
        <v>946</v>
      </c>
      <c r="B394" s="11" t="str">
        <f>HYPERLINK(CONCAT("http://leetcode.com/problems/",Github!C$947), Github!B$947)</f>
        <v>Validate Stack Sequences</v>
      </c>
      <c r="C394" s="10">
        <f>Github!F$947</f>
        <v>2391</v>
      </c>
      <c r="D394" s="10">
        <f>Github!G$947</f>
        <v>43</v>
      </c>
      <c r="E394" s="10">
        <f>Github!F$947+Github!G$947</f>
        <v>2434</v>
      </c>
      <c r="F394" s="12">
        <f t="shared" si="1"/>
        <v>55.6</v>
      </c>
      <c r="G394" s="10" t="str">
        <f>Github!H$947</f>
        <v>Algorithms</v>
      </c>
      <c r="H394" s="13" t="str">
        <f>SUBSTITUTE(Github!L$947, ";", ", ")</f>
        <v>Array, Stack, Simulation, </v>
      </c>
      <c r="I394" s="10" t="str">
        <f>Github!E$947</f>
        <v>Medium</v>
      </c>
      <c r="J394" s="10" t="str">
        <f>IF(TRIM(Github!D$947)="TRUE","FALSE","TRUE")</f>
        <v>TRUE</v>
      </c>
      <c r="K394" s="10" t="b">
        <f>Github!M$947</f>
        <v>1</v>
      </c>
      <c r="L394" s="10" t="b">
        <f>Github!N$947</f>
        <v>0</v>
      </c>
      <c r="M394" s="10" t="str">
        <f>ROUND(Github!O$947, 2)&amp;"%"</f>
        <v>65.34%</v>
      </c>
      <c r="N394" s="10">
        <f>Github!P$947</f>
        <v>130326</v>
      </c>
      <c r="O394" s="10">
        <f>Github!Q$947</f>
        <v>199456</v>
      </c>
    </row>
    <row r="395">
      <c r="A395" s="10">
        <f>Github!J$651</f>
        <v>650</v>
      </c>
      <c r="B395" s="11" t="str">
        <f>HYPERLINK(CONCAT("http://leetcode.com/problems/",Github!C$651), Github!B$651)</f>
        <v>2 Keys Keyboard</v>
      </c>
      <c r="C395" s="10">
        <f>Github!F$651</f>
        <v>2390</v>
      </c>
      <c r="D395" s="10">
        <f>Github!G$651</f>
        <v>158</v>
      </c>
      <c r="E395" s="10">
        <f>Github!F$651+Github!G$651</f>
        <v>2548</v>
      </c>
      <c r="F395" s="12">
        <f t="shared" si="1"/>
        <v>15.13</v>
      </c>
      <c r="G395" s="10" t="str">
        <f>Github!H$651</f>
        <v>Algorithms</v>
      </c>
      <c r="H395" s="13" t="str">
        <f>SUBSTITUTE(Github!L$651, ";", ", ")</f>
        <v>Math, Dynamic Programming, </v>
      </c>
      <c r="I395" s="10" t="str">
        <f>Github!E$651</f>
        <v>Medium</v>
      </c>
      <c r="J395" s="10" t="str">
        <f>IF(TRIM(Github!D$651)="TRUE","FALSE","TRUE")</f>
        <v>TRUE</v>
      </c>
      <c r="K395" s="10" t="b">
        <f>Github!M$651</f>
        <v>1</v>
      </c>
      <c r="L395" s="10" t="b">
        <f>Github!N$651</f>
        <v>0</v>
      </c>
      <c r="M395" s="10" t="str">
        <f>ROUND(Github!O$651, 2)&amp;"%"</f>
        <v>52.11%</v>
      </c>
      <c r="N395" s="10">
        <f>Github!P$651</f>
        <v>95523</v>
      </c>
      <c r="O395" s="10">
        <f>Github!Q$651</f>
        <v>183327</v>
      </c>
    </row>
    <row r="396">
      <c r="A396" s="10">
        <f>Github!J$1481</f>
        <v>1480</v>
      </c>
      <c r="B396" s="11" t="str">
        <f>HYPERLINK(CONCAT("http://leetcode.com/problems/",Github!C$1481), Github!B$1481)</f>
        <v>Running Sum of 1d Array</v>
      </c>
      <c r="C396" s="10">
        <f>Github!F$1481</f>
        <v>2381</v>
      </c>
      <c r="D396" s="10">
        <f>Github!G$1481</f>
        <v>176</v>
      </c>
      <c r="E396" s="10">
        <f>Github!F$1481+Github!G$1481</f>
        <v>2557</v>
      </c>
      <c r="F396" s="12">
        <f t="shared" si="1"/>
        <v>13.53</v>
      </c>
      <c r="G396" s="10" t="str">
        <f>Github!H$1481</f>
        <v>Algorithms</v>
      </c>
      <c r="H396" s="13" t="str">
        <f>SUBSTITUTE(Github!L$1481, ";", ", ")</f>
        <v>Array, Prefix Sum, </v>
      </c>
      <c r="I396" s="10" t="str">
        <f>Github!E$1481</f>
        <v>Easy</v>
      </c>
      <c r="J396" s="10" t="str">
        <f>IF(TRIM(Github!D$1481)="TRUE","FALSE","TRUE")</f>
        <v>TRUE</v>
      </c>
      <c r="K396" s="10" t="b">
        <f>Github!M$1481</f>
        <v>1</v>
      </c>
      <c r="L396" s="10" t="b">
        <f>Github!N$1481</f>
        <v>0</v>
      </c>
      <c r="M396" s="10" t="str">
        <f>ROUND(Github!O$1481, 2)&amp;"%"</f>
        <v>89.5%</v>
      </c>
      <c r="N396" s="10">
        <f>Github!P$1481</f>
        <v>492461</v>
      </c>
      <c r="O396" s="10">
        <f>Github!Q$1481</f>
        <v>550252</v>
      </c>
    </row>
    <row r="397">
      <c r="A397" s="10">
        <f>Github!J$372</f>
        <v>371</v>
      </c>
      <c r="B397" s="11" t="str">
        <f>HYPERLINK(CONCAT("http://leetcode.com/problems/",Github!C$372), Github!B$372)</f>
        <v>Sum of Two Integers</v>
      </c>
      <c r="C397" s="10">
        <f>Github!F$372</f>
        <v>2373</v>
      </c>
      <c r="D397" s="10">
        <f>Github!G$372</f>
        <v>3582</v>
      </c>
      <c r="E397" s="10">
        <f>Github!F$372+Github!G$372</f>
        <v>5955</v>
      </c>
      <c r="F397" s="12">
        <f t="shared" si="1"/>
        <v>0.66</v>
      </c>
      <c r="G397" s="10" t="str">
        <f>Github!H$372</f>
        <v>Algorithms</v>
      </c>
      <c r="H397" s="13" t="str">
        <f>SUBSTITUTE(Github!L$372, ";", ", ")</f>
        <v>Math, Bit Manipulation, </v>
      </c>
      <c r="I397" s="10" t="str">
        <f>Github!E$372</f>
        <v>Medium</v>
      </c>
      <c r="J397" s="10" t="str">
        <f>IF(TRIM(Github!D$372)="TRUE","FALSE","TRUE")</f>
        <v>TRUE</v>
      </c>
      <c r="K397" s="10" t="b">
        <f>Github!M$372</f>
        <v>1</v>
      </c>
      <c r="L397" s="10" t="b">
        <f>Github!N$372</f>
        <v>0</v>
      </c>
      <c r="M397" s="10" t="str">
        <f>ROUND(Github!O$372, 2)&amp;"%"</f>
        <v>50.65%</v>
      </c>
      <c r="N397" s="10">
        <f>Github!P$372</f>
        <v>283429</v>
      </c>
      <c r="O397" s="10">
        <f>Github!Q$372</f>
        <v>559545</v>
      </c>
    </row>
    <row r="398">
      <c r="A398" s="10">
        <f>Github!J$1030</f>
        <v>1029</v>
      </c>
      <c r="B398" s="11" t="str">
        <f>HYPERLINK(CONCAT("http://leetcode.com/problems/",Github!C$1030), Github!B$1030)</f>
        <v>Two City Scheduling</v>
      </c>
      <c r="C398" s="10">
        <f>Github!F$1030</f>
        <v>2367</v>
      </c>
      <c r="D398" s="10">
        <f>Github!G$1030</f>
        <v>230</v>
      </c>
      <c r="E398" s="10">
        <f>Github!F$1030+Github!G$1030</f>
        <v>2597</v>
      </c>
      <c r="F398" s="12">
        <f t="shared" si="1"/>
        <v>10.29</v>
      </c>
      <c r="G398" s="10" t="str">
        <f>Github!H$1030</f>
        <v>Algorithms</v>
      </c>
      <c r="H398" s="13" t="str">
        <f>SUBSTITUTE(Github!L$1030, ";", ", ")</f>
        <v>Array, Greedy, Sorting, </v>
      </c>
      <c r="I398" s="10" t="str">
        <f>Github!E$1030</f>
        <v>Medium</v>
      </c>
      <c r="J398" s="10" t="str">
        <f>IF(TRIM(Github!D$1030)="TRUE","FALSE","TRUE")</f>
        <v>TRUE</v>
      </c>
      <c r="K398" s="10" t="b">
        <f>Github!M$1030</f>
        <v>1</v>
      </c>
      <c r="L398" s="10" t="b">
        <f>Github!N$1030</f>
        <v>0</v>
      </c>
      <c r="M398" s="10" t="str">
        <f>ROUND(Github!O$1030, 2)&amp;"%"</f>
        <v>60%</v>
      </c>
      <c r="N398" s="10">
        <f>Github!P$1030</f>
        <v>134290</v>
      </c>
      <c r="O398" s="10">
        <f>Github!Q$1030</f>
        <v>223814</v>
      </c>
    </row>
    <row r="399">
      <c r="A399" s="10">
        <f>Github!J$872</f>
        <v>871</v>
      </c>
      <c r="B399" s="11" t="str">
        <f>HYPERLINK(CONCAT("http://leetcode.com/problems/",Github!C$872), Github!B$872)</f>
        <v>Minimum Number of Refueling Stops</v>
      </c>
      <c r="C399" s="10">
        <f>Github!F$872</f>
        <v>2357</v>
      </c>
      <c r="D399" s="10">
        <f>Github!G$872</f>
        <v>47</v>
      </c>
      <c r="E399" s="10">
        <f>Github!F$872+Github!G$872</f>
        <v>2404</v>
      </c>
      <c r="F399" s="12">
        <f t="shared" si="1"/>
        <v>50.15</v>
      </c>
      <c r="G399" s="10" t="str">
        <f>Github!H$872</f>
        <v>Algorithms</v>
      </c>
      <c r="H399" s="13" t="str">
        <f>SUBSTITUTE(Github!L$872, ";", ", ")</f>
        <v>Array, Dynamic Programming, Greedy, Heap (Priority Queue), </v>
      </c>
      <c r="I399" s="10" t="str">
        <f>Github!E$872</f>
        <v>Hard</v>
      </c>
      <c r="J399" s="10" t="str">
        <f>IF(TRIM(Github!D$872)="TRUE","FALSE","TRUE")</f>
        <v>TRUE</v>
      </c>
      <c r="K399" s="10" t="b">
        <f>Github!M$872</f>
        <v>1</v>
      </c>
      <c r="L399" s="10" t="b">
        <f>Github!N$872</f>
        <v>0</v>
      </c>
      <c r="M399" s="10" t="str">
        <f>ROUND(Github!O$872, 2)&amp;"%"</f>
        <v>35.58%</v>
      </c>
      <c r="N399" s="10">
        <f>Github!P$872</f>
        <v>68098</v>
      </c>
      <c r="O399" s="10">
        <f>Github!Q$872</f>
        <v>191414</v>
      </c>
    </row>
    <row r="400">
      <c r="A400" s="10">
        <f>Github!J$259</f>
        <v>258</v>
      </c>
      <c r="B400" s="11" t="str">
        <f>HYPERLINK(CONCAT("http://leetcode.com/problems/",Github!C$259), Github!B$259)</f>
        <v>Add Digits</v>
      </c>
      <c r="C400" s="10">
        <f>Github!F$259</f>
        <v>2350</v>
      </c>
      <c r="D400" s="10">
        <f>Github!G$259</f>
        <v>1635</v>
      </c>
      <c r="E400" s="10">
        <f>Github!F$259+Github!G$259</f>
        <v>3985</v>
      </c>
      <c r="F400" s="12">
        <f t="shared" si="1"/>
        <v>1.44</v>
      </c>
      <c r="G400" s="10" t="str">
        <f>Github!H$259</f>
        <v>Algorithms</v>
      </c>
      <c r="H400" s="13" t="str">
        <f>SUBSTITUTE(Github!L$259, ";", ", ")</f>
        <v>Math, Simulation, Number Theory, </v>
      </c>
      <c r="I400" s="10" t="str">
        <f>Github!E$259</f>
        <v>Easy</v>
      </c>
      <c r="J400" s="10" t="str">
        <f>IF(TRIM(Github!D$259)="TRUE","FALSE","TRUE")</f>
        <v>TRUE</v>
      </c>
      <c r="K400" s="10" t="b">
        <f>Github!M$259</f>
        <v>1</v>
      </c>
      <c r="L400" s="10" t="b">
        <f>Github!N$259</f>
        <v>0</v>
      </c>
      <c r="M400" s="10" t="str">
        <f>ROUND(Github!O$259, 2)&amp;"%"</f>
        <v>62.24%</v>
      </c>
      <c r="N400" s="10">
        <f>Github!P$259</f>
        <v>457326</v>
      </c>
      <c r="O400" s="10">
        <f>Github!Q$259</f>
        <v>734761</v>
      </c>
    </row>
    <row r="401">
      <c r="A401" s="10">
        <f>Github!J$1291</f>
        <v>1290</v>
      </c>
      <c r="B401" s="11" t="str">
        <f>HYPERLINK(CONCAT("http://leetcode.com/problems/",Github!C$1291), Github!B$1291)</f>
        <v>Convert Binary Number in a Linked List to Integer</v>
      </c>
      <c r="C401" s="10">
        <f>Github!F$1291</f>
        <v>2349</v>
      </c>
      <c r="D401" s="10">
        <f>Github!G$1291</f>
        <v>116</v>
      </c>
      <c r="E401" s="10">
        <f>Github!F$1291+Github!G$1291</f>
        <v>2465</v>
      </c>
      <c r="F401" s="12">
        <f t="shared" si="1"/>
        <v>20.25</v>
      </c>
      <c r="G401" s="10" t="str">
        <f>Github!H$1291</f>
        <v>Algorithms</v>
      </c>
      <c r="H401" s="13" t="str">
        <f>SUBSTITUTE(Github!L$1291, ";", ", ")</f>
        <v>Linked List, Math, </v>
      </c>
      <c r="I401" s="10" t="str">
        <f>Github!E$1291</f>
        <v>Easy</v>
      </c>
      <c r="J401" s="10" t="str">
        <f>IF(TRIM(Github!D$1291)="TRUE","FALSE","TRUE")</f>
        <v>TRUE</v>
      </c>
      <c r="K401" s="10" t="b">
        <f>Github!M$1291</f>
        <v>1</v>
      </c>
      <c r="L401" s="10" t="b">
        <f>Github!N$1291</f>
        <v>0</v>
      </c>
      <c r="M401" s="10" t="str">
        <f>ROUND(Github!O$1291, 2)&amp;"%"</f>
        <v>82.67%</v>
      </c>
      <c r="N401" s="10">
        <f>Github!P$1291</f>
        <v>270929</v>
      </c>
      <c r="O401" s="10">
        <f>Github!Q$1291</f>
        <v>327703</v>
      </c>
    </row>
    <row r="402">
      <c r="A402" s="10">
        <f>Github!J$612</f>
        <v>611</v>
      </c>
      <c r="B402" s="11" t="str">
        <f>HYPERLINK(CONCAT("http://leetcode.com/problems/",Github!C$612), Github!B$612)</f>
        <v>Valid Triangle Number</v>
      </c>
      <c r="C402" s="10">
        <f>Github!F$612</f>
        <v>2347</v>
      </c>
      <c r="D402" s="10">
        <f>Github!G$612</f>
        <v>143</v>
      </c>
      <c r="E402" s="10">
        <f>Github!F$612+Github!G$612</f>
        <v>2490</v>
      </c>
      <c r="F402" s="12">
        <f t="shared" si="1"/>
        <v>16.41</v>
      </c>
      <c r="G402" s="10" t="str">
        <f>Github!H$612</f>
        <v>Algorithms</v>
      </c>
      <c r="H402" s="13" t="str">
        <f>SUBSTITUTE(Github!L$612, ";", ", ")</f>
        <v>Array, Two Pointers, Binary Search, Greedy, Sorting, </v>
      </c>
      <c r="I402" s="10" t="str">
        <f>Github!E$612</f>
        <v>Medium</v>
      </c>
      <c r="J402" s="10" t="str">
        <f>IF(TRIM(Github!D$612)="TRUE","FALSE","TRUE")</f>
        <v>TRUE</v>
      </c>
      <c r="K402" s="10" t="b">
        <f>Github!M$612</f>
        <v>1</v>
      </c>
      <c r="L402" s="10" t="b">
        <f>Github!N$612</f>
        <v>0</v>
      </c>
      <c r="M402" s="10" t="str">
        <f>ROUND(Github!O$612, 2)&amp;"%"</f>
        <v>49.57%</v>
      </c>
      <c r="N402" s="10">
        <f>Github!P$612</f>
        <v>130684</v>
      </c>
      <c r="O402" s="10">
        <f>Github!Q$612</f>
        <v>263651</v>
      </c>
    </row>
    <row r="403">
      <c r="A403" s="10">
        <f>Github!J$671</f>
        <v>670</v>
      </c>
      <c r="B403" s="11" t="str">
        <f>HYPERLINK(CONCAT("http://leetcode.com/problems/",Github!C$671), Github!B$671)</f>
        <v>Maximum Swap</v>
      </c>
      <c r="C403" s="10">
        <f>Github!F$671</f>
        <v>2343</v>
      </c>
      <c r="D403" s="10">
        <f>Github!G$671</f>
        <v>137</v>
      </c>
      <c r="E403" s="10">
        <f>Github!F$671+Github!G$671</f>
        <v>2480</v>
      </c>
      <c r="F403" s="12">
        <f t="shared" si="1"/>
        <v>17.1</v>
      </c>
      <c r="G403" s="10" t="str">
        <f>Github!H$671</f>
        <v>Algorithms</v>
      </c>
      <c r="H403" s="13" t="str">
        <f>SUBSTITUTE(Github!L$671, ";", ", ")</f>
        <v>Math, Greedy, </v>
      </c>
      <c r="I403" s="10" t="str">
        <f>Github!E$671</f>
        <v>Medium</v>
      </c>
      <c r="J403" s="10" t="str">
        <f>IF(TRIM(Github!D$671)="TRUE","FALSE","TRUE")</f>
        <v>TRUE</v>
      </c>
      <c r="K403" s="10" t="b">
        <f>Github!M$671</f>
        <v>0</v>
      </c>
      <c r="L403" s="10" t="b">
        <f>Github!N$671</f>
        <v>0</v>
      </c>
      <c r="M403" s="10" t="str">
        <f>ROUND(Github!O$671, 2)&amp;"%"</f>
        <v>47.36%</v>
      </c>
      <c r="N403" s="10">
        <f>Github!P$671</f>
        <v>156533</v>
      </c>
      <c r="O403" s="10">
        <f>Github!Q$671</f>
        <v>330528</v>
      </c>
    </row>
    <row r="404">
      <c r="A404" s="10">
        <f>Github!J$1039</f>
        <v>1038</v>
      </c>
      <c r="B404" s="11" t="str">
        <f>HYPERLINK(CONCAT("http://leetcode.com/problems/",Github!C$1039), Github!B$1039)</f>
        <v>Binary Search Tree to Greater Sum Tree</v>
      </c>
      <c r="C404" s="10">
        <f>Github!F$1039</f>
        <v>2339</v>
      </c>
      <c r="D404" s="10">
        <f>Github!G$1039</f>
        <v>128</v>
      </c>
      <c r="E404" s="10">
        <f>Github!F$1039+Github!G$1039</f>
        <v>2467</v>
      </c>
      <c r="F404" s="12">
        <f t="shared" si="1"/>
        <v>18.27</v>
      </c>
      <c r="G404" s="10" t="str">
        <f>Github!H$1039</f>
        <v>Algorithms</v>
      </c>
      <c r="H404" s="13" t="str">
        <f>SUBSTITUTE(Github!L$1039, ";", ", ")</f>
        <v>Tree, Depth-First Search, Binary Search Tree, Binary Tree, </v>
      </c>
      <c r="I404" s="10" t="str">
        <f>Github!E$1039</f>
        <v>Medium</v>
      </c>
      <c r="J404" s="10" t="str">
        <f>IF(TRIM(Github!D$1039)="TRUE","FALSE","TRUE")</f>
        <v>TRUE</v>
      </c>
      <c r="K404" s="10" t="b">
        <f>Github!M$1039</f>
        <v>0</v>
      </c>
      <c r="L404" s="10" t="b">
        <f>Github!N$1039</f>
        <v>0</v>
      </c>
      <c r="M404" s="10" t="str">
        <f>ROUND(Github!O$1039, 2)&amp;"%"</f>
        <v>84.46%</v>
      </c>
      <c r="N404" s="10">
        <f>Github!P$1039</f>
        <v>113288</v>
      </c>
      <c r="O404" s="10">
        <f>Github!Q$1039</f>
        <v>134135</v>
      </c>
    </row>
    <row r="405">
      <c r="A405" s="10">
        <f>Github!J$404</f>
        <v>403</v>
      </c>
      <c r="B405" s="11" t="str">
        <f>HYPERLINK(CONCAT("http://leetcode.com/problems/",Github!C$404), Github!B$404)</f>
        <v>Frog Jump</v>
      </c>
      <c r="C405" s="10">
        <f>Github!F$404</f>
        <v>2333</v>
      </c>
      <c r="D405" s="10">
        <f>Github!G$404</f>
        <v>158</v>
      </c>
      <c r="E405" s="10">
        <f>Github!F$404+Github!G$404</f>
        <v>2491</v>
      </c>
      <c r="F405" s="12">
        <f t="shared" si="1"/>
        <v>14.77</v>
      </c>
      <c r="G405" s="10" t="str">
        <f>Github!H$404</f>
        <v>Algorithms</v>
      </c>
      <c r="H405" s="13" t="str">
        <f>SUBSTITUTE(Github!L$404, ";", ", ")</f>
        <v>Array, Dynamic Programming, </v>
      </c>
      <c r="I405" s="10" t="str">
        <f>Github!E$404</f>
        <v>Hard</v>
      </c>
      <c r="J405" s="10" t="str">
        <f>IF(TRIM(Github!D$404)="TRUE","FALSE","TRUE")</f>
        <v>TRUE</v>
      </c>
      <c r="K405" s="10" t="b">
        <f>Github!M$404</f>
        <v>1</v>
      </c>
      <c r="L405" s="10" t="b">
        <f>Github!N$404</f>
        <v>0</v>
      </c>
      <c r="M405" s="10" t="str">
        <f>ROUND(Github!O$404, 2)&amp;"%"</f>
        <v>42.81%</v>
      </c>
      <c r="N405" s="10">
        <f>Github!P$404</f>
        <v>148502</v>
      </c>
      <c r="O405" s="10">
        <f>Github!Q$404</f>
        <v>346878</v>
      </c>
    </row>
    <row r="406">
      <c r="A406" s="10">
        <f>Github!J$120</f>
        <v>119</v>
      </c>
      <c r="B406" s="11" t="str">
        <f>HYPERLINK(CONCAT("http://leetcode.com/problems/",Github!C$120), Github!B$120)</f>
        <v>Pascal's Triangle II</v>
      </c>
      <c r="C406" s="10">
        <f>Github!F$120</f>
        <v>2333</v>
      </c>
      <c r="D406" s="10">
        <f>Github!G$120</f>
        <v>258</v>
      </c>
      <c r="E406" s="10">
        <f>Github!F$120+Github!G$120</f>
        <v>2591</v>
      </c>
      <c r="F406" s="12">
        <f t="shared" si="1"/>
        <v>9.04</v>
      </c>
      <c r="G406" s="10" t="str">
        <f>Github!H$120</f>
        <v>Algorithms</v>
      </c>
      <c r="H406" s="13" t="str">
        <f>SUBSTITUTE(Github!L$120, ";", ", ")</f>
        <v>Array, Dynamic Programming, </v>
      </c>
      <c r="I406" s="10" t="str">
        <f>Github!E$120</f>
        <v>Easy</v>
      </c>
      <c r="J406" s="10" t="str">
        <f>IF(TRIM(Github!D$120)="TRUE","FALSE","TRUE")</f>
        <v>TRUE</v>
      </c>
      <c r="K406" s="10" t="b">
        <f>Github!M$120</f>
        <v>1</v>
      </c>
      <c r="L406" s="10" t="b">
        <f>Github!N$120</f>
        <v>0</v>
      </c>
      <c r="M406" s="10" t="str">
        <f>ROUND(Github!O$120, 2)&amp;"%"</f>
        <v>56.89%</v>
      </c>
      <c r="N406" s="10">
        <f>Github!P$120</f>
        <v>493501</v>
      </c>
      <c r="O406" s="10">
        <f>Github!Q$120</f>
        <v>867408</v>
      </c>
    </row>
    <row r="407">
      <c r="A407" s="10">
        <f>Github!J$815</f>
        <v>814</v>
      </c>
      <c r="B407" s="11" t="str">
        <f>HYPERLINK(CONCAT("http://leetcode.com/problems/",Github!C$815), Github!B$815)</f>
        <v>Binary Tree Pruning</v>
      </c>
      <c r="C407" s="10">
        <f>Github!F$815</f>
        <v>2313</v>
      </c>
      <c r="D407" s="10">
        <f>Github!G$815</f>
        <v>66</v>
      </c>
      <c r="E407" s="10">
        <f>Github!F$815+Github!G$815</f>
        <v>2379</v>
      </c>
      <c r="F407" s="12">
        <f t="shared" si="1"/>
        <v>35.05</v>
      </c>
      <c r="G407" s="10" t="str">
        <f>Github!H$815</f>
        <v>Algorithms</v>
      </c>
      <c r="H407" s="13" t="str">
        <f>SUBSTITUTE(Github!L$815, ";", ", ")</f>
        <v>Tree, Depth-First Search, Binary Tree, </v>
      </c>
      <c r="I407" s="10" t="str">
        <f>Github!E$815</f>
        <v>Medium</v>
      </c>
      <c r="J407" s="10" t="str">
        <f>IF(TRIM(Github!D$815)="TRUE","FALSE","TRUE")</f>
        <v>TRUE</v>
      </c>
      <c r="K407" s="10" t="b">
        <f>Github!M$815</f>
        <v>1</v>
      </c>
      <c r="L407" s="10" t="b">
        <f>Github!N$815</f>
        <v>0</v>
      </c>
      <c r="M407" s="10" t="str">
        <f>ROUND(Github!O$815, 2)&amp;"%"</f>
        <v>71.03%</v>
      </c>
      <c r="N407" s="10">
        <f>Github!P$815</f>
        <v>136794</v>
      </c>
      <c r="O407" s="10">
        <f>Github!Q$815</f>
        <v>192575</v>
      </c>
    </row>
    <row r="408">
      <c r="A408" s="10">
        <f>Github!J$1092</f>
        <v>1091</v>
      </c>
      <c r="B408" s="11" t="str">
        <f>HYPERLINK(CONCAT("http://leetcode.com/problems/",Github!C$1092), Github!B$1092)</f>
        <v>Shortest Path in Binary Matrix</v>
      </c>
      <c r="C408" s="10">
        <f>Github!F$1092</f>
        <v>2315</v>
      </c>
      <c r="D408" s="10">
        <f>Github!G$1092</f>
        <v>120</v>
      </c>
      <c r="E408" s="10">
        <f>Github!F$1092+Github!G$1092</f>
        <v>2435</v>
      </c>
      <c r="F408" s="12">
        <f t="shared" si="1"/>
        <v>19.29</v>
      </c>
      <c r="G408" s="10" t="str">
        <f>Github!H$1092</f>
        <v>Algorithms</v>
      </c>
      <c r="H408" s="13" t="str">
        <f>SUBSTITUTE(Github!L$1092, ";", ", ")</f>
        <v>Array, Breadth-First Search, Matrix, </v>
      </c>
      <c r="I408" s="10" t="str">
        <f>Github!E$1092</f>
        <v>Medium</v>
      </c>
      <c r="J408" s="10" t="str">
        <f>IF(TRIM(Github!D$1092)="TRUE","FALSE","TRUE")</f>
        <v>TRUE</v>
      </c>
      <c r="K408" s="10" t="b">
        <f>Github!M$1092</f>
        <v>1</v>
      </c>
      <c r="L408" s="10" t="b">
        <f>Github!N$1092</f>
        <v>0</v>
      </c>
      <c r="M408" s="10" t="str">
        <f>ROUND(Github!O$1092, 2)&amp;"%"</f>
        <v>42.34%</v>
      </c>
      <c r="N408" s="10">
        <f>Github!P$1092</f>
        <v>162497</v>
      </c>
      <c r="O408" s="10">
        <f>Github!Q$1092</f>
        <v>383752</v>
      </c>
    </row>
    <row r="409">
      <c r="A409" s="10">
        <f>Github!J$1303</f>
        <v>1302</v>
      </c>
      <c r="B409" s="11" t="str">
        <f>HYPERLINK(CONCAT("http://leetcode.com/problems/",Github!C$1303), Github!B$1303)</f>
        <v>Deepest Leaves Sum</v>
      </c>
      <c r="C409" s="10">
        <f>Github!F$1303</f>
        <v>2303</v>
      </c>
      <c r="D409" s="10">
        <f>Github!G$1303</f>
        <v>74</v>
      </c>
      <c r="E409" s="10">
        <f>Github!F$1303+Github!G$1303</f>
        <v>2377</v>
      </c>
      <c r="F409" s="12">
        <f t="shared" si="1"/>
        <v>31.12</v>
      </c>
      <c r="G409" s="10" t="str">
        <f>Github!H$1303</f>
        <v>Algorithms</v>
      </c>
      <c r="H409" s="13" t="str">
        <f>SUBSTITUTE(Github!L$1303, ";", ", ")</f>
        <v>Tree, Depth-First Search, Breadth-First Search, Binary Tree, </v>
      </c>
      <c r="I409" s="10" t="str">
        <f>Github!E$1303</f>
        <v>Medium</v>
      </c>
      <c r="J409" s="10" t="str">
        <f>IF(TRIM(Github!D$1303)="TRUE","FALSE","TRUE")</f>
        <v>TRUE</v>
      </c>
      <c r="K409" s="10" t="b">
        <f>Github!M$1303</f>
        <v>1</v>
      </c>
      <c r="L409" s="10" t="b">
        <f>Github!N$1303</f>
        <v>0</v>
      </c>
      <c r="M409" s="10" t="str">
        <f>ROUND(Github!O$1303, 2)&amp;"%"</f>
        <v>85.67%</v>
      </c>
      <c r="N409" s="10">
        <f>Github!P$1303</f>
        <v>161363</v>
      </c>
      <c r="O409" s="10">
        <f>Github!Q$1303</f>
        <v>188360</v>
      </c>
    </row>
    <row r="410">
      <c r="A410" s="10">
        <f>Github!J$922</f>
        <v>921</v>
      </c>
      <c r="B410" s="11" t="str">
        <f>HYPERLINK(CONCAT("http://leetcode.com/problems/",Github!C$922), Github!B$922)</f>
        <v>Minimum Add to Make Parentheses Valid</v>
      </c>
      <c r="C410" s="10">
        <f>Github!F$922</f>
        <v>2296</v>
      </c>
      <c r="D410" s="10">
        <f>Github!G$922</f>
        <v>133</v>
      </c>
      <c r="E410" s="10">
        <f>Github!F$922+Github!G$922</f>
        <v>2429</v>
      </c>
      <c r="F410" s="12">
        <f t="shared" si="1"/>
        <v>17.26</v>
      </c>
      <c r="G410" s="10" t="str">
        <f>Github!H$922</f>
        <v>Algorithms</v>
      </c>
      <c r="H410" s="13" t="str">
        <f>SUBSTITUTE(Github!L$922, ";", ", ")</f>
        <v>String, Stack, Greedy, </v>
      </c>
      <c r="I410" s="10" t="str">
        <f>Github!E$922</f>
        <v>Medium</v>
      </c>
      <c r="J410" s="10" t="str">
        <f>IF(TRIM(Github!D$922)="TRUE","FALSE","TRUE")</f>
        <v>TRUE</v>
      </c>
      <c r="K410" s="10" t="b">
        <f>Github!M$922</f>
        <v>1</v>
      </c>
      <c r="L410" s="10" t="b">
        <f>Github!N$922</f>
        <v>0</v>
      </c>
      <c r="M410" s="10" t="str">
        <f>ROUND(Github!O$922, 2)&amp;"%"</f>
        <v>77.27%</v>
      </c>
      <c r="N410" s="10">
        <f>Github!P$922</f>
        <v>188352</v>
      </c>
      <c r="O410" s="10">
        <f>Github!Q$922</f>
        <v>243766</v>
      </c>
    </row>
    <row r="411">
      <c r="A411" s="10">
        <f>Github!J$948</f>
        <v>947</v>
      </c>
      <c r="B411" s="11" t="str">
        <f>HYPERLINK(CONCAT("http://leetcode.com/problems/",Github!C$948), Github!B$948)</f>
        <v>Most Stones Removed with Same Row or Column</v>
      </c>
      <c r="C411" s="10">
        <f>Github!F$948</f>
        <v>2288</v>
      </c>
      <c r="D411" s="10">
        <f>Github!G$948</f>
        <v>501</v>
      </c>
      <c r="E411" s="10">
        <f>Github!F$948+Github!G$948</f>
        <v>2789</v>
      </c>
      <c r="F411" s="12">
        <f t="shared" si="1"/>
        <v>4.57</v>
      </c>
      <c r="G411" s="10" t="str">
        <f>Github!H$948</f>
        <v>Algorithms</v>
      </c>
      <c r="H411" s="13" t="str">
        <f>SUBSTITUTE(Github!L$948, ";", ", ")</f>
        <v>Depth-First Search, Union Find, Graph, </v>
      </c>
      <c r="I411" s="10" t="str">
        <f>Github!E$948</f>
        <v>Medium</v>
      </c>
      <c r="J411" s="10" t="str">
        <f>IF(TRIM(Github!D$948)="TRUE","FALSE","TRUE")</f>
        <v>TRUE</v>
      </c>
      <c r="K411" s="10" t="b">
        <f>Github!M$948</f>
        <v>0</v>
      </c>
      <c r="L411" s="10" t="b">
        <f>Github!N$948</f>
        <v>0</v>
      </c>
      <c r="M411" s="10" t="str">
        <f>ROUND(Github!O$948, 2)&amp;"%"</f>
        <v>56.25%</v>
      </c>
      <c r="N411" s="10">
        <f>Github!P$948</f>
        <v>97380</v>
      </c>
      <c r="O411" s="10">
        <f>Github!Q$948</f>
        <v>173129</v>
      </c>
    </row>
    <row r="412">
      <c r="A412" s="10">
        <f>Github!J$935</f>
        <v>934</v>
      </c>
      <c r="B412" s="11" t="str">
        <f>HYPERLINK(CONCAT("http://leetcode.com/problems/",Github!C$935), Github!B$935)</f>
        <v>Shortest Bridge</v>
      </c>
      <c r="C412" s="10">
        <f>Github!F$935</f>
        <v>2286</v>
      </c>
      <c r="D412" s="10">
        <f>Github!G$935</f>
        <v>118</v>
      </c>
      <c r="E412" s="10">
        <f>Github!F$935+Github!G$935</f>
        <v>2404</v>
      </c>
      <c r="F412" s="12">
        <f t="shared" si="1"/>
        <v>19.37</v>
      </c>
      <c r="G412" s="10" t="str">
        <f>Github!H$935</f>
        <v>Algorithms</v>
      </c>
      <c r="H412" s="13" t="str">
        <f>SUBSTITUTE(Github!L$935, ";", ", ")</f>
        <v>Array, Depth-First Search, Breadth-First Search, Matrix, </v>
      </c>
      <c r="I412" s="10" t="str">
        <f>Github!E$935</f>
        <v>Medium</v>
      </c>
      <c r="J412" s="10" t="str">
        <f>IF(TRIM(Github!D$935)="TRUE","FALSE","TRUE")</f>
        <v>TRUE</v>
      </c>
      <c r="K412" s="10" t="b">
        <f>Github!M$935</f>
        <v>0</v>
      </c>
      <c r="L412" s="10" t="b">
        <f>Github!N$935</f>
        <v>0</v>
      </c>
      <c r="M412" s="10" t="str">
        <f>ROUND(Github!O$935, 2)&amp;"%"</f>
        <v>52.43%</v>
      </c>
      <c r="N412" s="10">
        <f>Github!P$935</f>
        <v>83629</v>
      </c>
      <c r="O412" s="10">
        <f>Github!Q$935</f>
        <v>159509</v>
      </c>
    </row>
    <row r="413">
      <c r="A413" s="10">
        <f>Github!J$848</f>
        <v>847</v>
      </c>
      <c r="B413" s="11" t="str">
        <f>HYPERLINK(CONCAT("http://leetcode.com/problems/",Github!C$848), Github!B$848)</f>
        <v>Shortest Path Visiting All Nodes</v>
      </c>
      <c r="C413" s="10">
        <f>Github!F$848</f>
        <v>2273</v>
      </c>
      <c r="D413" s="10">
        <f>Github!G$848</f>
        <v>117</v>
      </c>
      <c r="E413" s="10">
        <f>Github!F$848+Github!G$848</f>
        <v>2390</v>
      </c>
      <c r="F413" s="12">
        <f t="shared" si="1"/>
        <v>19.43</v>
      </c>
      <c r="G413" s="10" t="str">
        <f>Github!H$848</f>
        <v>Algorithms</v>
      </c>
      <c r="H413" s="13" t="str">
        <f>SUBSTITUTE(Github!L$848, ";", ", ")</f>
        <v>Dynamic Programming, Bit Manipulation, Breadth-First Search, Graph, Bitmask, </v>
      </c>
      <c r="I413" s="10" t="str">
        <f>Github!E$848</f>
        <v>Hard</v>
      </c>
      <c r="J413" s="10" t="str">
        <f>IF(TRIM(Github!D$848)="TRUE","FALSE","TRUE")</f>
        <v>TRUE</v>
      </c>
      <c r="K413" s="10" t="b">
        <f>Github!M$848</f>
        <v>1</v>
      </c>
      <c r="L413" s="10" t="b">
        <f>Github!N$848</f>
        <v>0</v>
      </c>
      <c r="M413" s="10" t="str">
        <f>ROUND(Github!O$848, 2)&amp;"%"</f>
        <v>60.99%</v>
      </c>
      <c r="N413" s="10">
        <f>Github!P$848</f>
        <v>52914</v>
      </c>
      <c r="O413" s="10">
        <f>Github!Q$848</f>
        <v>86765</v>
      </c>
    </row>
    <row r="414">
      <c r="A414" s="10">
        <f>Github!J$497</f>
        <v>496</v>
      </c>
      <c r="B414" s="11" t="str">
        <f>HYPERLINK(CONCAT("http://leetcode.com/problems/",Github!C$497), Github!B$497)</f>
        <v>Next Greater Element I</v>
      </c>
      <c r="C414" s="10">
        <f>Github!F$497</f>
        <v>2276</v>
      </c>
      <c r="D414" s="10">
        <f>Github!G$497</f>
        <v>147</v>
      </c>
      <c r="E414" s="10">
        <f>Github!F$497+Github!G$497</f>
        <v>2423</v>
      </c>
      <c r="F414" s="12">
        <f t="shared" si="1"/>
        <v>15.48</v>
      </c>
      <c r="G414" s="10" t="str">
        <f>Github!H$497</f>
        <v>Algorithms</v>
      </c>
      <c r="H414" s="13" t="str">
        <f>SUBSTITUTE(Github!L$497, ";", ", ")</f>
        <v>Array, Hash Table, Stack, Monotonic Stack, </v>
      </c>
      <c r="I414" s="10" t="str">
        <f>Github!E$497</f>
        <v>Easy</v>
      </c>
      <c r="J414" s="10" t="str">
        <f>IF(TRIM(Github!D$497)="TRUE","FALSE","TRUE")</f>
        <v>TRUE</v>
      </c>
      <c r="K414" s="10" t="b">
        <f>Github!M$497</f>
        <v>1</v>
      </c>
      <c r="L414" s="10" t="b">
        <f>Github!N$497</f>
        <v>0</v>
      </c>
      <c r="M414" s="10" t="str">
        <f>ROUND(Github!O$497, 2)&amp;"%"</f>
        <v>69.67%</v>
      </c>
      <c r="N414" s="10">
        <f>Github!P$497</f>
        <v>329204</v>
      </c>
      <c r="O414" s="10">
        <f>Github!Q$497</f>
        <v>472533</v>
      </c>
    </row>
    <row r="415">
      <c r="A415" s="10">
        <f>Github!J$215</f>
        <v>214</v>
      </c>
      <c r="B415" s="11" t="str">
        <f>HYPERLINK(CONCAT("http://leetcode.com/problems/",Github!C$215), Github!B$215)</f>
        <v>Shortest Palindrome</v>
      </c>
      <c r="C415" s="10">
        <f>Github!F$215</f>
        <v>2262</v>
      </c>
      <c r="D415" s="10">
        <f>Github!G$215</f>
        <v>182</v>
      </c>
      <c r="E415" s="10">
        <f>Github!F$215+Github!G$215</f>
        <v>2444</v>
      </c>
      <c r="F415" s="12">
        <f t="shared" si="1"/>
        <v>12.43</v>
      </c>
      <c r="G415" s="10" t="str">
        <f>Github!H$215</f>
        <v>Algorithms</v>
      </c>
      <c r="H415" s="13" t="str">
        <f>SUBSTITUTE(Github!L$215, ";", ", ")</f>
        <v>String, Rolling Hash, String Matching, Hash Function, </v>
      </c>
      <c r="I415" s="10" t="str">
        <f>Github!E$215</f>
        <v>Hard</v>
      </c>
      <c r="J415" s="10" t="str">
        <f>IF(TRIM(Github!D$215)="TRUE","FALSE","TRUE")</f>
        <v>TRUE</v>
      </c>
      <c r="K415" s="10" t="b">
        <f>Github!M$215</f>
        <v>1</v>
      </c>
      <c r="L415" s="10" t="b">
        <f>Github!N$215</f>
        <v>0</v>
      </c>
      <c r="M415" s="10" t="str">
        <f>ROUND(Github!O$215, 2)&amp;"%"</f>
        <v>31.69%</v>
      </c>
      <c r="N415" s="10">
        <f>Github!P$215</f>
        <v>132989</v>
      </c>
      <c r="O415" s="10">
        <f>Github!Q$215</f>
        <v>419695</v>
      </c>
    </row>
    <row r="416">
      <c r="A416" s="10">
        <f>Github!J$1027</f>
        <v>1026</v>
      </c>
      <c r="B416" s="11" t="str">
        <f>HYPERLINK(CONCAT("http://leetcode.com/problems/",Github!C$1027), Github!B$1027)</f>
        <v>Maximum Difference Between Node and Ancestor</v>
      </c>
      <c r="C416" s="10">
        <f>Github!F$1027</f>
        <v>2258</v>
      </c>
      <c r="D416" s="10">
        <f>Github!G$1027</f>
        <v>63</v>
      </c>
      <c r="E416" s="10">
        <f>Github!F$1027+Github!G$1027</f>
        <v>2321</v>
      </c>
      <c r="F416" s="12">
        <f t="shared" si="1"/>
        <v>35.84</v>
      </c>
      <c r="G416" s="10" t="str">
        <f>Github!H$1027</f>
        <v>Algorithms</v>
      </c>
      <c r="H416" s="13" t="str">
        <f>SUBSTITUTE(Github!L$1027, ";", ", ")</f>
        <v>Tree, Depth-First Search, Binary Tree, </v>
      </c>
      <c r="I416" s="10" t="str">
        <f>Github!E$1027</f>
        <v>Medium</v>
      </c>
      <c r="J416" s="10" t="str">
        <f>IF(TRIM(Github!D$1027)="TRUE","FALSE","TRUE")</f>
        <v>TRUE</v>
      </c>
      <c r="K416" s="10" t="b">
        <f>Github!M$1027</f>
        <v>1</v>
      </c>
      <c r="L416" s="10" t="b">
        <f>Github!N$1027</f>
        <v>0</v>
      </c>
      <c r="M416" s="10" t="str">
        <f>ROUND(Github!O$1027, 2)&amp;"%"</f>
        <v>73.1%</v>
      </c>
      <c r="N416" s="10">
        <f>Github!P$1027</f>
        <v>126427</v>
      </c>
      <c r="O416" s="10">
        <f>Github!Q$1027</f>
        <v>172952</v>
      </c>
    </row>
    <row r="417">
      <c r="A417" s="10">
        <f>Github!J$1513</f>
        <v>1512</v>
      </c>
      <c r="B417" s="11" t="str">
        <f>HYPERLINK(CONCAT("http://leetcode.com/problems/",Github!C$1513), Github!B$1513)</f>
        <v>Number of Good Pairs</v>
      </c>
      <c r="C417" s="10">
        <f>Github!F$1513</f>
        <v>2257</v>
      </c>
      <c r="D417" s="10">
        <f>Github!G$1513</f>
        <v>138</v>
      </c>
      <c r="E417" s="10">
        <f>Github!F$1513+Github!G$1513</f>
        <v>2395</v>
      </c>
      <c r="F417" s="12">
        <f t="shared" si="1"/>
        <v>16.36</v>
      </c>
      <c r="G417" s="10" t="str">
        <f>Github!H$1513</f>
        <v>Algorithms</v>
      </c>
      <c r="H417" s="13" t="str">
        <f>SUBSTITUTE(Github!L$1513, ";", ", ")</f>
        <v>Array, Hash Table, Math, Counting, </v>
      </c>
      <c r="I417" s="10" t="str">
        <f>Github!E$1513</f>
        <v>Easy</v>
      </c>
      <c r="J417" s="10" t="str">
        <f>IF(TRIM(Github!D$1513)="TRUE","FALSE","TRUE")</f>
        <v>TRUE</v>
      </c>
      <c r="K417" s="10" t="b">
        <f>Github!M$1513</f>
        <v>0</v>
      </c>
      <c r="L417" s="10" t="b">
        <f>Github!N$1513</f>
        <v>0</v>
      </c>
      <c r="M417" s="10" t="str">
        <f>ROUND(Github!O$1513, 2)&amp;"%"</f>
        <v>87.91%</v>
      </c>
      <c r="N417" s="10">
        <f>Github!P$1513</f>
        <v>274434</v>
      </c>
      <c r="O417" s="10">
        <f>Github!Q$1513</f>
        <v>312182</v>
      </c>
    </row>
    <row r="418">
      <c r="A418" s="10">
        <f>Github!J$888</f>
        <v>887</v>
      </c>
      <c r="B418" s="11" t="str">
        <f>HYPERLINK(CONCAT("http://leetcode.com/problems/",Github!C$888), Github!B$888)</f>
        <v>Super Egg Drop</v>
      </c>
      <c r="C418" s="10">
        <f>Github!F$888</f>
        <v>2256</v>
      </c>
      <c r="D418" s="10">
        <f>Github!G$888</f>
        <v>121</v>
      </c>
      <c r="E418" s="10">
        <f>Github!F$888+Github!G$888</f>
        <v>2377</v>
      </c>
      <c r="F418" s="12">
        <f t="shared" si="1"/>
        <v>18.64</v>
      </c>
      <c r="G418" s="10" t="str">
        <f>Github!H$888</f>
        <v>Algorithms</v>
      </c>
      <c r="H418" s="13" t="str">
        <f>SUBSTITUTE(Github!L$888, ";", ", ")</f>
        <v>Math, Binary Search, Dynamic Programming, </v>
      </c>
      <c r="I418" s="10" t="str">
        <f>Github!E$888</f>
        <v>Hard</v>
      </c>
      <c r="J418" s="10" t="str">
        <f>IF(TRIM(Github!D$888)="TRUE","FALSE","TRUE")</f>
        <v>TRUE</v>
      </c>
      <c r="K418" s="10" t="b">
        <f>Github!M$888</f>
        <v>1</v>
      </c>
      <c r="L418" s="10" t="b">
        <f>Github!N$888</f>
        <v>0</v>
      </c>
      <c r="M418" s="10" t="str">
        <f>ROUND(Github!O$888, 2)&amp;"%"</f>
        <v>27.15%</v>
      </c>
      <c r="N418" s="10">
        <f>Github!P$888</f>
        <v>43437</v>
      </c>
      <c r="O418" s="10">
        <f>Github!Q$888</f>
        <v>159997</v>
      </c>
    </row>
    <row r="419">
      <c r="A419" s="10">
        <f>Github!J$853</f>
        <v>852</v>
      </c>
      <c r="B419" s="11" t="str">
        <f>HYPERLINK(CONCAT("http://leetcode.com/problems/",Github!C$853), Github!B$853)</f>
        <v>Peak Index in a Mountain Array</v>
      </c>
      <c r="C419" s="10">
        <f>Github!F$853</f>
        <v>2240</v>
      </c>
      <c r="D419" s="10">
        <f>Github!G$853</f>
        <v>1592</v>
      </c>
      <c r="E419" s="10">
        <f>Github!F$853+Github!G$853</f>
        <v>3832</v>
      </c>
      <c r="F419" s="12">
        <f t="shared" si="1"/>
        <v>1.41</v>
      </c>
      <c r="G419" s="10" t="str">
        <f>Github!H$853</f>
        <v>Algorithms</v>
      </c>
      <c r="H419" s="13" t="str">
        <f>SUBSTITUTE(Github!L$853, ";", ", ")</f>
        <v>Array, Binary Search, </v>
      </c>
      <c r="I419" s="10" t="str">
        <f>Github!E$853</f>
        <v>Easy</v>
      </c>
      <c r="J419" s="10" t="str">
        <f>IF(TRIM(Github!D$853)="TRUE","FALSE","TRUE")</f>
        <v>TRUE</v>
      </c>
      <c r="K419" s="10" t="b">
        <f>Github!M$853</f>
        <v>1</v>
      </c>
      <c r="L419" s="10" t="b">
        <f>Github!N$853</f>
        <v>0</v>
      </c>
      <c r="M419" s="10" t="str">
        <f>ROUND(Github!O$853, 2)&amp;"%"</f>
        <v>70.92%</v>
      </c>
      <c r="N419" s="10">
        <f>Github!P$853</f>
        <v>333163</v>
      </c>
      <c r="O419" s="10">
        <f>Github!Q$853</f>
        <v>469752</v>
      </c>
    </row>
    <row r="420">
      <c r="A420" s="10">
        <f>Github!J$262</f>
        <v>261</v>
      </c>
      <c r="B420" s="11" t="str">
        <f>HYPERLINK(CONCAT("http://leetcode.com/problems/",Github!C$262), Github!B$262)</f>
        <v>Graph Valid Tree</v>
      </c>
      <c r="C420" s="10">
        <f>Github!F$262</f>
        <v>2237</v>
      </c>
      <c r="D420" s="10">
        <f>Github!G$262</f>
        <v>57</v>
      </c>
      <c r="E420" s="10">
        <f>Github!F$262+Github!G$262</f>
        <v>2294</v>
      </c>
      <c r="F420" s="12">
        <f t="shared" si="1"/>
        <v>39.25</v>
      </c>
      <c r="G420" s="10" t="str">
        <f>Github!H$262</f>
        <v>Algorithms</v>
      </c>
      <c r="H420" s="13" t="str">
        <f>SUBSTITUTE(Github!L$262, ";", ", ")</f>
        <v>Depth-First Search, Breadth-First Search, Union Find, Graph, </v>
      </c>
      <c r="I420" s="10" t="str">
        <f>Github!E$262</f>
        <v>Medium</v>
      </c>
      <c r="J420" s="10" t="str">
        <f>IF(TRIM(Github!D$262)="TRUE","FALSE","TRUE")</f>
        <v>FALSE</v>
      </c>
      <c r="K420" s="10" t="b">
        <f>Github!M$262</f>
        <v>1</v>
      </c>
      <c r="L420" s="10" t="b">
        <f>Github!N$262</f>
        <v>0</v>
      </c>
      <c r="M420" s="10" t="str">
        <f>ROUND(Github!O$262, 2)&amp;"%"</f>
        <v>45.51%</v>
      </c>
      <c r="N420" s="10">
        <f>Github!P$262</f>
        <v>242189</v>
      </c>
      <c r="O420" s="10">
        <f>Github!Q$262</f>
        <v>532160</v>
      </c>
    </row>
    <row r="421">
      <c r="A421" s="10">
        <f>Github!J$800</f>
        <v>799</v>
      </c>
      <c r="B421" s="11" t="str">
        <f>HYPERLINK(CONCAT("http://leetcode.com/problems/",Github!C$800), Github!B$800)</f>
        <v>Champagne Tower</v>
      </c>
      <c r="C421" s="10">
        <f>Github!F$800</f>
        <v>2236</v>
      </c>
      <c r="D421" s="10">
        <f>Github!G$800</f>
        <v>127</v>
      </c>
      <c r="E421" s="10">
        <f>Github!F$800+Github!G$800</f>
        <v>2363</v>
      </c>
      <c r="F421" s="12">
        <f t="shared" si="1"/>
        <v>17.61</v>
      </c>
      <c r="G421" s="10" t="str">
        <f>Github!H$800</f>
        <v>Algorithms</v>
      </c>
      <c r="H421" s="13" t="str">
        <f>SUBSTITUTE(Github!L$800, ";", ", ")</f>
        <v>Dynamic Programming, </v>
      </c>
      <c r="I421" s="10" t="str">
        <f>Github!E$800</f>
        <v>Medium</v>
      </c>
      <c r="J421" s="10" t="str">
        <f>IF(TRIM(Github!D$800)="TRUE","FALSE","TRUE")</f>
        <v>TRUE</v>
      </c>
      <c r="K421" s="10" t="b">
        <f>Github!M$800</f>
        <v>1</v>
      </c>
      <c r="L421" s="10" t="b">
        <f>Github!N$800</f>
        <v>0</v>
      </c>
      <c r="M421" s="10" t="str">
        <f>ROUND(Github!O$800, 2)&amp;"%"</f>
        <v>51.05%</v>
      </c>
      <c r="N421" s="10">
        <f>Github!P$800</f>
        <v>72832</v>
      </c>
      <c r="O421" s="10">
        <f>Github!Q$800</f>
        <v>142685</v>
      </c>
    </row>
    <row r="422">
      <c r="A422" s="10">
        <f>Github!J$220</f>
        <v>219</v>
      </c>
      <c r="B422" s="11" t="str">
        <f>HYPERLINK(CONCAT("http://leetcode.com/problems/",Github!C$220), Github!B$220)</f>
        <v>Contains Duplicate II</v>
      </c>
      <c r="C422" s="10">
        <f>Github!F$220</f>
        <v>2237</v>
      </c>
      <c r="D422" s="10">
        <f>Github!G$220</f>
        <v>1805</v>
      </c>
      <c r="E422" s="10">
        <f>Github!F$220+Github!G$220</f>
        <v>4042</v>
      </c>
      <c r="F422" s="12">
        <f t="shared" si="1"/>
        <v>1.24</v>
      </c>
      <c r="G422" s="10" t="str">
        <f>Github!H$220</f>
        <v>Algorithms</v>
      </c>
      <c r="H422" s="13" t="str">
        <f>SUBSTITUTE(Github!L$220, ";", ", ")</f>
        <v>Array, Hash Table, Sliding Window, </v>
      </c>
      <c r="I422" s="10" t="str">
        <f>Github!E$220</f>
        <v>Easy</v>
      </c>
      <c r="J422" s="10" t="str">
        <f>IF(TRIM(Github!D$220)="TRUE","FALSE","TRUE")</f>
        <v>TRUE</v>
      </c>
      <c r="K422" s="10" t="b">
        <f>Github!M$220</f>
        <v>1</v>
      </c>
      <c r="L422" s="10" t="b">
        <f>Github!N$220</f>
        <v>0</v>
      </c>
      <c r="M422" s="10" t="str">
        <f>ROUND(Github!O$220, 2)&amp;"%"</f>
        <v>40.52%</v>
      </c>
      <c r="N422" s="10">
        <f>Github!P$220</f>
        <v>435858</v>
      </c>
      <c r="O422" s="10">
        <f>Github!Q$220</f>
        <v>1075698</v>
      </c>
    </row>
    <row r="423">
      <c r="A423" s="10">
        <f>Github!J$315</f>
        <v>314</v>
      </c>
      <c r="B423" s="11" t="str">
        <f>HYPERLINK(CONCAT("http://leetcode.com/problems/",Github!C$315), Github!B$315)</f>
        <v>Binary Tree Vertical Order Traversal</v>
      </c>
      <c r="C423" s="10">
        <f>Github!F$315</f>
        <v>2228</v>
      </c>
      <c r="D423" s="10">
        <f>Github!G$315</f>
        <v>250</v>
      </c>
      <c r="E423" s="10">
        <f>Github!F$315+Github!G$315</f>
        <v>2478</v>
      </c>
      <c r="F423" s="12">
        <f t="shared" si="1"/>
        <v>8.91</v>
      </c>
      <c r="G423" s="10" t="str">
        <f>Github!H$315</f>
        <v>Algorithms</v>
      </c>
      <c r="H423" s="13" t="str">
        <f>SUBSTITUTE(Github!L$315, ";", ", ")</f>
        <v>Hash Table, Tree, Depth-First Search, Breadth-First Search, Binary Tree, </v>
      </c>
      <c r="I423" s="10" t="str">
        <f>Github!E$315</f>
        <v>Medium</v>
      </c>
      <c r="J423" s="10" t="str">
        <f>IF(TRIM(Github!D$315)="TRUE","FALSE","TRUE")</f>
        <v>FALSE</v>
      </c>
      <c r="K423" s="10" t="b">
        <f>Github!M$315</f>
        <v>1</v>
      </c>
      <c r="L423" s="10" t="b">
        <f>Github!N$315</f>
        <v>0</v>
      </c>
      <c r="M423" s="10" t="str">
        <f>ROUND(Github!O$315, 2)&amp;"%"</f>
        <v>50.78%</v>
      </c>
      <c r="N423" s="10">
        <f>Github!P$315</f>
        <v>247805</v>
      </c>
      <c r="O423" s="10">
        <f>Github!Q$315</f>
        <v>487992</v>
      </c>
    </row>
    <row r="424">
      <c r="A424" s="10">
        <f>Github!J$287</f>
        <v>286</v>
      </c>
      <c r="B424" s="11" t="str">
        <f>HYPERLINK(CONCAT("http://leetcode.com/problems/",Github!C$287), Github!B$287)</f>
        <v>Walls and Gates</v>
      </c>
      <c r="C424" s="10">
        <f>Github!F$287</f>
        <v>2216</v>
      </c>
      <c r="D424" s="10">
        <f>Github!G$287</f>
        <v>35</v>
      </c>
      <c r="E424" s="10">
        <f>Github!F$287+Github!G$287</f>
        <v>2251</v>
      </c>
      <c r="F424" s="12">
        <f t="shared" si="1"/>
        <v>63.31</v>
      </c>
      <c r="G424" s="10" t="str">
        <f>Github!H$287</f>
        <v>Algorithms</v>
      </c>
      <c r="H424" s="13" t="str">
        <f>SUBSTITUTE(Github!L$287, ";", ", ")</f>
        <v>Array, Breadth-First Search, Matrix, </v>
      </c>
      <c r="I424" s="10" t="str">
        <f>Github!E$287</f>
        <v>Medium</v>
      </c>
      <c r="J424" s="10" t="str">
        <f>IF(TRIM(Github!D$287)="TRUE","FALSE","TRUE")</f>
        <v>FALSE</v>
      </c>
      <c r="K424" s="10" t="b">
        <f>Github!M$287</f>
        <v>1</v>
      </c>
      <c r="L424" s="10" t="b">
        <f>Github!N$287</f>
        <v>0</v>
      </c>
      <c r="M424" s="10" t="str">
        <f>ROUND(Github!O$287, 2)&amp;"%"</f>
        <v>58.93%</v>
      </c>
      <c r="N424" s="10">
        <f>Github!P$287</f>
        <v>207814</v>
      </c>
      <c r="O424" s="10">
        <f>Github!Q$287</f>
        <v>352661</v>
      </c>
    </row>
    <row r="425">
      <c r="A425" s="10">
        <f>Github!J$898</f>
        <v>897</v>
      </c>
      <c r="B425" s="11" t="str">
        <f>HYPERLINK(CONCAT("http://leetcode.com/problems/",Github!C$898), Github!B$898)</f>
        <v>Increasing Order Search Tree</v>
      </c>
      <c r="C425" s="10">
        <f>Github!F$898</f>
        <v>2199</v>
      </c>
      <c r="D425" s="10">
        <f>Github!G$898</f>
        <v>593</v>
      </c>
      <c r="E425" s="10">
        <f>Github!F$898+Github!G$898</f>
        <v>2792</v>
      </c>
      <c r="F425" s="12">
        <f t="shared" si="1"/>
        <v>3.71</v>
      </c>
      <c r="G425" s="10" t="str">
        <f>Github!H$898</f>
        <v>Algorithms</v>
      </c>
      <c r="H425" s="13" t="str">
        <f>SUBSTITUTE(Github!L$898, ";", ", ")</f>
        <v>Stack, Tree, Depth-First Search, Binary Search Tree, Binary Tree, </v>
      </c>
      <c r="I425" s="10" t="str">
        <f>Github!E$898</f>
        <v>Easy</v>
      </c>
      <c r="J425" s="10" t="str">
        <f>IF(TRIM(Github!D$898)="TRUE","FALSE","TRUE")</f>
        <v>TRUE</v>
      </c>
      <c r="K425" s="10" t="b">
        <f>Github!M$898</f>
        <v>1</v>
      </c>
      <c r="L425" s="10" t="b">
        <f>Github!N$898</f>
        <v>0</v>
      </c>
      <c r="M425" s="10" t="str">
        <f>ROUND(Github!O$898, 2)&amp;"%"</f>
        <v>76.06%</v>
      </c>
      <c r="N425" s="10">
        <f>Github!P$898</f>
        <v>163113</v>
      </c>
      <c r="O425" s="10">
        <f>Github!Q$898</f>
        <v>214467</v>
      </c>
    </row>
    <row r="426">
      <c r="A426" s="10">
        <f>Github!J$221</f>
        <v>220</v>
      </c>
      <c r="B426" s="11" t="str">
        <f>HYPERLINK(CONCAT("http://leetcode.com/problems/",Github!C$221), Github!B$221)</f>
        <v>Contains Duplicate III</v>
      </c>
      <c r="C426" s="10">
        <f>Github!F$221</f>
        <v>2194</v>
      </c>
      <c r="D426" s="10">
        <f>Github!G$221</f>
        <v>2159</v>
      </c>
      <c r="E426" s="10">
        <f>Github!F$221+Github!G$221</f>
        <v>4353</v>
      </c>
      <c r="F426" s="12">
        <f t="shared" si="1"/>
        <v>1.02</v>
      </c>
      <c r="G426" s="10" t="str">
        <f>Github!H$221</f>
        <v>Algorithms</v>
      </c>
      <c r="H426" s="13" t="str">
        <f>SUBSTITUTE(Github!L$221, ";", ", ")</f>
        <v>Array, Sliding Window, Sorting, Bucket Sort, Ordered Set, </v>
      </c>
      <c r="I426" s="10" t="str">
        <f>Github!E$221</f>
        <v>Medium</v>
      </c>
      <c r="J426" s="10" t="str">
        <f>IF(TRIM(Github!D$221)="TRUE","FALSE","TRUE")</f>
        <v>TRUE</v>
      </c>
      <c r="K426" s="10" t="b">
        <f>Github!M$221</f>
        <v>1</v>
      </c>
      <c r="L426" s="10" t="b">
        <f>Github!N$221</f>
        <v>0</v>
      </c>
      <c r="M426" s="10" t="str">
        <f>ROUND(Github!O$221, 2)&amp;"%"</f>
        <v>21.69%</v>
      </c>
      <c r="N426" s="10">
        <f>Github!P$221</f>
        <v>196765</v>
      </c>
      <c r="O426" s="10">
        <f>Github!Q$221</f>
        <v>907170</v>
      </c>
    </row>
    <row r="427">
      <c r="A427" s="10">
        <f>Github!J$341</f>
        <v>340</v>
      </c>
      <c r="B427" s="11" t="str">
        <f>HYPERLINK(CONCAT("http://leetcode.com/problems/",Github!C$341), Github!B$341)</f>
        <v>Longest Substring with At Most K Distinct Characters</v>
      </c>
      <c r="C427" s="10">
        <f>Github!F$341</f>
        <v>2190</v>
      </c>
      <c r="D427" s="10">
        <f>Github!G$341</f>
        <v>67</v>
      </c>
      <c r="E427" s="10">
        <f>Github!F$341+Github!G$341</f>
        <v>2257</v>
      </c>
      <c r="F427" s="12">
        <f t="shared" si="1"/>
        <v>32.69</v>
      </c>
      <c r="G427" s="10" t="str">
        <f>Github!H$341</f>
        <v>Algorithms</v>
      </c>
      <c r="H427" s="13" t="str">
        <f>SUBSTITUTE(Github!L$341, ";", ", ")</f>
        <v>Hash Table, String, Sliding Window, </v>
      </c>
      <c r="I427" s="10" t="str">
        <f>Github!E$341</f>
        <v>Medium</v>
      </c>
      <c r="J427" s="10" t="str">
        <f>IF(TRIM(Github!D$341)="TRUE","FALSE","TRUE")</f>
        <v>FALSE</v>
      </c>
      <c r="K427" s="10" t="b">
        <f>Github!M$341</f>
        <v>1</v>
      </c>
      <c r="L427" s="10" t="b">
        <f>Github!N$341</f>
        <v>1</v>
      </c>
      <c r="M427" s="10" t="str">
        <f>ROUND(Github!O$341, 2)&amp;"%"</f>
        <v>47.21%</v>
      </c>
      <c r="N427" s="10">
        <f>Github!P$341</f>
        <v>264048</v>
      </c>
      <c r="O427" s="10">
        <f>Github!Q$341</f>
        <v>559326</v>
      </c>
    </row>
    <row r="428">
      <c r="A428" s="10">
        <f>Github!J$367</f>
        <v>366</v>
      </c>
      <c r="B428" s="11" t="str">
        <f>HYPERLINK(CONCAT("http://leetcode.com/problems/",Github!C$367), Github!B$367)</f>
        <v>Find Leaves of Binary Tree</v>
      </c>
      <c r="C428" s="10">
        <f>Github!F$367</f>
        <v>2188</v>
      </c>
      <c r="D428" s="10">
        <f>Github!G$367</f>
        <v>38</v>
      </c>
      <c r="E428" s="10">
        <f>Github!F$367+Github!G$367</f>
        <v>2226</v>
      </c>
      <c r="F428" s="12">
        <f t="shared" si="1"/>
        <v>57.58</v>
      </c>
      <c r="G428" s="10" t="str">
        <f>Github!H$367</f>
        <v>Algorithms</v>
      </c>
      <c r="H428" s="13" t="str">
        <f>SUBSTITUTE(Github!L$367, ";", ", ")</f>
        <v>Tree, Depth-First Search, Binary Tree, </v>
      </c>
      <c r="I428" s="10" t="str">
        <f>Github!E$367</f>
        <v>Medium</v>
      </c>
      <c r="J428" s="10" t="str">
        <f>IF(TRIM(Github!D$367)="TRUE","FALSE","TRUE")</f>
        <v>FALSE</v>
      </c>
      <c r="K428" s="10" t="b">
        <f>Github!M$367</f>
        <v>1</v>
      </c>
      <c r="L428" s="10" t="b">
        <f>Github!N$367</f>
        <v>0</v>
      </c>
      <c r="M428" s="10" t="str">
        <f>ROUND(Github!O$367, 2)&amp;"%"</f>
        <v>77.82%</v>
      </c>
      <c r="N428" s="10">
        <f>Github!P$367</f>
        <v>155378</v>
      </c>
      <c r="O428" s="10">
        <f>Github!Q$367</f>
        <v>199652</v>
      </c>
    </row>
    <row r="429">
      <c r="A429" s="10">
        <f>Github!J$1003</f>
        <v>1002</v>
      </c>
      <c r="B429" s="11" t="str">
        <f>HYPERLINK(CONCAT("http://leetcode.com/problems/",Github!C$1003), Github!B$1003)</f>
        <v>Find Common Characters</v>
      </c>
      <c r="C429" s="10">
        <f>Github!F$1003</f>
        <v>2181</v>
      </c>
      <c r="D429" s="10">
        <f>Github!G$1003</f>
        <v>180</v>
      </c>
      <c r="E429" s="10">
        <f>Github!F$1003+Github!G$1003</f>
        <v>2361</v>
      </c>
      <c r="F429" s="12">
        <f t="shared" si="1"/>
        <v>12.12</v>
      </c>
      <c r="G429" s="10" t="str">
        <f>Github!H$1003</f>
        <v>Algorithms</v>
      </c>
      <c r="H429" s="13" t="str">
        <f>SUBSTITUTE(Github!L$1003, ";", ", ")</f>
        <v>Array, Hash Table, String, </v>
      </c>
      <c r="I429" s="10" t="str">
        <f>Github!E$1003</f>
        <v>Easy</v>
      </c>
      <c r="J429" s="10" t="str">
        <f>IF(TRIM(Github!D$1003)="TRUE","FALSE","TRUE")</f>
        <v>TRUE</v>
      </c>
      <c r="K429" s="10" t="b">
        <f>Github!M$1003</f>
        <v>0</v>
      </c>
      <c r="L429" s="10" t="b">
        <f>Github!N$1003</f>
        <v>0</v>
      </c>
      <c r="M429" s="10" t="str">
        <f>ROUND(Github!O$1003, 2)&amp;"%"</f>
        <v>68.39%</v>
      </c>
      <c r="N429" s="10">
        <f>Github!P$1003</f>
        <v>137919</v>
      </c>
      <c r="O429" s="10">
        <f>Github!Q$1003</f>
        <v>201680</v>
      </c>
    </row>
    <row r="430">
      <c r="A430" s="10">
        <f>Github!J$278</f>
        <v>277</v>
      </c>
      <c r="B430" s="11" t="str">
        <f>HYPERLINK(CONCAT("http://leetcode.com/problems/",Github!C$278), Github!B$278)</f>
        <v>Find the Celebrity</v>
      </c>
      <c r="C430" s="10">
        <f>Github!F$278</f>
        <v>2178</v>
      </c>
      <c r="D430" s="10">
        <f>Github!G$278</f>
        <v>199</v>
      </c>
      <c r="E430" s="10">
        <f>Github!F$278+Github!G$278</f>
        <v>2377</v>
      </c>
      <c r="F430" s="12">
        <f t="shared" si="1"/>
        <v>10.94</v>
      </c>
      <c r="G430" s="10" t="str">
        <f>Github!H$278</f>
        <v>Algorithms</v>
      </c>
      <c r="H430" s="13" t="str">
        <f>SUBSTITUTE(Github!L$278, ";", ", ")</f>
        <v>Two Pointers, Greedy, Graph, Interactive, </v>
      </c>
      <c r="I430" s="10" t="str">
        <f>Github!E$278</f>
        <v>Medium</v>
      </c>
      <c r="J430" s="10" t="str">
        <f>IF(TRIM(Github!D$278)="TRUE","FALSE","TRUE")</f>
        <v>FALSE</v>
      </c>
      <c r="K430" s="10" t="b">
        <f>Github!M$278</f>
        <v>1</v>
      </c>
      <c r="L430" s="10" t="b">
        <f>Github!N$278</f>
        <v>1</v>
      </c>
      <c r="M430" s="10" t="str">
        <f>ROUND(Github!O$278, 2)&amp;"%"</f>
        <v>46.24%</v>
      </c>
      <c r="N430" s="10">
        <f>Github!P$278</f>
        <v>211558</v>
      </c>
      <c r="O430" s="10">
        <f>Github!Q$278</f>
        <v>457555</v>
      </c>
    </row>
    <row r="431">
      <c r="A431" s="10">
        <f>Github!J$202</f>
        <v>201</v>
      </c>
      <c r="B431" s="11" t="str">
        <f>HYPERLINK(CONCAT("http://leetcode.com/problems/",Github!C$202), Github!B$202)</f>
        <v>Bitwise AND of Numbers Range</v>
      </c>
      <c r="C431" s="10">
        <f>Github!F$202</f>
        <v>2170</v>
      </c>
      <c r="D431" s="10">
        <f>Github!G$202</f>
        <v>177</v>
      </c>
      <c r="E431" s="10">
        <f>Github!F$202+Github!G$202</f>
        <v>2347</v>
      </c>
      <c r="F431" s="12">
        <f t="shared" si="1"/>
        <v>12.26</v>
      </c>
      <c r="G431" s="10" t="str">
        <f>Github!H$202</f>
        <v>Algorithms</v>
      </c>
      <c r="H431" s="13" t="str">
        <f>SUBSTITUTE(Github!L$202, ";", ", ")</f>
        <v>Bit Manipulation, </v>
      </c>
      <c r="I431" s="10" t="str">
        <f>Github!E$202</f>
        <v>Medium</v>
      </c>
      <c r="J431" s="10" t="str">
        <f>IF(TRIM(Github!D$202)="TRUE","FALSE","TRUE")</f>
        <v>TRUE</v>
      </c>
      <c r="K431" s="10" t="b">
        <f>Github!M$202</f>
        <v>1</v>
      </c>
      <c r="L431" s="10" t="b">
        <f>Github!N$202</f>
        <v>0</v>
      </c>
      <c r="M431" s="10" t="str">
        <f>ROUND(Github!O$202, 2)&amp;"%"</f>
        <v>41.66%</v>
      </c>
      <c r="N431" s="10">
        <f>Github!P$202</f>
        <v>210646</v>
      </c>
      <c r="O431" s="10">
        <f>Github!Q$202</f>
        <v>505647</v>
      </c>
    </row>
    <row r="432">
      <c r="A432" s="10">
        <f>Github!J$1540</f>
        <v>1539</v>
      </c>
      <c r="B432" s="11" t="str">
        <f>HYPERLINK(CONCAT("http://leetcode.com/problems/",Github!C$1540), Github!B$1540)</f>
        <v>Kth Missing Positive Number</v>
      </c>
      <c r="C432" s="10">
        <f>Github!F$1540</f>
        <v>2159</v>
      </c>
      <c r="D432" s="10">
        <f>Github!G$1540</f>
        <v>160</v>
      </c>
      <c r="E432" s="10">
        <f>Github!F$1540+Github!G$1540</f>
        <v>2319</v>
      </c>
      <c r="F432" s="12">
        <f t="shared" si="1"/>
        <v>13.49</v>
      </c>
      <c r="G432" s="10" t="str">
        <f>Github!H$1540</f>
        <v>Algorithms</v>
      </c>
      <c r="H432" s="13" t="str">
        <f>SUBSTITUTE(Github!L$1540, ";", ", ")</f>
        <v>Array, Binary Search, </v>
      </c>
      <c r="I432" s="10" t="str">
        <f>Github!E$1540</f>
        <v>Easy</v>
      </c>
      <c r="J432" s="10" t="str">
        <f>IF(TRIM(Github!D$1540)="TRUE","FALSE","TRUE")</f>
        <v>TRUE</v>
      </c>
      <c r="K432" s="10" t="b">
        <f>Github!M$1540</f>
        <v>1</v>
      </c>
      <c r="L432" s="10" t="b">
        <f>Github!N$1540</f>
        <v>0</v>
      </c>
      <c r="M432" s="10" t="str">
        <f>ROUND(Github!O$1540, 2)&amp;"%"</f>
        <v>55.24%</v>
      </c>
      <c r="N432" s="10">
        <f>Github!P$1540</f>
        <v>147720</v>
      </c>
      <c r="O432" s="10">
        <f>Github!Q$1540</f>
        <v>267433</v>
      </c>
    </row>
    <row r="433">
      <c r="A433" s="10">
        <f>Github!J$1449</f>
        <v>1448</v>
      </c>
      <c r="B433" s="11" t="str">
        <f>HYPERLINK(CONCAT("http://leetcode.com/problems/",Github!C$1449), Github!B$1449)</f>
        <v>Count Good Nodes in Binary Tree</v>
      </c>
      <c r="C433" s="10">
        <f>Github!F$1449</f>
        <v>2148</v>
      </c>
      <c r="D433" s="10">
        <f>Github!G$1449</f>
        <v>71</v>
      </c>
      <c r="E433" s="10">
        <f>Github!F$1449+Github!G$1449</f>
        <v>2219</v>
      </c>
      <c r="F433" s="12">
        <f t="shared" si="1"/>
        <v>30.25</v>
      </c>
      <c r="G433" s="10" t="str">
        <f>Github!H$1449</f>
        <v>Algorithms</v>
      </c>
      <c r="H433" s="13" t="str">
        <f>SUBSTITUTE(Github!L$1449, ";", ", ")</f>
        <v>Tree, Depth-First Search, Breadth-First Search, Binary Tree, </v>
      </c>
      <c r="I433" s="10" t="str">
        <f>Github!E$1449</f>
        <v>Medium</v>
      </c>
      <c r="J433" s="10" t="str">
        <f>IF(TRIM(Github!D$1449)="TRUE","FALSE","TRUE")</f>
        <v>TRUE</v>
      </c>
      <c r="K433" s="10" t="b">
        <f>Github!M$1449</f>
        <v>1</v>
      </c>
      <c r="L433" s="10" t="b">
        <f>Github!N$1449</f>
        <v>1</v>
      </c>
      <c r="M433" s="10" t="str">
        <f>ROUND(Github!O$1449, 2)&amp;"%"</f>
        <v>72.97%</v>
      </c>
      <c r="N433" s="10">
        <f>Github!P$1449</f>
        <v>151775</v>
      </c>
      <c r="O433" s="10">
        <f>Github!Q$1449</f>
        <v>207989</v>
      </c>
    </row>
    <row r="434">
      <c r="A434" s="10">
        <f>Github!J$1471</f>
        <v>1470</v>
      </c>
      <c r="B434" s="11" t="str">
        <f>HYPERLINK(CONCAT("http://leetcode.com/problems/",Github!C$1471), Github!B$1471)</f>
        <v>Shuffle the Array</v>
      </c>
      <c r="C434" s="10">
        <f>Github!F$1471</f>
        <v>2150</v>
      </c>
      <c r="D434" s="10">
        <f>Github!G$1471</f>
        <v>169</v>
      </c>
      <c r="E434" s="10">
        <f>Github!F$1471+Github!G$1471</f>
        <v>2319</v>
      </c>
      <c r="F434" s="12">
        <f t="shared" si="1"/>
        <v>12.72</v>
      </c>
      <c r="G434" s="10" t="str">
        <f>Github!H$1471</f>
        <v>Algorithms</v>
      </c>
      <c r="H434" s="13" t="str">
        <f>SUBSTITUTE(Github!L$1471, ";", ", ")</f>
        <v>Array, </v>
      </c>
      <c r="I434" s="10" t="str">
        <f>Github!E$1471</f>
        <v>Easy</v>
      </c>
      <c r="J434" s="10" t="str">
        <f>IF(TRIM(Github!D$1471)="TRUE","FALSE","TRUE")</f>
        <v>TRUE</v>
      </c>
      <c r="K434" s="10" t="b">
        <f>Github!M$1471</f>
        <v>0</v>
      </c>
      <c r="L434" s="10" t="b">
        <f>Github!N$1471</f>
        <v>0</v>
      </c>
      <c r="M434" s="10" t="str">
        <f>ROUND(Github!O$1471, 2)&amp;"%"</f>
        <v>88.32%</v>
      </c>
      <c r="N434" s="10">
        <f>Github!P$1471</f>
        <v>297967</v>
      </c>
      <c r="O434" s="10">
        <f>Github!Q$1471</f>
        <v>337386</v>
      </c>
    </row>
    <row r="435">
      <c r="A435" s="10">
        <f>Github!J$1306</f>
        <v>1305</v>
      </c>
      <c r="B435" s="11" t="str">
        <f>HYPERLINK(CONCAT("http://leetcode.com/problems/",Github!C$1306), Github!B$1306)</f>
        <v>All Elements in Two Binary Search Trees</v>
      </c>
      <c r="C435" s="10">
        <f>Github!F$1306</f>
        <v>2138</v>
      </c>
      <c r="D435" s="10">
        <f>Github!G$1306</f>
        <v>63</v>
      </c>
      <c r="E435" s="10">
        <f>Github!F$1306+Github!G$1306</f>
        <v>2201</v>
      </c>
      <c r="F435" s="12">
        <f t="shared" si="1"/>
        <v>33.94</v>
      </c>
      <c r="G435" s="10" t="str">
        <f>Github!H$1306</f>
        <v>Algorithms</v>
      </c>
      <c r="H435" s="13" t="str">
        <f>SUBSTITUTE(Github!L$1306, ";", ", ")</f>
        <v>Tree, Depth-First Search, Binary Search Tree, Sorting, Binary Tree, </v>
      </c>
      <c r="I435" s="10" t="str">
        <f>Github!E$1306</f>
        <v>Medium</v>
      </c>
      <c r="J435" s="10" t="str">
        <f>IF(TRIM(Github!D$1306)="TRUE","FALSE","TRUE")</f>
        <v>TRUE</v>
      </c>
      <c r="K435" s="10" t="b">
        <f>Github!M$1306</f>
        <v>1</v>
      </c>
      <c r="L435" s="10" t="b">
        <f>Github!N$1306</f>
        <v>0</v>
      </c>
      <c r="M435" s="10" t="str">
        <f>ROUND(Github!O$1306, 2)&amp;"%"</f>
        <v>79.62%</v>
      </c>
      <c r="N435" s="10">
        <f>Github!P$1306</f>
        <v>156360</v>
      </c>
      <c r="O435" s="10">
        <f>Github!Q$1306</f>
        <v>196383</v>
      </c>
    </row>
    <row r="436">
      <c r="A436" s="10">
        <f>Github!J$828</f>
        <v>827</v>
      </c>
      <c r="B436" s="11" t="str">
        <f>HYPERLINK(CONCAT("http://leetcode.com/problems/",Github!C$828), Github!B$828)</f>
        <v>Making A Large Island</v>
      </c>
      <c r="C436" s="10">
        <f>Github!F$828</f>
        <v>2131</v>
      </c>
      <c r="D436" s="10">
        <f>Github!G$828</f>
        <v>47</v>
      </c>
      <c r="E436" s="10">
        <f>Github!F$828+Github!G$828</f>
        <v>2178</v>
      </c>
      <c r="F436" s="12">
        <f t="shared" si="1"/>
        <v>45.34</v>
      </c>
      <c r="G436" s="10" t="str">
        <f>Github!H$828</f>
        <v>Algorithms</v>
      </c>
      <c r="H436" s="13" t="str">
        <f>SUBSTITUTE(Github!L$828, ";", ", ")</f>
        <v>Array, Depth-First Search, Breadth-First Search, Union Find, Matrix, </v>
      </c>
      <c r="I436" s="10" t="str">
        <f>Github!E$828</f>
        <v>Hard</v>
      </c>
      <c r="J436" s="10" t="str">
        <f>IF(TRIM(Github!D$828)="TRUE","FALSE","TRUE")</f>
        <v>TRUE</v>
      </c>
      <c r="K436" s="10" t="b">
        <f>Github!M$828</f>
        <v>1</v>
      </c>
      <c r="L436" s="10" t="b">
        <f>Github!N$828</f>
        <v>0</v>
      </c>
      <c r="M436" s="10" t="str">
        <f>ROUND(Github!O$828, 2)&amp;"%"</f>
        <v>44.69%</v>
      </c>
      <c r="N436" s="10">
        <f>Github!P$828</f>
        <v>99989</v>
      </c>
      <c r="O436" s="10">
        <f>Github!Q$828</f>
        <v>223739</v>
      </c>
    </row>
    <row r="437">
      <c r="A437" s="10">
        <f>Github!J$887</f>
        <v>886</v>
      </c>
      <c r="B437" s="11" t="str">
        <f>HYPERLINK(CONCAT("http://leetcode.com/problems/",Github!C$887), Github!B$887)</f>
        <v>Possible Bipartition</v>
      </c>
      <c r="C437" s="10">
        <f>Github!F$887</f>
        <v>2128</v>
      </c>
      <c r="D437" s="10">
        <f>Github!G$887</f>
        <v>51</v>
      </c>
      <c r="E437" s="10">
        <f>Github!F$887+Github!G$887</f>
        <v>2179</v>
      </c>
      <c r="F437" s="12">
        <f t="shared" si="1"/>
        <v>41.73</v>
      </c>
      <c r="G437" s="10" t="str">
        <f>Github!H$887</f>
        <v>Algorithms</v>
      </c>
      <c r="H437" s="13" t="str">
        <f>SUBSTITUTE(Github!L$887, ";", ", ")</f>
        <v>Depth-First Search, Breadth-First Search, Union Find, Graph, </v>
      </c>
      <c r="I437" s="10" t="str">
        <f>Github!E$887</f>
        <v>Medium</v>
      </c>
      <c r="J437" s="10" t="str">
        <f>IF(TRIM(Github!D$887)="TRUE","FALSE","TRUE")</f>
        <v>TRUE</v>
      </c>
      <c r="K437" s="10" t="b">
        <f>Github!M$887</f>
        <v>0</v>
      </c>
      <c r="L437" s="10" t="b">
        <f>Github!N$887</f>
        <v>0</v>
      </c>
      <c r="M437" s="10" t="str">
        <f>ROUND(Github!O$887, 2)&amp;"%"</f>
        <v>46.92%</v>
      </c>
      <c r="N437" s="10">
        <f>Github!P$887</f>
        <v>100693</v>
      </c>
      <c r="O437" s="10">
        <f>Github!Q$887</f>
        <v>214598</v>
      </c>
    </row>
    <row r="438">
      <c r="A438" s="10">
        <f>Github!J$647</f>
        <v>646</v>
      </c>
      <c r="B438" s="11" t="str">
        <f>HYPERLINK(CONCAT("http://leetcode.com/problems/",Github!C$647), Github!B$647)</f>
        <v>Maximum Length of Pair Chain</v>
      </c>
      <c r="C438" s="10">
        <f>Github!F$647</f>
        <v>2110</v>
      </c>
      <c r="D438" s="10">
        <f>Github!G$647</f>
        <v>99</v>
      </c>
      <c r="E438" s="10">
        <f>Github!F$647+Github!G$647</f>
        <v>2209</v>
      </c>
      <c r="F438" s="12">
        <f t="shared" si="1"/>
        <v>21.31</v>
      </c>
      <c r="G438" s="10" t="str">
        <f>Github!H$647</f>
        <v>Algorithms</v>
      </c>
      <c r="H438" s="13" t="str">
        <f>SUBSTITUTE(Github!L$647, ";", ", ")</f>
        <v>Array, Dynamic Programming, Greedy, Sorting, </v>
      </c>
      <c r="I438" s="10" t="str">
        <f>Github!E$647</f>
        <v>Medium</v>
      </c>
      <c r="J438" s="10" t="str">
        <f>IF(TRIM(Github!D$647)="TRUE","FALSE","TRUE")</f>
        <v>TRUE</v>
      </c>
      <c r="K438" s="10" t="b">
        <f>Github!M$647</f>
        <v>1</v>
      </c>
      <c r="L438" s="10" t="b">
        <f>Github!N$647</f>
        <v>0</v>
      </c>
      <c r="M438" s="10" t="str">
        <f>ROUND(Github!O$647, 2)&amp;"%"</f>
        <v>55.45%</v>
      </c>
      <c r="N438" s="10">
        <f>Github!P$647</f>
        <v>104231</v>
      </c>
      <c r="O438" s="10">
        <f>Github!Q$647</f>
        <v>187973</v>
      </c>
    </row>
    <row r="439">
      <c r="A439" s="10">
        <f>Github!J$822</f>
        <v>821</v>
      </c>
      <c r="B439" s="11" t="str">
        <f>HYPERLINK(CONCAT("http://leetcode.com/problems/",Github!C$822), Github!B$822)</f>
        <v>Shortest Distance to a Character</v>
      </c>
      <c r="C439" s="10">
        <f>Github!F$822</f>
        <v>2107</v>
      </c>
      <c r="D439" s="10">
        <f>Github!G$822</f>
        <v>120</v>
      </c>
      <c r="E439" s="10">
        <f>Github!F$822+Github!G$822</f>
        <v>2227</v>
      </c>
      <c r="F439" s="12">
        <f t="shared" si="1"/>
        <v>17.56</v>
      </c>
      <c r="G439" s="10" t="str">
        <f>Github!H$822</f>
        <v>Algorithms</v>
      </c>
      <c r="H439" s="13" t="str">
        <f>SUBSTITUTE(Github!L$822, ";", ", ")</f>
        <v>Array, Two Pointers, String, </v>
      </c>
      <c r="I439" s="10" t="str">
        <f>Github!E$822</f>
        <v>Easy</v>
      </c>
      <c r="J439" s="10" t="str">
        <f>IF(TRIM(Github!D$822)="TRUE","FALSE","TRUE")</f>
        <v>TRUE</v>
      </c>
      <c r="K439" s="10" t="b">
        <f>Github!M$822</f>
        <v>1</v>
      </c>
      <c r="L439" s="10" t="b">
        <f>Github!N$822</f>
        <v>0</v>
      </c>
      <c r="M439" s="10" t="str">
        <f>ROUND(Github!O$822, 2)&amp;"%"</f>
        <v>70.91%</v>
      </c>
      <c r="N439" s="10">
        <f>Github!P$822</f>
        <v>128208</v>
      </c>
      <c r="O439" s="10">
        <f>Github!Q$822</f>
        <v>180810</v>
      </c>
    </row>
    <row r="440">
      <c r="A440" s="10">
        <f>Github!J$1269</f>
        <v>1268</v>
      </c>
      <c r="B440" s="11" t="str">
        <f>HYPERLINK(CONCAT("http://leetcode.com/problems/",Github!C$1269), Github!B$1269)</f>
        <v>Search Suggestions System</v>
      </c>
      <c r="C440" s="10">
        <f>Github!F$1269</f>
        <v>2101</v>
      </c>
      <c r="D440" s="10">
        <f>Github!G$1269</f>
        <v>126</v>
      </c>
      <c r="E440" s="10">
        <f>Github!F$1269+Github!G$1269</f>
        <v>2227</v>
      </c>
      <c r="F440" s="12">
        <f t="shared" si="1"/>
        <v>16.67</v>
      </c>
      <c r="G440" s="10" t="str">
        <f>Github!H$1269</f>
        <v>Algorithms</v>
      </c>
      <c r="H440" s="13" t="str">
        <f>SUBSTITUTE(Github!L$1269, ";", ", ")</f>
        <v>Array, String, Trie, </v>
      </c>
      <c r="I440" s="10" t="str">
        <f>Github!E$1269</f>
        <v>Medium</v>
      </c>
      <c r="J440" s="10" t="str">
        <f>IF(TRIM(Github!D$1269)="TRUE","FALSE","TRUE")</f>
        <v>TRUE</v>
      </c>
      <c r="K440" s="10" t="b">
        <f>Github!M$1269</f>
        <v>1</v>
      </c>
      <c r="L440" s="10" t="b">
        <f>Github!N$1269</f>
        <v>0</v>
      </c>
      <c r="M440" s="10" t="str">
        <f>ROUND(Github!O$1269, 2)&amp;"%"</f>
        <v>65.51%</v>
      </c>
      <c r="N440" s="10">
        <f>Github!P$1269</f>
        <v>141087</v>
      </c>
      <c r="O440" s="10">
        <f>Github!Q$1269</f>
        <v>215359</v>
      </c>
    </row>
    <row r="441">
      <c r="A441" s="10">
        <f>Github!J$490</f>
        <v>489</v>
      </c>
      <c r="B441" s="11" t="str">
        <f>HYPERLINK(CONCAT("http://leetcode.com/problems/",Github!C$490), Github!B$490)</f>
        <v>Robot Room Cleaner</v>
      </c>
      <c r="C441" s="10">
        <f>Github!F$490</f>
        <v>2083</v>
      </c>
      <c r="D441" s="10">
        <f>Github!G$490</f>
        <v>122</v>
      </c>
      <c r="E441" s="10">
        <f>Github!F$490+Github!G$490</f>
        <v>2205</v>
      </c>
      <c r="F441" s="12">
        <f t="shared" si="1"/>
        <v>17.07</v>
      </c>
      <c r="G441" s="10" t="str">
        <f>Github!H$490</f>
        <v>Algorithms</v>
      </c>
      <c r="H441" s="13" t="str">
        <f>SUBSTITUTE(Github!L$490, ";", ", ")</f>
        <v>Backtracking, Interactive, </v>
      </c>
      <c r="I441" s="10" t="str">
        <f>Github!E$490</f>
        <v>Hard</v>
      </c>
      <c r="J441" s="10" t="str">
        <f>IF(TRIM(Github!D$490)="TRUE","FALSE","TRUE")</f>
        <v>FALSE</v>
      </c>
      <c r="K441" s="10" t="b">
        <f>Github!M$490</f>
        <v>1</v>
      </c>
      <c r="L441" s="10" t="b">
        <f>Github!N$490</f>
        <v>0</v>
      </c>
      <c r="M441" s="10" t="str">
        <f>ROUND(Github!O$490, 2)&amp;"%"</f>
        <v>75.38%</v>
      </c>
      <c r="N441" s="10">
        <f>Github!P$490</f>
        <v>111510</v>
      </c>
      <c r="O441" s="10">
        <f>Github!Q$490</f>
        <v>147932</v>
      </c>
    </row>
    <row r="442">
      <c r="A442" s="10">
        <f>Github!J$932</f>
        <v>931</v>
      </c>
      <c r="B442" s="11" t="str">
        <f>HYPERLINK(CONCAT("http://leetcode.com/problems/",Github!C$932), Github!B$932)</f>
        <v>Minimum Falling Path Sum</v>
      </c>
      <c r="C442" s="10">
        <f>Github!F$932</f>
        <v>2080</v>
      </c>
      <c r="D442" s="10">
        <f>Github!G$932</f>
        <v>90</v>
      </c>
      <c r="E442" s="10">
        <f>Github!F$932+Github!G$932</f>
        <v>2170</v>
      </c>
      <c r="F442" s="12">
        <f t="shared" si="1"/>
        <v>23.11</v>
      </c>
      <c r="G442" s="10" t="str">
        <f>Github!H$932</f>
        <v>Algorithms</v>
      </c>
      <c r="H442" s="13" t="str">
        <f>SUBSTITUTE(Github!L$932, ";", ", ")</f>
        <v>Array, Dynamic Programming, Matrix, </v>
      </c>
      <c r="I442" s="10" t="str">
        <f>Github!E$932</f>
        <v>Medium</v>
      </c>
      <c r="J442" s="10" t="str">
        <f>IF(TRIM(Github!D$932)="TRUE","FALSE","TRUE")</f>
        <v>TRUE</v>
      </c>
      <c r="K442" s="10" t="b">
        <f>Github!M$932</f>
        <v>0</v>
      </c>
      <c r="L442" s="10" t="b">
        <f>Github!N$932</f>
        <v>0</v>
      </c>
      <c r="M442" s="10" t="str">
        <f>ROUND(Github!O$932, 2)&amp;"%"</f>
        <v>67.08%</v>
      </c>
      <c r="N442" s="10">
        <f>Github!P$932</f>
        <v>114928</v>
      </c>
      <c r="O442" s="10">
        <f>Github!Q$932</f>
        <v>171321</v>
      </c>
    </row>
    <row r="443">
      <c r="A443" s="10">
        <f>Github!J$427</f>
        <v>426</v>
      </c>
      <c r="B443" s="11" t="str">
        <f>HYPERLINK(CONCAT("http://leetcode.com/problems/",Github!C$427), Github!B$427)</f>
        <v>Convert Binary Search Tree to Sorted Doubly Linked List</v>
      </c>
      <c r="C443" s="10">
        <f>Github!F$427</f>
        <v>2071</v>
      </c>
      <c r="D443" s="10">
        <f>Github!G$427</f>
        <v>168</v>
      </c>
      <c r="E443" s="10">
        <f>Github!F$427+Github!G$427</f>
        <v>2239</v>
      </c>
      <c r="F443" s="12">
        <f t="shared" si="1"/>
        <v>12.33</v>
      </c>
      <c r="G443" s="10" t="str">
        <f>Github!H$427</f>
        <v>Algorithms</v>
      </c>
      <c r="H443" s="13" t="str">
        <f>SUBSTITUTE(Github!L$427, ";", ", ")</f>
        <v>Linked List, Stack, Tree, Depth-First Search, Binary Search Tree, Binary Tree, Doubly-Linked List, </v>
      </c>
      <c r="I443" s="10" t="str">
        <f>Github!E$427</f>
        <v>Medium</v>
      </c>
      <c r="J443" s="10" t="str">
        <f>IF(TRIM(Github!D$427)="TRUE","FALSE","TRUE")</f>
        <v>FALSE</v>
      </c>
      <c r="K443" s="10" t="b">
        <f>Github!M$427</f>
        <v>1</v>
      </c>
      <c r="L443" s="10" t="b">
        <f>Github!N$427</f>
        <v>0</v>
      </c>
      <c r="M443" s="10" t="str">
        <f>ROUND(Github!O$427, 2)&amp;"%"</f>
        <v>64.17%</v>
      </c>
      <c r="N443" s="10">
        <f>Github!P$427</f>
        <v>196523</v>
      </c>
      <c r="O443" s="10">
        <f>Github!Q$427</f>
        <v>306254</v>
      </c>
    </row>
    <row r="444">
      <c r="A444" s="10">
        <f>Github!J$942</f>
        <v>941</v>
      </c>
      <c r="B444" s="11" t="str">
        <f>HYPERLINK(CONCAT("http://leetcode.com/problems/",Github!C$942), Github!B$942)</f>
        <v>Valid Mountain Array</v>
      </c>
      <c r="C444" s="10">
        <f>Github!F$942</f>
        <v>2054</v>
      </c>
      <c r="D444" s="10">
        <f>Github!G$942</f>
        <v>142</v>
      </c>
      <c r="E444" s="10">
        <f>Github!F$942+Github!G$942</f>
        <v>2196</v>
      </c>
      <c r="F444" s="12">
        <f t="shared" si="1"/>
        <v>14.46</v>
      </c>
      <c r="G444" s="10" t="str">
        <f>Github!H$942</f>
        <v>Algorithms</v>
      </c>
      <c r="H444" s="13" t="str">
        <f>SUBSTITUTE(Github!L$942, ";", ", ")</f>
        <v>Array, </v>
      </c>
      <c r="I444" s="10" t="str">
        <f>Github!E$942</f>
        <v>Easy</v>
      </c>
      <c r="J444" s="10" t="str">
        <f>IF(TRIM(Github!D$942)="TRUE","FALSE","TRUE")</f>
        <v>TRUE</v>
      </c>
      <c r="K444" s="10" t="b">
        <f>Github!M$942</f>
        <v>1</v>
      </c>
      <c r="L444" s="10" t="b">
        <f>Github!N$942</f>
        <v>0</v>
      </c>
      <c r="M444" s="10" t="str">
        <f>ROUND(Github!O$942, 2)&amp;"%"</f>
        <v>33.84%</v>
      </c>
      <c r="N444" s="10">
        <f>Github!P$942</f>
        <v>279267</v>
      </c>
      <c r="O444" s="10">
        <f>Github!Q$942</f>
        <v>825341</v>
      </c>
    </row>
    <row r="445">
      <c r="A445" s="10">
        <f>Github!J$660</f>
        <v>659</v>
      </c>
      <c r="B445" s="11" t="str">
        <f>HYPERLINK(CONCAT("http://leetcode.com/problems/",Github!C$660), Github!B$660)</f>
        <v>Split Array into Consecutive Subsequences</v>
      </c>
      <c r="C445" s="10">
        <f>Github!F$660</f>
        <v>2049</v>
      </c>
      <c r="D445" s="10">
        <f>Github!G$660</f>
        <v>543</v>
      </c>
      <c r="E445" s="10">
        <f>Github!F$660+Github!G$660</f>
        <v>2592</v>
      </c>
      <c r="F445" s="12">
        <f t="shared" si="1"/>
        <v>3.77</v>
      </c>
      <c r="G445" s="10" t="str">
        <f>Github!H$660</f>
        <v>Algorithms</v>
      </c>
      <c r="H445" s="13" t="str">
        <f>SUBSTITUTE(Github!L$660, ";", ", ")</f>
        <v>Array, Hash Table, Greedy, Heap (Priority Queue), </v>
      </c>
      <c r="I445" s="10" t="str">
        <f>Github!E$660</f>
        <v>Medium</v>
      </c>
      <c r="J445" s="10" t="str">
        <f>IF(TRIM(Github!D$660)="TRUE","FALSE","TRUE")</f>
        <v>TRUE</v>
      </c>
      <c r="K445" s="10" t="b">
        <f>Github!M$660</f>
        <v>1</v>
      </c>
      <c r="L445" s="10" t="b">
        <f>Github!N$660</f>
        <v>0</v>
      </c>
      <c r="M445" s="10" t="str">
        <f>ROUND(Github!O$660, 2)&amp;"%"</f>
        <v>45.5%</v>
      </c>
      <c r="N445" s="10">
        <f>Github!P$660</f>
        <v>67640</v>
      </c>
      <c r="O445" s="10">
        <f>Github!Q$660</f>
        <v>148661</v>
      </c>
    </row>
    <row r="446">
      <c r="A446" s="10">
        <f>Github!J$286</f>
        <v>285</v>
      </c>
      <c r="B446" s="11" t="str">
        <f>HYPERLINK(CONCAT("http://leetcode.com/problems/",Github!C$286), Github!B$286)</f>
        <v>Inorder Successor in BST</v>
      </c>
      <c r="C446" s="10">
        <f>Github!F$286</f>
        <v>2044</v>
      </c>
      <c r="D446" s="10">
        <f>Github!G$286</f>
        <v>77</v>
      </c>
      <c r="E446" s="10">
        <f>Github!F$286+Github!G$286</f>
        <v>2121</v>
      </c>
      <c r="F446" s="12">
        <f t="shared" si="1"/>
        <v>26.55</v>
      </c>
      <c r="G446" s="10" t="str">
        <f>Github!H$286</f>
        <v>Algorithms</v>
      </c>
      <c r="H446" s="13" t="str">
        <f>SUBSTITUTE(Github!L$286, ";", ", ")</f>
        <v>Tree, Depth-First Search, Binary Search Tree, Binary Tree, </v>
      </c>
      <c r="I446" s="10" t="str">
        <f>Github!E$286</f>
        <v>Medium</v>
      </c>
      <c r="J446" s="10" t="str">
        <f>IF(TRIM(Github!D$286)="TRUE","FALSE","TRUE")</f>
        <v>FALSE</v>
      </c>
      <c r="K446" s="10" t="b">
        <f>Github!M$286</f>
        <v>1</v>
      </c>
      <c r="L446" s="10" t="b">
        <f>Github!N$286</f>
        <v>0</v>
      </c>
      <c r="M446" s="10" t="str">
        <f>ROUND(Github!O$286, 2)&amp;"%"</f>
        <v>46.64%</v>
      </c>
      <c r="N446" s="10">
        <f>Github!P$286</f>
        <v>252493</v>
      </c>
      <c r="O446" s="10">
        <f>Github!Q$286</f>
        <v>541348</v>
      </c>
    </row>
    <row r="447">
      <c r="A447" s="10">
        <f>Github!J$557</f>
        <v>556</v>
      </c>
      <c r="B447" s="11" t="str">
        <f>HYPERLINK(CONCAT("http://leetcode.com/problems/",Github!C$557), Github!B$557)</f>
        <v>Next Greater Element III</v>
      </c>
      <c r="C447" s="10">
        <f>Github!F$557</f>
        <v>2044</v>
      </c>
      <c r="D447" s="10">
        <f>Github!G$557</f>
        <v>327</v>
      </c>
      <c r="E447" s="10">
        <f>Github!F$557+Github!G$557</f>
        <v>2371</v>
      </c>
      <c r="F447" s="12">
        <f t="shared" si="1"/>
        <v>6.25</v>
      </c>
      <c r="G447" s="10" t="str">
        <f>Github!H$557</f>
        <v>Algorithms</v>
      </c>
      <c r="H447" s="13" t="str">
        <f>SUBSTITUTE(Github!L$557, ";", ", ")</f>
        <v>Math, Two Pointers, String, </v>
      </c>
      <c r="I447" s="10" t="str">
        <f>Github!E$557</f>
        <v>Medium</v>
      </c>
      <c r="J447" s="10" t="str">
        <f>IF(TRIM(Github!D$557)="TRUE","FALSE","TRUE")</f>
        <v>TRUE</v>
      </c>
      <c r="K447" s="10" t="b">
        <f>Github!M$557</f>
        <v>1</v>
      </c>
      <c r="L447" s="10" t="b">
        <f>Github!N$557</f>
        <v>0</v>
      </c>
      <c r="M447" s="10" t="str">
        <f>ROUND(Github!O$557, 2)&amp;"%"</f>
        <v>33.64%</v>
      </c>
      <c r="N447" s="10">
        <f>Github!P$557</f>
        <v>92295</v>
      </c>
      <c r="O447" s="10">
        <f>Github!Q$557</f>
        <v>274378</v>
      </c>
    </row>
    <row r="448">
      <c r="A448" s="10">
        <f>Github!J$527</f>
        <v>526</v>
      </c>
      <c r="B448" s="11" t="str">
        <f>HYPERLINK(CONCAT("http://leetcode.com/problems/",Github!C$527), Github!B$527)</f>
        <v>Beautiful Arrangement</v>
      </c>
      <c r="C448" s="10">
        <f>Github!F$527</f>
        <v>2042</v>
      </c>
      <c r="D448" s="10">
        <f>Github!G$527</f>
        <v>283</v>
      </c>
      <c r="E448" s="10">
        <f>Github!F$527+Github!G$527</f>
        <v>2325</v>
      </c>
      <c r="F448" s="12">
        <f t="shared" si="1"/>
        <v>7.22</v>
      </c>
      <c r="G448" s="10" t="str">
        <f>Github!H$527</f>
        <v>Algorithms</v>
      </c>
      <c r="H448" s="13" t="str">
        <f>SUBSTITUTE(Github!L$527, ";", ", ")</f>
        <v>Array, Dynamic Programming, Backtracking, Bit Manipulation, Bitmask, </v>
      </c>
      <c r="I448" s="10" t="str">
        <f>Github!E$527</f>
        <v>Medium</v>
      </c>
      <c r="J448" s="10" t="str">
        <f>IF(TRIM(Github!D$527)="TRUE","FALSE","TRUE")</f>
        <v>TRUE</v>
      </c>
      <c r="K448" s="10" t="b">
        <f>Github!M$527</f>
        <v>1</v>
      </c>
      <c r="L448" s="10" t="b">
        <f>Github!N$527</f>
        <v>0</v>
      </c>
      <c r="M448" s="10" t="str">
        <f>ROUND(Github!O$527, 2)&amp;"%"</f>
        <v>64.19%</v>
      </c>
      <c r="N448" s="10">
        <f>Github!P$527</f>
        <v>125219</v>
      </c>
      <c r="O448" s="10">
        <f>Github!Q$527</f>
        <v>195080</v>
      </c>
    </row>
    <row r="449">
      <c r="A449" s="10">
        <f>Github!J$1020</f>
        <v>1019</v>
      </c>
      <c r="B449" s="11" t="str">
        <f>HYPERLINK(CONCAT("http://leetcode.com/problems/",Github!C$1020), Github!B$1020)</f>
        <v>Next Greater Node In Linked List</v>
      </c>
      <c r="C449" s="10">
        <f>Github!F$1020</f>
        <v>2042</v>
      </c>
      <c r="D449" s="10">
        <f>Github!G$1020</f>
        <v>97</v>
      </c>
      <c r="E449" s="10">
        <f>Github!F$1020+Github!G$1020</f>
        <v>2139</v>
      </c>
      <c r="F449" s="12">
        <f t="shared" si="1"/>
        <v>21.05</v>
      </c>
      <c r="G449" s="10" t="str">
        <f>Github!H$1020</f>
        <v>Algorithms</v>
      </c>
      <c r="H449" s="13" t="str">
        <f>SUBSTITUTE(Github!L$1020, ";", ", ")</f>
        <v>Array, Linked List, Stack, Monotonic Stack, </v>
      </c>
      <c r="I449" s="10" t="str">
        <f>Github!E$1020</f>
        <v>Medium</v>
      </c>
      <c r="J449" s="10" t="str">
        <f>IF(TRIM(Github!D$1020)="TRUE","FALSE","TRUE")</f>
        <v>TRUE</v>
      </c>
      <c r="K449" s="10" t="b">
        <f>Github!M$1020</f>
        <v>0</v>
      </c>
      <c r="L449" s="10" t="b">
        <f>Github!N$1020</f>
        <v>0</v>
      </c>
      <c r="M449" s="10" t="str">
        <f>ROUND(Github!O$1020, 2)&amp;"%"</f>
        <v>59.57%</v>
      </c>
      <c r="N449" s="10">
        <f>Github!P$1020</f>
        <v>97571</v>
      </c>
      <c r="O449" s="10">
        <f>Github!Q$1020</f>
        <v>163804</v>
      </c>
    </row>
    <row r="450">
      <c r="A450" s="10">
        <f>Github!J$481</f>
        <v>480</v>
      </c>
      <c r="B450" s="11" t="str">
        <f>HYPERLINK(CONCAT("http://leetcode.com/problems/",Github!C$481), Github!B$481)</f>
        <v>Sliding Window Median</v>
      </c>
      <c r="C450" s="10">
        <f>Github!F$481</f>
        <v>2034</v>
      </c>
      <c r="D450" s="10">
        <f>Github!G$481</f>
        <v>125</v>
      </c>
      <c r="E450" s="10">
        <f>Github!F$481+Github!G$481</f>
        <v>2159</v>
      </c>
      <c r="F450" s="12">
        <f t="shared" si="1"/>
        <v>16.27</v>
      </c>
      <c r="G450" s="10" t="str">
        <f>Github!H$481</f>
        <v>Algorithms</v>
      </c>
      <c r="H450" s="13" t="str">
        <f>SUBSTITUTE(Github!L$481, ";", ", ")</f>
        <v>Array, Hash Table, Sliding Window, Heap (Priority Queue), </v>
      </c>
      <c r="I450" s="10" t="str">
        <f>Github!E$481</f>
        <v>Hard</v>
      </c>
      <c r="J450" s="10" t="str">
        <f>IF(TRIM(Github!D$481)="TRUE","FALSE","TRUE")</f>
        <v>TRUE</v>
      </c>
      <c r="K450" s="10" t="b">
        <f>Github!M$481</f>
        <v>1</v>
      </c>
      <c r="L450" s="10" t="b">
        <f>Github!N$481</f>
        <v>0</v>
      </c>
      <c r="M450" s="10" t="str">
        <f>ROUND(Github!O$481, 2)&amp;"%"</f>
        <v>40.71%</v>
      </c>
      <c r="N450" s="10">
        <f>Github!P$481</f>
        <v>100045</v>
      </c>
      <c r="O450" s="10">
        <f>Github!Q$481</f>
        <v>245736</v>
      </c>
    </row>
    <row r="451">
      <c r="A451" s="10">
        <f>Github!J$633</f>
        <v>632</v>
      </c>
      <c r="B451" s="11" t="str">
        <f>HYPERLINK(CONCAT("http://leetcode.com/problems/",Github!C$633), Github!B$633)</f>
        <v>Smallest Range Covering Elements from K Lists</v>
      </c>
      <c r="C451" s="10">
        <f>Github!F$633</f>
        <v>2028</v>
      </c>
      <c r="D451" s="10">
        <f>Github!G$633</f>
        <v>34</v>
      </c>
      <c r="E451" s="10">
        <f>Github!F$633+Github!G$633</f>
        <v>2062</v>
      </c>
      <c r="F451" s="12">
        <f t="shared" si="1"/>
        <v>59.65</v>
      </c>
      <c r="G451" s="10" t="str">
        <f>Github!H$633</f>
        <v>Algorithms</v>
      </c>
      <c r="H451" s="13" t="str">
        <f>SUBSTITUTE(Github!L$633, ";", ", ")</f>
        <v>Array, Hash Table, Greedy, Sliding Window, Sorting, Heap (Priority Queue), </v>
      </c>
      <c r="I451" s="10" t="str">
        <f>Github!E$633</f>
        <v>Hard</v>
      </c>
      <c r="J451" s="10" t="str">
        <f>IF(TRIM(Github!D$633)="TRUE","FALSE","TRUE")</f>
        <v>TRUE</v>
      </c>
      <c r="K451" s="10" t="b">
        <f>Github!M$633</f>
        <v>1</v>
      </c>
      <c r="L451" s="10" t="b">
        <f>Github!N$633</f>
        <v>0</v>
      </c>
      <c r="M451" s="10" t="str">
        <f>ROUND(Github!O$633, 2)&amp;"%"</f>
        <v>58.04%</v>
      </c>
      <c r="N451" s="10">
        <f>Github!P$633</f>
        <v>61706</v>
      </c>
      <c r="O451" s="10">
        <f>Github!Q$633</f>
        <v>106318</v>
      </c>
    </row>
    <row r="452">
      <c r="A452" s="10">
        <f>Github!J$567</f>
        <v>566</v>
      </c>
      <c r="B452" s="11" t="str">
        <f>HYPERLINK(CONCAT("http://leetcode.com/problems/",Github!C$567), Github!B$567)</f>
        <v>Reshape the Matrix</v>
      </c>
      <c r="C452" s="10">
        <f>Github!F$567</f>
        <v>2026</v>
      </c>
      <c r="D452" s="10">
        <f>Github!G$567</f>
        <v>232</v>
      </c>
      <c r="E452" s="10">
        <f>Github!F$567+Github!G$567</f>
        <v>2258</v>
      </c>
      <c r="F452" s="12">
        <f t="shared" si="1"/>
        <v>8.73</v>
      </c>
      <c r="G452" s="10" t="str">
        <f>Github!H$567</f>
        <v>Algorithms</v>
      </c>
      <c r="H452" s="13" t="str">
        <f>SUBSTITUTE(Github!L$567, ";", ", ")</f>
        <v>Array, Matrix, Simulation, </v>
      </c>
      <c r="I452" s="10" t="str">
        <f>Github!E$567</f>
        <v>Easy</v>
      </c>
      <c r="J452" s="10" t="str">
        <f>IF(TRIM(Github!D$567)="TRUE","FALSE","TRUE")</f>
        <v>TRUE</v>
      </c>
      <c r="K452" s="10" t="b">
        <f>Github!M$567</f>
        <v>1</v>
      </c>
      <c r="L452" s="10" t="b">
        <f>Github!N$567</f>
        <v>0</v>
      </c>
      <c r="M452" s="10" t="str">
        <f>ROUND(Github!O$567, 2)&amp;"%"</f>
        <v>62.27%</v>
      </c>
      <c r="N452" s="10">
        <f>Github!P$567</f>
        <v>214382</v>
      </c>
      <c r="O452" s="10">
        <f>Github!Q$567</f>
        <v>344307</v>
      </c>
    </row>
    <row r="453">
      <c r="A453" s="10">
        <f>Github!J$499</f>
        <v>498</v>
      </c>
      <c r="B453" s="11" t="str">
        <f>HYPERLINK(CONCAT("http://leetcode.com/problems/",Github!C$499), Github!B$499)</f>
        <v>Diagonal Traverse</v>
      </c>
      <c r="C453" s="10">
        <f>Github!F$499</f>
        <v>2018</v>
      </c>
      <c r="D453" s="10">
        <f>Github!G$499</f>
        <v>512</v>
      </c>
      <c r="E453" s="10">
        <f>Github!F$499+Github!G$499</f>
        <v>2530</v>
      </c>
      <c r="F453" s="12">
        <f t="shared" si="1"/>
        <v>3.94</v>
      </c>
      <c r="G453" s="10" t="str">
        <f>Github!H$499</f>
        <v>Algorithms</v>
      </c>
      <c r="H453" s="13" t="str">
        <f>SUBSTITUTE(Github!L$499, ";", ", ")</f>
        <v>Array, Matrix, Simulation, </v>
      </c>
      <c r="I453" s="10" t="str">
        <f>Github!E$499</f>
        <v>Medium</v>
      </c>
      <c r="J453" s="10" t="str">
        <f>IF(TRIM(Github!D$499)="TRUE","FALSE","TRUE")</f>
        <v>TRUE</v>
      </c>
      <c r="K453" s="10" t="b">
        <f>Github!M$499</f>
        <v>1</v>
      </c>
      <c r="L453" s="10" t="b">
        <f>Github!N$499</f>
        <v>0</v>
      </c>
      <c r="M453" s="10" t="str">
        <f>ROUND(Github!O$499, 2)&amp;"%"</f>
        <v>55.98%</v>
      </c>
      <c r="N453" s="10">
        <f>Github!P$499</f>
        <v>186070</v>
      </c>
      <c r="O453" s="10">
        <f>Github!Q$499</f>
        <v>332391</v>
      </c>
    </row>
    <row r="454">
      <c r="A454" s="10">
        <f>Github!J$368</f>
        <v>367</v>
      </c>
      <c r="B454" s="11" t="str">
        <f>HYPERLINK(CONCAT("http://leetcode.com/problems/",Github!C$368), Github!B$368)</f>
        <v>Valid Perfect Square</v>
      </c>
      <c r="C454" s="10">
        <f>Github!F$368</f>
        <v>2017</v>
      </c>
      <c r="D454" s="10">
        <f>Github!G$368</f>
        <v>224</v>
      </c>
      <c r="E454" s="10">
        <f>Github!F$368+Github!G$368</f>
        <v>2241</v>
      </c>
      <c r="F454" s="12">
        <f t="shared" si="1"/>
        <v>9</v>
      </c>
      <c r="G454" s="10" t="str">
        <f>Github!H$368</f>
        <v>Algorithms</v>
      </c>
      <c r="H454" s="13" t="str">
        <f>SUBSTITUTE(Github!L$368, ";", ", ")</f>
        <v>Math, Binary Search, </v>
      </c>
      <c r="I454" s="10" t="str">
        <f>Github!E$368</f>
        <v>Easy</v>
      </c>
      <c r="J454" s="10" t="str">
        <f>IF(TRIM(Github!D$368)="TRUE","FALSE","TRUE")</f>
        <v>TRUE</v>
      </c>
      <c r="K454" s="10" t="b">
        <f>Github!M$368</f>
        <v>1</v>
      </c>
      <c r="L454" s="10" t="b">
        <f>Github!N$368</f>
        <v>0</v>
      </c>
      <c r="M454" s="10" t="str">
        <f>ROUND(Github!O$368, 2)&amp;"%"</f>
        <v>42.86%</v>
      </c>
      <c r="N454" s="10">
        <f>Github!P$368</f>
        <v>339201</v>
      </c>
      <c r="O454" s="10">
        <f>Github!Q$368</f>
        <v>791459</v>
      </c>
    </row>
    <row r="455">
      <c r="A455" s="10">
        <f>Github!J$442</f>
        <v>441</v>
      </c>
      <c r="B455" s="11" t="str">
        <f>HYPERLINK(CONCAT("http://leetcode.com/problems/",Github!C$442), Github!B$442)</f>
        <v>Arranging Coins</v>
      </c>
      <c r="C455" s="10">
        <f>Github!F$442</f>
        <v>2007</v>
      </c>
      <c r="D455" s="10">
        <f>Github!G$442</f>
        <v>996</v>
      </c>
      <c r="E455" s="10">
        <f>Github!F$442+Github!G$442</f>
        <v>3003</v>
      </c>
      <c r="F455" s="12">
        <f t="shared" si="1"/>
        <v>2.02</v>
      </c>
      <c r="G455" s="10" t="str">
        <f>Github!H$442</f>
        <v>Algorithms</v>
      </c>
      <c r="H455" s="13" t="str">
        <f>SUBSTITUTE(Github!L$442, ";", ", ")</f>
        <v>Math, Binary Search, </v>
      </c>
      <c r="I455" s="10" t="str">
        <f>Github!E$442</f>
        <v>Easy</v>
      </c>
      <c r="J455" s="10" t="str">
        <f>IF(TRIM(Github!D$442)="TRUE","FALSE","TRUE")</f>
        <v>TRUE</v>
      </c>
      <c r="K455" s="10" t="b">
        <f>Github!M$442</f>
        <v>1</v>
      </c>
      <c r="L455" s="10" t="b">
        <f>Github!N$442</f>
        <v>0</v>
      </c>
      <c r="M455" s="10" t="str">
        <f>ROUND(Github!O$442, 2)&amp;"%"</f>
        <v>45.07%</v>
      </c>
      <c r="N455" s="10">
        <f>Github!P$442</f>
        <v>264066</v>
      </c>
      <c r="O455" s="10">
        <f>Github!Q$442</f>
        <v>585901</v>
      </c>
    </row>
    <row r="456">
      <c r="A456" s="10">
        <f>Github!J$1044</f>
        <v>1043</v>
      </c>
      <c r="B456" s="11" t="str">
        <f>HYPERLINK(CONCAT("http://leetcode.com/problems/",Github!C$1044), Github!B$1044)</f>
        <v>Partition Array for Maximum Sum</v>
      </c>
      <c r="C456" s="10">
        <f>Github!F$1044</f>
        <v>2006</v>
      </c>
      <c r="D456" s="10">
        <f>Github!G$1044</f>
        <v>191</v>
      </c>
      <c r="E456" s="10">
        <f>Github!F$1044+Github!G$1044</f>
        <v>2197</v>
      </c>
      <c r="F456" s="12">
        <f t="shared" si="1"/>
        <v>10.5</v>
      </c>
      <c r="G456" s="10" t="str">
        <f>Github!H$1044</f>
        <v>Algorithms</v>
      </c>
      <c r="H456" s="13" t="str">
        <f>SUBSTITUTE(Github!L$1044, ";", ", ")</f>
        <v>Array, Dynamic Programming, </v>
      </c>
      <c r="I456" s="10" t="str">
        <f>Github!E$1044</f>
        <v>Medium</v>
      </c>
      <c r="J456" s="10" t="str">
        <f>IF(TRIM(Github!D$1044)="TRUE","FALSE","TRUE")</f>
        <v>TRUE</v>
      </c>
      <c r="K456" s="10" t="b">
        <f>Github!M$1044</f>
        <v>0</v>
      </c>
      <c r="L456" s="10" t="b">
        <f>Github!N$1044</f>
        <v>0</v>
      </c>
      <c r="M456" s="10" t="str">
        <f>ROUND(Github!O$1044, 2)&amp;"%"</f>
        <v>70.11%</v>
      </c>
      <c r="N456" s="10">
        <f>Github!P$1044</f>
        <v>45717</v>
      </c>
      <c r="O456" s="10">
        <f>Github!Q$1044</f>
        <v>65207</v>
      </c>
    </row>
    <row r="457">
      <c r="A457" s="10">
        <f>Github!J$1047</f>
        <v>1046</v>
      </c>
      <c r="B457" s="11" t="str">
        <f>HYPERLINK(CONCAT("http://leetcode.com/problems/",Github!C$1047), Github!B$1047)</f>
        <v>Last Stone Weight</v>
      </c>
      <c r="C457" s="10">
        <f>Github!F$1047</f>
        <v>2003</v>
      </c>
      <c r="D457" s="10">
        <f>Github!G$1047</f>
        <v>49</v>
      </c>
      <c r="E457" s="10">
        <f>Github!F$1047+Github!G$1047</f>
        <v>2052</v>
      </c>
      <c r="F457" s="12">
        <f t="shared" si="1"/>
        <v>40.88</v>
      </c>
      <c r="G457" s="10" t="str">
        <f>Github!H$1047</f>
        <v>Algorithms</v>
      </c>
      <c r="H457" s="13" t="str">
        <f>SUBSTITUTE(Github!L$1047, ";", ", ")</f>
        <v>Array, Heap (Priority Queue), </v>
      </c>
      <c r="I457" s="10" t="str">
        <f>Github!E$1047</f>
        <v>Easy</v>
      </c>
      <c r="J457" s="10" t="str">
        <f>IF(TRIM(Github!D$1047)="TRUE","FALSE","TRUE")</f>
        <v>TRUE</v>
      </c>
      <c r="K457" s="10" t="b">
        <f>Github!M$1047</f>
        <v>1</v>
      </c>
      <c r="L457" s="10" t="b">
        <f>Github!N$1047</f>
        <v>0</v>
      </c>
      <c r="M457" s="10" t="str">
        <f>ROUND(Github!O$1047, 2)&amp;"%"</f>
        <v>63.04%</v>
      </c>
      <c r="N457" s="10">
        <f>Github!P$1047</f>
        <v>214625</v>
      </c>
      <c r="O457" s="10">
        <f>Github!Q$1047</f>
        <v>340482</v>
      </c>
    </row>
    <row r="458">
      <c r="A458" s="10">
        <f>Github!J$1093</f>
        <v>1092</v>
      </c>
      <c r="B458" s="11" t="str">
        <f>HYPERLINK(CONCAT("http://leetcode.com/problems/",Github!C$1093), Github!B$1093)</f>
        <v>Shortest Common Supersequence </v>
      </c>
      <c r="C458" s="10">
        <f>Github!F$1093</f>
        <v>2005</v>
      </c>
      <c r="D458" s="10">
        <f>Github!G$1093</f>
        <v>39</v>
      </c>
      <c r="E458" s="10">
        <f>Github!F$1093+Github!G$1093</f>
        <v>2044</v>
      </c>
      <c r="F458" s="12">
        <f t="shared" si="1"/>
        <v>51.41</v>
      </c>
      <c r="G458" s="10" t="str">
        <f>Github!H$1093</f>
        <v>Algorithms</v>
      </c>
      <c r="H458" s="13" t="str">
        <f>SUBSTITUTE(Github!L$1093, ";", ", ")</f>
        <v>String, Dynamic Programming, </v>
      </c>
      <c r="I458" s="10" t="str">
        <f>Github!E$1093</f>
        <v>Hard</v>
      </c>
      <c r="J458" s="10" t="str">
        <f>IF(TRIM(Github!D$1093)="TRUE","FALSE","TRUE")</f>
        <v>TRUE</v>
      </c>
      <c r="K458" s="10" t="b">
        <f>Github!M$1093</f>
        <v>0</v>
      </c>
      <c r="L458" s="10" t="b">
        <f>Github!N$1093</f>
        <v>0</v>
      </c>
      <c r="M458" s="10" t="str">
        <f>ROUND(Github!O$1093, 2)&amp;"%"</f>
        <v>55.65%</v>
      </c>
      <c r="N458" s="10">
        <f>Github!P$1093</f>
        <v>41384</v>
      </c>
      <c r="O458" s="10">
        <f>Github!Q$1093</f>
        <v>74366</v>
      </c>
    </row>
    <row r="459">
      <c r="A459" s="10">
        <f>Github!J$502</f>
        <v>501</v>
      </c>
      <c r="B459" s="11" t="str">
        <f>HYPERLINK(CONCAT("http://leetcode.com/problems/",Github!C$502), Github!B$502)</f>
        <v>Find Mode in Binary Search Tree</v>
      </c>
      <c r="C459" s="10">
        <f>Github!F$502</f>
        <v>1998</v>
      </c>
      <c r="D459" s="10">
        <f>Github!G$502</f>
        <v>540</v>
      </c>
      <c r="E459" s="10">
        <f>Github!F$502+Github!G$502</f>
        <v>2538</v>
      </c>
      <c r="F459" s="12">
        <f t="shared" si="1"/>
        <v>3.7</v>
      </c>
      <c r="G459" s="10" t="str">
        <f>Github!H$502</f>
        <v>Algorithms</v>
      </c>
      <c r="H459" s="13" t="str">
        <f>SUBSTITUTE(Github!L$502, ";", ", ")</f>
        <v>Tree, Depth-First Search, Binary Search Tree, Binary Tree, </v>
      </c>
      <c r="I459" s="10" t="str">
        <f>Github!E$502</f>
        <v>Easy</v>
      </c>
      <c r="J459" s="10" t="str">
        <f>IF(TRIM(Github!D$502)="TRUE","FALSE","TRUE")</f>
        <v>TRUE</v>
      </c>
      <c r="K459" s="10" t="b">
        <f>Github!M$502</f>
        <v>0</v>
      </c>
      <c r="L459" s="10" t="b">
        <f>Github!N$502</f>
        <v>0</v>
      </c>
      <c r="M459" s="10" t="str">
        <f>ROUND(Github!O$502, 2)&amp;"%"</f>
        <v>46.84%</v>
      </c>
      <c r="N459" s="10">
        <f>Github!P$502</f>
        <v>144662</v>
      </c>
      <c r="O459" s="10">
        <f>Github!Q$502</f>
        <v>308835</v>
      </c>
    </row>
    <row r="460">
      <c r="A460" s="10">
        <f>Github!J$165</f>
        <v>164</v>
      </c>
      <c r="B460" s="11" t="str">
        <f>HYPERLINK(CONCAT("http://leetcode.com/problems/",Github!C$165), Github!B$165)</f>
        <v>Maximum Gap</v>
      </c>
      <c r="C460" s="10">
        <f>Github!F$165</f>
        <v>1994</v>
      </c>
      <c r="D460" s="10">
        <f>Github!G$165</f>
        <v>277</v>
      </c>
      <c r="E460" s="10">
        <f>Github!F$165+Github!G$165</f>
        <v>2271</v>
      </c>
      <c r="F460" s="12">
        <f t="shared" si="1"/>
        <v>7.2</v>
      </c>
      <c r="G460" s="10" t="str">
        <f>Github!H$165</f>
        <v>Algorithms</v>
      </c>
      <c r="H460" s="13" t="str">
        <f>SUBSTITUTE(Github!L$165, ";", ", ")</f>
        <v>Array, Sorting, Bucket Sort, Radix Sort, </v>
      </c>
      <c r="I460" s="10" t="str">
        <f>Github!E$165</f>
        <v>Hard</v>
      </c>
      <c r="J460" s="10" t="str">
        <f>IF(TRIM(Github!D$165)="TRUE","FALSE","TRUE")</f>
        <v>TRUE</v>
      </c>
      <c r="K460" s="10" t="b">
        <f>Github!M$165</f>
        <v>1</v>
      </c>
      <c r="L460" s="10" t="b">
        <f>Github!N$165</f>
        <v>0</v>
      </c>
      <c r="M460" s="10" t="str">
        <f>ROUND(Github!O$165, 2)&amp;"%"</f>
        <v>41.14%</v>
      </c>
      <c r="N460" s="10">
        <f>Github!P$165</f>
        <v>135531</v>
      </c>
      <c r="O460" s="10">
        <f>Github!Q$165</f>
        <v>329421</v>
      </c>
    </row>
    <row r="461">
      <c r="A461" s="10">
        <f>Github!J$1050</f>
        <v>1049</v>
      </c>
      <c r="B461" s="11" t="str">
        <f>HYPERLINK(CONCAT("http://leetcode.com/problems/",Github!C$1050), Github!B$1050)</f>
        <v>Last Stone Weight II</v>
      </c>
      <c r="C461" s="10">
        <f>Github!F$1050</f>
        <v>1992</v>
      </c>
      <c r="D461" s="10">
        <f>Github!G$1050</f>
        <v>70</v>
      </c>
      <c r="E461" s="10">
        <f>Github!F$1050+Github!G$1050</f>
        <v>2062</v>
      </c>
      <c r="F461" s="12">
        <f t="shared" si="1"/>
        <v>28.46</v>
      </c>
      <c r="G461" s="10" t="str">
        <f>Github!H$1050</f>
        <v>Algorithms</v>
      </c>
      <c r="H461" s="13" t="str">
        <f>SUBSTITUTE(Github!L$1050, ";", ", ")</f>
        <v>Array, Dynamic Programming, </v>
      </c>
      <c r="I461" s="10" t="str">
        <f>Github!E$1050</f>
        <v>Medium</v>
      </c>
      <c r="J461" s="10" t="str">
        <f>IF(TRIM(Github!D$1050)="TRUE","FALSE","TRUE")</f>
        <v>TRUE</v>
      </c>
      <c r="K461" s="10" t="b">
        <f>Github!M$1050</f>
        <v>0</v>
      </c>
      <c r="L461" s="10" t="b">
        <f>Github!N$1050</f>
        <v>0</v>
      </c>
      <c r="M461" s="10" t="str">
        <f>ROUND(Github!O$1050, 2)&amp;"%"</f>
        <v>50.69%</v>
      </c>
      <c r="N461" s="10">
        <f>Github!P$1050</f>
        <v>50475</v>
      </c>
      <c r="O461" s="10">
        <f>Github!Q$1050</f>
        <v>99575</v>
      </c>
    </row>
    <row r="462">
      <c r="A462" s="10">
        <f>Github!J$704</f>
        <v>703</v>
      </c>
      <c r="B462" s="11" t="str">
        <f>HYPERLINK(CONCAT("http://leetcode.com/problems/",Github!C$704), Github!B$704)</f>
        <v>Kth Largest Element in a Stream</v>
      </c>
      <c r="C462" s="10">
        <f>Github!F$704</f>
        <v>1992</v>
      </c>
      <c r="D462" s="10">
        <f>Github!G$704</f>
        <v>1162</v>
      </c>
      <c r="E462" s="10">
        <f>Github!F$704+Github!G$704</f>
        <v>3154</v>
      </c>
      <c r="F462" s="12">
        <f t="shared" si="1"/>
        <v>1.71</v>
      </c>
      <c r="G462" s="10" t="str">
        <f>Github!H$704</f>
        <v>Algorithms</v>
      </c>
      <c r="H462" s="13" t="str">
        <f>SUBSTITUTE(Github!L$704, ";", ", ")</f>
        <v>Tree, Design, Binary Search Tree, Heap (Priority Queue), Binary Tree, Data Stream, </v>
      </c>
      <c r="I462" s="10" t="str">
        <f>Github!E$704</f>
        <v>Easy</v>
      </c>
      <c r="J462" s="10" t="str">
        <f>IF(TRIM(Github!D$704)="TRUE","FALSE","TRUE")</f>
        <v>TRUE</v>
      </c>
      <c r="K462" s="10" t="b">
        <f>Github!M$704</f>
        <v>1</v>
      </c>
      <c r="L462" s="10" t="b">
        <f>Github!N$704</f>
        <v>0</v>
      </c>
      <c r="M462" s="10" t="str">
        <f>ROUND(Github!O$704, 2)&amp;"%"</f>
        <v>52.66%</v>
      </c>
      <c r="N462" s="10">
        <f>Github!P$704</f>
        <v>188774</v>
      </c>
      <c r="O462" s="10">
        <f>Github!Q$704</f>
        <v>358482</v>
      </c>
    </row>
    <row r="463">
      <c r="A463" s="10">
        <f>Github!J$325</f>
        <v>324</v>
      </c>
      <c r="B463" s="11" t="str">
        <f>HYPERLINK(CONCAT("http://leetcode.com/problems/",Github!C$325), Github!B$325)</f>
        <v>Wiggle Sort II</v>
      </c>
      <c r="C463" s="10">
        <f>Github!F$325</f>
        <v>1987</v>
      </c>
      <c r="D463" s="10">
        <f>Github!G$325</f>
        <v>780</v>
      </c>
      <c r="E463" s="10">
        <f>Github!F$325+Github!G$325</f>
        <v>2767</v>
      </c>
      <c r="F463" s="12">
        <f t="shared" si="1"/>
        <v>2.55</v>
      </c>
      <c r="G463" s="10" t="str">
        <f>Github!H$325</f>
        <v>Algorithms</v>
      </c>
      <c r="H463" s="13" t="str">
        <f>SUBSTITUTE(Github!L$325, ";", ", ")</f>
        <v>Array, Divide and Conquer, Sorting, Quickselect, </v>
      </c>
      <c r="I463" s="10" t="str">
        <f>Github!E$325</f>
        <v>Medium</v>
      </c>
      <c r="J463" s="10" t="str">
        <f>IF(TRIM(Github!D$325)="TRUE","FALSE","TRUE")</f>
        <v>TRUE</v>
      </c>
      <c r="K463" s="10" t="b">
        <f>Github!M$325</f>
        <v>0</v>
      </c>
      <c r="L463" s="10" t="b">
        <f>Github!N$325</f>
        <v>0</v>
      </c>
      <c r="M463" s="10" t="str">
        <f>ROUND(Github!O$325, 2)&amp;"%"</f>
        <v>32.06%</v>
      </c>
      <c r="N463" s="10">
        <f>Github!P$325</f>
        <v>117638</v>
      </c>
      <c r="O463" s="10">
        <f>Github!Q$325</f>
        <v>366988</v>
      </c>
    </row>
    <row r="464">
      <c r="A464" s="10">
        <f>Github!J$229</f>
        <v>228</v>
      </c>
      <c r="B464" s="11" t="str">
        <f>HYPERLINK(CONCAT("http://leetcode.com/problems/",Github!C$229), Github!B$229)</f>
        <v>Summary Ranges</v>
      </c>
      <c r="C464" s="10">
        <f>Github!F$229</f>
        <v>1985</v>
      </c>
      <c r="D464" s="10">
        <f>Github!G$229</f>
        <v>1119</v>
      </c>
      <c r="E464" s="10">
        <f>Github!F$229+Github!G$229</f>
        <v>3104</v>
      </c>
      <c r="F464" s="12">
        <f t="shared" si="1"/>
        <v>1.77</v>
      </c>
      <c r="G464" s="10" t="str">
        <f>Github!H$229</f>
        <v>Algorithms</v>
      </c>
      <c r="H464" s="13" t="str">
        <f>SUBSTITUTE(Github!L$229, ";", ", ")</f>
        <v>Array, </v>
      </c>
      <c r="I464" s="10" t="str">
        <f>Github!E$229</f>
        <v>Easy</v>
      </c>
      <c r="J464" s="10" t="str">
        <f>IF(TRIM(Github!D$229)="TRUE","FALSE","TRUE")</f>
        <v>TRUE</v>
      </c>
      <c r="K464" s="10" t="b">
        <f>Github!M$229</f>
        <v>1</v>
      </c>
      <c r="L464" s="10" t="b">
        <f>Github!N$229</f>
        <v>0</v>
      </c>
      <c r="M464" s="10" t="str">
        <f>ROUND(Github!O$229, 2)&amp;"%"</f>
        <v>46.23%</v>
      </c>
      <c r="N464" s="10">
        <f>Github!P$229</f>
        <v>286964</v>
      </c>
      <c r="O464" s="10">
        <f>Github!Q$229</f>
        <v>620726</v>
      </c>
    </row>
    <row r="465">
      <c r="A465" s="10">
        <f>Github!J$1632</f>
        <v>1631</v>
      </c>
      <c r="B465" s="11" t="str">
        <f>HYPERLINK(CONCAT("http://leetcode.com/problems/",Github!C$1632), Github!B$1632)</f>
        <v>Path With Minimum Effort</v>
      </c>
      <c r="C465" s="10">
        <f>Github!F$1632</f>
        <v>1983</v>
      </c>
      <c r="D465" s="10">
        <f>Github!G$1632</f>
        <v>95</v>
      </c>
      <c r="E465" s="10">
        <f>Github!F$1632+Github!G$1632</f>
        <v>2078</v>
      </c>
      <c r="F465" s="12">
        <f t="shared" si="1"/>
        <v>20.87</v>
      </c>
      <c r="G465" s="10" t="str">
        <f>Github!H$1632</f>
        <v>Algorithms</v>
      </c>
      <c r="H465" s="13" t="str">
        <f>SUBSTITUTE(Github!L$1632, ";", ", ")</f>
        <v>Array, Binary Search, Depth-First Search, Breadth-First Search, Union Find, Heap (Priority Queue), Matrix, </v>
      </c>
      <c r="I465" s="10" t="str">
        <f>Github!E$1632</f>
        <v>Medium</v>
      </c>
      <c r="J465" s="10" t="str">
        <f>IF(TRIM(Github!D$1632)="TRUE","FALSE","TRUE")</f>
        <v>TRUE</v>
      </c>
      <c r="K465" s="10" t="b">
        <f>Github!M$1632</f>
        <v>1</v>
      </c>
      <c r="L465" s="10" t="b">
        <f>Github!N$1632</f>
        <v>0</v>
      </c>
      <c r="M465" s="10" t="str">
        <f>ROUND(Github!O$1632, 2)&amp;"%"</f>
        <v>51.77%</v>
      </c>
      <c r="N465" s="10">
        <f>Github!P$1632</f>
        <v>71185</v>
      </c>
      <c r="O465" s="10">
        <f>Github!Q$1632</f>
        <v>137493</v>
      </c>
    </row>
    <row r="466">
      <c r="A466" s="10">
        <f>Github!J$833</f>
        <v>832</v>
      </c>
      <c r="B466" s="11" t="str">
        <f>HYPERLINK(CONCAT("http://leetcode.com/problems/",Github!C$833), Github!B$833)</f>
        <v>Flipping an Image</v>
      </c>
      <c r="C466" s="10">
        <f>Github!F$833</f>
        <v>1982</v>
      </c>
      <c r="D466" s="10">
        <f>Github!G$833</f>
        <v>198</v>
      </c>
      <c r="E466" s="10">
        <f>Github!F$833+Github!G$833</f>
        <v>2180</v>
      </c>
      <c r="F466" s="12">
        <f t="shared" si="1"/>
        <v>10.01</v>
      </c>
      <c r="G466" s="10" t="str">
        <f>Github!H$833</f>
        <v>Algorithms</v>
      </c>
      <c r="H466" s="13" t="str">
        <f>SUBSTITUTE(Github!L$833, ";", ", ")</f>
        <v>Array, Two Pointers, Matrix, Simulation, </v>
      </c>
      <c r="I466" s="10" t="str">
        <f>Github!E$833</f>
        <v>Easy</v>
      </c>
      <c r="J466" s="10" t="str">
        <f>IF(TRIM(Github!D$833)="TRUE","FALSE","TRUE")</f>
        <v>TRUE</v>
      </c>
      <c r="K466" s="10" t="b">
        <f>Github!M$833</f>
        <v>1</v>
      </c>
      <c r="L466" s="10" t="b">
        <f>Github!N$833</f>
        <v>0</v>
      </c>
      <c r="M466" s="10" t="str">
        <f>ROUND(Github!O$833, 2)&amp;"%"</f>
        <v>79.52%</v>
      </c>
      <c r="N466" s="10">
        <f>Github!P$833</f>
        <v>285147</v>
      </c>
      <c r="O466" s="10">
        <f>Github!Q$833</f>
        <v>358566</v>
      </c>
    </row>
    <row r="467">
      <c r="A467" s="10">
        <f>Github!J$514</f>
        <v>513</v>
      </c>
      <c r="B467" s="11" t="str">
        <f>HYPERLINK(CONCAT("http://leetcode.com/problems/",Github!C$514), Github!B$514)</f>
        <v>Find Bottom Left Tree Value</v>
      </c>
      <c r="C467" s="10">
        <f>Github!F$514</f>
        <v>1981</v>
      </c>
      <c r="D467" s="10">
        <f>Github!G$514</f>
        <v>207</v>
      </c>
      <c r="E467" s="10">
        <f>Github!F$514+Github!G$514</f>
        <v>2188</v>
      </c>
      <c r="F467" s="12">
        <f t="shared" si="1"/>
        <v>9.57</v>
      </c>
      <c r="G467" s="10" t="str">
        <f>Github!H$514</f>
        <v>Algorithms</v>
      </c>
      <c r="H467" s="13" t="str">
        <f>SUBSTITUTE(Github!L$514, ";", ", ")</f>
        <v>Tree, Depth-First Search, Breadth-First Search, Binary Tree, </v>
      </c>
      <c r="I467" s="10" t="str">
        <f>Github!E$514</f>
        <v>Medium</v>
      </c>
      <c r="J467" s="10" t="str">
        <f>IF(TRIM(Github!D$514)="TRUE","FALSE","TRUE")</f>
        <v>TRUE</v>
      </c>
      <c r="K467" s="10" t="b">
        <f>Github!M$514</f>
        <v>0</v>
      </c>
      <c r="L467" s="10" t="b">
        <f>Github!N$514</f>
        <v>0</v>
      </c>
      <c r="M467" s="10" t="str">
        <f>ROUND(Github!O$514, 2)&amp;"%"</f>
        <v>64.94%</v>
      </c>
      <c r="N467" s="10">
        <f>Github!P$514</f>
        <v>165331</v>
      </c>
      <c r="O467" s="10">
        <f>Github!Q$514</f>
        <v>254606</v>
      </c>
    </row>
    <row r="468">
      <c r="A468" s="10">
        <f>Github!J$274</f>
        <v>273</v>
      </c>
      <c r="B468" s="11" t="str">
        <f>HYPERLINK(CONCAT("http://leetcode.com/problems/",Github!C$274), Github!B$274)</f>
        <v>Integer to English Words</v>
      </c>
      <c r="C468" s="10">
        <f>Github!F$274</f>
        <v>1974</v>
      </c>
      <c r="D468" s="10">
        <f>Github!G$274</f>
        <v>4826</v>
      </c>
      <c r="E468" s="10">
        <f>Github!F$274+Github!G$274</f>
        <v>6800</v>
      </c>
      <c r="F468" s="12">
        <f t="shared" si="1"/>
        <v>0.41</v>
      </c>
      <c r="G468" s="10" t="str">
        <f>Github!H$274</f>
        <v>Algorithms</v>
      </c>
      <c r="H468" s="13" t="str">
        <f>SUBSTITUTE(Github!L$274, ";", ", ")</f>
        <v>Math, String, Recursion, </v>
      </c>
      <c r="I468" s="10" t="str">
        <f>Github!E$274</f>
        <v>Hard</v>
      </c>
      <c r="J468" s="10" t="str">
        <f>IF(TRIM(Github!D$274)="TRUE","FALSE","TRUE")</f>
        <v>TRUE</v>
      </c>
      <c r="K468" s="10" t="b">
        <f>Github!M$274</f>
        <v>1</v>
      </c>
      <c r="L468" s="10" t="b">
        <f>Github!N$274</f>
        <v>0</v>
      </c>
      <c r="M468" s="10" t="str">
        <f>ROUND(Github!O$274, 2)&amp;"%"</f>
        <v>29.49%</v>
      </c>
      <c r="N468" s="10">
        <f>Github!P$274</f>
        <v>291632</v>
      </c>
      <c r="O468" s="10">
        <f>Github!Q$274</f>
        <v>988982</v>
      </c>
    </row>
    <row r="469">
      <c r="A469" s="10">
        <f>Github!J$1439</f>
        <v>1438</v>
      </c>
      <c r="B469" s="11" t="str">
        <f>HYPERLINK(CONCAT("http://leetcode.com/problems/",Github!C$1439), Github!B$1439)</f>
        <v>Longest Continuous Subarray With Absolute Diff Less Than or Equal to Limit</v>
      </c>
      <c r="C469" s="10">
        <f>Github!F$1439</f>
        <v>1973</v>
      </c>
      <c r="D469" s="10">
        <f>Github!G$1439</f>
        <v>83</v>
      </c>
      <c r="E469" s="10">
        <f>Github!F$1439+Github!G$1439</f>
        <v>2056</v>
      </c>
      <c r="F469" s="12">
        <f t="shared" si="1"/>
        <v>23.77</v>
      </c>
      <c r="G469" s="10" t="str">
        <f>Github!H$1439</f>
        <v>Algorithms</v>
      </c>
      <c r="H469" s="13" t="str">
        <f>SUBSTITUTE(Github!L$1439, ";", ", ")</f>
        <v>Array, Queue, Sliding Window, Heap (Priority Queue), Ordered Set, Monotonic Queue, </v>
      </c>
      <c r="I469" s="10" t="str">
        <f>Github!E$1439</f>
        <v>Medium</v>
      </c>
      <c r="J469" s="10" t="str">
        <f>IF(TRIM(Github!D$1439)="TRUE","FALSE","TRUE")</f>
        <v>TRUE</v>
      </c>
      <c r="K469" s="10" t="b">
        <f>Github!M$1439</f>
        <v>0</v>
      </c>
      <c r="L469" s="10" t="b">
        <f>Github!N$1439</f>
        <v>0</v>
      </c>
      <c r="M469" s="10" t="str">
        <f>ROUND(Github!O$1439, 2)&amp;"%"</f>
        <v>45.94%</v>
      </c>
      <c r="N469" s="10">
        <f>Github!P$1439</f>
        <v>75521</v>
      </c>
      <c r="O469" s="10">
        <f>Github!Q$1439</f>
        <v>164389</v>
      </c>
    </row>
    <row r="470">
      <c r="A470" s="10">
        <f>Github!J$1028</f>
        <v>1027</v>
      </c>
      <c r="B470" s="11" t="str">
        <f>HYPERLINK(CONCAT("http://leetcode.com/problems/",Github!C$1028), Github!B$1028)</f>
        <v>Longest Arithmetic Subsequence</v>
      </c>
      <c r="C470" s="10">
        <f>Github!F$1028</f>
        <v>1972</v>
      </c>
      <c r="D470" s="10">
        <f>Github!G$1028</f>
        <v>94</v>
      </c>
      <c r="E470" s="10">
        <f>Github!F$1028+Github!G$1028</f>
        <v>2066</v>
      </c>
      <c r="F470" s="12">
        <f t="shared" si="1"/>
        <v>20.98</v>
      </c>
      <c r="G470" s="10" t="str">
        <f>Github!H$1028</f>
        <v>Algorithms</v>
      </c>
      <c r="H470" s="13" t="str">
        <f>SUBSTITUTE(Github!L$1028, ";", ", ")</f>
        <v>Array, Hash Table, Binary Search, Dynamic Programming, </v>
      </c>
      <c r="I470" s="10" t="str">
        <f>Github!E$1028</f>
        <v>Medium</v>
      </c>
      <c r="J470" s="10" t="str">
        <f>IF(TRIM(Github!D$1028)="TRUE","FALSE","TRUE")</f>
        <v>TRUE</v>
      </c>
      <c r="K470" s="10" t="b">
        <f>Github!M$1028</f>
        <v>0</v>
      </c>
      <c r="L470" s="10" t="b">
        <f>Github!N$1028</f>
        <v>0</v>
      </c>
      <c r="M470" s="10" t="str">
        <f>ROUND(Github!O$1028, 2)&amp;"%"</f>
        <v>48.33%</v>
      </c>
      <c r="N470" s="10">
        <f>Github!P$1028</f>
        <v>82936</v>
      </c>
      <c r="O470" s="10">
        <f>Github!Q$1028</f>
        <v>171591</v>
      </c>
    </row>
    <row r="471">
      <c r="A471" s="10">
        <f>Github!J$960</f>
        <v>959</v>
      </c>
      <c r="B471" s="11" t="str">
        <f>HYPERLINK(CONCAT("http://leetcode.com/problems/",Github!C$960), Github!B$960)</f>
        <v>Regions Cut By Slashes</v>
      </c>
      <c r="C471" s="10">
        <f>Github!F$960</f>
        <v>1965</v>
      </c>
      <c r="D471" s="10">
        <f>Github!G$960</f>
        <v>389</v>
      </c>
      <c r="E471" s="10">
        <f>Github!F$960+Github!G$960</f>
        <v>2354</v>
      </c>
      <c r="F471" s="12">
        <f t="shared" si="1"/>
        <v>5.05</v>
      </c>
      <c r="G471" s="10" t="str">
        <f>Github!H$960</f>
        <v>Algorithms</v>
      </c>
      <c r="H471" s="13" t="str">
        <f>SUBSTITUTE(Github!L$960, ";", ", ")</f>
        <v>Depth-First Search, Breadth-First Search, Union Find, Graph, </v>
      </c>
      <c r="I471" s="10" t="str">
        <f>Github!E$960</f>
        <v>Medium</v>
      </c>
      <c r="J471" s="10" t="str">
        <f>IF(TRIM(Github!D$960)="TRUE","FALSE","TRUE")</f>
        <v>TRUE</v>
      </c>
      <c r="K471" s="10" t="b">
        <f>Github!M$960</f>
        <v>1</v>
      </c>
      <c r="L471" s="10" t="b">
        <f>Github!N$960</f>
        <v>0</v>
      </c>
      <c r="M471" s="10" t="str">
        <f>ROUND(Github!O$960, 2)&amp;"%"</f>
        <v>68.44%</v>
      </c>
      <c r="N471" s="10">
        <f>Github!P$960</f>
        <v>35312</v>
      </c>
      <c r="O471" s="10">
        <f>Github!Q$960</f>
        <v>51595</v>
      </c>
    </row>
    <row r="472">
      <c r="A472" s="10">
        <f>Github!J$1352</f>
        <v>1351</v>
      </c>
      <c r="B472" s="11" t="str">
        <f>HYPERLINK(CONCAT("http://leetcode.com/problems/",Github!C$1352), Github!B$1352)</f>
        <v>Count Negative Numbers in a Sorted Matrix</v>
      </c>
      <c r="C472" s="10">
        <f>Github!F$1352</f>
        <v>1950</v>
      </c>
      <c r="D472" s="10">
        <f>Github!G$1352</f>
        <v>68</v>
      </c>
      <c r="E472" s="10">
        <f>Github!F$1352+Github!G$1352</f>
        <v>2018</v>
      </c>
      <c r="F472" s="12">
        <f t="shared" si="1"/>
        <v>28.68</v>
      </c>
      <c r="G472" s="10" t="str">
        <f>Github!H$1352</f>
        <v>Algorithms</v>
      </c>
      <c r="H472" s="13" t="str">
        <f>SUBSTITUTE(Github!L$1352, ";", ", ")</f>
        <v>Array, Binary Search, Matrix, </v>
      </c>
      <c r="I472" s="10" t="str">
        <f>Github!E$1352</f>
        <v>Easy</v>
      </c>
      <c r="J472" s="10" t="str">
        <f>IF(TRIM(Github!D$1352)="TRUE","FALSE","TRUE")</f>
        <v>TRUE</v>
      </c>
      <c r="K472" s="10" t="b">
        <f>Github!M$1352</f>
        <v>0</v>
      </c>
      <c r="L472" s="10" t="b">
        <f>Github!N$1352</f>
        <v>0</v>
      </c>
      <c r="M472" s="10" t="str">
        <f>ROUND(Github!O$1352, 2)&amp;"%"</f>
        <v>75.15%</v>
      </c>
      <c r="N472" s="10">
        <f>Github!P$1352</f>
        <v>160042</v>
      </c>
      <c r="O472" s="10">
        <f>Github!Q$1352</f>
        <v>212969</v>
      </c>
    </row>
    <row r="473">
      <c r="A473" s="10">
        <f>Github!J$444</f>
        <v>443</v>
      </c>
      <c r="B473" s="11" t="str">
        <f>HYPERLINK(CONCAT("http://leetcode.com/problems/",Github!C$444), Github!B$444)</f>
        <v>String Compression</v>
      </c>
      <c r="C473" s="10">
        <f>Github!F$444</f>
        <v>1947</v>
      </c>
      <c r="D473" s="10">
        <f>Github!G$444</f>
        <v>4066</v>
      </c>
      <c r="E473" s="10">
        <f>Github!F$444+Github!G$444</f>
        <v>6013</v>
      </c>
      <c r="F473" s="12">
        <f t="shared" si="1"/>
        <v>0.48</v>
      </c>
      <c r="G473" s="10" t="str">
        <f>Github!H$444</f>
        <v>Algorithms</v>
      </c>
      <c r="H473" s="13" t="str">
        <f>SUBSTITUTE(Github!L$444, ";", ", ")</f>
        <v>Two Pointers, String, </v>
      </c>
      <c r="I473" s="10" t="str">
        <f>Github!E$444</f>
        <v>Medium</v>
      </c>
      <c r="J473" s="10" t="str">
        <f>IF(TRIM(Github!D$444)="TRUE","FALSE","TRUE")</f>
        <v>TRUE</v>
      </c>
      <c r="K473" s="10" t="b">
        <f>Github!M$444</f>
        <v>0</v>
      </c>
      <c r="L473" s="10" t="b">
        <f>Github!N$444</f>
        <v>0</v>
      </c>
      <c r="M473" s="10" t="str">
        <f>ROUND(Github!O$444, 2)&amp;"%"</f>
        <v>47.25%</v>
      </c>
      <c r="N473" s="10">
        <f>Github!P$444</f>
        <v>236220</v>
      </c>
      <c r="O473" s="10">
        <f>Github!Q$444</f>
        <v>499976</v>
      </c>
    </row>
    <row r="474">
      <c r="A474" s="10">
        <f>Github!J$982</f>
        <v>981</v>
      </c>
      <c r="B474" s="11" t="str">
        <f>HYPERLINK(CONCAT("http://leetcode.com/problems/",Github!C$982), Github!B$982)</f>
        <v>Time Based Key-Value Store</v>
      </c>
      <c r="C474" s="10">
        <f>Github!F$982</f>
        <v>1947</v>
      </c>
      <c r="D474" s="10">
        <f>Github!G$982</f>
        <v>202</v>
      </c>
      <c r="E474" s="10">
        <f>Github!F$982+Github!G$982</f>
        <v>2149</v>
      </c>
      <c r="F474" s="12">
        <f t="shared" si="1"/>
        <v>9.64</v>
      </c>
      <c r="G474" s="10" t="str">
        <f>Github!H$982</f>
        <v>Algorithms</v>
      </c>
      <c r="H474" s="13" t="str">
        <f>SUBSTITUTE(Github!L$982, ";", ", ")</f>
        <v>Hash Table, String, Binary Search, Design, </v>
      </c>
      <c r="I474" s="10" t="str">
        <f>Github!E$982</f>
        <v>Medium</v>
      </c>
      <c r="J474" s="10" t="str">
        <f>IF(TRIM(Github!D$982)="TRUE","FALSE","TRUE")</f>
        <v>TRUE</v>
      </c>
      <c r="K474" s="10" t="b">
        <f>Github!M$982</f>
        <v>0</v>
      </c>
      <c r="L474" s="10" t="b">
        <f>Github!N$982</f>
        <v>0</v>
      </c>
      <c r="M474" s="10" t="str">
        <f>ROUND(Github!O$982, 2)&amp;"%"</f>
        <v>52.8%</v>
      </c>
      <c r="N474" s="10">
        <f>Github!P$982</f>
        <v>169501</v>
      </c>
      <c r="O474" s="10">
        <f>Github!Q$982</f>
        <v>321051</v>
      </c>
    </row>
    <row r="475">
      <c r="A475" s="10">
        <f>Github!J$802</f>
        <v>801</v>
      </c>
      <c r="B475" s="11" t="str">
        <f>HYPERLINK(CONCAT("http://leetcode.com/problems/",Github!C$802), Github!B$802)</f>
        <v>Minimum Swaps To Make Sequences Increasing</v>
      </c>
      <c r="C475" s="10">
        <f>Github!F$802</f>
        <v>1942</v>
      </c>
      <c r="D475" s="10">
        <f>Github!G$802</f>
        <v>123</v>
      </c>
      <c r="E475" s="10">
        <f>Github!F$802+Github!G$802</f>
        <v>2065</v>
      </c>
      <c r="F475" s="12">
        <f t="shared" si="1"/>
        <v>15.79</v>
      </c>
      <c r="G475" s="10" t="str">
        <f>Github!H$802</f>
        <v>Algorithms</v>
      </c>
      <c r="H475" s="13" t="str">
        <f>SUBSTITUTE(Github!L$802, ";", ", ")</f>
        <v>Array, Dynamic Programming, </v>
      </c>
      <c r="I475" s="10" t="str">
        <f>Github!E$802</f>
        <v>Hard</v>
      </c>
      <c r="J475" s="10" t="str">
        <f>IF(TRIM(Github!D$802)="TRUE","FALSE","TRUE")</f>
        <v>TRUE</v>
      </c>
      <c r="K475" s="10" t="b">
        <f>Github!M$802</f>
        <v>0</v>
      </c>
      <c r="L475" s="10" t="b">
        <f>Github!N$802</f>
        <v>0</v>
      </c>
      <c r="M475" s="10" t="str">
        <f>ROUND(Github!O$802, 2)&amp;"%"</f>
        <v>39.21%</v>
      </c>
      <c r="N475" s="10">
        <f>Github!P$802</f>
        <v>51654</v>
      </c>
      <c r="O475" s="10">
        <f>Github!Q$802</f>
        <v>131739</v>
      </c>
    </row>
    <row r="476">
      <c r="A476" s="10">
        <f>Github!J$1294</f>
        <v>1293</v>
      </c>
      <c r="B476" s="11" t="str">
        <f>HYPERLINK(CONCAT("http://leetcode.com/problems/",Github!C$1294), Github!B$1294)</f>
        <v>Shortest Path in a Grid with Obstacles Elimination</v>
      </c>
      <c r="C476" s="10">
        <f>Github!F$1294</f>
        <v>1943</v>
      </c>
      <c r="D476" s="10">
        <f>Github!G$1294</f>
        <v>36</v>
      </c>
      <c r="E476" s="10">
        <f>Github!F$1294+Github!G$1294</f>
        <v>1979</v>
      </c>
      <c r="F476" s="12">
        <f t="shared" si="1"/>
        <v>53.97</v>
      </c>
      <c r="G476" s="10" t="str">
        <f>Github!H$1294</f>
        <v>Algorithms</v>
      </c>
      <c r="H476" s="13" t="str">
        <f>SUBSTITUTE(Github!L$1294, ";", ", ")</f>
        <v>Array, Breadth-First Search, Matrix, </v>
      </c>
      <c r="I476" s="10" t="str">
        <f>Github!E$1294</f>
        <v>Hard</v>
      </c>
      <c r="J476" s="10" t="str">
        <f>IF(TRIM(Github!D$1294)="TRUE","FALSE","TRUE")</f>
        <v>TRUE</v>
      </c>
      <c r="K476" s="10" t="b">
        <f>Github!M$1294</f>
        <v>1</v>
      </c>
      <c r="L476" s="10" t="b">
        <f>Github!N$1294</f>
        <v>0</v>
      </c>
      <c r="M476" s="10" t="str">
        <f>ROUND(Github!O$1294, 2)&amp;"%"</f>
        <v>43.57%</v>
      </c>
      <c r="N476" s="10">
        <f>Github!P$1294</f>
        <v>82171</v>
      </c>
      <c r="O476" s="10">
        <f>Github!Q$1294</f>
        <v>188587</v>
      </c>
    </row>
    <row r="477">
      <c r="A477" s="10">
        <f>Github!J$531</f>
        <v>530</v>
      </c>
      <c r="B477" s="11" t="str">
        <f>HYPERLINK(CONCAT("http://leetcode.com/problems/",Github!C$531), Github!B$531)</f>
        <v>Minimum Absolute Difference in BST</v>
      </c>
      <c r="C477" s="10">
        <f>Github!F$531</f>
        <v>1929</v>
      </c>
      <c r="D477" s="10">
        <f>Github!G$531</f>
        <v>113</v>
      </c>
      <c r="E477" s="10">
        <f>Github!F$531+Github!G$531</f>
        <v>2042</v>
      </c>
      <c r="F477" s="12">
        <f t="shared" si="1"/>
        <v>17.07</v>
      </c>
      <c r="G477" s="10" t="str">
        <f>Github!H$531</f>
        <v>Algorithms</v>
      </c>
      <c r="H477" s="13" t="str">
        <f>SUBSTITUTE(Github!L$531, ";", ", ")</f>
        <v>Tree, Depth-First Search, Breadth-First Search, Binary Search Tree, Binary Tree, </v>
      </c>
      <c r="I477" s="10" t="str">
        <f>Github!E$531</f>
        <v>Easy</v>
      </c>
      <c r="J477" s="10" t="str">
        <f>IF(TRIM(Github!D$531)="TRUE","FALSE","TRUE")</f>
        <v>TRUE</v>
      </c>
      <c r="K477" s="10" t="b">
        <f>Github!M$531</f>
        <v>0</v>
      </c>
      <c r="L477" s="10" t="b">
        <f>Github!N$531</f>
        <v>0</v>
      </c>
      <c r="M477" s="10" t="str">
        <f>ROUND(Github!O$531, 2)&amp;"%"</f>
        <v>56.13%</v>
      </c>
      <c r="N477" s="10">
        <f>Github!P$531</f>
        <v>149756</v>
      </c>
      <c r="O477" s="10">
        <f>Github!Q$531</f>
        <v>266823</v>
      </c>
    </row>
    <row r="478">
      <c r="A478" s="10">
        <f>Github!J$477</f>
        <v>476</v>
      </c>
      <c r="B478" s="11" t="str">
        <f>HYPERLINK(CONCAT("http://leetcode.com/problems/",Github!C$477), Github!B$477)</f>
        <v>Number Complement</v>
      </c>
      <c r="C478" s="10">
        <f>Github!F$477</f>
        <v>1918</v>
      </c>
      <c r="D478" s="10">
        <f>Github!G$477</f>
        <v>103</v>
      </c>
      <c r="E478" s="10">
        <f>Github!F$477+Github!G$477</f>
        <v>2021</v>
      </c>
      <c r="F478" s="12">
        <f t="shared" si="1"/>
        <v>18.62</v>
      </c>
      <c r="G478" s="10" t="str">
        <f>Github!H$477</f>
        <v>Algorithms</v>
      </c>
      <c r="H478" s="13" t="str">
        <f>SUBSTITUTE(Github!L$477, ";", ", ")</f>
        <v>Bit Manipulation, </v>
      </c>
      <c r="I478" s="10" t="str">
        <f>Github!E$477</f>
        <v>Easy</v>
      </c>
      <c r="J478" s="10" t="str">
        <f>IF(TRIM(Github!D$477)="TRUE","FALSE","TRUE")</f>
        <v>TRUE</v>
      </c>
      <c r="K478" s="10" t="b">
        <f>Github!M$477</f>
        <v>1</v>
      </c>
      <c r="L478" s="10" t="b">
        <f>Github!N$477</f>
        <v>0</v>
      </c>
      <c r="M478" s="10" t="str">
        <f>ROUND(Github!O$477, 2)&amp;"%"</f>
        <v>66.61%</v>
      </c>
      <c r="N478" s="10">
        <f>Github!P$477</f>
        <v>259311</v>
      </c>
      <c r="O478" s="10">
        <f>Github!Q$477</f>
        <v>389276</v>
      </c>
    </row>
    <row r="479">
      <c r="A479" s="10">
        <f>Github!J$148</f>
        <v>147</v>
      </c>
      <c r="B479" s="11" t="str">
        <f>HYPERLINK(CONCAT("http://leetcode.com/problems/",Github!C$148), Github!B$148)</f>
        <v>Insertion Sort List</v>
      </c>
      <c r="C479" s="10">
        <f>Github!F$148</f>
        <v>1914</v>
      </c>
      <c r="D479" s="10">
        <f>Github!G$148</f>
        <v>783</v>
      </c>
      <c r="E479" s="10">
        <f>Github!F$148+Github!G$148</f>
        <v>2697</v>
      </c>
      <c r="F479" s="12">
        <f t="shared" si="1"/>
        <v>2.44</v>
      </c>
      <c r="G479" s="10" t="str">
        <f>Github!H$148</f>
        <v>Algorithms</v>
      </c>
      <c r="H479" s="13" t="str">
        <f>SUBSTITUTE(Github!L$148, ";", ", ")</f>
        <v>Linked List, Sorting, </v>
      </c>
      <c r="I479" s="10" t="str">
        <f>Github!E$148</f>
        <v>Medium</v>
      </c>
      <c r="J479" s="10" t="str">
        <f>IF(TRIM(Github!D$148)="TRUE","FALSE","TRUE")</f>
        <v>TRUE</v>
      </c>
      <c r="K479" s="10" t="b">
        <f>Github!M$148</f>
        <v>1</v>
      </c>
      <c r="L479" s="10" t="b">
        <f>Github!N$148</f>
        <v>1</v>
      </c>
      <c r="M479" s="10" t="str">
        <f>ROUND(Github!O$148, 2)&amp;"%"</f>
        <v>48.55%</v>
      </c>
      <c r="N479" s="10">
        <f>Github!P$148</f>
        <v>278655</v>
      </c>
      <c r="O479" s="10">
        <f>Github!Q$148</f>
        <v>574008</v>
      </c>
    </row>
    <row r="480">
      <c r="A480" s="10">
        <f>Github!J$226</f>
        <v>225</v>
      </c>
      <c r="B480" s="11" t="str">
        <f>HYPERLINK(CONCAT("http://leetcode.com/problems/",Github!C$226), Github!B$226)</f>
        <v>Implement Stack using Queues</v>
      </c>
      <c r="C480" s="10">
        <f>Github!F$226</f>
        <v>1913</v>
      </c>
      <c r="D480" s="10">
        <f>Github!G$226</f>
        <v>775</v>
      </c>
      <c r="E480" s="10">
        <f>Github!F$226+Github!G$226</f>
        <v>2688</v>
      </c>
      <c r="F480" s="12">
        <f t="shared" si="1"/>
        <v>2.47</v>
      </c>
      <c r="G480" s="10" t="str">
        <f>Github!H$226</f>
        <v>Algorithms</v>
      </c>
      <c r="H480" s="13" t="str">
        <f>SUBSTITUTE(Github!L$226, ";", ", ")</f>
        <v>Stack, Design, Queue, </v>
      </c>
      <c r="I480" s="10" t="str">
        <f>Github!E$226</f>
        <v>Easy</v>
      </c>
      <c r="J480" s="10" t="str">
        <f>IF(TRIM(Github!D$226)="TRUE","FALSE","TRUE")</f>
        <v>TRUE</v>
      </c>
      <c r="K480" s="10" t="b">
        <f>Github!M$226</f>
        <v>1</v>
      </c>
      <c r="L480" s="10" t="b">
        <f>Github!N$226</f>
        <v>0</v>
      </c>
      <c r="M480" s="10" t="str">
        <f>ROUND(Github!O$226, 2)&amp;"%"</f>
        <v>52.05%</v>
      </c>
      <c r="N480" s="10">
        <f>Github!P$226</f>
        <v>281229</v>
      </c>
      <c r="O480" s="10">
        <f>Github!Q$226</f>
        <v>540337</v>
      </c>
    </row>
    <row r="481">
      <c r="A481" s="10">
        <f>Github!J$516</f>
        <v>515</v>
      </c>
      <c r="B481" s="11" t="str">
        <f>HYPERLINK(CONCAT("http://leetcode.com/problems/",Github!C$516), Github!B$516)</f>
        <v>Find Largest Value in Each Tree Row</v>
      </c>
      <c r="C481" s="10">
        <f>Github!F$516</f>
        <v>1907</v>
      </c>
      <c r="D481" s="10">
        <f>Github!G$516</f>
        <v>80</v>
      </c>
      <c r="E481" s="10">
        <f>Github!F$516+Github!G$516</f>
        <v>1987</v>
      </c>
      <c r="F481" s="12">
        <f t="shared" si="1"/>
        <v>23.84</v>
      </c>
      <c r="G481" s="10" t="str">
        <f>Github!H$516</f>
        <v>Algorithms</v>
      </c>
      <c r="H481" s="13" t="str">
        <f>SUBSTITUTE(Github!L$516, ";", ", ")</f>
        <v>Tree, Depth-First Search, Breadth-First Search, Binary Tree, </v>
      </c>
      <c r="I481" s="10" t="str">
        <f>Github!E$516</f>
        <v>Medium</v>
      </c>
      <c r="J481" s="10" t="str">
        <f>IF(TRIM(Github!D$516)="TRUE","FALSE","TRUE")</f>
        <v>TRUE</v>
      </c>
      <c r="K481" s="10" t="b">
        <f>Github!M$516</f>
        <v>0</v>
      </c>
      <c r="L481" s="10" t="b">
        <f>Github!N$516</f>
        <v>0</v>
      </c>
      <c r="M481" s="10" t="str">
        <f>ROUND(Github!O$516, 2)&amp;"%"</f>
        <v>64.27%</v>
      </c>
      <c r="N481" s="10">
        <f>Github!P$516</f>
        <v>181778</v>
      </c>
      <c r="O481" s="10">
        <f>Github!Q$516</f>
        <v>282814</v>
      </c>
    </row>
    <row r="482">
      <c r="A482" s="10">
        <f>Github!J$356</f>
        <v>355</v>
      </c>
      <c r="B482" s="11" t="str">
        <f>HYPERLINK(CONCAT("http://leetcode.com/problems/",Github!C$356), Github!B$356)</f>
        <v>Design Twitter</v>
      </c>
      <c r="C482" s="10">
        <f>Github!F$356</f>
        <v>1903</v>
      </c>
      <c r="D482" s="10">
        <f>Github!G$356</f>
        <v>268</v>
      </c>
      <c r="E482" s="10">
        <f>Github!F$356+Github!G$356</f>
        <v>2171</v>
      </c>
      <c r="F482" s="12">
        <f t="shared" si="1"/>
        <v>7.1</v>
      </c>
      <c r="G482" s="10" t="str">
        <f>Github!H$356</f>
        <v>Algorithms</v>
      </c>
      <c r="H482" s="13" t="str">
        <f>SUBSTITUTE(Github!L$356, ";", ", ")</f>
        <v>Hash Table, Linked List, Design, Heap (Priority Queue), </v>
      </c>
      <c r="I482" s="10" t="str">
        <f>Github!E$356</f>
        <v>Medium</v>
      </c>
      <c r="J482" s="10" t="str">
        <f>IF(TRIM(Github!D$356)="TRUE","FALSE","TRUE")</f>
        <v>TRUE</v>
      </c>
      <c r="K482" s="10" t="b">
        <f>Github!M$356</f>
        <v>0</v>
      </c>
      <c r="L482" s="10" t="b">
        <f>Github!N$356</f>
        <v>0</v>
      </c>
      <c r="M482" s="10" t="str">
        <f>ROUND(Github!O$356, 2)&amp;"%"</f>
        <v>34.14%</v>
      </c>
      <c r="N482" s="10">
        <f>Github!P$356</f>
        <v>82081</v>
      </c>
      <c r="O482" s="10">
        <f>Github!Q$356</f>
        <v>240444</v>
      </c>
    </row>
    <row r="483">
      <c r="A483" s="10">
        <f>Github!J$560</f>
        <v>559</v>
      </c>
      <c r="B483" s="11" t="str">
        <f>HYPERLINK(CONCAT("http://leetcode.com/problems/",Github!C$560), Github!B$560)</f>
        <v>Maximum Depth of N-ary Tree</v>
      </c>
      <c r="C483" s="10">
        <f>Github!F$560</f>
        <v>1903</v>
      </c>
      <c r="D483" s="10">
        <f>Github!G$560</f>
        <v>68</v>
      </c>
      <c r="E483" s="10">
        <f>Github!F$560+Github!G$560</f>
        <v>1971</v>
      </c>
      <c r="F483" s="12">
        <f t="shared" si="1"/>
        <v>27.99</v>
      </c>
      <c r="G483" s="10" t="str">
        <f>Github!H$560</f>
        <v>Algorithms</v>
      </c>
      <c r="H483" s="13" t="str">
        <f>SUBSTITUTE(Github!L$560, ";", ", ")</f>
        <v>Tree, Depth-First Search, Breadth-First Search, </v>
      </c>
      <c r="I483" s="10" t="str">
        <f>Github!E$560</f>
        <v>Easy</v>
      </c>
      <c r="J483" s="10" t="str">
        <f>IF(TRIM(Github!D$560)="TRUE","FALSE","TRUE")</f>
        <v>TRUE</v>
      </c>
      <c r="K483" s="10" t="b">
        <f>Github!M$560</f>
        <v>1</v>
      </c>
      <c r="L483" s="10" t="b">
        <f>Github!N$560</f>
        <v>0</v>
      </c>
      <c r="M483" s="10" t="str">
        <f>ROUND(Github!O$560, 2)&amp;"%"</f>
        <v>70.88%</v>
      </c>
      <c r="N483" s="10">
        <f>Github!P$560</f>
        <v>202869</v>
      </c>
      <c r="O483" s="10">
        <f>Github!Q$560</f>
        <v>286225</v>
      </c>
    </row>
    <row r="484">
      <c r="A484" s="10">
        <f>Github!J$878</f>
        <v>877</v>
      </c>
      <c r="B484" s="11" t="str">
        <f>HYPERLINK(CONCAT("http://leetcode.com/problems/",Github!C$878), Github!B$878)</f>
        <v>Stone Game</v>
      </c>
      <c r="C484" s="10">
        <f>Github!F$878</f>
        <v>1899</v>
      </c>
      <c r="D484" s="10">
        <f>Github!G$878</f>
        <v>1958</v>
      </c>
      <c r="E484" s="10">
        <f>Github!F$878+Github!G$878</f>
        <v>3857</v>
      </c>
      <c r="F484" s="12">
        <f t="shared" si="1"/>
        <v>0.97</v>
      </c>
      <c r="G484" s="10" t="str">
        <f>Github!H$878</f>
        <v>Algorithms</v>
      </c>
      <c r="H484" s="13" t="str">
        <f>SUBSTITUTE(Github!L$878, ";", ", ")</f>
        <v>Array, Math, Dynamic Programming, Game Theory, </v>
      </c>
      <c r="I484" s="10" t="str">
        <f>Github!E$878</f>
        <v>Medium</v>
      </c>
      <c r="J484" s="10" t="str">
        <f>IF(TRIM(Github!D$878)="TRUE","FALSE","TRUE")</f>
        <v>TRUE</v>
      </c>
      <c r="K484" s="10" t="b">
        <f>Github!M$878</f>
        <v>1</v>
      </c>
      <c r="L484" s="10" t="b">
        <f>Github!N$878</f>
        <v>0</v>
      </c>
      <c r="M484" s="10" t="str">
        <f>ROUND(Github!O$878, 2)&amp;"%"</f>
        <v>69.05%</v>
      </c>
      <c r="N484" s="10">
        <f>Github!P$878</f>
        <v>150039</v>
      </c>
      <c r="O484" s="10">
        <f>Github!Q$878</f>
        <v>217298</v>
      </c>
    </row>
    <row r="485">
      <c r="A485" s="10">
        <f>Github!J$173</f>
        <v>172</v>
      </c>
      <c r="B485" s="11" t="str">
        <f>HYPERLINK(CONCAT("http://leetcode.com/problems/",Github!C$173), Github!B$173)</f>
        <v>Factorial Trailing Zeroes</v>
      </c>
      <c r="C485" s="10">
        <f>Github!F$173</f>
        <v>1896</v>
      </c>
      <c r="D485" s="10">
        <f>Github!G$173</f>
        <v>1639</v>
      </c>
      <c r="E485" s="10">
        <f>Github!F$173+Github!G$173</f>
        <v>3535</v>
      </c>
      <c r="F485" s="12">
        <f t="shared" si="1"/>
        <v>1.16</v>
      </c>
      <c r="G485" s="10" t="str">
        <f>Github!H$173</f>
        <v>Algorithms</v>
      </c>
      <c r="H485" s="13" t="str">
        <f>SUBSTITUTE(Github!L$173, ";", ", ")</f>
        <v>Math, </v>
      </c>
      <c r="I485" s="10" t="str">
        <f>Github!E$173</f>
        <v>Medium</v>
      </c>
      <c r="J485" s="10" t="str">
        <f>IF(TRIM(Github!D$173)="TRUE","FALSE","TRUE")</f>
        <v>TRUE</v>
      </c>
      <c r="K485" s="10" t="b">
        <f>Github!M$173</f>
        <v>1</v>
      </c>
      <c r="L485" s="10" t="b">
        <f>Github!N$173</f>
        <v>0</v>
      </c>
      <c r="M485" s="10" t="str">
        <f>ROUND(Github!O$173, 2)&amp;"%"</f>
        <v>40.56%</v>
      </c>
      <c r="N485" s="10">
        <f>Github!P$173</f>
        <v>308942</v>
      </c>
      <c r="O485" s="10">
        <f>Github!Q$173</f>
        <v>761739</v>
      </c>
    </row>
    <row r="486">
      <c r="A486" s="10">
        <f>Github!J$698</f>
        <v>697</v>
      </c>
      <c r="B486" s="11" t="str">
        <f>HYPERLINK(CONCAT("http://leetcode.com/problems/",Github!C$698), Github!B$698)</f>
        <v>Degree of an Array</v>
      </c>
      <c r="C486" s="10">
        <f>Github!F$698</f>
        <v>1894</v>
      </c>
      <c r="D486" s="10">
        <f>Github!G$698</f>
        <v>1246</v>
      </c>
      <c r="E486" s="10">
        <f>Github!F$698+Github!G$698</f>
        <v>3140</v>
      </c>
      <c r="F486" s="12">
        <f t="shared" si="1"/>
        <v>1.52</v>
      </c>
      <c r="G486" s="10" t="str">
        <f>Github!H$698</f>
        <v>Algorithms</v>
      </c>
      <c r="H486" s="13" t="str">
        <f>SUBSTITUTE(Github!L$698, ";", ", ")</f>
        <v>Array, Hash Table, </v>
      </c>
      <c r="I486" s="10" t="str">
        <f>Github!E$698</f>
        <v>Easy</v>
      </c>
      <c r="J486" s="10" t="str">
        <f>IF(TRIM(Github!D$698)="TRUE","FALSE","TRUE")</f>
        <v>TRUE</v>
      </c>
      <c r="K486" s="10" t="b">
        <f>Github!M$698</f>
        <v>1</v>
      </c>
      <c r="L486" s="10" t="b">
        <f>Github!N$698</f>
        <v>0</v>
      </c>
      <c r="M486" s="10" t="str">
        <f>ROUND(Github!O$698, 2)&amp;"%"</f>
        <v>55.58%</v>
      </c>
      <c r="N486" s="10">
        <f>Github!P$698</f>
        <v>143635</v>
      </c>
      <c r="O486" s="10">
        <f>Github!Q$698</f>
        <v>258449</v>
      </c>
    </row>
    <row r="487">
      <c r="A487" s="10">
        <f>Github!J$913</f>
        <v>912</v>
      </c>
      <c r="B487" s="11" t="str">
        <f>HYPERLINK(CONCAT("http://leetcode.com/problems/",Github!C$913), Github!B$913)</f>
        <v>Sort an Array</v>
      </c>
      <c r="C487" s="10">
        <f>Github!F$913</f>
        <v>1889</v>
      </c>
      <c r="D487" s="10">
        <f>Github!G$913</f>
        <v>504</v>
      </c>
      <c r="E487" s="10">
        <f>Github!F$913+Github!G$913</f>
        <v>2393</v>
      </c>
      <c r="F487" s="12">
        <f t="shared" si="1"/>
        <v>3.75</v>
      </c>
      <c r="G487" s="10" t="str">
        <f>Github!H$913</f>
        <v>Algorithms</v>
      </c>
      <c r="H487" s="13" t="str">
        <f>SUBSTITUTE(Github!L$913, ";", ", ")</f>
        <v>Array, Divide and Conquer, Sorting, Heap (Priority Queue), Merge Sort, Bucket Sort, Radix Sort, Counting Sort, </v>
      </c>
      <c r="I487" s="10" t="str">
        <f>Github!E$913</f>
        <v>Medium</v>
      </c>
      <c r="J487" s="10" t="str">
        <f>IF(TRIM(Github!D$913)="TRUE","FALSE","TRUE")</f>
        <v>TRUE</v>
      </c>
      <c r="K487" s="10" t="b">
        <f>Github!M$913</f>
        <v>0</v>
      </c>
      <c r="L487" s="10" t="b">
        <f>Github!N$913</f>
        <v>0</v>
      </c>
      <c r="M487" s="10" t="str">
        <f>ROUND(Github!O$913, 2)&amp;"%"</f>
        <v>61.66%</v>
      </c>
      <c r="N487" s="10">
        <f>Github!P$913</f>
        <v>243568</v>
      </c>
      <c r="O487" s="10">
        <f>Github!Q$913</f>
        <v>395025</v>
      </c>
    </row>
    <row r="488">
      <c r="A488" s="10">
        <f>Github!J$1156</f>
        <v>1155</v>
      </c>
      <c r="B488" s="11" t="str">
        <f>HYPERLINK(CONCAT("http://leetcode.com/problems/",Github!C$1156), Github!B$1156)</f>
        <v>Number of Dice Rolls With Target Sum</v>
      </c>
      <c r="C488" s="10">
        <f>Github!F$1156</f>
        <v>1884</v>
      </c>
      <c r="D488" s="10">
        <f>Github!G$1156</f>
        <v>84</v>
      </c>
      <c r="E488" s="10">
        <f>Github!F$1156+Github!G$1156</f>
        <v>1968</v>
      </c>
      <c r="F488" s="12">
        <f t="shared" si="1"/>
        <v>22.43</v>
      </c>
      <c r="G488" s="10" t="str">
        <f>Github!H$1156</f>
        <v>Algorithms</v>
      </c>
      <c r="H488" s="13" t="str">
        <f>SUBSTITUTE(Github!L$1156, ";", ", ")</f>
        <v>Dynamic Programming, </v>
      </c>
      <c r="I488" s="10" t="str">
        <f>Github!E$1156</f>
        <v>Medium</v>
      </c>
      <c r="J488" s="10" t="str">
        <f>IF(TRIM(Github!D$1156)="TRUE","FALSE","TRUE")</f>
        <v>TRUE</v>
      </c>
      <c r="K488" s="10" t="b">
        <f>Github!M$1156</f>
        <v>0</v>
      </c>
      <c r="L488" s="10" t="b">
        <f>Github!N$1156</f>
        <v>0</v>
      </c>
      <c r="M488" s="10" t="str">
        <f>ROUND(Github!O$1156, 2)&amp;"%"</f>
        <v>47.65%</v>
      </c>
      <c r="N488" s="10">
        <f>Github!P$1156</f>
        <v>97993</v>
      </c>
      <c r="O488" s="10">
        <f>Github!Q$1156</f>
        <v>205656</v>
      </c>
    </row>
    <row r="489">
      <c r="A489" s="10">
        <f>Github!J$792</f>
        <v>791</v>
      </c>
      <c r="B489" s="11" t="str">
        <f>HYPERLINK(CONCAT("http://leetcode.com/problems/",Github!C$792), Github!B$792)</f>
        <v>Custom Sort String</v>
      </c>
      <c r="C489" s="10">
        <f>Github!F$792</f>
        <v>1884</v>
      </c>
      <c r="D489" s="10">
        <f>Github!G$792</f>
        <v>274</v>
      </c>
      <c r="E489" s="10">
        <f>Github!F$792+Github!G$792</f>
        <v>2158</v>
      </c>
      <c r="F489" s="12">
        <f t="shared" si="1"/>
        <v>6.88</v>
      </c>
      <c r="G489" s="10" t="str">
        <f>Github!H$792</f>
        <v>Algorithms</v>
      </c>
      <c r="H489" s="13" t="str">
        <f>SUBSTITUTE(Github!L$792, ";", ", ")</f>
        <v>Hash Table, String, Sorting, </v>
      </c>
      <c r="I489" s="10" t="str">
        <f>Github!E$792</f>
        <v>Medium</v>
      </c>
      <c r="J489" s="10" t="str">
        <f>IF(TRIM(Github!D$792)="TRUE","FALSE","TRUE")</f>
        <v>TRUE</v>
      </c>
      <c r="K489" s="10" t="b">
        <f>Github!M$792</f>
        <v>1</v>
      </c>
      <c r="L489" s="10" t="b">
        <f>Github!N$792</f>
        <v>0</v>
      </c>
      <c r="M489" s="10" t="str">
        <f>ROUND(Github!O$792, 2)&amp;"%"</f>
        <v>68.78%</v>
      </c>
      <c r="N489" s="10">
        <f>Github!P$792</f>
        <v>165981</v>
      </c>
      <c r="O489" s="10">
        <f>Github!Q$792</f>
        <v>241328</v>
      </c>
    </row>
    <row r="490">
      <c r="A490" s="10">
        <f>Github!J$1320</f>
        <v>1319</v>
      </c>
      <c r="B490" s="11" t="str">
        <f>HYPERLINK(CONCAT("http://leetcode.com/problems/",Github!C$1320), Github!B$1320)</f>
        <v>Number of Operations to Make Network Connected</v>
      </c>
      <c r="C490" s="10">
        <f>Github!F$1320</f>
        <v>1886</v>
      </c>
      <c r="D490" s="10">
        <f>Github!G$1320</f>
        <v>29</v>
      </c>
      <c r="E490" s="10">
        <f>Github!F$1320+Github!G$1320</f>
        <v>1915</v>
      </c>
      <c r="F490" s="12">
        <f t="shared" si="1"/>
        <v>65.03</v>
      </c>
      <c r="G490" s="10" t="str">
        <f>Github!H$1320</f>
        <v>Algorithms</v>
      </c>
      <c r="H490" s="13" t="str">
        <f>SUBSTITUTE(Github!L$1320, ";", ", ")</f>
        <v>Depth-First Search, Breadth-First Search, Union Find, Graph, </v>
      </c>
      <c r="I490" s="10" t="str">
        <f>Github!E$1320</f>
        <v>Medium</v>
      </c>
      <c r="J490" s="10" t="str">
        <f>IF(TRIM(Github!D$1320)="TRUE","FALSE","TRUE")</f>
        <v>TRUE</v>
      </c>
      <c r="K490" s="10" t="b">
        <f>Github!M$1320</f>
        <v>0</v>
      </c>
      <c r="L490" s="10" t="b">
        <f>Github!N$1320</f>
        <v>0</v>
      </c>
      <c r="M490" s="10" t="str">
        <f>ROUND(Github!O$1320, 2)&amp;"%"</f>
        <v>57.46%</v>
      </c>
      <c r="N490" s="10">
        <f>Github!P$1320</f>
        <v>67690</v>
      </c>
      <c r="O490" s="10">
        <f>Github!Q$1320</f>
        <v>117806</v>
      </c>
    </row>
    <row r="491">
      <c r="A491" s="10">
        <f>Github!J$720</f>
        <v>719</v>
      </c>
      <c r="B491" s="11" t="str">
        <f>HYPERLINK(CONCAT("http://leetcode.com/problems/",Github!C$720), Github!B$720)</f>
        <v>Find K-th Smallest Pair Distance</v>
      </c>
      <c r="C491" s="10">
        <f>Github!F$720</f>
        <v>1876</v>
      </c>
      <c r="D491" s="10">
        <f>Github!G$720</f>
        <v>61</v>
      </c>
      <c r="E491" s="10">
        <f>Github!F$720+Github!G$720</f>
        <v>1937</v>
      </c>
      <c r="F491" s="12">
        <f t="shared" si="1"/>
        <v>30.75</v>
      </c>
      <c r="G491" s="10" t="str">
        <f>Github!H$720</f>
        <v>Algorithms</v>
      </c>
      <c r="H491" s="13" t="str">
        <f>SUBSTITUTE(Github!L$720, ";", ", ")</f>
        <v>Array, Two Pointers, Binary Search, Sorting, </v>
      </c>
      <c r="I491" s="10" t="str">
        <f>Github!E$720</f>
        <v>Hard</v>
      </c>
      <c r="J491" s="10" t="str">
        <f>IF(TRIM(Github!D$720)="TRUE","FALSE","TRUE")</f>
        <v>TRUE</v>
      </c>
      <c r="K491" s="10" t="b">
        <f>Github!M$720</f>
        <v>1</v>
      </c>
      <c r="L491" s="10" t="b">
        <f>Github!N$720</f>
        <v>0</v>
      </c>
      <c r="M491" s="10" t="str">
        <f>ROUND(Github!O$720, 2)&amp;"%"</f>
        <v>34.77%</v>
      </c>
      <c r="N491" s="10">
        <f>Github!P$720</f>
        <v>56502</v>
      </c>
      <c r="O491" s="10">
        <f>Github!Q$720</f>
        <v>162501</v>
      </c>
    </row>
    <row r="492">
      <c r="A492" s="10">
        <f>Github!J$816</f>
        <v>815</v>
      </c>
      <c r="B492" s="11" t="str">
        <f>HYPERLINK(CONCAT("http://leetcode.com/problems/",Github!C$816), Github!B$816)</f>
        <v>Bus Routes</v>
      </c>
      <c r="C492" s="10">
        <f>Github!F$816</f>
        <v>1863</v>
      </c>
      <c r="D492" s="10">
        <f>Github!G$816</f>
        <v>49</v>
      </c>
      <c r="E492" s="10">
        <f>Github!F$816+Github!G$816</f>
        <v>1912</v>
      </c>
      <c r="F492" s="12">
        <f t="shared" si="1"/>
        <v>38.02</v>
      </c>
      <c r="G492" s="10" t="str">
        <f>Github!H$816</f>
        <v>Algorithms</v>
      </c>
      <c r="H492" s="13" t="str">
        <f>SUBSTITUTE(Github!L$816, ";", ", ")</f>
        <v>Array, Hash Table, Breadth-First Search, </v>
      </c>
      <c r="I492" s="10" t="str">
        <f>Github!E$816</f>
        <v>Hard</v>
      </c>
      <c r="J492" s="10" t="str">
        <f>IF(TRIM(Github!D$816)="TRUE","FALSE","TRUE")</f>
        <v>TRUE</v>
      </c>
      <c r="K492" s="10" t="b">
        <f>Github!M$816</f>
        <v>1</v>
      </c>
      <c r="L492" s="10" t="b">
        <f>Github!N$816</f>
        <v>0</v>
      </c>
      <c r="M492" s="10" t="str">
        <f>ROUND(Github!O$816, 2)&amp;"%"</f>
        <v>45.07%</v>
      </c>
      <c r="N492" s="10">
        <f>Github!P$816</f>
        <v>78606</v>
      </c>
      <c r="O492" s="10">
        <f>Github!Q$816</f>
        <v>174414</v>
      </c>
    </row>
    <row r="493">
      <c r="A493" s="10">
        <f>Github!J$767</f>
        <v>766</v>
      </c>
      <c r="B493" s="11" t="str">
        <f>HYPERLINK(CONCAT("http://leetcode.com/problems/",Github!C$767), Github!B$767)</f>
        <v>Toeplitz Matrix</v>
      </c>
      <c r="C493" s="10">
        <f>Github!F$767</f>
        <v>1860</v>
      </c>
      <c r="D493" s="10">
        <f>Github!G$767</f>
        <v>117</v>
      </c>
      <c r="E493" s="10">
        <f>Github!F$767+Github!G$767</f>
        <v>1977</v>
      </c>
      <c r="F493" s="12">
        <f t="shared" si="1"/>
        <v>15.9</v>
      </c>
      <c r="G493" s="10" t="str">
        <f>Github!H$767</f>
        <v>Algorithms</v>
      </c>
      <c r="H493" s="13" t="str">
        <f>SUBSTITUTE(Github!L$767, ";", ", ")</f>
        <v>Array, Matrix, </v>
      </c>
      <c r="I493" s="10" t="str">
        <f>Github!E$767</f>
        <v>Easy</v>
      </c>
      <c r="J493" s="10" t="str">
        <f>IF(TRIM(Github!D$767)="TRUE","FALSE","TRUE")</f>
        <v>TRUE</v>
      </c>
      <c r="K493" s="10" t="b">
        <f>Github!M$767</f>
        <v>1</v>
      </c>
      <c r="L493" s="10" t="b">
        <f>Github!N$767</f>
        <v>0</v>
      </c>
      <c r="M493" s="10" t="str">
        <f>ROUND(Github!O$767, 2)&amp;"%"</f>
        <v>67.69%</v>
      </c>
      <c r="N493" s="10">
        <f>Github!P$767</f>
        <v>175964</v>
      </c>
      <c r="O493" s="10">
        <f>Github!Q$767</f>
        <v>259949</v>
      </c>
    </row>
    <row r="494">
      <c r="A494" s="10">
        <f>Github!J$364</f>
        <v>363</v>
      </c>
      <c r="B494" s="11" t="str">
        <f>HYPERLINK(CONCAT("http://leetcode.com/problems/",Github!C$364), Github!B$364)</f>
        <v>Max Sum of Rectangle No Larger Than K</v>
      </c>
      <c r="C494" s="10">
        <f>Github!F$364</f>
        <v>1858</v>
      </c>
      <c r="D494" s="10">
        <f>Github!G$364</f>
        <v>105</v>
      </c>
      <c r="E494" s="10">
        <f>Github!F$364+Github!G$364</f>
        <v>1963</v>
      </c>
      <c r="F494" s="12">
        <f t="shared" si="1"/>
        <v>17.7</v>
      </c>
      <c r="G494" s="10" t="str">
        <f>Github!H$364</f>
        <v>Algorithms</v>
      </c>
      <c r="H494" s="13" t="str">
        <f>SUBSTITUTE(Github!L$364, ";", ", ")</f>
        <v>Array, Binary Search, Dynamic Programming, Matrix, Ordered Set, </v>
      </c>
      <c r="I494" s="10" t="str">
        <f>Github!E$364</f>
        <v>Hard</v>
      </c>
      <c r="J494" s="10" t="str">
        <f>IF(TRIM(Github!D$364)="TRUE","FALSE","TRUE")</f>
        <v>TRUE</v>
      </c>
      <c r="K494" s="10" t="b">
        <f>Github!M$364</f>
        <v>1</v>
      </c>
      <c r="L494" s="10" t="b">
        <f>Github!N$364</f>
        <v>0</v>
      </c>
      <c r="M494" s="10" t="str">
        <f>ROUND(Github!O$364, 2)&amp;"%"</f>
        <v>40.14%</v>
      </c>
      <c r="N494" s="10">
        <f>Github!P$364</f>
        <v>77686</v>
      </c>
      <c r="O494" s="10">
        <f>Github!Q$364</f>
        <v>193519</v>
      </c>
    </row>
    <row r="495">
      <c r="A495" s="10">
        <f>Github!J$689</f>
        <v>688</v>
      </c>
      <c r="B495" s="11" t="str">
        <f>HYPERLINK(CONCAT("http://leetcode.com/problems/",Github!C$689), Github!B$689)</f>
        <v>Knight Probability in Chessboard</v>
      </c>
      <c r="C495" s="10">
        <f>Github!F$689</f>
        <v>1857</v>
      </c>
      <c r="D495" s="10">
        <f>Github!G$689</f>
        <v>285</v>
      </c>
      <c r="E495" s="10">
        <f>Github!F$689+Github!G$689</f>
        <v>2142</v>
      </c>
      <c r="F495" s="12">
        <f t="shared" si="1"/>
        <v>6.52</v>
      </c>
      <c r="G495" s="10" t="str">
        <f>Github!H$689</f>
        <v>Algorithms</v>
      </c>
      <c r="H495" s="13" t="str">
        <f>SUBSTITUTE(Github!L$689, ";", ", ")</f>
        <v>Dynamic Programming, </v>
      </c>
      <c r="I495" s="10" t="str">
        <f>Github!E$689</f>
        <v>Medium</v>
      </c>
      <c r="J495" s="10" t="str">
        <f>IF(TRIM(Github!D$689)="TRUE","FALSE","TRUE")</f>
        <v>TRUE</v>
      </c>
      <c r="K495" s="10" t="b">
        <f>Github!M$689</f>
        <v>1</v>
      </c>
      <c r="L495" s="10" t="b">
        <f>Github!N$689</f>
        <v>0</v>
      </c>
      <c r="M495" s="10" t="str">
        <f>ROUND(Github!O$689, 2)&amp;"%"</f>
        <v>51.49%</v>
      </c>
      <c r="N495" s="10">
        <f>Github!P$689</f>
        <v>77452</v>
      </c>
      <c r="O495" s="10">
        <f>Github!Q$689</f>
        <v>150428</v>
      </c>
    </row>
    <row r="496">
      <c r="A496" s="10">
        <f>Github!J$324</f>
        <v>323</v>
      </c>
      <c r="B496" s="11" t="str">
        <f>HYPERLINK(CONCAT("http://leetcode.com/problems/",Github!C$324), Github!B$324)</f>
        <v>Number of Connected Components in an Undirected Graph</v>
      </c>
      <c r="C496" s="10">
        <f>Github!F$324</f>
        <v>1856</v>
      </c>
      <c r="D496" s="10">
        <f>Github!G$324</f>
        <v>56</v>
      </c>
      <c r="E496" s="10">
        <f>Github!F$324+Github!G$324</f>
        <v>1912</v>
      </c>
      <c r="F496" s="12">
        <f t="shared" si="1"/>
        <v>33.14</v>
      </c>
      <c r="G496" s="10" t="str">
        <f>Github!H$324</f>
        <v>Algorithms</v>
      </c>
      <c r="H496" s="13" t="str">
        <f>SUBSTITUTE(Github!L$324, ";", ", ")</f>
        <v>Depth-First Search, Breadth-First Search, Union Find, Graph, </v>
      </c>
      <c r="I496" s="10" t="str">
        <f>Github!E$324</f>
        <v>Medium</v>
      </c>
      <c r="J496" s="10" t="str">
        <f>IF(TRIM(Github!D$324)="TRUE","FALSE","TRUE")</f>
        <v>FALSE</v>
      </c>
      <c r="K496" s="10" t="b">
        <f>Github!M$324</f>
        <v>1</v>
      </c>
      <c r="L496" s="10" t="b">
        <f>Github!N$324</f>
        <v>1</v>
      </c>
      <c r="M496" s="10" t="str">
        <f>ROUND(Github!O$324, 2)&amp;"%"</f>
        <v>60.78%</v>
      </c>
      <c r="N496" s="10">
        <f>Github!P$324</f>
        <v>234337</v>
      </c>
      <c r="O496" s="10">
        <f>Github!Q$324</f>
        <v>385518</v>
      </c>
    </row>
    <row r="497">
      <c r="A497" s="10">
        <f>Github!J$866</f>
        <v>865</v>
      </c>
      <c r="B497" s="11" t="str">
        <f>HYPERLINK(CONCAT("http://leetcode.com/problems/",Github!C$866), Github!B$866)</f>
        <v>Smallest Subtree with all the Deepest Nodes</v>
      </c>
      <c r="C497" s="10">
        <f>Github!F$866</f>
        <v>1851</v>
      </c>
      <c r="D497" s="10">
        <f>Github!G$866</f>
        <v>321</v>
      </c>
      <c r="E497" s="10">
        <f>Github!F$866+Github!G$866</f>
        <v>2172</v>
      </c>
      <c r="F497" s="12">
        <f t="shared" si="1"/>
        <v>5.77</v>
      </c>
      <c r="G497" s="10" t="str">
        <f>Github!H$866</f>
        <v>Algorithms</v>
      </c>
      <c r="H497" s="13" t="str">
        <f>SUBSTITUTE(Github!L$866, ";", ", ")</f>
        <v>Hash Table, Tree, Depth-First Search, Breadth-First Search, Binary Tree, </v>
      </c>
      <c r="I497" s="10" t="str">
        <f>Github!E$866</f>
        <v>Medium</v>
      </c>
      <c r="J497" s="10" t="str">
        <f>IF(TRIM(Github!D$866)="TRUE","FALSE","TRUE")</f>
        <v>TRUE</v>
      </c>
      <c r="K497" s="10" t="b">
        <f>Github!M$866</f>
        <v>1</v>
      </c>
      <c r="L497" s="10" t="b">
        <f>Github!N$866</f>
        <v>0</v>
      </c>
      <c r="M497" s="10" t="str">
        <f>ROUND(Github!O$866, 2)&amp;"%"</f>
        <v>67.61%</v>
      </c>
      <c r="N497" s="10">
        <f>Github!P$866</f>
        <v>98819</v>
      </c>
      <c r="O497" s="10">
        <f>Github!Q$866</f>
        <v>146170</v>
      </c>
    </row>
    <row r="498">
      <c r="A498" s="10">
        <f>Github!J$1464</f>
        <v>1463</v>
      </c>
      <c r="B498" s="11" t="str">
        <f>HYPERLINK(CONCAT("http://leetcode.com/problems/",Github!C$1464), Github!B$1464)</f>
        <v>Cherry Pickup II</v>
      </c>
      <c r="C498" s="10">
        <f>Github!F$1464</f>
        <v>1849</v>
      </c>
      <c r="D498" s="10">
        <f>Github!G$1464</f>
        <v>18</v>
      </c>
      <c r="E498" s="10">
        <f>Github!F$1464+Github!G$1464</f>
        <v>1867</v>
      </c>
      <c r="F498" s="12">
        <f t="shared" si="1"/>
        <v>102.72</v>
      </c>
      <c r="G498" s="10" t="str">
        <f>Github!H$1464</f>
        <v>Algorithms</v>
      </c>
      <c r="H498" s="13" t="str">
        <f>SUBSTITUTE(Github!L$1464, ";", ", ")</f>
        <v>Array, Dynamic Programming, Matrix, </v>
      </c>
      <c r="I498" s="10" t="str">
        <f>Github!E$1464</f>
        <v>Hard</v>
      </c>
      <c r="J498" s="10" t="str">
        <f>IF(TRIM(Github!D$1464)="TRUE","FALSE","TRUE")</f>
        <v>TRUE</v>
      </c>
      <c r="K498" s="10" t="b">
        <f>Github!M$1464</f>
        <v>1</v>
      </c>
      <c r="L498" s="10" t="b">
        <f>Github!N$1464</f>
        <v>0</v>
      </c>
      <c r="M498" s="10" t="str">
        <f>ROUND(Github!O$1464, 2)&amp;"%"</f>
        <v>70.86%</v>
      </c>
      <c r="N498" s="10">
        <f>Github!P$1464</f>
        <v>56167</v>
      </c>
      <c r="O498" s="10">
        <f>Github!Q$1464</f>
        <v>79262</v>
      </c>
    </row>
    <row r="499">
      <c r="A499" s="10">
        <f>Github!J$631</f>
        <v>630</v>
      </c>
      <c r="B499" s="11" t="str">
        <f>HYPERLINK(CONCAT("http://leetcode.com/problems/",Github!C$631), Github!B$631)</f>
        <v>Course Schedule III</v>
      </c>
      <c r="C499" s="10">
        <f>Github!F$631</f>
        <v>1846</v>
      </c>
      <c r="D499" s="10">
        <f>Github!G$631</f>
        <v>53</v>
      </c>
      <c r="E499" s="10">
        <f>Github!F$631+Github!G$631</f>
        <v>1899</v>
      </c>
      <c r="F499" s="12">
        <f t="shared" si="1"/>
        <v>34.83</v>
      </c>
      <c r="G499" s="10" t="str">
        <f>Github!H$631</f>
        <v>Algorithms</v>
      </c>
      <c r="H499" s="13" t="str">
        <f>SUBSTITUTE(Github!L$631, ";", ", ")</f>
        <v>Array, Greedy, Heap (Priority Queue), </v>
      </c>
      <c r="I499" s="10" t="str">
        <f>Github!E$631</f>
        <v>Hard</v>
      </c>
      <c r="J499" s="10" t="str">
        <f>IF(TRIM(Github!D$631)="TRUE","FALSE","TRUE")</f>
        <v>TRUE</v>
      </c>
      <c r="K499" s="10" t="b">
        <f>Github!M$631</f>
        <v>1</v>
      </c>
      <c r="L499" s="10" t="b">
        <f>Github!N$631</f>
        <v>0</v>
      </c>
      <c r="M499" s="10" t="str">
        <f>ROUND(Github!O$631, 2)&amp;"%"</f>
        <v>35.62%</v>
      </c>
      <c r="N499" s="10">
        <f>Github!P$631</f>
        <v>54908</v>
      </c>
      <c r="O499" s="10">
        <f>Github!Q$631</f>
        <v>154142</v>
      </c>
    </row>
    <row r="500">
      <c r="A500" s="10">
        <f>Github!J$188</f>
        <v>187</v>
      </c>
      <c r="B500" s="11" t="str">
        <f>HYPERLINK(CONCAT("http://leetcode.com/problems/",Github!C$188), Github!B$188)</f>
        <v>Repeated DNA Sequences</v>
      </c>
      <c r="C500" s="10">
        <f>Github!F$188</f>
        <v>1846</v>
      </c>
      <c r="D500" s="10">
        <f>Github!G$188</f>
        <v>399</v>
      </c>
      <c r="E500" s="10">
        <f>Github!F$188+Github!G$188</f>
        <v>2245</v>
      </c>
      <c r="F500" s="12">
        <f t="shared" si="1"/>
        <v>4.63</v>
      </c>
      <c r="G500" s="10" t="str">
        <f>Github!H$188</f>
        <v>Algorithms</v>
      </c>
      <c r="H500" s="13" t="str">
        <f>SUBSTITUTE(Github!L$188, ";", ", ")</f>
        <v>Hash Table, String, Bit Manipulation, Sliding Window, Rolling Hash, Hash Function, </v>
      </c>
      <c r="I500" s="10" t="str">
        <f>Github!E$188</f>
        <v>Medium</v>
      </c>
      <c r="J500" s="10" t="str">
        <f>IF(TRIM(Github!D$188)="TRUE","FALSE","TRUE")</f>
        <v>TRUE</v>
      </c>
      <c r="K500" s="10" t="b">
        <f>Github!M$188</f>
        <v>1</v>
      </c>
      <c r="L500" s="10" t="b">
        <f>Github!N$188</f>
        <v>0</v>
      </c>
      <c r="M500" s="10" t="str">
        <f>ROUND(Github!O$188, 2)&amp;"%"</f>
        <v>44.25%</v>
      </c>
      <c r="N500" s="10">
        <f>Github!P$188</f>
        <v>254624</v>
      </c>
      <c r="O500" s="10">
        <f>Github!Q$188</f>
        <v>575386</v>
      </c>
    </row>
    <row r="501">
      <c r="A501" s="10">
        <f>Github!J$304</f>
        <v>303</v>
      </c>
      <c r="B501" s="11" t="str">
        <f>HYPERLINK(CONCAT("http://leetcode.com/problems/",Github!C$304), Github!B$304)</f>
        <v>Range Sum Query - Immutable</v>
      </c>
      <c r="C501" s="10">
        <f>Github!F$304</f>
        <v>1845</v>
      </c>
      <c r="D501" s="10">
        <f>Github!G$304</f>
        <v>1611</v>
      </c>
      <c r="E501" s="10">
        <f>Github!F$304+Github!G$304</f>
        <v>3456</v>
      </c>
      <c r="F501" s="12">
        <f t="shared" si="1"/>
        <v>1.15</v>
      </c>
      <c r="G501" s="10" t="str">
        <f>Github!H$304</f>
        <v>Algorithms</v>
      </c>
      <c r="H501" s="13" t="str">
        <f>SUBSTITUTE(Github!L$304, ";", ", ")</f>
        <v>Array, Design, Prefix Sum, </v>
      </c>
      <c r="I501" s="10" t="str">
        <f>Github!E$304</f>
        <v>Easy</v>
      </c>
      <c r="J501" s="10" t="str">
        <f>IF(TRIM(Github!D$304)="TRUE","FALSE","TRUE")</f>
        <v>TRUE</v>
      </c>
      <c r="K501" s="10" t="b">
        <f>Github!M$304</f>
        <v>1</v>
      </c>
      <c r="L501" s="10" t="b">
        <f>Github!N$304</f>
        <v>0</v>
      </c>
      <c r="M501" s="10" t="str">
        <f>ROUND(Github!O$304, 2)&amp;"%"</f>
        <v>54.61%</v>
      </c>
      <c r="N501" s="10">
        <f>Github!P$304</f>
        <v>336935</v>
      </c>
      <c r="O501" s="10">
        <f>Github!Q$304</f>
        <v>616949</v>
      </c>
    </row>
    <row r="502">
      <c r="A502" s="10">
        <f>Github!J$803</f>
        <v>802</v>
      </c>
      <c r="B502" s="11" t="str">
        <f>HYPERLINK(CONCAT("http://leetcode.com/problems/",Github!C$803), Github!B$803)</f>
        <v>Find Eventual Safe States</v>
      </c>
      <c r="C502" s="10">
        <f>Github!F$803</f>
        <v>1847</v>
      </c>
      <c r="D502" s="10">
        <f>Github!G$803</f>
        <v>305</v>
      </c>
      <c r="E502" s="10">
        <f>Github!F$803+Github!G$803</f>
        <v>2152</v>
      </c>
      <c r="F502" s="12">
        <f t="shared" si="1"/>
        <v>6.06</v>
      </c>
      <c r="G502" s="10" t="str">
        <f>Github!H$803</f>
        <v>Algorithms</v>
      </c>
      <c r="H502" s="13" t="str">
        <f>SUBSTITUTE(Github!L$803, ";", ", ")</f>
        <v>Depth-First Search, Breadth-First Search, Graph, Topological Sort, </v>
      </c>
      <c r="I502" s="10" t="str">
        <f>Github!E$803</f>
        <v>Medium</v>
      </c>
      <c r="J502" s="10" t="str">
        <f>IF(TRIM(Github!D$803)="TRUE","FALSE","TRUE")</f>
        <v>TRUE</v>
      </c>
      <c r="K502" s="10" t="b">
        <f>Github!M$803</f>
        <v>1</v>
      </c>
      <c r="L502" s="10" t="b">
        <f>Github!N$803</f>
        <v>0</v>
      </c>
      <c r="M502" s="10" t="str">
        <f>ROUND(Github!O$803, 2)&amp;"%"</f>
        <v>52.06%</v>
      </c>
      <c r="N502" s="10">
        <f>Github!P$803</f>
        <v>72081</v>
      </c>
      <c r="O502" s="10">
        <f>Github!Q$803</f>
        <v>138450</v>
      </c>
    </row>
    <row r="503">
      <c r="A503" s="10">
        <f>Github!J$1289</f>
        <v>1288</v>
      </c>
      <c r="B503" s="11" t="str">
        <f>HYPERLINK(CONCAT("http://leetcode.com/problems/",Github!C$1289), Github!B$1289)</f>
        <v>Remove Covered Intervals</v>
      </c>
      <c r="C503" s="10">
        <f>Github!F$1289</f>
        <v>1829</v>
      </c>
      <c r="D503" s="10">
        <f>Github!G$1289</f>
        <v>44</v>
      </c>
      <c r="E503" s="10">
        <f>Github!F$1289+Github!G$1289</f>
        <v>1873</v>
      </c>
      <c r="F503" s="12">
        <f t="shared" si="1"/>
        <v>41.57</v>
      </c>
      <c r="G503" s="10" t="str">
        <f>Github!H$1289</f>
        <v>Algorithms</v>
      </c>
      <c r="H503" s="13" t="str">
        <f>SUBSTITUTE(Github!L$1289, ";", ", ")</f>
        <v>Array, Sorting, </v>
      </c>
      <c r="I503" s="10" t="str">
        <f>Github!E$1289</f>
        <v>Medium</v>
      </c>
      <c r="J503" s="10" t="str">
        <f>IF(TRIM(Github!D$1289)="TRUE","FALSE","TRUE")</f>
        <v>TRUE</v>
      </c>
      <c r="K503" s="10" t="b">
        <f>Github!M$1289</f>
        <v>1</v>
      </c>
      <c r="L503" s="10" t="b">
        <f>Github!N$1289</f>
        <v>0</v>
      </c>
      <c r="M503" s="10" t="str">
        <f>ROUND(Github!O$1289, 2)&amp;"%"</f>
        <v>57.4%</v>
      </c>
      <c r="N503" s="10">
        <f>Github!P$1289</f>
        <v>93945</v>
      </c>
      <c r="O503" s="10">
        <f>Github!Q$1289</f>
        <v>163668</v>
      </c>
    </row>
    <row r="504">
      <c r="A504" s="10">
        <f>Github!J$959</f>
        <v>958</v>
      </c>
      <c r="B504" s="11" t="str">
        <f>HYPERLINK(CONCAT("http://leetcode.com/problems/",Github!C$959), Github!B$959)</f>
        <v>Check Completeness of a Binary Tree</v>
      </c>
      <c r="C504" s="10">
        <f>Github!F$959</f>
        <v>1828</v>
      </c>
      <c r="D504" s="10">
        <f>Github!G$959</f>
        <v>27</v>
      </c>
      <c r="E504" s="10">
        <f>Github!F$959+Github!G$959</f>
        <v>1855</v>
      </c>
      <c r="F504" s="12">
        <f t="shared" si="1"/>
        <v>67.7</v>
      </c>
      <c r="G504" s="10" t="str">
        <f>Github!H$959</f>
        <v>Algorithms</v>
      </c>
      <c r="H504" s="13" t="str">
        <f>SUBSTITUTE(Github!L$959, ";", ", ")</f>
        <v>Tree, Breadth-First Search, Binary Tree, </v>
      </c>
      <c r="I504" s="10" t="str">
        <f>Github!E$959</f>
        <v>Medium</v>
      </c>
      <c r="J504" s="10" t="str">
        <f>IF(TRIM(Github!D$959)="TRUE","FALSE","TRUE")</f>
        <v>TRUE</v>
      </c>
      <c r="K504" s="10" t="b">
        <f>Github!M$959</f>
        <v>0</v>
      </c>
      <c r="L504" s="10" t="b">
        <f>Github!N$959</f>
        <v>0</v>
      </c>
      <c r="M504" s="10" t="str">
        <f>ROUND(Github!O$959, 2)&amp;"%"</f>
        <v>53.51%</v>
      </c>
      <c r="N504" s="10">
        <f>Github!P$959</f>
        <v>110665</v>
      </c>
      <c r="O504" s="10">
        <f>Github!Q$959</f>
        <v>206800</v>
      </c>
    </row>
    <row r="505">
      <c r="A505" s="10">
        <f>Github!J$713</f>
        <v>712</v>
      </c>
      <c r="B505" s="11" t="str">
        <f>HYPERLINK(CONCAT("http://leetcode.com/problems/",Github!C$713), Github!B$713)</f>
        <v>Minimum ASCII Delete Sum for Two Strings</v>
      </c>
      <c r="C505" s="10">
        <f>Github!F$713</f>
        <v>1827</v>
      </c>
      <c r="D505" s="10">
        <f>Github!G$713</f>
        <v>61</v>
      </c>
      <c r="E505" s="10">
        <f>Github!F$713+Github!G$713</f>
        <v>1888</v>
      </c>
      <c r="F505" s="12">
        <f t="shared" si="1"/>
        <v>29.95</v>
      </c>
      <c r="G505" s="10" t="str">
        <f>Github!H$713</f>
        <v>Algorithms</v>
      </c>
      <c r="H505" s="13" t="str">
        <f>SUBSTITUTE(Github!L$713, ";", ", ")</f>
        <v>String, Dynamic Programming, </v>
      </c>
      <c r="I505" s="10" t="str">
        <f>Github!E$713</f>
        <v>Medium</v>
      </c>
      <c r="J505" s="10" t="str">
        <f>IF(TRIM(Github!D$713)="TRUE","FALSE","TRUE")</f>
        <v>TRUE</v>
      </c>
      <c r="K505" s="10" t="b">
        <f>Github!M$713</f>
        <v>1</v>
      </c>
      <c r="L505" s="10" t="b">
        <f>Github!N$713</f>
        <v>0</v>
      </c>
      <c r="M505" s="10" t="str">
        <f>ROUND(Github!O$713, 2)&amp;"%"</f>
        <v>61.36%</v>
      </c>
      <c r="N505" s="10">
        <f>Github!P$713</f>
        <v>59775</v>
      </c>
      <c r="O505" s="10">
        <f>Github!Q$713</f>
        <v>97418</v>
      </c>
    </row>
    <row r="506">
      <c r="A506" s="10">
        <f>Github!J$730</f>
        <v>729</v>
      </c>
      <c r="B506" s="11" t="str">
        <f>HYPERLINK(CONCAT("http://leetcode.com/problems/",Github!C$730), Github!B$730)</f>
        <v>My Calendar I</v>
      </c>
      <c r="C506" s="10">
        <f>Github!F$730</f>
        <v>1826</v>
      </c>
      <c r="D506" s="10">
        <f>Github!G$730</f>
        <v>56</v>
      </c>
      <c r="E506" s="10">
        <f>Github!F$730+Github!G$730</f>
        <v>1882</v>
      </c>
      <c r="F506" s="12">
        <f t="shared" si="1"/>
        <v>32.61</v>
      </c>
      <c r="G506" s="10" t="str">
        <f>Github!H$730</f>
        <v>Algorithms</v>
      </c>
      <c r="H506" s="13" t="str">
        <f>SUBSTITUTE(Github!L$730, ";", ", ")</f>
        <v>Design, Segment Tree, Ordered Set, </v>
      </c>
      <c r="I506" s="10" t="str">
        <f>Github!E$730</f>
        <v>Medium</v>
      </c>
      <c r="J506" s="10" t="str">
        <f>IF(TRIM(Github!D$730)="TRUE","FALSE","TRUE")</f>
        <v>TRUE</v>
      </c>
      <c r="K506" s="10" t="b">
        <f>Github!M$730</f>
        <v>1</v>
      </c>
      <c r="L506" s="10" t="b">
        <f>Github!N$730</f>
        <v>0</v>
      </c>
      <c r="M506" s="10" t="str">
        <f>ROUND(Github!O$730, 2)&amp;"%"</f>
        <v>55.01%</v>
      </c>
      <c r="N506" s="10">
        <f>Github!P$730</f>
        <v>141184</v>
      </c>
      <c r="O506" s="10">
        <f>Github!Q$730</f>
        <v>256670</v>
      </c>
    </row>
    <row r="507">
      <c r="A507" s="10">
        <f>Github!J$927</f>
        <v>926</v>
      </c>
      <c r="B507" s="11" t="str">
        <f>HYPERLINK(CONCAT("http://leetcode.com/problems/",Github!C$927), Github!B$927)</f>
        <v>Flip String to Monotone Increasing</v>
      </c>
      <c r="C507" s="10">
        <f>Github!F$927</f>
        <v>1827</v>
      </c>
      <c r="D507" s="10">
        <f>Github!G$927</f>
        <v>74</v>
      </c>
      <c r="E507" s="10">
        <f>Github!F$927+Github!G$927</f>
        <v>1901</v>
      </c>
      <c r="F507" s="12">
        <f t="shared" si="1"/>
        <v>24.69</v>
      </c>
      <c r="G507" s="10" t="str">
        <f>Github!H$927</f>
        <v>Algorithms</v>
      </c>
      <c r="H507" s="13" t="str">
        <f>SUBSTITUTE(Github!L$927, ";", ", ")</f>
        <v>String, Dynamic Programming, </v>
      </c>
      <c r="I507" s="10" t="str">
        <f>Github!E$927</f>
        <v>Medium</v>
      </c>
      <c r="J507" s="10" t="str">
        <f>IF(TRIM(Github!D$927)="TRUE","FALSE","TRUE")</f>
        <v>TRUE</v>
      </c>
      <c r="K507" s="10" t="b">
        <f>Github!M$927</f>
        <v>1</v>
      </c>
      <c r="L507" s="10" t="b">
        <f>Github!N$927</f>
        <v>0</v>
      </c>
      <c r="M507" s="10" t="str">
        <f>ROUND(Github!O$927, 2)&amp;"%"</f>
        <v>58.35%</v>
      </c>
      <c r="N507" s="10">
        <f>Github!P$927</f>
        <v>81557</v>
      </c>
      <c r="O507" s="10">
        <f>Github!Q$927</f>
        <v>139769</v>
      </c>
    </row>
    <row r="508">
      <c r="A508" s="10">
        <f>Github!J$31</f>
        <v>30</v>
      </c>
      <c r="B508" s="11" t="str">
        <f>HYPERLINK(CONCAT("http://leetcode.com/problems/",Github!C$31), Github!B$31)</f>
        <v>Substring with Concatenation of All Words</v>
      </c>
      <c r="C508" s="10">
        <f>Github!F$31</f>
        <v>1812</v>
      </c>
      <c r="D508" s="10">
        <f>Github!G$31</f>
        <v>1798</v>
      </c>
      <c r="E508" s="10">
        <f>Github!F$31+Github!G$31</f>
        <v>3610</v>
      </c>
      <c r="F508" s="12">
        <f t="shared" si="1"/>
        <v>1.01</v>
      </c>
      <c r="G508" s="10" t="str">
        <f>Github!H$31</f>
        <v>Algorithms</v>
      </c>
      <c r="H508" s="13" t="str">
        <f>SUBSTITUTE(Github!L$31, ";", ", ")</f>
        <v>Hash Table, String, Sliding Window, </v>
      </c>
      <c r="I508" s="10" t="str">
        <f>Github!E$31</f>
        <v>Hard</v>
      </c>
      <c r="J508" s="10" t="str">
        <f>IF(TRIM(Github!D$31)="TRUE","FALSE","TRUE")</f>
        <v>TRUE</v>
      </c>
      <c r="K508" s="10" t="b">
        <f>Github!M$31</f>
        <v>1</v>
      </c>
      <c r="L508" s="10" t="b">
        <f>Github!N$31</f>
        <v>0</v>
      </c>
      <c r="M508" s="10" t="str">
        <f>ROUND(Github!O$31, 2)&amp;"%"</f>
        <v>27.87%</v>
      </c>
      <c r="N508" s="10">
        <f>Github!P$31</f>
        <v>245286</v>
      </c>
      <c r="O508" s="10">
        <f>Github!Q$31</f>
        <v>880041</v>
      </c>
    </row>
    <row r="509">
      <c r="A509" s="10">
        <f>Github!J$566</f>
        <v>565</v>
      </c>
      <c r="B509" s="11" t="str">
        <f>HYPERLINK(CONCAT("http://leetcode.com/problems/",Github!C$566), Github!B$566)</f>
        <v>Array Nesting</v>
      </c>
      <c r="C509" s="10">
        <f>Github!F$566</f>
        <v>1808</v>
      </c>
      <c r="D509" s="10">
        <f>Github!G$566</f>
        <v>138</v>
      </c>
      <c r="E509" s="10">
        <f>Github!F$566+Github!G$566</f>
        <v>1946</v>
      </c>
      <c r="F509" s="12">
        <f t="shared" si="1"/>
        <v>13.1</v>
      </c>
      <c r="G509" s="10" t="str">
        <f>Github!H$566</f>
        <v>Algorithms</v>
      </c>
      <c r="H509" s="13" t="str">
        <f>SUBSTITUTE(Github!L$566, ";", ", ")</f>
        <v>Array, Depth-First Search, </v>
      </c>
      <c r="I509" s="10" t="str">
        <f>Github!E$566</f>
        <v>Medium</v>
      </c>
      <c r="J509" s="10" t="str">
        <f>IF(TRIM(Github!D$566)="TRUE","FALSE","TRUE")</f>
        <v>TRUE</v>
      </c>
      <c r="K509" s="10" t="b">
        <f>Github!M$566</f>
        <v>1</v>
      </c>
      <c r="L509" s="10" t="b">
        <f>Github!N$566</f>
        <v>0</v>
      </c>
      <c r="M509" s="10" t="str">
        <f>ROUND(Github!O$566, 2)&amp;"%"</f>
        <v>56.25%</v>
      </c>
      <c r="N509" s="10">
        <f>Github!P$566</f>
        <v>111592</v>
      </c>
      <c r="O509" s="10">
        <f>Github!Q$566</f>
        <v>198391</v>
      </c>
    </row>
    <row r="510">
      <c r="A510" s="10">
        <f>Github!J$1396</f>
        <v>1395</v>
      </c>
      <c r="B510" s="11" t="str">
        <f>HYPERLINK(CONCAT("http://leetcode.com/problems/",Github!C$1396), Github!B$1396)</f>
        <v>Count Number of Teams</v>
      </c>
      <c r="C510" s="10">
        <f>Github!F$1396</f>
        <v>1799</v>
      </c>
      <c r="D510" s="10">
        <f>Github!G$1396</f>
        <v>158</v>
      </c>
      <c r="E510" s="10">
        <f>Github!F$1396+Github!G$1396</f>
        <v>1957</v>
      </c>
      <c r="F510" s="12">
        <f t="shared" si="1"/>
        <v>11.39</v>
      </c>
      <c r="G510" s="10" t="str">
        <f>Github!H$1396</f>
        <v>Algorithms</v>
      </c>
      <c r="H510" s="13" t="str">
        <f>SUBSTITUTE(Github!L$1396, ";", ", ")</f>
        <v>Array, Dynamic Programming, Binary Indexed Tree, </v>
      </c>
      <c r="I510" s="10" t="str">
        <f>Github!E$1396</f>
        <v>Medium</v>
      </c>
      <c r="J510" s="10" t="str">
        <f>IF(TRIM(Github!D$1396)="TRUE","FALSE","TRUE")</f>
        <v>TRUE</v>
      </c>
      <c r="K510" s="10" t="b">
        <f>Github!M$1396</f>
        <v>0</v>
      </c>
      <c r="L510" s="10" t="b">
        <f>Github!N$1396</f>
        <v>0</v>
      </c>
      <c r="M510" s="10" t="str">
        <f>ROUND(Github!O$1396, 2)&amp;"%"</f>
        <v>69.7%</v>
      </c>
      <c r="N510" s="10">
        <f>Github!P$1396</f>
        <v>83191</v>
      </c>
      <c r="O510" s="10">
        <f>Github!Q$1396</f>
        <v>119355</v>
      </c>
    </row>
    <row r="511">
      <c r="A511" s="10">
        <f>Github!J$882</f>
        <v>881</v>
      </c>
      <c r="B511" s="11" t="str">
        <f>HYPERLINK(CONCAT("http://leetcode.com/problems/",Github!C$882), Github!B$882)</f>
        <v>Boats to Save People</v>
      </c>
      <c r="C511" s="10">
        <f>Github!F$882</f>
        <v>1794</v>
      </c>
      <c r="D511" s="10">
        <f>Github!G$882</f>
        <v>53</v>
      </c>
      <c r="E511" s="10">
        <f>Github!F$882+Github!G$882</f>
        <v>1847</v>
      </c>
      <c r="F511" s="12">
        <f t="shared" si="1"/>
        <v>33.85</v>
      </c>
      <c r="G511" s="10" t="str">
        <f>Github!H$882</f>
        <v>Algorithms</v>
      </c>
      <c r="H511" s="13" t="str">
        <f>SUBSTITUTE(Github!L$882, ";", ", ")</f>
        <v>Array, Two Pointers, Greedy, Sorting, </v>
      </c>
      <c r="I511" s="10" t="str">
        <f>Github!E$882</f>
        <v>Medium</v>
      </c>
      <c r="J511" s="10" t="str">
        <f>IF(TRIM(Github!D$882)="TRUE","FALSE","TRUE")</f>
        <v>TRUE</v>
      </c>
      <c r="K511" s="10" t="b">
        <f>Github!M$882</f>
        <v>1</v>
      </c>
      <c r="L511" s="10" t="b">
        <f>Github!N$882</f>
        <v>0</v>
      </c>
      <c r="M511" s="10" t="str">
        <f>ROUND(Github!O$882, 2)&amp;"%"</f>
        <v>49.92%</v>
      </c>
      <c r="N511" s="10">
        <f>Github!P$882</f>
        <v>93698</v>
      </c>
      <c r="O511" s="10">
        <f>Github!Q$882</f>
        <v>187700</v>
      </c>
    </row>
    <row r="512">
      <c r="A512" s="10">
        <f>Github!J$176</f>
        <v>175</v>
      </c>
      <c r="B512" s="11" t="str">
        <f>HYPERLINK(CONCAT("http://leetcode.com/problems/",Github!C$176), Github!B$176)</f>
        <v>Combine Two Tables</v>
      </c>
      <c r="C512" s="10">
        <f>Github!F$176</f>
        <v>1790</v>
      </c>
      <c r="D512" s="10">
        <f>Github!G$176</f>
        <v>183</v>
      </c>
      <c r="E512" s="10">
        <f>Github!F$176+Github!G$176</f>
        <v>1973</v>
      </c>
      <c r="F512" s="12">
        <f t="shared" si="1"/>
        <v>9.78</v>
      </c>
      <c r="G512" s="10" t="str">
        <f>Github!H$176</f>
        <v>Database</v>
      </c>
      <c r="H512" s="13" t="str">
        <f>SUBSTITUTE(Github!L$176, ";", ", ")</f>
        <v>Database, </v>
      </c>
      <c r="I512" s="10" t="str">
        <f>Github!E$176</f>
        <v>Easy</v>
      </c>
      <c r="J512" s="10" t="str">
        <f>IF(TRIM(Github!D$176)="TRUE","FALSE","TRUE")</f>
        <v>TRUE</v>
      </c>
      <c r="K512" s="10" t="b">
        <f>Github!M$176</f>
        <v>1</v>
      </c>
      <c r="L512" s="10" t="b">
        <f>Github!N$176</f>
        <v>0</v>
      </c>
      <c r="M512" s="10" t="str">
        <f>ROUND(Github!O$176, 2)&amp;"%"</f>
        <v>69.45%</v>
      </c>
      <c r="N512" s="10">
        <f>Github!P$176</f>
        <v>502896</v>
      </c>
      <c r="O512" s="10">
        <f>Github!Q$176</f>
        <v>724092</v>
      </c>
    </row>
    <row r="513">
      <c r="A513" s="10">
        <f>Github!J$473</f>
        <v>472</v>
      </c>
      <c r="B513" s="11" t="str">
        <f>HYPERLINK(CONCAT("http://leetcode.com/problems/",Github!C$473), Github!B$473)</f>
        <v>Concatenated Words</v>
      </c>
      <c r="C513" s="10">
        <f>Github!F$473</f>
        <v>1788</v>
      </c>
      <c r="D513" s="10">
        <f>Github!G$473</f>
        <v>208</v>
      </c>
      <c r="E513" s="10">
        <f>Github!F$473+Github!G$473</f>
        <v>1996</v>
      </c>
      <c r="F513" s="12">
        <f t="shared" si="1"/>
        <v>8.6</v>
      </c>
      <c r="G513" s="10" t="str">
        <f>Github!H$473</f>
        <v>Algorithms</v>
      </c>
      <c r="H513" s="13" t="str">
        <f>SUBSTITUTE(Github!L$473, ";", ", ")</f>
        <v>Array, String, Dynamic Programming, Depth-First Search, Trie, </v>
      </c>
      <c r="I513" s="10" t="str">
        <f>Github!E$473</f>
        <v>Hard</v>
      </c>
      <c r="J513" s="10" t="str">
        <f>IF(TRIM(Github!D$473)="TRUE","FALSE","TRUE")</f>
        <v>TRUE</v>
      </c>
      <c r="K513" s="10" t="b">
        <f>Github!M$473</f>
        <v>0</v>
      </c>
      <c r="L513" s="10" t="b">
        <f>Github!N$473</f>
        <v>0</v>
      </c>
      <c r="M513" s="10" t="str">
        <f>ROUND(Github!O$473, 2)&amp;"%"</f>
        <v>42.47%</v>
      </c>
      <c r="N513" s="10">
        <f>Github!P$473</f>
        <v>124459</v>
      </c>
      <c r="O513" s="10">
        <f>Github!Q$473</f>
        <v>293037</v>
      </c>
    </row>
    <row r="514">
      <c r="A514" s="10">
        <f>Github!J$846</f>
        <v>845</v>
      </c>
      <c r="B514" s="11" t="str">
        <f>HYPERLINK(CONCAT("http://leetcode.com/problems/",Github!C$846), Github!B$846)</f>
        <v>Longest Mountain in Array</v>
      </c>
      <c r="C514" s="10">
        <f>Github!F$846</f>
        <v>1790</v>
      </c>
      <c r="D514" s="10">
        <f>Github!G$846</f>
        <v>55</v>
      </c>
      <c r="E514" s="10">
        <f>Github!F$846+Github!G$846</f>
        <v>1845</v>
      </c>
      <c r="F514" s="12">
        <f t="shared" si="1"/>
        <v>32.55</v>
      </c>
      <c r="G514" s="10" t="str">
        <f>Github!H$846</f>
        <v>Algorithms</v>
      </c>
      <c r="H514" s="13" t="str">
        <f>SUBSTITUTE(Github!L$846, ";", ", ")</f>
        <v>Array, Two Pointers, Dynamic Programming, Enumeration, </v>
      </c>
      <c r="I514" s="10" t="str">
        <f>Github!E$846</f>
        <v>Medium</v>
      </c>
      <c r="J514" s="10" t="str">
        <f>IF(TRIM(Github!D$846)="TRUE","FALSE","TRUE")</f>
        <v>TRUE</v>
      </c>
      <c r="K514" s="10" t="b">
        <f>Github!M$846</f>
        <v>1</v>
      </c>
      <c r="L514" s="10" t="b">
        <f>Github!N$846</f>
        <v>0</v>
      </c>
      <c r="M514" s="10" t="str">
        <f>ROUND(Github!O$846, 2)&amp;"%"</f>
        <v>39.71%</v>
      </c>
      <c r="N514" s="10">
        <f>Github!P$846</f>
        <v>86958</v>
      </c>
      <c r="O514" s="10">
        <f>Github!Q$846</f>
        <v>218962</v>
      </c>
    </row>
    <row r="515">
      <c r="A515" s="10">
        <f>Github!J$779</f>
        <v>778</v>
      </c>
      <c r="B515" s="11" t="str">
        <f>HYPERLINK(CONCAT("http://leetcode.com/problems/",Github!C$779), Github!B$779)</f>
        <v>Swim in Rising Water</v>
      </c>
      <c r="C515" s="10">
        <f>Github!F$779</f>
        <v>1785</v>
      </c>
      <c r="D515" s="10">
        <f>Github!G$779</f>
        <v>127</v>
      </c>
      <c r="E515" s="10">
        <f>Github!F$779+Github!G$779</f>
        <v>1912</v>
      </c>
      <c r="F515" s="12">
        <f t="shared" si="1"/>
        <v>14.06</v>
      </c>
      <c r="G515" s="10" t="str">
        <f>Github!H$779</f>
        <v>Algorithms</v>
      </c>
      <c r="H515" s="13" t="str">
        <f>SUBSTITUTE(Github!L$779, ";", ", ")</f>
        <v>Array, Binary Search, Depth-First Search, Breadth-First Search, Union Find, Heap (Priority Queue), Matrix, </v>
      </c>
      <c r="I515" s="10" t="str">
        <f>Github!E$779</f>
        <v>Hard</v>
      </c>
      <c r="J515" s="10" t="str">
        <f>IF(TRIM(Github!D$779)="TRUE","FALSE","TRUE")</f>
        <v>TRUE</v>
      </c>
      <c r="K515" s="10" t="b">
        <f>Github!M$779</f>
        <v>1</v>
      </c>
      <c r="L515" s="10" t="b">
        <f>Github!N$779</f>
        <v>0</v>
      </c>
      <c r="M515" s="10" t="str">
        <f>ROUND(Github!O$779, 2)&amp;"%"</f>
        <v>58.44%</v>
      </c>
      <c r="N515" s="10">
        <f>Github!P$779</f>
        <v>70127</v>
      </c>
      <c r="O515" s="10">
        <f>Github!Q$779</f>
        <v>119989</v>
      </c>
    </row>
    <row r="516">
      <c r="A516" s="10">
        <f>Github!J$465</f>
        <v>464</v>
      </c>
      <c r="B516" s="11" t="str">
        <f>HYPERLINK(CONCAT("http://leetcode.com/problems/",Github!C$465), Github!B$465)</f>
        <v>Can I Win</v>
      </c>
      <c r="C516" s="10">
        <f>Github!F$465</f>
        <v>1780</v>
      </c>
      <c r="D516" s="10">
        <f>Github!G$465</f>
        <v>288</v>
      </c>
      <c r="E516" s="10">
        <f>Github!F$465+Github!G$465</f>
        <v>2068</v>
      </c>
      <c r="F516" s="12">
        <f t="shared" si="1"/>
        <v>6.18</v>
      </c>
      <c r="G516" s="10" t="str">
        <f>Github!H$465</f>
        <v>Algorithms</v>
      </c>
      <c r="H516" s="13" t="str">
        <f>SUBSTITUTE(Github!L$465, ";", ", ")</f>
        <v>Math, Dynamic Programming, Bit Manipulation, Memoization, Game Theory, Bitmask, </v>
      </c>
      <c r="I516" s="10" t="str">
        <f>Github!E$465</f>
        <v>Medium</v>
      </c>
      <c r="J516" s="10" t="str">
        <f>IF(TRIM(Github!D$465)="TRUE","FALSE","TRUE")</f>
        <v>TRUE</v>
      </c>
      <c r="K516" s="10" t="b">
        <f>Github!M$465</f>
        <v>0</v>
      </c>
      <c r="L516" s="10" t="b">
        <f>Github!N$465</f>
        <v>0</v>
      </c>
      <c r="M516" s="10" t="str">
        <f>ROUND(Github!O$465, 2)&amp;"%"</f>
        <v>29.85%</v>
      </c>
      <c r="N516" s="10">
        <f>Github!P$465</f>
        <v>73428</v>
      </c>
      <c r="O516" s="10">
        <f>Github!Q$465</f>
        <v>245978</v>
      </c>
    </row>
    <row r="517">
      <c r="A517" s="10">
        <f>Github!J$646</f>
        <v>645</v>
      </c>
      <c r="B517" s="11" t="str">
        <f>HYPERLINK(CONCAT("http://leetcode.com/problems/",Github!C$646), Github!B$646)</f>
        <v>Set Mismatch</v>
      </c>
      <c r="C517" s="10">
        <f>Github!F$646</f>
        <v>1776</v>
      </c>
      <c r="D517" s="10">
        <f>Github!G$646</f>
        <v>544</v>
      </c>
      <c r="E517" s="10">
        <f>Github!F$646+Github!G$646</f>
        <v>2320</v>
      </c>
      <c r="F517" s="12">
        <f t="shared" si="1"/>
        <v>3.26</v>
      </c>
      <c r="G517" s="10" t="str">
        <f>Github!H$646</f>
        <v>Algorithms</v>
      </c>
      <c r="H517" s="13" t="str">
        <f>SUBSTITUTE(Github!L$646, ";", ", ")</f>
        <v>Array, Hash Table, Bit Manipulation, Sorting, </v>
      </c>
      <c r="I517" s="10" t="str">
        <f>Github!E$646</f>
        <v>Easy</v>
      </c>
      <c r="J517" s="10" t="str">
        <f>IF(TRIM(Github!D$646)="TRUE","FALSE","TRUE")</f>
        <v>TRUE</v>
      </c>
      <c r="K517" s="10" t="b">
        <f>Github!M$646</f>
        <v>1</v>
      </c>
      <c r="L517" s="10" t="b">
        <f>Github!N$646</f>
        <v>0</v>
      </c>
      <c r="M517" s="10" t="str">
        <f>ROUND(Github!O$646, 2)&amp;"%"</f>
        <v>41.23%</v>
      </c>
      <c r="N517" s="10">
        <f>Github!P$646</f>
        <v>160839</v>
      </c>
      <c r="O517" s="10">
        <f>Github!Q$646</f>
        <v>390113</v>
      </c>
    </row>
    <row r="518">
      <c r="A518" s="10">
        <f>Github!J$890</f>
        <v>889</v>
      </c>
      <c r="B518" s="11" t="str">
        <f>HYPERLINK(CONCAT("http://leetcode.com/problems/",Github!C$890), Github!B$890)</f>
        <v>Construct Binary Tree from Preorder and Postorder Traversal</v>
      </c>
      <c r="C518" s="10">
        <f>Github!F$890</f>
        <v>1780</v>
      </c>
      <c r="D518" s="10">
        <f>Github!G$890</f>
        <v>82</v>
      </c>
      <c r="E518" s="10">
        <f>Github!F$890+Github!G$890</f>
        <v>1862</v>
      </c>
      <c r="F518" s="12">
        <f t="shared" si="1"/>
        <v>21.71</v>
      </c>
      <c r="G518" s="10" t="str">
        <f>Github!H$890</f>
        <v>Algorithms</v>
      </c>
      <c r="H518" s="13" t="str">
        <f>SUBSTITUTE(Github!L$890, ";", ", ")</f>
        <v>Array, Hash Table, Divide and Conquer, Tree, Binary Tree, </v>
      </c>
      <c r="I518" s="10" t="str">
        <f>Github!E$890</f>
        <v>Medium</v>
      </c>
      <c r="J518" s="10" t="str">
        <f>IF(TRIM(Github!D$890)="TRUE","FALSE","TRUE")</f>
        <v>TRUE</v>
      </c>
      <c r="K518" s="10" t="b">
        <f>Github!M$890</f>
        <v>0</v>
      </c>
      <c r="L518" s="10" t="b">
        <f>Github!N$890</f>
        <v>0</v>
      </c>
      <c r="M518" s="10" t="str">
        <f>ROUND(Github!O$890, 2)&amp;"%"</f>
        <v>69.75%</v>
      </c>
      <c r="N518" s="10">
        <f>Github!P$890</f>
        <v>67799</v>
      </c>
      <c r="O518" s="10">
        <f>Github!Q$890</f>
        <v>97199</v>
      </c>
    </row>
    <row r="519">
      <c r="A519" s="10">
        <f>Github!J$1589</f>
        <v>1588</v>
      </c>
      <c r="B519" s="11" t="str">
        <f>HYPERLINK(CONCAT("http://leetcode.com/problems/",Github!C$1589), Github!B$1589)</f>
        <v>Sum of All Odd Length Subarrays</v>
      </c>
      <c r="C519" s="10">
        <f>Github!F$1589</f>
        <v>1778</v>
      </c>
      <c r="D519" s="10">
        <f>Github!G$1589</f>
        <v>145</v>
      </c>
      <c r="E519" s="10">
        <f>Github!F$1589+Github!G$1589</f>
        <v>1923</v>
      </c>
      <c r="F519" s="12">
        <f t="shared" si="1"/>
        <v>12.26</v>
      </c>
      <c r="G519" s="10" t="str">
        <f>Github!H$1589</f>
        <v>Algorithms</v>
      </c>
      <c r="H519" s="13" t="str">
        <f>SUBSTITUTE(Github!L$1589, ";", ", ")</f>
        <v>Array, Math, Prefix Sum, </v>
      </c>
      <c r="I519" s="10" t="str">
        <f>Github!E$1589</f>
        <v>Easy</v>
      </c>
      <c r="J519" s="10" t="str">
        <f>IF(TRIM(Github!D$1589)="TRUE","FALSE","TRUE")</f>
        <v>TRUE</v>
      </c>
      <c r="K519" s="10" t="b">
        <f>Github!M$1589</f>
        <v>0</v>
      </c>
      <c r="L519" s="10" t="b">
        <f>Github!N$1589</f>
        <v>0</v>
      </c>
      <c r="M519" s="10" t="str">
        <f>ROUND(Github!O$1589, 2)&amp;"%"</f>
        <v>83.15%</v>
      </c>
      <c r="N519" s="10">
        <f>Github!P$1589</f>
        <v>83918</v>
      </c>
      <c r="O519" s="10">
        <f>Github!Q$1589</f>
        <v>100929</v>
      </c>
    </row>
    <row r="520">
      <c r="A520" s="10">
        <f>Github!J$1220</f>
        <v>1219</v>
      </c>
      <c r="B520" s="11" t="str">
        <f>HYPERLINK(CONCAT("http://leetcode.com/problems/",Github!C$1220), Github!B$1220)</f>
        <v>Path with Maximum Gold</v>
      </c>
      <c r="C520" s="10">
        <f>Github!F$1220</f>
        <v>1760</v>
      </c>
      <c r="D520" s="10">
        <f>Github!G$1220</f>
        <v>47</v>
      </c>
      <c r="E520" s="10">
        <f>Github!F$1220+Github!G$1220</f>
        <v>1807</v>
      </c>
      <c r="F520" s="12">
        <f t="shared" si="1"/>
        <v>37.45</v>
      </c>
      <c r="G520" s="10" t="str">
        <f>Github!H$1220</f>
        <v>Algorithms</v>
      </c>
      <c r="H520" s="13" t="str">
        <f>SUBSTITUTE(Github!L$1220, ";", ", ")</f>
        <v>Array, Backtracking, Matrix, </v>
      </c>
      <c r="I520" s="10" t="str">
        <f>Github!E$1220</f>
        <v>Medium</v>
      </c>
      <c r="J520" s="10" t="str">
        <f>IF(TRIM(Github!D$1220)="TRUE","FALSE","TRUE")</f>
        <v>TRUE</v>
      </c>
      <c r="K520" s="10" t="b">
        <f>Github!M$1220</f>
        <v>0</v>
      </c>
      <c r="L520" s="10" t="b">
        <f>Github!N$1220</f>
        <v>0</v>
      </c>
      <c r="M520" s="10" t="str">
        <f>ROUND(Github!O$1220, 2)&amp;"%"</f>
        <v>65.86%</v>
      </c>
      <c r="N520" s="10">
        <f>Github!P$1220</f>
        <v>78540</v>
      </c>
      <c r="O520" s="10">
        <f>Github!Q$1220</f>
        <v>119247</v>
      </c>
    </row>
    <row r="521">
      <c r="A521" s="10">
        <f>Github!J$951</f>
        <v>950</v>
      </c>
      <c r="B521" s="11" t="str">
        <f>HYPERLINK(CONCAT("http://leetcode.com/problems/",Github!C$951), Github!B$951)</f>
        <v>Reveal Cards In Increasing Order</v>
      </c>
      <c r="C521" s="10">
        <f>Github!F$951</f>
        <v>1762</v>
      </c>
      <c r="D521" s="10">
        <f>Github!G$951</f>
        <v>271</v>
      </c>
      <c r="E521" s="10">
        <f>Github!F$951+Github!G$951</f>
        <v>2033</v>
      </c>
      <c r="F521" s="12">
        <f t="shared" si="1"/>
        <v>6.5</v>
      </c>
      <c r="G521" s="10" t="str">
        <f>Github!H$951</f>
        <v>Algorithms</v>
      </c>
      <c r="H521" s="13" t="str">
        <f>SUBSTITUTE(Github!L$951, ";", ", ")</f>
        <v>Array, Queue, Sorting, Simulation, </v>
      </c>
      <c r="I521" s="10" t="str">
        <f>Github!E$951</f>
        <v>Medium</v>
      </c>
      <c r="J521" s="10" t="str">
        <f>IF(TRIM(Github!D$951)="TRUE","FALSE","TRUE")</f>
        <v>TRUE</v>
      </c>
      <c r="K521" s="10" t="b">
        <f>Github!M$951</f>
        <v>1</v>
      </c>
      <c r="L521" s="10" t="b">
        <f>Github!N$951</f>
        <v>0</v>
      </c>
      <c r="M521" s="10" t="str">
        <f>ROUND(Github!O$951, 2)&amp;"%"</f>
        <v>76.93%</v>
      </c>
      <c r="N521" s="10">
        <f>Github!P$951</f>
        <v>55664</v>
      </c>
      <c r="O521" s="10">
        <f>Github!Q$951</f>
        <v>72361</v>
      </c>
    </row>
    <row r="522">
      <c r="A522" s="10">
        <f>Github!J$555</f>
        <v>554</v>
      </c>
      <c r="B522" s="11" t="str">
        <f>HYPERLINK(CONCAT("http://leetcode.com/problems/",Github!C$555), Github!B$555)</f>
        <v>Brick Wall</v>
      </c>
      <c r="C522" s="10">
        <f>Github!F$555</f>
        <v>1750</v>
      </c>
      <c r="D522" s="10">
        <f>Github!G$555</f>
        <v>97</v>
      </c>
      <c r="E522" s="10">
        <f>Github!F$555+Github!G$555</f>
        <v>1847</v>
      </c>
      <c r="F522" s="12">
        <f t="shared" si="1"/>
        <v>18.04</v>
      </c>
      <c r="G522" s="10" t="str">
        <f>Github!H$555</f>
        <v>Algorithms</v>
      </c>
      <c r="H522" s="13" t="str">
        <f>SUBSTITUTE(Github!L$555, ";", ", ")</f>
        <v>Array, Hash Table, </v>
      </c>
      <c r="I522" s="10" t="str">
        <f>Github!E$555</f>
        <v>Medium</v>
      </c>
      <c r="J522" s="10" t="str">
        <f>IF(TRIM(Github!D$555)="TRUE","FALSE","TRUE")</f>
        <v>TRUE</v>
      </c>
      <c r="K522" s="10" t="b">
        <f>Github!M$555</f>
        <v>1</v>
      </c>
      <c r="L522" s="10" t="b">
        <f>Github!N$555</f>
        <v>1</v>
      </c>
      <c r="M522" s="10" t="str">
        <f>ROUND(Github!O$555, 2)&amp;"%"</f>
        <v>52.5%</v>
      </c>
      <c r="N522" s="10">
        <f>Github!P$555</f>
        <v>98611</v>
      </c>
      <c r="O522" s="10">
        <f>Github!Q$555</f>
        <v>187827</v>
      </c>
    </row>
    <row r="523">
      <c r="A523" s="10">
        <f>Github!J$1346</f>
        <v>1345</v>
      </c>
      <c r="B523" s="11" t="str">
        <f>HYPERLINK(CONCAT("http://leetcode.com/problems/",Github!C$1346), Github!B$1346)</f>
        <v>Jump Game IV</v>
      </c>
      <c r="C523" s="10">
        <f>Github!F$1346</f>
        <v>1746</v>
      </c>
      <c r="D523" s="10">
        <f>Github!G$1346</f>
        <v>69</v>
      </c>
      <c r="E523" s="10">
        <f>Github!F$1346+Github!G$1346</f>
        <v>1815</v>
      </c>
      <c r="F523" s="12">
        <f t="shared" si="1"/>
        <v>25.3</v>
      </c>
      <c r="G523" s="10" t="str">
        <f>Github!H$1346</f>
        <v>Algorithms</v>
      </c>
      <c r="H523" s="13" t="str">
        <f>SUBSTITUTE(Github!L$1346, ";", ", ")</f>
        <v>Array, Hash Table, Breadth-First Search, </v>
      </c>
      <c r="I523" s="10" t="str">
        <f>Github!E$1346</f>
        <v>Hard</v>
      </c>
      <c r="J523" s="10" t="str">
        <f>IF(TRIM(Github!D$1346)="TRUE","FALSE","TRUE")</f>
        <v>TRUE</v>
      </c>
      <c r="K523" s="10" t="b">
        <f>Github!M$1346</f>
        <v>1</v>
      </c>
      <c r="L523" s="10" t="b">
        <f>Github!N$1346</f>
        <v>0</v>
      </c>
      <c r="M523" s="10" t="str">
        <f>ROUND(Github!O$1346, 2)&amp;"%"</f>
        <v>44.4%</v>
      </c>
      <c r="N523" s="10">
        <f>Github!P$1346</f>
        <v>68964</v>
      </c>
      <c r="O523" s="10">
        <f>Github!Q$1346</f>
        <v>155328</v>
      </c>
    </row>
    <row r="524">
      <c r="A524" s="10">
        <f>Github!J$891</f>
        <v>890</v>
      </c>
      <c r="B524" s="11" t="str">
        <f>HYPERLINK(CONCAT("http://leetcode.com/problems/",Github!C$891), Github!B$891)</f>
        <v>Find and Replace Pattern</v>
      </c>
      <c r="C524" s="10">
        <f>Github!F$891</f>
        <v>1739</v>
      </c>
      <c r="D524" s="10">
        <f>Github!G$891</f>
        <v>115</v>
      </c>
      <c r="E524" s="10">
        <f>Github!F$891+Github!G$891</f>
        <v>1854</v>
      </c>
      <c r="F524" s="12">
        <f t="shared" si="1"/>
        <v>15.12</v>
      </c>
      <c r="G524" s="10" t="str">
        <f>Github!H$891</f>
        <v>Algorithms</v>
      </c>
      <c r="H524" s="13" t="str">
        <f>SUBSTITUTE(Github!L$891, ";", ", ")</f>
        <v>Array, Hash Table, String, </v>
      </c>
      <c r="I524" s="10" t="str">
        <f>Github!E$891</f>
        <v>Medium</v>
      </c>
      <c r="J524" s="10" t="str">
        <f>IF(TRIM(Github!D$891)="TRUE","FALSE","TRUE")</f>
        <v>TRUE</v>
      </c>
      <c r="K524" s="10" t="b">
        <f>Github!M$891</f>
        <v>1</v>
      </c>
      <c r="L524" s="10" t="b">
        <f>Github!N$891</f>
        <v>0</v>
      </c>
      <c r="M524" s="10" t="str">
        <f>ROUND(Github!O$891, 2)&amp;"%"</f>
        <v>75.59%</v>
      </c>
      <c r="N524" s="10">
        <f>Github!P$891</f>
        <v>95771</v>
      </c>
      <c r="O524" s="10">
        <f>Github!Q$891</f>
        <v>126706</v>
      </c>
    </row>
    <row r="525">
      <c r="A525" s="10">
        <f>Github!J$770</f>
        <v>769</v>
      </c>
      <c r="B525" s="11" t="str">
        <f>HYPERLINK(CONCAT("http://leetcode.com/problems/",Github!C$770), Github!B$770)</f>
        <v>Max Chunks To Make Sorted</v>
      </c>
      <c r="C525" s="10">
        <f>Github!F$770</f>
        <v>1739</v>
      </c>
      <c r="D525" s="10">
        <f>Github!G$770</f>
        <v>178</v>
      </c>
      <c r="E525" s="10">
        <f>Github!F$770+Github!G$770</f>
        <v>1917</v>
      </c>
      <c r="F525" s="12">
        <f t="shared" si="1"/>
        <v>9.77</v>
      </c>
      <c r="G525" s="10" t="str">
        <f>Github!H$770</f>
        <v>Algorithms</v>
      </c>
      <c r="H525" s="13" t="str">
        <f>SUBSTITUTE(Github!L$770, ";", ", ")</f>
        <v>Array, Stack, Greedy, Sorting, Monotonic Stack, </v>
      </c>
      <c r="I525" s="10" t="str">
        <f>Github!E$770</f>
        <v>Medium</v>
      </c>
      <c r="J525" s="10" t="str">
        <f>IF(TRIM(Github!D$770)="TRUE","FALSE","TRUE")</f>
        <v>TRUE</v>
      </c>
      <c r="K525" s="10" t="b">
        <f>Github!M$770</f>
        <v>0</v>
      </c>
      <c r="L525" s="10" t="b">
        <f>Github!N$770</f>
        <v>0</v>
      </c>
      <c r="M525" s="10" t="str">
        <f>ROUND(Github!O$770, 2)&amp;"%"</f>
        <v>57.53%</v>
      </c>
      <c r="N525" s="10">
        <f>Github!P$770</f>
        <v>68242</v>
      </c>
      <c r="O525" s="10">
        <f>Github!Q$770</f>
        <v>118613</v>
      </c>
    </row>
    <row r="526">
      <c r="A526" s="10">
        <f>Github!J$726</f>
        <v>725</v>
      </c>
      <c r="B526" s="11" t="str">
        <f>HYPERLINK(CONCAT("http://leetcode.com/problems/",Github!C$726), Github!B$726)</f>
        <v>Split Linked List in Parts</v>
      </c>
      <c r="C526" s="10">
        <f>Github!F$726</f>
        <v>1725</v>
      </c>
      <c r="D526" s="10">
        <f>Github!G$726</f>
        <v>191</v>
      </c>
      <c r="E526" s="10">
        <f>Github!F$726+Github!G$726</f>
        <v>1916</v>
      </c>
      <c r="F526" s="12">
        <f t="shared" si="1"/>
        <v>9.03</v>
      </c>
      <c r="G526" s="10" t="str">
        <f>Github!H$726</f>
        <v>Algorithms</v>
      </c>
      <c r="H526" s="13" t="str">
        <f>SUBSTITUTE(Github!L$726, ";", ", ")</f>
        <v>Linked List, </v>
      </c>
      <c r="I526" s="10" t="str">
        <f>Github!E$726</f>
        <v>Medium</v>
      </c>
      <c r="J526" s="10" t="str">
        <f>IF(TRIM(Github!D$726)="TRUE","FALSE","TRUE")</f>
        <v>TRUE</v>
      </c>
      <c r="K526" s="10" t="b">
        <f>Github!M$726</f>
        <v>1</v>
      </c>
      <c r="L526" s="10" t="b">
        <f>Github!N$726</f>
        <v>0</v>
      </c>
      <c r="M526" s="10" t="str">
        <f>ROUND(Github!O$726, 2)&amp;"%"</f>
        <v>56.68%</v>
      </c>
      <c r="N526" s="10">
        <f>Github!P$726</f>
        <v>93351</v>
      </c>
      <c r="O526" s="10">
        <f>Github!Q$726</f>
        <v>164687</v>
      </c>
    </row>
    <row r="527">
      <c r="A527" s="10">
        <f>Github!J$797</f>
        <v>796</v>
      </c>
      <c r="B527" s="11" t="str">
        <f>HYPERLINK(CONCAT("http://leetcode.com/problems/",Github!C$797), Github!B$797)</f>
        <v>Rotate String</v>
      </c>
      <c r="C527" s="10">
        <f>Github!F$797</f>
        <v>1715</v>
      </c>
      <c r="D527" s="10">
        <f>Github!G$797</f>
        <v>82</v>
      </c>
      <c r="E527" s="10">
        <f>Github!F$797+Github!G$797</f>
        <v>1797</v>
      </c>
      <c r="F527" s="12">
        <f t="shared" si="1"/>
        <v>20.91</v>
      </c>
      <c r="G527" s="10" t="str">
        <f>Github!H$797</f>
        <v>Algorithms</v>
      </c>
      <c r="H527" s="13" t="str">
        <f>SUBSTITUTE(Github!L$797, ";", ", ")</f>
        <v>String, String Matching, </v>
      </c>
      <c r="I527" s="10" t="str">
        <f>Github!E$797</f>
        <v>Easy</v>
      </c>
      <c r="J527" s="10" t="str">
        <f>IF(TRIM(Github!D$797)="TRUE","FALSE","TRUE")</f>
        <v>TRUE</v>
      </c>
      <c r="K527" s="10" t="b">
        <f>Github!M$797</f>
        <v>1</v>
      </c>
      <c r="L527" s="10" t="b">
        <f>Github!N$797</f>
        <v>0</v>
      </c>
      <c r="M527" s="10" t="str">
        <f>ROUND(Github!O$797, 2)&amp;"%"</f>
        <v>51.69%</v>
      </c>
      <c r="N527" s="10">
        <f>Github!P$797</f>
        <v>139285</v>
      </c>
      <c r="O527" s="10">
        <f>Github!Q$797</f>
        <v>269472</v>
      </c>
    </row>
    <row r="528">
      <c r="A528" s="10">
        <f>Github!J$257</f>
        <v>256</v>
      </c>
      <c r="B528" s="11" t="str">
        <f>HYPERLINK(CONCAT("http://leetcode.com/problems/",Github!C$257), Github!B$257)</f>
        <v>Paint House</v>
      </c>
      <c r="C528" s="10">
        <f>Github!F$257</f>
        <v>1707</v>
      </c>
      <c r="D528" s="10">
        <f>Github!G$257</f>
        <v>117</v>
      </c>
      <c r="E528" s="10">
        <f>Github!F$257+Github!G$257</f>
        <v>1824</v>
      </c>
      <c r="F528" s="12">
        <f t="shared" si="1"/>
        <v>14.59</v>
      </c>
      <c r="G528" s="10" t="str">
        <f>Github!H$257</f>
        <v>Algorithms</v>
      </c>
      <c r="H528" s="13" t="str">
        <f>SUBSTITUTE(Github!L$257, ";", ", ")</f>
        <v>Array, Dynamic Programming, </v>
      </c>
      <c r="I528" s="10" t="str">
        <f>Github!E$257</f>
        <v>Medium</v>
      </c>
      <c r="J528" s="10" t="str">
        <f>IF(TRIM(Github!D$257)="TRUE","FALSE","TRUE")</f>
        <v>FALSE</v>
      </c>
      <c r="K528" s="10" t="b">
        <f>Github!M$257</f>
        <v>1</v>
      </c>
      <c r="L528" s="10" t="b">
        <f>Github!N$257</f>
        <v>0</v>
      </c>
      <c r="M528" s="10" t="str">
        <f>ROUND(Github!O$257, 2)&amp;"%"</f>
        <v>58.24%</v>
      </c>
      <c r="N528" s="10">
        <f>Github!P$257</f>
        <v>149518</v>
      </c>
      <c r="O528" s="10">
        <f>Github!Q$257</f>
        <v>256714</v>
      </c>
    </row>
    <row r="529">
      <c r="A529" s="10">
        <f>Github!J$430</f>
        <v>429</v>
      </c>
      <c r="B529" s="11" t="str">
        <f>HYPERLINK(CONCAT("http://leetcode.com/problems/",Github!C$430), Github!B$430)</f>
        <v>N-ary Tree Level Order Traversal</v>
      </c>
      <c r="C529" s="10">
        <f>Github!F$430</f>
        <v>1702</v>
      </c>
      <c r="D529" s="10">
        <f>Github!G$430</f>
        <v>82</v>
      </c>
      <c r="E529" s="10">
        <f>Github!F$430+Github!G$430</f>
        <v>1784</v>
      </c>
      <c r="F529" s="12">
        <f t="shared" si="1"/>
        <v>20.76</v>
      </c>
      <c r="G529" s="10" t="str">
        <f>Github!H$430</f>
        <v>Algorithms</v>
      </c>
      <c r="H529" s="13" t="str">
        <f>SUBSTITUTE(Github!L$430, ";", ", ")</f>
        <v>Tree, Breadth-First Search, </v>
      </c>
      <c r="I529" s="10" t="str">
        <f>Github!E$430</f>
        <v>Medium</v>
      </c>
      <c r="J529" s="10" t="str">
        <f>IF(TRIM(Github!D$430)="TRUE","FALSE","TRUE")</f>
        <v>TRUE</v>
      </c>
      <c r="K529" s="10" t="b">
        <f>Github!M$430</f>
        <v>1</v>
      </c>
      <c r="L529" s="10" t="b">
        <f>Github!N$430</f>
        <v>0</v>
      </c>
      <c r="M529" s="10" t="str">
        <f>ROUND(Github!O$430, 2)&amp;"%"</f>
        <v>68.67%</v>
      </c>
      <c r="N529" s="10">
        <f>Github!P$430</f>
        <v>167085</v>
      </c>
      <c r="O529" s="10">
        <f>Github!Q$430</f>
        <v>243315</v>
      </c>
    </row>
    <row r="530">
      <c r="A530" s="10">
        <f>Github!J$643</f>
        <v>642</v>
      </c>
      <c r="B530" s="11" t="str">
        <f>HYPERLINK(CONCAT("http://leetcode.com/problems/",Github!C$643), Github!B$643)</f>
        <v>Design Search Autocomplete System</v>
      </c>
      <c r="C530" s="10">
        <f>Github!F$643</f>
        <v>1700</v>
      </c>
      <c r="D530" s="10">
        <f>Github!G$643</f>
        <v>117</v>
      </c>
      <c r="E530" s="10">
        <f>Github!F$643+Github!G$643</f>
        <v>1817</v>
      </c>
      <c r="F530" s="12">
        <f t="shared" si="1"/>
        <v>14.53</v>
      </c>
      <c r="G530" s="10" t="str">
        <f>Github!H$643</f>
        <v>Algorithms</v>
      </c>
      <c r="H530" s="13" t="str">
        <f>SUBSTITUTE(Github!L$643, ";", ", ")</f>
        <v>String, Design, Trie, Data Stream, </v>
      </c>
      <c r="I530" s="10" t="str">
        <f>Github!E$643</f>
        <v>Hard</v>
      </c>
      <c r="J530" s="10" t="str">
        <f>IF(TRIM(Github!D$643)="TRUE","FALSE","TRUE")</f>
        <v>FALSE</v>
      </c>
      <c r="K530" s="10" t="b">
        <f>Github!M$643</f>
        <v>0</v>
      </c>
      <c r="L530" s="10" t="b">
        <f>Github!N$643</f>
        <v>0</v>
      </c>
      <c r="M530" s="10" t="str">
        <f>ROUND(Github!O$643, 2)&amp;"%"</f>
        <v>48.07%</v>
      </c>
      <c r="N530" s="10">
        <f>Github!P$643</f>
        <v>108316</v>
      </c>
      <c r="O530" s="10">
        <f>Github!Q$643</f>
        <v>225351</v>
      </c>
    </row>
    <row r="531">
      <c r="A531" s="10">
        <f>Github!J$177</f>
        <v>176</v>
      </c>
      <c r="B531" s="11" t="str">
        <f>HYPERLINK(CONCAT("http://leetcode.com/problems/",Github!C$177), Github!B$177)</f>
        <v>Second Highest Salary</v>
      </c>
      <c r="C531" s="10">
        <f>Github!F$177</f>
        <v>1691</v>
      </c>
      <c r="D531" s="10">
        <f>Github!G$177</f>
        <v>687</v>
      </c>
      <c r="E531" s="10">
        <f>Github!F$177+Github!G$177</f>
        <v>2378</v>
      </c>
      <c r="F531" s="12">
        <f t="shared" si="1"/>
        <v>2.46</v>
      </c>
      <c r="G531" s="10" t="str">
        <f>Github!H$177</f>
        <v>Database</v>
      </c>
      <c r="H531" s="13" t="str">
        <f>SUBSTITUTE(Github!L$177, ";", ", ")</f>
        <v>Database, </v>
      </c>
      <c r="I531" s="10" t="str">
        <f>Github!E$177</f>
        <v>Medium</v>
      </c>
      <c r="J531" s="10" t="str">
        <f>IF(TRIM(Github!D$177)="TRUE","FALSE","TRUE")</f>
        <v>TRUE</v>
      </c>
      <c r="K531" s="10" t="b">
        <f>Github!M$177</f>
        <v>1</v>
      </c>
      <c r="L531" s="10" t="b">
        <f>Github!N$177</f>
        <v>0</v>
      </c>
      <c r="M531" s="10" t="str">
        <f>ROUND(Github!O$177, 2)&amp;"%"</f>
        <v>35.07%</v>
      </c>
      <c r="N531" s="10">
        <f>Github!P$177</f>
        <v>446801</v>
      </c>
      <c r="O531" s="10">
        <f>Github!Q$177</f>
        <v>1274018</v>
      </c>
    </row>
    <row r="532">
      <c r="A532" s="10">
        <f>Github!J$930</f>
        <v>929</v>
      </c>
      <c r="B532" s="11" t="str">
        <f>HYPERLINK(CONCAT("http://leetcode.com/problems/",Github!C$930), Github!B$930)</f>
        <v>Unique Email Addresses</v>
      </c>
      <c r="C532" s="10">
        <f>Github!F$930</f>
        <v>1689</v>
      </c>
      <c r="D532" s="10">
        <f>Github!G$930</f>
        <v>241</v>
      </c>
      <c r="E532" s="10">
        <f>Github!F$930+Github!G$930</f>
        <v>1930</v>
      </c>
      <c r="F532" s="12">
        <f t="shared" si="1"/>
        <v>7.01</v>
      </c>
      <c r="G532" s="10" t="str">
        <f>Github!H$930</f>
        <v>Algorithms</v>
      </c>
      <c r="H532" s="13" t="str">
        <f>SUBSTITUTE(Github!L$930, ";", ", ")</f>
        <v>Array, Hash Table, String, </v>
      </c>
      <c r="I532" s="10" t="str">
        <f>Github!E$930</f>
        <v>Easy</v>
      </c>
      <c r="J532" s="10" t="str">
        <f>IF(TRIM(Github!D$930)="TRUE","FALSE","TRUE")</f>
        <v>TRUE</v>
      </c>
      <c r="K532" s="10" t="b">
        <f>Github!M$930</f>
        <v>1</v>
      </c>
      <c r="L532" s="10" t="b">
        <f>Github!N$930</f>
        <v>0</v>
      </c>
      <c r="M532" s="10" t="str">
        <f>ROUND(Github!O$930, 2)&amp;"%"</f>
        <v>67.38%</v>
      </c>
      <c r="N532" s="10">
        <f>Github!P$930</f>
        <v>340795</v>
      </c>
      <c r="O532" s="10">
        <f>Github!Q$930</f>
        <v>505754</v>
      </c>
    </row>
    <row r="533">
      <c r="A533" s="10">
        <f>Github!J$1642</f>
        <v>1641</v>
      </c>
      <c r="B533" s="11" t="str">
        <f>HYPERLINK(CONCAT("http://leetcode.com/problems/",Github!C$1642), Github!B$1642)</f>
        <v>Count Sorted Vowel Strings</v>
      </c>
      <c r="C533" s="10">
        <f>Github!F$1642</f>
        <v>1684</v>
      </c>
      <c r="D533" s="10">
        <f>Github!G$1642</f>
        <v>37</v>
      </c>
      <c r="E533" s="10">
        <f>Github!F$1642+Github!G$1642</f>
        <v>1721</v>
      </c>
      <c r="F533" s="12">
        <f t="shared" si="1"/>
        <v>45.51</v>
      </c>
      <c r="G533" s="10" t="str">
        <f>Github!H$1642</f>
        <v>Algorithms</v>
      </c>
      <c r="H533" s="13" t="str">
        <f>SUBSTITUTE(Github!L$1642, ";", ", ")</f>
        <v>Dynamic Programming, </v>
      </c>
      <c r="I533" s="10" t="str">
        <f>Github!E$1642</f>
        <v>Medium</v>
      </c>
      <c r="J533" s="10" t="str">
        <f>IF(TRIM(Github!D$1642)="TRUE","FALSE","TRUE")</f>
        <v>TRUE</v>
      </c>
      <c r="K533" s="10" t="b">
        <f>Github!M$1642</f>
        <v>1</v>
      </c>
      <c r="L533" s="10" t="b">
        <f>Github!N$1642</f>
        <v>0</v>
      </c>
      <c r="M533" s="10" t="str">
        <f>ROUND(Github!O$1642, 2)&amp;"%"</f>
        <v>74.78%</v>
      </c>
      <c r="N533" s="10">
        <f>Github!P$1642</f>
        <v>80190</v>
      </c>
      <c r="O533" s="10">
        <f>Github!Q$1642</f>
        <v>107240</v>
      </c>
    </row>
    <row r="534">
      <c r="A534" s="10">
        <f>Github!J$383</f>
        <v>382</v>
      </c>
      <c r="B534" s="11" t="str">
        <f>HYPERLINK(CONCAT("http://leetcode.com/problems/",Github!C$383), Github!B$383)</f>
        <v>Linked List Random Node</v>
      </c>
      <c r="C534" s="10">
        <f>Github!F$383</f>
        <v>1682</v>
      </c>
      <c r="D534" s="10">
        <f>Github!G$383</f>
        <v>428</v>
      </c>
      <c r="E534" s="10">
        <f>Github!F$383+Github!G$383</f>
        <v>2110</v>
      </c>
      <c r="F534" s="12">
        <f t="shared" si="1"/>
        <v>3.93</v>
      </c>
      <c r="G534" s="10" t="str">
        <f>Github!H$383</f>
        <v>Algorithms</v>
      </c>
      <c r="H534" s="13" t="str">
        <f>SUBSTITUTE(Github!L$383, ";", ", ")</f>
        <v>Linked List, Math, Reservoir Sampling, Randomized, </v>
      </c>
      <c r="I534" s="10" t="str">
        <f>Github!E$383</f>
        <v>Medium</v>
      </c>
      <c r="J534" s="10" t="str">
        <f>IF(TRIM(Github!D$383)="TRUE","FALSE","TRUE")</f>
        <v>TRUE</v>
      </c>
      <c r="K534" s="10" t="b">
        <f>Github!M$383</f>
        <v>1</v>
      </c>
      <c r="L534" s="10" t="b">
        <f>Github!N$383</f>
        <v>0</v>
      </c>
      <c r="M534" s="10" t="str">
        <f>ROUND(Github!O$383, 2)&amp;"%"</f>
        <v>58.81%</v>
      </c>
      <c r="N534" s="10">
        <f>Github!P$383</f>
        <v>148815</v>
      </c>
      <c r="O534" s="10">
        <f>Github!Q$383</f>
        <v>253028</v>
      </c>
    </row>
    <row r="535">
      <c r="A535" s="10">
        <f>Github!J$1240</f>
        <v>1239</v>
      </c>
      <c r="B535" s="11" t="str">
        <f>HYPERLINK(CONCAT("http://leetcode.com/problems/",Github!C$1240), Github!B$1240)</f>
        <v>Maximum Length of a Concatenated String with Unique Characters</v>
      </c>
      <c r="C535" s="10">
        <f>Github!F$1240</f>
        <v>1672</v>
      </c>
      <c r="D535" s="10">
        <f>Github!G$1240</f>
        <v>151</v>
      </c>
      <c r="E535" s="10">
        <f>Github!F$1240+Github!G$1240</f>
        <v>1823</v>
      </c>
      <c r="F535" s="12">
        <f t="shared" si="1"/>
        <v>11.07</v>
      </c>
      <c r="G535" s="10" t="str">
        <f>Github!H$1240</f>
        <v>Algorithms</v>
      </c>
      <c r="H535" s="13" t="str">
        <f>SUBSTITUTE(Github!L$1240, ";", ", ")</f>
        <v>Array, String, Backtracking, Bit Manipulation, </v>
      </c>
      <c r="I535" s="10" t="str">
        <f>Github!E$1240</f>
        <v>Medium</v>
      </c>
      <c r="J535" s="10" t="str">
        <f>IF(TRIM(Github!D$1240)="TRUE","FALSE","TRUE")</f>
        <v>TRUE</v>
      </c>
      <c r="K535" s="10" t="b">
        <f>Github!M$1240</f>
        <v>1</v>
      </c>
      <c r="L535" s="10" t="b">
        <f>Github!N$1240</f>
        <v>0</v>
      </c>
      <c r="M535" s="10" t="str">
        <f>ROUND(Github!O$1240, 2)&amp;"%"</f>
        <v>50.6%</v>
      </c>
      <c r="N535" s="10">
        <f>Github!P$1240</f>
        <v>102974</v>
      </c>
      <c r="O535" s="10">
        <f>Github!Q$1240</f>
        <v>203494</v>
      </c>
    </row>
    <row r="536">
      <c r="A536" s="10">
        <f>Github!J$695</f>
        <v>694</v>
      </c>
      <c r="B536" s="11" t="str">
        <f>HYPERLINK(CONCAT("http://leetcode.com/problems/",Github!C$695), Github!B$695)</f>
        <v>Number of Distinct Islands</v>
      </c>
      <c r="C536" s="10">
        <f>Github!F$695</f>
        <v>1671</v>
      </c>
      <c r="D536" s="10">
        <f>Github!G$695</f>
        <v>95</v>
      </c>
      <c r="E536" s="10">
        <f>Github!F$695+Github!G$695</f>
        <v>1766</v>
      </c>
      <c r="F536" s="12">
        <f t="shared" si="1"/>
        <v>17.59</v>
      </c>
      <c r="G536" s="10" t="str">
        <f>Github!H$695</f>
        <v>Algorithms</v>
      </c>
      <c r="H536" s="13" t="str">
        <f>SUBSTITUTE(Github!L$695, ";", ", ")</f>
        <v>Hash Table, Depth-First Search, Breadth-First Search, Union Find, Hash Function, </v>
      </c>
      <c r="I536" s="10" t="str">
        <f>Github!E$695</f>
        <v>Medium</v>
      </c>
      <c r="J536" s="10" t="str">
        <f>IF(TRIM(Github!D$695)="TRUE","FALSE","TRUE")</f>
        <v>FALSE</v>
      </c>
      <c r="K536" s="10" t="b">
        <f>Github!M$695</f>
        <v>1</v>
      </c>
      <c r="L536" s="10" t="b">
        <f>Github!N$695</f>
        <v>1</v>
      </c>
      <c r="M536" s="10" t="str">
        <f>ROUND(Github!O$695, 2)&amp;"%"</f>
        <v>59.51%</v>
      </c>
      <c r="N536" s="10">
        <f>Github!P$695</f>
        <v>116970</v>
      </c>
      <c r="O536" s="10">
        <f>Github!Q$695</f>
        <v>196550</v>
      </c>
    </row>
    <row r="537">
      <c r="A537" s="10">
        <f>Github!J$1354</f>
        <v>1353</v>
      </c>
      <c r="B537" s="11" t="str">
        <f>HYPERLINK(CONCAT("http://leetcode.com/problems/",Github!C$1354), Github!B$1354)</f>
        <v>Maximum Number of Events That Can Be Attended</v>
      </c>
      <c r="C537" s="10">
        <f>Github!F$1354</f>
        <v>1667</v>
      </c>
      <c r="D537" s="10">
        <f>Github!G$1354</f>
        <v>233</v>
      </c>
      <c r="E537" s="10">
        <f>Github!F$1354+Github!G$1354</f>
        <v>1900</v>
      </c>
      <c r="F537" s="12">
        <f t="shared" si="1"/>
        <v>7.15</v>
      </c>
      <c r="G537" s="10" t="str">
        <f>Github!H$1354</f>
        <v>Algorithms</v>
      </c>
      <c r="H537" s="13" t="str">
        <f>SUBSTITUTE(Github!L$1354, ";", ", ")</f>
        <v>Array, Greedy, Heap (Priority Queue), </v>
      </c>
      <c r="I537" s="10" t="str">
        <f>Github!E$1354</f>
        <v>Medium</v>
      </c>
      <c r="J537" s="10" t="str">
        <f>IF(TRIM(Github!D$1354)="TRUE","FALSE","TRUE")</f>
        <v>TRUE</v>
      </c>
      <c r="K537" s="10" t="b">
        <f>Github!M$1354</f>
        <v>0</v>
      </c>
      <c r="L537" s="10" t="b">
        <f>Github!N$1354</f>
        <v>0</v>
      </c>
      <c r="M537" s="10" t="str">
        <f>ROUND(Github!O$1354, 2)&amp;"%"</f>
        <v>33.32%</v>
      </c>
      <c r="N537" s="10">
        <f>Github!P$1354</f>
        <v>51705</v>
      </c>
      <c r="O537" s="10">
        <f>Github!Q$1354</f>
        <v>155162</v>
      </c>
    </row>
    <row r="538">
      <c r="A538" s="10">
        <f>Github!J$923</f>
        <v>922</v>
      </c>
      <c r="B538" s="11" t="str">
        <f>HYPERLINK(CONCAT("http://leetcode.com/problems/",Github!C$923), Github!B$923)</f>
        <v>Sort Array By Parity II</v>
      </c>
      <c r="C538" s="10">
        <f>Github!F$923</f>
        <v>1661</v>
      </c>
      <c r="D538" s="10">
        <f>Github!G$923</f>
        <v>70</v>
      </c>
      <c r="E538" s="10">
        <f>Github!F$923+Github!G$923</f>
        <v>1731</v>
      </c>
      <c r="F538" s="12">
        <f t="shared" si="1"/>
        <v>23.73</v>
      </c>
      <c r="G538" s="10" t="str">
        <f>Github!H$923</f>
        <v>Algorithms</v>
      </c>
      <c r="H538" s="13" t="str">
        <f>SUBSTITUTE(Github!L$923, ";", ", ")</f>
        <v>Array, Two Pointers, Sorting, </v>
      </c>
      <c r="I538" s="10" t="str">
        <f>Github!E$923</f>
        <v>Easy</v>
      </c>
      <c r="J538" s="10" t="str">
        <f>IF(TRIM(Github!D$923)="TRUE","FALSE","TRUE")</f>
        <v>TRUE</v>
      </c>
      <c r="K538" s="10" t="b">
        <f>Github!M$923</f>
        <v>1</v>
      </c>
      <c r="L538" s="10" t="b">
        <f>Github!N$923</f>
        <v>1</v>
      </c>
      <c r="M538" s="10" t="str">
        <f>ROUND(Github!O$923, 2)&amp;"%"</f>
        <v>70.63%</v>
      </c>
      <c r="N538" s="10">
        <f>Github!P$923</f>
        <v>178400</v>
      </c>
      <c r="O538" s="10">
        <f>Github!Q$923</f>
        <v>252603</v>
      </c>
    </row>
    <row r="539">
      <c r="A539" s="10">
        <f>Github!J$1383</f>
        <v>1382</v>
      </c>
      <c r="B539" s="11" t="str">
        <f>HYPERLINK(CONCAT("http://leetcode.com/problems/",Github!C$1383), Github!B$1383)</f>
        <v>Balance a Binary Search Tree</v>
      </c>
      <c r="C539" s="10">
        <f>Github!F$1383</f>
        <v>1664</v>
      </c>
      <c r="D539" s="10">
        <f>Github!G$1383</f>
        <v>54</v>
      </c>
      <c r="E539" s="10">
        <f>Github!F$1383+Github!G$1383</f>
        <v>1718</v>
      </c>
      <c r="F539" s="12">
        <f t="shared" si="1"/>
        <v>30.81</v>
      </c>
      <c r="G539" s="10" t="str">
        <f>Github!H$1383</f>
        <v>Algorithms</v>
      </c>
      <c r="H539" s="13" t="str">
        <f>SUBSTITUTE(Github!L$1383, ";", ", ")</f>
        <v>Divide and Conquer, Greedy, Tree, Depth-First Search, Binary Search Tree, Binary Tree, </v>
      </c>
      <c r="I539" s="10" t="str">
        <f>Github!E$1383</f>
        <v>Medium</v>
      </c>
      <c r="J539" s="10" t="str">
        <f>IF(TRIM(Github!D$1383)="TRUE","FALSE","TRUE")</f>
        <v>TRUE</v>
      </c>
      <c r="K539" s="10" t="b">
        <f>Github!M$1383</f>
        <v>0</v>
      </c>
      <c r="L539" s="10" t="b">
        <f>Github!N$1383</f>
        <v>0</v>
      </c>
      <c r="M539" s="10" t="str">
        <f>ROUND(Github!O$1383, 2)&amp;"%"</f>
        <v>80.15%</v>
      </c>
      <c r="N539" s="10">
        <f>Github!P$1383</f>
        <v>85301</v>
      </c>
      <c r="O539" s="10">
        <f>Github!Q$1383</f>
        <v>106429</v>
      </c>
    </row>
    <row r="540">
      <c r="A540" s="10">
        <f>Github!J$1673</f>
        <v>1672</v>
      </c>
      <c r="B540" s="11" t="str">
        <f>HYPERLINK(CONCAT("http://leetcode.com/problems/",Github!C$1673), Github!B$1673)</f>
        <v>Richest Customer Wealth</v>
      </c>
      <c r="C540" s="10">
        <f>Github!F$1673</f>
        <v>1660</v>
      </c>
      <c r="D540" s="10">
        <f>Github!G$1673</f>
        <v>249</v>
      </c>
      <c r="E540" s="10">
        <f>Github!F$1673+Github!G$1673</f>
        <v>1909</v>
      </c>
      <c r="F540" s="12">
        <f t="shared" si="1"/>
        <v>6.67</v>
      </c>
      <c r="G540" s="10" t="str">
        <f>Github!H$1673</f>
        <v>Algorithms</v>
      </c>
      <c r="H540" s="13" t="str">
        <f>SUBSTITUTE(Github!L$1673, ";", ", ")</f>
        <v>Array, Matrix, </v>
      </c>
      <c r="I540" s="10" t="str">
        <f>Github!E$1673</f>
        <v>Easy</v>
      </c>
      <c r="J540" s="10" t="str">
        <f>IF(TRIM(Github!D$1673)="TRUE","FALSE","TRUE")</f>
        <v>TRUE</v>
      </c>
      <c r="K540" s="10" t="b">
        <f>Github!M$1673</f>
        <v>1</v>
      </c>
      <c r="L540" s="10" t="b">
        <f>Github!N$1673</f>
        <v>0</v>
      </c>
      <c r="M540" s="10" t="str">
        <f>ROUND(Github!O$1673, 2)&amp;"%"</f>
        <v>89.35%</v>
      </c>
      <c r="N540" s="10">
        <f>Github!P$1673</f>
        <v>256598</v>
      </c>
      <c r="O540" s="10">
        <f>Github!Q$1673</f>
        <v>287175</v>
      </c>
    </row>
    <row r="541">
      <c r="A541" s="10">
        <f>Github!J$319</f>
        <v>318</v>
      </c>
      <c r="B541" s="11" t="str">
        <f>HYPERLINK(CONCAT("http://leetcode.com/problems/",Github!C$319), Github!B$319)</f>
        <v>Maximum Product of Word Lengths</v>
      </c>
      <c r="C541" s="10">
        <f>Github!F$319</f>
        <v>1657</v>
      </c>
      <c r="D541" s="10">
        <f>Github!G$319</f>
        <v>93</v>
      </c>
      <c r="E541" s="10">
        <f>Github!F$319+Github!G$319</f>
        <v>1750</v>
      </c>
      <c r="F541" s="12">
        <f t="shared" si="1"/>
        <v>17.82</v>
      </c>
      <c r="G541" s="10" t="str">
        <f>Github!H$319</f>
        <v>Algorithms</v>
      </c>
      <c r="H541" s="13" t="str">
        <f>SUBSTITUTE(Github!L$319, ";", ", ")</f>
        <v>Array, String, Bit Manipulation, </v>
      </c>
      <c r="I541" s="10" t="str">
        <f>Github!E$319</f>
        <v>Medium</v>
      </c>
      <c r="J541" s="10" t="str">
        <f>IF(TRIM(Github!D$319)="TRUE","FALSE","TRUE")</f>
        <v>TRUE</v>
      </c>
      <c r="K541" s="10" t="b">
        <f>Github!M$319</f>
        <v>1</v>
      </c>
      <c r="L541" s="10" t="b">
        <f>Github!N$319</f>
        <v>0</v>
      </c>
      <c r="M541" s="10" t="str">
        <f>ROUND(Github!O$319, 2)&amp;"%"</f>
        <v>56.46%</v>
      </c>
      <c r="N541" s="10">
        <f>Github!P$319</f>
        <v>140785</v>
      </c>
      <c r="O541" s="10">
        <f>Github!Q$319</f>
        <v>249354</v>
      </c>
    </row>
    <row r="542">
      <c r="A542" s="10">
        <f>Github!J$69</f>
        <v>68</v>
      </c>
      <c r="B542" s="11" t="str">
        <f>HYPERLINK(CONCAT("http://leetcode.com/problems/",Github!C$69), Github!B$69)</f>
        <v>Text Justification</v>
      </c>
      <c r="C542" s="10">
        <f>Github!F$69</f>
        <v>1649</v>
      </c>
      <c r="D542" s="10">
        <f>Github!G$69</f>
        <v>2758</v>
      </c>
      <c r="E542" s="10">
        <f>Github!F$69+Github!G$69</f>
        <v>4407</v>
      </c>
      <c r="F542" s="12">
        <f t="shared" si="1"/>
        <v>0.6</v>
      </c>
      <c r="G542" s="10" t="str">
        <f>Github!H$69</f>
        <v>Algorithms</v>
      </c>
      <c r="H542" s="13" t="str">
        <f>SUBSTITUTE(Github!L$69, ";", ", ")</f>
        <v>Array, String, Simulation, </v>
      </c>
      <c r="I542" s="10" t="str">
        <f>Github!E$69</f>
        <v>Hard</v>
      </c>
      <c r="J542" s="10" t="str">
        <f>IF(TRIM(Github!D$69)="TRUE","FALSE","TRUE")</f>
        <v>TRUE</v>
      </c>
      <c r="K542" s="10" t="b">
        <f>Github!M$69</f>
        <v>0</v>
      </c>
      <c r="L542" s="10" t="b">
        <f>Github!N$69</f>
        <v>0</v>
      </c>
      <c r="M542" s="10" t="str">
        <f>ROUND(Github!O$69, 2)&amp;"%"</f>
        <v>34.57%</v>
      </c>
      <c r="N542" s="10">
        <f>Github!P$69</f>
        <v>233660</v>
      </c>
      <c r="O542" s="10">
        <f>Github!Q$69</f>
        <v>675869</v>
      </c>
    </row>
    <row r="543">
      <c r="A543" s="10">
        <f>Github!J$160</f>
        <v>159</v>
      </c>
      <c r="B543" s="11" t="str">
        <f>HYPERLINK(CONCAT("http://leetcode.com/problems/",Github!C$160), Github!B$160)</f>
        <v>Longest Substring with At Most Two Distinct Characters</v>
      </c>
      <c r="C543" s="10">
        <f>Github!F$160</f>
        <v>1646</v>
      </c>
      <c r="D543" s="10">
        <f>Github!G$160</f>
        <v>25</v>
      </c>
      <c r="E543" s="10">
        <f>Github!F$160+Github!G$160</f>
        <v>1671</v>
      </c>
      <c r="F543" s="12">
        <f t="shared" si="1"/>
        <v>65.84</v>
      </c>
      <c r="G543" s="10" t="str">
        <f>Github!H$160</f>
        <v>Algorithms</v>
      </c>
      <c r="H543" s="13" t="str">
        <f>SUBSTITUTE(Github!L$160, ";", ", ")</f>
        <v>Hash Table, String, Sliding Window, </v>
      </c>
      <c r="I543" s="10" t="str">
        <f>Github!E$160</f>
        <v>Medium</v>
      </c>
      <c r="J543" s="10" t="str">
        <f>IF(TRIM(Github!D$160)="TRUE","FALSE","TRUE")</f>
        <v>FALSE</v>
      </c>
      <c r="K543" s="10" t="b">
        <f>Github!M$160</f>
        <v>1</v>
      </c>
      <c r="L543" s="10" t="b">
        <f>Github!N$160</f>
        <v>1</v>
      </c>
      <c r="M543" s="10" t="str">
        <f>ROUND(Github!O$160, 2)&amp;"%"</f>
        <v>52.46%</v>
      </c>
      <c r="N543" s="10">
        <f>Github!P$160</f>
        <v>184345</v>
      </c>
      <c r="O543" s="10">
        <f>Github!Q$160</f>
        <v>351413</v>
      </c>
    </row>
    <row r="544">
      <c r="A544" s="10">
        <f>Github!J$808</f>
        <v>807</v>
      </c>
      <c r="B544" s="11" t="str">
        <f>HYPERLINK(CONCAT("http://leetcode.com/problems/",Github!C$808), Github!B$808)</f>
        <v>Max Increase to Keep City Skyline</v>
      </c>
      <c r="C544" s="10">
        <f>Github!F$808</f>
        <v>1634</v>
      </c>
      <c r="D544" s="10">
        <f>Github!G$808</f>
        <v>407</v>
      </c>
      <c r="E544" s="10">
        <f>Github!F$808+Github!G$808</f>
        <v>2041</v>
      </c>
      <c r="F544" s="12">
        <f t="shared" si="1"/>
        <v>4.01</v>
      </c>
      <c r="G544" s="10" t="str">
        <f>Github!H$808</f>
        <v>Algorithms</v>
      </c>
      <c r="H544" s="13" t="str">
        <f>SUBSTITUTE(Github!L$808, ";", ", ")</f>
        <v>Array, Greedy, Matrix, </v>
      </c>
      <c r="I544" s="10" t="str">
        <f>Github!E$808</f>
        <v>Medium</v>
      </c>
      <c r="J544" s="10" t="str">
        <f>IF(TRIM(Github!D$808)="TRUE","FALSE","TRUE")</f>
        <v>TRUE</v>
      </c>
      <c r="K544" s="10" t="b">
        <f>Github!M$808</f>
        <v>1</v>
      </c>
      <c r="L544" s="10" t="b">
        <f>Github!N$808</f>
        <v>0</v>
      </c>
      <c r="M544" s="10" t="str">
        <f>ROUND(Github!O$808, 2)&amp;"%"</f>
        <v>85.4%</v>
      </c>
      <c r="N544" s="10">
        <f>Github!P$808</f>
        <v>120488</v>
      </c>
      <c r="O544" s="10">
        <f>Github!Q$808</f>
        <v>141085</v>
      </c>
    </row>
    <row r="545">
      <c r="A545" s="10">
        <f>Github!J$1316</f>
        <v>1315</v>
      </c>
      <c r="B545" s="11" t="str">
        <f>HYPERLINK(CONCAT("http://leetcode.com/problems/",Github!C$1316), Github!B$1316)</f>
        <v>Sum of Nodes with Even-Valued Grandparent</v>
      </c>
      <c r="C545" s="10">
        <f>Github!F$1316</f>
        <v>1626</v>
      </c>
      <c r="D545" s="10">
        <f>Github!G$1316</f>
        <v>54</v>
      </c>
      <c r="E545" s="10">
        <f>Github!F$1316+Github!G$1316</f>
        <v>1680</v>
      </c>
      <c r="F545" s="12">
        <f t="shared" si="1"/>
        <v>30.11</v>
      </c>
      <c r="G545" s="10" t="str">
        <f>Github!H$1316</f>
        <v>Algorithms</v>
      </c>
      <c r="H545" s="13" t="str">
        <f>SUBSTITUTE(Github!L$1316, ";", ", ")</f>
        <v>Tree, Depth-First Search, Breadth-First Search, Binary Tree, </v>
      </c>
      <c r="I545" s="10" t="str">
        <f>Github!E$1316</f>
        <v>Medium</v>
      </c>
      <c r="J545" s="10" t="str">
        <f>IF(TRIM(Github!D$1316)="TRUE","FALSE","TRUE")</f>
        <v>TRUE</v>
      </c>
      <c r="K545" s="10" t="b">
        <f>Github!M$1316</f>
        <v>0</v>
      </c>
      <c r="L545" s="10" t="b">
        <f>Github!N$1316</f>
        <v>0</v>
      </c>
      <c r="M545" s="10" t="str">
        <f>ROUND(Github!O$1316, 2)&amp;"%"</f>
        <v>85.13%</v>
      </c>
      <c r="N545" s="10">
        <f>Github!P$1316</f>
        <v>95470</v>
      </c>
      <c r="O545" s="10">
        <f>Github!Q$1316</f>
        <v>112144</v>
      </c>
    </row>
    <row r="546">
      <c r="A546" s="10">
        <f>Github!J$658</f>
        <v>657</v>
      </c>
      <c r="B546" s="11" t="str">
        <f>HYPERLINK(CONCAT("http://leetcode.com/problems/",Github!C$658), Github!B$658)</f>
        <v>Robot Return to Origin</v>
      </c>
      <c r="C546" s="10">
        <f>Github!F$658</f>
        <v>1624</v>
      </c>
      <c r="D546" s="10">
        <f>Github!G$658</f>
        <v>712</v>
      </c>
      <c r="E546" s="10">
        <f>Github!F$658+Github!G$658</f>
        <v>2336</v>
      </c>
      <c r="F546" s="12">
        <f t="shared" si="1"/>
        <v>2.28</v>
      </c>
      <c r="G546" s="10" t="str">
        <f>Github!H$658</f>
        <v>Algorithms</v>
      </c>
      <c r="H546" s="13" t="str">
        <f>SUBSTITUTE(Github!L$658, ";", ", ")</f>
        <v>String, Simulation, </v>
      </c>
      <c r="I546" s="10" t="str">
        <f>Github!E$658</f>
        <v>Easy</v>
      </c>
      <c r="J546" s="10" t="str">
        <f>IF(TRIM(Github!D$658)="TRUE","FALSE","TRUE")</f>
        <v>TRUE</v>
      </c>
      <c r="K546" s="10" t="b">
        <f>Github!M$658</f>
        <v>1</v>
      </c>
      <c r="L546" s="10" t="b">
        <f>Github!N$658</f>
        <v>0</v>
      </c>
      <c r="M546" s="10" t="str">
        <f>ROUND(Github!O$658, 2)&amp;"%"</f>
        <v>74.97%</v>
      </c>
      <c r="N546" s="10">
        <f>Github!P$658</f>
        <v>322638</v>
      </c>
      <c r="O546" s="10">
        <f>Github!Q$658</f>
        <v>430336</v>
      </c>
    </row>
    <row r="547">
      <c r="A547" s="10">
        <f>Github!J$332</f>
        <v>331</v>
      </c>
      <c r="B547" s="11" t="str">
        <f>HYPERLINK(CONCAT("http://leetcode.com/problems/",Github!C$332), Github!B$332)</f>
        <v>Verify Preorder Serialization of a Binary Tree</v>
      </c>
      <c r="C547" s="10">
        <f>Github!F$332</f>
        <v>1618</v>
      </c>
      <c r="D547" s="10">
        <f>Github!G$332</f>
        <v>80</v>
      </c>
      <c r="E547" s="10">
        <f>Github!F$332+Github!G$332</f>
        <v>1698</v>
      </c>
      <c r="F547" s="12">
        <f t="shared" si="1"/>
        <v>20.23</v>
      </c>
      <c r="G547" s="10" t="str">
        <f>Github!H$332</f>
        <v>Algorithms</v>
      </c>
      <c r="H547" s="13" t="str">
        <f>SUBSTITUTE(Github!L$332, ";", ", ")</f>
        <v>String, Stack, Tree, Binary Tree, </v>
      </c>
      <c r="I547" s="10" t="str">
        <f>Github!E$332</f>
        <v>Medium</v>
      </c>
      <c r="J547" s="10" t="str">
        <f>IF(TRIM(Github!D$332)="TRUE","FALSE","TRUE")</f>
        <v>TRUE</v>
      </c>
      <c r="K547" s="10" t="b">
        <f>Github!M$332</f>
        <v>1</v>
      </c>
      <c r="L547" s="10" t="b">
        <f>Github!N$332</f>
        <v>0</v>
      </c>
      <c r="M547" s="10" t="str">
        <f>ROUND(Github!O$332, 2)&amp;"%"</f>
        <v>43.61%</v>
      </c>
      <c r="N547" s="10">
        <f>Github!P$332</f>
        <v>111512</v>
      </c>
      <c r="O547" s="10">
        <f>Github!Q$332</f>
        <v>255717</v>
      </c>
    </row>
    <row r="548">
      <c r="A548" s="10">
        <f>Github!J$1222</f>
        <v>1221</v>
      </c>
      <c r="B548" s="11" t="str">
        <f>HYPERLINK(CONCAT("http://leetcode.com/problems/",Github!C$1222), Github!B$1222)</f>
        <v>Split a String in Balanced Strings</v>
      </c>
      <c r="C548" s="10">
        <f>Github!F$1222</f>
        <v>1617</v>
      </c>
      <c r="D548" s="10">
        <f>Github!G$1222</f>
        <v>732</v>
      </c>
      <c r="E548" s="10">
        <f>Github!F$1222+Github!G$1222</f>
        <v>2349</v>
      </c>
      <c r="F548" s="12">
        <f t="shared" si="1"/>
        <v>2.21</v>
      </c>
      <c r="G548" s="10" t="str">
        <f>Github!H$1222</f>
        <v>Algorithms</v>
      </c>
      <c r="H548" s="13" t="str">
        <f>SUBSTITUTE(Github!L$1222, ";", ", ")</f>
        <v>String, Greedy, Counting, </v>
      </c>
      <c r="I548" s="10" t="str">
        <f>Github!E$1222</f>
        <v>Easy</v>
      </c>
      <c r="J548" s="10" t="str">
        <f>IF(TRIM(Github!D$1222)="TRUE","FALSE","TRUE")</f>
        <v>TRUE</v>
      </c>
      <c r="K548" s="10" t="b">
        <f>Github!M$1222</f>
        <v>0</v>
      </c>
      <c r="L548" s="10" t="b">
        <f>Github!N$1222</f>
        <v>0</v>
      </c>
      <c r="M548" s="10" t="str">
        <f>ROUND(Github!O$1222, 2)&amp;"%"</f>
        <v>84.7%</v>
      </c>
      <c r="N548" s="10">
        <f>Github!P$1222</f>
        <v>191583</v>
      </c>
      <c r="O548" s="10">
        <f>Github!Q$1222</f>
        <v>226192</v>
      </c>
    </row>
    <row r="549">
      <c r="A549" s="10">
        <f>Github!J$1008</f>
        <v>1007</v>
      </c>
      <c r="B549" s="11" t="str">
        <f>HYPERLINK(CONCAT("http://leetcode.com/problems/",Github!C$1008), Github!B$1008)</f>
        <v>Minimum Domino Rotations For Equal Row</v>
      </c>
      <c r="C549" s="10">
        <f>Github!F$1008</f>
        <v>1614</v>
      </c>
      <c r="D549" s="10">
        <f>Github!G$1008</f>
        <v>208</v>
      </c>
      <c r="E549" s="10">
        <f>Github!F$1008+Github!G$1008</f>
        <v>1822</v>
      </c>
      <c r="F549" s="12">
        <f t="shared" si="1"/>
        <v>7.76</v>
      </c>
      <c r="G549" s="10" t="str">
        <f>Github!H$1008</f>
        <v>Algorithms</v>
      </c>
      <c r="H549" s="13" t="str">
        <f>SUBSTITUTE(Github!L$1008, ";", ", ")</f>
        <v>Array, Greedy, </v>
      </c>
      <c r="I549" s="10" t="str">
        <f>Github!E$1008</f>
        <v>Medium</v>
      </c>
      <c r="J549" s="10" t="str">
        <f>IF(TRIM(Github!D$1008)="TRUE","FALSE","TRUE")</f>
        <v>TRUE</v>
      </c>
      <c r="K549" s="10" t="b">
        <f>Github!M$1008</f>
        <v>1</v>
      </c>
      <c r="L549" s="10" t="b">
        <f>Github!N$1008</f>
        <v>0</v>
      </c>
      <c r="M549" s="10" t="str">
        <f>ROUND(Github!O$1008, 2)&amp;"%"</f>
        <v>50.74%</v>
      </c>
      <c r="N549" s="10">
        <f>Github!P$1008</f>
        <v>140761</v>
      </c>
      <c r="O549" s="10">
        <f>Github!Q$1008</f>
        <v>277417</v>
      </c>
    </row>
    <row r="550">
      <c r="A550" s="10">
        <f>Github!J$1032</f>
        <v>1031</v>
      </c>
      <c r="B550" s="11" t="str">
        <f>HYPERLINK(CONCAT("http://leetcode.com/problems/",Github!C$1032), Github!B$1032)</f>
        <v>Maximum Sum of Two Non-Overlapping Subarrays</v>
      </c>
      <c r="C550" s="10">
        <f>Github!F$1032</f>
        <v>1605</v>
      </c>
      <c r="D550" s="10">
        <f>Github!G$1032</f>
        <v>69</v>
      </c>
      <c r="E550" s="10">
        <f>Github!F$1032+Github!G$1032</f>
        <v>1674</v>
      </c>
      <c r="F550" s="12">
        <f t="shared" si="1"/>
        <v>23.26</v>
      </c>
      <c r="G550" s="10" t="str">
        <f>Github!H$1032</f>
        <v>Algorithms</v>
      </c>
      <c r="H550" s="13" t="str">
        <f>SUBSTITUTE(Github!L$1032, ";", ", ")</f>
        <v>Array, Dynamic Programming, Sliding Window, </v>
      </c>
      <c r="I550" s="10" t="str">
        <f>Github!E$1032</f>
        <v>Medium</v>
      </c>
      <c r="J550" s="10" t="str">
        <f>IF(TRIM(Github!D$1032)="TRUE","FALSE","TRUE")</f>
        <v>TRUE</v>
      </c>
      <c r="K550" s="10" t="b">
        <f>Github!M$1032</f>
        <v>0</v>
      </c>
      <c r="L550" s="10" t="b">
        <f>Github!N$1032</f>
        <v>0</v>
      </c>
      <c r="M550" s="10" t="str">
        <f>ROUND(Github!O$1032, 2)&amp;"%"</f>
        <v>59.36%</v>
      </c>
      <c r="N550" s="10">
        <f>Github!P$1032</f>
        <v>47841</v>
      </c>
      <c r="O550" s="10">
        <f>Github!Q$1032</f>
        <v>80590</v>
      </c>
    </row>
    <row r="551">
      <c r="A551" s="10">
        <f>Github!J$675</f>
        <v>674</v>
      </c>
      <c r="B551" s="11" t="str">
        <f>HYPERLINK(CONCAT("http://leetcode.com/problems/",Github!C$675), Github!B$675)</f>
        <v>Longest Continuous Increasing Subsequence</v>
      </c>
      <c r="C551" s="10">
        <f>Github!F$675</f>
        <v>1603</v>
      </c>
      <c r="D551" s="10">
        <f>Github!G$675</f>
        <v>160</v>
      </c>
      <c r="E551" s="10">
        <f>Github!F$675+Github!G$675</f>
        <v>1763</v>
      </c>
      <c r="F551" s="12">
        <f t="shared" si="1"/>
        <v>10.02</v>
      </c>
      <c r="G551" s="10" t="str">
        <f>Github!H$675</f>
        <v>Algorithms</v>
      </c>
      <c r="H551" s="13" t="str">
        <f>SUBSTITUTE(Github!L$675, ";", ", ")</f>
        <v>Array, </v>
      </c>
      <c r="I551" s="10" t="str">
        <f>Github!E$675</f>
        <v>Easy</v>
      </c>
      <c r="J551" s="10" t="str">
        <f>IF(TRIM(Github!D$675)="TRUE","FALSE","TRUE")</f>
        <v>TRUE</v>
      </c>
      <c r="K551" s="10" t="b">
        <f>Github!M$675</f>
        <v>1</v>
      </c>
      <c r="L551" s="10" t="b">
        <f>Github!N$675</f>
        <v>0</v>
      </c>
      <c r="M551" s="10" t="str">
        <f>ROUND(Github!O$675, 2)&amp;"%"</f>
        <v>48.18%</v>
      </c>
      <c r="N551" s="10">
        <f>Github!P$675</f>
        <v>186427</v>
      </c>
      <c r="O551" s="10">
        <f>Github!Q$675</f>
        <v>386954</v>
      </c>
    </row>
    <row r="552">
      <c r="A552" s="10">
        <f>Github!J$1255</f>
        <v>1254</v>
      </c>
      <c r="B552" s="11" t="str">
        <f>HYPERLINK(CONCAT("http://leetcode.com/problems/",Github!C$1255), Github!B$1255)</f>
        <v>Number of Closed Islands</v>
      </c>
      <c r="C552" s="10">
        <f>Github!F$1255</f>
        <v>1607</v>
      </c>
      <c r="D552" s="10">
        <f>Github!G$1255</f>
        <v>35</v>
      </c>
      <c r="E552" s="10">
        <f>Github!F$1255+Github!G$1255</f>
        <v>1642</v>
      </c>
      <c r="F552" s="12">
        <f t="shared" si="1"/>
        <v>45.91</v>
      </c>
      <c r="G552" s="10" t="str">
        <f>Github!H$1255</f>
        <v>Algorithms</v>
      </c>
      <c r="H552" s="13" t="str">
        <f>SUBSTITUTE(Github!L$1255, ";", ", ")</f>
        <v>Array, Depth-First Search, Breadth-First Search, Union Find, Matrix, </v>
      </c>
      <c r="I552" s="10" t="str">
        <f>Github!E$1255</f>
        <v>Medium</v>
      </c>
      <c r="J552" s="10" t="str">
        <f>IF(TRIM(Github!D$1255)="TRUE","FALSE","TRUE")</f>
        <v>TRUE</v>
      </c>
      <c r="K552" s="10" t="b">
        <f>Github!M$1255</f>
        <v>0</v>
      </c>
      <c r="L552" s="10" t="b">
        <f>Github!N$1255</f>
        <v>0</v>
      </c>
      <c r="M552" s="10" t="str">
        <f>ROUND(Github!O$1255, 2)&amp;"%"</f>
        <v>63.09%</v>
      </c>
      <c r="N552" s="10">
        <f>Github!P$1255</f>
        <v>77337</v>
      </c>
      <c r="O552" s="10">
        <f>Github!Q$1255</f>
        <v>122588</v>
      </c>
    </row>
    <row r="553">
      <c r="A553" s="10">
        <f>Github!J$943</f>
        <v>942</v>
      </c>
      <c r="B553" s="11" t="str">
        <f>HYPERLINK(CONCAT("http://leetcode.com/problems/",Github!C$943), Github!B$943)</f>
        <v>DI String Match</v>
      </c>
      <c r="C553" s="10">
        <f>Github!F$943</f>
        <v>1604</v>
      </c>
      <c r="D553" s="10">
        <f>Github!G$943</f>
        <v>632</v>
      </c>
      <c r="E553" s="10">
        <f>Github!F$943+Github!G$943</f>
        <v>2236</v>
      </c>
      <c r="F553" s="12">
        <f t="shared" si="1"/>
        <v>2.54</v>
      </c>
      <c r="G553" s="10" t="str">
        <f>Github!H$943</f>
        <v>Algorithms</v>
      </c>
      <c r="H553" s="13" t="str">
        <f>SUBSTITUTE(Github!L$943, ";", ", ")</f>
        <v>Array, Math, Two Pointers, String, Greedy, </v>
      </c>
      <c r="I553" s="10" t="str">
        <f>Github!E$943</f>
        <v>Easy</v>
      </c>
      <c r="J553" s="10" t="str">
        <f>IF(TRIM(Github!D$943)="TRUE","FALSE","TRUE")</f>
        <v>TRUE</v>
      </c>
      <c r="K553" s="10" t="b">
        <f>Github!M$943</f>
        <v>1</v>
      </c>
      <c r="L553" s="10" t="b">
        <f>Github!N$943</f>
        <v>0</v>
      </c>
      <c r="M553" s="10" t="str">
        <f>ROUND(Github!O$943, 2)&amp;"%"</f>
        <v>75.62%</v>
      </c>
      <c r="N553" s="10">
        <f>Github!P$943</f>
        <v>102825</v>
      </c>
      <c r="O553" s="10">
        <f>Github!Q$943</f>
        <v>135967</v>
      </c>
    </row>
    <row r="554">
      <c r="A554" s="10">
        <f>Github!J$524</f>
        <v>523</v>
      </c>
      <c r="B554" s="11" t="str">
        <f>HYPERLINK(CONCAT("http://leetcode.com/problems/",Github!C$524), Github!B$524)</f>
        <v>Continuous Subarray Sum</v>
      </c>
      <c r="C554" s="10">
        <f>Github!F$524</f>
        <v>1599</v>
      </c>
      <c r="D554" s="10">
        <f>Github!G$524</f>
        <v>226</v>
      </c>
      <c r="E554" s="10">
        <f>Github!F$524+Github!G$524</f>
        <v>1825</v>
      </c>
      <c r="F554" s="12">
        <f t="shared" si="1"/>
        <v>7.08</v>
      </c>
      <c r="G554" s="10" t="str">
        <f>Github!H$524</f>
        <v>Algorithms</v>
      </c>
      <c r="H554" s="13" t="str">
        <f>SUBSTITUTE(Github!L$524, ";", ", ")</f>
        <v>Array, Hash Table, Math, Prefix Sum, </v>
      </c>
      <c r="I554" s="10" t="str">
        <f>Github!E$524</f>
        <v>Medium</v>
      </c>
      <c r="J554" s="10" t="str">
        <f>IF(TRIM(Github!D$524)="TRUE","FALSE","TRUE")</f>
        <v>TRUE</v>
      </c>
      <c r="K554" s="10" t="b">
        <f>Github!M$524</f>
        <v>0</v>
      </c>
      <c r="L554" s="10" t="b">
        <f>Github!N$524</f>
        <v>0</v>
      </c>
      <c r="M554" s="10" t="str">
        <f>ROUND(Github!O$524, 2)&amp;"%"</f>
        <v>26.99%</v>
      </c>
      <c r="N554" s="10">
        <f>Github!P$524</f>
        <v>273962</v>
      </c>
      <c r="O554" s="10">
        <f>Github!Q$524</f>
        <v>1014858</v>
      </c>
    </row>
    <row r="555">
      <c r="A555" s="10">
        <f>Github!J$590</f>
        <v>589</v>
      </c>
      <c r="B555" s="11" t="str">
        <f>HYPERLINK(CONCAT("http://leetcode.com/problems/",Github!C$590), Github!B$590)</f>
        <v>N-ary Tree Preorder Traversal</v>
      </c>
      <c r="C555" s="10">
        <f>Github!F$590</f>
        <v>1599</v>
      </c>
      <c r="D555" s="10">
        <f>Github!G$590</f>
        <v>77</v>
      </c>
      <c r="E555" s="10">
        <f>Github!F$590+Github!G$590</f>
        <v>1676</v>
      </c>
      <c r="F555" s="12">
        <f t="shared" si="1"/>
        <v>20.77</v>
      </c>
      <c r="G555" s="10" t="str">
        <f>Github!H$590</f>
        <v>Algorithms</v>
      </c>
      <c r="H555" s="13" t="str">
        <f>SUBSTITUTE(Github!L$590, ";", ", ")</f>
        <v>Stack, Tree, Depth-First Search, </v>
      </c>
      <c r="I555" s="10" t="str">
        <f>Github!E$590</f>
        <v>Easy</v>
      </c>
      <c r="J555" s="10" t="str">
        <f>IF(TRIM(Github!D$590)="TRUE","FALSE","TRUE")</f>
        <v>TRUE</v>
      </c>
      <c r="K555" s="10" t="b">
        <f>Github!M$590</f>
        <v>1</v>
      </c>
      <c r="L555" s="10" t="b">
        <f>Github!N$590</f>
        <v>0</v>
      </c>
      <c r="M555" s="10" t="str">
        <f>ROUND(Github!O$590, 2)&amp;"%"</f>
        <v>75.88%</v>
      </c>
      <c r="N555" s="10">
        <f>Github!P$590</f>
        <v>214403</v>
      </c>
      <c r="O555" s="10">
        <f>Github!Q$590</f>
        <v>282566</v>
      </c>
    </row>
    <row r="556">
      <c r="A556" s="10">
        <f>Github!J$873</f>
        <v>872</v>
      </c>
      <c r="B556" s="11" t="str">
        <f>HYPERLINK(CONCAT("http://leetcode.com/problems/",Github!C$873), Github!B$873)</f>
        <v>Leaf-Similar Trees</v>
      </c>
      <c r="C556" s="10">
        <f>Github!F$873</f>
        <v>1598</v>
      </c>
      <c r="D556" s="10">
        <f>Github!G$873</f>
        <v>55</v>
      </c>
      <c r="E556" s="10">
        <f>Github!F$873+Github!G$873</f>
        <v>1653</v>
      </c>
      <c r="F556" s="12">
        <f t="shared" si="1"/>
        <v>29.05</v>
      </c>
      <c r="G556" s="10" t="str">
        <f>Github!H$873</f>
        <v>Algorithms</v>
      </c>
      <c r="H556" s="13" t="str">
        <f>SUBSTITUTE(Github!L$873, ";", ", ")</f>
        <v>Tree, Depth-First Search, Binary Tree, </v>
      </c>
      <c r="I556" s="10" t="str">
        <f>Github!E$873</f>
        <v>Easy</v>
      </c>
      <c r="J556" s="10" t="str">
        <f>IF(TRIM(Github!D$873)="TRUE","FALSE","TRUE")</f>
        <v>TRUE</v>
      </c>
      <c r="K556" s="10" t="b">
        <f>Github!M$873</f>
        <v>1</v>
      </c>
      <c r="L556" s="10" t="b">
        <f>Github!N$873</f>
        <v>0</v>
      </c>
      <c r="M556" s="10" t="str">
        <f>ROUND(Github!O$873, 2)&amp;"%"</f>
        <v>64.92%</v>
      </c>
      <c r="N556" s="10">
        <f>Github!P$873</f>
        <v>158698</v>
      </c>
      <c r="O556" s="10">
        <f>Github!Q$873</f>
        <v>244449</v>
      </c>
    </row>
    <row r="557">
      <c r="A557" s="10">
        <f>Github!J$938</f>
        <v>937</v>
      </c>
      <c r="B557" s="11" t="str">
        <f>HYPERLINK(CONCAT("http://leetcode.com/problems/",Github!C$938), Github!B$938)</f>
        <v>Reorder Data in Log Files</v>
      </c>
      <c r="C557" s="10">
        <f>Github!F$938</f>
        <v>1599</v>
      </c>
      <c r="D557" s="10">
        <f>Github!G$938</f>
        <v>3747</v>
      </c>
      <c r="E557" s="10">
        <f>Github!F$938+Github!G$938</f>
        <v>5346</v>
      </c>
      <c r="F557" s="12">
        <f t="shared" si="1"/>
        <v>0.43</v>
      </c>
      <c r="G557" s="10" t="str">
        <f>Github!H$938</f>
        <v>Algorithms</v>
      </c>
      <c r="H557" s="13" t="str">
        <f>SUBSTITUTE(Github!L$938, ";", ", ")</f>
        <v>Array, String, Sorting, </v>
      </c>
      <c r="I557" s="10" t="str">
        <f>Github!E$938</f>
        <v>Easy</v>
      </c>
      <c r="J557" s="10" t="str">
        <f>IF(TRIM(Github!D$938)="TRUE","FALSE","TRUE")</f>
        <v>TRUE</v>
      </c>
      <c r="K557" s="10" t="b">
        <f>Github!M$938</f>
        <v>1</v>
      </c>
      <c r="L557" s="10" t="b">
        <f>Github!N$938</f>
        <v>0</v>
      </c>
      <c r="M557" s="10" t="str">
        <f>ROUND(Github!O$938, 2)&amp;"%"</f>
        <v>55.91%</v>
      </c>
      <c r="N557" s="10">
        <f>Github!P$938</f>
        <v>283285</v>
      </c>
      <c r="O557" s="10">
        <f>Github!Q$938</f>
        <v>506651</v>
      </c>
    </row>
    <row r="558">
      <c r="A558" s="10">
        <f>Github!J$1138</f>
        <v>1137</v>
      </c>
      <c r="B558" s="11" t="str">
        <f>HYPERLINK(CONCAT("http://leetcode.com/problems/",Github!C$1138), Github!B$1138)</f>
        <v>N-th Tribonacci Number</v>
      </c>
      <c r="C558" s="10">
        <f>Github!F$1138</f>
        <v>1597</v>
      </c>
      <c r="D558" s="10">
        <f>Github!G$1138</f>
        <v>98</v>
      </c>
      <c r="E558" s="10">
        <f>Github!F$1138+Github!G$1138</f>
        <v>1695</v>
      </c>
      <c r="F558" s="12">
        <f t="shared" si="1"/>
        <v>16.3</v>
      </c>
      <c r="G558" s="10" t="str">
        <f>Github!H$1138</f>
        <v>Algorithms</v>
      </c>
      <c r="H558" s="13" t="str">
        <f>SUBSTITUTE(Github!L$1138, ";", ", ")</f>
        <v>Math, Dynamic Programming, Memoization, </v>
      </c>
      <c r="I558" s="10" t="str">
        <f>Github!E$1138</f>
        <v>Easy</v>
      </c>
      <c r="J558" s="10" t="str">
        <f>IF(TRIM(Github!D$1138)="TRUE","FALSE","TRUE")</f>
        <v>TRUE</v>
      </c>
      <c r="K558" s="10" t="b">
        <f>Github!M$1138</f>
        <v>1</v>
      </c>
      <c r="L558" s="10" t="b">
        <f>Github!N$1138</f>
        <v>0</v>
      </c>
      <c r="M558" s="10" t="str">
        <f>ROUND(Github!O$1138, 2)&amp;"%"</f>
        <v>62.63%</v>
      </c>
      <c r="N558" s="10">
        <f>Github!P$1138</f>
        <v>237127</v>
      </c>
      <c r="O558" s="10">
        <f>Github!Q$1138</f>
        <v>378647</v>
      </c>
    </row>
    <row r="559">
      <c r="A559" s="10">
        <f>Github!J$1722</f>
        <v>1721</v>
      </c>
      <c r="B559" s="11" t="str">
        <f>HYPERLINK(CONCAT("http://leetcode.com/problems/",Github!C$1722), Github!B$1722)</f>
        <v>Swapping Nodes in a Linked List</v>
      </c>
      <c r="C559" s="10">
        <f>Github!F$1722</f>
        <v>1597</v>
      </c>
      <c r="D559" s="10">
        <f>Github!G$1722</f>
        <v>73</v>
      </c>
      <c r="E559" s="10">
        <f>Github!F$1722+Github!G$1722</f>
        <v>1670</v>
      </c>
      <c r="F559" s="12">
        <f t="shared" si="1"/>
        <v>21.88</v>
      </c>
      <c r="G559" s="10" t="str">
        <f>Github!H$1722</f>
        <v>Algorithms</v>
      </c>
      <c r="H559" s="13" t="str">
        <f>SUBSTITUTE(Github!L$1722, ";", ", ")</f>
        <v>Linked List, Two Pointers, </v>
      </c>
      <c r="I559" s="10" t="str">
        <f>Github!E$1722</f>
        <v>Medium</v>
      </c>
      <c r="J559" s="10" t="str">
        <f>IF(TRIM(Github!D$1722)="TRUE","FALSE","TRUE")</f>
        <v>TRUE</v>
      </c>
      <c r="K559" s="10" t="b">
        <f>Github!M$1722</f>
        <v>1</v>
      </c>
      <c r="L559" s="10" t="b">
        <f>Github!N$1722</f>
        <v>0</v>
      </c>
      <c r="M559" s="10" t="str">
        <f>ROUND(Github!O$1722, 2)&amp;"%"</f>
        <v>65.43%</v>
      </c>
      <c r="N559" s="10">
        <f>Github!P$1722</f>
        <v>96876</v>
      </c>
      <c r="O559" s="10">
        <f>Github!Q$1722</f>
        <v>148051</v>
      </c>
    </row>
    <row r="560">
      <c r="A560" s="10">
        <f>Github!J$53</f>
        <v>52</v>
      </c>
      <c r="B560" s="11" t="str">
        <f>HYPERLINK(CONCAT("http://leetcode.com/problems/",Github!C$53), Github!B$53)</f>
        <v>N-Queens II</v>
      </c>
      <c r="C560" s="10">
        <f>Github!F$53</f>
        <v>1594</v>
      </c>
      <c r="D560" s="10">
        <f>Github!G$53</f>
        <v>209</v>
      </c>
      <c r="E560" s="10">
        <f>Github!F$53+Github!G$53</f>
        <v>1803</v>
      </c>
      <c r="F560" s="12">
        <f t="shared" si="1"/>
        <v>7.63</v>
      </c>
      <c r="G560" s="10" t="str">
        <f>Github!H$53</f>
        <v>Algorithms</v>
      </c>
      <c r="H560" s="13" t="str">
        <f>SUBSTITUTE(Github!L$53, ";", ", ")</f>
        <v>Backtracking, </v>
      </c>
      <c r="I560" s="10" t="str">
        <f>Github!E$53</f>
        <v>Hard</v>
      </c>
      <c r="J560" s="10" t="str">
        <f>IF(TRIM(Github!D$53)="TRUE","FALSE","TRUE")</f>
        <v>TRUE</v>
      </c>
      <c r="K560" s="10" t="b">
        <f>Github!M$53</f>
        <v>1</v>
      </c>
      <c r="L560" s="10" t="b">
        <f>Github!N$53</f>
        <v>0</v>
      </c>
      <c r="M560" s="10" t="str">
        <f>ROUND(Github!O$53, 2)&amp;"%"</f>
        <v>65.69%</v>
      </c>
      <c r="N560" s="10">
        <f>Github!P$53</f>
        <v>211574</v>
      </c>
      <c r="O560" s="10">
        <f>Github!Q$53</f>
        <v>322094</v>
      </c>
    </row>
    <row r="561">
      <c r="A561" s="10">
        <f>Github!J$1045</f>
        <v>1044</v>
      </c>
      <c r="B561" s="11" t="str">
        <f>HYPERLINK(CONCAT("http://leetcode.com/problems/",Github!C$1045), Github!B$1045)</f>
        <v>Longest Duplicate Substring</v>
      </c>
      <c r="C561" s="10">
        <f>Github!F$1045</f>
        <v>1590</v>
      </c>
      <c r="D561" s="10">
        <f>Github!G$1045</f>
        <v>316</v>
      </c>
      <c r="E561" s="10">
        <f>Github!F$1045+Github!G$1045</f>
        <v>1906</v>
      </c>
      <c r="F561" s="12">
        <f t="shared" si="1"/>
        <v>5.03</v>
      </c>
      <c r="G561" s="10" t="str">
        <f>Github!H$1045</f>
        <v>Algorithms</v>
      </c>
      <c r="H561" s="13" t="str">
        <f>SUBSTITUTE(Github!L$1045, ";", ", ")</f>
        <v>String, Binary Search, Sliding Window, Rolling Hash, Suffix Array, Hash Function, </v>
      </c>
      <c r="I561" s="10" t="str">
        <f>Github!E$1045</f>
        <v>Hard</v>
      </c>
      <c r="J561" s="10" t="str">
        <f>IF(TRIM(Github!D$1045)="TRUE","FALSE","TRUE")</f>
        <v>TRUE</v>
      </c>
      <c r="K561" s="10" t="b">
        <f>Github!M$1045</f>
        <v>1</v>
      </c>
      <c r="L561" s="10" t="b">
        <f>Github!N$1045</f>
        <v>0</v>
      </c>
      <c r="M561" s="10" t="str">
        <f>ROUND(Github!O$1045, 2)&amp;"%"</f>
        <v>31.23%</v>
      </c>
      <c r="N561" s="10">
        <f>Github!P$1045</f>
        <v>51245</v>
      </c>
      <c r="O561" s="10">
        <f>Github!Q$1045</f>
        <v>164075</v>
      </c>
    </row>
    <row r="562">
      <c r="A562" s="10">
        <f>Github!J$780</f>
        <v>779</v>
      </c>
      <c r="B562" s="11" t="str">
        <f>HYPERLINK(CONCAT("http://leetcode.com/problems/",Github!C$780), Github!B$780)</f>
        <v>K-th Symbol in Grammar</v>
      </c>
      <c r="C562" s="10">
        <f>Github!F$780</f>
        <v>1588</v>
      </c>
      <c r="D562" s="10">
        <f>Github!G$780</f>
        <v>243</v>
      </c>
      <c r="E562" s="10">
        <f>Github!F$780+Github!G$780</f>
        <v>1831</v>
      </c>
      <c r="F562" s="12">
        <f t="shared" si="1"/>
        <v>6.53</v>
      </c>
      <c r="G562" s="10" t="str">
        <f>Github!H$780</f>
        <v>Algorithms</v>
      </c>
      <c r="H562" s="13" t="str">
        <f>SUBSTITUTE(Github!L$780, ";", ", ")</f>
        <v>Math, Bit Manipulation, Recursion, </v>
      </c>
      <c r="I562" s="10" t="str">
        <f>Github!E$780</f>
        <v>Medium</v>
      </c>
      <c r="J562" s="10" t="str">
        <f>IF(TRIM(Github!D$780)="TRUE","FALSE","TRUE")</f>
        <v>TRUE</v>
      </c>
      <c r="K562" s="10" t="b">
        <f>Github!M$780</f>
        <v>0</v>
      </c>
      <c r="L562" s="10" t="b">
        <f>Github!N$780</f>
        <v>0</v>
      </c>
      <c r="M562" s="10" t="str">
        <f>ROUND(Github!O$780, 2)&amp;"%"</f>
        <v>39.81%</v>
      </c>
      <c r="N562" s="10">
        <f>Github!P$780</f>
        <v>80179</v>
      </c>
      <c r="O562" s="10">
        <f>Github!Q$780</f>
        <v>201416</v>
      </c>
    </row>
    <row r="563">
      <c r="A563" s="10">
        <f>Github!J$1036</f>
        <v>1035</v>
      </c>
      <c r="B563" s="11" t="str">
        <f>HYPERLINK(CONCAT("http://leetcode.com/problems/",Github!C$1036), Github!B$1036)</f>
        <v>Uncrossed Lines</v>
      </c>
      <c r="C563" s="10">
        <f>Github!F$1036</f>
        <v>1585</v>
      </c>
      <c r="D563" s="10">
        <f>Github!G$1036</f>
        <v>27</v>
      </c>
      <c r="E563" s="10">
        <f>Github!F$1036+Github!G$1036</f>
        <v>1612</v>
      </c>
      <c r="F563" s="12">
        <f t="shared" si="1"/>
        <v>58.7</v>
      </c>
      <c r="G563" s="10" t="str">
        <f>Github!H$1036</f>
        <v>Algorithms</v>
      </c>
      <c r="H563" s="13" t="str">
        <f>SUBSTITUTE(Github!L$1036, ";", ", ")</f>
        <v>Array, Dynamic Programming, </v>
      </c>
      <c r="I563" s="10" t="str">
        <f>Github!E$1036</f>
        <v>Medium</v>
      </c>
      <c r="J563" s="10" t="str">
        <f>IF(TRIM(Github!D$1036)="TRUE","FALSE","TRUE")</f>
        <v>TRUE</v>
      </c>
      <c r="K563" s="10" t="b">
        <f>Github!M$1036</f>
        <v>0</v>
      </c>
      <c r="L563" s="10" t="b">
        <f>Github!N$1036</f>
        <v>0</v>
      </c>
      <c r="M563" s="10" t="str">
        <f>ROUND(Github!O$1036, 2)&amp;"%"</f>
        <v>57.75%</v>
      </c>
      <c r="N563" s="10">
        <f>Github!P$1036</f>
        <v>65577</v>
      </c>
      <c r="O563" s="10">
        <f>Github!Q$1036</f>
        <v>113549</v>
      </c>
    </row>
    <row r="564">
      <c r="A564" s="10">
        <f>Github!J$1249</f>
        <v>1248</v>
      </c>
      <c r="B564" s="11" t="str">
        <f>HYPERLINK(CONCAT("http://leetcode.com/problems/",Github!C$1249), Github!B$1249)</f>
        <v>Count Number of Nice Subarrays</v>
      </c>
      <c r="C564" s="10">
        <f>Github!F$1249</f>
        <v>1583</v>
      </c>
      <c r="D564" s="10">
        <f>Github!G$1249</f>
        <v>39</v>
      </c>
      <c r="E564" s="10">
        <f>Github!F$1249+Github!G$1249</f>
        <v>1622</v>
      </c>
      <c r="F564" s="12">
        <f t="shared" si="1"/>
        <v>40.59</v>
      </c>
      <c r="G564" s="10" t="str">
        <f>Github!H$1249</f>
        <v>Algorithms</v>
      </c>
      <c r="H564" s="13" t="str">
        <f>SUBSTITUTE(Github!L$1249, ";", ", ")</f>
        <v>Array, Hash Table, Math, Sliding Window, </v>
      </c>
      <c r="I564" s="10" t="str">
        <f>Github!E$1249</f>
        <v>Medium</v>
      </c>
      <c r="J564" s="10" t="str">
        <f>IF(TRIM(Github!D$1249)="TRUE","FALSE","TRUE")</f>
        <v>TRUE</v>
      </c>
      <c r="K564" s="10" t="b">
        <f>Github!M$1249</f>
        <v>0</v>
      </c>
      <c r="L564" s="10" t="b">
        <f>Github!N$1249</f>
        <v>0</v>
      </c>
      <c r="M564" s="10" t="str">
        <f>ROUND(Github!O$1249, 2)&amp;"%"</f>
        <v>58.36%</v>
      </c>
      <c r="N564" s="10">
        <f>Github!P$1249</f>
        <v>50027</v>
      </c>
      <c r="O564" s="10">
        <f>Github!Q$1249</f>
        <v>85721</v>
      </c>
    </row>
    <row r="565">
      <c r="A565" s="10">
        <f>Github!J$326</f>
        <v>325</v>
      </c>
      <c r="B565" s="11" t="str">
        <f>HYPERLINK(CONCAT("http://leetcode.com/problems/",Github!C$326), Github!B$326)</f>
        <v>Maximum Size Subarray Sum Equals k</v>
      </c>
      <c r="C565" s="10">
        <f>Github!F$326</f>
        <v>1583</v>
      </c>
      <c r="D565" s="10">
        <f>Github!G$326</f>
        <v>47</v>
      </c>
      <c r="E565" s="10">
        <f>Github!F$326+Github!G$326</f>
        <v>1630</v>
      </c>
      <c r="F565" s="12">
        <f t="shared" si="1"/>
        <v>33.68</v>
      </c>
      <c r="G565" s="10" t="str">
        <f>Github!H$326</f>
        <v>Algorithms</v>
      </c>
      <c r="H565" s="13" t="str">
        <f>SUBSTITUTE(Github!L$326, ";", ", ")</f>
        <v>Array, Hash Table, </v>
      </c>
      <c r="I565" s="10" t="str">
        <f>Github!E$326</f>
        <v>Medium</v>
      </c>
      <c r="J565" s="10" t="str">
        <f>IF(TRIM(Github!D$326)="TRUE","FALSE","TRUE")</f>
        <v>FALSE</v>
      </c>
      <c r="K565" s="10" t="b">
        <f>Github!M$326</f>
        <v>1</v>
      </c>
      <c r="L565" s="10" t="b">
        <f>Github!N$326</f>
        <v>0</v>
      </c>
      <c r="M565" s="10" t="str">
        <f>ROUND(Github!O$326, 2)&amp;"%"</f>
        <v>48.97%</v>
      </c>
      <c r="N565" s="10">
        <f>Github!P$326</f>
        <v>149659</v>
      </c>
      <c r="O565" s="10">
        <f>Github!Q$326</f>
        <v>305614</v>
      </c>
    </row>
    <row r="566">
      <c r="A566" s="10">
        <f>Github!J$1123</f>
        <v>1122</v>
      </c>
      <c r="B566" s="11" t="str">
        <f>HYPERLINK(CONCAT("http://leetcode.com/problems/",Github!C$1123), Github!B$1123)</f>
        <v>Relative Sort Array</v>
      </c>
      <c r="C566" s="10">
        <f>Github!F$1123</f>
        <v>1583</v>
      </c>
      <c r="D566" s="10">
        <f>Github!G$1123</f>
        <v>96</v>
      </c>
      <c r="E566" s="10">
        <f>Github!F$1123+Github!G$1123</f>
        <v>1679</v>
      </c>
      <c r="F566" s="12">
        <f t="shared" si="1"/>
        <v>16.49</v>
      </c>
      <c r="G566" s="10" t="str">
        <f>Github!H$1123</f>
        <v>Algorithms</v>
      </c>
      <c r="H566" s="13" t="str">
        <f>SUBSTITUTE(Github!L$1123, ";", ", ")</f>
        <v>Array, Hash Table, Sorting, Counting Sort, </v>
      </c>
      <c r="I566" s="10" t="str">
        <f>Github!E$1123</f>
        <v>Easy</v>
      </c>
      <c r="J566" s="10" t="str">
        <f>IF(TRIM(Github!D$1123)="TRUE","FALSE","TRUE")</f>
        <v>TRUE</v>
      </c>
      <c r="K566" s="10" t="b">
        <f>Github!M$1123</f>
        <v>0</v>
      </c>
      <c r="L566" s="10" t="b">
        <f>Github!N$1123</f>
        <v>0</v>
      </c>
      <c r="M566" s="10" t="str">
        <f>ROUND(Github!O$1123, 2)&amp;"%"</f>
        <v>68.09%</v>
      </c>
      <c r="N566" s="10">
        <f>Github!P$1123</f>
        <v>120288</v>
      </c>
      <c r="O566" s="10">
        <f>Github!Q$1123</f>
        <v>176670</v>
      </c>
    </row>
    <row r="567">
      <c r="A567" s="10">
        <f>Github!J$1315</f>
        <v>1314</v>
      </c>
      <c r="B567" s="11" t="str">
        <f>HYPERLINK(CONCAT("http://leetcode.com/problems/",Github!C$1315), Github!B$1315)</f>
        <v>Matrix Block Sum</v>
      </c>
      <c r="C567" s="10">
        <f>Github!F$1315</f>
        <v>1578</v>
      </c>
      <c r="D567" s="10">
        <f>Github!G$1315</f>
        <v>251</v>
      </c>
      <c r="E567" s="10">
        <f>Github!F$1315+Github!G$1315</f>
        <v>1829</v>
      </c>
      <c r="F567" s="12">
        <f t="shared" si="1"/>
        <v>6.29</v>
      </c>
      <c r="G567" s="10" t="str">
        <f>Github!H$1315</f>
        <v>Algorithms</v>
      </c>
      <c r="H567" s="13" t="str">
        <f>SUBSTITUTE(Github!L$1315, ";", ", ")</f>
        <v>Array, Matrix, Prefix Sum, </v>
      </c>
      <c r="I567" s="10" t="str">
        <f>Github!E$1315</f>
        <v>Medium</v>
      </c>
      <c r="J567" s="10" t="str">
        <f>IF(TRIM(Github!D$1315)="TRUE","FALSE","TRUE")</f>
        <v>TRUE</v>
      </c>
      <c r="K567" s="10" t="b">
        <f>Github!M$1315</f>
        <v>0</v>
      </c>
      <c r="L567" s="10" t="b">
        <f>Github!N$1315</f>
        <v>0</v>
      </c>
      <c r="M567" s="10" t="str">
        <f>ROUND(Github!O$1315, 2)&amp;"%"</f>
        <v>75.03%</v>
      </c>
      <c r="N567" s="10">
        <f>Github!P$1315</f>
        <v>56480</v>
      </c>
      <c r="O567" s="10">
        <f>Github!Q$1315</f>
        <v>75272</v>
      </c>
    </row>
    <row r="568">
      <c r="A568" s="10">
        <f>Github!J$349</f>
        <v>348</v>
      </c>
      <c r="B568" s="11" t="str">
        <f>HYPERLINK(CONCAT("http://leetcode.com/problems/",Github!C$349), Github!B$349)</f>
        <v>Design Tic-Tac-Toe</v>
      </c>
      <c r="C568" s="10">
        <f>Github!F$349</f>
        <v>1577</v>
      </c>
      <c r="D568" s="10">
        <f>Github!G$349</f>
        <v>92</v>
      </c>
      <c r="E568" s="10">
        <f>Github!F$349+Github!G$349</f>
        <v>1669</v>
      </c>
      <c r="F568" s="12">
        <f t="shared" si="1"/>
        <v>17.14</v>
      </c>
      <c r="G568" s="10" t="str">
        <f>Github!H$349</f>
        <v>Algorithms</v>
      </c>
      <c r="H568" s="13" t="str">
        <f>SUBSTITUTE(Github!L$349, ";", ", ")</f>
        <v>Array, Hash Table, Design, Matrix, </v>
      </c>
      <c r="I568" s="10" t="str">
        <f>Github!E$349</f>
        <v>Medium</v>
      </c>
      <c r="J568" s="10" t="str">
        <f>IF(TRIM(Github!D$349)="TRUE","FALSE","TRUE")</f>
        <v>FALSE</v>
      </c>
      <c r="K568" s="10" t="b">
        <f>Github!M$349</f>
        <v>1</v>
      </c>
      <c r="L568" s="10" t="b">
        <f>Github!N$349</f>
        <v>0</v>
      </c>
      <c r="M568" s="10" t="str">
        <f>ROUND(Github!O$349, 2)&amp;"%"</f>
        <v>57.12%</v>
      </c>
      <c r="N568" s="10">
        <f>Github!P$349</f>
        <v>173963</v>
      </c>
      <c r="O568" s="10">
        <f>Github!Q$349</f>
        <v>304570</v>
      </c>
    </row>
    <row r="569">
      <c r="A569" s="10">
        <f>Github!J$623</f>
        <v>622</v>
      </c>
      <c r="B569" s="11" t="str">
        <f>HYPERLINK(CONCAT("http://leetcode.com/problems/",Github!C$623), Github!B$623)</f>
        <v>Design Circular Queue</v>
      </c>
      <c r="C569" s="10">
        <f>Github!F$623</f>
        <v>1578</v>
      </c>
      <c r="D569" s="10">
        <f>Github!G$623</f>
        <v>163</v>
      </c>
      <c r="E569" s="10">
        <f>Github!F$623+Github!G$623</f>
        <v>1741</v>
      </c>
      <c r="F569" s="12">
        <f t="shared" si="1"/>
        <v>9.68</v>
      </c>
      <c r="G569" s="10" t="str">
        <f>Github!H$623</f>
        <v>Algorithms</v>
      </c>
      <c r="H569" s="13" t="str">
        <f>SUBSTITUTE(Github!L$623, ";", ", ")</f>
        <v>Array, Linked List, Design, Queue, </v>
      </c>
      <c r="I569" s="10" t="str">
        <f>Github!E$623</f>
        <v>Medium</v>
      </c>
      <c r="J569" s="10" t="str">
        <f>IF(TRIM(Github!D$623)="TRUE","FALSE","TRUE")</f>
        <v>TRUE</v>
      </c>
      <c r="K569" s="10" t="b">
        <f>Github!M$623</f>
        <v>1</v>
      </c>
      <c r="L569" s="10" t="b">
        <f>Github!N$623</f>
        <v>0</v>
      </c>
      <c r="M569" s="10" t="str">
        <f>ROUND(Github!O$623, 2)&amp;"%"</f>
        <v>48.53%</v>
      </c>
      <c r="N569" s="10">
        <f>Github!P$623</f>
        <v>164028</v>
      </c>
      <c r="O569" s="10">
        <f>Github!Q$623</f>
        <v>337999</v>
      </c>
    </row>
    <row r="570">
      <c r="A570" s="10">
        <f>Github!J$478</f>
        <v>477</v>
      </c>
      <c r="B570" s="11" t="str">
        <f>HYPERLINK(CONCAT("http://leetcode.com/problems/",Github!C$478), Github!B$478)</f>
        <v>Total Hamming Distance</v>
      </c>
      <c r="C570" s="10">
        <f>Github!F$478</f>
        <v>1575</v>
      </c>
      <c r="D570" s="10">
        <f>Github!G$478</f>
        <v>79</v>
      </c>
      <c r="E570" s="10">
        <f>Github!F$478+Github!G$478</f>
        <v>1654</v>
      </c>
      <c r="F570" s="12">
        <f t="shared" si="1"/>
        <v>19.94</v>
      </c>
      <c r="G570" s="10" t="str">
        <f>Github!H$478</f>
        <v>Algorithms</v>
      </c>
      <c r="H570" s="13" t="str">
        <f>SUBSTITUTE(Github!L$478, ";", ", ")</f>
        <v>Array, Math, Bit Manipulation, </v>
      </c>
      <c r="I570" s="10" t="str">
        <f>Github!E$478</f>
        <v>Medium</v>
      </c>
      <c r="J570" s="10" t="str">
        <f>IF(TRIM(Github!D$478)="TRUE","FALSE","TRUE")</f>
        <v>TRUE</v>
      </c>
      <c r="K570" s="10" t="b">
        <f>Github!M$478</f>
        <v>1</v>
      </c>
      <c r="L570" s="10" t="b">
        <f>Github!N$478</f>
        <v>0</v>
      </c>
      <c r="M570" s="10" t="str">
        <f>ROUND(Github!O$478, 2)&amp;"%"</f>
        <v>51.89%</v>
      </c>
      <c r="N570" s="10">
        <f>Github!P$478</f>
        <v>85893</v>
      </c>
      <c r="O570" s="10">
        <f>Github!Q$478</f>
        <v>165542</v>
      </c>
    </row>
    <row r="571">
      <c r="A571" s="10">
        <f>Github!J$1643</f>
        <v>1642</v>
      </c>
      <c r="B571" s="11" t="str">
        <f>HYPERLINK(CONCAT("http://leetcode.com/problems/",Github!C$1643), Github!B$1643)</f>
        <v>Furthest Building You Can Reach</v>
      </c>
      <c r="C571" s="10">
        <f>Github!F$1643</f>
        <v>1573</v>
      </c>
      <c r="D571" s="10">
        <f>Github!G$1643</f>
        <v>48</v>
      </c>
      <c r="E571" s="10">
        <f>Github!F$1643+Github!G$1643</f>
        <v>1621</v>
      </c>
      <c r="F571" s="12">
        <f t="shared" si="1"/>
        <v>32.77</v>
      </c>
      <c r="G571" s="10" t="str">
        <f>Github!H$1643</f>
        <v>Algorithms</v>
      </c>
      <c r="H571" s="13" t="str">
        <f>SUBSTITUTE(Github!L$1643, ";", ", ")</f>
        <v>Array, Greedy, Heap (Priority Queue), </v>
      </c>
      <c r="I571" s="10" t="str">
        <f>Github!E$1643</f>
        <v>Medium</v>
      </c>
      <c r="J571" s="10" t="str">
        <f>IF(TRIM(Github!D$1643)="TRUE","FALSE","TRUE")</f>
        <v>TRUE</v>
      </c>
      <c r="K571" s="10" t="b">
        <f>Github!M$1643</f>
        <v>1</v>
      </c>
      <c r="L571" s="10" t="b">
        <f>Github!N$1643</f>
        <v>0</v>
      </c>
      <c r="M571" s="10" t="str">
        <f>ROUND(Github!O$1643, 2)&amp;"%"</f>
        <v>44.92%</v>
      </c>
      <c r="N571" s="10">
        <f>Github!P$1643</f>
        <v>44820</v>
      </c>
      <c r="O571" s="10">
        <f>Github!Q$1643</f>
        <v>99784</v>
      </c>
    </row>
    <row r="572">
      <c r="A572" s="10">
        <f>Github!J$1292</f>
        <v>1291</v>
      </c>
      <c r="B572" s="11" t="str">
        <f>HYPERLINK(CONCAT("http://leetcode.com/problems/",Github!C$1292), Github!B$1292)</f>
        <v>Sequential Digits</v>
      </c>
      <c r="C572" s="10">
        <f>Github!F$1292</f>
        <v>1572</v>
      </c>
      <c r="D572" s="10">
        <f>Github!G$1292</f>
        <v>98</v>
      </c>
      <c r="E572" s="10">
        <f>Github!F$1292+Github!G$1292</f>
        <v>1670</v>
      </c>
      <c r="F572" s="12">
        <f t="shared" si="1"/>
        <v>16.04</v>
      </c>
      <c r="G572" s="10" t="str">
        <f>Github!H$1292</f>
        <v>Algorithms</v>
      </c>
      <c r="H572" s="13" t="str">
        <f>SUBSTITUTE(Github!L$1292, ";", ", ")</f>
        <v>Enumeration, </v>
      </c>
      <c r="I572" s="10" t="str">
        <f>Github!E$1292</f>
        <v>Medium</v>
      </c>
      <c r="J572" s="10" t="str">
        <f>IF(TRIM(Github!D$1292)="TRUE","FALSE","TRUE")</f>
        <v>TRUE</v>
      </c>
      <c r="K572" s="10" t="b">
        <f>Github!M$1292</f>
        <v>1</v>
      </c>
      <c r="L572" s="10" t="b">
        <f>Github!N$1292</f>
        <v>0</v>
      </c>
      <c r="M572" s="10" t="str">
        <f>ROUND(Github!O$1292, 2)&amp;"%"</f>
        <v>60.83%</v>
      </c>
      <c r="N572" s="10">
        <f>Github!P$1292</f>
        <v>74523</v>
      </c>
      <c r="O572" s="10">
        <f>Github!Q$1292</f>
        <v>122502</v>
      </c>
    </row>
    <row r="573">
      <c r="A573" s="10">
        <f>Github!J$690</f>
        <v>689</v>
      </c>
      <c r="B573" s="11" t="str">
        <f>HYPERLINK(CONCAT("http://leetcode.com/problems/",Github!C$690), Github!B$690)</f>
        <v>Maximum Sum of 3 Non-Overlapping Subarrays</v>
      </c>
      <c r="C573" s="10">
        <f>Github!F$690</f>
        <v>1572</v>
      </c>
      <c r="D573" s="10">
        <f>Github!G$690</f>
        <v>95</v>
      </c>
      <c r="E573" s="10">
        <f>Github!F$690+Github!G$690</f>
        <v>1667</v>
      </c>
      <c r="F573" s="12">
        <f t="shared" si="1"/>
        <v>16.55</v>
      </c>
      <c r="G573" s="10" t="str">
        <f>Github!H$690</f>
        <v>Algorithms</v>
      </c>
      <c r="H573" s="13" t="str">
        <f>SUBSTITUTE(Github!L$690, ";", ", ")</f>
        <v>Array, Dynamic Programming, </v>
      </c>
      <c r="I573" s="10" t="str">
        <f>Github!E$690</f>
        <v>Hard</v>
      </c>
      <c r="J573" s="10" t="str">
        <f>IF(TRIM(Github!D$690)="TRUE","FALSE","TRUE")</f>
        <v>TRUE</v>
      </c>
      <c r="K573" s="10" t="b">
        <f>Github!M$690</f>
        <v>1</v>
      </c>
      <c r="L573" s="10" t="b">
        <f>Github!N$690</f>
        <v>0</v>
      </c>
      <c r="M573" s="10" t="str">
        <f>ROUND(Github!O$690, 2)&amp;"%"</f>
        <v>48.36%</v>
      </c>
      <c r="N573" s="10">
        <f>Github!P$690</f>
        <v>61310</v>
      </c>
      <c r="O573" s="10">
        <f>Github!Q$690</f>
        <v>126767</v>
      </c>
    </row>
    <row r="574">
      <c r="A574" s="10">
        <f>Github!J$839</f>
        <v>838</v>
      </c>
      <c r="B574" s="11" t="str">
        <f>HYPERLINK(CONCAT("http://leetcode.com/problems/",Github!C$839), Github!B$839)</f>
        <v>Push Dominoes</v>
      </c>
      <c r="C574" s="10">
        <f>Github!F$839</f>
        <v>1572</v>
      </c>
      <c r="D574" s="10">
        <f>Github!G$839</f>
        <v>105</v>
      </c>
      <c r="E574" s="10">
        <f>Github!F$839+Github!G$839</f>
        <v>1677</v>
      </c>
      <c r="F574" s="12">
        <f t="shared" si="1"/>
        <v>14.97</v>
      </c>
      <c r="G574" s="10" t="str">
        <f>Github!H$839</f>
        <v>Algorithms</v>
      </c>
      <c r="H574" s="13" t="str">
        <f>SUBSTITUTE(Github!L$839, ";", ", ")</f>
        <v>Two Pointers, String, Dynamic Programming, </v>
      </c>
      <c r="I574" s="10" t="str">
        <f>Github!E$839</f>
        <v>Medium</v>
      </c>
      <c r="J574" s="10" t="str">
        <f>IF(TRIM(Github!D$839)="TRUE","FALSE","TRUE")</f>
        <v>TRUE</v>
      </c>
      <c r="K574" s="10" t="b">
        <f>Github!M$839</f>
        <v>1</v>
      </c>
      <c r="L574" s="10" t="b">
        <f>Github!N$839</f>
        <v>0</v>
      </c>
      <c r="M574" s="10" t="str">
        <f>ROUND(Github!O$839, 2)&amp;"%"</f>
        <v>52.2%</v>
      </c>
      <c r="N574" s="10">
        <f>Github!P$839</f>
        <v>56152</v>
      </c>
      <c r="O574" s="10">
        <f>Github!Q$839</f>
        <v>107574</v>
      </c>
    </row>
    <row r="575">
      <c r="A575" s="10">
        <f>Github!J$858</f>
        <v>857</v>
      </c>
      <c r="B575" s="11" t="str">
        <f>HYPERLINK(CONCAT("http://leetcode.com/problems/",Github!C$858), Github!B$858)</f>
        <v>Minimum Cost to Hire K Workers</v>
      </c>
      <c r="C575" s="10">
        <f>Github!F$858</f>
        <v>1564</v>
      </c>
      <c r="D575" s="10">
        <f>Github!G$858</f>
        <v>187</v>
      </c>
      <c r="E575" s="10">
        <f>Github!F$858+Github!G$858</f>
        <v>1751</v>
      </c>
      <c r="F575" s="12">
        <f t="shared" si="1"/>
        <v>8.36</v>
      </c>
      <c r="G575" s="10" t="str">
        <f>Github!H$858</f>
        <v>Algorithms</v>
      </c>
      <c r="H575" s="13" t="str">
        <f>SUBSTITUTE(Github!L$858, ";", ", ")</f>
        <v>Array, Greedy, Sorting, Heap (Priority Queue), </v>
      </c>
      <c r="I575" s="10" t="str">
        <f>Github!E$858</f>
        <v>Hard</v>
      </c>
      <c r="J575" s="10" t="str">
        <f>IF(TRIM(Github!D$858)="TRUE","FALSE","TRUE")</f>
        <v>TRUE</v>
      </c>
      <c r="K575" s="10" t="b">
        <f>Github!M$858</f>
        <v>1</v>
      </c>
      <c r="L575" s="10" t="b">
        <f>Github!N$858</f>
        <v>0</v>
      </c>
      <c r="M575" s="10" t="str">
        <f>ROUND(Github!O$858, 2)&amp;"%"</f>
        <v>51.54%</v>
      </c>
      <c r="N575" s="10">
        <f>Github!P$858</f>
        <v>48800</v>
      </c>
      <c r="O575" s="10">
        <f>Github!Q$858</f>
        <v>94679</v>
      </c>
    </row>
    <row r="576">
      <c r="A576" s="10">
        <f>Github!J$1313</f>
        <v>1312</v>
      </c>
      <c r="B576" s="11" t="str">
        <f>HYPERLINK(CONCAT("http://leetcode.com/problems/",Github!C$1313), Github!B$1313)</f>
        <v>Minimum Insertion Steps to Make a String Palindrome</v>
      </c>
      <c r="C576" s="10">
        <f>Github!F$1313</f>
        <v>1567</v>
      </c>
      <c r="D576" s="10">
        <f>Github!G$1313</f>
        <v>25</v>
      </c>
      <c r="E576" s="10">
        <f>Github!F$1313+Github!G$1313</f>
        <v>1592</v>
      </c>
      <c r="F576" s="12">
        <f t="shared" si="1"/>
        <v>62.68</v>
      </c>
      <c r="G576" s="10" t="str">
        <f>Github!H$1313</f>
        <v>Algorithms</v>
      </c>
      <c r="H576" s="13" t="str">
        <f>SUBSTITUTE(Github!L$1313, ";", ", ")</f>
        <v>String, Dynamic Programming, </v>
      </c>
      <c r="I576" s="10" t="str">
        <f>Github!E$1313</f>
        <v>Hard</v>
      </c>
      <c r="J576" s="10" t="str">
        <f>IF(TRIM(Github!D$1313)="TRUE","FALSE","TRUE")</f>
        <v>TRUE</v>
      </c>
      <c r="K576" s="10" t="b">
        <f>Github!M$1313</f>
        <v>0</v>
      </c>
      <c r="L576" s="10" t="b">
        <f>Github!N$1313</f>
        <v>0</v>
      </c>
      <c r="M576" s="10" t="str">
        <f>ROUND(Github!O$1313, 2)&amp;"%"</f>
        <v>63.12%</v>
      </c>
      <c r="N576" s="10">
        <f>Github!P$1313</f>
        <v>43129</v>
      </c>
      <c r="O576" s="10">
        <f>Github!Q$1313</f>
        <v>68329</v>
      </c>
    </row>
    <row r="577">
      <c r="A577" s="10">
        <f>Github!J$415</f>
        <v>414</v>
      </c>
      <c r="B577" s="11" t="str">
        <f>HYPERLINK(CONCAT("http://leetcode.com/problems/",Github!C$415), Github!B$415)</f>
        <v>Third Maximum Number</v>
      </c>
      <c r="C577" s="10">
        <f>Github!F$415</f>
        <v>1563</v>
      </c>
      <c r="D577" s="10">
        <f>Github!G$415</f>
        <v>2232</v>
      </c>
      <c r="E577" s="10">
        <f>Github!F$415+Github!G$415</f>
        <v>3795</v>
      </c>
      <c r="F577" s="12">
        <f t="shared" si="1"/>
        <v>0.7</v>
      </c>
      <c r="G577" s="10" t="str">
        <f>Github!H$415</f>
        <v>Algorithms</v>
      </c>
      <c r="H577" s="13" t="str">
        <f>SUBSTITUTE(Github!L$415, ";", ", ")</f>
        <v>Array, Sorting, </v>
      </c>
      <c r="I577" s="10" t="str">
        <f>Github!E$415</f>
        <v>Easy</v>
      </c>
      <c r="J577" s="10" t="str">
        <f>IF(TRIM(Github!D$415)="TRUE","FALSE","TRUE")</f>
        <v>TRUE</v>
      </c>
      <c r="K577" s="10" t="b">
        <f>Github!M$415</f>
        <v>1</v>
      </c>
      <c r="L577" s="10" t="b">
        <f>Github!N$415</f>
        <v>0</v>
      </c>
      <c r="M577" s="10" t="str">
        <f>ROUND(Github!O$415, 2)&amp;"%"</f>
        <v>31.64%</v>
      </c>
      <c r="N577" s="10">
        <f>Github!P$415</f>
        <v>309677</v>
      </c>
      <c r="O577" s="10">
        <f>Github!Q$415</f>
        <v>978802</v>
      </c>
    </row>
    <row r="578">
      <c r="A578" s="10">
        <f>Github!J$521</f>
        <v>520</v>
      </c>
      <c r="B578" s="11" t="str">
        <f>HYPERLINK(CONCAT("http://leetcode.com/problems/",Github!C$521), Github!B$521)</f>
        <v>Detect Capital</v>
      </c>
      <c r="C578" s="10">
        <f>Github!F$521</f>
        <v>1562</v>
      </c>
      <c r="D578" s="10">
        <f>Github!G$521</f>
        <v>358</v>
      </c>
      <c r="E578" s="10">
        <f>Github!F$521+Github!G$521</f>
        <v>1920</v>
      </c>
      <c r="F578" s="12">
        <f t="shared" si="1"/>
        <v>4.36</v>
      </c>
      <c r="G578" s="10" t="str">
        <f>Github!H$521</f>
        <v>Algorithms</v>
      </c>
      <c r="H578" s="13" t="str">
        <f>SUBSTITUTE(Github!L$521, ";", ", ")</f>
        <v>String, </v>
      </c>
      <c r="I578" s="10" t="str">
        <f>Github!E$521</f>
        <v>Easy</v>
      </c>
      <c r="J578" s="10" t="str">
        <f>IF(TRIM(Github!D$521)="TRUE","FALSE","TRUE")</f>
        <v>TRUE</v>
      </c>
      <c r="K578" s="10" t="b">
        <f>Github!M$521</f>
        <v>1</v>
      </c>
      <c r="L578" s="10" t="b">
        <f>Github!N$521</f>
        <v>0</v>
      </c>
      <c r="M578" s="10" t="str">
        <f>ROUND(Github!O$521, 2)&amp;"%"</f>
        <v>55.71%</v>
      </c>
      <c r="N578" s="10">
        <f>Github!P$521</f>
        <v>258586</v>
      </c>
      <c r="O578" s="10">
        <f>Github!Q$521</f>
        <v>464133</v>
      </c>
    </row>
    <row r="579">
      <c r="A579" s="10">
        <f>Github!J$1080</f>
        <v>1079</v>
      </c>
      <c r="B579" s="11" t="str">
        <f>HYPERLINK(CONCAT("http://leetcode.com/problems/",Github!C$1080), Github!B$1080)</f>
        <v>Letter Tile Possibilities</v>
      </c>
      <c r="C579" s="10">
        <f>Github!F$1080</f>
        <v>1563</v>
      </c>
      <c r="D579" s="10">
        <f>Github!G$1080</f>
        <v>45</v>
      </c>
      <c r="E579" s="10">
        <f>Github!F$1080+Github!G$1080</f>
        <v>1608</v>
      </c>
      <c r="F579" s="12">
        <f t="shared" si="1"/>
        <v>34.73</v>
      </c>
      <c r="G579" s="10" t="str">
        <f>Github!H$1080</f>
        <v>Algorithms</v>
      </c>
      <c r="H579" s="13" t="str">
        <f>SUBSTITUTE(Github!L$1080, ";", ", ")</f>
        <v>String, Backtracking, </v>
      </c>
      <c r="I579" s="10" t="str">
        <f>Github!E$1080</f>
        <v>Medium</v>
      </c>
      <c r="J579" s="10" t="str">
        <f>IF(TRIM(Github!D$1080)="TRUE","FALSE","TRUE")</f>
        <v>TRUE</v>
      </c>
      <c r="K579" s="10" t="b">
        <f>Github!M$1080</f>
        <v>0</v>
      </c>
      <c r="L579" s="10" t="b">
        <f>Github!N$1080</f>
        <v>0</v>
      </c>
      <c r="M579" s="10" t="str">
        <f>ROUND(Github!O$1080, 2)&amp;"%"</f>
        <v>76.21%</v>
      </c>
      <c r="N579" s="10">
        <f>Github!P$1080</f>
        <v>65221</v>
      </c>
      <c r="O579" s="10">
        <f>Github!Q$1080</f>
        <v>85578</v>
      </c>
    </row>
    <row r="580">
      <c r="A580" s="10">
        <f>Github!J$1090</f>
        <v>1089</v>
      </c>
      <c r="B580" s="11" t="str">
        <f>HYPERLINK(CONCAT("http://leetcode.com/problems/",Github!C$1090), Github!B$1090)</f>
        <v>Duplicate Zeros</v>
      </c>
      <c r="C580" s="10">
        <f>Github!F$1090</f>
        <v>1562</v>
      </c>
      <c r="D580" s="10">
        <f>Github!G$1090</f>
        <v>501</v>
      </c>
      <c r="E580" s="10">
        <f>Github!F$1090+Github!G$1090</f>
        <v>2063</v>
      </c>
      <c r="F580" s="12">
        <f t="shared" si="1"/>
        <v>3.12</v>
      </c>
      <c r="G580" s="10" t="str">
        <f>Github!H$1090</f>
        <v>Algorithms</v>
      </c>
      <c r="H580" s="13" t="str">
        <f>SUBSTITUTE(Github!L$1090, ";", ", ")</f>
        <v>Array, Two Pointers, </v>
      </c>
      <c r="I580" s="10" t="str">
        <f>Github!E$1090</f>
        <v>Easy</v>
      </c>
      <c r="J580" s="10" t="str">
        <f>IF(TRIM(Github!D$1090)="TRUE","FALSE","TRUE")</f>
        <v>TRUE</v>
      </c>
      <c r="K580" s="10" t="b">
        <f>Github!M$1090</f>
        <v>1</v>
      </c>
      <c r="L580" s="10" t="b">
        <f>Github!N$1090</f>
        <v>0</v>
      </c>
      <c r="M580" s="10" t="str">
        <f>ROUND(Github!O$1090, 2)&amp;"%"</f>
        <v>51.12%</v>
      </c>
      <c r="N580" s="10">
        <f>Github!P$1090</f>
        <v>250588</v>
      </c>
      <c r="O580" s="10">
        <f>Github!Q$1090</f>
        <v>490180</v>
      </c>
    </row>
    <row r="581">
      <c r="A581" s="10">
        <f>Github!J$564</f>
        <v>563</v>
      </c>
      <c r="B581" s="11" t="str">
        <f>HYPERLINK(CONCAT("http://leetcode.com/problems/",Github!C$564), Github!B$564)</f>
        <v>Binary Tree Tilt</v>
      </c>
      <c r="C581" s="10">
        <f>Github!F$564</f>
        <v>1559</v>
      </c>
      <c r="D581" s="10">
        <f>Github!G$564</f>
        <v>1893</v>
      </c>
      <c r="E581" s="10">
        <f>Github!F$564+Github!G$564</f>
        <v>3452</v>
      </c>
      <c r="F581" s="12">
        <f t="shared" si="1"/>
        <v>0.82</v>
      </c>
      <c r="G581" s="10" t="str">
        <f>Github!H$564</f>
        <v>Algorithms</v>
      </c>
      <c r="H581" s="13" t="str">
        <f>SUBSTITUTE(Github!L$564, ";", ", ")</f>
        <v>Tree, Depth-First Search, Binary Tree, </v>
      </c>
      <c r="I581" s="10" t="str">
        <f>Github!E$564</f>
        <v>Easy</v>
      </c>
      <c r="J581" s="10" t="str">
        <f>IF(TRIM(Github!D$564)="TRUE","FALSE","TRUE")</f>
        <v>TRUE</v>
      </c>
      <c r="K581" s="10" t="b">
        <f>Github!M$564</f>
        <v>1</v>
      </c>
      <c r="L581" s="10" t="b">
        <f>Github!N$564</f>
        <v>0</v>
      </c>
      <c r="M581" s="10" t="str">
        <f>ROUND(Github!O$564, 2)&amp;"%"</f>
        <v>58.29%</v>
      </c>
      <c r="N581" s="10">
        <f>Github!P$564</f>
        <v>162763</v>
      </c>
      <c r="O581" s="10">
        <f>Github!Q$564</f>
        <v>279250</v>
      </c>
    </row>
    <row r="582">
      <c r="A582" s="10">
        <f>Github!J$669</f>
        <v>668</v>
      </c>
      <c r="B582" s="11" t="str">
        <f>HYPERLINK(CONCAT("http://leetcode.com/problems/",Github!C$669), Github!B$669)</f>
        <v>Kth Smallest Number in Multiplication Table</v>
      </c>
      <c r="C582" s="10">
        <f>Github!F$669</f>
        <v>1558</v>
      </c>
      <c r="D582" s="10">
        <f>Github!G$669</f>
        <v>44</v>
      </c>
      <c r="E582" s="10">
        <f>Github!F$669+Github!G$669</f>
        <v>1602</v>
      </c>
      <c r="F582" s="12">
        <f t="shared" si="1"/>
        <v>35.41</v>
      </c>
      <c r="G582" s="10" t="str">
        <f>Github!H$669</f>
        <v>Algorithms</v>
      </c>
      <c r="H582" s="13" t="str">
        <f>SUBSTITUTE(Github!L$669, ";", ", ")</f>
        <v>Binary Search, </v>
      </c>
      <c r="I582" s="10" t="str">
        <f>Github!E$669</f>
        <v>Hard</v>
      </c>
      <c r="J582" s="10" t="str">
        <f>IF(TRIM(Github!D$669)="TRUE","FALSE","TRUE")</f>
        <v>TRUE</v>
      </c>
      <c r="K582" s="10" t="b">
        <f>Github!M$669</f>
        <v>1</v>
      </c>
      <c r="L582" s="10" t="b">
        <f>Github!N$669</f>
        <v>0</v>
      </c>
      <c r="M582" s="10" t="str">
        <f>ROUND(Github!O$669, 2)&amp;"%"</f>
        <v>50.89%</v>
      </c>
      <c r="N582" s="10">
        <f>Github!P$669</f>
        <v>47080</v>
      </c>
      <c r="O582" s="10">
        <f>Github!Q$669</f>
        <v>92511</v>
      </c>
    </row>
    <row r="583">
      <c r="A583" s="10">
        <f>Github!J$1676</f>
        <v>1675</v>
      </c>
      <c r="B583" s="11" t="str">
        <f>HYPERLINK(CONCAT("http://leetcode.com/problems/",Github!C$1676), Github!B$1676)</f>
        <v>Minimize Deviation in Array</v>
      </c>
      <c r="C583" s="10">
        <f>Github!F$1676</f>
        <v>1556</v>
      </c>
      <c r="D583" s="10">
        <f>Github!G$1676</f>
        <v>79</v>
      </c>
      <c r="E583" s="10">
        <f>Github!F$1676+Github!G$1676</f>
        <v>1635</v>
      </c>
      <c r="F583" s="12">
        <f t="shared" si="1"/>
        <v>19.7</v>
      </c>
      <c r="G583" s="10" t="str">
        <f>Github!H$1676</f>
        <v>Algorithms</v>
      </c>
      <c r="H583" s="13" t="str">
        <f>SUBSTITUTE(Github!L$1676, ";", ", ")</f>
        <v>Array, Greedy, Heap (Priority Queue), Ordered Set, </v>
      </c>
      <c r="I583" s="10" t="str">
        <f>Github!E$1676</f>
        <v>Hard</v>
      </c>
      <c r="J583" s="10" t="str">
        <f>IF(TRIM(Github!D$1676)="TRUE","FALSE","TRUE")</f>
        <v>TRUE</v>
      </c>
      <c r="K583" s="10" t="b">
        <f>Github!M$1676</f>
        <v>1</v>
      </c>
      <c r="L583" s="10" t="b">
        <f>Github!N$1676</f>
        <v>0</v>
      </c>
      <c r="M583" s="10" t="str">
        <f>ROUND(Github!O$1676, 2)&amp;"%"</f>
        <v>52.58%</v>
      </c>
      <c r="N583" s="10">
        <f>Github!P$1676</f>
        <v>42198</v>
      </c>
      <c r="O583" s="10">
        <f>Github!Q$1676</f>
        <v>80256</v>
      </c>
    </row>
    <row r="584">
      <c r="A584" s="10">
        <f>Github!J$796</f>
        <v>795</v>
      </c>
      <c r="B584" s="11" t="str">
        <f>HYPERLINK(CONCAT("http://leetcode.com/problems/",Github!C$796), Github!B$796)</f>
        <v>Number of Subarrays with Bounded Maximum</v>
      </c>
      <c r="C584" s="10">
        <f>Github!F$796</f>
        <v>1553</v>
      </c>
      <c r="D584" s="10">
        <f>Github!G$796</f>
        <v>89</v>
      </c>
      <c r="E584" s="10">
        <f>Github!F$796+Github!G$796</f>
        <v>1642</v>
      </c>
      <c r="F584" s="12">
        <f t="shared" si="1"/>
        <v>17.45</v>
      </c>
      <c r="G584" s="10" t="str">
        <f>Github!H$796</f>
        <v>Algorithms</v>
      </c>
      <c r="H584" s="13" t="str">
        <f>SUBSTITUTE(Github!L$796, ";", ", ")</f>
        <v>Array, Two Pointers, </v>
      </c>
      <c r="I584" s="10" t="str">
        <f>Github!E$796</f>
        <v>Medium</v>
      </c>
      <c r="J584" s="10" t="str">
        <f>IF(TRIM(Github!D$796)="TRUE","FALSE","TRUE")</f>
        <v>TRUE</v>
      </c>
      <c r="K584" s="10" t="b">
        <f>Github!M$796</f>
        <v>1</v>
      </c>
      <c r="L584" s="10" t="b">
        <f>Github!N$796</f>
        <v>0</v>
      </c>
      <c r="M584" s="10" t="str">
        <f>ROUND(Github!O$796, 2)&amp;"%"</f>
        <v>52.33%</v>
      </c>
      <c r="N584" s="10">
        <f>Github!P$796</f>
        <v>51127</v>
      </c>
      <c r="O584" s="10">
        <f>Github!Q$796</f>
        <v>97700</v>
      </c>
    </row>
    <row r="585">
      <c r="A585" s="10">
        <f>Github!J$637</f>
        <v>636</v>
      </c>
      <c r="B585" s="11" t="str">
        <f>HYPERLINK(CONCAT("http://leetcode.com/problems/",Github!C$637), Github!B$637)</f>
        <v>Exclusive Time of Functions</v>
      </c>
      <c r="C585" s="10">
        <f>Github!F$637</f>
        <v>1548</v>
      </c>
      <c r="D585" s="10">
        <f>Github!G$637</f>
        <v>2318</v>
      </c>
      <c r="E585" s="10">
        <f>Github!F$637+Github!G$637</f>
        <v>3866</v>
      </c>
      <c r="F585" s="12">
        <f t="shared" si="1"/>
        <v>0.67</v>
      </c>
      <c r="G585" s="10" t="str">
        <f>Github!H$637</f>
        <v>Algorithms</v>
      </c>
      <c r="H585" s="13" t="str">
        <f>SUBSTITUTE(Github!L$637, ";", ", ")</f>
        <v>Array, Stack, </v>
      </c>
      <c r="I585" s="10" t="str">
        <f>Github!E$637</f>
        <v>Medium</v>
      </c>
      <c r="J585" s="10" t="str">
        <f>IF(TRIM(Github!D$637)="TRUE","FALSE","TRUE")</f>
        <v>TRUE</v>
      </c>
      <c r="K585" s="10" t="b">
        <f>Github!M$637</f>
        <v>0</v>
      </c>
      <c r="L585" s="10" t="b">
        <f>Github!N$637</f>
        <v>0</v>
      </c>
      <c r="M585" s="10" t="str">
        <f>ROUND(Github!O$637, 2)&amp;"%"</f>
        <v>59.72%</v>
      </c>
      <c r="N585" s="10">
        <f>Github!P$637</f>
        <v>160621</v>
      </c>
      <c r="O585" s="10">
        <f>Github!Q$637</f>
        <v>268988</v>
      </c>
    </row>
    <row r="586">
      <c r="A586" s="10">
        <f>Github!J$384</f>
        <v>383</v>
      </c>
      <c r="B586" s="11" t="str">
        <f>HYPERLINK(CONCAT("http://leetcode.com/problems/",Github!C$384), Github!B$384)</f>
        <v>Ransom Note</v>
      </c>
      <c r="C586" s="10">
        <f>Github!F$384</f>
        <v>1549</v>
      </c>
      <c r="D586" s="10">
        <f>Github!G$384</f>
        <v>287</v>
      </c>
      <c r="E586" s="10">
        <f>Github!F$384+Github!G$384</f>
        <v>1836</v>
      </c>
      <c r="F586" s="12">
        <f t="shared" si="1"/>
        <v>5.4</v>
      </c>
      <c r="G586" s="10" t="str">
        <f>Github!H$384</f>
        <v>Algorithms</v>
      </c>
      <c r="H586" s="13" t="str">
        <f>SUBSTITUTE(Github!L$384, ";", ", ")</f>
        <v>Hash Table, String, Counting, </v>
      </c>
      <c r="I586" s="10" t="str">
        <f>Github!E$384</f>
        <v>Easy</v>
      </c>
      <c r="J586" s="10" t="str">
        <f>IF(TRIM(Github!D$384)="TRUE","FALSE","TRUE")</f>
        <v>TRUE</v>
      </c>
      <c r="K586" s="10" t="b">
        <f>Github!M$384</f>
        <v>1</v>
      </c>
      <c r="L586" s="10" t="b">
        <f>Github!N$384</f>
        <v>0</v>
      </c>
      <c r="M586" s="10" t="str">
        <f>ROUND(Github!O$384, 2)&amp;"%"</f>
        <v>55.64%</v>
      </c>
      <c r="N586" s="10">
        <f>Github!P$384</f>
        <v>350094</v>
      </c>
      <c r="O586" s="10">
        <f>Github!Q$384</f>
        <v>629187</v>
      </c>
    </row>
    <row r="587">
      <c r="A587" s="10">
        <f>Github!J$1163</f>
        <v>1162</v>
      </c>
      <c r="B587" s="11" t="str">
        <f>HYPERLINK(CONCAT("http://leetcode.com/problems/",Github!C$1163), Github!B$1163)</f>
        <v>As Far from Land as Possible</v>
      </c>
      <c r="C587" s="10">
        <f>Github!F$1163</f>
        <v>1545</v>
      </c>
      <c r="D587" s="10">
        <f>Github!G$1163</f>
        <v>52</v>
      </c>
      <c r="E587" s="10">
        <f>Github!F$1163+Github!G$1163</f>
        <v>1597</v>
      </c>
      <c r="F587" s="12">
        <f t="shared" si="1"/>
        <v>29.71</v>
      </c>
      <c r="G587" s="10" t="str">
        <f>Github!H$1163</f>
        <v>Algorithms</v>
      </c>
      <c r="H587" s="13" t="str">
        <f>SUBSTITUTE(Github!L$1163, ";", ", ")</f>
        <v>Array, Dynamic Programming, Breadth-First Search, Matrix, </v>
      </c>
      <c r="I587" s="10" t="str">
        <f>Github!E$1163</f>
        <v>Medium</v>
      </c>
      <c r="J587" s="10" t="str">
        <f>IF(TRIM(Github!D$1163)="TRUE","FALSE","TRUE")</f>
        <v>TRUE</v>
      </c>
      <c r="K587" s="10" t="b">
        <f>Github!M$1163</f>
        <v>0</v>
      </c>
      <c r="L587" s="10" t="b">
        <f>Github!N$1163</f>
        <v>0</v>
      </c>
      <c r="M587" s="10" t="str">
        <f>ROUND(Github!O$1163, 2)&amp;"%"</f>
        <v>47.85%</v>
      </c>
      <c r="N587" s="10">
        <f>Github!P$1163</f>
        <v>53621</v>
      </c>
      <c r="O587" s="10">
        <f>Github!Q$1163</f>
        <v>112066</v>
      </c>
    </row>
    <row r="588">
      <c r="A588" s="10">
        <f>Github!J$382</f>
        <v>381</v>
      </c>
      <c r="B588" s="11" t="str">
        <f>HYPERLINK(CONCAT("http://leetcode.com/problems/",Github!C$382), Github!B$382)</f>
        <v>Insert Delete GetRandom O(1) - Duplicates allowed</v>
      </c>
      <c r="C588" s="10">
        <f>Github!F$382</f>
        <v>1540</v>
      </c>
      <c r="D588" s="10">
        <f>Github!G$382</f>
        <v>112</v>
      </c>
      <c r="E588" s="10">
        <f>Github!F$382+Github!G$382</f>
        <v>1652</v>
      </c>
      <c r="F588" s="12">
        <f t="shared" si="1"/>
        <v>13.75</v>
      </c>
      <c r="G588" s="10" t="str">
        <f>Github!H$382</f>
        <v>Algorithms</v>
      </c>
      <c r="H588" s="13" t="str">
        <f>SUBSTITUTE(Github!L$382, ";", ", ")</f>
        <v>Array, Hash Table, Math, Design, Randomized, </v>
      </c>
      <c r="I588" s="10" t="str">
        <f>Github!E$382</f>
        <v>Hard</v>
      </c>
      <c r="J588" s="10" t="str">
        <f>IF(TRIM(Github!D$382)="TRUE","FALSE","TRUE")</f>
        <v>TRUE</v>
      </c>
      <c r="K588" s="10" t="b">
        <f>Github!M$382</f>
        <v>1</v>
      </c>
      <c r="L588" s="10" t="b">
        <f>Github!N$382</f>
        <v>0</v>
      </c>
      <c r="M588" s="10" t="str">
        <f>ROUND(Github!O$382, 2)&amp;"%"</f>
        <v>35.42%</v>
      </c>
      <c r="N588" s="10">
        <f>Github!P$382</f>
        <v>104138</v>
      </c>
      <c r="O588" s="10">
        <f>Github!Q$382</f>
        <v>293975</v>
      </c>
    </row>
    <row r="589">
      <c r="A589" s="10">
        <f>Github!J$952</f>
        <v>951</v>
      </c>
      <c r="B589" s="11" t="str">
        <f>HYPERLINK(CONCAT("http://leetcode.com/problems/",Github!C$952), Github!B$952)</f>
        <v>Flip Equivalent Binary Trees</v>
      </c>
      <c r="C589" s="10">
        <f>Github!F$952</f>
        <v>1541</v>
      </c>
      <c r="D589" s="10">
        <f>Github!G$952</f>
        <v>69</v>
      </c>
      <c r="E589" s="10">
        <f>Github!F$952+Github!G$952</f>
        <v>1610</v>
      </c>
      <c r="F589" s="12">
        <f t="shared" si="1"/>
        <v>22.33</v>
      </c>
      <c r="G589" s="10" t="str">
        <f>Github!H$952</f>
        <v>Algorithms</v>
      </c>
      <c r="H589" s="13" t="str">
        <f>SUBSTITUTE(Github!L$952, ";", ", ")</f>
        <v>Tree, Depth-First Search, Binary Tree, </v>
      </c>
      <c r="I589" s="10" t="str">
        <f>Github!E$952</f>
        <v>Medium</v>
      </c>
      <c r="J589" s="10" t="str">
        <f>IF(TRIM(Github!D$952)="TRUE","FALSE","TRUE")</f>
        <v>TRUE</v>
      </c>
      <c r="K589" s="10" t="b">
        <f>Github!M$952</f>
        <v>1</v>
      </c>
      <c r="L589" s="10" t="b">
        <f>Github!N$952</f>
        <v>0</v>
      </c>
      <c r="M589" s="10" t="str">
        <f>ROUND(Github!O$952, 2)&amp;"%"</f>
        <v>66.61%</v>
      </c>
      <c r="N589" s="10">
        <f>Github!P$952</f>
        <v>105354</v>
      </c>
      <c r="O589" s="10">
        <f>Github!Q$952</f>
        <v>158158</v>
      </c>
    </row>
    <row r="590">
      <c r="A590" s="10">
        <f>Github!J$1330</f>
        <v>1329</v>
      </c>
      <c r="B590" s="11" t="str">
        <f>HYPERLINK(CONCAT("http://leetcode.com/problems/",Github!C$1330), Github!B$1330)</f>
        <v>Sort the Matrix Diagonally</v>
      </c>
      <c r="C590" s="10">
        <f>Github!F$1330</f>
        <v>1533</v>
      </c>
      <c r="D590" s="10">
        <f>Github!G$1330</f>
        <v>173</v>
      </c>
      <c r="E590" s="10">
        <f>Github!F$1330+Github!G$1330</f>
        <v>1706</v>
      </c>
      <c r="F590" s="12">
        <f t="shared" si="1"/>
        <v>8.86</v>
      </c>
      <c r="G590" s="10" t="str">
        <f>Github!H$1330</f>
        <v>Algorithms</v>
      </c>
      <c r="H590" s="13" t="str">
        <f>SUBSTITUTE(Github!L$1330, ";", ", ")</f>
        <v>Array, Sorting, Matrix, </v>
      </c>
      <c r="I590" s="10" t="str">
        <f>Github!E$1330</f>
        <v>Medium</v>
      </c>
      <c r="J590" s="10" t="str">
        <f>IF(TRIM(Github!D$1330)="TRUE","FALSE","TRUE")</f>
        <v>TRUE</v>
      </c>
      <c r="K590" s="10" t="b">
        <f>Github!M$1330</f>
        <v>1</v>
      </c>
      <c r="L590" s="10" t="b">
        <f>Github!N$1330</f>
        <v>1</v>
      </c>
      <c r="M590" s="10" t="str">
        <f>ROUND(Github!O$1330, 2)&amp;"%"</f>
        <v>81.35%</v>
      </c>
      <c r="N590" s="10">
        <f>Github!P$1330</f>
        <v>80620</v>
      </c>
      <c r="O590" s="10">
        <f>Github!Q$1330</f>
        <v>99097</v>
      </c>
    </row>
    <row r="591">
      <c r="A591" s="10">
        <f>Github!J$766</f>
        <v>765</v>
      </c>
      <c r="B591" s="11" t="str">
        <f>HYPERLINK(CONCAT("http://leetcode.com/problems/",Github!C$766), Github!B$766)</f>
        <v>Couples Holding Hands</v>
      </c>
      <c r="C591" s="10">
        <f>Github!F$766</f>
        <v>1531</v>
      </c>
      <c r="D591" s="10">
        <f>Github!G$766</f>
        <v>83</v>
      </c>
      <c r="E591" s="10">
        <f>Github!F$766+Github!G$766</f>
        <v>1614</v>
      </c>
      <c r="F591" s="12">
        <f t="shared" si="1"/>
        <v>18.45</v>
      </c>
      <c r="G591" s="10" t="str">
        <f>Github!H$766</f>
        <v>Algorithms</v>
      </c>
      <c r="H591" s="13" t="str">
        <f>SUBSTITUTE(Github!L$766, ";", ", ")</f>
        <v>Greedy, Depth-First Search, Breadth-First Search, Union Find, Graph, </v>
      </c>
      <c r="I591" s="10" t="str">
        <f>Github!E$766</f>
        <v>Hard</v>
      </c>
      <c r="J591" s="10" t="str">
        <f>IF(TRIM(Github!D$766)="TRUE","FALSE","TRUE")</f>
        <v>TRUE</v>
      </c>
      <c r="K591" s="10" t="b">
        <f>Github!M$766</f>
        <v>1</v>
      </c>
      <c r="L591" s="10" t="b">
        <f>Github!N$766</f>
        <v>0</v>
      </c>
      <c r="M591" s="10" t="str">
        <f>ROUND(Github!O$766, 2)&amp;"%"</f>
        <v>56.34%</v>
      </c>
      <c r="N591" s="10">
        <f>Github!P$766</f>
        <v>42114</v>
      </c>
      <c r="O591" s="10">
        <f>Github!Q$766</f>
        <v>74745</v>
      </c>
    </row>
    <row r="592">
      <c r="A592" s="10">
        <f>Github!J$784</f>
        <v>783</v>
      </c>
      <c r="B592" s="11" t="str">
        <f>HYPERLINK(CONCAT("http://leetcode.com/problems/",Github!C$784), Github!B$784)</f>
        <v>Minimum Distance Between BST Nodes</v>
      </c>
      <c r="C592" s="10">
        <f>Github!F$784</f>
        <v>1531</v>
      </c>
      <c r="D592" s="10">
        <f>Github!G$784</f>
        <v>308</v>
      </c>
      <c r="E592" s="10">
        <f>Github!F$784+Github!G$784</f>
        <v>1839</v>
      </c>
      <c r="F592" s="12">
        <f t="shared" si="1"/>
        <v>4.97</v>
      </c>
      <c r="G592" s="10" t="str">
        <f>Github!H$784</f>
        <v>Algorithms</v>
      </c>
      <c r="H592" s="13" t="str">
        <f>SUBSTITUTE(Github!L$784, ";", ", ")</f>
        <v>Tree, Depth-First Search, Breadth-First Search, Binary Search Tree, Binary Tree, </v>
      </c>
      <c r="I592" s="10" t="str">
        <f>Github!E$784</f>
        <v>Easy</v>
      </c>
      <c r="J592" s="10" t="str">
        <f>IF(TRIM(Github!D$784)="TRUE","FALSE","TRUE")</f>
        <v>TRUE</v>
      </c>
      <c r="K592" s="10" t="b">
        <f>Github!M$784</f>
        <v>1</v>
      </c>
      <c r="L592" s="10" t="b">
        <f>Github!N$784</f>
        <v>0</v>
      </c>
      <c r="M592" s="10" t="str">
        <f>ROUND(Github!O$784, 2)&amp;"%"</f>
        <v>55.88%</v>
      </c>
      <c r="N592" s="10">
        <f>Github!P$784</f>
        <v>116126</v>
      </c>
      <c r="O592" s="10">
        <f>Github!Q$784</f>
        <v>207796</v>
      </c>
    </row>
    <row r="593">
      <c r="A593" s="10">
        <f>Github!J$166</f>
        <v>165</v>
      </c>
      <c r="B593" s="11" t="str">
        <f>HYPERLINK(CONCAT("http://leetcode.com/problems/",Github!C$166), Github!B$166)</f>
        <v>Compare Version Numbers</v>
      </c>
      <c r="C593" s="10">
        <f>Github!F$166</f>
        <v>1531</v>
      </c>
      <c r="D593" s="10">
        <f>Github!G$166</f>
        <v>2212</v>
      </c>
      <c r="E593" s="10">
        <f>Github!F$166+Github!G$166</f>
        <v>3743</v>
      </c>
      <c r="F593" s="12">
        <f t="shared" si="1"/>
        <v>0.69</v>
      </c>
      <c r="G593" s="10" t="str">
        <f>Github!H$166</f>
        <v>Algorithms</v>
      </c>
      <c r="H593" s="13" t="str">
        <f>SUBSTITUTE(Github!L$166, ";", ", ")</f>
        <v>Two Pointers, String, </v>
      </c>
      <c r="I593" s="10" t="str">
        <f>Github!E$166</f>
        <v>Medium</v>
      </c>
      <c r="J593" s="10" t="str">
        <f>IF(TRIM(Github!D$166)="TRUE","FALSE","TRUE")</f>
        <v>TRUE</v>
      </c>
      <c r="K593" s="10" t="b">
        <f>Github!M$166</f>
        <v>1</v>
      </c>
      <c r="L593" s="10" t="b">
        <f>Github!N$166</f>
        <v>0</v>
      </c>
      <c r="M593" s="10" t="str">
        <f>ROUND(Github!O$166, 2)&amp;"%"</f>
        <v>34.32%</v>
      </c>
      <c r="N593" s="10">
        <f>Github!P$166</f>
        <v>309158</v>
      </c>
      <c r="O593" s="10">
        <f>Github!Q$166</f>
        <v>900849</v>
      </c>
    </row>
    <row r="594">
      <c r="A594" s="10">
        <f>Github!J$1147</f>
        <v>1146</v>
      </c>
      <c r="B594" s="11" t="str">
        <f>HYPERLINK(CONCAT("http://leetcode.com/problems/",Github!C$1147), Github!B$1147)</f>
        <v>Snapshot Array</v>
      </c>
      <c r="C594" s="10">
        <f>Github!F$1147</f>
        <v>1528</v>
      </c>
      <c r="D594" s="10">
        <f>Github!G$1147</f>
        <v>237</v>
      </c>
      <c r="E594" s="10">
        <f>Github!F$1147+Github!G$1147</f>
        <v>1765</v>
      </c>
      <c r="F594" s="12">
        <f t="shared" si="1"/>
        <v>6.45</v>
      </c>
      <c r="G594" s="10" t="str">
        <f>Github!H$1147</f>
        <v>Algorithms</v>
      </c>
      <c r="H594" s="13" t="str">
        <f>SUBSTITUTE(Github!L$1147, ";", ", ")</f>
        <v>Array, Hash Table, Binary Search, Design, </v>
      </c>
      <c r="I594" s="10" t="str">
        <f>Github!E$1147</f>
        <v>Medium</v>
      </c>
      <c r="J594" s="10" t="str">
        <f>IF(TRIM(Github!D$1147)="TRUE","FALSE","TRUE")</f>
        <v>TRUE</v>
      </c>
      <c r="K594" s="10" t="b">
        <f>Github!M$1147</f>
        <v>0</v>
      </c>
      <c r="L594" s="10" t="b">
        <f>Github!N$1147</f>
        <v>0</v>
      </c>
      <c r="M594" s="10" t="str">
        <f>ROUND(Github!O$1147, 2)&amp;"%"</f>
        <v>37.02%</v>
      </c>
      <c r="N594" s="10">
        <f>Github!P$1147</f>
        <v>97639</v>
      </c>
      <c r="O594" s="10">
        <f>Github!Q$1147</f>
        <v>263743</v>
      </c>
    </row>
    <row r="595">
      <c r="A595" s="10">
        <f>Github!J$474</f>
        <v>473</v>
      </c>
      <c r="B595" s="11" t="str">
        <f>HYPERLINK(CONCAT("http://leetcode.com/problems/",Github!C$474), Github!B$474)</f>
        <v>Matchsticks to Square</v>
      </c>
      <c r="C595" s="10">
        <f>Github!F$474</f>
        <v>1526</v>
      </c>
      <c r="D595" s="10">
        <f>Github!G$474</f>
        <v>119</v>
      </c>
      <c r="E595" s="10">
        <f>Github!F$474+Github!G$474</f>
        <v>1645</v>
      </c>
      <c r="F595" s="12">
        <f t="shared" si="1"/>
        <v>12.82</v>
      </c>
      <c r="G595" s="10" t="str">
        <f>Github!H$474</f>
        <v>Algorithms</v>
      </c>
      <c r="H595" s="13" t="str">
        <f>SUBSTITUTE(Github!L$474, ";", ", ")</f>
        <v>Array, Dynamic Programming, Backtracking, Bit Manipulation, Bitmask, </v>
      </c>
      <c r="I595" s="10" t="str">
        <f>Github!E$474</f>
        <v>Medium</v>
      </c>
      <c r="J595" s="10" t="str">
        <f>IF(TRIM(Github!D$474)="TRUE","FALSE","TRUE")</f>
        <v>TRUE</v>
      </c>
      <c r="K595" s="10" t="b">
        <f>Github!M$474</f>
        <v>1</v>
      </c>
      <c r="L595" s="10" t="b">
        <f>Github!N$474</f>
        <v>0</v>
      </c>
      <c r="M595" s="10" t="str">
        <f>ROUND(Github!O$474, 2)&amp;"%"</f>
        <v>40.38%</v>
      </c>
      <c r="N595" s="10">
        <f>Github!P$474</f>
        <v>74695</v>
      </c>
      <c r="O595" s="10">
        <f>Github!Q$474</f>
        <v>184992</v>
      </c>
    </row>
    <row r="596">
      <c r="A596" s="10">
        <f>Github!J$926</f>
        <v>925</v>
      </c>
      <c r="B596" s="11" t="str">
        <f>HYPERLINK(CONCAT("http://leetcode.com/problems/",Github!C$926), Github!B$926)</f>
        <v>Long Pressed Name</v>
      </c>
      <c r="C596" s="10">
        <f>Github!F$926</f>
        <v>1525</v>
      </c>
      <c r="D596" s="10">
        <f>Github!G$926</f>
        <v>234</v>
      </c>
      <c r="E596" s="10">
        <f>Github!F$926+Github!G$926</f>
        <v>1759</v>
      </c>
      <c r="F596" s="12">
        <f t="shared" si="1"/>
        <v>6.52</v>
      </c>
      <c r="G596" s="10" t="str">
        <f>Github!H$926</f>
        <v>Algorithms</v>
      </c>
      <c r="H596" s="13" t="str">
        <f>SUBSTITUTE(Github!L$926, ";", ", ")</f>
        <v>Two Pointers, String, </v>
      </c>
      <c r="I596" s="10" t="str">
        <f>Github!E$926</f>
        <v>Easy</v>
      </c>
      <c r="J596" s="10" t="str">
        <f>IF(TRIM(Github!D$926)="TRUE","FALSE","TRUE")</f>
        <v>TRUE</v>
      </c>
      <c r="K596" s="10" t="b">
        <f>Github!M$926</f>
        <v>0</v>
      </c>
      <c r="L596" s="10" t="b">
        <f>Github!N$926</f>
        <v>0</v>
      </c>
      <c r="M596" s="10" t="str">
        <f>ROUND(Github!O$926, 2)&amp;"%"</f>
        <v>34.89%</v>
      </c>
      <c r="N596" s="10">
        <f>Github!P$926</f>
        <v>89200</v>
      </c>
      <c r="O596" s="10">
        <f>Github!Q$926</f>
        <v>255686</v>
      </c>
    </row>
    <row r="597">
      <c r="A597" s="10">
        <f>Github!J$1377</f>
        <v>1376</v>
      </c>
      <c r="B597" s="11" t="str">
        <f>HYPERLINK(CONCAT("http://leetcode.com/problems/",Github!C$1377), Github!B$1377)</f>
        <v>Time Needed to Inform All Employees</v>
      </c>
      <c r="C597" s="10">
        <f>Github!F$1377</f>
        <v>1523</v>
      </c>
      <c r="D597" s="10">
        <f>Github!G$1377</f>
        <v>89</v>
      </c>
      <c r="E597" s="10">
        <f>Github!F$1377+Github!G$1377</f>
        <v>1612</v>
      </c>
      <c r="F597" s="12">
        <f t="shared" si="1"/>
        <v>17.11</v>
      </c>
      <c r="G597" s="10" t="str">
        <f>Github!H$1377</f>
        <v>Algorithms</v>
      </c>
      <c r="H597" s="13" t="str">
        <f>SUBSTITUTE(Github!L$1377, ";", ", ")</f>
        <v>Tree, Depth-First Search, Breadth-First Search, </v>
      </c>
      <c r="I597" s="10" t="str">
        <f>Github!E$1377</f>
        <v>Medium</v>
      </c>
      <c r="J597" s="10" t="str">
        <f>IF(TRIM(Github!D$1377)="TRUE","FALSE","TRUE")</f>
        <v>TRUE</v>
      </c>
      <c r="K597" s="10" t="b">
        <f>Github!M$1377</f>
        <v>0</v>
      </c>
      <c r="L597" s="10" t="b">
        <f>Github!N$1377</f>
        <v>0</v>
      </c>
      <c r="M597" s="10" t="str">
        <f>ROUND(Github!O$1377, 2)&amp;"%"</f>
        <v>57.85%</v>
      </c>
      <c r="N597" s="10">
        <f>Github!P$1377</f>
        <v>81283</v>
      </c>
      <c r="O597" s="10">
        <f>Github!Q$1377</f>
        <v>140495</v>
      </c>
    </row>
    <row r="598">
      <c r="A598" s="10">
        <f>Github!J$691</f>
        <v>690</v>
      </c>
      <c r="B598" s="11" t="str">
        <f>HYPERLINK(CONCAT("http://leetcode.com/problems/",Github!C$691), Github!B$691)</f>
        <v>Employee Importance</v>
      </c>
      <c r="C598" s="10">
        <f>Github!F$691</f>
        <v>1515</v>
      </c>
      <c r="D598" s="10">
        <f>Github!G$691</f>
        <v>1216</v>
      </c>
      <c r="E598" s="10">
        <f>Github!F$691+Github!G$691</f>
        <v>2731</v>
      </c>
      <c r="F598" s="12">
        <f t="shared" si="1"/>
        <v>1.25</v>
      </c>
      <c r="G598" s="10" t="str">
        <f>Github!H$691</f>
        <v>Algorithms</v>
      </c>
      <c r="H598" s="13" t="str">
        <f>SUBSTITUTE(Github!L$691, ";", ", ")</f>
        <v>Hash Table, Depth-First Search, Breadth-First Search, </v>
      </c>
      <c r="I598" s="10" t="str">
        <f>Github!E$691</f>
        <v>Medium</v>
      </c>
      <c r="J598" s="10" t="str">
        <f>IF(TRIM(Github!D$691)="TRUE","FALSE","TRUE")</f>
        <v>TRUE</v>
      </c>
      <c r="K598" s="10" t="b">
        <f>Github!M$691</f>
        <v>1</v>
      </c>
      <c r="L598" s="10" t="b">
        <f>Github!N$691</f>
        <v>0</v>
      </c>
      <c r="M598" s="10" t="str">
        <f>ROUND(Github!O$691, 2)&amp;"%"</f>
        <v>63.58%</v>
      </c>
      <c r="N598" s="10">
        <f>Github!P$691</f>
        <v>168199</v>
      </c>
      <c r="O598" s="10">
        <f>Github!Q$691</f>
        <v>264529</v>
      </c>
    </row>
    <row r="599">
      <c r="A599" s="10">
        <f>Github!J$814</f>
        <v>813</v>
      </c>
      <c r="B599" s="11" t="str">
        <f>HYPERLINK(CONCAT("http://leetcode.com/problems/",Github!C$814), Github!B$814)</f>
        <v>Largest Sum of Averages</v>
      </c>
      <c r="C599" s="10">
        <f>Github!F$814</f>
        <v>1515</v>
      </c>
      <c r="D599" s="10">
        <f>Github!G$814</f>
        <v>75</v>
      </c>
      <c r="E599" s="10">
        <f>Github!F$814+Github!G$814</f>
        <v>1590</v>
      </c>
      <c r="F599" s="12">
        <f t="shared" si="1"/>
        <v>20.2</v>
      </c>
      <c r="G599" s="10" t="str">
        <f>Github!H$814</f>
        <v>Algorithms</v>
      </c>
      <c r="H599" s="13" t="str">
        <f>SUBSTITUTE(Github!L$814, ";", ", ")</f>
        <v>Array, Dynamic Programming, </v>
      </c>
      <c r="I599" s="10" t="str">
        <f>Github!E$814</f>
        <v>Medium</v>
      </c>
      <c r="J599" s="10" t="str">
        <f>IF(TRIM(Github!D$814)="TRUE","FALSE","TRUE")</f>
        <v>TRUE</v>
      </c>
      <c r="K599" s="10" t="b">
        <f>Github!M$814</f>
        <v>1</v>
      </c>
      <c r="L599" s="10" t="b">
        <f>Github!N$814</f>
        <v>0</v>
      </c>
      <c r="M599" s="10" t="str">
        <f>ROUND(Github!O$814, 2)&amp;"%"</f>
        <v>52.25%</v>
      </c>
      <c r="N599" s="10">
        <f>Github!P$814</f>
        <v>38682</v>
      </c>
      <c r="O599" s="10">
        <f>Github!Q$814</f>
        <v>74038</v>
      </c>
    </row>
    <row r="600">
      <c r="A600" s="10">
        <f>Github!J$1343</f>
        <v>1342</v>
      </c>
      <c r="B600" s="11" t="str">
        <f>HYPERLINK(CONCAT("http://leetcode.com/problems/",Github!C$1343), Github!B$1343)</f>
        <v>Number of Steps to Reduce a Number to Zero</v>
      </c>
      <c r="C600" s="10">
        <f>Github!F$1343</f>
        <v>1515</v>
      </c>
      <c r="D600" s="10">
        <f>Github!G$1343</f>
        <v>103</v>
      </c>
      <c r="E600" s="10">
        <f>Github!F$1343+Github!G$1343</f>
        <v>1618</v>
      </c>
      <c r="F600" s="12">
        <f t="shared" si="1"/>
        <v>14.71</v>
      </c>
      <c r="G600" s="10" t="str">
        <f>Github!H$1343</f>
        <v>Algorithms</v>
      </c>
      <c r="H600" s="13" t="str">
        <f>SUBSTITUTE(Github!L$1343, ";", ", ")</f>
        <v>Math, Bit Manipulation, </v>
      </c>
      <c r="I600" s="10" t="str">
        <f>Github!E$1343</f>
        <v>Easy</v>
      </c>
      <c r="J600" s="10" t="str">
        <f>IF(TRIM(Github!D$1343)="TRUE","FALSE","TRUE")</f>
        <v>TRUE</v>
      </c>
      <c r="K600" s="10" t="b">
        <f>Github!M$1343</f>
        <v>1</v>
      </c>
      <c r="L600" s="10" t="b">
        <f>Github!N$1343</f>
        <v>0</v>
      </c>
      <c r="M600" s="10" t="str">
        <f>ROUND(Github!O$1343, 2)&amp;"%"</f>
        <v>85.71%</v>
      </c>
      <c r="N600" s="10">
        <f>Github!P$1343</f>
        <v>242318</v>
      </c>
      <c r="O600" s="10">
        <f>Github!Q$1343</f>
        <v>282722</v>
      </c>
    </row>
    <row r="601">
      <c r="A601" s="10">
        <f>Github!J$167</f>
        <v>166</v>
      </c>
      <c r="B601" s="11" t="str">
        <f>HYPERLINK(CONCAT("http://leetcode.com/problems/",Github!C$167), Github!B$167)</f>
        <v>Fraction to Recurring Decimal</v>
      </c>
      <c r="C601" s="10">
        <f>Github!F$167</f>
        <v>1511</v>
      </c>
      <c r="D601" s="10">
        <f>Github!G$167</f>
        <v>2857</v>
      </c>
      <c r="E601" s="10">
        <f>Github!F$167+Github!G$167</f>
        <v>4368</v>
      </c>
      <c r="F601" s="12">
        <f t="shared" si="1"/>
        <v>0.53</v>
      </c>
      <c r="G601" s="10" t="str">
        <f>Github!H$167</f>
        <v>Algorithms</v>
      </c>
      <c r="H601" s="13" t="str">
        <f>SUBSTITUTE(Github!L$167, ";", ", ")</f>
        <v>Hash Table, Math, String, </v>
      </c>
      <c r="I601" s="10" t="str">
        <f>Github!E$167</f>
        <v>Medium</v>
      </c>
      <c r="J601" s="10" t="str">
        <f>IF(TRIM(Github!D$167)="TRUE","FALSE","TRUE")</f>
        <v>TRUE</v>
      </c>
      <c r="K601" s="10" t="b">
        <f>Github!M$167</f>
        <v>1</v>
      </c>
      <c r="L601" s="10" t="b">
        <f>Github!N$167</f>
        <v>0</v>
      </c>
      <c r="M601" s="10" t="str">
        <f>ROUND(Github!O$167, 2)&amp;"%"</f>
        <v>23.45%</v>
      </c>
      <c r="N601" s="10">
        <f>Github!P$167</f>
        <v>178249</v>
      </c>
      <c r="O601" s="10">
        <f>Github!Q$167</f>
        <v>760073</v>
      </c>
    </row>
    <row r="602">
      <c r="A602" s="10">
        <f>Github!J$591</f>
        <v>590</v>
      </c>
      <c r="B602" s="11" t="str">
        <f>HYPERLINK(CONCAT("http://leetcode.com/problems/",Github!C$591), Github!B$591)</f>
        <v>N-ary Tree Postorder Traversal</v>
      </c>
      <c r="C602" s="10">
        <f>Github!F$591</f>
        <v>1501</v>
      </c>
      <c r="D602" s="10">
        <f>Github!G$591</f>
        <v>79</v>
      </c>
      <c r="E602" s="10">
        <f>Github!F$591+Github!G$591</f>
        <v>1580</v>
      </c>
      <c r="F602" s="12">
        <f t="shared" si="1"/>
        <v>19</v>
      </c>
      <c r="G602" s="10" t="str">
        <f>Github!H$591</f>
        <v>Algorithms</v>
      </c>
      <c r="H602" s="13" t="str">
        <f>SUBSTITUTE(Github!L$591, ";", ", ")</f>
        <v>Stack, Tree, Depth-First Search, </v>
      </c>
      <c r="I602" s="10" t="str">
        <f>Github!E$591</f>
        <v>Easy</v>
      </c>
      <c r="J602" s="10" t="str">
        <f>IF(TRIM(Github!D$591)="TRUE","FALSE","TRUE")</f>
        <v>TRUE</v>
      </c>
      <c r="K602" s="10" t="b">
        <f>Github!M$591</f>
        <v>1</v>
      </c>
      <c r="L602" s="10" t="b">
        <f>Github!N$591</f>
        <v>0</v>
      </c>
      <c r="M602" s="10" t="str">
        <f>ROUND(Github!O$591, 2)&amp;"%"</f>
        <v>75.91%</v>
      </c>
      <c r="N602" s="10">
        <f>Github!P$591</f>
        <v>173547</v>
      </c>
      <c r="O602" s="10">
        <f>Github!Q$591</f>
        <v>228618</v>
      </c>
    </row>
    <row r="603">
      <c r="A603" s="10">
        <f>Github!J$1659</f>
        <v>1658</v>
      </c>
      <c r="B603" s="11" t="str">
        <f>HYPERLINK(CONCAT("http://leetcode.com/problems/",Github!C$1659), Github!B$1659)</f>
        <v>Minimum Operations to Reduce X to Zero</v>
      </c>
      <c r="C603" s="10">
        <f>Github!F$1659</f>
        <v>1501</v>
      </c>
      <c r="D603" s="10">
        <f>Github!G$1659</f>
        <v>28</v>
      </c>
      <c r="E603" s="10">
        <f>Github!F$1659+Github!G$1659</f>
        <v>1529</v>
      </c>
      <c r="F603" s="12">
        <f t="shared" si="1"/>
        <v>53.61</v>
      </c>
      <c r="G603" s="10" t="str">
        <f>Github!H$1659</f>
        <v>Algorithms</v>
      </c>
      <c r="H603" s="13" t="str">
        <f>SUBSTITUTE(Github!L$1659, ";", ", ")</f>
        <v>Array, Hash Table, Binary Search, Sliding Window, Prefix Sum, </v>
      </c>
      <c r="I603" s="10" t="str">
        <f>Github!E$1659</f>
        <v>Medium</v>
      </c>
      <c r="J603" s="10" t="str">
        <f>IF(TRIM(Github!D$1659)="TRUE","FALSE","TRUE")</f>
        <v>TRUE</v>
      </c>
      <c r="K603" s="10" t="b">
        <f>Github!M$1659</f>
        <v>1</v>
      </c>
      <c r="L603" s="10" t="b">
        <f>Github!N$1659</f>
        <v>0</v>
      </c>
      <c r="M603" s="10" t="str">
        <f>ROUND(Github!O$1659, 2)&amp;"%"</f>
        <v>33.49%</v>
      </c>
      <c r="N603" s="10">
        <f>Github!P$1659</f>
        <v>44584</v>
      </c>
      <c r="O603" s="10">
        <f>Github!Q$1659</f>
        <v>133128</v>
      </c>
    </row>
    <row r="604">
      <c r="A604" s="10">
        <f>Github!J$686</f>
        <v>685</v>
      </c>
      <c r="B604" s="11" t="str">
        <f>HYPERLINK(CONCAT("http://leetcode.com/problems/",Github!C$686), Github!B$686)</f>
        <v>Redundant Connection II</v>
      </c>
      <c r="C604" s="10">
        <f>Github!F$686</f>
        <v>1498</v>
      </c>
      <c r="D604" s="10">
        <f>Github!G$686</f>
        <v>264</v>
      </c>
      <c r="E604" s="10">
        <f>Github!F$686+Github!G$686</f>
        <v>1762</v>
      </c>
      <c r="F604" s="12">
        <f t="shared" si="1"/>
        <v>5.67</v>
      </c>
      <c r="G604" s="10" t="str">
        <f>Github!H$686</f>
        <v>Algorithms</v>
      </c>
      <c r="H604" s="13" t="str">
        <f>SUBSTITUTE(Github!L$686, ";", ", ")</f>
        <v>Depth-First Search, Breadth-First Search, Union Find, Graph, </v>
      </c>
      <c r="I604" s="10" t="str">
        <f>Github!E$686</f>
        <v>Hard</v>
      </c>
      <c r="J604" s="10" t="str">
        <f>IF(TRIM(Github!D$686)="TRUE","FALSE","TRUE")</f>
        <v>TRUE</v>
      </c>
      <c r="K604" s="10" t="b">
        <f>Github!M$686</f>
        <v>0</v>
      </c>
      <c r="L604" s="10" t="b">
        <f>Github!N$686</f>
        <v>0</v>
      </c>
      <c r="M604" s="10" t="str">
        <f>ROUND(Github!O$686, 2)&amp;"%"</f>
        <v>33.65%</v>
      </c>
      <c r="N604" s="10">
        <f>Github!P$686</f>
        <v>50348</v>
      </c>
      <c r="O604" s="10">
        <f>Github!Q$686</f>
        <v>149620</v>
      </c>
    </row>
    <row r="605">
      <c r="A605" s="10">
        <f>Github!J$595</f>
        <v>594</v>
      </c>
      <c r="B605" s="11" t="str">
        <f>HYPERLINK(CONCAT("http://leetcode.com/problems/",Github!C$595), Github!B$595)</f>
        <v>Longest Harmonious Subsequence</v>
      </c>
      <c r="C605" s="10">
        <f>Github!F$595</f>
        <v>1496</v>
      </c>
      <c r="D605" s="10">
        <f>Github!G$595</f>
        <v>147</v>
      </c>
      <c r="E605" s="10">
        <f>Github!F$595+Github!G$595</f>
        <v>1643</v>
      </c>
      <c r="F605" s="12">
        <f t="shared" si="1"/>
        <v>10.18</v>
      </c>
      <c r="G605" s="10" t="str">
        <f>Github!H$595</f>
        <v>Algorithms</v>
      </c>
      <c r="H605" s="13" t="str">
        <f>SUBSTITUTE(Github!L$595, ";", ", ")</f>
        <v>Array, Hash Table, Sorting, </v>
      </c>
      <c r="I605" s="10" t="str">
        <f>Github!E$595</f>
        <v>Easy</v>
      </c>
      <c r="J605" s="10" t="str">
        <f>IF(TRIM(Github!D$595)="TRUE","FALSE","TRUE")</f>
        <v>TRUE</v>
      </c>
      <c r="K605" s="10" t="b">
        <f>Github!M$595</f>
        <v>1</v>
      </c>
      <c r="L605" s="10" t="b">
        <f>Github!N$595</f>
        <v>0</v>
      </c>
      <c r="M605" s="10" t="str">
        <f>ROUND(Github!O$595, 2)&amp;"%"</f>
        <v>52.53%</v>
      </c>
      <c r="N605" s="10">
        <f>Github!P$595</f>
        <v>112877</v>
      </c>
      <c r="O605" s="10">
        <f>Github!Q$595</f>
        <v>214869</v>
      </c>
    </row>
    <row r="606">
      <c r="A606" s="10">
        <f>Github!J$1075</f>
        <v>1074</v>
      </c>
      <c r="B606" s="11" t="str">
        <f>HYPERLINK(CONCAT("http://leetcode.com/problems/",Github!C$1075), Github!B$1075)</f>
        <v>Number of Submatrices That Sum to Target</v>
      </c>
      <c r="C606" s="10">
        <f>Github!F$1075</f>
        <v>1497</v>
      </c>
      <c r="D606" s="10">
        <f>Github!G$1075</f>
        <v>37</v>
      </c>
      <c r="E606" s="10">
        <f>Github!F$1075+Github!G$1075</f>
        <v>1534</v>
      </c>
      <c r="F606" s="12">
        <f t="shared" si="1"/>
        <v>40.46</v>
      </c>
      <c r="G606" s="10" t="str">
        <f>Github!H$1075</f>
        <v>Algorithms</v>
      </c>
      <c r="H606" s="13" t="str">
        <f>SUBSTITUTE(Github!L$1075, ";", ", ")</f>
        <v>Array, Hash Table, Matrix, Prefix Sum, </v>
      </c>
      <c r="I606" s="10" t="str">
        <f>Github!E$1075</f>
        <v>Hard</v>
      </c>
      <c r="J606" s="10" t="str">
        <f>IF(TRIM(Github!D$1075)="TRUE","FALSE","TRUE")</f>
        <v>TRUE</v>
      </c>
      <c r="K606" s="10" t="b">
        <f>Github!M$1075</f>
        <v>1</v>
      </c>
      <c r="L606" s="10" t="b">
        <f>Github!N$1075</f>
        <v>0</v>
      </c>
      <c r="M606" s="10" t="str">
        <f>ROUND(Github!O$1075, 2)&amp;"%"</f>
        <v>66.28%</v>
      </c>
      <c r="N606" s="10">
        <f>Github!P$1075</f>
        <v>47034</v>
      </c>
      <c r="O606" s="10">
        <f>Github!Q$1075</f>
        <v>70958</v>
      </c>
    </row>
    <row r="607">
      <c r="A607" s="10">
        <f>Github!J$644</f>
        <v>643</v>
      </c>
      <c r="B607" s="11" t="str">
        <f>HYPERLINK(CONCAT("http://leetcode.com/problems/",Github!C$644), Github!B$644)</f>
        <v>Maximum Average Subarray I</v>
      </c>
      <c r="C607" s="10">
        <f>Github!F$644</f>
        <v>1495</v>
      </c>
      <c r="D607" s="10">
        <f>Github!G$644</f>
        <v>155</v>
      </c>
      <c r="E607" s="10">
        <f>Github!F$644+Github!G$644</f>
        <v>1650</v>
      </c>
      <c r="F607" s="12">
        <f t="shared" si="1"/>
        <v>9.65</v>
      </c>
      <c r="G607" s="10" t="str">
        <f>Github!H$644</f>
        <v>Algorithms</v>
      </c>
      <c r="H607" s="13" t="str">
        <f>SUBSTITUTE(Github!L$644, ";", ", ")</f>
        <v>Array, Sliding Window, </v>
      </c>
      <c r="I607" s="10" t="str">
        <f>Github!E$644</f>
        <v>Easy</v>
      </c>
      <c r="J607" s="10" t="str">
        <f>IF(TRIM(Github!D$644)="TRUE","FALSE","TRUE")</f>
        <v>TRUE</v>
      </c>
      <c r="K607" s="10" t="b">
        <f>Github!M$644</f>
        <v>1</v>
      </c>
      <c r="L607" s="10" t="b">
        <f>Github!N$644</f>
        <v>0</v>
      </c>
      <c r="M607" s="10" t="str">
        <f>ROUND(Github!O$644, 2)&amp;"%"</f>
        <v>43.38%</v>
      </c>
      <c r="N607" s="10">
        <f>Github!P$644</f>
        <v>135144</v>
      </c>
      <c r="O607" s="10">
        <f>Github!Q$644</f>
        <v>311550</v>
      </c>
    </row>
    <row r="608">
      <c r="A608" s="10">
        <f>Github!J$1483</f>
        <v>1482</v>
      </c>
      <c r="B608" s="11" t="str">
        <f>HYPERLINK(CONCAT("http://leetcode.com/problems/",Github!C$1483), Github!B$1483)</f>
        <v>Minimum Number of Days to Make m Bouquets</v>
      </c>
      <c r="C608" s="10">
        <f>Github!F$1483</f>
        <v>1487</v>
      </c>
      <c r="D608" s="10">
        <f>Github!G$1483</f>
        <v>37</v>
      </c>
      <c r="E608" s="10">
        <f>Github!F$1483+Github!G$1483</f>
        <v>1524</v>
      </c>
      <c r="F608" s="12">
        <f t="shared" si="1"/>
        <v>40.19</v>
      </c>
      <c r="G608" s="10" t="str">
        <f>Github!H$1483</f>
        <v>Algorithms</v>
      </c>
      <c r="H608" s="13" t="str">
        <f>SUBSTITUTE(Github!L$1483, ";", ", ")</f>
        <v>Array, Binary Search, </v>
      </c>
      <c r="I608" s="10" t="str">
        <f>Github!E$1483</f>
        <v>Medium</v>
      </c>
      <c r="J608" s="10" t="str">
        <f>IF(TRIM(Github!D$1483)="TRUE","FALSE","TRUE")</f>
        <v>TRUE</v>
      </c>
      <c r="K608" s="10" t="b">
        <f>Github!M$1483</f>
        <v>0</v>
      </c>
      <c r="L608" s="10" t="b">
        <f>Github!N$1483</f>
        <v>0</v>
      </c>
      <c r="M608" s="10" t="str">
        <f>ROUND(Github!O$1483, 2)&amp;"%"</f>
        <v>55.23%</v>
      </c>
      <c r="N608" s="10">
        <f>Github!P$1483</f>
        <v>34379</v>
      </c>
      <c r="O608" s="10">
        <f>Github!Q$1483</f>
        <v>62247</v>
      </c>
    </row>
    <row r="609">
      <c r="A609" s="10">
        <f>Github!J$1338</f>
        <v>1337</v>
      </c>
      <c r="B609" s="11" t="str">
        <f>HYPERLINK(CONCAT("http://leetcode.com/problems/",Github!C$1338), Github!B$1338)</f>
        <v>The K Weakest Rows in a Matrix</v>
      </c>
      <c r="C609" s="10">
        <f>Github!F$1338</f>
        <v>1481</v>
      </c>
      <c r="D609" s="10">
        <f>Github!G$1338</f>
        <v>88</v>
      </c>
      <c r="E609" s="10">
        <f>Github!F$1338+Github!G$1338</f>
        <v>1569</v>
      </c>
      <c r="F609" s="12">
        <f t="shared" si="1"/>
        <v>16.83</v>
      </c>
      <c r="G609" s="10" t="str">
        <f>Github!H$1338</f>
        <v>Algorithms</v>
      </c>
      <c r="H609" s="13" t="str">
        <f>SUBSTITUTE(Github!L$1338, ";", ", ")</f>
        <v>Array, Binary Search, Sorting, Heap (Priority Queue), Matrix, </v>
      </c>
      <c r="I609" s="10" t="str">
        <f>Github!E$1338</f>
        <v>Easy</v>
      </c>
      <c r="J609" s="10" t="str">
        <f>IF(TRIM(Github!D$1338)="TRUE","FALSE","TRUE")</f>
        <v>TRUE</v>
      </c>
      <c r="K609" s="10" t="b">
        <f>Github!M$1338</f>
        <v>1</v>
      </c>
      <c r="L609" s="10" t="b">
        <f>Github!N$1338</f>
        <v>0</v>
      </c>
      <c r="M609" s="10" t="str">
        <f>ROUND(Github!O$1338, 2)&amp;"%"</f>
        <v>72.22%</v>
      </c>
      <c r="N609" s="10">
        <f>Github!P$1338</f>
        <v>104923</v>
      </c>
      <c r="O609" s="10">
        <f>Github!Q$1338</f>
        <v>145278</v>
      </c>
    </row>
    <row r="610">
      <c r="A610" s="10">
        <f>Github!J$1033</f>
        <v>1032</v>
      </c>
      <c r="B610" s="11" t="str">
        <f>HYPERLINK(CONCAT("http://leetcode.com/problems/",Github!C$1033), Github!B$1033)</f>
        <v>Stream of Characters</v>
      </c>
      <c r="C610" s="10">
        <f>Github!F$1033</f>
        <v>1480</v>
      </c>
      <c r="D610" s="10">
        <f>Github!G$1033</f>
        <v>168</v>
      </c>
      <c r="E610" s="10">
        <f>Github!F$1033+Github!G$1033</f>
        <v>1648</v>
      </c>
      <c r="F610" s="12">
        <f t="shared" si="1"/>
        <v>8.81</v>
      </c>
      <c r="G610" s="10" t="str">
        <f>Github!H$1033</f>
        <v>Algorithms</v>
      </c>
      <c r="H610" s="13" t="str">
        <f>SUBSTITUTE(Github!L$1033, ";", ", ")</f>
        <v>Array, String, Design, Trie, Data Stream, </v>
      </c>
      <c r="I610" s="10" t="str">
        <f>Github!E$1033</f>
        <v>Hard</v>
      </c>
      <c r="J610" s="10" t="str">
        <f>IF(TRIM(Github!D$1033)="TRUE","FALSE","TRUE")</f>
        <v>TRUE</v>
      </c>
      <c r="K610" s="10" t="b">
        <f>Github!M$1033</f>
        <v>1</v>
      </c>
      <c r="L610" s="10" t="b">
        <f>Github!N$1033</f>
        <v>0</v>
      </c>
      <c r="M610" s="10" t="str">
        <f>ROUND(Github!O$1033, 2)&amp;"%"</f>
        <v>51.33%</v>
      </c>
      <c r="N610" s="10">
        <f>Github!P$1033</f>
        <v>72487</v>
      </c>
      <c r="O610" s="10">
        <f>Github!Q$1033</f>
        <v>141224</v>
      </c>
    </row>
    <row r="611">
      <c r="A611" s="10">
        <f>Github!J$346</f>
        <v>345</v>
      </c>
      <c r="B611" s="11" t="str">
        <f>HYPERLINK(CONCAT("http://leetcode.com/problems/",Github!C$346), Github!B$346)</f>
        <v>Reverse Vowels of a String</v>
      </c>
      <c r="C611" s="10">
        <f>Github!F$346</f>
        <v>1480</v>
      </c>
      <c r="D611" s="10">
        <f>Github!G$346</f>
        <v>1774</v>
      </c>
      <c r="E611" s="10">
        <f>Github!F$346+Github!G$346</f>
        <v>3254</v>
      </c>
      <c r="F611" s="12">
        <f t="shared" si="1"/>
        <v>0.83</v>
      </c>
      <c r="G611" s="10" t="str">
        <f>Github!H$346</f>
        <v>Algorithms</v>
      </c>
      <c r="H611" s="13" t="str">
        <f>SUBSTITUTE(Github!L$346, ";", ", ")</f>
        <v>Two Pointers, String, </v>
      </c>
      <c r="I611" s="10" t="str">
        <f>Github!E$346</f>
        <v>Easy</v>
      </c>
      <c r="J611" s="10" t="str">
        <f>IF(TRIM(Github!D$346)="TRUE","FALSE","TRUE")</f>
        <v>TRUE</v>
      </c>
      <c r="K611" s="10" t="b">
        <f>Github!M$346</f>
        <v>0</v>
      </c>
      <c r="L611" s="10" t="b">
        <f>Github!N$346</f>
        <v>0</v>
      </c>
      <c r="M611" s="10" t="str">
        <f>ROUND(Github!O$346, 2)&amp;"%"</f>
        <v>46.75%</v>
      </c>
      <c r="N611" s="10">
        <f>Github!P$346</f>
        <v>337127</v>
      </c>
      <c r="O611" s="10">
        <f>Github!Q$346</f>
        <v>721178</v>
      </c>
    </row>
    <row r="612">
      <c r="A612" s="10">
        <f>Github!J$1001</f>
        <v>1000</v>
      </c>
      <c r="B612" s="11" t="str">
        <f>HYPERLINK(CONCAT("http://leetcode.com/problems/",Github!C$1001), Github!B$1001)</f>
        <v>Minimum Cost to Merge Stones</v>
      </c>
      <c r="C612" s="10">
        <f>Github!F$1001</f>
        <v>1471</v>
      </c>
      <c r="D612" s="10">
        <f>Github!G$1001</f>
        <v>77</v>
      </c>
      <c r="E612" s="10">
        <f>Github!F$1001+Github!G$1001</f>
        <v>1548</v>
      </c>
      <c r="F612" s="12">
        <f t="shared" si="1"/>
        <v>19.1</v>
      </c>
      <c r="G612" s="10" t="str">
        <f>Github!H$1001</f>
        <v>Algorithms</v>
      </c>
      <c r="H612" s="13" t="str">
        <f>SUBSTITUTE(Github!L$1001, ";", ", ")</f>
        <v>Array, Dynamic Programming, </v>
      </c>
      <c r="I612" s="10" t="str">
        <f>Github!E$1001</f>
        <v>Hard</v>
      </c>
      <c r="J612" s="10" t="str">
        <f>IF(TRIM(Github!D$1001)="TRUE","FALSE","TRUE")</f>
        <v>TRUE</v>
      </c>
      <c r="K612" s="10" t="b">
        <f>Github!M$1001</f>
        <v>0</v>
      </c>
      <c r="L612" s="10" t="b">
        <f>Github!N$1001</f>
        <v>0</v>
      </c>
      <c r="M612" s="10" t="str">
        <f>ROUND(Github!O$1001, 2)&amp;"%"</f>
        <v>42.01%</v>
      </c>
      <c r="N612" s="10">
        <f>Github!P$1001</f>
        <v>26803</v>
      </c>
      <c r="O612" s="10">
        <f>Github!Q$1001</f>
        <v>63806</v>
      </c>
    </row>
    <row r="613">
      <c r="A613" s="10">
        <f>Github!J$318</f>
        <v>317</v>
      </c>
      <c r="B613" s="11" t="str">
        <f>HYPERLINK(CONCAT("http://leetcode.com/problems/",Github!C$318), Github!B$318)</f>
        <v>Shortest Distance from All Buildings</v>
      </c>
      <c r="C613" s="10">
        <f>Github!F$318</f>
        <v>1470</v>
      </c>
      <c r="D613" s="10">
        <f>Github!G$318</f>
        <v>156</v>
      </c>
      <c r="E613" s="10">
        <f>Github!F$318+Github!G$318</f>
        <v>1626</v>
      </c>
      <c r="F613" s="12">
        <f t="shared" si="1"/>
        <v>9.42</v>
      </c>
      <c r="G613" s="10" t="str">
        <f>Github!H$318</f>
        <v>Algorithms</v>
      </c>
      <c r="H613" s="13" t="str">
        <f>SUBSTITUTE(Github!L$318, ";", ", ")</f>
        <v>Array, Breadth-First Search, Matrix, </v>
      </c>
      <c r="I613" s="10" t="str">
        <f>Github!E$318</f>
        <v>Hard</v>
      </c>
      <c r="J613" s="10" t="str">
        <f>IF(TRIM(Github!D$318)="TRUE","FALSE","TRUE")</f>
        <v>FALSE</v>
      </c>
      <c r="K613" s="10" t="b">
        <f>Github!M$318</f>
        <v>1</v>
      </c>
      <c r="L613" s="10" t="b">
        <f>Github!N$318</f>
        <v>0</v>
      </c>
      <c r="M613" s="10" t="str">
        <f>ROUND(Github!O$318, 2)&amp;"%"</f>
        <v>43.41%</v>
      </c>
      <c r="N613" s="10">
        <f>Github!P$318</f>
        <v>130967</v>
      </c>
      <c r="O613" s="10">
        <f>Github!Q$318</f>
        <v>301697</v>
      </c>
    </row>
    <row r="614">
      <c r="A614" s="10">
        <f>Github!J$328</f>
        <v>327</v>
      </c>
      <c r="B614" s="11" t="str">
        <f>HYPERLINK(CONCAT("http://leetcode.com/problems/",Github!C$328), Github!B$328)</f>
        <v>Count of Range Sum</v>
      </c>
      <c r="C614" s="10">
        <f>Github!F$328</f>
        <v>1464</v>
      </c>
      <c r="D614" s="10">
        <f>Github!G$328</f>
        <v>153</v>
      </c>
      <c r="E614" s="10">
        <f>Github!F$328+Github!G$328</f>
        <v>1617</v>
      </c>
      <c r="F614" s="12">
        <f t="shared" si="1"/>
        <v>9.57</v>
      </c>
      <c r="G614" s="10" t="str">
        <f>Github!H$328</f>
        <v>Algorithms</v>
      </c>
      <c r="H614" s="13" t="str">
        <f>SUBSTITUTE(Github!L$328, ";", ", ")</f>
        <v>Array, Binary Search, Divide and Conquer, Binary Indexed Tree, Segment Tree, Merge Sort, Ordered Set, </v>
      </c>
      <c r="I614" s="10" t="str">
        <f>Github!E$328</f>
        <v>Hard</v>
      </c>
      <c r="J614" s="10" t="str">
        <f>IF(TRIM(Github!D$328)="TRUE","FALSE","TRUE")</f>
        <v>TRUE</v>
      </c>
      <c r="K614" s="10" t="b">
        <f>Github!M$328</f>
        <v>0</v>
      </c>
      <c r="L614" s="10" t="b">
        <f>Github!N$328</f>
        <v>0</v>
      </c>
      <c r="M614" s="10" t="str">
        <f>ROUND(Github!O$328, 2)&amp;"%"</f>
        <v>36.03%</v>
      </c>
      <c r="N614" s="10">
        <f>Github!P$328</f>
        <v>57933</v>
      </c>
      <c r="O614" s="10">
        <f>Github!Q$328</f>
        <v>160791</v>
      </c>
    </row>
    <row r="615">
      <c r="A615" s="10">
        <f>Github!J$1015</f>
        <v>1014</v>
      </c>
      <c r="B615" s="11" t="str">
        <f>HYPERLINK(CONCAT("http://leetcode.com/problems/",Github!C$1015), Github!B$1015)</f>
        <v>Best Sightseeing Pair</v>
      </c>
      <c r="C615" s="10">
        <f>Github!F$1015</f>
        <v>1461</v>
      </c>
      <c r="D615" s="10">
        <f>Github!G$1015</f>
        <v>38</v>
      </c>
      <c r="E615" s="10">
        <f>Github!F$1015+Github!G$1015</f>
        <v>1499</v>
      </c>
      <c r="F615" s="12">
        <f t="shared" si="1"/>
        <v>38.45</v>
      </c>
      <c r="G615" s="10" t="str">
        <f>Github!H$1015</f>
        <v>Algorithms</v>
      </c>
      <c r="H615" s="13" t="str">
        <f>SUBSTITUTE(Github!L$1015, ";", ", ")</f>
        <v>Array, Dynamic Programming, </v>
      </c>
      <c r="I615" s="10" t="str">
        <f>Github!E$1015</f>
        <v>Medium</v>
      </c>
      <c r="J615" s="10" t="str">
        <f>IF(TRIM(Github!D$1015)="TRUE","FALSE","TRUE")</f>
        <v>TRUE</v>
      </c>
      <c r="K615" s="10" t="b">
        <f>Github!M$1015</f>
        <v>0</v>
      </c>
      <c r="L615" s="10" t="b">
        <f>Github!N$1015</f>
        <v>0</v>
      </c>
      <c r="M615" s="10" t="str">
        <f>ROUND(Github!O$1015, 2)&amp;"%"</f>
        <v>58.23%</v>
      </c>
      <c r="N615" s="10">
        <f>Github!P$1015</f>
        <v>50737</v>
      </c>
      <c r="O615" s="10">
        <f>Github!Q$1015</f>
        <v>87137</v>
      </c>
    </row>
    <row r="616">
      <c r="A616" s="10">
        <f>Github!J$1360</f>
        <v>1359</v>
      </c>
      <c r="B616" s="11" t="str">
        <f>HYPERLINK(CONCAT("http://leetcode.com/problems/",Github!C$1360), Github!B$1360)</f>
        <v>Count All Valid Pickup and Delivery Options</v>
      </c>
      <c r="C616" s="10">
        <f>Github!F$1360</f>
        <v>1462</v>
      </c>
      <c r="D616" s="10">
        <f>Github!G$1360</f>
        <v>132</v>
      </c>
      <c r="E616" s="10">
        <f>Github!F$1360+Github!G$1360</f>
        <v>1594</v>
      </c>
      <c r="F616" s="12">
        <f t="shared" si="1"/>
        <v>11.08</v>
      </c>
      <c r="G616" s="10" t="str">
        <f>Github!H$1360</f>
        <v>Algorithms</v>
      </c>
      <c r="H616" s="13" t="str">
        <f>SUBSTITUTE(Github!L$1360, ";", ", ")</f>
        <v>Math, Dynamic Programming, Combinatorics, </v>
      </c>
      <c r="I616" s="10" t="str">
        <f>Github!E$1360</f>
        <v>Hard</v>
      </c>
      <c r="J616" s="10" t="str">
        <f>IF(TRIM(Github!D$1360)="TRUE","FALSE","TRUE")</f>
        <v>TRUE</v>
      </c>
      <c r="K616" s="10" t="b">
        <f>Github!M$1360</f>
        <v>1</v>
      </c>
      <c r="L616" s="10" t="b">
        <f>Github!N$1360</f>
        <v>0</v>
      </c>
      <c r="M616" s="10" t="str">
        <f>ROUND(Github!O$1360, 2)&amp;"%"</f>
        <v>63.32%</v>
      </c>
      <c r="N616" s="10">
        <f>Github!P$1360</f>
        <v>49508</v>
      </c>
      <c r="O616" s="10">
        <f>Github!Q$1360</f>
        <v>78188</v>
      </c>
    </row>
    <row r="617">
      <c r="A617" s="10">
        <f>Github!J$547</f>
        <v>546</v>
      </c>
      <c r="B617" s="11" t="str">
        <f>HYPERLINK(CONCAT("http://leetcode.com/problems/",Github!C$547), Github!B$547)</f>
        <v>Remove Boxes</v>
      </c>
      <c r="C617" s="10">
        <f>Github!F$547</f>
        <v>1456</v>
      </c>
      <c r="D617" s="10">
        <f>Github!G$547</f>
        <v>92</v>
      </c>
      <c r="E617" s="10">
        <f>Github!F$547+Github!G$547</f>
        <v>1548</v>
      </c>
      <c r="F617" s="12">
        <f t="shared" si="1"/>
        <v>15.83</v>
      </c>
      <c r="G617" s="10" t="str">
        <f>Github!H$547</f>
        <v>Algorithms</v>
      </c>
      <c r="H617" s="13" t="str">
        <f>SUBSTITUTE(Github!L$547, ";", ", ")</f>
        <v>Array, Dynamic Programming, Memoization, </v>
      </c>
      <c r="I617" s="10" t="str">
        <f>Github!E$547</f>
        <v>Hard</v>
      </c>
      <c r="J617" s="10" t="str">
        <f>IF(TRIM(Github!D$547)="TRUE","FALSE","TRUE")</f>
        <v>TRUE</v>
      </c>
      <c r="K617" s="10" t="b">
        <f>Github!M$547</f>
        <v>1</v>
      </c>
      <c r="L617" s="10" t="b">
        <f>Github!N$547</f>
        <v>0</v>
      </c>
      <c r="M617" s="10" t="str">
        <f>ROUND(Github!O$547, 2)&amp;"%"</f>
        <v>47.32%</v>
      </c>
      <c r="N617" s="10">
        <f>Github!P$547</f>
        <v>33392</v>
      </c>
      <c r="O617" s="10">
        <f>Github!Q$547</f>
        <v>70568</v>
      </c>
    </row>
    <row r="618">
      <c r="A618" s="10">
        <f>Github!J$9</f>
        <v>8</v>
      </c>
      <c r="B618" s="11" t="str">
        <f>HYPERLINK(CONCAT("http://leetcode.com/problems/",Github!C$9), Github!B$9)</f>
        <v>String to Integer (atoi)</v>
      </c>
      <c r="C618" s="10">
        <f>Github!F$9</f>
        <v>1451</v>
      </c>
      <c r="D618" s="10">
        <f>Github!G$9</f>
        <v>4150</v>
      </c>
      <c r="E618" s="10">
        <f>Github!F$9+Github!G$9</f>
        <v>5601</v>
      </c>
      <c r="F618" s="12">
        <f t="shared" si="1"/>
        <v>0.35</v>
      </c>
      <c r="G618" s="10" t="str">
        <f>Github!H$9</f>
        <v>Algorithms</v>
      </c>
      <c r="H618" s="13" t="str">
        <f>SUBSTITUTE(Github!L$9, ";", ", ")</f>
        <v>String, </v>
      </c>
      <c r="I618" s="10" t="str">
        <f>Github!E$9</f>
        <v>Medium</v>
      </c>
      <c r="J618" s="10" t="str">
        <f>IF(TRIM(Github!D$9)="TRUE","FALSE","TRUE")</f>
        <v>TRUE</v>
      </c>
      <c r="K618" s="10" t="b">
        <f>Github!M$9</f>
        <v>1</v>
      </c>
      <c r="L618" s="10" t="b">
        <f>Github!N$9</f>
        <v>0</v>
      </c>
      <c r="M618" s="10" t="str">
        <f>ROUND(Github!O$9, 2)&amp;"%"</f>
        <v>16.48%</v>
      </c>
      <c r="N618" s="10">
        <f>Github!P$9</f>
        <v>958225</v>
      </c>
      <c r="O618" s="10">
        <f>Github!Q$9</f>
        <v>5815658</v>
      </c>
    </row>
    <row r="619">
      <c r="A619" s="10">
        <f>Github!J$1505</f>
        <v>1504</v>
      </c>
      <c r="B619" s="11" t="str">
        <f>HYPERLINK(CONCAT("http://leetcode.com/problems/",Github!C$1505), Github!B$1505)</f>
        <v>Count Submatrices With All Ones</v>
      </c>
      <c r="C619" s="10">
        <f>Github!F$1505</f>
        <v>1445</v>
      </c>
      <c r="D619" s="10">
        <f>Github!G$1505</f>
        <v>114</v>
      </c>
      <c r="E619" s="10">
        <f>Github!F$1505+Github!G$1505</f>
        <v>1559</v>
      </c>
      <c r="F619" s="12">
        <f t="shared" si="1"/>
        <v>12.68</v>
      </c>
      <c r="G619" s="10" t="str">
        <f>Github!H$1505</f>
        <v>Algorithms</v>
      </c>
      <c r="H619" s="13" t="str">
        <f>SUBSTITUTE(Github!L$1505, ";", ", ")</f>
        <v>Array, Dynamic Programming, Stack, Matrix, Monotonic Stack, </v>
      </c>
      <c r="I619" s="10" t="str">
        <f>Github!E$1505</f>
        <v>Medium</v>
      </c>
      <c r="J619" s="10" t="str">
        <f>IF(TRIM(Github!D$1505)="TRUE","FALSE","TRUE")</f>
        <v>TRUE</v>
      </c>
      <c r="K619" s="10" t="b">
        <f>Github!M$1505</f>
        <v>0</v>
      </c>
      <c r="L619" s="10" t="b">
        <f>Github!N$1505</f>
        <v>0</v>
      </c>
      <c r="M619" s="10" t="str">
        <f>ROUND(Github!O$1505, 2)&amp;"%"</f>
        <v>58.78%</v>
      </c>
      <c r="N619" s="10">
        <f>Github!P$1505</f>
        <v>33830</v>
      </c>
      <c r="O619" s="10">
        <f>Github!Q$1505</f>
        <v>57552</v>
      </c>
    </row>
    <row r="620">
      <c r="A620" s="10">
        <f>Github!J$363</f>
        <v>362</v>
      </c>
      <c r="B620" s="11" t="str">
        <f>HYPERLINK(CONCAT("http://leetcode.com/problems/",Github!C$363), Github!B$363)</f>
        <v>Design Hit Counter</v>
      </c>
      <c r="C620" s="10">
        <f>Github!F$363</f>
        <v>1442</v>
      </c>
      <c r="D620" s="10">
        <f>Github!G$363</f>
        <v>124</v>
      </c>
      <c r="E620" s="10">
        <f>Github!F$363+Github!G$363</f>
        <v>1566</v>
      </c>
      <c r="F620" s="12">
        <f t="shared" si="1"/>
        <v>11.63</v>
      </c>
      <c r="G620" s="10" t="str">
        <f>Github!H$363</f>
        <v>Algorithms</v>
      </c>
      <c r="H620" s="13" t="str">
        <f>SUBSTITUTE(Github!L$363, ";", ", ")</f>
        <v>Array, Hash Table, Binary Search, Design, Queue, </v>
      </c>
      <c r="I620" s="10" t="str">
        <f>Github!E$363</f>
        <v>Medium</v>
      </c>
      <c r="J620" s="10" t="str">
        <f>IF(TRIM(Github!D$363)="TRUE","FALSE","TRUE")</f>
        <v>FALSE</v>
      </c>
      <c r="K620" s="10" t="b">
        <f>Github!M$363</f>
        <v>1</v>
      </c>
      <c r="L620" s="10" t="b">
        <f>Github!N$363</f>
        <v>0</v>
      </c>
      <c r="M620" s="10" t="str">
        <f>ROUND(Github!O$363, 2)&amp;"%"</f>
        <v>67.15%</v>
      </c>
      <c r="N620" s="10">
        <f>Github!P$363</f>
        <v>154726</v>
      </c>
      <c r="O620" s="10">
        <f>Github!Q$363</f>
        <v>230406</v>
      </c>
    </row>
    <row r="621">
      <c r="A621" s="10">
        <f>Github!J$1432</f>
        <v>1431</v>
      </c>
      <c r="B621" s="11" t="str">
        <f>HYPERLINK(CONCAT("http://leetcode.com/problems/",Github!C$1432), Github!B$1432)</f>
        <v>Kids With the Greatest Number of Candies</v>
      </c>
      <c r="C621" s="10">
        <f>Github!F$1432</f>
        <v>1441</v>
      </c>
      <c r="D621" s="10">
        <f>Github!G$1432</f>
        <v>264</v>
      </c>
      <c r="E621" s="10">
        <f>Github!F$1432+Github!G$1432</f>
        <v>1705</v>
      </c>
      <c r="F621" s="12">
        <f t="shared" si="1"/>
        <v>5.46</v>
      </c>
      <c r="G621" s="10" t="str">
        <f>Github!H$1432</f>
        <v>Algorithms</v>
      </c>
      <c r="H621" s="13" t="str">
        <f>SUBSTITUTE(Github!L$1432, ";", ", ")</f>
        <v>Array, </v>
      </c>
      <c r="I621" s="10" t="str">
        <f>Github!E$1432</f>
        <v>Easy</v>
      </c>
      <c r="J621" s="10" t="str">
        <f>IF(TRIM(Github!D$1432)="TRUE","FALSE","TRUE")</f>
        <v>TRUE</v>
      </c>
      <c r="K621" s="10" t="b">
        <f>Github!M$1432</f>
        <v>0</v>
      </c>
      <c r="L621" s="10" t="b">
        <f>Github!N$1432</f>
        <v>0</v>
      </c>
      <c r="M621" s="10" t="str">
        <f>ROUND(Github!O$1432, 2)&amp;"%"</f>
        <v>87.78%</v>
      </c>
      <c r="N621" s="10">
        <f>Github!P$1432</f>
        <v>295837</v>
      </c>
      <c r="O621" s="10">
        <f>Github!Q$1432</f>
        <v>337035</v>
      </c>
    </row>
    <row r="622">
      <c r="A622" s="10">
        <f>Github!J$577</f>
        <v>576</v>
      </c>
      <c r="B622" s="11" t="str">
        <f>HYPERLINK(CONCAT("http://leetcode.com/problems/",Github!C$577), Github!B$577)</f>
        <v>Out of Boundary Paths</v>
      </c>
      <c r="C622" s="10">
        <f>Github!F$577</f>
        <v>1438</v>
      </c>
      <c r="D622" s="10">
        <f>Github!G$577</f>
        <v>181</v>
      </c>
      <c r="E622" s="10">
        <f>Github!F$577+Github!G$577</f>
        <v>1619</v>
      </c>
      <c r="F622" s="12">
        <f t="shared" si="1"/>
        <v>7.94</v>
      </c>
      <c r="G622" s="10" t="str">
        <f>Github!H$577</f>
        <v>Algorithms</v>
      </c>
      <c r="H622" s="13" t="str">
        <f>SUBSTITUTE(Github!L$577, ";", ", ")</f>
        <v>Dynamic Programming, </v>
      </c>
      <c r="I622" s="10" t="str">
        <f>Github!E$577</f>
        <v>Medium</v>
      </c>
      <c r="J622" s="10" t="str">
        <f>IF(TRIM(Github!D$577)="TRUE","FALSE","TRUE")</f>
        <v>TRUE</v>
      </c>
      <c r="K622" s="10" t="b">
        <f>Github!M$577</f>
        <v>1</v>
      </c>
      <c r="L622" s="10" t="b">
        <f>Github!N$577</f>
        <v>0</v>
      </c>
      <c r="M622" s="10" t="str">
        <f>ROUND(Github!O$577, 2)&amp;"%"</f>
        <v>39.99%</v>
      </c>
      <c r="N622" s="10">
        <f>Github!P$577</f>
        <v>62279</v>
      </c>
      <c r="O622" s="10">
        <f>Github!Q$577</f>
        <v>155747</v>
      </c>
    </row>
    <row r="623">
      <c r="A623" s="10">
        <f>Github!J$1711</f>
        <v>1710</v>
      </c>
      <c r="B623" s="11" t="str">
        <f>HYPERLINK(CONCAT("http://leetcode.com/problems/",Github!C$1711), Github!B$1711)</f>
        <v>Maximum Units on a Truck</v>
      </c>
      <c r="C623" s="10">
        <f>Github!F$1711</f>
        <v>1436</v>
      </c>
      <c r="D623" s="10">
        <f>Github!G$1711</f>
        <v>100</v>
      </c>
      <c r="E623" s="10">
        <f>Github!F$1711+Github!G$1711</f>
        <v>1536</v>
      </c>
      <c r="F623" s="12">
        <f t="shared" si="1"/>
        <v>14.36</v>
      </c>
      <c r="G623" s="10" t="str">
        <f>Github!H$1711</f>
        <v>Algorithms</v>
      </c>
      <c r="H623" s="13" t="str">
        <f>SUBSTITUTE(Github!L$1711, ";", ", ")</f>
        <v>Array, Greedy, Sorting, </v>
      </c>
      <c r="I623" s="10" t="str">
        <f>Github!E$1711</f>
        <v>Easy</v>
      </c>
      <c r="J623" s="10" t="str">
        <f>IF(TRIM(Github!D$1711)="TRUE","FALSE","TRUE")</f>
        <v>TRUE</v>
      </c>
      <c r="K623" s="10" t="b">
        <f>Github!M$1711</f>
        <v>1</v>
      </c>
      <c r="L623" s="10" t="b">
        <f>Github!N$1711</f>
        <v>0</v>
      </c>
      <c r="M623" s="10" t="str">
        <f>ROUND(Github!O$1711, 2)&amp;"%"</f>
        <v>72.08%</v>
      </c>
      <c r="N623" s="10">
        <f>Github!P$1711</f>
        <v>127755</v>
      </c>
      <c r="O623" s="10">
        <f>Github!Q$1711</f>
        <v>177239</v>
      </c>
    </row>
    <row r="624">
      <c r="A624" s="10">
        <f>Github!J$1203</f>
        <v>1202</v>
      </c>
      <c r="B624" s="11" t="str">
        <f>HYPERLINK(CONCAT("http://leetcode.com/problems/",Github!C$1203), Github!B$1203)</f>
        <v>Smallest String With Swaps</v>
      </c>
      <c r="C624" s="10">
        <f>Github!F$1203</f>
        <v>1431</v>
      </c>
      <c r="D624" s="10">
        <f>Github!G$1203</f>
        <v>49</v>
      </c>
      <c r="E624" s="10">
        <f>Github!F$1203+Github!G$1203</f>
        <v>1480</v>
      </c>
      <c r="F624" s="12">
        <f t="shared" si="1"/>
        <v>29.2</v>
      </c>
      <c r="G624" s="10" t="str">
        <f>Github!H$1203</f>
        <v>Algorithms</v>
      </c>
      <c r="H624" s="13" t="str">
        <f>SUBSTITUTE(Github!L$1203, ";", ", ")</f>
        <v>Hash Table, String, Depth-First Search, Breadth-First Search, Union Find, </v>
      </c>
      <c r="I624" s="10" t="str">
        <f>Github!E$1203</f>
        <v>Medium</v>
      </c>
      <c r="J624" s="10" t="str">
        <f>IF(TRIM(Github!D$1203)="TRUE","FALSE","TRUE")</f>
        <v>TRUE</v>
      </c>
      <c r="K624" s="10" t="b">
        <f>Github!M$1203</f>
        <v>0</v>
      </c>
      <c r="L624" s="10" t="b">
        <f>Github!N$1203</f>
        <v>0</v>
      </c>
      <c r="M624" s="10" t="str">
        <f>ROUND(Github!O$1203, 2)&amp;"%"</f>
        <v>52.39%</v>
      </c>
      <c r="N624" s="10">
        <f>Github!P$1203</f>
        <v>42978</v>
      </c>
      <c r="O624" s="10">
        <f>Github!Q$1203</f>
        <v>82033</v>
      </c>
    </row>
    <row r="625">
      <c r="A625" s="10">
        <f>Github!J$649</f>
        <v>648</v>
      </c>
      <c r="B625" s="11" t="str">
        <f>HYPERLINK(CONCAT("http://leetcode.com/problems/",Github!C$649), Github!B$649)</f>
        <v>Replace Words</v>
      </c>
      <c r="C625" s="10">
        <f>Github!F$649</f>
        <v>1428</v>
      </c>
      <c r="D625" s="10">
        <f>Github!G$649</f>
        <v>150</v>
      </c>
      <c r="E625" s="10">
        <f>Github!F$649+Github!G$649</f>
        <v>1578</v>
      </c>
      <c r="F625" s="12">
        <f t="shared" si="1"/>
        <v>9.52</v>
      </c>
      <c r="G625" s="10" t="str">
        <f>Github!H$649</f>
        <v>Algorithms</v>
      </c>
      <c r="H625" s="13" t="str">
        <f>SUBSTITUTE(Github!L$649, ";", ", ")</f>
        <v>Array, Hash Table, String, Trie, </v>
      </c>
      <c r="I625" s="10" t="str">
        <f>Github!E$649</f>
        <v>Medium</v>
      </c>
      <c r="J625" s="10" t="str">
        <f>IF(TRIM(Github!D$649)="TRUE","FALSE","TRUE")</f>
        <v>TRUE</v>
      </c>
      <c r="K625" s="10" t="b">
        <f>Github!M$649</f>
        <v>1</v>
      </c>
      <c r="L625" s="10" t="b">
        <f>Github!N$649</f>
        <v>0</v>
      </c>
      <c r="M625" s="10" t="str">
        <f>ROUND(Github!O$649, 2)&amp;"%"</f>
        <v>61.77%</v>
      </c>
      <c r="N625" s="10">
        <f>Github!P$649</f>
        <v>91805</v>
      </c>
      <c r="O625" s="10">
        <f>Github!Q$649</f>
        <v>148620</v>
      </c>
    </row>
    <row r="626">
      <c r="A626" s="10">
        <f>Github!J$791</f>
        <v>790</v>
      </c>
      <c r="B626" s="11" t="str">
        <f>HYPERLINK(CONCAT("http://leetcode.com/problems/",Github!C$791), Github!B$791)</f>
        <v>Domino and Tromino Tiling</v>
      </c>
      <c r="C626" s="10">
        <f>Github!F$791</f>
        <v>1417</v>
      </c>
      <c r="D626" s="10">
        <f>Github!G$791</f>
        <v>556</v>
      </c>
      <c r="E626" s="10">
        <f>Github!F$791+Github!G$791</f>
        <v>1973</v>
      </c>
      <c r="F626" s="12">
        <f t="shared" si="1"/>
        <v>2.55</v>
      </c>
      <c r="G626" s="10" t="str">
        <f>Github!H$791</f>
        <v>Algorithms</v>
      </c>
      <c r="H626" s="13" t="str">
        <f>SUBSTITUTE(Github!L$791, ";", ", ")</f>
        <v>Dynamic Programming, </v>
      </c>
      <c r="I626" s="10" t="str">
        <f>Github!E$791</f>
        <v>Medium</v>
      </c>
      <c r="J626" s="10" t="str">
        <f>IF(TRIM(Github!D$791)="TRUE","FALSE","TRUE")</f>
        <v>TRUE</v>
      </c>
      <c r="K626" s="10" t="b">
        <f>Github!M$791</f>
        <v>1</v>
      </c>
      <c r="L626" s="10" t="b">
        <f>Github!N$791</f>
        <v>0</v>
      </c>
      <c r="M626" s="10" t="str">
        <f>ROUND(Github!O$791, 2)&amp;"%"</f>
        <v>47.69%</v>
      </c>
      <c r="N626" s="10">
        <f>Github!P$791</f>
        <v>44540</v>
      </c>
      <c r="O626" s="10">
        <f>Github!Q$791</f>
        <v>93396</v>
      </c>
    </row>
    <row r="627">
      <c r="A627" s="10">
        <f>Github!J$72</f>
        <v>71</v>
      </c>
      <c r="B627" s="11" t="str">
        <f>HYPERLINK(CONCAT("http://leetcode.com/problems/",Github!C$72), Github!B$72)</f>
        <v>Simplify Path</v>
      </c>
      <c r="C627" s="10">
        <f>Github!F$72</f>
        <v>1416</v>
      </c>
      <c r="D627" s="10">
        <f>Github!G$72</f>
        <v>320</v>
      </c>
      <c r="E627" s="10">
        <f>Github!F$72+Github!G$72</f>
        <v>1736</v>
      </c>
      <c r="F627" s="12">
        <f t="shared" si="1"/>
        <v>4.43</v>
      </c>
      <c r="G627" s="10" t="str">
        <f>Github!H$72</f>
        <v>Algorithms</v>
      </c>
      <c r="H627" s="13" t="str">
        <f>SUBSTITUTE(Github!L$72, ";", ", ")</f>
        <v>String, Stack, </v>
      </c>
      <c r="I627" s="10" t="str">
        <f>Github!E$72</f>
        <v>Medium</v>
      </c>
      <c r="J627" s="10" t="str">
        <f>IF(TRIM(Github!D$72)="TRUE","FALSE","TRUE")</f>
        <v>TRUE</v>
      </c>
      <c r="K627" s="10" t="b">
        <f>Github!M$72</f>
        <v>1</v>
      </c>
      <c r="L627" s="10" t="b">
        <f>Github!N$72</f>
        <v>0</v>
      </c>
      <c r="M627" s="10" t="str">
        <f>ROUND(Github!O$72, 2)&amp;"%"</f>
        <v>37.56%</v>
      </c>
      <c r="N627" s="10">
        <f>Github!P$72</f>
        <v>370687</v>
      </c>
      <c r="O627" s="10">
        <f>Github!Q$72</f>
        <v>986848</v>
      </c>
    </row>
    <row r="628">
      <c r="A628" s="10">
        <f>Github!J$1201</f>
        <v>1200</v>
      </c>
      <c r="B628" s="11" t="str">
        <f>HYPERLINK(CONCAT("http://leetcode.com/problems/",Github!C$1201), Github!B$1201)</f>
        <v>Minimum Absolute Difference</v>
      </c>
      <c r="C628" s="10">
        <f>Github!F$1201</f>
        <v>1414</v>
      </c>
      <c r="D628" s="10">
        <f>Github!G$1201</f>
        <v>58</v>
      </c>
      <c r="E628" s="10">
        <f>Github!F$1201+Github!G$1201</f>
        <v>1472</v>
      </c>
      <c r="F628" s="12">
        <f t="shared" si="1"/>
        <v>24.38</v>
      </c>
      <c r="G628" s="10" t="str">
        <f>Github!H$1201</f>
        <v>Algorithms</v>
      </c>
      <c r="H628" s="13" t="str">
        <f>SUBSTITUTE(Github!L$1201, ";", ", ")</f>
        <v>Array, Sorting, </v>
      </c>
      <c r="I628" s="10" t="str">
        <f>Github!E$1201</f>
        <v>Easy</v>
      </c>
      <c r="J628" s="10" t="str">
        <f>IF(TRIM(Github!D$1201)="TRUE","FALSE","TRUE")</f>
        <v>TRUE</v>
      </c>
      <c r="K628" s="10" t="b">
        <f>Github!M$1201</f>
        <v>1</v>
      </c>
      <c r="L628" s="10" t="b">
        <f>Github!N$1201</f>
        <v>0</v>
      </c>
      <c r="M628" s="10" t="str">
        <f>ROUND(Github!O$1201, 2)&amp;"%"</f>
        <v>69.83%</v>
      </c>
      <c r="N628" s="10">
        <f>Github!P$1201</f>
        <v>115399</v>
      </c>
      <c r="O628" s="10">
        <f>Github!Q$1201</f>
        <v>165254</v>
      </c>
    </row>
    <row r="629">
      <c r="A629" s="10">
        <f>Github!J$717</f>
        <v>716</v>
      </c>
      <c r="B629" s="11" t="str">
        <f>HYPERLINK(CONCAT("http://leetcode.com/problems/",Github!C$717), Github!B$717)</f>
        <v>Max Stack</v>
      </c>
      <c r="C629" s="10">
        <f>Github!F$717</f>
        <v>1415</v>
      </c>
      <c r="D629" s="10">
        <f>Github!G$717</f>
        <v>410</v>
      </c>
      <c r="E629" s="10">
        <f>Github!F$717+Github!G$717</f>
        <v>1825</v>
      </c>
      <c r="F629" s="12">
        <f t="shared" si="1"/>
        <v>3.45</v>
      </c>
      <c r="G629" s="10" t="str">
        <f>Github!H$717</f>
        <v>Algorithms</v>
      </c>
      <c r="H629" s="13" t="str">
        <f>SUBSTITUTE(Github!L$717, ";", ", ")</f>
        <v>Linked List, Stack, Design, Doubly-Linked List, Ordered Set, </v>
      </c>
      <c r="I629" s="10" t="str">
        <f>Github!E$717</f>
        <v>Easy</v>
      </c>
      <c r="J629" s="10" t="str">
        <f>IF(TRIM(Github!D$717)="TRUE","FALSE","TRUE")</f>
        <v>FALSE</v>
      </c>
      <c r="K629" s="10" t="b">
        <f>Github!M$717</f>
        <v>1</v>
      </c>
      <c r="L629" s="10" t="b">
        <f>Github!N$717</f>
        <v>0</v>
      </c>
      <c r="M629" s="10" t="str">
        <f>ROUND(Github!O$717, 2)&amp;"%"</f>
        <v>44.93%</v>
      </c>
      <c r="N629" s="10">
        <f>Github!P$717</f>
        <v>113575</v>
      </c>
      <c r="O629" s="10">
        <f>Github!Q$717</f>
        <v>252780</v>
      </c>
    </row>
    <row r="630">
      <c r="A630" s="10">
        <f>Github!J$774</f>
        <v>773</v>
      </c>
      <c r="B630" s="11" t="str">
        <f>HYPERLINK(CONCAT("http://leetcode.com/problems/",Github!C$774), Github!B$774)</f>
        <v>Sliding Puzzle</v>
      </c>
      <c r="C630" s="10">
        <f>Github!F$774</f>
        <v>1413</v>
      </c>
      <c r="D630" s="10">
        <f>Github!G$774</f>
        <v>36</v>
      </c>
      <c r="E630" s="10">
        <f>Github!F$774+Github!G$774</f>
        <v>1449</v>
      </c>
      <c r="F630" s="12">
        <f t="shared" si="1"/>
        <v>39.25</v>
      </c>
      <c r="G630" s="10" t="str">
        <f>Github!H$774</f>
        <v>Algorithms</v>
      </c>
      <c r="H630" s="13" t="str">
        <f>SUBSTITUTE(Github!L$774, ";", ", ")</f>
        <v>Array, Breadth-First Search, Matrix, </v>
      </c>
      <c r="I630" s="10" t="str">
        <f>Github!E$774</f>
        <v>Hard</v>
      </c>
      <c r="J630" s="10" t="str">
        <f>IF(TRIM(Github!D$774)="TRUE","FALSE","TRUE")</f>
        <v>TRUE</v>
      </c>
      <c r="K630" s="10" t="b">
        <f>Github!M$774</f>
        <v>0</v>
      </c>
      <c r="L630" s="10" t="b">
        <f>Github!N$774</f>
        <v>0</v>
      </c>
      <c r="M630" s="10" t="str">
        <f>ROUND(Github!O$774, 2)&amp;"%"</f>
        <v>62.97%</v>
      </c>
      <c r="N630" s="10">
        <f>Github!P$774</f>
        <v>68782</v>
      </c>
      <c r="O630" s="10">
        <f>Github!Q$774</f>
        <v>109228</v>
      </c>
    </row>
    <row r="631">
      <c r="A631" s="10">
        <f>Github!J$991</f>
        <v>990</v>
      </c>
      <c r="B631" s="11" t="str">
        <f>HYPERLINK(CONCAT("http://leetcode.com/problems/",Github!C$991), Github!B$991)</f>
        <v>Satisfiability of Equality Equations</v>
      </c>
      <c r="C631" s="10">
        <f>Github!F$991</f>
        <v>1410</v>
      </c>
      <c r="D631" s="10">
        <f>Github!G$991</f>
        <v>15</v>
      </c>
      <c r="E631" s="10">
        <f>Github!F$991+Github!G$991</f>
        <v>1425</v>
      </c>
      <c r="F631" s="12">
        <f t="shared" si="1"/>
        <v>94</v>
      </c>
      <c r="G631" s="10" t="str">
        <f>Github!H$991</f>
        <v>Algorithms</v>
      </c>
      <c r="H631" s="13" t="str">
        <f>SUBSTITUTE(Github!L$991, ";", ", ")</f>
        <v>Array, String, Union Find, Graph, </v>
      </c>
      <c r="I631" s="10" t="str">
        <f>Github!E$991</f>
        <v>Medium</v>
      </c>
      <c r="J631" s="10" t="str">
        <f>IF(TRIM(Github!D$991)="TRUE","FALSE","TRUE")</f>
        <v>TRUE</v>
      </c>
      <c r="K631" s="10" t="b">
        <f>Github!M$991</f>
        <v>1</v>
      </c>
      <c r="L631" s="10" t="b">
        <f>Github!N$991</f>
        <v>0</v>
      </c>
      <c r="M631" s="10" t="str">
        <f>ROUND(Github!O$991, 2)&amp;"%"</f>
        <v>49.72%</v>
      </c>
      <c r="N631" s="10">
        <f>Github!P$991</f>
        <v>46445</v>
      </c>
      <c r="O631" s="10">
        <f>Github!Q$991</f>
        <v>93410</v>
      </c>
    </row>
    <row r="632">
      <c r="A632" s="10">
        <f>Github!J$1082</f>
        <v>1081</v>
      </c>
      <c r="B632" s="11" t="str">
        <f>HYPERLINK(CONCAT("http://leetcode.com/problems/",Github!C$1082), Github!B$1082)</f>
        <v>Smallest Subsequence of Distinct Characters</v>
      </c>
      <c r="C632" s="10">
        <f>Github!F$1082</f>
        <v>1412</v>
      </c>
      <c r="D632" s="10">
        <f>Github!G$1082</f>
        <v>137</v>
      </c>
      <c r="E632" s="10">
        <f>Github!F$1082+Github!G$1082</f>
        <v>1549</v>
      </c>
      <c r="F632" s="12">
        <f t="shared" si="1"/>
        <v>10.31</v>
      </c>
      <c r="G632" s="10" t="str">
        <f>Github!H$1082</f>
        <v>Algorithms</v>
      </c>
      <c r="H632" s="13" t="str">
        <f>SUBSTITUTE(Github!L$1082, ";", ", ")</f>
        <v>String, Stack, Greedy, Monotonic Stack, </v>
      </c>
      <c r="I632" s="10" t="str">
        <f>Github!E$1082</f>
        <v>Medium</v>
      </c>
      <c r="J632" s="10" t="str">
        <f>IF(TRIM(Github!D$1082)="TRUE","FALSE","TRUE")</f>
        <v>TRUE</v>
      </c>
      <c r="K632" s="10" t="b">
        <f>Github!M$1082</f>
        <v>0</v>
      </c>
      <c r="L632" s="10" t="b">
        <f>Github!N$1082</f>
        <v>0</v>
      </c>
      <c r="M632" s="10" t="str">
        <f>ROUND(Github!O$1082, 2)&amp;"%"</f>
        <v>55.05%</v>
      </c>
      <c r="N632" s="10">
        <f>Github!P$1082</f>
        <v>33622</v>
      </c>
      <c r="O632" s="10">
        <f>Github!Q$1082</f>
        <v>61079</v>
      </c>
    </row>
    <row r="633">
      <c r="A633" s="10">
        <f>Github!J$509</f>
        <v>508</v>
      </c>
      <c r="B633" s="11" t="str">
        <f>HYPERLINK(CONCAT("http://leetcode.com/problems/",Github!C$509), Github!B$509)</f>
        <v>Most Frequent Subtree Sum</v>
      </c>
      <c r="C633" s="10">
        <f>Github!F$509</f>
        <v>1409</v>
      </c>
      <c r="D633" s="10">
        <f>Github!G$509</f>
        <v>211</v>
      </c>
      <c r="E633" s="10">
        <f>Github!F$509+Github!G$509</f>
        <v>1620</v>
      </c>
      <c r="F633" s="12">
        <f t="shared" si="1"/>
        <v>6.68</v>
      </c>
      <c r="G633" s="10" t="str">
        <f>Github!H$509</f>
        <v>Algorithms</v>
      </c>
      <c r="H633" s="13" t="str">
        <f>SUBSTITUTE(Github!L$509, ";", ", ")</f>
        <v>Hash Table, Tree, Depth-First Search, Binary Tree, </v>
      </c>
      <c r="I633" s="10" t="str">
        <f>Github!E$509</f>
        <v>Medium</v>
      </c>
      <c r="J633" s="10" t="str">
        <f>IF(TRIM(Github!D$509)="TRUE","FALSE","TRUE")</f>
        <v>TRUE</v>
      </c>
      <c r="K633" s="10" t="b">
        <f>Github!M$509</f>
        <v>0</v>
      </c>
      <c r="L633" s="10" t="b">
        <f>Github!N$509</f>
        <v>0</v>
      </c>
      <c r="M633" s="10" t="str">
        <f>ROUND(Github!O$509, 2)&amp;"%"</f>
        <v>62.42%</v>
      </c>
      <c r="N633" s="10">
        <f>Github!P$509</f>
        <v>104315</v>
      </c>
      <c r="O633" s="10">
        <f>Github!Q$509</f>
        <v>167111</v>
      </c>
    </row>
    <row r="634">
      <c r="A634" s="10">
        <f>Github!J$376</f>
        <v>375</v>
      </c>
      <c r="B634" s="11" t="str">
        <f>HYPERLINK(CONCAT("http://leetcode.com/problems/",Github!C$376), Github!B$376)</f>
        <v>Guess Number Higher or Lower II</v>
      </c>
      <c r="C634" s="10">
        <f>Github!F$376</f>
        <v>1406</v>
      </c>
      <c r="D634" s="10">
        <f>Github!G$376</f>
        <v>1746</v>
      </c>
      <c r="E634" s="10">
        <f>Github!F$376+Github!G$376</f>
        <v>3152</v>
      </c>
      <c r="F634" s="12">
        <f t="shared" si="1"/>
        <v>0.81</v>
      </c>
      <c r="G634" s="10" t="str">
        <f>Github!H$376</f>
        <v>Algorithms</v>
      </c>
      <c r="H634" s="13" t="str">
        <f>SUBSTITUTE(Github!L$376, ";", ", ")</f>
        <v>Math, Dynamic Programming, Game Theory, </v>
      </c>
      <c r="I634" s="10" t="str">
        <f>Github!E$376</f>
        <v>Medium</v>
      </c>
      <c r="J634" s="10" t="str">
        <f>IF(TRIM(Github!D$376)="TRUE","FALSE","TRUE")</f>
        <v>TRUE</v>
      </c>
      <c r="K634" s="10" t="b">
        <f>Github!M$376</f>
        <v>0</v>
      </c>
      <c r="L634" s="10" t="b">
        <f>Github!N$376</f>
        <v>0</v>
      </c>
      <c r="M634" s="10" t="str">
        <f>ROUND(Github!O$376, 2)&amp;"%"</f>
        <v>45.19%</v>
      </c>
      <c r="N634" s="10">
        <f>Github!P$376</f>
        <v>90968</v>
      </c>
      <c r="O634" s="10">
        <f>Github!Q$376</f>
        <v>201286</v>
      </c>
    </row>
    <row r="635">
      <c r="A635" s="10">
        <f>Github!J$314</f>
        <v>313</v>
      </c>
      <c r="B635" s="11" t="str">
        <f>HYPERLINK(CONCAT("http://leetcode.com/problems/",Github!C$314), Github!B$314)</f>
        <v>Super Ugly Number</v>
      </c>
      <c r="C635" s="10">
        <f>Github!F$314</f>
        <v>1403</v>
      </c>
      <c r="D635" s="10">
        <f>Github!G$314</f>
        <v>261</v>
      </c>
      <c r="E635" s="10">
        <f>Github!F$314+Github!G$314</f>
        <v>1664</v>
      </c>
      <c r="F635" s="12">
        <f t="shared" si="1"/>
        <v>5.38</v>
      </c>
      <c r="G635" s="10" t="str">
        <f>Github!H$314</f>
        <v>Algorithms</v>
      </c>
      <c r="H635" s="13" t="str">
        <f>SUBSTITUTE(Github!L$314, ";", ", ")</f>
        <v>Array, Hash Table, Math, Dynamic Programming, Heap (Priority Queue), </v>
      </c>
      <c r="I635" s="10" t="str">
        <f>Github!E$314</f>
        <v>Medium</v>
      </c>
      <c r="J635" s="10" t="str">
        <f>IF(TRIM(Github!D$314)="TRUE","FALSE","TRUE")</f>
        <v>TRUE</v>
      </c>
      <c r="K635" s="10" t="b">
        <f>Github!M$314</f>
        <v>0</v>
      </c>
      <c r="L635" s="10" t="b">
        <f>Github!N$314</f>
        <v>0</v>
      </c>
      <c r="M635" s="10" t="str">
        <f>ROUND(Github!O$314, 2)&amp;"%"</f>
        <v>45.98%</v>
      </c>
      <c r="N635" s="10">
        <f>Github!P$314</f>
        <v>102502</v>
      </c>
      <c r="O635" s="10">
        <f>Github!Q$314</f>
        <v>222947</v>
      </c>
    </row>
    <row r="636">
      <c r="A636" s="10">
        <f>Github!J$745</f>
        <v>744</v>
      </c>
      <c r="B636" s="11" t="str">
        <f>HYPERLINK(CONCAT("http://leetcode.com/problems/",Github!C$745), Github!B$745)</f>
        <v>Find Smallest Letter Greater Than Target</v>
      </c>
      <c r="C636" s="10">
        <f>Github!F$745</f>
        <v>1400</v>
      </c>
      <c r="D636" s="10">
        <f>Github!G$745</f>
        <v>1297</v>
      </c>
      <c r="E636" s="10">
        <f>Github!F$745+Github!G$745</f>
        <v>2697</v>
      </c>
      <c r="F636" s="12">
        <f t="shared" si="1"/>
        <v>1.08</v>
      </c>
      <c r="G636" s="10" t="str">
        <f>Github!H$745</f>
        <v>Algorithms</v>
      </c>
      <c r="H636" s="13" t="str">
        <f>SUBSTITUTE(Github!L$745, ";", ", ")</f>
        <v>Array, Binary Search, </v>
      </c>
      <c r="I636" s="10" t="str">
        <f>Github!E$745</f>
        <v>Easy</v>
      </c>
      <c r="J636" s="10" t="str">
        <f>IF(TRIM(Github!D$745)="TRUE","FALSE","TRUE")</f>
        <v>TRUE</v>
      </c>
      <c r="K636" s="10" t="b">
        <f>Github!M$745</f>
        <v>1</v>
      </c>
      <c r="L636" s="10" t="b">
        <f>Github!N$745</f>
        <v>0</v>
      </c>
      <c r="M636" s="10" t="str">
        <f>ROUND(Github!O$745, 2)&amp;"%"</f>
        <v>45.36%</v>
      </c>
      <c r="N636" s="10">
        <f>Github!P$745</f>
        <v>170113</v>
      </c>
      <c r="O636" s="10">
        <f>Github!Q$745</f>
        <v>375006</v>
      </c>
    </row>
    <row r="637">
      <c r="A637" s="10">
        <f>Github!J$420</f>
        <v>419</v>
      </c>
      <c r="B637" s="11" t="str">
        <f>HYPERLINK(CONCAT("http://leetcode.com/problems/",Github!C$420), Github!B$420)</f>
        <v>Battleships in a Board</v>
      </c>
      <c r="C637" s="10">
        <f>Github!F$420</f>
        <v>1399</v>
      </c>
      <c r="D637" s="10">
        <f>Github!G$420</f>
        <v>714</v>
      </c>
      <c r="E637" s="10">
        <f>Github!F$420+Github!G$420</f>
        <v>2113</v>
      </c>
      <c r="F637" s="12">
        <f t="shared" si="1"/>
        <v>1.96</v>
      </c>
      <c r="G637" s="10" t="str">
        <f>Github!H$420</f>
        <v>Algorithms</v>
      </c>
      <c r="H637" s="13" t="str">
        <f>SUBSTITUTE(Github!L$420, ";", ", ")</f>
        <v>Array, Depth-First Search, Matrix, </v>
      </c>
      <c r="I637" s="10" t="str">
        <f>Github!E$420</f>
        <v>Medium</v>
      </c>
      <c r="J637" s="10" t="str">
        <f>IF(TRIM(Github!D$420)="TRUE","FALSE","TRUE")</f>
        <v>TRUE</v>
      </c>
      <c r="K637" s="10" t="b">
        <f>Github!M$420</f>
        <v>0</v>
      </c>
      <c r="L637" s="10" t="b">
        <f>Github!N$420</f>
        <v>0</v>
      </c>
      <c r="M637" s="10" t="str">
        <f>ROUND(Github!O$420, 2)&amp;"%"</f>
        <v>73.16%</v>
      </c>
      <c r="N637" s="10">
        <f>Github!P$420</f>
        <v>140261</v>
      </c>
      <c r="O637" s="10">
        <f>Github!Q$420</f>
        <v>191709</v>
      </c>
    </row>
    <row r="638">
      <c r="A638" s="10">
        <f>Github!J$1218</f>
        <v>1217</v>
      </c>
      <c r="B638" s="11" t="str">
        <f>HYPERLINK(CONCAT("http://leetcode.com/problems/",Github!C$1218), Github!B$1218)</f>
        <v>Minimum Cost to Move Chips to The Same Position</v>
      </c>
      <c r="C638" s="10">
        <f>Github!F$1218</f>
        <v>1398</v>
      </c>
      <c r="D638" s="10">
        <f>Github!G$1218</f>
        <v>192</v>
      </c>
      <c r="E638" s="10">
        <f>Github!F$1218+Github!G$1218</f>
        <v>1590</v>
      </c>
      <c r="F638" s="12">
        <f t="shared" si="1"/>
        <v>7.28</v>
      </c>
      <c r="G638" s="10" t="str">
        <f>Github!H$1218</f>
        <v>Algorithms</v>
      </c>
      <c r="H638" s="13" t="str">
        <f>SUBSTITUTE(Github!L$1218, ";", ", ")</f>
        <v>Array, Math, Greedy, </v>
      </c>
      <c r="I638" s="10" t="str">
        <f>Github!E$1218</f>
        <v>Easy</v>
      </c>
      <c r="J638" s="10" t="str">
        <f>IF(TRIM(Github!D$1218)="TRUE","FALSE","TRUE")</f>
        <v>TRUE</v>
      </c>
      <c r="K638" s="10" t="b">
        <f>Github!M$1218</f>
        <v>1</v>
      </c>
      <c r="L638" s="10" t="b">
        <f>Github!N$1218</f>
        <v>0</v>
      </c>
      <c r="M638" s="10" t="str">
        <f>ROUND(Github!O$1218, 2)&amp;"%"</f>
        <v>72.74%</v>
      </c>
      <c r="N638" s="10">
        <f>Github!P$1218</f>
        <v>92638</v>
      </c>
      <c r="O638" s="10">
        <f>Github!Q$1218</f>
        <v>127347</v>
      </c>
    </row>
    <row r="639">
      <c r="A639" s="10">
        <f>Github!J$1327</f>
        <v>1326</v>
      </c>
      <c r="B639" s="11" t="str">
        <f>HYPERLINK(CONCAT("http://leetcode.com/problems/",Github!C$1327), Github!B$1327)</f>
        <v>Minimum Number of Taps to Open to Water a Garden</v>
      </c>
      <c r="C639" s="10">
        <f>Github!F$1327</f>
        <v>1392</v>
      </c>
      <c r="D639" s="10">
        <f>Github!G$1327</f>
        <v>99</v>
      </c>
      <c r="E639" s="10">
        <f>Github!F$1327+Github!G$1327</f>
        <v>1491</v>
      </c>
      <c r="F639" s="12">
        <f t="shared" si="1"/>
        <v>14.06</v>
      </c>
      <c r="G639" s="10" t="str">
        <f>Github!H$1327</f>
        <v>Algorithms</v>
      </c>
      <c r="H639" s="13" t="str">
        <f>SUBSTITUTE(Github!L$1327, ";", ", ")</f>
        <v>Array, Dynamic Programming, Greedy, </v>
      </c>
      <c r="I639" s="10" t="str">
        <f>Github!E$1327</f>
        <v>Hard</v>
      </c>
      <c r="J639" s="10" t="str">
        <f>IF(TRIM(Github!D$1327)="TRUE","FALSE","TRUE")</f>
        <v>TRUE</v>
      </c>
      <c r="K639" s="10" t="b">
        <f>Github!M$1327</f>
        <v>0</v>
      </c>
      <c r="L639" s="10" t="b">
        <f>Github!N$1327</f>
        <v>0</v>
      </c>
      <c r="M639" s="10" t="str">
        <f>ROUND(Github!O$1327, 2)&amp;"%"</f>
        <v>48.18%</v>
      </c>
      <c r="N639" s="10">
        <f>Github!P$1327</f>
        <v>52294</v>
      </c>
      <c r="O639" s="10">
        <f>Github!Q$1327</f>
        <v>108536</v>
      </c>
    </row>
    <row r="640">
      <c r="A640" s="10">
        <f>Github!J$897</f>
        <v>896</v>
      </c>
      <c r="B640" s="11" t="str">
        <f>HYPERLINK(CONCAT("http://leetcode.com/problems/",Github!C$897), Github!B$897)</f>
        <v>Monotonic Array</v>
      </c>
      <c r="C640" s="10">
        <f>Github!F$897</f>
        <v>1390</v>
      </c>
      <c r="D640" s="10">
        <f>Github!G$897</f>
        <v>53</v>
      </c>
      <c r="E640" s="10">
        <f>Github!F$897+Github!G$897</f>
        <v>1443</v>
      </c>
      <c r="F640" s="12">
        <f t="shared" si="1"/>
        <v>26.23</v>
      </c>
      <c r="G640" s="10" t="str">
        <f>Github!H$897</f>
        <v>Algorithms</v>
      </c>
      <c r="H640" s="13" t="str">
        <f>SUBSTITUTE(Github!L$897, ";", ", ")</f>
        <v>Array, </v>
      </c>
      <c r="I640" s="10" t="str">
        <f>Github!E$897</f>
        <v>Easy</v>
      </c>
      <c r="J640" s="10" t="str">
        <f>IF(TRIM(Github!D$897)="TRUE","FALSE","TRUE")</f>
        <v>TRUE</v>
      </c>
      <c r="K640" s="10" t="b">
        <f>Github!M$897</f>
        <v>1</v>
      </c>
      <c r="L640" s="10" t="b">
        <f>Github!N$897</f>
        <v>0</v>
      </c>
      <c r="M640" s="10" t="str">
        <f>ROUND(Github!O$897, 2)&amp;"%"</f>
        <v>58.46%</v>
      </c>
      <c r="N640" s="10">
        <f>Github!P$897</f>
        <v>192095</v>
      </c>
      <c r="O640" s="10">
        <f>Github!Q$897</f>
        <v>328617</v>
      </c>
    </row>
    <row r="641">
      <c r="A641" s="10">
        <f>Github!J$492</f>
        <v>491</v>
      </c>
      <c r="B641" s="11" t="str">
        <f>HYPERLINK(CONCAT("http://leetcode.com/problems/",Github!C$492), Github!B$492)</f>
        <v>Increasing Subsequences</v>
      </c>
      <c r="C641" s="10">
        <f>Github!F$492</f>
        <v>1387</v>
      </c>
      <c r="D641" s="10">
        <f>Github!G$492</f>
        <v>147</v>
      </c>
      <c r="E641" s="10">
        <f>Github!F$492+Github!G$492</f>
        <v>1534</v>
      </c>
      <c r="F641" s="12">
        <f t="shared" si="1"/>
        <v>9.44</v>
      </c>
      <c r="G641" s="10" t="str">
        <f>Github!H$492</f>
        <v>Algorithms</v>
      </c>
      <c r="H641" s="13" t="str">
        <f>SUBSTITUTE(Github!L$492, ";", ", ")</f>
        <v>Array, Hash Table, Backtracking, Bit Manipulation, </v>
      </c>
      <c r="I641" s="10" t="str">
        <f>Github!E$492</f>
        <v>Medium</v>
      </c>
      <c r="J641" s="10" t="str">
        <f>IF(TRIM(Github!D$492)="TRUE","FALSE","TRUE")</f>
        <v>TRUE</v>
      </c>
      <c r="K641" s="10" t="b">
        <f>Github!M$492</f>
        <v>0</v>
      </c>
      <c r="L641" s="10" t="b">
        <f>Github!N$492</f>
        <v>0</v>
      </c>
      <c r="M641" s="10" t="str">
        <f>ROUND(Github!O$492, 2)&amp;"%"</f>
        <v>50.54%</v>
      </c>
      <c r="N641" s="10">
        <f>Github!P$492</f>
        <v>71872</v>
      </c>
      <c r="O641" s="10">
        <f>Github!Q$492</f>
        <v>142198</v>
      </c>
    </row>
    <row r="642">
      <c r="A642" s="10">
        <f>Github!J$918</f>
        <v>917</v>
      </c>
      <c r="B642" s="11" t="str">
        <f>HYPERLINK(CONCAT("http://leetcode.com/problems/",Github!C$918), Github!B$918)</f>
        <v>Reverse Only Letters</v>
      </c>
      <c r="C642" s="10">
        <f>Github!F$918</f>
        <v>1383</v>
      </c>
      <c r="D642" s="10">
        <f>Github!G$918</f>
        <v>51</v>
      </c>
      <c r="E642" s="10">
        <f>Github!F$918+Github!G$918</f>
        <v>1434</v>
      </c>
      <c r="F642" s="12">
        <f t="shared" si="1"/>
        <v>27.12</v>
      </c>
      <c r="G642" s="10" t="str">
        <f>Github!H$918</f>
        <v>Algorithms</v>
      </c>
      <c r="H642" s="13" t="str">
        <f>SUBSTITUTE(Github!L$918, ";", ", ")</f>
        <v>Two Pointers, String, </v>
      </c>
      <c r="I642" s="10" t="str">
        <f>Github!E$918</f>
        <v>Easy</v>
      </c>
      <c r="J642" s="10" t="str">
        <f>IF(TRIM(Github!D$918)="TRUE","FALSE","TRUE")</f>
        <v>TRUE</v>
      </c>
      <c r="K642" s="10" t="b">
        <f>Github!M$918</f>
        <v>1</v>
      </c>
      <c r="L642" s="10" t="b">
        <f>Github!N$918</f>
        <v>0</v>
      </c>
      <c r="M642" s="10" t="str">
        <f>ROUND(Github!O$918, 2)&amp;"%"</f>
        <v>60.92%</v>
      </c>
      <c r="N642" s="10">
        <f>Github!P$918</f>
        <v>129397</v>
      </c>
      <c r="O642" s="10">
        <f>Github!Q$918</f>
        <v>212408</v>
      </c>
    </row>
    <row r="643">
      <c r="A643" s="10">
        <f>Github!J$90</f>
        <v>89</v>
      </c>
      <c r="B643" s="11" t="str">
        <f>HYPERLINK(CONCAT("http://leetcode.com/problems/",Github!C$90), Github!B$90)</f>
        <v>Gray Code</v>
      </c>
      <c r="C643" s="10">
        <f>Github!F$90</f>
        <v>1376</v>
      </c>
      <c r="D643" s="10">
        <f>Github!G$90</f>
        <v>2223</v>
      </c>
      <c r="E643" s="10">
        <f>Github!F$90+Github!G$90</f>
        <v>3599</v>
      </c>
      <c r="F643" s="12">
        <f t="shared" si="1"/>
        <v>0.62</v>
      </c>
      <c r="G643" s="10" t="str">
        <f>Github!H$90</f>
        <v>Algorithms</v>
      </c>
      <c r="H643" s="13" t="str">
        <f>SUBSTITUTE(Github!L$90, ";", ", ")</f>
        <v>Math, Backtracking, Bit Manipulation, </v>
      </c>
      <c r="I643" s="10" t="str">
        <f>Github!E$90</f>
        <v>Medium</v>
      </c>
      <c r="J643" s="10" t="str">
        <f>IF(TRIM(Github!D$90)="TRUE","FALSE","TRUE")</f>
        <v>TRUE</v>
      </c>
      <c r="K643" s="10" t="b">
        <f>Github!M$90</f>
        <v>1</v>
      </c>
      <c r="L643" s="10" t="b">
        <f>Github!N$90</f>
        <v>0</v>
      </c>
      <c r="M643" s="10" t="str">
        <f>ROUND(Github!O$90, 2)&amp;"%"</f>
        <v>54.97%</v>
      </c>
      <c r="N643" s="10">
        <f>Github!P$90</f>
        <v>228326</v>
      </c>
      <c r="O643" s="10">
        <f>Github!Q$90</f>
        <v>415336</v>
      </c>
    </row>
    <row r="644">
      <c r="A644" s="10">
        <f>Github!J$940</f>
        <v>939</v>
      </c>
      <c r="B644" s="11" t="str">
        <f>HYPERLINK(CONCAT("http://leetcode.com/problems/",Github!C$940), Github!B$940)</f>
        <v>Minimum Area Rectangle</v>
      </c>
      <c r="C644" s="10">
        <f>Github!F$940</f>
        <v>1373</v>
      </c>
      <c r="D644" s="10">
        <f>Github!G$940</f>
        <v>217</v>
      </c>
      <c r="E644" s="10">
        <f>Github!F$940+Github!G$940</f>
        <v>1590</v>
      </c>
      <c r="F644" s="12">
        <f t="shared" si="1"/>
        <v>6.33</v>
      </c>
      <c r="G644" s="10" t="str">
        <f>Github!H$940</f>
        <v>Algorithms</v>
      </c>
      <c r="H644" s="13" t="str">
        <f>SUBSTITUTE(Github!L$940, ";", ", ")</f>
        <v>Array, Hash Table, Math, Geometry, Sorting, </v>
      </c>
      <c r="I644" s="10" t="str">
        <f>Github!E$940</f>
        <v>Medium</v>
      </c>
      <c r="J644" s="10" t="str">
        <f>IF(TRIM(Github!D$940)="TRUE","FALSE","TRUE")</f>
        <v>TRUE</v>
      </c>
      <c r="K644" s="10" t="b">
        <f>Github!M$940</f>
        <v>0</v>
      </c>
      <c r="L644" s="10" t="b">
        <f>Github!N$940</f>
        <v>0</v>
      </c>
      <c r="M644" s="10" t="str">
        <f>ROUND(Github!O$940, 2)&amp;"%"</f>
        <v>53.43%</v>
      </c>
      <c r="N644" s="10">
        <f>Github!P$940</f>
        <v>96383</v>
      </c>
      <c r="O644" s="10">
        <f>Github!Q$940</f>
        <v>180389</v>
      </c>
    </row>
    <row r="645">
      <c r="A645" s="10">
        <f>Github!J$454</f>
        <v>453</v>
      </c>
      <c r="B645" s="11" t="str">
        <f>HYPERLINK(CONCAT("http://leetcode.com/problems/",Github!C$454), Github!B$454)</f>
        <v>Minimum Moves to Equal Array Elements</v>
      </c>
      <c r="C645" s="10">
        <f>Github!F$454</f>
        <v>1372</v>
      </c>
      <c r="D645" s="10">
        <f>Github!G$454</f>
        <v>1516</v>
      </c>
      <c r="E645" s="10">
        <f>Github!F$454+Github!G$454</f>
        <v>2888</v>
      </c>
      <c r="F645" s="12">
        <f t="shared" si="1"/>
        <v>0.91</v>
      </c>
      <c r="G645" s="10" t="str">
        <f>Github!H$454</f>
        <v>Algorithms</v>
      </c>
      <c r="H645" s="13" t="str">
        <f>SUBSTITUTE(Github!L$454, ";", ", ")</f>
        <v>Array, Math, </v>
      </c>
      <c r="I645" s="10" t="str">
        <f>Github!E$454</f>
        <v>Medium</v>
      </c>
      <c r="J645" s="10" t="str">
        <f>IF(TRIM(Github!D$454)="TRUE","FALSE","TRUE")</f>
        <v>TRUE</v>
      </c>
      <c r="K645" s="10" t="b">
        <f>Github!M$454</f>
        <v>1</v>
      </c>
      <c r="L645" s="10" t="b">
        <f>Github!N$454</f>
        <v>0</v>
      </c>
      <c r="M645" s="10" t="str">
        <f>ROUND(Github!O$454, 2)&amp;"%"</f>
        <v>53.74%</v>
      </c>
      <c r="N645" s="10">
        <f>Github!P$454</f>
        <v>118345</v>
      </c>
      <c r="O645" s="10">
        <f>Github!Q$454</f>
        <v>220209</v>
      </c>
    </row>
    <row r="646">
      <c r="A646" s="10">
        <f>Github!J$306</f>
        <v>305</v>
      </c>
      <c r="B646" s="11" t="str">
        <f>HYPERLINK(CONCAT("http://leetcode.com/problems/",Github!C$306), Github!B$306)</f>
        <v>Number of Islands II</v>
      </c>
      <c r="C646" s="10">
        <f>Github!F$306</f>
        <v>1370</v>
      </c>
      <c r="D646" s="10">
        <f>Github!G$306</f>
        <v>42</v>
      </c>
      <c r="E646" s="10">
        <f>Github!F$306+Github!G$306</f>
        <v>1412</v>
      </c>
      <c r="F646" s="12">
        <f t="shared" si="1"/>
        <v>32.62</v>
      </c>
      <c r="G646" s="10" t="str">
        <f>Github!H$306</f>
        <v>Algorithms</v>
      </c>
      <c r="H646" s="13" t="str">
        <f>SUBSTITUTE(Github!L$306, ";", ", ")</f>
        <v>Array, Union Find, </v>
      </c>
      <c r="I646" s="10" t="str">
        <f>Github!E$306</f>
        <v>Hard</v>
      </c>
      <c r="J646" s="10" t="str">
        <f>IF(TRIM(Github!D$306)="TRUE","FALSE","TRUE")</f>
        <v>FALSE</v>
      </c>
      <c r="K646" s="10" t="b">
        <f>Github!M$306</f>
        <v>1</v>
      </c>
      <c r="L646" s="10" t="b">
        <f>Github!N$306</f>
        <v>0</v>
      </c>
      <c r="M646" s="10" t="str">
        <f>ROUND(Github!O$306, 2)&amp;"%"</f>
        <v>39.33%</v>
      </c>
      <c r="N646" s="10">
        <f>Github!P$306</f>
        <v>109573</v>
      </c>
      <c r="O646" s="10">
        <f>Github!Q$306</f>
        <v>278616</v>
      </c>
    </row>
    <row r="647">
      <c r="A647" s="10">
        <f>Github!J$271</f>
        <v>270</v>
      </c>
      <c r="B647" s="11" t="str">
        <f>HYPERLINK(CONCAT("http://leetcode.com/problems/",Github!C$271), Github!B$271)</f>
        <v>Closest Binary Search Tree Value</v>
      </c>
      <c r="C647" s="10">
        <f>Github!F$271</f>
        <v>1370</v>
      </c>
      <c r="D647" s="10">
        <f>Github!G$271</f>
        <v>86</v>
      </c>
      <c r="E647" s="10">
        <f>Github!F$271+Github!G$271</f>
        <v>1456</v>
      </c>
      <c r="F647" s="12">
        <f t="shared" si="1"/>
        <v>15.93</v>
      </c>
      <c r="G647" s="10" t="str">
        <f>Github!H$271</f>
        <v>Algorithms</v>
      </c>
      <c r="H647" s="13" t="str">
        <f>SUBSTITUTE(Github!L$271, ";", ", ")</f>
        <v>Binary Search, Tree, Depth-First Search, Binary Search Tree, Binary Tree, </v>
      </c>
      <c r="I647" s="10" t="str">
        <f>Github!E$271</f>
        <v>Easy</v>
      </c>
      <c r="J647" s="10" t="str">
        <f>IF(TRIM(Github!D$271)="TRUE","FALSE","TRUE")</f>
        <v>FALSE</v>
      </c>
      <c r="K647" s="10" t="b">
        <f>Github!M$271</f>
        <v>1</v>
      </c>
      <c r="L647" s="10" t="b">
        <f>Github!N$271</f>
        <v>0</v>
      </c>
      <c r="M647" s="10" t="str">
        <f>ROUND(Github!O$271, 2)&amp;"%"</f>
        <v>53.42%</v>
      </c>
      <c r="N647" s="10">
        <f>Github!P$271</f>
        <v>242448</v>
      </c>
      <c r="O647" s="10">
        <f>Github!Q$271</f>
        <v>453880</v>
      </c>
    </row>
    <row r="648">
      <c r="A648" s="10">
        <f>Github!J$343</f>
        <v>342</v>
      </c>
      <c r="B648" s="11" t="str">
        <f>HYPERLINK(CONCAT("http://leetcode.com/problems/",Github!C$343), Github!B$343)</f>
        <v>Power of Four</v>
      </c>
      <c r="C648" s="10">
        <f>Github!F$343</f>
        <v>1370</v>
      </c>
      <c r="D648" s="10">
        <f>Github!G$343</f>
        <v>283</v>
      </c>
      <c r="E648" s="10">
        <f>Github!F$343+Github!G$343</f>
        <v>1653</v>
      </c>
      <c r="F648" s="12">
        <f t="shared" si="1"/>
        <v>4.84</v>
      </c>
      <c r="G648" s="10" t="str">
        <f>Github!H$343</f>
        <v>Algorithms</v>
      </c>
      <c r="H648" s="13" t="str">
        <f>SUBSTITUTE(Github!L$343, ";", ", ")</f>
        <v>Math, Bit Manipulation, Recursion, </v>
      </c>
      <c r="I648" s="10" t="str">
        <f>Github!E$343</f>
        <v>Easy</v>
      </c>
      <c r="J648" s="10" t="str">
        <f>IF(TRIM(Github!D$343)="TRUE","FALSE","TRUE")</f>
        <v>TRUE</v>
      </c>
      <c r="K648" s="10" t="b">
        <f>Github!M$343</f>
        <v>1</v>
      </c>
      <c r="L648" s="10" t="b">
        <f>Github!N$343</f>
        <v>0</v>
      </c>
      <c r="M648" s="10" t="str">
        <f>ROUND(Github!O$343, 2)&amp;"%"</f>
        <v>43.68%</v>
      </c>
      <c r="N648" s="10">
        <f>Github!P$343</f>
        <v>283758</v>
      </c>
      <c r="O648" s="10">
        <f>Github!Q$343</f>
        <v>649635</v>
      </c>
    </row>
    <row r="649">
      <c r="A649" s="10">
        <f>Github!J$874</f>
        <v>873</v>
      </c>
      <c r="B649" s="11" t="str">
        <f>HYPERLINK(CONCAT("http://leetcode.com/problems/",Github!C$874), Github!B$874)</f>
        <v>Length of Longest Fibonacci Subsequence</v>
      </c>
      <c r="C649" s="10">
        <f>Github!F$874</f>
        <v>1367</v>
      </c>
      <c r="D649" s="10">
        <f>Github!G$874</f>
        <v>50</v>
      </c>
      <c r="E649" s="10">
        <f>Github!F$874+Github!G$874</f>
        <v>1417</v>
      </c>
      <c r="F649" s="12">
        <f t="shared" si="1"/>
        <v>27.34</v>
      </c>
      <c r="G649" s="10" t="str">
        <f>Github!H$874</f>
        <v>Algorithms</v>
      </c>
      <c r="H649" s="13" t="str">
        <f>SUBSTITUTE(Github!L$874, ";", ", ")</f>
        <v>Array, Hash Table, Dynamic Programming, </v>
      </c>
      <c r="I649" s="10" t="str">
        <f>Github!E$874</f>
        <v>Medium</v>
      </c>
      <c r="J649" s="10" t="str">
        <f>IF(TRIM(Github!D$874)="TRUE","FALSE","TRUE")</f>
        <v>TRUE</v>
      </c>
      <c r="K649" s="10" t="b">
        <f>Github!M$874</f>
        <v>1</v>
      </c>
      <c r="L649" s="10" t="b">
        <f>Github!N$874</f>
        <v>0</v>
      </c>
      <c r="M649" s="10" t="str">
        <f>ROUND(Github!O$874, 2)&amp;"%"</f>
        <v>48.57%</v>
      </c>
      <c r="N649" s="10">
        <f>Github!P$874</f>
        <v>46575</v>
      </c>
      <c r="O649" s="10">
        <f>Github!Q$874</f>
        <v>95890</v>
      </c>
    </row>
    <row r="650">
      <c r="A650" s="10">
        <f>Github!J$936</f>
        <v>935</v>
      </c>
      <c r="B650" s="11" t="str">
        <f>HYPERLINK(CONCAT("http://leetcode.com/problems/",Github!C$936), Github!B$936)</f>
        <v>Knight Dialer</v>
      </c>
      <c r="C650" s="10">
        <f>Github!F$936</f>
        <v>1364</v>
      </c>
      <c r="D650" s="10">
        <f>Github!G$936</f>
        <v>344</v>
      </c>
      <c r="E650" s="10">
        <f>Github!F$936+Github!G$936</f>
        <v>1708</v>
      </c>
      <c r="F650" s="12">
        <f t="shared" si="1"/>
        <v>3.97</v>
      </c>
      <c r="G650" s="10" t="str">
        <f>Github!H$936</f>
        <v>Algorithms</v>
      </c>
      <c r="H650" s="13" t="str">
        <f>SUBSTITUTE(Github!L$936, ";", ", ")</f>
        <v>Dynamic Programming, </v>
      </c>
      <c r="I650" s="10" t="str">
        <f>Github!E$936</f>
        <v>Medium</v>
      </c>
      <c r="J650" s="10" t="str">
        <f>IF(TRIM(Github!D$936)="TRUE","FALSE","TRUE")</f>
        <v>TRUE</v>
      </c>
      <c r="K650" s="10" t="b">
        <f>Github!M$936</f>
        <v>0</v>
      </c>
      <c r="L650" s="10" t="b">
        <f>Github!N$936</f>
        <v>0</v>
      </c>
      <c r="M650" s="10" t="str">
        <f>ROUND(Github!O$936, 2)&amp;"%"</f>
        <v>48.8%</v>
      </c>
      <c r="N650" s="10">
        <f>Github!P$936</f>
        <v>74101</v>
      </c>
      <c r="O650" s="10">
        <f>Github!Q$936</f>
        <v>151846</v>
      </c>
    </row>
    <row r="651">
      <c r="A651" s="10">
        <f>Github!J$491</f>
        <v>490</v>
      </c>
      <c r="B651" s="11" t="str">
        <f>HYPERLINK(CONCAT("http://leetcode.com/problems/",Github!C$491), Github!B$491)</f>
        <v>The Maze</v>
      </c>
      <c r="C651" s="10">
        <f>Github!F$491</f>
        <v>1361</v>
      </c>
      <c r="D651" s="10">
        <f>Github!G$491</f>
        <v>148</v>
      </c>
      <c r="E651" s="10">
        <f>Github!F$491+Github!G$491</f>
        <v>1509</v>
      </c>
      <c r="F651" s="12">
        <f t="shared" si="1"/>
        <v>9.2</v>
      </c>
      <c r="G651" s="10" t="str">
        <f>Github!H$491</f>
        <v>Algorithms</v>
      </c>
      <c r="H651" s="13" t="str">
        <f>SUBSTITUTE(Github!L$491, ";", ", ")</f>
        <v>Depth-First Search, Breadth-First Search, Graph, </v>
      </c>
      <c r="I651" s="10" t="str">
        <f>Github!E$491</f>
        <v>Medium</v>
      </c>
      <c r="J651" s="10" t="str">
        <f>IF(TRIM(Github!D$491)="TRUE","FALSE","TRUE")</f>
        <v>FALSE</v>
      </c>
      <c r="K651" s="10" t="b">
        <f>Github!M$491</f>
        <v>1</v>
      </c>
      <c r="L651" s="10" t="b">
        <f>Github!N$491</f>
        <v>0</v>
      </c>
      <c r="M651" s="10" t="str">
        <f>ROUND(Github!O$491, 2)&amp;"%"</f>
        <v>54.49%</v>
      </c>
      <c r="N651" s="10">
        <f>Github!P$491</f>
        <v>114133</v>
      </c>
      <c r="O651" s="10">
        <f>Github!Q$491</f>
        <v>209442</v>
      </c>
    </row>
    <row r="652">
      <c r="A652" s="10">
        <f>Github!J$88</f>
        <v>87</v>
      </c>
      <c r="B652" s="11" t="str">
        <f>HYPERLINK(CONCAT("http://leetcode.com/problems/",Github!C$88), Github!B$88)</f>
        <v>Scramble String</v>
      </c>
      <c r="C652" s="10">
        <f>Github!F$88</f>
        <v>1359</v>
      </c>
      <c r="D652" s="10">
        <f>Github!G$88</f>
        <v>920</v>
      </c>
      <c r="E652" s="10">
        <f>Github!F$88+Github!G$88</f>
        <v>2279</v>
      </c>
      <c r="F652" s="12">
        <f t="shared" si="1"/>
        <v>1.48</v>
      </c>
      <c r="G652" s="10" t="str">
        <f>Github!H$88</f>
        <v>Algorithms</v>
      </c>
      <c r="H652" s="13" t="str">
        <f>SUBSTITUTE(Github!L$88, ";", ", ")</f>
        <v>String, Dynamic Programming, </v>
      </c>
      <c r="I652" s="10" t="str">
        <f>Github!E$88</f>
        <v>Hard</v>
      </c>
      <c r="J652" s="10" t="str">
        <f>IF(TRIM(Github!D$88)="TRUE","FALSE","TRUE")</f>
        <v>TRUE</v>
      </c>
      <c r="K652" s="10" t="b">
        <f>Github!M$88</f>
        <v>0</v>
      </c>
      <c r="L652" s="10" t="b">
        <f>Github!N$88</f>
        <v>0</v>
      </c>
      <c r="M652" s="10" t="str">
        <f>ROUND(Github!O$88, 2)&amp;"%"</f>
        <v>35.49%</v>
      </c>
      <c r="N652" s="10">
        <f>Github!P$88</f>
        <v>141239</v>
      </c>
      <c r="O652" s="10">
        <f>Github!Q$88</f>
        <v>398005</v>
      </c>
    </row>
    <row r="653">
      <c r="A653" s="10">
        <f>Github!J$837</f>
        <v>836</v>
      </c>
      <c r="B653" s="11" t="str">
        <f>HYPERLINK(CONCAT("http://leetcode.com/problems/",Github!C$837), Github!B$837)</f>
        <v>Rectangle Overlap</v>
      </c>
      <c r="C653" s="10">
        <f>Github!F$837</f>
        <v>1355</v>
      </c>
      <c r="D653" s="10">
        <f>Github!G$837</f>
        <v>375</v>
      </c>
      <c r="E653" s="10">
        <f>Github!F$837+Github!G$837</f>
        <v>1730</v>
      </c>
      <c r="F653" s="12">
        <f t="shared" si="1"/>
        <v>3.61</v>
      </c>
      <c r="G653" s="10" t="str">
        <f>Github!H$837</f>
        <v>Algorithms</v>
      </c>
      <c r="H653" s="13" t="str">
        <f>SUBSTITUTE(Github!L$837, ";", ", ")</f>
        <v>Math, Geometry, </v>
      </c>
      <c r="I653" s="10" t="str">
        <f>Github!E$837</f>
        <v>Easy</v>
      </c>
      <c r="J653" s="10" t="str">
        <f>IF(TRIM(Github!D$837)="TRUE","FALSE","TRUE")</f>
        <v>TRUE</v>
      </c>
      <c r="K653" s="10" t="b">
        <f>Github!M$837</f>
        <v>1</v>
      </c>
      <c r="L653" s="10" t="b">
        <f>Github!N$837</f>
        <v>0</v>
      </c>
      <c r="M653" s="10" t="str">
        <f>ROUND(Github!O$837, 2)&amp;"%"</f>
        <v>43.15%</v>
      </c>
      <c r="N653" s="10">
        <f>Github!P$837</f>
        <v>97998</v>
      </c>
      <c r="O653" s="10">
        <f>Github!Q$837</f>
        <v>227108</v>
      </c>
    </row>
    <row r="654">
      <c r="A654" s="10">
        <f>Github!J$708</f>
        <v>707</v>
      </c>
      <c r="B654" s="11" t="str">
        <f>HYPERLINK(CONCAT("http://leetcode.com/problems/",Github!C$708), Github!B$708)</f>
        <v>Design Linked List</v>
      </c>
      <c r="C654" s="10">
        <f>Github!F$708</f>
        <v>1355</v>
      </c>
      <c r="D654" s="10">
        <f>Github!G$708</f>
        <v>1132</v>
      </c>
      <c r="E654" s="10">
        <f>Github!F$708+Github!G$708</f>
        <v>2487</v>
      </c>
      <c r="F654" s="12">
        <f t="shared" si="1"/>
        <v>1.2</v>
      </c>
      <c r="G654" s="10" t="str">
        <f>Github!H$708</f>
        <v>Algorithms</v>
      </c>
      <c r="H654" s="13" t="str">
        <f>SUBSTITUTE(Github!L$708, ";", ", ")</f>
        <v>Linked List, Design, </v>
      </c>
      <c r="I654" s="10" t="str">
        <f>Github!E$708</f>
        <v>Medium</v>
      </c>
      <c r="J654" s="10" t="str">
        <f>IF(TRIM(Github!D$708)="TRUE","FALSE","TRUE")</f>
        <v>TRUE</v>
      </c>
      <c r="K654" s="10" t="b">
        <f>Github!M$708</f>
        <v>1</v>
      </c>
      <c r="L654" s="10" t="b">
        <f>Github!N$708</f>
        <v>0</v>
      </c>
      <c r="M654" s="10" t="str">
        <f>ROUND(Github!O$708, 2)&amp;"%"</f>
        <v>26.86%</v>
      </c>
      <c r="N654" s="10">
        <f>Github!P$708</f>
        <v>174828</v>
      </c>
      <c r="O654" s="10">
        <f>Github!Q$708</f>
        <v>650873</v>
      </c>
    </row>
    <row r="655">
      <c r="A655" s="10">
        <f>Github!J$687</f>
        <v>686</v>
      </c>
      <c r="B655" s="11" t="str">
        <f>HYPERLINK(CONCAT("http://leetcode.com/problems/",Github!C$687), Github!B$687)</f>
        <v>Repeated String Match</v>
      </c>
      <c r="C655" s="10">
        <f>Github!F$687</f>
        <v>1353</v>
      </c>
      <c r="D655" s="10">
        <f>Github!G$687</f>
        <v>891</v>
      </c>
      <c r="E655" s="10">
        <f>Github!F$687+Github!G$687</f>
        <v>2244</v>
      </c>
      <c r="F655" s="12">
        <f t="shared" si="1"/>
        <v>1.52</v>
      </c>
      <c r="G655" s="10" t="str">
        <f>Github!H$687</f>
        <v>Algorithms</v>
      </c>
      <c r="H655" s="13" t="str">
        <f>SUBSTITUTE(Github!L$687, ";", ", ")</f>
        <v>String, String Matching, </v>
      </c>
      <c r="I655" s="10" t="str">
        <f>Github!E$687</f>
        <v>Medium</v>
      </c>
      <c r="J655" s="10" t="str">
        <f>IF(TRIM(Github!D$687)="TRUE","FALSE","TRUE")</f>
        <v>TRUE</v>
      </c>
      <c r="K655" s="10" t="b">
        <f>Github!M$687</f>
        <v>0</v>
      </c>
      <c r="L655" s="10" t="b">
        <f>Github!N$687</f>
        <v>0</v>
      </c>
      <c r="M655" s="10" t="str">
        <f>ROUND(Github!O$687, 2)&amp;"%"</f>
        <v>33.48%</v>
      </c>
      <c r="N655" s="10">
        <f>Github!P$687</f>
        <v>118535</v>
      </c>
      <c r="O655" s="10">
        <f>Github!Q$687</f>
        <v>354047</v>
      </c>
    </row>
    <row r="656">
      <c r="A656" s="10">
        <f>Github!J$456</f>
        <v>455</v>
      </c>
      <c r="B656" s="11" t="str">
        <f>HYPERLINK(CONCAT("http://leetcode.com/problems/",Github!C$456), Github!B$456)</f>
        <v>Assign Cookies</v>
      </c>
      <c r="C656" s="10">
        <f>Github!F$456</f>
        <v>1348</v>
      </c>
      <c r="D656" s="10">
        <f>Github!G$456</f>
        <v>150</v>
      </c>
      <c r="E656" s="10">
        <f>Github!F$456+Github!G$456</f>
        <v>1498</v>
      </c>
      <c r="F656" s="12">
        <f t="shared" si="1"/>
        <v>8.99</v>
      </c>
      <c r="G656" s="10" t="str">
        <f>Github!H$456</f>
        <v>Algorithms</v>
      </c>
      <c r="H656" s="13" t="str">
        <f>SUBSTITUTE(Github!L$456, ";", ", ")</f>
        <v>Array, Greedy, Sorting, </v>
      </c>
      <c r="I656" s="10" t="str">
        <f>Github!E$456</f>
        <v>Easy</v>
      </c>
      <c r="J656" s="10" t="str">
        <f>IF(TRIM(Github!D$456)="TRUE","FALSE","TRUE")</f>
        <v>TRUE</v>
      </c>
      <c r="K656" s="10" t="b">
        <f>Github!M$456</f>
        <v>0</v>
      </c>
      <c r="L656" s="10" t="b">
        <f>Github!N$456</f>
        <v>0</v>
      </c>
      <c r="M656" s="10" t="str">
        <f>ROUND(Github!O$456, 2)&amp;"%"</f>
        <v>50.73%</v>
      </c>
      <c r="N656" s="10">
        <f>Github!P$456</f>
        <v>157768</v>
      </c>
      <c r="O656" s="10">
        <f>Github!Q$456</f>
        <v>311011</v>
      </c>
    </row>
    <row r="657">
      <c r="A657" s="10">
        <f>Github!J$1172</f>
        <v>1171</v>
      </c>
      <c r="B657" s="11" t="str">
        <f>HYPERLINK(CONCAT("http://leetcode.com/problems/",Github!C$1172), Github!B$1172)</f>
        <v>Remove Zero Sum Consecutive Nodes from Linked List</v>
      </c>
      <c r="C657" s="10">
        <f>Github!F$1172</f>
        <v>1341</v>
      </c>
      <c r="D657" s="10">
        <f>Github!G$1172</f>
        <v>68</v>
      </c>
      <c r="E657" s="10">
        <f>Github!F$1172+Github!G$1172</f>
        <v>1409</v>
      </c>
      <c r="F657" s="12">
        <f t="shared" si="1"/>
        <v>19.72</v>
      </c>
      <c r="G657" s="10" t="str">
        <f>Github!H$1172</f>
        <v>Algorithms</v>
      </c>
      <c r="H657" s="13" t="str">
        <f>SUBSTITUTE(Github!L$1172, ";", ", ")</f>
        <v>Hash Table, Linked List, </v>
      </c>
      <c r="I657" s="10" t="str">
        <f>Github!E$1172</f>
        <v>Medium</v>
      </c>
      <c r="J657" s="10" t="str">
        <f>IF(TRIM(Github!D$1172)="TRUE","FALSE","TRUE")</f>
        <v>TRUE</v>
      </c>
      <c r="K657" s="10" t="b">
        <f>Github!M$1172</f>
        <v>0</v>
      </c>
      <c r="L657" s="10" t="b">
        <f>Github!N$1172</f>
        <v>0</v>
      </c>
      <c r="M657" s="10" t="str">
        <f>ROUND(Github!O$1172, 2)&amp;"%"</f>
        <v>42.41%</v>
      </c>
      <c r="N657" s="10">
        <f>Github!P$1172</f>
        <v>34297</v>
      </c>
      <c r="O657" s="10">
        <f>Github!Q$1172</f>
        <v>80863</v>
      </c>
    </row>
    <row r="658">
      <c r="A658" s="10">
        <f>Github!J$860</f>
        <v>859</v>
      </c>
      <c r="B658" s="11" t="str">
        <f>HYPERLINK(CONCAT("http://leetcode.com/problems/",Github!C$860), Github!B$860)</f>
        <v>Buddy Strings</v>
      </c>
      <c r="C658" s="10">
        <f>Github!F$860</f>
        <v>1338</v>
      </c>
      <c r="D658" s="10">
        <f>Github!G$860</f>
        <v>861</v>
      </c>
      <c r="E658" s="10">
        <f>Github!F$860+Github!G$860</f>
        <v>2199</v>
      </c>
      <c r="F658" s="12">
        <f t="shared" si="1"/>
        <v>1.55</v>
      </c>
      <c r="G658" s="10" t="str">
        <f>Github!H$860</f>
        <v>Algorithms</v>
      </c>
      <c r="H658" s="13" t="str">
        <f>SUBSTITUTE(Github!L$860, ";", ", ")</f>
        <v>Hash Table, String, </v>
      </c>
      <c r="I658" s="10" t="str">
        <f>Github!E$860</f>
        <v>Easy</v>
      </c>
      <c r="J658" s="10" t="str">
        <f>IF(TRIM(Github!D$860)="TRUE","FALSE","TRUE")</f>
        <v>TRUE</v>
      </c>
      <c r="K658" s="10" t="b">
        <f>Github!M$860</f>
        <v>1</v>
      </c>
      <c r="L658" s="10" t="b">
        <f>Github!N$860</f>
        <v>0</v>
      </c>
      <c r="M658" s="10" t="str">
        <f>ROUND(Github!O$860, 2)&amp;"%"</f>
        <v>28.76%</v>
      </c>
      <c r="N658" s="10">
        <f>Github!P$860</f>
        <v>114681</v>
      </c>
      <c r="O658" s="10">
        <f>Github!Q$860</f>
        <v>398786</v>
      </c>
    </row>
    <row r="659">
      <c r="A659" s="10">
        <f>Github!J$1326</f>
        <v>1325</v>
      </c>
      <c r="B659" s="11" t="str">
        <f>HYPERLINK(CONCAT("http://leetcode.com/problems/",Github!C$1326), Github!B$1326)</f>
        <v>Delete Leaves With a Given Value</v>
      </c>
      <c r="C659" s="10">
        <f>Github!F$1326</f>
        <v>1331</v>
      </c>
      <c r="D659" s="10">
        <f>Github!G$1326</f>
        <v>25</v>
      </c>
      <c r="E659" s="10">
        <f>Github!F$1326+Github!G$1326</f>
        <v>1356</v>
      </c>
      <c r="F659" s="12">
        <f t="shared" si="1"/>
        <v>53.24</v>
      </c>
      <c r="G659" s="10" t="str">
        <f>Github!H$1326</f>
        <v>Algorithms</v>
      </c>
      <c r="H659" s="13" t="str">
        <f>SUBSTITUTE(Github!L$1326, ";", ", ")</f>
        <v>Tree, Depth-First Search, Binary Tree, </v>
      </c>
      <c r="I659" s="10" t="str">
        <f>Github!E$1326</f>
        <v>Medium</v>
      </c>
      <c r="J659" s="10" t="str">
        <f>IF(TRIM(Github!D$1326)="TRUE","FALSE","TRUE")</f>
        <v>TRUE</v>
      </c>
      <c r="K659" s="10" t="b">
        <f>Github!M$1326</f>
        <v>0</v>
      </c>
      <c r="L659" s="10" t="b">
        <f>Github!N$1326</f>
        <v>0</v>
      </c>
      <c r="M659" s="10" t="str">
        <f>ROUND(Github!O$1326, 2)&amp;"%"</f>
        <v>74.82%</v>
      </c>
      <c r="N659" s="10">
        <f>Github!P$1326</f>
        <v>63158</v>
      </c>
      <c r="O659" s="10">
        <f>Github!Q$1326</f>
        <v>84414</v>
      </c>
    </row>
    <row r="660">
      <c r="A660" s="10">
        <f>Github!J$253</f>
        <v>252</v>
      </c>
      <c r="B660" s="11" t="str">
        <f>HYPERLINK(CONCAT("http://leetcode.com/problems/",Github!C$253), Github!B$253)</f>
        <v>Meeting Rooms</v>
      </c>
      <c r="C660" s="10">
        <f>Github!F$253</f>
        <v>1329</v>
      </c>
      <c r="D660" s="10">
        <f>Github!G$253</f>
        <v>65</v>
      </c>
      <c r="E660" s="10">
        <f>Github!F$253+Github!G$253</f>
        <v>1394</v>
      </c>
      <c r="F660" s="12">
        <f t="shared" si="1"/>
        <v>20.45</v>
      </c>
      <c r="G660" s="10" t="str">
        <f>Github!H$253</f>
        <v>Algorithms</v>
      </c>
      <c r="H660" s="13" t="str">
        <f>SUBSTITUTE(Github!L$253, ";", ", ")</f>
        <v>Array, Sorting, </v>
      </c>
      <c r="I660" s="10" t="str">
        <f>Github!E$253</f>
        <v>Easy</v>
      </c>
      <c r="J660" s="10" t="str">
        <f>IF(TRIM(Github!D$253)="TRUE","FALSE","TRUE")</f>
        <v>FALSE</v>
      </c>
      <c r="K660" s="10" t="b">
        <f>Github!M$253</f>
        <v>1</v>
      </c>
      <c r="L660" s="10" t="b">
        <f>Github!N$253</f>
        <v>1</v>
      </c>
      <c r="M660" s="10" t="str">
        <f>ROUND(Github!O$253, 2)&amp;"%"</f>
        <v>56.59%</v>
      </c>
      <c r="N660" s="10">
        <f>Github!P$253</f>
        <v>254147</v>
      </c>
      <c r="O660" s="10">
        <f>Github!Q$253</f>
        <v>449093</v>
      </c>
    </row>
    <row r="661">
      <c r="A661" s="10">
        <f>Github!J$463</f>
        <v>462</v>
      </c>
      <c r="B661" s="11" t="str">
        <f>HYPERLINK(CONCAT("http://leetcode.com/problems/",Github!C$463), Github!B$463)</f>
        <v>Minimum Moves to Equal Array Elements II</v>
      </c>
      <c r="C661" s="10">
        <f>Github!F$463</f>
        <v>1326</v>
      </c>
      <c r="D661" s="10">
        <f>Github!G$463</f>
        <v>72</v>
      </c>
      <c r="E661" s="10">
        <f>Github!F$463+Github!G$463</f>
        <v>1398</v>
      </c>
      <c r="F661" s="12">
        <f t="shared" si="1"/>
        <v>18.42</v>
      </c>
      <c r="G661" s="10" t="str">
        <f>Github!H$463</f>
        <v>Algorithms</v>
      </c>
      <c r="H661" s="13" t="str">
        <f>SUBSTITUTE(Github!L$463, ";", ", ")</f>
        <v>Array, Math, Sorting, </v>
      </c>
      <c r="I661" s="10" t="str">
        <f>Github!E$463</f>
        <v>Medium</v>
      </c>
      <c r="J661" s="10" t="str">
        <f>IF(TRIM(Github!D$463)="TRUE","FALSE","TRUE")</f>
        <v>TRUE</v>
      </c>
      <c r="K661" s="10" t="b">
        <f>Github!M$463</f>
        <v>1</v>
      </c>
      <c r="L661" s="10" t="b">
        <f>Github!N$463</f>
        <v>0</v>
      </c>
      <c r="M661" s="10" t="str">
        <f>ROUND(Github!O$463, 2)&amp;"%"</f>
        <v>56.74%</v>
      </c>
      <c r="N661" s="10">
        <f>Github!P$463</f>
        <v>85754</v>
      </c>
      <c r="O661" s="10">
        <f>Github!Q$463</f>
        <v>151143</v>
      </c>
    </row>
    <row r="662">
      <c r="A662" s="10">
        <f>Github!J$1467</f>
        <v>1466</v>
      </c>
      <c r="B662" s="11" t="str">
        <f>HYPERLINK(CONCAT("http://leetcode.com/problems/",Github!C$1467), Github!B$1467)</f>
        <v>Reorder Routes to Make All Paths Lead to the City Zero</v>
      </c>
      <c r="C662" s="10">
        <f>Github!F$1467</f>
        <v>1327</v>
      </c>
      <c r="D662" s="10">
        <f>Github!G$1467</f>
        <v>33</v>
      </c>
      <c r="E662" s="10">
        <f>Github!F$1467+Github!G$1467</f>
        <v>1360</v>
      </c>
      <c r="F662" s="12">
        <f t="shared" si="1"/>
        <v>40.21</v>
      </c>
      <c r="G662" s="10" t="str">
        <f>Github!H$1467</f>
        <v>Algorithms</v>
      </c>
      <c r="H662" s="13" t="str">
        <f>SUBSTITUTE(Github!L$1467, ";", ", ")</f>
        <v>Depth-First Search, Breadth-First Search, Graph, </v>
      </c>
      <c r="I662" s="10" t="str">
        <f>Github!E$1467</f>
        <v>Medium</v>
      </c>
      <c r="J662" s="10" t="str">
        <f>IF(TRIM(Github!D$1467)="TRUE","FALSE","TRUE")</f>
        <v>TRUE</v>
      </c>
      <c r="K662" s="10" t="b">
        <f>Github!M$1467</f>
        <v>0</v>
      </c>
      <c r="L662" s="10" t="b">
        <f>Github!N$1467</f>
        <v>0</v>
      </c>
      <c r="M662" s="10" t="str">
        <f>ROUND(Github!O$1467, 2)&amp;"%"</f>
        <v>60.71%</v>
      </c>
      <c r="N662" s="10">
        <f>Github!P$1467</f>
        <v>48027</v>
      </c>
      <c r="O662" s="10">
        <f>Github!Q$1467</f>
        <v>79106</v>
      </c>
    </row>
    <row r="663">
      <c r="A663" s="10">
        <f>Github!J$1359</f>
        <v>1358</v>
      </c>
      <c r="B663" s="11" t="str">
        <f>HYPERLINK(CONCAT("http://leetcode.com/problems/",Github!C$1359), Github!B$1359)</f>
        <v>Number of Substrings Containing All Three Characters</v>
      </c>
      <c r="C663" s="10">
        <f>Github!F$1359</f>
        <v>1321</v>
      </c>
      <c r="D663" s="10">
        <f>Github!G$1359</f>
        <v>24</v>
      </c>
      <c r="E663" s="10">
        <f>Github!F$1359+Github!G$1359</f>
        <v>1345</v>
      </c>
      <c r="F663" s="12">
        <f t="shared" si="1"/>
        <v>55.04</v>
      </c>
      <c r="G663" s="10" t="str">
        <f>Github!H$1359</f>
        <v>Algorithms</v>
      </c>
      <c r="H663" s="13" t="str">
        <f>SUBSTITUTE(Github!L$1359, ";", ", ")</f>
        <v>Hash Table, String, Sliding Window, </v>
      </c>
      <c r="I663" s="10" t="str">
        <f>Github!E$1359</f>
        <v>Medium</v>
      </c>
      <c r="J663" s="10" t="str">
        <f>IF(TRIM(Github!D$1359)="TRUE","FALSE","TRUE")</f>
        <v>TRUE</v>
      </c>
      <c r="K663" s="10" t="b">
        <f>Github!M$1359</f>
        <v>0</v>
      </c>
      <c r="L663" s="10" t="b">
        <f>Github!N$1359</f>
        <v>0</v>
      </c>
      <c r="M663" s="10" t="str">
        <f>ROUND(Github!O$1359, 2)&amp;"%"</f>
        <v>62.1%</v>
      </c>
      <c r="N663" s="10">
        <f>Github!P$1359</f>
        <v>34437</v>
      </c>
      <c r="O663" s="10">
        <f>Github!Q$1359</f>
        <v>55454</v>
      </c>
    </row>
    <row r="664">
      <c r="A664" s="10">
        <f>Github!J$760</f>
        <v>759</v>
      </c>
      <c r="B664" s="11" t="str">
        <f>HYPERLINK(CONCAT("http://leetcode.com/problems/",Github!C$760), Github!B$760)</f>
        <v>Employee Free Time</v>
      </c>
      <c r="C664" s="10">
        <f>Github!F$760</f>
        <v>1319</v>
      </c>
      <c r="D664" s="10">
        <f>Github!G$760</f>
        <v>84</v>
      </c>
      <c r="E664" s="10">
        <f>Github!F$760+Github!G$760</f>
        <v>1403</v>
      </c>
      <c r="F664" s="12">
        <f t="shared" si="1"/>
        <v>15.7</v>
      </c>
      <c r="G664" s="10" t="str">
        <f>Github!H$760</f>
        <v>Algorithms</v>
      </c>
      <c r="H664" s="13" t="str">
        <f>SUBSTITUTE(Github!L$760, ";", ", ")</f>
        <v>Array, Sorting, Heap (Priority Queue), </v>
      </c>
      <c r="I664" s="10" t="str">
        <f>Github!E$760</f>
        <v>Hard</v>
      </c>
      <c r="J664" s="10" t="str">
        <f>IF(TRIM(Github!D$760)="TRUE","FALSE","TRUE")</f>
        <v>FALSE</v>
      </c>
      <c r="K664" s="10" t="b">
        <f>Github!M$760</f>
        <v>0</v>
      </c>
      <c r="L664" s="10" t="b">
        <f>Github!N$760</f>
        <v>0</v>
      </c>
      <c r="M664" s="10" t="str">
        <f>ROUND(Github!O$760, 2)&amp;"%"</f>
        <v>70.87%</v>
      </c>
      <c r="N664" s="10">
        <f>Github!P$760</f>
        <v>101615</v>
      </c>
      <c r="O664" s="10">
        <f>Github!Q$760</f>
        <v>143387</v>
      </c>
    </row>
    <row r="665">
      <c r="A665" s="10">
        <f>Github!J$300</f>
        <v>299</v>
      </c>
      <c r="B665" s="11" t="str">
        <f>HYPERLINK(CONCAT("http://leetcode.com/problems/",Github!C$300), Github!B$300)</f>
        <v>Bulls and Cows</v>
      </c>
      <c r="C665" s="10">
        <f>Github!F$300</f>
        <v>1316</v>
      </c>
      <c r="D665" s="10">
        <f>Github!G$300</f>
        <v>1268</v>
      </c>
      <c r="E665" s="10">
        <f>Github!F$300+Github!G$300</f>
        <v>2584</v>
      </c>
      <c r="F665" s="12">
        <f t="shared" si="1"/>
        <v>1.04</v>
      </c>
      <c r="G665" s="10" t="str">
        <f>Github!H$300</f>
        <v>Algorithms</v>
      </c>
      <c r="H665" s="13" t="str">
        <f>SUBSTITUTE(Github!L$300, ";", ", ")</f>
        <v>Hash Table, String, Counting, </v>
      </c>
      <c r="I665" s="10" t="str">
        <f>Github!E$300</f>
        <v>Medium</v>
      </c>
      <c r="J665" s="10" t="str">
        <f>IF(TRIM(Github!D$300)="TRUE","FALSE","TRUE")</f>
        <v>TRUE</v>
      </c>
      <c r="K665" s="10" t="b">
        <f>Github!M$300</f>
        <v>1</v>
      </c>
      <c r="L665" s="10" t="b">
        <f>Github!N$300</f>
        <v>0</v>
      </c>
      <c r="M665" s="10" t="str">
        <f>ROUND(Github!O$300, 2)&amp;"%"</f>
        <v>46.95%</v>
      </c>
      <c r="N665" s="10">
        <f>Github!P$300</f>
        <v>259618</v>
      </c>
      <c r="O665" s="10">
        <f>Github!Q$300</f>
        <v>552915</v>
      </c>
    </row>
    <row r="666">
      <c r="A666" s="10">
        <f>Github!J$1162</f>
        <v>1161</v>
      </c>
      <c r="B666" s="11" t="str">
        <f>HYPERLINK(CONCAT("http://leetcode.com/problems/",Github!C$1162), Github!B$1162)</f>
        <v>Maximum Level Sum of a Binary Tree</v>
      </c>
      <c r="C666" s="10">
        <f>Github!F$1162</f>
        <v>1316</v>
      </c>
      <c r="D666" s="10">
        <f>Github!G$1162</f>
        <v>54</v>
      </c>
      <c r="E666" s="10">
        <f>Github!F$1162+Github!G$1162</f>
        <v>1370</v>
      </c>
      <c r="F666" s="12">
        <f t="shared" si="1"/>
        <v>24.37</v>
      </c>
      <c r="G666" s="10" t="str">
        <f>Github!H$1162</f>
        <v>Algorithms</v>
      </c>
      <c r="H666" s="13" t="str">
        <f>SUBSTITUTE(Github!L$1162, ";", ", ")</f>
        <v>Tree, Depth-First Search, Breadth-First Search, Binary Tree, </v>
      </c>
      <c r="I666" s="10" t="str">
        <f>Github!E$1162</f>
        <v>Medium</v>
      </c>
      <c r="J666" s="10" t="str">
        <f>IF(TRIM(Github!D$1162)="TRUE","FALSE","TRUE")</f>
        <v>TRUE</v>
      </c>
      <c r="K666" s="10" t="b">
        <f>Github!M$1162</f>
        <v>1</v>
      </c>
      <c r="L666" s="10" t="b">
        <f>Github!N$1162</f>
        <v>0</v>
      </c>
      <c r="M666" s="10" t="str">
        <f>ROUND(Github!O$1162, 2)&amp;"%"</f>
        <v>66.66%</v>
      </c>
      <c r="N666" s="10">
        <f>Github!P$1162</f>
        <v>98806</v>
      </c>
      <c r="O666" s="10">
        <f>Github!Q$1162</f>
        <v>148219</v>
      </c>
    </row>
    <row r="667">
      <c r="A667" s="10">
        <f>Github!J$447</f>
        <v>446</v>
      </c>
      <c r="B667" s="11" t="str">
        <f>HYPERLINK(CONCAT("http://leetcode.com/problems/",Github!C$447), Github!B$447)</f>
        <v>Arithmetic Slices II - Subsequence</v>
      </c>
      <c r="C667" s="10">
        <f>Github!F$447</f>
        <v>1313</v>
      </c>
      <c r="D667" s="10">
        <f>Github!G$447</f>
        <v>84</v>
      </c>
      <c r="E667" s="10">
        <f>Github!F$447+Github!G$447</f>
        <v>1397</v>
      </c>
      <c r="F667" s="12">
        <f t="shared" si="1"/>
        <v>15.63</v>
      </c>
      <c r="G667" s="10" t="str">
        <f>Github!H$447</f>
        <v>Algorithms</v>
      </c>
      <c r="H667" s="13" t="str">
        <f>SUBSTITUTE(Github!L$447, ";", ", ")</f>
        <v>Array, Dynamic Programming, </v>
      </c>
      <c r="I667" s="10" t="str">
        <f>Github!E$447</f>
        <v>Hard</v>
      </c>
      <c r="J667" s="10" t="str">
        <f>IF(TRIM(Github!D$447)="TRUE","FALSE","TRUE")</f>
        <v>TRUE</v>
      </c>
      <c r="K667" s="10" t="b">
        <f>Github!M$447</f>
        <v>1</v>
      </c>
      <c r="L667" s="10" t="b">
        <f>Github!N$447</f>
        <v>0</v>
      </c>
      <c r="M667" s="10" t="str">
        <f>ROUND(Github!O$447, 2)&amp;"%"</f>
        <v>39.34%</v>
      </c>
      <c r="N667" s="10">
        <f>Github!P$447</f>
        <v>42973</v>
      </c>
      <c r="O667" s="10">
        <f>Github!Q$447</f>
        <v>109240</v>
      </c>
    </row>
    <row r="668">
      <c r="A668" s="10">
        <f>Github!J$530</f>
        <v>529</v>
      </c>
      <c r="B668" s="11" t="str">
        <f>HYPERLINK(CONCAT("http://leetcode.com/problems/",Github!C$530), Github!B$530)</f>
        <v>Minesweeper</v>
      </c>
      <c r="C668" s="10">
        <f>Github!F$530</f>
        <v>1310</v>
      </c>
      <c r="D668" s="10">
        <f>Github!G$530</f>
        <v>836</v>
      </c>
      <c r="E668" s="10">
        <f>Github!F$530+Github!G$530</f>
        <v>2146</v>
      </c>
      <c r="F668" s="12">
        <f t="shared" si="1"/>
        <v>1.57</v>
      </c>
      <c r="G668" s="10" t="str">
        <f>Github!H$530</f>
        <v>Algorithms</v>
      </c>
      <c r="H668" s="13" t="str">
        <f>SUBSTITUTE(Github!L$530, ";", ", ")</f>
        <v>Array, Depth-First Search, Breadth-First Search, Matrix, </v>
      </c>
      <c r="I668" s="10" t="str">
        <f>Github!E$530</f>
        <v>Medium</v>
      </c>
      <c r="J668" s="10" t="str">
        <f>IF(TRIM(Github!D$530)="TRUE","FALSE","TRUE")</f>
        <v>TRUE</v>
      </c>
      <c r="K668" s="10" t="b">
        <f>Github!M$530</f>
        <v>0</v>
      </c>
      <c r="L668" s="10" t="b">
        <f>Github!N$530</f>
        <v>0</v>
      </c>
      <c r="M668" s="10" t="str">
        <f>ROUND(Github!O$530, 2)&amp;"%"</f>
        <v>64.36%</v>
      </c>
      <c r="N668" s="10">
        <f>Github!P$530</f>
        <v>111375</v>
      </c>
      <c r="O668" s="10">
        <f>Github!Q$530</f>
        <v>173062</v>
      </c>
    </row>
    <row r="669">
      <c r="A669" s="10">
        <f>Github!J$607</f>
        <v>606</v>
      </c>
      <c r="B669" s="11" t="str">
        <f>HYPERLINK(CONCAT("http://leetcode.com/problems/",Github!C$607), Github!B$607)</f>
        <v>Construct String from Binary Tree</v>
      </c>
      <c r="C669" s="10">
        <f>Github!F$607</f>
        <v>1306</v>
      </c>
      <c r="D669" s="10">
        <f>Github!G$607</f>
        <v>1681</v>
      </c>
      <c r="E669" s="10">
        <f>Github!F$607+Github!G$607</f>
        <v>2987</v>
      </c>
      <c r="F669" s="12">
        <f t="shared" si="1"/>
        <v>0.78</v>
      </c>
      <c r="G669" s="10" t="str">
        <f>Github!H$607</f>
        <v>Algorithms</v>
      </c>
      <c r="H669" s="13" t="str">
        <f>SUBSTITUTE(Github!L$607, ";", ", ")</f>
        <v>String, Tree, Depth-First Search, Binary Tree, </v>
      </c>
      <c r="I669" s="10" t="str">
        <f>Github!E$607</f>
        <v>Easy</v>
      </c>
      <c r="J669" s="10" t="str">
        <f>IF(TRIM(Github!D$607)="TRUE","FALSE","TRUE")</f>
        <v>TRUE</v>
      </c>
      <c r="K669" s="10" t="b">
        <f>Github!M$607</f>
        <v>1</v>
      </c>
      <c r="L669" s="10" t="b">
        <f>Github!N$607</f>
        <v>0</v>
      </c>
      <c r="M669" s="10" t="str">
        <f>ROUND(Github!O$607, 2)&amp;"%"</f>
        <v>57.43%</v>
      </c>
      <c r="N669" s="10">
        <f>Github!P$607</f>
        <v>124927</v>
      </c>
      <c r="O669" s="10">
        <f>Github!Q$607</f>
        <v>217511</v>
      </c>
    </row>
    <row r="670">
      <c r="A670" s="10">
        <f>Github!J$1208</f>
        <v>1207</v>
      </c>
      <c r="B670" s="11" t="str">
        <f>HYPERLINK(CONCAT("http://leetcode.com/problems/",Github!C$1208), Github!B$1208)</f>
        <v>Unique Number of Occurrences</v>
      </c>
      <c r="C670" s="10">
        <f>Github!F$1208</f>
        <v>1301</v>
      </c>
      <c r="D670" s="10">
        <f>Github!G$1208</f>
        <v>33</v>
      </c>
      <c r="E670" s="10">
        <f>Github!F$1208+Github!G$1208</f>
        <v>1334</v>
      </c>
      <c r="F670" s="12">
        <f t="shared" si="1"/>
        <v>39.42</v>
      </c>
      <c r="G670" s="10" t="str">
        <f>Github!H$1208</f>
        <v>Algorithms</v>
      </c>
      <c r="H670" s="13" t="str">
        <f>SUBSTITUTE(Github!L$1208, ";", ", ")</f>
        <v>Array, Hash Table, </v>
      </c>
      <c r="I670" s="10" t="str">
        <f>Github!E$1208</f>
        <v>Easy</v>
      </c>
      <c r="J670" s="10" t="str">
        <f>IF(TRIM(Github!D$1208)="TRUE","FALSE","TRUE")</f>
        <v>TRUE</v>
      </c>
      <c r="K670" s="10" t="b">
        <f>Github!M$1208</f>
        <v>0</v>
      </c>
      <c r="L670" s="10" t="b">
        <f>Github!N$1208</f>
        <v>0</v>
      </c>
      <c r="M670" s="10" t="str">
        <f>ROUND(Github!O$1208, 2)&amp;"%"</f>
        <v>71.99%</v>
      </c>
      <c r="N670" s="10">
        <f>Github!P$1208</f>
        <v>116738</v>
      </c>
      <c r="O670" s="10">
        <f>Github!Q$1208</f>
        <v>162165</v>
      </c>
    </row>
    <row r="671">
      <c r="A671" s="10">
        <f>Github!J$264</f>
        <v>263</v>
      </c>
      <c r="B671" s="11" t="str">
        <f>HYPERLINK(CONCAT("http://leetcode.com/problems/",Github!C$264), Github!B$264)</f>
        <v>Ugly Number</v>
      </c>
      <c r="C671" s="10">
        <f>Github!F$264</f>
        <v>1300</v>
      </c>
      <c r="D671" s="10">
        <f>Github!G$264</f>
        <v>1004</v>
      </c>
      <c r="E671" s="10">
        <f>Github!F$264+Github!G$264</f>
        <v>2304</v>
      </c>
      <c r="F671" s="12">
        <f t="shared" si="1"/>
        <v>1.29</v>
      </c>
      <c r="G671" s="10" t="str">
        <f>Github!H$264</f>
        <v>Algorithms</v>
      </c>
      <c r="H671" s="13" t="str">
        <f>SUBSTITUTE(Github!L$264, ";", ", ")</f>
        <v>Math, </v>
      </c>
      <c r="I671" s="10" t="str">
        <f>Github!E$264</f>
        <v>Easy</v>
      </c>
      <c r="J671" s="10" t="str">
        <f>IF(TRIM(Github!D$264)="TRUE","FALSE","TRUE")</f>
        <v>TRUE</v>
      </c>
      <c r="K671" s="10" t="b">
        <f>Github!M$264</f>
        <v>0</v>
      </c>
      <c r="L671" s="10" t="b">
        <f>Github!N$264</f>
        <v>0</v>
      </c>
      <c r="M671" s="10" t="str">
        <f>ROUND(Github!O$264, 2)&amp;"%"</f>
        <v>41.86%</v>
      </c>
      <c r="N671" s="10">
        <f>Github!P$264</f>
        <v>286527</v>
      </c>
      <c r="O671" s="10">
        <f>Github!Q$264</f>
        <v>684561</v>
      </c>
    </row>
    <row r="672">
      <c r="A672" s="10">
        <f>Github!J$476</f>
        <v>475</v>
      </c>
      <c r="B672" s="11" t="str">
        <f>HYPERLINK(CONCAT("http://leetcode.com/problems/",Github!C$476), Github!B$476)</f>
        <v>Heaters</v>
      </c>
      <c r="C672" s="10">
        <f>Github!F$476</f>
        <v>1289</v>
      </c>
      <c r="D672" s="10">
        <f>Github!G$476</f>
        <v>1012</v>
      </c>
      <c r="E672" s="10">
        <f>Github!F$476+Github!G$476</f>
        <v>2301</v>
      </c>
      <c r="F672" s="12">
        <f t="shared" si="1"/>
        <v>1.27</v>
      </c>
      <c r="G672" s="10" t="str">
        <f>Github!H$476</f>
        <v>Algorithms</v>
      </c>
      <c r="H672" s="13" t="str">
        <f>SUBSTITUTE(Github!L$476, ";", ", ")</f>
        <v>Array, Two Pointers, Binary Search, Sorting, </v>
      </c>
      <c r="I672" s="10" t="str">
        <f>Github!E$476</f>
        <v>Medium</v>
      </c>
      <c r="J672" s="10" t="str">
        <f>IF(TRIM(Github!D$476)="TRUE","FALSE","TRUE")</f>
        <v>TRUE</v>
      </c>
      <c r="K672" s="10" t="b">
        <f>Github!M$476</f>
        <v>0</v>
      </c>
      <c r="L672" s="10" t="b">
        <f>Github!N$476</f>
        <v>0</v>
      </c>
      <c r="M672" s="10" t="str">
        <f>ROUND(Github!O$476, 2)&amp;"%"</f>
        <v>35.06%</v>
      </c>
      <c r="N672" s="10">
        <f>Github!P$476</f>
        <v>85574</v>
      </c>
      <c r="O672" s="10">
        <f>Github!Q$476</f>
        <v>244055</v>
      </c>
    </row>
    <row r="673">
      <c r="A673" s="10">
        <f>Github!J$525</f>
        <v>524</v>
      </c>
      <c r="B673" s="11" t="str">
        <f>HYPERLINK(CONCAT("http://leetcode.com/problems/",Github!C$525), Github!B$525)</f>
        <v>Longest Word in Dictionary through Deleting</v>
      </c>
      <c r="C673" s="10">
        <f>Github!F$525</f>
        <v>1282</v>
      </c>
      <c r="D673" s="10">
        <f>Github!G$525</f>
        <v>323</v>
      </c>
      <c r="E673" s="10">
        <f>Github!F$525+Github!G$525</f>
        <v>1605</v>
      </c>
      <c r="F673" s="12">
        <f t="shared" si="1"/>
        <v>3.97</v>
      </c>
      <c r="G673" s="10" t="str">
        <f>Github!H$525</f>
        <v>Algorithms</v>
      </c>
      <c r="H673" s="13" t="str">
        <f>SUBSTITUTE(Github!L$525, ";", ", ")</f>
        <v>Array, Two Pointers, String, Sorting, </v>
      </c>
      <c r="I673" s="10" t="str">
        <f>Github!E$525</f>
        <v>Medium</v>
      </c>
      <c r="J673" s="10" t="str">
        <f>IF(TRIM(Github!D$525)="TRUE","FALSE","TRUE")</f>
        <v>TRUE</v>
      </c>
      <c r="K673" s="10" t="b">
        <f>Github!M$525</f>
        <v>1</v>
      </c>
      <c r="L673" s="10" t="b">
        <f>Github!N$525</f>
        <v>0</v>
      </c>
      <c r="M673" s="10" t="str">
        <f>ROUND(Github!O$525, 2)&amp;"%"</f>
        <v>50.82%</v>
      </c>
      <c r="N673" s="10">
        <f>Github!P$525</f>
        <v>123165</v>
      </c>
      <c r="O673" s="10">
        <f>Github!Q$525</f>
        <v>242354</v>
      </c>
    </row>
    <row r="674">
      <c r="A674" s="10">
        <f>Github!J$182</f>
        <v>181</v>
      </c>
      <c r="B674" s="11" t="str">
        <f>HYPERLINK(CONCAT("http://leetcode.com/problems/",Github!C$182), Github!B$182)</f>
        <v>Employees Earning More Than Their Managers</v>
      </c>
      <c r="C674" s="10">
        <f>Github!F$182</f>
        <v>1281</v>
      </c>
      <c r="D674" s="10">
        <f>Github!G$182</f>
        <v>150</v>
      </c>
      <c r="E674" s="10">
        <f>Github!F$182+Github!G$182</f>
        <v>1431</v>
      </c>
      <c r="F674" s="12">
        <f t="shared" si="1"/>
        <v>8.54</v>
      </c>
      <c r="G674" s="10" t="str">
        <f>Github!H$182</f>
        <v>Database</v>
      </c>
      <c r="H674" s="13" t="str">
        <f>SUBSTITUTE(Github!L$182, ";", ", ")</f>
        <v>Database, </v>
      </c>
      <c r="I674" s="10" t="str">
        <f>Github!E$182</f>
        <v>Easy</v>
      </c>
      <c r="J674" s="10" t="str">
        <f>IF(TRIM(Github!D$182)="TRUE","FALSE","TRUE")</f>
        <v>TRUE</v>
      </c>
      <c r="K674" s="10" t="b">
        <f>Github!M$182</f>
        <v>1</v>
      </c>
      <c r="L674" s="10" t="b">
        <f>Github!N$182</f>
        <v>0</v>
      </c>
      <c r="M674" s="10" t="str">
        <f>ROUND(Github!O$182, 2)&amp;"%"</f>
        <v>65.77%</v>
      </c>
      <c r="N674" s="10">
        <f>Github!P$182</f>
        <v>336303</v>
      </c>
      <c r="O674" s="10">
        <f>Github!Q$182</f>
        <v>511305</v>
      </c>
    </row>
    <row r="675">
      <c r="A675" s="10">
        <f>Github!J$847</f>
        <v>846</v>
      </c>
      <c r="B675" s="11" t="str">
        <f>HYPERLINK(CONCAT("http://leetcode.com/problems/",Github!C$847), Github!B$847)</f>
        <v>Hand of Straights</v>
      </c>
      <c r="C675" s="10">
        <f>Github!F$847</f>
        <v>1281</v>
      </c>
      <c r="D675" s="10">
        <f>Github!G$847</f>
        <v>107</v>
      </c>
      <c r="E675" s="10">
        <f>Github!F$847+Github!G$847</f>
        <v>1388</v>
      </c>
      <c r="F675" s="12">
        <f t="shared" si="1"/>
        <v>11.97</v>
      </c>
      <c r="G675" s="10" t="str">
        <f>Github!H$847</f>
        <v>Algorithms</v>
      </c>
      <c r="H675" s="13" t="str">
        <f>SUBSTITUTE(Github!L$847, ";", ", ")</f>
        <v>Array, Hash Table, Greedy, Sorting, </v>
      </c>
      <c r="I675" s="10" t="str">
        <f>Github!E$847</f>
        <v>Medium</v>
      </c>
      <c r="J675" s="10" t="str">
        <f>IF(TRIM(Github!D$847)="TRUE","FALSE","TRUE")</f>
        <v>TRUE</v>
      </c>
      <c r="K675" s="10" t="b">
        <f>Github!M$847</f>
        <v>0</v>
      </c>
      <c r="L675" s="10" t="b">
        <f>Github!N$847</f>
        <v>0</v>
      </c>
      <c r="M675" s="10" t="str">
        <f>ROUND(Github!O$847, 2)&amp;"%"</f>
        <v>56.13%</v>
      </c>
      <c r="N675" s="10">
        <f>Github!P$847</f>
        <v>84388</v>
      </c>
      <c r="O675" s="10">
        <f>Github!Q$847</f>
        <v>150355</v>
      </c>
    </row>
    <row r="676">
      <c r="A676" s="10">
        <f>Github!J$322</f>
        <v>321</v>
      </c>
      <c r="B676" s="11" t="str">
        <f>HYPERLINK(CONCAT("http://leetcode.com/problems/",Github!C$322), Github!B$322)</f>
        <v>Create Maximum Number</v>
      </c>
      <c r="C676" s="10">
        <f>Github!F$322</f>
        <v>1281</v>
      </c>
      <c r="D676" s="10">
        <f>Github!G$322</f>
        <v>306</v>
      </c>
      <c r="E676" s="10">
        <f>Github!F$322+Github!G$322</f>
        <v>1587</v>
      </c>
      <c r="F676" s="12">
        <f t="shared" si="1"/>
        <v>4.19</v>
      </c>
      <c r="G676" s="10" t="str">
        <f>Github!H$322</f>
        <v>Algorithms</v>
      </c>
      <c r="H676" s="13" t="str">
        <f>SUBSTITUTE(Github!L$322, ";", ", ")</f>
        <v>Stack, Greedy, Monotonic Stack, </v>
      </c>
      <c r="I676" s="10" t="str">
        <f>Github!E$322</f>
        <v>Hard</v>
      </c>
      <c r="J676" s="10" t="str">
        <f>IF(TRIM(Github!D$322)="TRUE","FALSE","TRUE")</f>
        <v>TRUE</v>
      </c>
      <c r="K676" s="10" t="b">
        <f>Github!M$322</f>
        <v>0</v>
      </c>
      <c r="L676" s="10" t="b">
        <f>Github!N$322</f>
        <v>0</v>
      </c>
      <c r="M676" s="10" t="str">
        <f>ROUND(Github!O$322, 2)&amp;"%"</f>
        <v>28.28%</v>
      </c>
      <c r="N676" s="10">
        <f>Github!P$322</f>
        <v>48757</v>
      </c>
      <c r="O676" s="10">
        <f>Github!Q$322</f>
        <v>172419</v>
      </c>
    </row>
    <row r="677">
      <c r="A677" s="10">
        <f>Github!J$1368</f>
        <v>1367</v>
      </c>
      <c r="B677" s="11" t="str">
        <f>HYPERLINK(CONCAT("http://leetcode.com/problems/",Github!C$1368), Github!B$1368)</f>
        <v>Linked List in Binary Tree</v>
      </c>
      <c r="C677" s="10">
        <f>Github!F$1368</f>
        <v>1279</v>
      </c>
      <c r="D677" s="10">
        <f>Github!G$1368</f>
        <v>46</v>
      </c>
      <c r="E677" s="10">
        <f>Github!F$1368+Github!G$1368</f>
        <v>1325</v>
      </c>
      <c r="F677" s="12">
        <f t="shared" si="1"/>
        <v>27.8</v>
      </c>
      <c r="G677" s="10" t="str">
        <f>Github!H$1368</f>
        <v>Algorithms</v>
      </c>
      <c r="H677" s="13" t="str">
        <f>SUBSTITUTE(Github!L$1368, ";", ", ")</f>
        <v>Linked List, Tree, Depth-First Search, Breadth-First Search, Binary Tree, </v>
      </c>
      <c r="I677" s="10" t="str">
        <f>Github!E$1368</f>
        <v>Medium</v>
      </c>
      <c r="J677" s="10" t="str">
        <f>IF(TRIM(Github!D$1368)="TRUE","FALSE","TRUE")</f>
        <v>TRUE</v>
      </c>
      <c r="K677" s="10" t="b">
        <f>Github!M$1368</f>
        <v>0</v>
      </c>
      <c r="L677" s="10" t="b">
        <f>Github!N$1368</f>
        <v>0</v>
      </c>
      <c r="M677" s="10" t="str">
        <f>ROUND(Github!O$1368, 2)&amp;"%"</f>
        <v>42.44%</v>
      </c>
      <c r="N677" s="10">
        <f>Github!P$1368</f>
        <v>43864</v>
      </c>
      <c r="O677" s="10">
        <f>Github!Q$1368</f>
        <v>103360</v>
      </c>
    </row>
    <row r="678">
      <c r="A678" s="10">
        <f>Github!J$634</f>
        <v>633</v>
      </c>
      <c r="B678" s="11" t="str">
        <f>HYPERLINK(CONCAT("http://leetcode.com/problems/",Github!C$634), Github!B$634)</f>
        <v>Sum of Square Numbers</v>
      </c>
      <c r="C678" s="10">
        <f>Github!F$634</f>
        <v>1277</v>
      </c>
      <c r="D678" s="10">
        <f>Github!G$634</f>
        <v>456</v>
      </c>
      <c r="E678" s="10">
        <f>Github!F$634+Github!G$634</f>
        <v>1733</v>
      </c>
      <c r="F678" s="12">
        <f t="shared" si="1"/>
        <v>2.8</v>
      </c>
      <c r="G678" s="10" t="str">
        <f>Github!H$634</f>
        <v>Algorithms</v>
      </c>
      <c r="H678" s="13" t="str">
        <f>SUBSTITUTE(Github!L$634, ";", ", ")</f>
        <v>Math, Two Pointers, Binary Search, </v>
      </c>
      <c r="I678" s="10" t="str">
        <f>Github!E$634</f>
        <v>Medium</v>
      </c>
      <c r="J678" s="10" t="str">
        <f>IF(TRIM(Github!D$634)="TRUE","FALSE","TRUE")</f>
        <v>TRUE</v>
      </c>
      <c r="K678" s="10" t="b">
        <f>Github!M$634</f>
        <v>1</v>
      </c>
      <c r="L678" s="10" t="b">
        <f>Github!N$634</f>
        <v>0</v>
      </c>
      <c r="M678" s="10" t="str">
        <f>ROUND(Github!O$634, 2)&amp;"%"</f>
        <v>34.52%</v>
      </c>
      <c r="N678" s="10">
        <f>Github!P$634</f>
        <v>128187</v>
      </c>
      <c r="O678" s="10">
        <f>Github!Q$634</f>
        <v>371320</v>
      </c>
    </row>
    <row r="679">
      <c r="A679" s="10">
        <f>Github!J$39</f>
        <v>38</v>
      </c>
      <c r="B679" s="11" t="str">
        <f>HYPERLINK(CONCAT("http://leetcode.com/problems/",Github!C$39), Github!B$39)</f>
        <v>Count and Say</v>
      </c>
      <c r="C679" s="10">
        <f>Github!F$39</f>
        <v>1274</v>
      </c>
      <c r="D679" s="10">
        <f>Github!G$39</f>
        <v>3302</v>
      </c>
      <c r="E679" s="10">
        <f>Github!F$39+Github!G$39</f>
        <v>4576</v>
      </c>
      <c r="F679" s="12">
        <f t="shared" si="1"/>
        <v>0.39</v>
      </c>
      <c r="G679" s="10" t="str">
        <f>Github!H$39</f>
        <v>Algorithms</v>
      </c>
      <c r="H679" s="13" t="str">
        <f>SUBSTITUTE(Github!L$39, ";", ", ")</f>
        <v>String, </v>
      </c>
      <c r="I679" s="10" t="str">
        <f>Github!E$39</f>
        <v>Medium</v>
      </c>
      <c r="J679" s="10" t="str">
        <f>IF(TRIM(Github!D$39)="TRUE","FALSE","TRUE")</f>
        <v>TRUE</v>
      </c>
      <c r="K679" s="10" t="b">
        <f>Github!M$39</f>
        <v>0</v>
      </c>
      <c r="L679" s="10" t="b">
        <f>Github!N$39</f>
        <v>0</v>
      </c>
      <c r="M679" s="10" t="str">
        <f>ROUND(Github!O$39, 2)&amp;"%"</f>
        <v>48.34%</v>
      </c>
      <c r="N679" s="10">
        <f>Github!P$39</f>
        <v>603702</v>
      </c>
      <c r="O679" s="10">
        <f>Github!Q$39</f>
        <v>1248778</v>
      </c>
    </row>
    <row r="680">
      <c r="A680" s="10">
        <f>Github!J$976</f>
        <v>975</v>
      </c>
      <c r="B680" s="11" t="str">
        <f>HYPERLINK(CONCAT("http://leetcode.com/problems/",Github!C$976), Github!B$976)</f>
        <v>Odd Even Jump</v>
      </c>
      <c r="C680" s="10">
        <f>Github!F$976</f>
        <v>1277</v>
      </c>
      <c r="D680" s="10">
        <f>Github!G$976</f>
        <v>359</v>
      </c>
      <c r="E680" s="10">
        <f>Github!F$976+Github!G$976</f>
        <v>1636</v>
      </c>
      <c r="F680" s="12">
        <f t="shared" si="1"/>
        <v>3.56</v>
      </c>
      <c r="G680" s="10" t="str">
        <f>Github!H$976</f>
        <v>Algorithms</v>
      </c>
      <c r="H680" s="13" t="str">
        <f>SUBSTITUTE(Github!L$976, ";", ", ")</f>
        <v>Array, Dynamic Programming, Stack, Monotonic Stack, Ordered Set, </v>
      </c>
      <c r="I680" s="10" t="str">
        <f>Github!E$976</f>
        <v>Hard</v>
      </c>
      <c r="J680" s="10" t="str">
        <f>IF(TRIM(Github!D$976)="TRUE","FALSE","TRUE")</f>
        <v>TRUE</v>
      </c>
      <c r="K680" s="10" t="b">
        <f>Github!M$976</f>
        <v>0</v>
      </c>
      <c r="L680" s="10" t="b">
        <f>Github!N$976</f>
        <v>0</v>
      </c>
      <c r="M680" s="10" t="str">
        <f>ROUND(Github!O$976, 2)&amp;"%"</f>
        <v>39.04%</v>
      </c>
      <c r="N680" s="10">
        <f>Github!P$976</f>
        <v>55403</v>
      </c>
      <c r="O680" s="10">
        <f>Github!Q$976</f>
        <v>141917</v>
      </c>
    </row>
    <row r="681">
      <c r="A681" s="10">
        <f>Github!J$1770</f>
        <v>1769</v>
      </c>
      <c r="B681" s="11" t="str">
        <f>HYPERLINK(CONCAT("http://leetcode.com/problems/",Github!C$1770), Github!B$1770)</f>
        <v>Minimum Number of Operations to Move All Balls to Each Box</v>
      </c>
      <c r="C681" s="10">
        <f>Github!F$1770</f>
        <v>1276</v>
      </c>
      <c r="D681" s="10">
        <f>Github!G$1770</f>
        <v>47</v>
      </c>
      <c r="E681" s="10">
        <f>Github!F$1770+Github!G$1770</f>
        <v>1323</v>
      </c>
      <c r="F681" s="12">
        <f t="shared" si="1"/>
        <v>27.15</v>
      </c>
      <c r="G681" s="10" t="str">
        <f>Github!H$1770</f>
        <v>Algorithms</v>
      </c>
      <c r="H681" s="13" t="str">
        <f>SUBSTITUTE(Github!L$1770, ";", ", ")</f>
        <v>Array, String, </v>
      </c>
      <c r="I681" s="10" t="str">
        <f>Github!E$1770</f>
        <v>Medium</v>
      </c>
      <c r="J681" s="10" t="str">
        <f>IF(TRIM(Github!D$1770)="TRUE","FALSE","TRUE")</f>
        <v>TRUE</v>
      </c>
      <c r="K681" s="10" t="b">
        <f>Github!M$1770</f>
        <v>0</v>
      </c>
      <c r="L681" s="10" t="b">
        <f>Github!N$1770</f>
        <v>0</v>
      </c>
      <c r="M681" s="10" t="str">
        <f>ROUND(Github!O$1770, 2)&amp;"%"</f>
        <v>85.65%</v>
      </c>
      <c r="N681" s="10">
        <f>Github!P$1770</f>
        <v>68349</v>
      </c>
      <c r="O681" s="10">
        <f>Github!Q$1770</f>
        <v>79800</v>
      </c>
    </row>
    <row r="682">
      <c r="A682" s="10">
        <f>Github!J$1938</f>
        <v>1937</v>
      </c>
      <c r="B682" s="11" t="str">
        <f>HYPERLINK(CONCAT("http://leetcode.com/problems/",Github!C$1938), Github!B$1938)</f>
        <v>Maximum Number of Points with Cost</v>
      </c>
      <c r="C682" s="10">
        <f>Github!F$1938</f>
        <v>1274</v>
      </c>
      <c r="D682" s="10">
        <f>Github!G$1938</f>
        <v>67</v>
      </c>
      <c r="E682" s="10">
        <f>Github!F$1938+Github!G$1938</f>
        <v>1341</v>
      </c>
      <c r="F682" s="12">
        <f t="shared" si="1"/>
        <v>19.01</v>
      </c>
      <c r="G682" s="10" t="str">
        <f>Github!H$1938</f>
        <v>Algorithms</v>
      </c>
      <c r="H682" s="13" t="str">
        <f>SUBSTITUTE(Github!L$1938, ";", ", ")</f>
        <v>Array, Dynamic Programming, </v>
      </c>
      <c r="I682" s="10" t="str">
        <f>Github!E$1938</f>
        <v>Medium</v>
      </c>
      <c r="J682" s="10" t="str">
        <f>IF(TRIM(Github!D$1938)="TRUE","FALSE","TRUE")</f>
        <v>TRUE</v>
      </c>
      <c r="K682" s="10" t="b">
        <f>Github!M$1938</f>
        <v>0</v>
      </c>
      <c r="L682" s="10" t="b">
        <f>Github!N$1938</f>
        <v>0</v>
      </c>
      <c r="M682" s="10" t="str">
        <f>ROUND(Github!O$1938, 2)&amp;"%"</f>
        <v>34.96%</v>
      </c>
      <c r="N682" s="10">
        <f>Github!P$1938</f>
        <v>30131</v>
      </c>
      <c r="O682" s="10">
        <f>Github!Q$1938</f>
        <v>86183</v>
      </c>
    </row>
    <row r="683">
      <c r="A683" s="10">
        <f>Github!J$721</f>
        <v>720</v>
      </c>
      <c r="B683" s="11" t="str">
        <f>HYPERLINK(CONCAT("http://leetcode.com/problems/",Github!C$721), Github!B$721)</f>
        <v>Longest Word in Dictionary</v>
      </c>
      <c r="C683" s="10">
        <f>Github!F$721</f>
        <v>1270</v>
      </c>
      <c r="D683" s="10">
        <f>Github!G$721</f>
        <v>1270</v>
      </c>
      <c r="E683" s="10">
        <f>Github!F$721+Github!G$721</f>
        <v>2540</v>
      </c>
      <c r="F683" s="12">
        <f t="shared" si="1"/>
        <v>1</v>
      </c>
      <c r="G683" s="10" t="str">
        <f>Github!H$721</f>
        <v>Algorithms</v>
      </c>
      <c r="H683" s="13" t="str">
        <f>SUBSTITUTE(Github!L$721, ";", ", ")</f>
        <v>Array, Hash Table, String, Trie, Sorting, </v>
      </c>
      <c r="I683" s="10" t="str">
        <f>Github!E$721</f>
        <v>Medium</v>
      </c>
      <c r="J683" s="10" t="str">
        <f>IF(TRIM(Github!D$721)="TRUE","FALSE","TRUE")</f>
        <v>TRUE</v>
      </c>
      <c r="K683" s="10" t="b">
        <f>Github!M$721</f>
        <v>1</v>
      </c>
      <c r="L683" s="10" t="b">
        <f>Github!N$721</f>
        <v>0</v>
      </c>
      <c r="M683" s="10" t="str">
        <f>ROUND(Github!O$721, 2)&amp;"%"</f>
        <v>50.83%</v>
      </c>
      <c r="N683" s="10">
        <f>Github!P$721</f>
        <v>109182</v>
      </c>
      <c r="O683" s="10">
        <f>Github!Q$721</f>
        <v>214810</v>
      </c>
    </row>
    <row r="684">
      <c r="A684" s="10">
        <f>Github!J$1558</f>
        <v>1557</v>
      </c>
      <c r="B684" s="11" t="str">
        <f>HYPERLINK(CONCAT("http://leetcode.com/problems/",Github!C$1558), Github!B$1558)</f>
        <v>Minimum Number of Vertices to Reach All Nodes</v>
      </c>
      <c r="C684" s="10">
        <f>Github!F$1558</f>
        <v>1271</v>
      </c>
      <c r="D684" s="10">
        <f>Github!G$1558</f>
        <v>58</v>
      </c>
      <c r="E684" s="10">
        <f>Github!F$1558+Github!G$1558</f>
        <v>1329</v>
      </c>
      <c r="F684" s="12">
        <f t="shared" si="1"/>
        <v>21.91</v>
      </c>
      <c r="G684" s="10" t="str">
        <f>Github!H$1558</f>
        <v>Algorithms</v>
      </c>
      <c r="H684" s="13" t="str">
        <f>SUBSTITUTE(Github!L$1558, ";", ", ")</f>
        <v>Graph, </v>
      </c>
      <c r="I684" s="10" t="str">
        <f>Github!E$1558</f>
        <v>Medium</v>
      </c>
      <c r="J684" s="10" t="str">
        <f>IF(TRIM(Github!D$1558)="TRUE","FALSE","TRUE")</f>
        <v>TRUE</v>
      </c>
      <c r="K684" s="10" t="b">
        <f>Github!M$1558</f>
        <v>0</v>
      </c>
      <c r="L684" s="10" t="b">
        <f>Github!N$1558</f>
        <v>0</v>
      </c>
      <c r="M684" s="10" t="str">
        <f>ROUND(Github!O$1558, 2)&amp;"%"</f>
        <v>78.1%</v>
      </c>
      <c r="N684" s="10">
        <f>Github!P$1558</f>
        <v>52920</v>
      </c>
      <c r="O684" s="10">
        <f>Github!Q$1558</f>
        <v>67761</v>
      </c>
    </row>
    <row r="685">
      <c r="A685" s="10">
        <f>Github!J$1284</f>
        <v>1283</v>
      </c>
      <c r="B685" s="11" t="str">
        <f>HYPERLINK(CONCAT("http://leetcode.com/problems/",Github!C$1284), Github!B$1284)</f>
        <v>Find the Smallest Divisor Given a Threshold</v>
      </c>
      <c r="C685" s="10">
        <f>Github!F$1284</f>
        <v>1268</v>
      </c>
      <c r="D685" s="10">
        <f>Github!G$1284</f>
        <v>149</v>
      </c>
      <c r="E685" s="10">
        <f>Github!F$1284+Github!G$1284</f>
        <v>1417</v>
      </c>
      <c r="F685" s="12">
        <f t="shared" si="1"/>
        <v>8.51</v>
      </c>
      <c r="G685" s="10" t="str">
        <f>Github!H$1284</f>
        <v>Algorithms</v>
      </c>
      <c r="H685" s="13" t="str">
        <f>SUBSTITUTE(Github!L$1284, ";", ", ")</f>
        <v>Array, Binary Search, </v>
      </c>
      <c r="I685" s="10" t="str">
        <f>Github!E$1284</f>
        <v>Medium</v>
      </c>
      <c r="J685" s="10" t="str">
        <f>IF(TRIM(Github!D$1284)="TRUE","FALSE","TRUE")</f>
        <v>TRUE</v>
      </c>
      <c r="K685" s="10" t="b">
        <f>Github!M$1284</f>
        <v>0</v>
      </c>
      <c r="L685" s="10" t="b">
        <f>Github!N$1284</f>
        <v>0</v>
      </c>
      <c r="M685" s="10" t="str">
        <f>ROUND(Github!O$1284, 2)&amp;"%"</f>
        <v>53.36%</v>
      </c>
      <c r="N685" s="10">
        <f>Github!P$1284</f>
        <v>78038</v>
      </c>
      <c r="O685" s="10">
        <f>Github!Q$1284</f>
        <v>146233</v>
      </c>
    </row>
    <row r="686">
      <c r="A686" s="10">
        <f>Github!J$1010</f>
        <v>1009</v>
      </c>
      <c r="B686" s="11" t="str">
        <f>HYPERLINK(CONCAT("http://leetcode.com/problems/",Github!C$1010), Github!B$1010)</f>
        <v>Complement of Base 10 Integer</v>
      </c>
      <c r="C686" s="10">
        <f>Github!F$1010</f>
        <v>1265</v>
      </c>
      <c r="D686" s="10">
        <f>Github!G$1010</f>
        <v>69</v>
      </c>
      <c r="E686" s="10">
        <f>Github!F$1010+Github!G$1010</f>
        <v>1334</v>
      </c>
      <c r="F686" s="12">
        <f t="shared" si="1"/>
        <v>18.33</v>
      </c>
      <c r="G686" s="10" t="str">
        <f>Github!H$1010</f>
        <v>Algorithms</v>
      </c>
      <c r="H686" s="13" t="str">
        <f>SUBSTITUTE(Github!L$1010, ";", ", ")</f>
        <v>Bit Manipulation, </v>
      </c>
      <c r="I686" s="10" t="str">
        <f>Github!E$1010</f>
        <v>Easy</v>
      </c>
      <c r="J686" s="10" t="str">
        <f>IF(TRIM(Github!D$1010)="TRUE","FALSE","TRUE")</f>
        <v>TRUE</v>
      </c>
      <c r="K686" s="10" t="b">
        <f>Github!M$1010</f>
        <v>1</v>
      </c>
      <c r="L686" s="10" t="b">
        <f>Github!N$1010</f>
        <v>0</v>
      </c>
      <c r="M686" s="10" t="str">
        <f>ROUND(Github!O$1010, 2)&amp;"%"</f>
        <v>62.34%</v>
      </c>
      <c r="N686" s="10">
        <f>Github!P$1010</f>
        <v>121894</v>
      </c>
      <c r="O686" s="10">
        <f>Github!Q$1010</f>
        <v>195540</v>
      </c>
    </row>
    <row r="687">
      <c r="A687" s="10">
        <f>Github!J$1529</f>
        <v>1528</v>
      </c>
      <c r="B687" s="11" t="str">
        <f>HYPERLINK(CONCAT("http://leetcode.com/problems/",Github!C$1529), Github!B$1529)</f>
        <v>Shuffle String</v>
      </c>
      <c r="C687" s="10">
        <f>Github!F$1529</f>
        <v>1264</v>
      </c>
      <c r="D687" s="10">
        <f>Github!G$1529</f>
        <v>243</v>
      </c>
      <c r="E687" s="10">
        <f>Github!F$1529+Github!G$1529</f>
        <v>1507</v>
      </c>
      <c r="F687" s="12">
        <f t="shared" si="1"/>
        <v>5.2</v>
      </c>
      <c r="G687" s="10" t="str">
        <f>Github!H$1529</f>
        <v>Algorithms</v>
      </c>
      <c r="H687" s="13" t="str">
        <f>SUBSTITUTE(Github!L$1529, ";", ", ")</f>
        <v>Array, String, </v>
      </c>
      <c r="I687" s="10" t="str">
        <f>Github!E$1529</f>
        <v>Easy</v>
      </c>
      <c r="J687" s="10" t="str">
        <f>IF(TRIM(Github!D$1529)="TRUE","FALSE","TRUE")</f>
        <v>TRUE</v>
      </c>
      <c r="K687" s="10" t="b">
        <f>Github!M$1529</f>
        <v>0</v>
      </c>
      <c r="L687" s="10" t="b">
        <f>Github!N$1529</f>
        <v>0</v>
      </c>
      <c r="M687" s="10" t="str">
        <f>ROUND(Github!O$1529, 2)&amp;"%"</f>
        <v>85.79%</v>
      </c>
      <c r="N687" s="10">
        <f>Github!P$1529</f>
        <v>189020</v>
      </c>
      <c r="O687" s="10">
        <f>Github!Q$1529</f>
        <v>220332</v>
      </c>
    </row>
    <row r="688">
      <c r="A688" s="10">
        <f>Github!J$931</f>
        <v>930</v>
      </c>
      <c r="B688" s="11" t="str">
        <f>HYPERLINK(CONCAT("http://leetcode.com/problems/",Github!C$931), Github!B$931)</f>
        <v>Binary Subarrays With Sum</v>
      </c>
      <c r="C688" s="10">
        <f>Github!F$931</f>
        <v>1257</v>
      </c>
      <c r="D688" s="10">
        <f>Github!G$931</f>
        <v>44</v>
      </c>
      <c r="E688" s="10">
        <f>Github!F$931+Github!G$931</f>
        <v>1301</v>
      </c>
      <c r="F688" s="12">
        <f t="shared" si="1"/>
        <v>28.57</v>
      </c>
      <c r="G688" s="10" t="str">
        <f>Github!H$931</f>
        <v>Algorithms</v>
      </c>
      <c r="H688" s="13" t="str">
        <f>SUBSTITUTE(Github!L$931, ";", ", ")</f>
        <v>Array, Hash Table, Sliding Window, Prefix Sum, </v>
      </c>
      <c r="I688" s="10" t="str">
        <f>Github!E$931</f>
        <v>Medium</v>
      </c>
      <c r="J688" s="10" t="str">
        <f>IF(TRIM(Github!D$931)="TRUE","FALSE","TRUE")</f>
        <v>TRUE</v>
      </c>
      <c r="K688" s="10" t="b">
        <f>Github!M$931</f>
        <v>1</v>
      </c>
      <c r="L688" s="10" t="b">
        <f>Github!N$931</f>
        <v>0</v>
      </c>
      <c r="M688" s="10" t="str">
        <f>ROUND(Github!O$931, 2)&amp;"%"</f>
        <v>48.41%</v>
      </c>
      <c r="N688" s="10">
        <f>Github!P$931</f>
        <v>43700</v>
      </c>
      <c r="O688" s="10">
        <f>Github!Q$931</f>
        <v>90270</v>
      </c>
    </row>
    <row r="689">
      <c r="A689" s="10">
        <f>Github!J$854</f>
        <v>853</v>
      </c>
      <c r="B689" s="11" t="str">
        <f>HYPERLINK(CONCAT("http://leetcode.com/problems/",Github!C$854), Github!B$854)</f>
        <v>Car Fleet</v>
      </c>
      <c r="C689" s="10">
        <f>Github!F$854</f>
        <v>1253</v>
      </c>
      <c r="D689" s="10">
        <f>Github!G$854</f>
        <v>388</v>
      </c>
      <c r="E689" s="10">
        <f>Github!F$854+Github!G$854</f>
        <v>1641</v>
      </c>
      <c r="F689" s="12">
        <f t="shared" si="1"/>
        <v>3.23</v>
      </c>
      <c r="G689" s="10" t="str">
        <f>Github!H$854</f>
        <v>Algorithms</v>
      </c>
      <c r="H689" s="13" t="str">
        <f>SUBSTITUTE(Github!L$854, ";", ", ")</f>
        <v>Array, Stack, Sorting, Monotonic Stack, </v>
      </c>
      <c r="I689" s="10" t="str">
        <f>Github!E$854</f>
        <v>Medium</v>
      </c>
      <c r="J689" s="10" t="str">
        <f>IF(TRIM(Github!D$854)="TRUE","FALSE","TRUE")</f>
        <v>TRUE</v>
      </c>
      <c r="K689" s="10" t="b">
        <f>Github!M$854</f>
        <v>0</v>
      </c>
      <c r="L689" s="10" t="b">
        <f>Github!N$854</f>
        <v>0</v>
      </c>
      <c r="M689" s="10" t="str">
        <f>ROUND(Github!O$854, 2)&amp;"%"</f>
        <v>47.8%</v>
      </c>
      <c r="N689" s="10">
        <f>Github!P$854</f>
        <v>74591</v>
      </c>
      <c r="O689" s="10">
        <f>Github!Q$854</f>
        <v>156048</v>
      </c>
    </row>
    <row r="690">
      <c r="A690" s="10">
        <f>Github!J$1526</f>
        <v>1525</v>
      </c>
      <c r="B690" s="11" t="str">
        <f>HYPERLINK(CONCAT("http://leetcode.com/problems/",Github!C$1526), Github!B$1526)</f>
        <v>Number of Good Ways to Split a String</v>
      </c>
      <c r="C690" s="10">
        <f>Github!F$1526</f>
        <v>1251</v>
      </c>
      <c r="D690" s="10">
        <f>Github!G$1526</f>
        <v>29</v>
      </c>
      <c r="E690" s="10">
        <f>Github!F$1526+Github!G$1526</f>
        <v>1280</v>
      </c>
      <c r="F690" s="12">
        <f t="shared" si="1"/>
        <v>43.14</v>
      </c>
      <c r="G690" s="10" t="str">
        <f>Github!H$1526</f>
        <v>Algorithms</v>
      </c>
      <c r="H690" s="13" t="str">
        <f>SUBSTITUTE(Github!L$1526, ";", ", ")</f>
        <v>String, Dynamic Programming, Bit Manipulation, </v>
      </c>
      <c r="I690" s="10" t="str">
        <f>Github!E$1526</f>
        <v>Medium</v>
      </c>
      <c r="J690" s="10" t="str">
        <f>IF(TRIM(Github!D$1526)="TRUE","FALSE","TRUE")</f>
        <v>TRUE</v>
      </c>
      <c r="K690" s="10" t="b">
        <f>Github!M$1526</f>
        <v>0</v>
      </c>
      <c r="L690" s="10" t="b">
        <f>Github!N$1526</f>
        <v>0</v>
      </c>
      <c r="M690" s="10" t="str">
        <f>ROUND(Github!O$1526, 2)&amp;"%"</f>
        <v>70.36%</v>
      </c>
      <c r="N690" s="10">
        <f>Github!P$1526</f>
        <v>66505</v>
      </c>
      <c r="O690" s="10">
        <f>Github!Q$1526</f>
        <v>94521</v>
      </c>
    </row>
    <row r="691">
      <c r="A691" s="10">
        <f>Github!J$1141</f>
        <v>1140</v>
      </c>
      <c r="B691" s="11" t="str">
        <f>HYPERLINK(CONCAT("http://leetcode.com/problems/",Github!C$1141), Github!B$1141)</f>
        <v>Stone Game II</v>
      </c>
      <c r="C691" s="10">
        <f>Github!F$1141</f>
        <v>1245</v>
      </c>
      <c r="D691" s="10">
        <f>Github!G$1141</f>
        <v>248</v>
      </c>
      <c r="E691" s="10">
        <f>Github!F$1141+Github!G$1141</f>
        <v>1493</v>
      </c>
      <c r="F691" s="12">
        <f t="shared" si="1"/>
        <v>5.02</v>
      </c>
      <c r="G691" s="10" t="str">
        <f>Github!H$1141</f>
        <v>Algorithms</v>
      </c>
      <c r="H691" s="13" t="str">
        <f>SUBSTITUTE(Github!L$1141, ";", ", ")</f>
        <v>Array, Math, Dynamic Programming, Game Theory, </v>
      </c>
      <c r="I691" s="10" t="str">
        <f>Github!E$1141</f>
        <v>Medium</v>
      </c>
      <c r="J691" s="10" t="str">
        <f>IF(TRIM(Github!D$1141)="TRUE","FALSE","TRUE")</f>
        <v>TRUE</v>
      </c>
      <c r="K691" s="10" t="b">
        <f>Github!M$1141</f>
        <v>0</v>
      </c>
      <c r="L691" s="10" t="b">
        <f>Github!N$1141</f>
        <v>0</v>
      </c>
      <c r="M691" s="10" t="str">
        <f>ROUND(Github!O$1141, 2)&amp;"%"</f>
        <v>64.95%</v>
      </c>
      <c r="N691" s="10">
        <f>Github!P$1141</f>
        <v>37823</v>
      </c>
      <c r="O691" s="10">
        <f>Github!Q$1141</f>
        <v>58237</v>
      </c>
    </row>
    <row r="692">
      <c r="A692" s="10">
        <f>Github!J$1697</f>
        <v>1696</v>
      </c>
      <c r="B692" s="11" t="str">
        <f>HYPERLINK(CONCAT("http://leetcode.com/problems/",Github!C$1697), Github!B$1697)</f>
        <v>Jump Game VI</v>
      </c>
      <c r="C692" s="10">
        <f>Github!F$1697</f>
        <v>1241</v>
      </c>
      <c r="D692" s="10">
        <f>Github!G$1697</f>
        <v>51</v>
      </c>
      <c r="E692" s="10">
        <f>Github!F$1697+Github!G$1697</f>
        <v>1292</v>
      </c>
      <c r="F692" s="12">
        <f t="shared" si="1"/>
        <v>24.33</v>
      </c>
      <c r="G692" s="10" t="str">
        <f>Github!H$1697</f>
        <v>Algorithms</v>
      </c>
      <c r="H692" s="13" t="str">
        <f>SUBSTITUTE(Github!L$1697, ";", ", ")</f>
        <v>Array, Dynamic Programming, Queue, Sliding Window, Heap (Priority Queue), Monotonic Queue, </v>
      </c>
      <c r="I692" s="10" t="str">
        <f>Github!E$1697</f>
        <v>Medium</v>
      </c>
      <c r="J692" s="10" t="str">
        <f>IF(TRIM(Github!D$1697)="TRUE","FALSE","TRUE")</f>
        <v>TRUE</v>
      </c>
      <c r="K692" s="10" t="b">
        <f>Github!M$1697</f>
        <v>1</v>
      </c>
      <c r="L692" s="10" t="b">
        <f>Github!N$1697</f>
        <v>0</v>
      </c>
      <c r="M692" s="10" t="str">
        <f>ROUND(Github!O$1697, 2)&amp;"%"</f>
        <v>42.55%</v>
      </c>
      <c r="N692" s="10">
        <f>Github!P$1697</f>
        <v>40879</v>
      </c>
      <c r="O692" s="10">
        <f>Github!Q$1697</f>
        <v>96076</v>
      </c>
    </row>
    <row r="693">
      <c r="A693" s="10">
        <f>Github!J$179</f>
        <v>178</v>
      </c>
      <c r="B693" s="11" t="str">
        <f>HYPERLINK(CONCAT("http://leetcode.com/problems/",Github!C$179), Github!B$179)</f>
        <v>Rank Scores</v>
      </c>
      <c r="C693" s="10">
        <f>Github!F$179</f>
        <v>1239</v>
      </c>
      <c r="D693" s="10">
        <f>Github!G$179</f>
        <v>200</v>
      </c>
      <c r="E693" s="10">
        <f>Github!F$179+Github!G$179</f>
        <v>1439</v>
      </c>
      <c r="F693" s="12">
        <f t="shared" si="1"/>
        <v>6.2</v>
      </c>
      <c r="G693" s="10" t="str">
        <f>Github!H$179</f>
        <v>Database</v>
      </c>
      <c r="H693" s="13" t="str">
        <f>SUBSTITUTE(Github!L$179, ";", ", ")</f>
        <v>Database, </v>
      </c>
      <c r="I693" s="10" t="str">
        <f>Github!E$179</f>
        <v>Medium</v>
      </c>
      <c r="J693" s="10" t="str">
        <f>IF(TRIM(Github!D$179)="TRUE","FALSE","TRUE")</f>
        <v>TRUE</v>
      </c>
      <c r="K693" s="10" t="b">
        <f>Github!M$179</f>
        <v>0</v>
      </c>
      <c r="L693" s="10" t="b">
        <f>Github!N$179</f>
        <v>0</v>
      </c>
      <c r="M693" s="10" t="str">
        <f>ROUND(Github!O$179, 2)&amp;"%"</f>
        <v>56.72%</v>
      </c>
      <c r="N693" s="10">
        <f>Github!P$179</f>
        <v>212710</v>
      </c>
      <c r="O693" s="10">
        <f>Github!Q$179</f>
        <v>375007</v>
      </c>
    </row>
    <row r="694">
      <c r="A694" s="10">
        <f>Github!J$250</f>
        <v>249</v>
      </c>
      <c r="B694" s="11" t="str">
        <f>HYPERLINK(CONCAT("http://leetcode.com/problems/",Github!C$250), Github!B$250)</f>
        <v>Group Shifted Strings</v>
      </c>
      <c r="C694" s="10">
        <f>Github!F$250</f>
        <v>1238</v>
      </c>
      <c r="D694" s="10">
        <f>Github!G$250</f>
        <v>227</v>
      </c>
      <c r="E694" s="10">
        <f>Github!F$250+Github!G$250</f>
        <v>1465</v>
      </c>
      <c r="F694" s="12">
        <f t="shared" si="1"/>
        <v>5.45</v>
      </c>
      <c r="G694" s="10" t="str">
        <f>Github!H$250</f>
        <v>Algorithms</v>
      </c>
      <c r="H694" s="13" t="str">
        <f>SUBSTITUTE(Github!L$250, ";", ", ")</f>
        <v>Array, Hash Table, String, </v>
      </c>
      <c r="I694" s="10" t="str">
        <f>Github!E$250</f>
        <v>Medium</v>
      </c>
      <c r="J694" s="10" t="str">
        <f>IF(TRIM(Github!D$250)="TRUE","FALSE","TRUE")</f>
        <v>FALSE</v>
      </c>
      <c r="K694" s="10" t="b">
        <f>Github!M$250</f>
        <v>1</v>
      </c>
      <c r="L694" s="10" t="b">
        <f>Github!N$250</f>
        <v>0</v>
      </c>
      <c r="M694" s="10" t="str">
        <f>ROUND(Github!O$250, 2)&amp;"%"</f>
        <v>63.01%</v>
      </c>
      <c r="N694" s="10">
        <f>Github!P$250</f>
        <v>157836</v>
      </c>
      <c r="O694" s="10">
        <f>Github!Q$250</f>
        <v>250477</v>
      </c>
    </row>
    <row r="695">
      <c r="A695" s="10">
        <f>Github!J$1061</f>
        <v>1060</v>
      </c>
      <c r="B695" s="11" t="str">
        <f>HYPERLINK(CONCAT("http://leetcode.com/problems/",Github!C$1061), Github!B$1061)</f>
        <v>Missing Element in Sorted Array</v>
      </c>
      <c r="C695" s="10">
        <f>Github!F$1061</f>
        <v>1234</v>
      </c>
      <c r="D695" s="10">
        <f>Github!G$1061</f>
        <v>49</v>
      </c>
      <c r="E695" s="10">
        <f>Github!F$1061+Github!G$1061</f>
        <v>1283</v>
      </c>
      <c r="F695" s="12">
        <f t="shared" si="1"/>
        <v>25.18</v>
      </c>
      <c r="G695" s="10" t="str">
        <f>Github!H$1061</f>
        <v>Algorithms</v>
      </c>
      <c r="H695" s="13" t="str">
        <f>SUBSTITUTE(Github!L$1061, ";", ", ")</f>
        <v>Array, Binary Search, </v>
      </c>
      <c r="I695" s="10" t="str">
        <f>Github!E$1061</f>
        <v>Medium</v>
      </c>
      <c r="J695" s="10" t="str">
        <f>IF(TRIM(Github!D$1061)="TRUE","FALSE","TRUE")</f>
        <v>FALSE</v>
      </c>
      <c r="K695" s="10" t="b">
        <f>Github!M$1061</f>
        <v>1</v>
      </c>
      <c r="L695" s="10" t="b">
        <f>Github!N$1061</f>
        <v>0</v>
      </c>
      <c r="M695" s="10" t="str">
        <f>ROUND(Github!O$1061, 2)&amp;"%"</f>
        <v>55.09%</v>
      </c>
      <c r="N695" s="10">
        <f>Github!P$1061</f>
        <v>89067</v>
      </c>
      <c r="O695" s="10">
        <f>Github!Q$1061</f>
        <v>161673</v>
      </c>
    </row>
    <row r="696">
      <c r="A696" s="10">
        <f>Github!J$1511</f>
        <v>1510</v>
      </c>
      <c r="B696" s="11" t="str">
        <f>HYPERLINK(CONCAT("http://leetcode.com/problems/",Github!C$1511), Github!B$1511)</f>
        <v>Stone Game IV</v>
      </c>
      <c r="C696" s="10">
        <f>Github!F$1511</f>
        <v>1232</v>
      </c>
      <c r="D696" s="10">
        <f>Github!G$1511</f>
        <v>53</v>
      </c>
      <c r="E696" s="10">
        <f>Github!F$1511+Github!G$1511</f>
        <v>1285</v>
      </c>
      <c r="F696" s="12">
        <f t="shared" si="1"/>
        <v>23.25</v>
      </c>
      <c r="G696" s="10" t="str">
        <f>Github!H$1511</f>
        <v>Algorithms</v>
      </c>
      <c r="H696" s="13" t="str">
        <f>SUBSTITUTE(Github!L$1511, ";", ", ")</f>
        <v>Math, Dynamic Programming, Game Theory, </v>
      </c>
      <c r="I696" s="10" t="str">
        <f>Github!E$1511</f>
        <v>Hard</v>
      </c>
      <c r="J696" s="10" t="str">
        <f>IF(TRIM(Github!D$1511)="TRUE","FALSE","TRUE")</f>
        <v>TRUE</v>
      </c>
      <c r="K696" s="10" t="b">
        <f>Github!M$1511</f>
        <v>1</v>
      </c>
      <c r="L696" s="10" t="b">
        <f>Github!N$1511</f>
        <v>0</v>
      </c>
      <c r="M696" s="10" t="str">
        <f>ROUND(Github!O$1511, 2)&amp;"%"</f>
        <v>60.81%</v>
      </c>
      <c r="N696" s="10">
        <f>Github!P$1511</f>
        <v>57215</v>
      </c>
      <c r="O696" s="10">
        <f>Github!Q$1511</f>
        <v>94089</v>
      </c>
    </row>
    <row r="697">
      <c r="A697" s="10">
        <f>Github!J$731</f>
        <v>730</v>
      </c>
      <c r="B697" s="11" t="str">
        <f>HYPERLINK(CONCAT("http://leetcode.com/problems/",Github!C$731), Github!B$731)</f>
        <v>Count Different Palindromic Subsequences</v>
      </c>
      <c r="C697" s="10">
        <f>Github!F$731</f>
        <v>1232</v>
      </c>
      <c r="D697" s="10">
        <f>Github!G$731</f>
        <v>67</v>
      </c>
      <c r="E697" s="10">
        <f>Github!F$731+Github!G$731</f>
        <v>1299</v>
      </c>
      <c r="F697" s="12">
        <f t="shared" si="1"/>
        <v>18.39</v>
      </c>
      <c r="G697" s="10" t="str">
        <f>Github!H$731</f>
        <v>Algorithms</v>
      </c>
      <c r="H697" s="13" t="str">
        <f>SUBSTITUTE(Github!L$731, ";", ", ")</f>
        <v>String, Dynamic Programming, </v>
      </c>
      <c r="I697" s="10" t="str">
        <f>Github!E$731</f>
        <v>Hard</v>
      </c>
      <c r="J697" s="10" t="str">
        <f>IF(TRIM(Github!D$731)="TRUE","FALSE","TRUE")</f>
        <v>TRUE</v>
      </c>
      <c r="K697" s="10" t="b">
        <f>Github!M$731</f>
        <v>0</v>
      </c>
      <c r="L697" s="10" t="b">
        <f>Github!N$731</f>
        <v>0</v>
      </c>
      <c r="M697" s="10" t="str">
        <f>ROUND(Github!O$731, 2)&amp;"%"</f>
        <v>44.1%</v>
      </c>
      <c r="N697" s="10">
        <f>Github!P$731</f>
        <v>25776</v>
      </c>
      <c r="O697" s="10">
        <f>Github!Q$731</f>
        <v>58453</v>
      </c>
    </row>
    <row r="698">
      <c r="A698" s="10">
        <f>Github!J$1072</f>
        <v>1071</v>
      </c>
      <c r="B698" s="11" t="str">
        <f>HYPERLINK(CONCAT("http://leetcode.com/problems/",Github!C$1072), Github!B$1072)</f>
        <v>Greatest Common Divisor of Strings</v>
      </c>
      <c r="C698" s="10">
        <f>Github!F$1072</f>
        <v>1230</v>
      </c>
      <c r="D698" s="10">
        <f>Github!G$1072</f>
        <v>247</v>
      </c>
      <c r="E698" s="10">
        <f>Github!F$1072+Github!G$1072</f>
        <v>1477</v>
      </c>
      <c r="F698" s="12">
        <f t="shared" si="1"/>
        <v>4.98</v>
      </c>
      <c r="G698" s="10" t="str">
        <f>Github!H$1072</f>
        <v>Algorithms</v>
      </c>
      <c r="H698" s="13" t="str">
        <f>SUBSTITUTE(Github!L$1072, ";", ", ")</f>
        <v>Math, String, </v>
      </c>
      <c r="I698" s="10" t="str">
        <f>Github!E$1072</f>
        <v>Easy</v>
      </c>
      <c r="J698" s="10" t="str">
        <f>IF(TRIM(Github!D$1072)="TRUE","FALSE","TRUE")</f>
        <v>TRUE</v>
      </c>
      <c r="K698" s="10" t="b">
        <f>Github!M$1072</f>
        <v>0</v>
      </c>
      <c r="L698" s="10" t="b">
        <f>Github!N$1072</f>
        <v>0</v>
      </c>
      <c r="M698" s="10" t="str">
        <f>ROUND(Github!O$1072, 2)&amp;"%"</f>
        <v>51.6%</v>
      </c>
      <c r="N698" s="10">
        <f>Github!P$1072</f>
        <v>68876</v>
      </c>
      <c r="O698" s="10">
        <f>Github!Q$1072</f>
        <v>133476</v>
      </c>
    </row>
    <row r="699">
      <c r="A699" s="10">
        <f>Github!J$820</f>
        <v>819</v>
      </c>
      <c r="B699" s="11" t="str">
        <f>HYPERLINK(CONCAT("http://leetcode.com/problems/",Github!C$820), Github!B$820)</f>
        <v>Most Common Word</v>
      </c>
      <c r="C699" s="10">
        <f>Github!F$820</f>
        <v>1224</v>
      </c>
      <c r="D699" s="10">
        <f>Github!G$820</f>
        <v>2498</v>
      </c>
      <c r="E699" s="10">
        <f>Github!F$820+Github!G$820</f>
        <v>3722</v>
      </c>
      <c r="F699" s="12">
        <f t="shared" si="1"/>
        <v>0.49</v>
      </c>
      <c r="G699" s="10" t="str">
        <f>Github!H$820</f>
        <v>Algorithms</v>
      </c>
      <c r="H699" s="13" t="str">
        <f>SUBSTITUTE(Github!L$820, ";", ", ")</f>
        <v>Hash Table, String, </v>
      </c>
      <c r="I699" s="10" t="str">
        <f>Github!E$820</f>
        <v>Easy</v>
      </c>
      <c r="J699" s="10" t="str">
        <f>IF(TRIM(Github!D$820)="TRUE","FALSE","TRUE")</f>
        <v>TRUE</v>
      </c>
      <c r="K699" s="10" t="b">
        <f>Github!M$820</f>
        <v>1</v>
      </c>
      <c r="L699" s="10" t="b">
        <f>Github!N$820</f>
        <v>0</v>
      </c>
      <c r="M699" s="10" t="str">
        <f>ROUND(Github!O$820, 2)&amp;"%"</f>
        <v>45.26%</v>
      </c>
      <c r="N699" s="10">
        <f>Github!P$820</f>
        <v>278224</v>
      </c>
      <c r="O699" s="10">
        <f>Github!Q$820</f>
        <v>614683</v>
      </c>
    </row>
    <row r="700">
      <c r="A700" s="10">
        <f>Github!J$979</f>
        <v>978</v>
      </c>
      <c r="B700" s="11" t="str">
        <f>HYPERLINK(CONCAT("http://leetcode.com/problems/",Github!C$979), Github!B$979)</f>
        <v>Longest Turbulent Subarray</v>
      </c>
      <c r="C700" s="10">
        <f>Github!F$979</f>
        <v>1225</v>
      </c>
      <c r="D700" s="10">
        <f>Github!G$979</f>
        <v>163</v>
      </c>
      <c r="E700" s="10">
        <f>Github!F$979+Github!G$979</f>
        <v>1388</v>
      </c>
      <c r="F700" s="12">
        <f t="shared" si="1"/>
        <v>7.52</v>
      </c>
      <c r="G700" s="10" t="str">
        <f>Github!H$979</f>
        <v>Algorithms</v>
      </c>
      <c r="H700" s="13" t="str">
        <f>SUBSTITUTE(Github!L$979, ";", ", ")</f>
        <v>Array, Dynamic Programming, Sliding Window, </v>
      </c>
      <c r="I700" s="10" t="str">
        <f>Github!E$979</f>
        <v>Medium</v>
      </c>
      <c r="J700" s="10" t="str">
        <f>IF(TRIM(Github!D$979)="TRUE","FALSE","TRUE")</f>
        <v>TRUE</v>
      </c>
      <c r="K700" s="10" t="b">
        <f>Github!M$979</f>
        <v>1</v>
      </c>
      <c r="L700" s="10" t="b">
        <f>Github!N$979</f>
        <v>0</v>
      </c>
      <c r="M700" s="10" t="str">
        <f>ROUND(Github!O$979, 2)&amp;"%"</f>
        <v>47.5%</v>
      </c>
      <c r="N700" s="10">
        <f>Github!P$979</f>
        <v>70152</v>
      </c>
      <c r="O700" s="10">
        <f>Github!Q$979</f>
        <v>147683</v>
      </c>
    </row>
    <row r="701">
      <c r="A701" s="10">
        <f>Github!J$1026</f>
        <v>1025</v>
      </c>
      <c r="B701" s="11" t="str">
        <f>HYPERLINK(CONCAT("http://leetcode.com/problems/",Github!C$1026), Github!B$1026)</f>
        <v>Divisor Game</v>
      </c>
      <c r="C701" s="10">
        <f>Github!F$1026</f>
        <v>1225</v>
      </c>
      <c r="D701" s="10">
        <f>Github!G$1026</f>
        <v>2943</v>
      </c>
      <c r="E701" s="10">
        <f>Github!F$1026+Github!G$1026</f>
        <v>4168</v>
      </c>
      <c r="F701" s="12">
        <f t="shared" si="1"/>
        <v>0.42</v>
      </c>
      <c r="G701" s="10" t="str">
        <f>Github!H$1026</f>
        <v>Algorithms</v>
      </c>
      <c r="H701" s="13" t="str">
        <f>SUBSTITUTE(Github!L$1026, ";", ", ")</f>
        <v>Math, Dynamic Programming, Brainteaser, Game Theory, </v>
      </c>
      <c r="I701" s="10" t="str">
        <f>Github!E$1026</f>
        <v>Easy</v>
      </c>
      <c r="J701" s="10" t="str">
        <f>IF(TRIM(Github!D$1026)="TRUE","FALSE","TRUE")</f>
        <v>TRUE</v>
      </c>
      <c r="K701" s="10" t="b">
        <f>Github!M$1026</f>
        <v>0</v>
      </c>
      <c r="L701" s="10" t="b">
        <f>Github!N$1026</f>
        <v>0</v>
      </c>
      <c r="M701" s="10" t="str">
        <f>ROUND(Github!O$1026, 2)&amp;"%"</f>
        <v>66.55%</v>
      </c>
      <c r="N701" s="10">
        <f>Github!P$1026</f>
        <v>146692</v>
      </c>
      <c r="O701" s="10">
        <f>Github!Q$1026</f>
        <v>220423</v>
      </c>
    </row>
    <row r="702">
      <c r="A702" s="10">
        <f>Github!J$1191</f>
        <v>1190</v>
      </c>
      <c r="B702" s="11" t="str">
        <f>HYPERLINK(CONCAT("http://leetcode.com/problems/",Github!C$1191), Github!B$1191)</f>
        <v>Reverse Substrings Between Each Pair of Parentheses</v>
      </c>
      <c r="C702" s="10">
        <f>Github!F$1191</f>
        <v>1218</v>
      </c>
      <c r="D702" s="10">
        <f>Github!G$1191</f>
        <v>34</v>
      </c>
      <c r="E702" s="10">
        <f>Github!F$1191+Github!G$1191</f>
        <v>1252</v>
      </c>
      <c r="F702" s="12">
        <f t="shared" si="1"/>
        <v>35.82</v>
      </c>
      <c r="G702" s="10" t="str">
        <f>Github!H$1191</f>
        <v>Algorithms</v>
      </c>
      <c r="H702" s="13" t="str">
        <f>SUBSTITUTE(Github!L$1191, ";", ", ")</f>
        <v>String, Stack, </v>
      </c>
      <c r="I702" s="10" t="str">
        <f>Github!E$1191</f>
        <v>Medium</v>
      </c>
      <c r="J702" s="10" t="str">
        <f>IF(TRIM(Github!D$1191)="TRUE","FALSE","TRUE")</f>
        <v>TRUE</v>
      </c>
      <c r="K702" s="10" t="b">
        <f>Github!M$1191</f>
        <v>0</v>
      </c>
      <c r="L702" s="10" t="b">
        <f>Github!N$1191</f>
        <v>0</v>
      </c>
      <c r="M702" s="10" t="str">
        <f>ROUND(Github!O$1191, 2)&amp;"%"</f>
        <v>65.6%</v>
      </c>
      <c r="N702" s="10">
        <f>Github!P$1191</f>
        <v>46204</v>
      </c>
      <c r="O702" s="10">
        <f>Github!Q$1191</f>
        <v>70432</v>
      </c>
    </row>
    <row r="703">
      <c r="A703" s="10">
        <f>Github!J$953</f>
        <v>952</v>
      </c>
      <c r="B703" s="11" t="str">
        <f>HYPERLINK(CONCAT("http://leetcode.com/problems/",Github!C$953), Github!B$953)</f>
        <v>Largest Component Size by Common Factor</v>
      </c>
      <c r="C703" s="10">
        <f>Github!F$953</f>
        <v>1218</v>
      </c>
      <c r="D703" s="10">
        <f>Github!G$953</f>
        <v>85</v>
      </c>
      <c r="E703" s="10">
        <f>Github!F$953+Github!G$953</f>
        <v>1303</v>
      </c>
      <c r="F703" s="12">
        <f t="shared" si="1"/>
        <v>14.33</v>
      </c>
      <c r="G703" s="10" t="str">
        <f>Github!H$953</f>
        <v>Algorithms</v>
      </c>
      <c r="H703" s="13" t="str">
        <f>SUBSTITUTE(Github!L$953, ";", ", ")</f>
        <v>Array, Math, Union Find, </v>
      </c>
      <c r="I703" s="10" t="str">
        <f>Github!E$953</f>
        <v>Hard</v>
      </c>
      <c r="J703" s="10" t="str">
        <f>IF(TRIM(Github!D$953)="TRUE","FALSE","TRUE")</f>
        <v>TRUE</v>
      </c>
      <c r="K703" s="10" t="b">
        <f>Github!M$953</f>
        <v>1</v>
      </c>
      <c r="L703" s="10" t="b">
        <f>Github!N$953</f>
        <v>0</v>
      </c>
      <c r="M703" s="10" t="str">
        <f>ROUND(Github!O$953, 2)&amp;"%"</f>
        <v>40.41%</v>
      </c>
      <c r="N703" s="10">
        <f>Github!P$953</f>
        <v>43407</v>
      </c>
      <c r="O703" s="10">
        <f>Github!Q$953</f>
        <v>107412</v>
      </c>
    </row>
    <row r="704">
      <c r="A704" s="10">
        <f>Github!J$624</f>
        <v>623</v>
      </c>
      <c r="B704" s="11" t="str">
        <f>HYPERLINK(CONCAT("http://leetcode.com/problems/",Github!C$624), Github!B$624)</f>
        <v>Add One Row to Tree</v>
      </c>
      <c r="C704" s="10">
        <f>Github!F$624</f>
        <v>1215</v>
      </c>
      <c r="D704" s="10">
        <f>Github!G$624</f>
        <v>170</v>
      </c>
      <c r="E704" s="10">
        <f>Github!F$624+Github!G$624</f>
        <v>1385</v>
      </c>
      <c r="F704" s="12">
        <f t="shared" si="1"/>
        <v>7.15</v>
      </c>
      <c r="G704" s="10" t="str">
        <f>Github!H$624</f>
        <v>Algorithms</v>
      </c>
      <c r="H704" s="13" t="str">
        <f>SUBSTITUTE(Github!L$624, ";", ", ")</f>
        <v>Tree, Depth-First Search, Breadth-First Search, Binary Tree, </v>
      </c>
      <c r="I704" s="10" t="str">
        <f>Github!E$624</f>
        <v>Medium</v>
      </c>
      <c r="J704" s="10" t="str">
        <f>IF(TRIM(Github!D$624)="TRUE","FALSE","TRUE")</f>
        <v>TRUE</v>
      </c>
      <c r="K704" s="10" t="b">
        <f>Github!M$624</f>
        <v>1</v>
      </c>
      <c r="L704" s="10" t="b">
        <f>Github!N$624</f>
        <v>0</v>
      </c>
      <c r="M704" s="10" t="str">
        <f>ROUND(Github!O$624, 2)&amp;"%"</f>
        <v>53.78%</v>
      </c>
      <c r="N704" s="10">
        <f>Github!P$624</f>
        <v>81116</v>
      </c>
      <c r="O704" s="10">
        <f>Github!Q$624</f>
        <v>150828</v>
      </c>
    </row>
    <row r="705">
      <c r="A705" s="10">
        <f>Github!J$966</f>
        <v>965</v>
      </c>
      <c r="B705" s="11" t="str">
        <f>HYPERLINK(CONCAT("http://leetcode.com/problems/",Github!C$966), Github!B$966)</f>
        <v>Univalued Binary Tree</v>
      </c>
      <c r="C705" s="10">
        <f>Github!F$966</f>
        <v>1217</v>
      </c>
      <c r="D705" s="10">
        <f>Github!G$966</f>
        <v>56</v>
      </c>
      <c r="E705" s="10">
        <f>Github!F$966+Github!G$966</f>
        <v>1273</v>
      </c>
      <c r="F705" s="12">
        <f t="shared" si="1"/>
        <v>21.73</v>
      </c>
      <c r="G705" s="10" t="str">
        <f>Github!H$966</f>
        <v>Algorithms</v>
      </c>
      <c r="H705" s="13" t="str">
        <f>SUBSTITUTE(Github!L$966, ";", ", ")</f>
        <v>Tree, Depth-First Search, Breadth-First Search, Binary Tree, </v>
      </c>
      <c r="I705" s="10" t="str">
        <f>Github!E$966</f>
        <v>Easy</v>
      </c>
      <c r="J705" s="10" t="str">
        <f>IF(TRIM(Github!D$966)="TRUE","FALSE","TRUE")</f>
        <v>TRUE</v>
      </c>
      <c r="K705" s="10" t="b">
        <f>Github!M$966</f>
        <v>1</v>
      </c>
      <c r="L705" s="10" t="b">
        <f>Github!N$966</f>
        <v>0</v>
      </c>
      <c r="M705" s="10" t="str">
        <f>ROUND(Github!O$966, 2)&amp;"%"</f>
        <v>68.84%</v>
      </c>
      <c r="N705" s="10">
        <f>Github!P$966</f>
        <v>153392</v>
      </c>
      <c r="O705" s="10">
        <f>Github!Q$966</f>
        <v>222835</v>
      </c>
    </row>
    <row r="706">
      <c r="A706" s="10">
        <f>Github!J$340</f>
        <v>339</v>
      </c>
      <c r="B706" s="11" t="str">
        <f>HYPERLINK(CONCAT("http://leetcode.com/problems/",Github!C$340), Github!B$340)</f>
        <v>Nested List Weight Sum</v>
      </c>
      <c r="C706" s="10">
        <f>Github!F$340</f>
        <v>1211</v>
      </c>
      <c r="D706" s="10">
        <f>Github!G$340</f>
        <v>279</v>
      </c>
      <c r="E706" s="10">
        <f>Github!F$340+Github!G$340</f>
        <v>1490</v>
      </c>
      <c r="F706" s="12">
        <f t="shared" si="1"/>
        <v>4.34</v>
      </c>
      <c r="G706" s="10" t="str">
        <f>Github!H$340</f>
        <v>Algorithms</v>
      </c>
      <c r="H706" s="13" t="str">
        <f>SUBSTITUTE(Github!L$340, ";", ", ")</f>
        <v>Depth-First Search, Breadth-First Search, </v>
      </c>
      <c r="I706" s="10" t="str">
        <f>Github!E$340</f>
        <v>Medium</v>
      </c>
      <c r="J706" s="10" t="str">
        <f>IF(TRIM(Github!D$340)="TRUE","FALSE","TRUE")</f>
        <v>FALSE</v>
      </c>
      <c r="K706" s="10" t="b">
        <f>Github!M$340</f>
        <v>1</v>
      </c>
      <c r="L706" s="10" t="b">
        <f>Github!N$340</f>
        <v>1</v>
      </c>
      <c r="M706" s="10" t="str">
        <f>ROUND(Github!O$340, 2)&amp;"%"</f>
        <v>80.59%</v>
      </c>
      <c r="N706" s="10">
        <f>Github!P$340</f>
        <v>177313</v>
      </c>
      <c r="O706" s="10">
        <f>Github!Q$340</f>
        <v>220028</v>
      </c>
    </row>
    <row r="707">
      <c r="A707" s="10">
        <f>Github!J$958</f>
        <v>957</v>
      </c>
      <c r="B707" s="11" t="str">
        <f>HYPERLINK(CONCAT("http://leetcode.com/problems/",Github!C$958), Github!B$958)</f>
        <v>Prison Cells After N Days</v>
      </c>
      <c r="C707" s="10">
        <f>Github!F$958</f>
        <v>1206</v>
      </c>
      <c r="D707" s="10">
        <f>Github!G$958</f>
        <v>1500</v>
      </c>
      <c r="E707" s="10">
        <f>Github!F$958+Github!G$958</f>
        <v>2706</v>
      </c>
      <c r="F707" s="12">
        <f t="shared" si="1"/>
        <v>0.8</v>
      </c>
      <c r="G707" s="10" t="str">
        <f>Github!H$958</f>
        <v>Algorithms</v>
      </c>
      <c r="H707" s="13" t="str">
        <f>SUBSTITUTE(Github!L$958, ";", ", ")</f>
        <v>Array, Hash Table, Math, Bit Manipulation, </v>
      </c>
      <c r="I707" s="10" t="str">
        <f>Github!E$958</f>
        <v>Medium</v>
      </c>
      <c r="J707" s="10" t="str">
        <f>IF(TRIM(Github!D$958)="TRUE","FALSE","TRUE")</f>
        <v>TRUE</v>
      </c>
      <c r="K707" s="10" t="b">
        <f>Github!M$958</f>
        <v>1</v>
      </c>
      <c r="L707" s="10" t="b">
        <f>Github!N$958</f>
        <v>0</v>
      </c>
      <c r="M707" s="10" t="str">
        <f>ROUND(Github!O$958, 2)&amp;"%"</f>
        <v>39.51%</v>
      </c>
      <c r="N707" s="10">
        <f>Github!P$958</f>
        <v>138525</v>
      </c>
      <c r="O707" s="10">
        <f>Github!Q$958</f>
        <v>350626</v>
      </c>
    </row>
    <row r="708">
      <c r="A708" s="10">
        <f>Github!J$277</f>
        <v>276</v>
      </c>
      <c r="B708" s="11" t="str">
        <f>HYPERLINK(CONCAT("http://leetcode.com/problems/",Github!C$277), Github!B$277)</f>
        <v>Paint Fence</v>
      </c>
      <c r="C708" s="10">
        <f>Github!F$277</f>
        <v>1205</v>
      </c>
      <c r="D708" s="10">
        <f>Github!G$277</f>
        <v>350</v>
      </c>
      <c r="E708" s="10">
        <f>Github!F$277+Github!G$277</f>
        <v>1555</v>
      </c>
      <c r="F708" s="12">
        <f t="shared" si="1"/>
        <v>3.44</v>
      </c>
      <c r="G708" s="10" t="str">
        <f>Github!H$277</f>
        <v>Algorithms</v>
      </c>
      <c r="H708" s="13" t="str">
        <f>SUBSTITUTE(Github!L$277, ";", ", ")</f>
        <v>Dynamic Programming, </v>
      </c>
      <c r="I708" s="10" t="str">
        <f>Github!E$277</f>
        <v>Medium</v>
      </c>
      <c r="J708" s="10" t="str">
        <f>IF(TRIM(Github!D$277)="TRUE","FALSE","TRUE")</f>
        <v>FALSE</v>
      </c>
      <c r="K708" s="10" t="b">
        <f>Github!M$277</f>
        <v>1</v>
      </c>
      <c r="L708" s="10" t="b">
        <f>Github!N$277</f>
        <v>0</v>
      </c>
      <c r="M708" s="10" t="str">
        <f>ROUND(Github!O$277, 2)&amp;"%"</f>
        <v>42.45%</v>
      </c>
      <c r="N708" s="10">
        <f>Github!P$277</f>
        <v>82322</v>
      </c>
      <c r="O708" s="10">
        <f>Github!Q$277</f>
        <v>193919</v>
      </c>
    </row>
    <row r="709">
      <c r="A709" s="10">
        <f>Github!J$347</f>
        <v>346</v>
      </c>
      <c r="B709" s="11" t="str">
        <f>HYPERLINK(CONCAT("http://leetcode.com/problems/",Github!C$347), Github!B$347)</f>
        <v>Moving Average from Data Stream</v>
      </c>
      <c r="C709" s="10">
        <f>Github!F$347</f>
        <v>1204</v>
      </c>
      <c r="D709" s="10">
        <f>Github!G$347</f>
        <v>116</v>
      </c>
      <c r="E709" s="10">
        <f>Github!F$347+Github!G$347</f>
        <v>1320</v>
      </c>
      <c r="F709" s="12">
        <f t="shared" si="1"/>
        <v>10.38</v>
      </c>
      <c r="G709" s="10" t="str">
        <f>Github!H$347</f>
        <v>Algorithms</v>
      </c>
      <c r="H709" s="13" t="str">
        <f>SUBSTITUTE(Github!L$347, ";", ", ")</f>
        <v>Array, Design, Queue, Data Stream, </v>
      </c>
      <c r="I709" s="10" t="str">
        <f>Github!E$347</f>
        <v>Easy</v>
      </c>
      <c r="J709" s="10" t="str">
        <f>IF(TRIM(Github!D$347)="TRUE","FALSE","TRUE")</f>
        <v>FALSE</v>
      </c>
      <c r="K709" s="10" t="b">
        <f>Github!M$347</f>
        <v>1</v>
      </c>
      <c r="L709" s="10" t="b">
        <f>Github!N$347</f>
        <v>0</v>
      </c>
      <c r="M709" s="10" t="str">
        <f>ROUND(Github!O$347, 2)&amp;"%"</f>
        <v>75.9%</v>
      </c>
      <c r="N709" s="10">
        <f>Github!P$347</f>
        <v>243127</v>
      </c>
      <c r="O709" s="10">
        <f>Github!Q$347</f>
        <v>320313</v>
      </c>
    </row>
    <row r="710">
      <c r="A710" s="10">
        <f>Github!J$1637</f>
        <v>1636</v>
      </c>
      <c r="B710" s="11" t="str">
        <f>HYPERLINK(CONCAT("http://leetcode.com/problems/",Github!C$1637), Github!B$1637)</f>
        <v>Sort Array by Increasing Frequency</v>
      </c>
      <c r="C710" s="10">
        <f>Github!F$1637</f>
        <v>1202</v>
      </c>
      <c r="D710" s="10">
        <f>Github!G$1637</f>
        <v>47</v>
      </c>
      <c r="E710" s="10">
        <f>Github!F$1637+Github!G$1637</f>
        <v>1249</v>
      </c>
      <c r="F710" s="12">
        <f t="shared" si="1"/>
        <v>25.57</v>
      </c>
      <c r="G710" s="10" t="str">
        <f>Github!H$1637</f>
        <v>Algorithms</v>
      </c>
      <c r="H710" s="13" t="str">
        <f>SUBSTITUTE(Github!L$1637, ";", ", ")</f>
        <v>Array, Hash Table, Sorting, </v>
      </c>
      <c r="I710" s="10" t="str">
        <f>Github!E$1637</f>
        <v>Easy</v>
      </c>
      <c r="J710" s="10" t="str">
        <f>IF(TRIM(Github!D$1637)="TRUE","FALSE","TRUE")</f>
        <v>TRUE</v>
      </c>
      <c r="K710" s="10" t="b">
        <f>Github!M$1637</f>
        <v>0</v>
      </c>
      <c r="L710" s="10" t="b">
        <f>Github!N$1637</f>
        <v>0</v>
      </c>
      <c r="M710" s="10" t="str">
        <f>ROUND(Github!O$1637, 2)&amp;"%"</f>
        <v>68.34%</v>
      </c>
      <c r="N710" s="10">
        <f>Github!P$1637</f>
        <v>54080</v>
      </c>
      <c r="O710" s="10">
        <f>Github!Q$1637</f>
        <v>79137</v>
      </c>
    </row>
    <row r="711">
      <c r="A711" s="10">
        <f>Github!J$706</f>
        <v>705</v>
      </c>
      <c r="B711" s="11" t="str">
        <f>HYPERLINK(CONCAT("http://leetcode.com/problems/",Github!C$706), Github!B$706)</f>
        <v>Design HashSet</v>
      </c>
      <c r="C711" s="10">
        <f>Github!F$706</f>
        <v>1201</v>
      </c>
      <c r="D711" s="10">
        <f>Github!G$706</f>
        <v>151</v>
      </c>
      <c r="E711" s="10">
        <f>Github!F$706+Github!G$706</f>
        <v>1352</v>
      </c>
      <c r="F711" s="12">
        <f t="shared" si="1"/>
        <v>7.95</v>
      </c>
      <c r="G711" s="10" t="str">
        <f>Github!H$706</f>
        <v>Algorithms</v>
      </c>
      <c r="H711" s="13" t="str">
        <f>SUBSTITUTE(Github!L$706, ";", ", ")</f>
        <v>Array, Hash Table, Linked List, Design, Hash Function, </v>
      </c>
      <c r="I711" s="10" t="str">
        <f>Github!E$706</f>
        <v>Easy</v>
      </c>
      <c r="J711" s="10" t="str">
        <f>IF(TRIM(Github!D$706)="TRUE","FALSE","TRUE")</f>
        <v>TRUE</v>
      </c>
      <c r="K711" s="10" t="b">
        <f>Github!M$706</f>
        <v>1</v>
      </c>
      <c r="L711" s="10" t="b">
        <f>Github!N$706</f>
        <v>0</v>
      </c>
      <c r="M711" s="10" t="str">
        <f>ROUND(Github!O$706, 2)&amp;"%"</f>
        <v>63.81%</v>
      </c>
      <c r="N711" s="10">
        <f>Github!P$706</f>
        <v>167548</v>
      </c>
      <c r="O711" s="10">
        <f>Github!Q$706</f>
        <v>262592</v>
      </c>
    </row>
    <row r="712">
      <c r="A712" s="10">
        <f>Github!J$1106</f>
        <v>1105</v>
      </c>
      <c r="B712" s="11" t="str">
        <f>HYPERLINK(CONCAT("http://leetcode.com/problems/",Github!C$1106), Github!B$1106)</f>
        <v>Filling Bookcase Shelves</v>
      </c>
      <c r="C712" s="10">
        <f>Github!F$1106</f>
        <v>1202</v>
      </c>
      <c r="D712" s="10">
        <f>Github!G$1106</f>
        <v>72</v>
      </c>
      <c r="E712" s="10">
        <f>Github!F$1106+Github!G$1106</f>
        <v>1274</v>
      </c>
      <c r="F712" s="12">
        <f t="shared" si="1"/>
        <v>16.69</v>
      </c>
      <c r="G712" s="10" t="str">
        <f>Github!H$1106</f>
        <v>Algorithms</v>
      </c>
      <c r="H712" s="13" t="str">
        <f>SUBSTITUTE(Github!L$1106, ";", ", ")</f>
        <v>Array, Dynamic Programming, </v>
      </c>
      <c r="I712" s="10" t="str">
        <f>Github!E$1106</f>
        <v>Medium</v>
      </c>
      <c r="J712" s="10" t="str">
        <f>IF(TRIM(Github!D$1106)="TRUE","FALSE","TRUE")</f>
        <v>TRUE</v>
      </c>
      <c r="K712" s="10" t="b">
        <f>Github!M$1106</f>
        <v>0</v>
      </c>
      <c r="L712" s="10" t="b">
        <f>Github!N$1106</f>
        <v>0</v>
      </c>
      <c r="M712" s="10" t="str">
        <f>ROUND(Github!O$1106, 2)&amp;"%"</f>
        <v>58%</v>
      </c>
      <c r="N712" s="10">
        <f>Github!P$1106</f>
        <v>31501</v>
      </c>
      <c r="O712" s="10">
        <f>Github!Q$1106</f>
        <v>54310</v>
      </c>
    </row>
    <row r="713">
      <c r="A713" s="10">
        <f>Github!J$871</f>
        <v>870</v>
      </c>
      <c r="B713" s="11" t="str">
        <f>HYPERLINK(CONCAT("http://leetcode.com/problems/",Github!C$871), Github!B$871)</f>
        <v>Advantage Shuffle</v>
      </c>
      <c r="C713" s="10">
        <f>Github!F$871</f>
        <v>1199</v>
      </c>
      <c r="D713" s="10">
        <f>Github!G$871</f>
        <v>75</v>
      </c>
      <c r="E713" s="10">
        <f>Github!F$871+Github!G$871</f>
        <v>1274</v>
      </c>
      <c r="F713" s="12">
        <f t="shared" si="1"/>
        <v>15.99</v>
      </c>
      <c r="G713" s="10" t="str">
        <f>Github!H$871</f>
        <v>Algorithms</v>
      </c>
      <c r="H713" s="13" t="str">
        <f>SUBSTITUTE(Github!L$871, ";", ", ")</f>
        <v>Array, Greedy, Sorting, </v>
      </c>
      <c r="I713" s="10" t="str">
        <f>Github!E$871</f>
        <v>Medium</v>
      </c>
      <c r="J713" s="10" t="str">
        <f>IF(TRIM(Github!D$871)="TRUE","FALSE","TRUE")</f>
        <v>TRUE</v>
      </c>
      <c r="K713" s="10" t="b">
        <f>Github!M$871</f>
        <v>1</v>
      </c>
      <c r="L713" s="10" t="b">
        <f>Github!N$871</f>
        <v>0</v>
      </c>
      <c r="M713" s="10" t="str">
        <f>ROUND(Github!O$871, 2)&amp;"%"</f>
        <v>51.17%</v>
      </c>
      <c r="N713" s="10">
        <f>Github!P$871</f>
        <v>51861</v>
      </c>
      <c r="O713" s="10">
        <f>Github!Q$871</f>
        <v>101344</v>
      </c>
    </row>
    <row r="714">
      <c r="A714" s="10">
        <f>Github!J$1674</f>
        <v>1673</v>
      </c>
      <c r="B714" s="11" t="str">
        <f>HYPERLINK(CONCAT("http://leetcode.com/problems/",Github!C$1674), Github!B$1674)</f>
        <v>Find the Most Competitive Subsequence</v>
      </c>
      <c r="C714" s="10">
        <f>Github!F$1674</f>
        <v>1198</v>
      </c>
      <c r="D714" s="10">
        <f>Github!G$1674</f>
        <v>59</v>
      </c>
      <c r="E714" s="10">
        <f>Github!F$1674+Github!G$1674</f>
        <v>1257</v>
      </c>
      <c r="F714" s="12">
        <f t="shared" si="1"/>
        <v>20.31</v>
      </c>
      <c r="G714" s="10" t="str">
        <f>Github!H$1674</f>
        <v>Algorithms</v>
      </c>
      <c r="H714" s="13" t="str">
        <f>SUBSTITUTE(Github!L$1674, ";", ", ")</f>
        <v>Array, Stack, Greedy, Monotonic Stack, </v>
      </c>
      <c r="I714" s="10" t="str">
        <f>Github!E$1674</f>
        <v>Medium</v>
      </c>
      <c r="J714" s="10" t="str">
        <f>IF(TRIM(Github!D$1674)="TRUE","FALSE","TRUE")</f>
        <v>TRUE</v>
      </c>
      <c r="K714" s="10" t="b">
        <f>Github!M$1674</f>
        <v>1</v>
      </c>
      <c r="L714" s="10" t="b">
        <f>Github!N$1674</f>
        <v>0</v>
      </c>
      <c r="M714" s="10" t="str">
        <f>ROUND(Github!O$1674, 2)&amp;"%"</f>
        <v>48.1%</v>
      </c>
      <c r="N714" s="10">
        <f>Github!P$1674</f>
        <v>40746</v>
      </c>
      <c r="O714" s="10">
        <f>Github!Q$1674</f>
        <v>84704</v>
      </c>
    </row>
    <row r="715">
      <c r="A715" s="10">
        <f>Github!J$728</f>
        <v>727</v>
      </c>
      <c r="B715" s="11" t="str">
        <f>HYPERLINK(CONCAT("http://leetcode.com/problems/",Github!C$728), Github!B$728)</f>
        <v>Minimum Window Subsequence</v>
      </c>
      <c r="C715" s="10">
        <f>Github!F$728</f>
        <v>1196</v>
      </c>
      <c r="D715" s="10">
        <f>Github!G$728</f>
        <v>71</v>
      </c>
      <c r="E715" s="10">
        <f>Github!F$728+Github!G$728</f>
        <v>1267</v>
      </c>
      <c r="F715" s="12">
        <f t="shared" si="1"/>
        <v>16.85</v>
      </c>
      <c r="G715" s="10" t="str">
        <f>Github!H$728</f>
        <v>Algorithms</v>
      </c>
      <c r="H715" s="13" t="str">
        <f>SUBSTITUTE(Github!L$728, ";", ", ")</f>
        <v>String, Dynamic Programming, Sliding Window, </v>
      </c>
      <c r="I715" s="10" t="str">
        <f>Github!E$728</f>
        <v>Hard</v>
      </c>
      <c r="J715" s="10" t="str">
        <f>IF(TRIM(Github!D$728)="TRUE","FALSE","TRUE")</f>
        <v>FALSE</v>
      </c>
      <c r="K715" s="10" t="b">
        <f>Github!M$728</f>
        <v>0</v>
      </c>
      <c r="L715" s="10" t="b">
        <f>Github!N$728</f>
        <v>0</v>
      </c>
      <c r="M715" s="10" t="str">
        <f>ROUND(Github!O$728, 2)&amp;"%"</f>
        <v>42.88%</v>
      </c>
      <c r="N715" s="10">
        <f>Github!P$728</f>
        <v>74611</v>
      </c>
      <c r="O715" s="10">
        <f>Github!Q$728</f>
        <v>174005</v>
      </c>
    </row>
    <row r="716">
      <c r="A716" s="10">
        <f>Github!J$260</f>
        <v>259</v>
      </c>
      <c r="B716" s="11" t="str">
        <f>HYPERLINK(CONCAT("http://leetcode.com/problems/",Github!C$260), Github!B$260)</f>
        <v>3Sum Smaller</v>
      </c>
      <c r="C716" s="10">
        <f>Github!F$260</f>
        <v>1195</v>
      </c>
      <c r="D716" s="10">
        <f>Github!G$260</f>
        <v>122</v>
      </c>
      <c r="E716" s="10">
        <f>Github!F$260+Github!G$260</f>
        <v>1317</v>
      </c>
      <c r="F716" s="12">
        <f t="shared" si="1"/>
        <v>9.8</v>
      </c>
      <c r="G716" s="10" t="str">
        <f>Github!H$260</f>
        <v>Algorithms</v>
      </c>
      <c r="H716" s="13" t="str">
        <f>SUBSTITUTE(Github!L$260, ";", ", ")</f>
        <v>Array, Two Pointers, Binary Search, Sorting, </v>
      </c>
      <c r="I716" s="10" t="str">
        <f>Github!E$260</f>
        <v>Medium</v>
      </c>
      <c r="J716" s="10" t="str">
        <f>IF(TRIM(Github!D$260)="TRUE","FALSE","TRUE")</f>
        <v>FALSE</v>
      </c>
      <c r="K716" s="10" t="b">
        <f>Github!M$260</f>
        <v>1</v>
      </c>
      <c r="L716" s="10" t="b">
        <f>Github!N$260</f>
        <v>0</v>
      </c>
      <c r="M716" s="10" t="str">
        <f>ROUND(Github!O$260, 2)&amp;"%"</f>
        <v>50.24%</v>
      </c>
      <c r="N716" s="10">
        <f>Github!P$260</f>
        <v>111242</v>
      </c>
      <c r="O716" s="10">
        <f>Github!Q$260</f>
        <v>221436</v>
      </c>
    </row>
    <row r="717">
      <c r="A717" s="10">
        <f>Github!J$889</f>
        <v>888</v>
      </c>
      <c r="B717" s="11" t="str">
        <f>HYPERLINK(CONCAT("http://leetcode.com/problems/",Github!C$889), Github!B$889)</f>
        <v>Fair Candy Swap</v>
      </c>
      <c r="C717" s="10">
        <f>Github!F$889</f>
        <v>1191</v>
      </c>
      <c r="D717" s="10">
        <f>Github!G$889</f>
        <v>220</v>
      </c>
      <c r="E717" s="10">
        <f>Github!F$889+Github!G$889</f>
        <v>1411</v>
      </c>
      <c r="F717" s="12">
        <f t="shared" si="1"/>
        <v>5.41</v>
      </c>
      <c r="G717" s="10" t="str">
        <f>Github!H$889</f>
        <v>Algorithms</v>
      </c>
      <c r="H717" s="13" t="str">
        <f>SUBSTITUTE(Github!L$889, ";", ", ")</f>
        <v>Array, Hash Table, Binary Search, Sorting, </v>
      </c>
      <c r="I717" s="10" t="str">
        <f>Github!E$889</f>
        <v>Easy</v>
      </c>
      <c r="J717" s="10" t="str">
        <f>IF(TRIM(Github!D$889)="TRUE","FALSE","TRUE")</f>
        <v>TRUE</v>
      </c>
      <c r="K717" s="10" t="b">
        <f>Github!M$889</f>
        <v>1</v>
      </c>
      <c r="L717" s="10" t="b">
        <f>Github!N$889</f>
        <v>0</v>
      </c>
      <c r="M717" s="10" t="str">
        <f>ROUND(Github!O$889, 2)&amp;"%"</f>
        <v>60.38%</v>
      </c>
      <c r="N717" s="10">
        <f>Github!P$889</f>
        <v>78680</v>
      </c>
      <c r="O717" s="10">
        <f>Github!Q$889</f>
        <v>130317</v>
      </c>
    </row>
    <row r="718">
      <c r="A718" s="10">
        <f>Github!J$371</f>
        <v>370</v>
      </c>
      <c r="B718" s="11" t="str">
        <f>HYPERLINK(CONCAT("http://leetcode.com/problems/",Github!C$371), Github!B$371)</f>
        <v>Range Addition</v>
      </c>
      <c r="C718" s="10">
        <f>Github!F$371</f>
        <v>1190</v>
      </c>
      <c r="D718" s="10">
        <f>Github!G$371</f>
        <v>55</v>
      </c>
      <c r="E718" s="10">
        <f>Github!F$371+Github!G$371</f>
        <v>1245</v>
      </c>
      <c r="F718" s="12">
        <f t="shared" si="1"/>
        <v>21.64</v>
      </c>
      <c r="G718" s="10" t="str">
        <f>Github!H$371</f>
        <v>Algorithms</v>
      </c>
      <c r="H718" s="13" t="str">
        <f>SUBSTITUTE(Github!L$371, ";", ", ")</f>
        <v>Array, Prefix Sum, </v>
      </c>
      <c r="I718" s="10" t="str">
        <f>Github!E$371</f>
        <v>Medium</v>
      </c>
      <c r="J718" s="10" t="str">
        <f>IF(TRIM(Github!D$371)="TRUE","FALSE","TRUE")</f>
        <v>FALSE</v>
      </c>
      <c r="K718" s="10" t="b">
        <f>Github!M$371</f>
        <v>1</v>
      </c>
      <c r="L718" s="10" t="b">
        <f>Github!N$371</f>
        <v>0</v>
      </c>
      <c r="M718" s="10" t="str">
        <f>ROUND(Github!O$371, 2)&amp;"%"</f>
        <v>68.95%</v>
      </c>
      <c r="N718" s="10">
        <f>Github!P$371</f>
        <v>62803</v>
      </c>
      <c r="O718" s="10">
        <f>Github!Q$371</f>
        <v>91080</v>
      </c>
    </row>
    <row r="719">
      <c r="A719" s="10">
        <f>Github!J$1568</f>
        <v>1567</v>
      </c>
      <c r="B719" s="11" t="str">
        <f>HYPERLINK(CONCAT("http://leetcode.com/problems/",Github!C$1568), Github!B$1568)</f>
        <v>Maximum Length of Subarray With Positive Product</v>
      </c>
      <c r="C719" s="10">
        <f>Github!F$1568</f>
        <v>1193</v>
      </c>
      <c r="D719" s="10">
        <f>Github!G$1568</f>
        <v>18</v>
      </c>
      <c r="E719" s="10">
        <f>Github!F$1568+Github!G$1568</f>
        <v>1211</v>
      </c>
      <c r="F719" s="12">
        <f t="shared" si="1"/>
        <v>66.28</v>
      </c>
      <c r="G719" s="10" t="str">
        <f>Github!H$1568</f>
        <v>Algorithms</v>
      </c>
      <c r="H719" s="13" t="str">
        <f>SUBSTITUTE(Github!L$1568, ";", ", ")</f>
        <v>Array, Dynamic Programming, Greedy, </v>
      </c>
      <c r="I719" s="10" t="str">
        <f>Github!E$1568</f>
        <v>Medium</v>
      </c>
      <c r="J719" s="10" t="str">
        <f>IF(TRIM(Github!D$1568)="TRUE","FALSE","TRUE")</f>
        <v>TRUE</v>
      </c>
      <c r="K719" s="10" t="b">
        <f>Github!M$1568</f>
        <v>0</v>
      </c>
      <c r="L719" s="10" t="b">
        <f>Github!N$1568</f>
        <v>0</v>
      </c>
      <c r="M719" s="10" t="str">
        <f>ROUND(Github!O$1568, 2)&amp;"%"</f>
        <v>42.62%</v>
      </c>
      <c r="N719" s="10">
        <f>Github!P$1568</f>
        <v>39436</v>
      </c>
      <c r="O719" s="10">
        <f>Github!Q$1568</f>
        <v>92527</v>
      </c>
    </row>
    <row r="720">
      <c r="A720" s="10">
        <f>Github!J$1022</f>
        <v>1021</v>
      </c>
      <c r="B720" s="11" t="str">
        <f>HYPERLINK(CONCAT("http://leetcode.com/problems/",Github!C$1022), Github!B$1022)</f>
        <v>Remove Outermost Parentheses</v>
      </c>
      <c r="C720" s="10">
        <f>Github!F$1022</f>
        <v>1188</v>
      </c>
      <c r="D720" s="10">
        <f>Github!G$1022</f>
        <v>1146</v>
      </c>
      <c r="E720" s="10">
        <f>Github!F$1022+Github!G$1022</f>
        <v>2334</v>
      </c>
      <c r="F720" s="12">
        <f t="shared" si="1"/>
        <v>1.04</v>
      </c>
      <c r="G720" s="10" t="str">
        <f>Github!H$1022</f>
        <v>Algorithms</v>
      </c>
      <c r="H720" s="13" t="str">
        <f>SUBSTITUTE(Github!L$1022, ";", ", ")</f>
        <v>String, Stack, </v>
      </c>
      <c r="I720" s="10" t="str">
        <f>Github!E$1022</f>
        <v>Easy</v>
      </c>
      <c r="J720" s="10" t="str">
        <f>IF(TRIM(Github!D$1022)="TRUE","FALSE","TRUE")</f>
        <v>TRUE</v>
      </c>
      <c r="K720" s="10" t="b">
        <f>Github!M$1022</f>
        <v>0</v>
      </c>
      <c r="L720" s="10" t="b">
        <f>Github!N$1022</f>
        <v>0</v>
      </c>
      <c r="M720" s="10" t="str">
        <f>ROUND(Github!O$1022, 2)&amp;"%"</f>
        <v>79.75%</v>
      </c>
      <c r="N720" s="10">
        <f>Github!P$1022</f>
        <v>165774</v>
      </c>
      <c r="O720" s="10">
        <f>Github!Q$1022</f>
        <v>207864</v>
      </c>
    </row>
    <row r="721">
      <c r="A721" s="10">
        <f>Github!J$1340</f>
        <v>1339</v>
      </c>
      <c r="B721" s="11" t="str">
        <f>HYPERLINK(CONCAT("http://leetcode.com/problems/",Github!C$1340), Github!B$1340)</f>
        <v>Maximum Product of Splitted Binary Tree</v>
      </c>
      <c r="C721" s="10">
        <f>Github!F$1340</f>
        <v>1182</v>
      </c>
      <c r="D721" s="10">
        <f>Github!G$1340</f>
        <v>52</v>
      </c>
      <c r="E721" s="10">
        <f>Github!F$1340+Github!G$1340</f>
        <v>1234</v>
      </c>
      <c r="F721" s="12">
        <f t="shared" si="1"/>
        <v>22.73</v>
      </c>
      <c r="G721" s="10" t="str">
        <f>Github!H$1340</f>
        <v>Algorithms</v>
      </c>
      <c r="H721" s="13" t="str">
        <f>SUBSTITUTE(Github!L$1340, ";", ", ")</f>
        <v>Tree, Depth-First Search, Binary Tree, </v>
      </c>
      <c r="I721" s="10" t="str">
        <f>Github!E$1340</f>
        <v>Medium</v>
      </c>
      <c r="J721" s="10" t="str">
        <f>IF(TRIM(Github!D$1340)="TRUE","FALSE","TRUE")</f>
        <v>TRUE</v>
      </c>
      <c r="K721" s="10" t="b">
        <f>Github!M$1340</f>
        <v>1</v>
      </c>
      <c r="L721" s="10" t="b">
        <f>Github!N$1340</f>
        <v>0</v>
      </c>
      <c r="M721" s="10" t="str">
        <f>ROUND(Github!O$1340, 2)&amp;"%"</f>
        <v>42.84%</v>
      </c>
      <c r="N721" s="10">
        <f>Github!P$1340</f>
        <v>54751</v>
      </c>
      <c r="O721" s="10">
        <f>Github!Q$1340</f>
        <v>127811</v>
      </c>
    </row>
    <row r="722">
      <c r="A722" s="10">
        <f>Github!J$1339</f>
        <v>1338</v>
      </c>
      <c r="B722" s="11" t="str">
        <f>HYPERLINK(CONCAT("http://leetcode.com/problems/",Github!C$1339), Github!B$1339)</f>
        <v>Reduce Array Size to The Half</v>
      </c>
      <c r="C722" s="10">
        <f>Github!F$1339</f>
        <v>1180</v>
      </c>
      <c r="D722" s="10">
        <f>Github!G$1339</f>
        <v>81</v>
      </c>
      <c r="E722" s="10">
        <f>Github!F$1339+Github!G$1339</f>
        <v>1261</v>
      </c>
      <c r="F722" s="12">
        <f t="shared" si="1"/>
        <v>14.57</v>
      </c>
      <c r="G722" s="10" t="str">
        <f>Github!H$1339</f>
        <v>Algorithms</v>
      </c>
      <c r="H722" s="13" t="str">
        <f>SUBSTITUTE(Github!L$1339, ";", ", ")</f>
        <v>Array, Hash Table, Greedy, Sorting, Heap (Priority Queue), </v>
      </c>
      <c r="I722" s="10" t="str">
        <f>Github!E$1339</f>
        <v>Medium</v>
      </c>
      <c r="J722" s="10" t="str">
        <f>IF(TRIM(Github!D$1339)="TRUE","FALSE","TRUE")</f>
        <v>TRUE</v>
      </c>
      <c r="K722" s="10" t="b">
        <f>Github!M$1339</f>
        <v>1</v>
      </c>
      <c r="L722" s="10" t="b">
        <f>Github!N$1339</f>
        <v>0</v>
      </c>
      <c r="M722" s="10" t="str">
        <f>ROUND(Github!O$1339, 2)&amp;"%"</f>
        <v>68.45%</v>
      </c>
      <c r="N722" s="10">
        <f>Github!P$1339</f>
        <v>81443</v>
      </c>
      <c r="O722" s="10">
        <f>Github!Q$1339</f>
        <v>118975</v>
      </c>
    </row>
    <row r="723">
      <c r="A723" s="10">
        <f>Github!J$1187</f>
        <v>1186</v>
      </c>
      <c r="B723" s="11" t="str">
        <f>HYPERLINK(CONCAT("http://leetcode.com/problems/",Github!C$1187), Github!B$1187)</f>
        <v>Maximum Subarray Sum with One Deletion</v>
      </c>
      <c r="C723" s="10">
        <f>Github!F$1187</f>
        <v>1181</v>
      </c>
      <c r="D723" s="10">
        <f>Github!G$1187</f>
        <v>42</v>
      </c>
      <c r="E723" s="10">
        <f>Github!F$1187+Github!G$1187</f>
        <v>1223</v>
      </c>
      <c r="F723" s="12">
        <f t="shared" si="1"/>
        <v>28.12</v>
      </c>
      <c r="G723" s="10" t="str">
        <f>Github!H$1187</f>
        <v>Algorithms</v>
      </c>
      <c r="H723" s="13" t="str">
        <f>SUBSTITUTE(Github!L$1187, ";", ", ")</f>
        <v>Array, Dynamic Programming, </v>
      </c>
      <c r="I723" s="10" t="str">
        <f>Github!E$1187</f>
        <v>Medium</v>
      </c>
      <c r="J723" s="10" t="str">
        <f>IF(TRIM(Github!D$1187)="TRUE","FALSE","TRUE")</f>
        <v>TRUE</v>
      </c>
      <c r="K723" s="10" t="b">
        <f>Github!M$1187</f>
        <v>0</v>
      </c>
      <c r="L723" s="10" t="b">
        <f>Github!N$1187</f>
        <v>0</v>
      </c>
      <c r="M723" s="10" t="str">
        <f>ROUND(Github!O$1187, 2)&amp;"%"</f>
        <v>40.52%</v>
      </c>
      <c r="N723" s="10">
        <f>Github!P$1187</f>
        <v>30714</v>
      </c>
      <c r="O723" s="10">
        <f>Github!Q$1187</f>
        <v>75807</v>
      </c>
    </row>
    <row r="724">
      <c r="A724" s="10">
        <f>Github!J$1447</f>
        <v>1446</v>
      </c>
      <c r="B724" s="11" t="str">
        <f>HYPERLINK(CONCAT("http://leetcode.com/problems/",Github!C$1447), Github!B$1447)</f>
        <v>Consecutive Characters</v>
      </c>
      <c r="C724" s="10">
        <f>Github!F$1447</f>
        <v>1179</v>
      </c>
      <c r="D724" s="10">
        <f>Github!G$1447</f>
        <v>24</v>
      </c>
      <c r="E724" s="10">
        <f>Github!F$1447+Github!G$1447</f>
        <v>1203</v>
      </c>
      <c r="F724" s="12">
        <f t="shared" si="1"/>
        <v>49.13</v>
      </c>
      <c r="G724" s="10" t="str">
        <f>Github!H$1447</f>
        <v>Algorithms</v>
      </c>
      <c r="H724" s="13" t="str">
        <f>SUBSTITUTE(Github!L$1447, ";", ", ")</f>
        <v>String, </v>
      </c>
      <c r="I724" s="10" t="str">
        <f>Github!E$1447</f>
        <v>Easy</v>
      </c>
      <c r="J724" s="10" t="str">
        <f>IF(TRIM(Github!D$1447)="TRUE","FALSE","TRUE")</f>
        <v>TRUE</v>
      </c>
      <c r="K724" s="10" t="b">
        <f>Github!M$1447</f>
        <v>1</v>
      </c>
      <c r="L724" s="10" t="b">
        <f>Github!N$1447</f>
        <v>0</v>
      </c>
      <c r="M724" s="10" t="str">
        <f>ROUND(Github!O$1447, 2)&amp;"%"</f>
        <v>61.98%</v>
      </c>
      <c r="N724" s="10">
        <f>Github!P$1447</f>
        <v>115487</v>
      </c>
      <c r="O724" s="10">
        <f>Github!Q$1447</f>
        <v>186328</v>
      </c>
    </row>
    <row r="725">
      <c r="A725" s="10">
        <f>Github!J$678</f>
        <v>677</v>
      </c>
      <c r="B725" s="11" t="str">
        <f>HYPERLINK(CONCAT("http://leetcode.com/problems/",Github!C$678), Github!B$678)</f>
        <v>Map Sum Pairs</v>
      </c>
      <c r="C725" s="10">
        <f>Github!F$678</f>
        <v>1177</v>
      </c>
      <c r="D725" s="10">
        <f>Github!G$678</f>
        <v>119</v>
      </c>
      <c r="E725" s="10">
        <f>Github!F$678+Github!G$678</f>
        <v>1296</v>
      </c>
      <c r="F725" s="12">
        <f t="shared" si="1"/>
        <v>9.89</v>
      </c>
      <c r="G725" s="10" t="str">
        <f>Github!H$678</f>
        <v>Algorithms</v>
      </c>
      <c r="H725" s="13" t="str">
        <f>SUBSTITUTE(Github!L$678, ";", ", ")</f>
        <v>Hash Table, String, Design, Trie, </v>
      </c>
      <c r="I725" s="10" t="str">
        <f>Github!E$678</f>
        <v>Medium</v>
      </c>
      <c r="J725" s="10" t="str">
        <f>IF(TRIM(Github!D$678)="TRUE","FALSE","TRUE")</f>
        <v>TRUE</v>
      </c>
      <c r="K725" s="10" t="b">
        <f>Github!M$678</f>
        <v>1</v>
      </c>
      <c r="L725" s="10" t="b">
        <f>Github!N$678</f>
        <v>0</v>
      </c>
      <c r="M725" s="10" t="str">
        <f>ROUND(Github!O$678, 2)&amp;"%"</f>
        <v>57.02%</v>
      </c>
      <c r="N725" s="10">
        <f>Github!P$678</f>
        <v>85073</v>
      </c>
      <c r="O725" s="10">
        <f>Github!Q$678</f>
        <v>149210</v>
      </c>
    </row>
    <row r="726">
      <c r="A726" s="10">
        <f>Github!J$915</f>
        <v>914</v>
      </c>
      <c r="B726" s="11" t="str">
        <f>HYPERLINK(CONCAT("http://leetcode.com/problems/",Github!C$915), Github!B$915)</f>
        <v>X of a Kind in a Deck of Cards</v>
      </c>
      <c r="C726" s="10">
        <f>Github!F$915</f>
        <v>1176</v>
      </c>
      <c r="D726" s="10">
        <f>Github!G$915</f>
        <v>287</v>
      </c>
      <c r="E726" s="10">
        <f>Github!F$915+Github!G$915</f>
        <v>1463</v>
      </c>
      <c r="F726" s="12">
        <f t="shared" si="1"/>
        <v>4.1</v>
      </c>
      <c r="G726" s="10" t="str">
        <f>Github!H$915</f>
        <v>Algorithms</v>
      </c>
      <c r="H726" s="13" t="str">
        <f>SUBSTITUTE(Github!L$915, ";", ", ")</f>
        <v>Array, Hash Table, Math, Counting, Number Theory, </v>
      </c>
      <c r="I726" s="10" t="str">
        <f>Github!E$915</f>
        <v>Easy</v>
      </c>
      <c r="J726" s="10" t="str">
        <f>IF(TRIM(Github!D$915)="TRUE","FALSE","TRUE")</f>
        <v>TRUE</v>
      </c>
      <c r="K726" s="10" t="b">
        <f>Github!M$915</f>
        <v>1</v>
      </c>
      <c r="L726" s="10" t="b">
        <f>Github!N$915</f>
        <v>0</v>
      </c>
      <c r="M726" s="10" t="str">
        <f>ROUND(Github!O$915, 2)&amp;"%"</f>
        <v>33.15%</v>
      </c>
      <c r="N726" s="10">
        <f>Github!P$915</f>
        <v>82476</v>
      </c>
      <c r="O726" s="10">
        <f>Github!Q$915</f>
        <v>248797</v>
      </c>
    </row>
    <row r="727">
      <c r="A727" s="10">
        <f>Github!J$805</f>
        <v>804</v>
      </c>
      <c r="B727" s="11" t="str">
        <f>HYPERLINK(CONCAT("http://leetcode.com/problems/",Github!C$805), Github!B$805)</f>
        <v>Unique Morse Code Words</v>
      </c>
      <c r="C727" s="10">
        <f>Github!F$805</f>
        <v>1172</v>
      </c>
      <c r="D727" s="10">
        <f>Github!G$805</f>
        <v>1003</v>
      </c>
      <c r="E727" s="10">
        <f>Github!F$805+Github!G$805</f>
        <v>2175</v>
      </c>
      <c r="F727" s="12">
        <f t="shared" si="1"/>
        <v>1.17</v>
      </c>
      <c r="G727" s="10" t="str">
        <f>Github!H$805</f>
        <v>Algorithms</v>
      </c>
      <c r="H727" s="13" t="str">
        <f>SUBSTITUTE(Github!L$805, ";", ", ")</f>
        <v>Array, Hash Table, String, </v>
      </c>
      <c r="I727" s="10" t="str">
        <f>Github!E$805</f>
        <v>Easy</v>
      </c>
      <c r="J727" s="10" t="str">
        <f>IF(TRIM(Github!D$805)="TRUE","FALSE","TRUE")</f>
        <v>TRUE</v>
      </c>
      <c r="K727" s="10" t="b">
        <f>Github!M$805</f>
        <v>1</v>
      </c>
      <c r="L727" s="10" t="b">
        <f>Github!N$805</f>
        <v>0</v>
      </c>
      <c r="M727" s="10" t="str">
        <f>ROUND(Github!O$805, 2)&amp;"%"</f>
        <v>79.86%</v>
      </c>
      <c r="N727" s="10">
        <f>Github!P$805</f>
        <v>211197</v>
      </c>
      <c r="O727" s="10">
        <f>Github!Q$805</f>
        <v>264462</v>
      </c>
    </row>
    <row r="728">
      <c r="A728" s="10">
        <f>Github!J$360</f>
        <v>359</v>
      </c>
      <c r="B728" s="11" t="str">
        <f>HYPERLINK(CONCAT("http://leetcode.com/problems/",Github!C$360), Github!B$360)</f>
        <v>Logger Rate Limiter</v>
      </c>
      <c r="C728" s="10">
        <f>Github!F$360</f>
        <v>1169</v>
      </c>
      <c r="D728" s="10">
        <f>Github!G$360</f>
        <v>157</v>
      </c>
      <c r="E728" s="10">
        <f>Github!F$360+Github!G$360</f>
        <v>1326</v>
      </c>
      <c r="F728" s="12">
        <f t="shared" si="1"/>
        <v>7.45</v>
      </c>
      <c r="G728" s="10" t="str">
        <f>Github!H$360</f>
        <v>Algorithms</v>
      </c>
      <c r="H728" s="13" t="str">
        <f>SUBSTITUTE(Github!L$360, ";", ", ")</f>
        <v>Hash Table, Design, </v>
      </c>
      <c r="I728" s="10" t="str">
        <f>Github!E$360</f>
        <v>Easy</v>
      </c>
      <c r="J728" s="10" t="str">
        <f>IF(TRIM(Github!D$360)="TRUE","FALSE","TRUE")</f>
        <v>FALSE</v>
      </c>
      <c r="K728" s="10" t="b">
        <f>Github!M$360</f>
        <v>1</v>
      </c>
      <c r="L728" s="10" t="b">
        <f>Github!N$360</f>
        <v>0</v>
      </c>
      <c r="M728" s="10" t="str">
        <f>ROUND(Github!O$360, 2)&amp;"%"</f>
        <v>74.75%</v>
      </c>
      <c r="N728" s="10">
        <f>Github!P$360</f>
        <v>211771</v>
      </c>
      <c r="O728" s="10">
        <f>Github!Q$360</f>
        <v>283303</v>
      </c>
    </row>
    <row r="729">
      <c r="A729" s="10">
        <f>Github!J$1336</f>
        <v>1335</v>
      </c>
      <c r="B729" s="11" t="str">
        <f>HYPERLINK(CONCAT("http://leetcode.com/problems/",Github!C$1336), Github!B$1336)</f>
        <v>Minimum Difficulty of a Job Schedule</v>
      </c>
      <c r="C729" s="10">
        <f>Github!F$1336</f>
        <v>1171</v>
      </c>
      <c r="D729" s="10">
        <f>Github!G$1336</f>
        <v>136</v>
      </c>
      <c r="E729" s="10">
        <f>Github!F$1336+Github!G$1336</f>
        <v>1307</v>
      </c>
      <c r="F729" s="12">
        <f t="shared" si="1"/>
        <v>8.61</v>
      </c>
      <c r="G729" s="10" t="str">
        <f>Github!H$1336</f>
        <v>Algorithms</v>
      </c>
      <c r="H729" s="13" t="str">
        <f>SUBSTITUTE(Github!L$1336, ";", ", ")</f>
        <v>Array, Dynamic Programming, </v>
      </c>
      <c r="I729" s="10" t="str">
        <f>Github!E$1336</f>
        <v>Hard</v>
      </c>
      <c r="J729" s="10" t="str">
        <f>IF(TRIM(Github!D$1336)="TRUE","FALSE","TRUE")</f>
        <v>TRUE</v>
      </c>
      <c r="K729" s="10" t="b">
        <f>Github!M$1336</f>
        <v>0</v>
      </c>
      <c r="L729" s="10" t="b">
        <f>Github!N$1336</f>
        <v>0</v>
      </c>
      <c r="M729" s="10" t="str">
        <f>ROUND(Github!O$1336, 2)&amp;"%"</f>
        <v>56.77%</v>
      </c>
      <c r="N729" s="10">
        <f>Github!P$1336</f>
        <v>64870</v>
      </c>
      <c r="O729" s="10">
        <f>Github!Q$1336</f>
        <v>114274</v>
      </c>
    </row>
    <row r="730">
      <c r="A730" s="10">
        <f>Github!J$844</f>
        <v>843</v>
      </c>
      <c r="B730" s="11" t="str">
        <f>HYPERLINK(CONCAT("http://leetcode.com/problems/",Github!C$844), Github!B$844)</f>
        <v>Guess the Word</v>
      </c>
      <c r="C730" s="10">
        <f>Github!F$844</f>
        <v>1166</v>
      </c>
      <c r="D730" s="10">
        <f>Github!G$844</f>
        <v>1291</v>
      </c>
      <c r="E730" s="10">
        <f>Github!F$844+Github!G$844</f>
        <v>2457</v>
      </c>
      <c r="F730" s="12">
        <f t="shared" si="1"/>
        <v>0.9</v>
      </c>
      <c r="G730" s="10" t="str">
        <f>Github!H$844</f>
        <v>Algorithms</v>
      </c>
      <c r="H730" s="13" t="str">
        <f>SUBSTITUTE(Github!L$844, ";", ", ")</f>
        <v>Array, Math, String, Interactive, Game Theory, </v>
      </c>
      <c r="I730" s="10" t="str">
        <f>Github!E$844</f>
        <v>Hard</v>
      </c>
      <c r="J730" s="10" t="str">
        <f>IF(TRIM(Github!D$844)="TRUE","FALSE","TRUE")</f>
        <v>TRUE</v>
      </c>
      <c r="K730" s="10" t="b">
        <f>Github!M$844</f>
        <v>0</v>
      </c>
      <c r="L730" s="10" t="b">
        <f>Github!N$844</f>
        <v>0</v>
      </c>
      <c r="M730" s="10" t="str">
        <f>ROUND(Github!O$844, 2)&amp;"%"</f>
        <v>43.2%</v>
      </c>
      <c r="N730" s="10">
        <f>Github!P$844</f>
        <v>110422</v>
      </c>
      <c r="O730" s="10">
        <f>Github!Q$844</f>
        <v>255591</v>
      </c>
    </row>
    <row r="731">
      <c r="A731" s="10">
        <f>Github!J$1397</f>
        <v>1396</v>
      </c>
      <c r="B731" s="11" t="str">
        <f>HYPERLINK(CONCAT("http://leetcode.com/problems/",Github!C$1397), Github!B$1397)</f>
        <v>Design Underground System</v>
      </c>
      <c r="C731" s="10">
        <f>Github!F$1397</f>
        <v>1163</v>
      </c>
      <c r="D731" s="10">
        <f>Github!G$1397</f>
        <v>65</v>
      </c>
      <c r="E731" s="10">
        <f>Github!F$1397+Github!G$1397</f>
        <v>1228</v>
      </c>
      <c r="F731" s="12">
        <f t="shared" si="1"/>
        <v>17.89</v>
      </c>
      <c r="G731" s="10" t="str">
        <f>Github!H$1397</f>
        <v>Algorithms</v>
      </c>
      <c r="H731" s="13" t="str">
        <f>SUBSTITUTE(Github!L$1397, ";", ", ")</f>
        <v>Hash Table, String, Design, </v>
      </c>
      <c r="I731" s="10" t="str">
        <f>Github!E$1397</f>
        <v>Medium</v>
      </c>
      <c r="J731" s="10" t="str">
        <f>IF(TRIM(Github!D$1397)="TRUE","FALSE","TRUE")</f>
        <v>TRUE</v>
      </c>
      <c r="K731" s="10" t="b">
        <f>Github!M$1397</f>
        <v>1</v>
      </c>
      <c r="L731" s="10" t="b">
        <f>Github!N$1397</f>
        <v>0</v>
      </c>
      <c r="M731" s="10" t="str">
        <f>ROUND(Github!O$1397, 2)&amp;"%"</f>
        <v>71.84%</v>
      </c>
      <c r="N731" s="10">
        <f>Github!P$1397</f>
        <v>91452</v>
      </c>
      <c r="O731" s="10">
        <f>Github!Q$1397</f>
        <v>127305</v>
      </c>
    </row>
    <row r="732">
      <c r="A732" s="10">
        <f>Github!J$1300</f>
        <v>1299</v>
      </c>
      <c r="B732" s="11" t="str">
        <f>HYPERLINK(CONCAT("http://leetcode.com/problems/",Github!C$1300), Github!B$1300)</f>
        <v>Replace Elements with Greatest Element on Right Side</v>
      </c>
      <c r="C732" s="10">
        <f>Github!F$1300</f>
        <v>1163</v>
      </c>
      <c r="D732" s="10">
        <f>Github!G$1300</f>
        <v>162</v>
      </c>
      <c r="E732" s="10">
        <f>Github!F$1300+Github!G$1300</f>
        <v>1325</v>
      </c>
      <c r="F732" s="12">
        <f t="shared" si="1"/>
        <v>7.18</v>
      </c>
      <c r="G732" s="10" t="str">
        <f>Github!H$1300</f>
        <v>Algorithms</v>
      </c>
      <c r="H732" s="13" t="str">
        <f>SUBSTITUTE(Github!L$1300, ";", ", ")</f>
        <v>Array, </v>
      </c>
      <c r="I732" s="10" t="str">
        <f>Github!E$1300</f>
        <v>Easy</v>
      </c>
      <c r="J732" s="10" t="str">
        <f>IF(TRIM(Github!D$1300)="TRUE","FALSE","TRUE")</f>
        <v>TRUE</v>
      </c>
      <c r="K732" s="10" t="b">
        <f>Github!M$1300</f>
        <v>0</v>
      </c>
      <c r="L732" s="10" t="b">
        <f>Github!N$1300</f>
        <v>0</v>
      </c>
      <c r="M732" s="10" t="str">
        <f>ROUND(Github!O$1300, 2)&amp;"%"</f>
        <v>74.42%</v>
      </c>
      <c r="N732" s="10">
        <f>Github!P$1300</f>
        <v>194397</v>
      </c>
      <c r="O732" s="10">
        <f>Github!Q$1300</f>
        <v>261221</v>
      </c>
    </row>
    <row r="733">
      <c r="A733" s="10">
        <f>Github!J$1648</f>
        <v>1647</v>
      </c>
      <c r="B733" s="11" t="str">
        <f>HYPERLINK(CONCAT("http://leetcode.com/problems/",Github!C$1648), Github!B$1648)</f>
        <v>Minimum Deletions to Make Character Frequencies Unique</v>
      </c>
      <c r="C733" s="10">
        <f>Github!F$1648</f>
        <v>1162</v>
      </c>
      <c r="D733" s="10">
        <f>Github!G$1648</f>
        <v>27</v>
      </c>
      <c r="E733" s="10">
        <f>Github!F$1648+Github!G$1648</f>
        <v>1189</v>
      </c>
      <c r="F733" s="12">
        <f t="shared" si="1"/>
        <v>43.04</v>
      </c>
      <c r="G733" s="10" t="str">
        <f>Github!H$1648</f>
        <v>Algorithms</v>
      </c>
      <c r="H733" s="13" t="str">
        <f>SUBSTITUTE(Github!L$1648, ";", ", ")</f>
        <v>String, Greedy, Sorting, </v>
      </c>
      <c r="I733" s="10" t="str">
        <f>Github!E$1648</f>
        <v>Medium</v>
      </c>
      <c r="J733" s="10" t="str">
        <f>IF(TRIM(Github!D$1648)="TRUE","FALSE","TRUE")</f>
        <v>TRUE</v>
      </c>
      <c r="K733" s="10" t="b">
        <f>Github!M$1648</f>
        <v>0</v>
      </c>
      <c r="L733" s="10" t="b">
        <f>Github!N$1648</f>
        <v>0</v>
      </c>
      <c r="M733" s="10" t="str">
        <f>ROUND(Github!O$1648, 2)&amp;"%"</f>
        <v>56.35%</v>
      </c>
      <c r="N733" s="10">
        <f>Github!P$1648</f>
        <v>75315</v>
      </c>
      <c r="O733" s="10">
        <f>Github!Q$1648</f>
        <v>133649</v>
      </c>
    </row>
    <row r="734">
      <c r="A734" s="10">
        <f>Github!J$275</f>
        <v>274</v>
      </c>
      <c r="B734" s="11" t="str">
        <f>HYPERLINK(CONCAT("http://leetcode.com/problems/",Github!C$275), Github!B$275)</f>
        <v>H-Index</v>
      </c>
      <c r="C734" s="10">
        <f>Github!F$275</f>
        <v>1159</v>
      </c>
      <c r="D734" s="10">
        <f>Github!G$275</f>
        <v>1764</v>
      </c>
      <c r="E734" s="10">
        <f>Github!F$275+Github!G$275</f>
        <v>2923</v>
      </c>
      <c r="F734" s="12">
        <f t="shared" si="1"/>
        <v>0.66</v>
      </c>
      <c r="G734" s="10" t="str">
        <f>Github!H$275</f>
        <v>Algorithms</v>
      </c>
      <c r="H734" s="13" t="str">
        <f>SUBSTITUTE(Github!L$275, ";", ", ")</f>
        <v>Array, Sorting, Counting Sort, </v>
      </c>
      <c r="I734" s="10" t="str">
        <f>Github!E$275</f>
        <v>Medium</v>
      </c>
      <c r="J734" s="10" t="str">
        <f>IF(TRIM(Github!D$275)="TRUE","FALSE","TRUE")</f>
        <v>TRUE</v>
      </c>
      <c r="K734" s="10" t="b">
        <f>Github!M$275</f>
        <v>1</v>
      </c>
      <c r="L734" s="10" t="b">
        <f>Github!N$275</f>
        <v>0</v>
      </c>
      <c r="M734" s="10" t="str">
        <f>ROUND(Github!O$275, 2)&amp;"%"</f>
        <v>37.41%</v>
      </c>
      <c r="N734" s="10">
        <f>Github!P$275</f>
        <v>227043</v>
      </c>
      <c r="O734" s="10">
        <f>Github!Q$275</f>
        <v>606882</v>
      </c>
    </row>
    <row r="735">
      <c r="A735" s="10">
        <f>Github!J$1296</f>
        <v>1295</v>
      </c>
      <c r="B735" s="11" t="str">
        <f>HYPERLINK(CONCAT("http://leetcode.com/problems/",Github!C$1296), Github!B$1296)</f>
        <v>Find Numbers with Even Number of Digits</v>
      </c>
      <c r="C735" s="10">
        <f>Github!F$1296</f>
        <v>1157</v>
      </c>
      <c r="D735" s="10">
        <f>Github!G$1296</f>
        <v>95</v>
      </c>
      <c r="E735" s="10">
        <f>Github!F$1296+Github!G$1296</f>
        <v>1252</v>
      </c>
      <c r="F735" s="12">
        <f t="shared" si="1"/>
        <v>12.18</v>
      </c>
      <c r="G735" s="10" t="str">
        <f>Github!H$1296</f>
        <v>Algorithms</v>
      </c>
      <c r="H735" s="13" t="str">
        <f>SUBSTITUTE(Github!L$1296, ";", ", ")</f>
        <v>Array, </v>
      </c>
      <c r="I735" s="10" t="str">
        <f>Github!E$1296</f>
        <v>Easy</v>
      </c>
      <c r="J735" s="10" t="str">
        <f>IF(TRIM(Github!D$1296)="TRUE","FALSE","TRUE")</f>
        <v>TRUE</v>
      </c>
      <c r="K735" s="10" t="b">
        <f>Github!M$1296</f>
        <v>0</v>
      </c>
      <c r="L735" s="10" t="b">
        <f>Github!N$1296</f>
        <v>0</v>
      </c>
      <c r="M735" s="10" t="str">
        <f>ROUND(Github!O$1296, 2)&amp;"%"</f>
        <v>77.22%</v>
      </c>
      <c r="N735" s="10">
        <f>Github!P$1296</f>
        <v>407106</v>
      </c>
      <c r="O735" s="10">
        <f>Github!Q$1296</f>
        <v>527200</v>
      </c>
    </row>
    <row r="736">
      <c r="A736" s="10">
        <f>Github!J$672</f>
        <v>671</v>
      </c>
      <c r="B736" s="11" t="str">
        <f>HYPERLINK(CONCAT("http://leetcode.com/problems/",Github!C$672), Github!B$672)</f>
        <v>Second Minimum Node In a Binary Tree</v>
      </c>
      <c r="C736" s="10">
        <f>Github!F$672</f>
        <v>1153</v>
      </c>
      <c r="D736" s="10">
        <f>Github!G$672</f>
        <v>1425</v>
      </c>
      <c r="E736" s="10">
        <f>Github!F$672+Github!G$672</f>
        <v>2578</v>
      </c>
      <c r="F736" s="12">
        <f t="shared" si="1"/>
        <v>0.81</v>
      </c>
      <c r="G736" s="10" t="str">
        <f>Github!H$672</f>
        <v>Algorithms</v>
      </c>
      <c r="H736" s="13" t="str">
        <f>SUBSTITUTE(Github!L$672, ";", ", ")</f>
        <v>Tree, Depth-First Search, Binary Tree, </v>
      </c>
      <c r="I736" s="10" t="str">
        <f>Github!E$672</f>
        <v>Easy</v>
      </c>
      <c r="J736" s="10" t="str">
        <f>IF(TRIM(Github!D$672)="TRUE","FALSE","TRUE")</f>
        <v>TRUE</v>
      </c>
      <c r="K736" s="10" t="b">
        <f>Github!M$672</f>
        <v>1</v>
      </c>
      <c r="L736" s="10" t="b">
        <f>Github!N$672</f>
        <v>0</v>
      </c>
      <c r="M736" s="10" t="str">
        <f>ROUND(Github!O$672, 2)&amp;"%"</f>
        <v>43.5%</v>
      </c>
      <c r="N736" s="10">
        <f>Github!P$672</f>
        <v>133196</v>
      </c>
      <c r="O736" s="10">
        <f>Github!Q$672</f>
        <v>306188</v>
      </c>
    </row>
    <row r="737">
      <c r="A737" s="10">
        <f>Github!J$680</f>
        <v>679</v>
      </c>
      <c r="B737" s="11" t="str">
        <f>HYPERLINK(CONCAT("http://leetcode.com/problems/",Github!C$680), Github!B$680)</f>
        <v>24 Game</v>
      </c>
      <c r="C737" s="10">
        <f>Github!F$680</f>
        <v>1149</v>
      </c>
      <c r="D737" s="10">
        <f>Github!G$680</f>
        <v>214</v>
      </c>
      <c r="E737" s="10">
        <f>Github!F$680+Github!G$680</f>
        <v>1363</v>
      </c>
      <c r="F737" s="12">
        <f t="shared" si="1"/>
        <v>5.37</v>
      </c>
      <c r="G737" s="10" t="str">
        <f>Github!H$680</f>
        <v>Algorithms</v>
      </c>
      <c r="H737" s="13" t="str">
        <f>SUBSTITUTE(Github!L$680, ";", ", ")</f>
        <v>Array, Math, Backtracking, </v>
      </c>
      <c r="I737" s="10" t="str">
        <f>Github!E$680</f>
        <v>Hard</v>
      </c>
      <c r="J737" s="10" t="str">
        <f>IF(TRIM(Github!D$680)="TRUE","FALSE","TRUE")</f>
        <v>TRUE</v>
      </c>
      <c r="K737" s="10" t="b">
        <f>Github!M$680</f>
        <v>0</v>
      </c>
      <c r="L737" s="10" t="b">
        <f>Github!N$680</f>
        <v>0</v>
      </c>
      <c r="M737" s="10" t="str">
        <f>ROUND(Github!O$680, 2)&amp;"%"</f>
        <v>48.61%</v>
      </c>
      <c r="N737" s="10">
        <f>Github!P$680</f>
        <v>61469</v>
      </c>
      <c r="O737" s="10">
        <f>Github!Q$680</f>
        <v>126453</v>
      </c>
    </row>
    <row r="738">
      <c r="A738" s="10">
        <f>Github!J$776</f>
        <v>775</v>
      </c>
      <c r="B738" s="11" t="str">
        <f>HYPERLINK(CONCAT("http://leetcode.com/problems/",Github!C$776), Github!B$776)</f>
        <v>Global and Local Inversions</v>
      </c>
      <c r="C738" s="10">
        <f>Github!F$776</f>
        <v>1149</v>
      </c>
      <c r="D738" s="10">
        <f>Github!G$776</f>
        <v>298</v>
      </c>
      <c r="E738" s="10">
        <f>Github!F$776+Github!G$776</f>
        <v>1447</v>
      </c>
      <c r="F738" s="12">
        <f t="shared" si="1"/>
        <v>3.86</v>
      </c>
      <c r="G738" s="10" t="str">
        <f>Github!H$776</f>
        <v>Algorithms</v>
      </c>
      <c r="H738" s="13" t="str">
        <f>SUBSTITUTE(Github!L$776, ";", ", ")</f>
        <v>Array, Math, </v>
      </c>
      <c r="I738" s="10" t="str">
        <f>Github!E$776</f>
        <v>Medium</v>
      </c>
      <c r="J738" s="10" t="str">
        <f>IF(TRIM(Github!D$776)="TRUE","FALSE","TRUE")</f>
        <v>TRUE</v>
      </c>
      <c r="K738" s="10" t="b">
        <f>Github!M$776</f>
        <v>1</v>
      </c>
      <c r="L738" s="10" t="b">
        <f>Github!N$776</f>
        <v>0</v>
      </c>
      <c r="M738" s="10" t="str">
        <f>ROUND(Github!O$776, 2)&amp;"%"</f>
        <v>45.36%</v>
      </c>
      <c r="N738" s="10">
        <f>Github!P$776</f>
        <v>55700</v>
      </c>
      <c r="O738" s="10">
        <f>Github!Q$776</f>
        <v>122784</v>
      </c>
    </row>
    <row r="739">
      <c r="A739" s="10">
        <f>Github!J$861</f>
        <v>860</v>
      </c>
      <c r="B739" s="11" t="str">
        <f>HYPERLINK(CONCAT("http://leetcode.com/problems/",Github!C$861), Github!B$861)</f>
        <v>Lemonade Change</v>
      </c>
      <c r="C739" s="10">
        <f>Github!F$861</f>
        <v>1147</v>
      </c>
      <c r="D739" s="10">
        <f>Github!G$861</f>
        <v>119</v>
      </c>
      <c r="E739" s="10">
        <f>Github!F$861+Github!G$861</f>
        <v>1266</v>
      </c>
      <c r="F739" s="12">
        <f t="shared" si="1"/>
        <v>9.64</v>
      </c>
      <c r="G739" s="10" t="str">
        <f>Github!H$861</f>
        <v>Algorithms</v>
      </c>
      <c r="H739" s="13" t="str">
        <f>SUBSTITUTE(Github!L$861, ";", ", ")</f>
        <v>Array, Greedy, </v>
      </c>
      <c r="I739" s="10" t="str">
        <f>Github!E$861</f>
        <v>Easy</v>
      </c>
      <c r="J739" s="10" t="str">
        <f>IF(TRIM(Github!D$861)="TRUE","FALSE","TRUE")</f>
        <v>TRUE</v>
      </c>
      <c r="K739" s="10" t="b">
        <f>Github!M$861</f>
        <v>1</v>
      </c>
      <c r="L739" s="10" t="b">
        <f>Github!N$861</f>
        <v>0</v>
      </c>
      <c r="M739" s="10" t="str">
        <f>ROUND(Github!O$861, 2)&amp;"%"</f>
        <v>52.32%</v>
      </c>
      <c r="N739" s="10">
        <f>Github!P$861</f>
        <v>91687</v>
      </c>
      <c r="O739" s="10">
        <f>Github!Q$861</f>
        <v>175232</v>
      </c>
    </row>
    <row r="740">
      <c r="A740" s="10">
        <f>Github!J$387</f>
        <v>386</v>
      </c>
      <c r="B740" s="11" t="str">
        <f>HYPERLINK(CONCAT("http://leetcode.com/problems/",Github!C$387), Github!B$387)</f>
        <v>Lexicographical Numbers</v>
      </c>
      <c r="C740" s="10">
        <f>Github!F$387</f>
        <v>1148</v>
      </c>
      <c r="D740" s="10">
        <f>Github!G$387</f>
        <v>112</v>
      </c>
      <c r="E740" s="10">
        <f>Github!F$387+Github!G$387</f>
        <v>1260</v>
      </c>
      <c r="F740" s="12">
        <f t="shared" si="1"/>
        <v>10.25</v>
      </c>
      <c r="G740" s="10" t="str">
        <f>Github!H$387</f>
        <v>Algorithms</v>
      </c>
      <c r="H740" s="13" t="str">
        <f>SUBSTITUTE(Github!L$387, ";", ", ")</f>
        <v>Depth-First Search, Trie, </v>
      </c>
      <c r="I740" s="10" t="str">
        <f>Github!E$387</f>
        <v>Medium</v>
      </c>
      <c r="J740" s="10" t="str">
        <f>IF(TRIM(Github!D$387)="TRUE","FALSE","TRUE")</f>
        <v>TRUE</v>
      </c>
      <c r="K740" s="10" t="b">
        <f>Github!M$387</f>
        <v>0</v>
      </c>
      <c r="L740" s="10" t="b">
        <f>Github!N$387</f>
        <v>0</v>
      </c>
      <c r="M740" s="10" t="str">
        <f>ROUND(Github!O$387, 2)&amp;"%"</f>
        <v>58.4%</v>
      </c>
      <c r="N740" s="10">
        <f>Github!P$387</f>
        <v>80674</v>
      </c>
      <c r="O740" s="10">
        <f>Github!Q$387</f>
        <v>138134</v>
      </c>
    </row>
    <row r="741">
      <c r="A741" s="10">
        <f>Github!J$1025</f>
        <v>1024</v>
      </c>
      <c r="B741" s="11" t="str">
        <f>HYPERLINK(CONCAT("http://leetcode.com/problems/",Github!C$1025), Github!B$1025)</f>
        <v>Video Stitching</v>
      </c>
      <c r="C741" s="10">
        <f>Github!F$1025</f>
        <v>1145</v>
      </c>
      <c r="D741" s="10">
        <f>Github!G$1025</f>
        <v>47</v>
      </c>
      <c r="E741" s="10">
        <f>Github!F$1025+Github!G$1025</f>
        <v>1192</v>
      </c>
      <c r="F741" s="12">
        <f t="shared" si="1"/>
        <v>24.36</v>
      </c>
      <c r="G741" s="10" t="str">
        <f>Github!H$1025</f>
        <v>Algorithms</v>
      </c>
      <c r="H741" s="13" t="str">
        <f>SUBSTITUTE(Github!L$1025, ";", ", ")</f>
        <v>Array, Dynamic Programming, Greedy, </v>
      </c>
      <c r="I741" s="10" t="str">
        <f>Github!E$1025</f>
        <v>Medium</v>
      </c>
      <c r="J741" s="10" t="str">
        <f>IF(TRIM(Github!D$1025)="TRUE","FALSE","TRUE")</f>
        <v>TRUE</v>
      </c>
      <c r="K741" s="10" t="b">
        <f>Github!M$1025</f>
        <v>0</v>
      </c>
      <c r="L741" s="10" t="b">
        <f>Github!N$1025</f>
        <v>0</v>
      </c>
      <c r="M741" s="10" t="str">
        <f>ROUND(Github!O$1025, 2)&amp;"%"</f>
        <v>49.99%</v>
      </c>
      <c r="N741" s="10">
        <f>Github!P$1025</f>
        <v>45227</v>
      </c>
      <c r="O741" s="10">
        <f>Github!Q$1025</f>
        <v>90463</v>
      </c>
    </row>
    <row r="742">
      <c r="A742" s="10">
        <f>Github!J$829</f>
        <v>828</v>
      </c>
      <c r="B742" s="11" t="str">
        <f>HYPERLINK(CONCAT("http://leetcode.com/problems/",Github!C$829), Github!B$829)</f>
        <v>Count Unique Characters of All Substrings of a Given String</v>
      </c>
      <c r="C742" s="10">
        <f>Github!F$829</f>
        <v>1147</v>
      </c>
      <c r="D742" s="10">
        <f>Github!G$829</f>
        <v>147</v>
      </c>
      <c r="E742" s="10">
        <f>Github!F$829+Github!G$829</f>
        <v>1294</v>
      </c>
      <c r="F742" s="12">
        <f t="shared" si="1"/>
        <v>7.8</v>
      </c>
      <c r="G742" s="10" t="str">
        <f>Github!H$829</f>
        <v>Algorithms</v>
      </c>
      <c r="H742" s="13" t="str">
        <f>SUBSTITUTE(Github!L$829, ";", ", ")</f>
        <v>String, Dynamic Programming, </v>
      </c>
      <c r="I742" s="10" t="str">
        <f>Github!E$829</f>
        <v>Hard</v>
      </c>
      <c r="J742" s="10" t="str">
        <f>IF(TRIM(Github!D$829)="TRUE","FALSE","TRUE")</f>
        <v>TRUE</v>
      </c>
      <c r="K742" s="10" t="b">
        <f>Github!M$829</f>
        <v>0</v>
      </c>
      <c r="L742" s="10" t="b">
        <f>Github!N$829</f>
        <v>0</v>
      </c>
      <c r="M742" s="10" t="str">
        <f>ROUND(Github!O$829, 2)&amp;"%"</f>
        <v>49.34%</v>
      </c>
      <c r="N742" s="10">
        <f>Github!P$829</f>
        <v>33979</v>
      </c>
      <c r="O742" s="10">
        <f>Github!Q$829</f>
        <v>68868</v>
      </c>
    </row>
    <row r="743">
      <c r="A743" s="10">
        <f>Github!J$1267</f>
        <v>1266</v>
      </c>
      <c r="B743" s="11" t="str">
        <f>HYPERLINK(CONCAT("http://leetcode.com/problems/",Github!C$1267), Github!B$1267)</f>
        <v>Minimum Time Visiting All Points</v>
      </c>
      <c r="C743" s="10">
        <f>Github!F$1267</f>
        <v>1143</v>
      </c>
      <c r="D743" s="10">
        <f>Github!G$1267</f>
        <v>155</v>
      </c>
      <c r="E743" s="10">
        <f>Github!F$1267+Github!G$1267</f>
        <v>1298</v>
      </c>
      <c r="F743" s="12">
        <f t="shared" si="1"/>
        <v>7.37</v>
      </c>
      <c r="G743" s="10" t="str">
        <f>Github!H$1267</f>
        <v>Algorithms</v>
      </c>
      <c r="H743" s="13" t="str">
        <f>SUBSTITUTE(Github!L$1267, ";", ", ")</f>
        <v>Array, Math, Geometry, </v>
      </c>
      <c r="I743" s="10" t="str">
        <f>Github!E$1267</f>
        <v>Easy</v>
      </c>
      <c r="J743" s="10" t="str">
        <f>IF(TRIM(Github!D$1267)="TRUE","FALSE","TRUE")</f>
        <v>TRUE</v>
      </c>
      <c r="K743" s="10" t="b">
        <f>Github!M$1267</f>
        <v>0</v>
      </c>
      <c r="L743" s="10" t="b">
        <f>Github!N$1267</f>
        <v>0</v>
      </c>
      <c r="M743" s="10" t="str">
        <f>ROUND(Github!O$1267, 2)&amp;"%"</f>
        <v>79.11%</v>
      </c>
      <c r="N743" s="10">
        <f>Github!P$1267</f>
        <v>111617</v>
      </c>
      <c r="O743" s="10">
        <f>Github!Q$1267</f>
        <v>141084</v>
      </c>
    </row>
    <row r="744">
      <c r="A744" s="10">
        <f>Github!J$334</f>
        <v>333</v>
      </c>
      <c r="B744" s="11" t="str">
        <f>HYPERLINK(CONCAT("http://leetcode.com/problems/",Github!C$334), Github!B$334)</f>
        <v>Largest BST Subtree</v>
      </c>
      <c r="C744" s="10">
        <f>Github!F$334</f>
        <v>1140</v>
      </c>
      <c r="D744" s="10">
        <f>Github!G$334</f>
        <v>94</v>
      </c>
      <c r="E744" s="10">
        <f>Github!F$334+Github!G$334</f>
        <v>1234</v>
      </c>
      <c r="F744" s="12">
        <f t="shared" si="1"/>
        <v>12.13</v>
      </c>
      <c r="G744" s="10" t="str">
        <f>Github!H$334</f>
        <v>Algorithms</v>
      </c>
      <c r="H744" s="13" t="str">
        <f>SUBSTITUTE(Github!L$334, ";", ", ")</f>
        <v>Dynamic Programming, Tree, Depth-First Search, Binary Search Tree, Binary Tree, </v>
      </c>
      <c r="I744" s="10" t="str">
        <f>Github!E$334</f>
        <v>Medium</v>
      </c>
      <c r="J744" s="10" t="str">
        <f>IF(TRIM(Github!D$334)="TRUE","FALSE","TRUE")</f>
        <v>FALSE</v>
      </c>
      <c r="K744" s="10" t="b">
        <f>Github!M$334</f>
        <v>1</v>
      </c>
      <c r="L744" s="10" t="b">
        <f>Github!N$334</f>
        <v>0</v>
      </c>
      <c r="M744" s="10" t="str">
        <f>ROUND(Github!O$334, 2)&amp;"%"</f>
        <v>40.93%</v>
      </c>
      <c r="N744" s="10">
        <f>Github!P$334</f>
        <v>79314</v>
      </c>
      <c r="O744" s="10">
        <f>Github!Q$334</f>
        <v>193760</v>
      </c>
    </row>
    <row r="745">
      <c r="A745" s="10">
        <f>Github!J$916</f>
        <v>915</v>
      </c>
      <c r="B745" s="11" t="str">
        <f>HYPERLINK(CONCAT("http://leetcode.com/problems/",Github!C$916), Github!B$916)</f>
        <v>Partition Array into Disjoint Intervals</v>
      </c>
      <c r="C745" s="10">
        <f>Github!F$916</f>
        <v>1140</v>
      </c>
      <c r="D745" s="10">
        <f>Github!G$916</f>
        <v>58</v>
      </c>
      <c r="E745" s="10">
        <f>Github!F$916+Github!G$916</f>
        <v>1198</v>
      </c>
      <c r="F745" s="12">
        <f t="shared" si="1"/>
        <v>19.66</v>
      </c>
      <c r="G745" s="10" t="str">
        <f>Github!H$916</f>
        <v>Algorithms</v>
      </c>
      <c r="H745" s="13" t="str">
        <f>SUBSTITUTE(Github!L$916, ";", ", ")</f>
        <v>Array, </v>
      </c>
      <c r="I745" s="10" t="str">
        <f>Github!E$916</f>
        <v>Medium</v>
      </c>
      <c r="J745" s="10" t="str">
        <f>IF(TRIM(Github!D$916)="TRUE","FALSE","TRUE")</f>
        <v>TRUE</v>
      </c>
      <c r="K745" s="10" t="b">
        <f>Github!M$916</f>
        <v>1</v>
      </c>
      <c r="L745" s="10" t="b">
        <f>Github!N$916</f>
        <v>0</v>
      </c>
      <c r="M745" s="10" t="str">
        <f>ROUND(Github!O$916, 2)&amp;"%"</f>
        <v>48.38%</v>
      </c>
      <c r="N745" s="10">
        <f>Github!P$916</f>
        <v>64740</v>
      </c>
      <c r="O745" s="10">
        <f>Github!Q$916</f>
        <v>133808</v>
      </c>
    </row>
    <row r="746">
      <c r="A746" s="10">
        <f>Github!J$1348</f>
        <v>1347</v>
      </c>
      <c r="B746" s="11" t="str">
        <f>HYPERLINK(CONCAT("http://leetcode.com/problems/",Github!C$1348), Github!B$1348)</f>
        <v>Minimum Number of Steps to Make Two Strings Anagram</v>
      </c>
      <c r="C746" s="10">
        <f>Github!F$1348</f>
        <v>1141</v>
      </c>
      <c r="D746" s="10">
        <f>Github!G$1348</f>
        <v>56</v>
      </c>
      <c r="E746" s="10">
        <f>Github!F$1348+Github!G$1348</f>
        <v>1197</v>
      </c>
      <c r="F746" s="12">
        <f t="shared" si="1"/>
        <v>20.38</v>
      </c>
      <c r="G746" s="10" t="str">
        <f>Github!H$1348</f>
        <v>Algorithms</v>
      </c>
      <c r="H746" s="13" t="str">
        <f>SUBSTITUTE(Github!L$1348, ";", ", ")</f>
        <v>Hash Table, String, Counting, </v>
      </c>
      <c r="I746" s="10" t="str">
        <f>Github!E$1348</f>
        <v>Medium</v>
      </c>
      <c r="J746" s="10" t="str">
        <f>IF(TRIM(Github!D$1348)="TRUE","FALSE","TRUE")</f>
        <v>TRUE</v>
      </c>
      <c r="K746" s="10" t="b">
        <f>Github!M$1348</f>
        <v>0</v>
      </c>
      <c r="L746" s="10" t="b">
        <f>Github!N$1348</f>
        <v>0</v>
      </c>
      <c r="M746" s="10" t="str">
        <f>ROUND(Github!O$1348, 2)&amp;"%"</f>
        <v>76.12%</v>
      </c>
      <c r="N746" s="10">
        <f>Github!P$1348</f>
        <v>83997</v>
      </c>
      <c r="O746" s="10">
        <f>Github!Q$1348</f>
        <v>110348</v>
      </c>
    </row>
    <row r="747">
      <c r="A747" s="10">
        <f>Github!J$1478</f>
        <v>1477</v>
      </c>
      <c r="B747" s="11" t="str">
        <f>HYPERLINK(CONCAT("http://leetcode.com/problems/",Github!C$1478), Github!B$1478)</f>
        <v>Find Two Non-overlapping Sub-arrays Each With Target Sum</v>
      </c>
      <c r="C747" s="10">
        <f>Github!F$1478</f>
        <v>1137</v>
      </c>
      <c r="D747" s="10">
        <f>Github!G$1478</f>
        <v>57</v>
      </c>
      <c r="E747" s="10">
        <f>Github!F$1478+Github!G$1478</f>
        <v>1194</v>
      </c>
      <c r="F747" s="12">
        <f t="shared" si="1"/>
        <v>19.95</v>
      </c>
      <c r="G747" s="10" t="str">
        <f>Github!H$1478</f>
        <v>Algorithms</v>
      </c>
      <c r="H747" s="13" t="str">
        <f>SUBSTITUTE(Github!L$1478, ";", ", ")</f>
        <v>Array, Hash Table, Binary Search, Dynamic Programming, Sliding Window, </v>
      </c>
      <c r="I747" s="10" t="str">
        <f>Github!E$1478</f>
        <v>Medium</v>
      </c>
      <c r="J747" s="10" t="str">
        <f>IF(TRIM(Github!D$1478)="TRUE","FALSE","TRUE")</f>
        <v>TRUE</v>
      </c>
      <c r="K747" s="10" t="b">
        <f>Github!M$1478</f>
        <v>0</v>
      </c>
      <c r="L747" s="10" t="b">
        <f>Github!N$1478</f>
        <v>0</v>
      </c>
      <c r="M747" s="10" t="str">
        <f>ROUND(Github!O$1478, 2)&amp;"%"</f>
        <v>36.58%</v>
      </c>
      <c r="N747" s="10">
        <f>Github!P$1478</f>
        <v>34971</v>
      </c>
      <c r="O747" s="10">
        <f>Github!Q$1478</f>
        <v>95595</v>
      </c>
    </row>
    <row r="748">
      <c r="A748" s="10">
        <f>Github!J$1263</f>
        <v>1262</v>
      </c>
      <c r="B748" s="11" t="str">
        <f>HYPERLINK(CONCAT("http://leetcode.com/problems/",Github!C$1263), Github!B$1263)</f>
        <v>Greatest Sum Divisible by Three</v>
      </c>
      <c r="C748" s="10">
        <f>Github!F$1263</f>
        <v>1135</v>
      </c>
      <c r="D748" s="10">
        <f>Github!G$1263</f>
        <v>33</v>
      </c>
      <c r="E748" s="10">
        <f>Github!F$1263+Github!G$1263</f>
        <v>1168</v>
      </c>
      <c r="F748" s="12">
        <f t="shared" si="1"/>
        <v>34.39</v>
      </c>
      <c r="G748" s="10" t="str">
        <f>Github!H$1263</f>
        <v>Algorithms</v>
      </c>
      <c r="H748" s="13" t="str">
        <f>SUBSTITUTE(Github!L$1263, ";", ", ")</f>
        <v>Array, Dynamic Programming, Greedy, </v>
      </c>
      <c r="I748" s="10" t="str">
        <f>Github!E$1263</f>
        <v>Medium</v>
      </c>
      <c r="J748" s="10" t="str">
        <f>IF(TRIM(Github!D$1263)="TRUE","FALSE","TRUE")</f>
        <v>TRUE</v>
      </c>
      <c r="K748" s="10" t="b">
        <f>Github!M$1263</f>
        <v>0</v>
      </c>
      <c r="L748" s="10" t="b">
        <f>Github!N$1263</f>
        <v>0</v>
      </c>
      <c r="M748" s="10" t="str">
        <f>ROUND(Github!O$1263, 2)&amp;"%"</f>
        <v>50.81%</v>
      </c>
      <c r="N748" s="10">
        <f>Github!P$1263</f>
        <v>36583</v>
      </c>
      <c r="O748" s="10">
        <f>Github!Q$1263</f>
        <v>72003</v>
      </c>
    </row>
    <row r="749">
      <c r="A749" s="10">
        <f>Github!J$536</f>
        <v>535</v>
      </c>
      <c r="B749" s="11" t="str">
        <f>HYPERLINK(CONCAT("http://leetcode.com/problems/",Github!C$536), Github!B$536)</f>
        <v>Encode and Decode TinyURL</v>
      </c>
      <c r="C749" s="10">
        <f>Github!F$536</f>
        <v>1132</v>
      </c>
      <c r="D749" s="10">
        <f>Github!G$536</f>
        <v>2171</v>
      </c>
      <c r="E749" s="10">
        <f>Github!F$536+Github!G$536</f>
        <v>3303</v>
      </c>
      <c r="F749" s="12">
        <f t="shared" si="1"/>
        <v>0.52</v>
      </c>
      <c r="G749" s="10" t="str">
        <f>Github!H$536</f>
        <v>Algorithms</v>
      </c>
      <c r="H749" s="13" t="str">
        <f>SUBSTITUTE(Github!L$536, ";", ", ")</f>
        <v>Hash Table, String, Design, Hash Function, </v>
      </c>
      <c r="I749" s="10" t="str">
        <f>Github!E$536</f>
        <v>Medium</v>
      </c>
      <c r="J749" s="10" t="str">
        <f>IF(TRIM(Github!D$536)="TRUE","FALSE","TRUE")</f>
        <v>TRUE</v>
      </c>
      <c r="K749" s="10" t="b">
        <f>Github!M$536</f>
        <v>1</v>
      </c>
      <c r="L749" s="10" t="b">
        <f>Github!N$536</f>
        <v>0</v>
      </c>
      <c r="M749" s="10" t="str">
        <f>ROUND(Github!O$536, 2)&amp;"%"</f>
        <v>83.36%</v>
      </c>
      <c r="N749" s="10">
        <f>Github!P$536</f>
        <v>163487</v>
      </c>
      <c r="O749" s="10">
        <f>Github!Q$536</f>
        <v>196119</v>
      </c>
    </row>
    <row r="750">
      <c r="A750" s="10">
        <f>Github!J$1473</f>
        <v>1472</v>
      </c>
      <c r="B750" s="11" t="str">
        <f>HYPERLINK(CONCAT("http://leetcode.com/problems/",Github!C$1473), Github!B$1473)</f>
        <v>Design Browser History</v>
      </c>
      <c r="C750" s="10">
        <f>Github!F$1473</f>
        <v>1132</v>
      </c>
      <c r="D750" s="10">
        <f>Github!G$1473</f>
        <v>99</v>
      </c>
      <c r="E750" s="10">
        <f>Github!F$1473+Github!G$1473</f>
        <v>1231</v>
      </c>
      <c r="F750" s="12">
        <f t="shared" si="1"/>
        <v>11.43</v>
      </c>
      <c r="G750" s="10" t="str">
        <f>Github!H$1473</f>
        <v>Algorithms</v>
      </c>
      <c r="H750" s="13" t="str">
        <f>SUBSTITUTE(Github!L$1473, ";", ", ")</f>
        <v>Array, Linked List, Stack, Design, Doubly-Linked List, Data Stream, </v>
      </c>
      <c r="I750" s="10" t="str">
        <f>Github!E$1473</f>
        <v>Medium</v>
      </c>
      <c r="J750" s="10" t="str">
        <f>IF(TRIM(Github!D$1473)="TRUE","FALSE","TRUE")</f>
        <v>TRUE</v>
      </c>
      <c r="K750" s="10" t="b">
        <f>Github!M$1473</f>
        <v>0</v>
      </c>
      <c r="L750" s="10" t="b">
        <f>Github!N$1473</f>
        <v>0</v>
      </c>
      <c r="M750" s="10" t="str">
        <f>ROUND(Github!O$1473, 2)&amp;"%"</f>
        <v>74.64%</v>
      </c>
      <c r="N750" s="10">
        <f>Github!P$1473</f>
        <v>69028</v>
      </c>
      <c r="O750" s="10">
        <f>Github!Q$1473</f>
        <v>92477</v>
      </c>
    </row>
    <row r="751">
      <c r="A751" s="10">
        <f>Github!J$600</f>
        <v>599</v>
      </c>
      <c r="B751" s="11" t="str">
        <f>HYPERLINK(CONCAT("http://leetcode.com/problems/",Github!C$600), Github!B$600)</f>
        <v>Minimum Index Sum of Two Lists</v>
      </c>
      <c r="C751" s="10">
        <f>Github!F$600</f>
        <v>1125</v>
      </c>
      <c r="D751" s="10">
        <f>Github!G$600</f>
        <v>317</v>
      </c>
      <c r="E751" s="10">
        <f>Github!F$600+Github!G$600</f>
        <v>1442</v>
      </c>
      <c r="F751" s="12">
        <f t="shared" si="1"/>
        <v>3.55</v>
      </c>
      <c r="G751" s="10" t="str">
        <f>Github!H$600</f>
        <v>Algorithms</v>
      </c>
      <c r="H751" s="13" t="str">
        <f>SUBSTITUTE(Github!L$600, ";", ", ")</f>
        <v>Array, Hash Table, String, </v>
      </c>
      <c r="I751" s="10" t="str">
        <f>Github!E$600</f>
        <v>Easy</v>
      </c>
      <c r="J751" s="10" t="str">
        <f>IF(TRIM(Github!D$600)="TRUE","FALSE","TRUE")</f>
        <v>TRUE</v>
      </c>
      <c r="K751" s="10" t="b">
        <f>Github!M$600</f>
        <v>1</v>
      </c>
      <c r="L751" s="10" t="b">
        <f>Github!N$600</f>
        <v>0</v>
      </c>
      <c r="M751" s="10" t="str">
        <f>ROUND(Github!O$600, 2)&amp;"%"</f>
        <v>52.84%</v>
      </c>
      <c r="N751" s="10">
        <f>Github!P$600</f>
        <v>143939</v>
      </c>
      <c r="O751" s="10">
        <f>Github!Q$600</f>
        <v>272402</v>
      </c>
    </row>
    <row r="752">
      <c r="A752" s="10">
        <f>Github!J$881</f>
        <v>880</v>
      </c>
      <c r="B752" s="11" t="str">
        <f>HYPERLINK(CONCAT("http://leetcode.com/problems/",Github!C$881), Github!B$881)</f>
        <v>Decoded String at Index</v>
      </c>
      <c r="C752" s="10">
        <f>Github!F$881</f>
        <v>1122</v>
      </c>
      <c r="D752" s="10">
        <f>Github!G$881</f>
        <v>183</v>
      </c>
      <c r="E752" s="10">
        <f>Github!F$881+Github!G$881</f>
        <v>1305</v>
      </c>
      <c r="F752" s="12">
        <f t="shared" si="1"/>
        <v>6.13</v>
      </c>
      <c r="G752" s="10" t="str">
        <f>Github!H$881</f>
        <v>Algorithms</v>
      </c>
      <c r="H752" s="13" t="str">
        <f>SUBSTITUTE(Github!L$881, ";", ", ")</f>
        <v>String, Stack, </v>
      </c>
      <c r="I752" s="10" t="str">
        <f>Github!E$881</f>
        <v>Medium</v>
      </c>
      <c r="J752" s="10" t="str">
        <f>IF(TRIM(Github!D$881)="TRUE","FALSE","TRUE")</f>
        <v>TRUE</v>
      </c>
      <c r="K752" s="10" t="b">
        <f>Github!M$881</f>
        <v>1</v>
      </c>
      <c r="L752" s="10" t="b">
        <f>Github!N$881</f>
        <v>0</v>
      </c>
      <c r="M752" s="10" t="str">
        <f>ROUND(Github!O$881, 2)&amp;"%"</f>
        <v>28.29%</v>
      </c>
      <c r="N752" s="10">
        <f>Github!P$881</f>
        <v>32819</v>
      </c>
      <c r="O752" s="10">
        <f>Github!Q$881</f>
        <v>116009</v>
      </c>
    </row>
    <row r="753">
      <c r="A753" s="10">
        <f>Github!J$1124</f>
        <v>1123</v>
      </c>
      <c r="B753" s="11" t="str">
        <f>HYPERLINK(CONCAT("http://leetcode.com/problems/",Github!C$1124), Github!B$1124)</f>
        <v>Lowest Common Ancestor of Deepest Leaves</v>
      </c>
      <c r="C753" s="10">
        <f>Github!F$1124</f>
        <v>1122</v>
      </c>
      <c r="D753" s="10">
        <f>Github!G$1124</f>
        <v>732</v>
      </c>
      <c r="E753" s="10">
        <f>Github!F$1124+Github!G$1124</f>
        <v>1854</v>
      </c>
      <c r="F753" s="12">
        <f t="shared" si="1"/>
        <v>1.53</v>
      </c>
      <c r="G753" s="10" t="str">
        <f>Github!H$1124</f>
        <v>Algorithms</v>
      </c>
      <c r="H753" s="13" t="str">
        <f>SUBSTITUTE(Github!L$1124, ";", ", ")</f>
        <v>Hash Table, Tree, Depth-First Search, Breadth-First Search, Binary Tree, </v>
      </c>
      <c r="I753" s="10" t="str">
        <f>Github!E$1124</f>
        <v>Medium</v>
      </c>
      <c r="J753" s="10" t="str">
        <f>IF(TRIM(Github!D$1124)="TRUE","FALSE","TRUE")</f>
        <v>TRUE</v>
      </c>
      <c r="K753" s="10" t="b">
        <f>Github!M$1124</f>
        <v>0</v>
      </c>
      <c r="L753" s="10" t="b">
        <f>Github!N$1124</f>
        <v>0</v>
      </c>
      <c r="M753" s="10" t="str">
        <f>ROUND(Github!O$1124, 2)&amp;"%"</f>
        <v>69.92%</v>
      </c>
      <c r="N753" s="10">
        <f>Github!P$1124</f>
        <v>71705</v>
      </c>
      <c r="O753" s="10">
        <f>Github!Q$1124</f>
        <v>102550</v>
      </c>
    </row>
    <row r="754">
      <c r="A754" s="10">
        <f>Github!J$1384</f>
        <v>1383</v>
      </c>
      <c r="B754" s="11" t="str">
        <f>HYPERLINK(CONCAT("http://leetcode.com/problems/",Github!C$1384), Github!B$1384)</f>
        <v>Maximum Performance of a Team</v>
      </c>
      <c r="C754" s="10">
        <f>Github!F$1384</f>
        <v>1119</v>
      </c>
      <c r="D754" s="10">
        <f>Github!G$1384</f>
        <v>39</v>
      </c>
      <c r="E754" s="10">
        <f>Github!F$1384+Github!G$1384</f>
        <v>1158</v>
      </c>
      <c r="F754" s="12">
        <f t="shared" si="1"/>
        <v>28.69</v>
      </c>
      <c r="G754" s="10" t="str">
        <f>Github!H$1384</f>
        <v>Algorithms</v>
      </c>
      <c r="H754" s="13" t="str">
        <f>SUBSTITUTE(Github!L$1384, ";", ", ")</f>
        <v>Array, Greedy, Sorting, Heap (Priority Queue), </v>
      </c>
      <c r="I754" s="10" t="str">
        <f>Github!E$1384</f>
        <v>Hard</v>
      </c>
      <c r="J754" s="10" t="str">
        <f>IF(TRIM(Github!D$1384)="TRUE","FALSE","TRUE")</f>
        <v>TRUE</v>
      </c>
      <c r="K754" s="10" t="b">
        <f>Github!M$1384</f>
        <v>1</v>
      </c>
      <c r="L754" s="10" t="b">
        <f>Github!N$1384</f>
        <v>0</v>
      </c>
      <c r="M754" s="10" t="str">
        <f>ROUND(Github!O$1384, 2)&amp;"%"</f>
        <v>41.43%</v>
      </c>
      <c r="N754" s="10">
        <f>Github!P$1384</f>
        <v>37960</v>
      </c>
      <c r="O754" s="10">
        <f>Github!Q$1384</f>
        <v>91632</v>
      </c>
    </row>
    <row r="755">
      <c r="A755" s="10">
        <f>Github!J$1287</f>
        <v>1286</v>
      </c>
      <c r="B755" s="11" t="str">
        <f>HYPERLINK(CONCAT("http://leetcode.com/problems/",Github!C$1287), Github!B$1287)</f>
        <v>Iterator for Combination</v>
      </c>
      <c r="C755" s="10">
        <f>Github!F$1287</f>
        <v>1118</v>
      </c>
      <c r="D755" s="10">
        <f>Github!G$1287</f>
        <v>90</v>
      </c>
      <c r="E755" s="10">
        <f>Github!F$1287+Github!G$1287</f>
        <v>1208</v>
      </c>
      <c r="F755" s="12">
        <f t="shared" si="1"/>
        <v>12.42</v>
      </c>
      <c r="G755" s="10" t="str">
        <f>Github!H$1287</f>
        <v>Algorithms</v>
      </c>
      <c r="H755" s="13" t="str">
        <f>SUBSTITUTE(Github!L$1287, ";", ", ")</f>
        <v>String, Backtracking, Design, Iterator, </v>
      </c>
      <c r="I755" s="10" t="str">
        <f>Github!E$1287</f>
        <v>Medium</v>
      </c>
      <c r="J755" s="10" t="str">
        <f>IF(TRIM(Github!D$1287)="TRUE","FALSE","TRUE")</f>
        <v>TRUE</v>
      </c>
      <c r="K755" s="10" t="b">
        <f>Github!M$1287</f>
        <v>1</v>
      </c>
      <c r="L755" s="10" t="b">
        <f>Github!N$1287</f>
        <v>0</v>
      </c>
      <c r="M755" s="10" t="str">
        <f>ROUND(Github!O$1287, 2)&amp;"%"</f>
        <v>73.19%</v>
      </c>
      <c r="N755" s="10">
        <f>Github!P$1287</f>
        <v>61297</v>
      </c>
      <c r="O755" s="10">
        <f>Github!Q$1287</f>
        <v>83752</v>
      </c>
    </row>
    <row r="756">
      <c r="A756" s="10">
        <f>Github!J$437</f>
        <v>436</v>
      </c>
      <c r="B756" s="11" t="str">
        <f>HYPERLINK(CONCAT("http://leetcode.com/problems/",Github!C$437), Github!B$437)</f>
        <v>Find Right Interval</v>
      </c>
      <c r="C756" s="10">
        <f>Github!F$437</f>
        <v>1115</v>
      </c>
      <c r="D756" s="10">
        <f>Github!G$437</f>
        <v>240</v>
      </c>
      <c r="E756" s="10">
        <f>Github!F$437+Github!G$437</f>
        <v>1355</v>
      </c>
      <c r="F756" s="12">
        <f t="shared" si="1"/>
        <v>4.65</v>
      </c>
      <c r="G756" s="10" t="str">
        <f>Github!H$437</f>
        <v>Algorithms</v>
      </c>
      <c r="H756" s="13" t="str">
        <f>SUBSTITUTE(Github!L$437, ";", ", ")</f>
        <v>Array, Binary Search, Sorting, </v>
      </c>
      <c r="I756" s="10" t="str">
        <f>Github!E$437</f>
        <v>Medium</v>
      </c>
      <c r="J756" s="10" t="str">
        <f>IF(TRIM(Github!D$437)="TRUE","FALSE","TRUE")</f>
        <v>TRUE</v>
      </c>
      <c r="K756" s="10" t="b">
        <f>Github!M$437</f>
        <v>1</v>
      </c>
      <c r="L756" s="10" t="b">
        <f>Github!N$437</f>
        <v>0</v>
      </c>
      <c r="M756" s="10" t="str">
        <f>ROUND(Github!O$437, 2)&amp;"%"</f>
        <v>49.3%</v>
      </c>
      <c r="N756" s="10">
        <f>Github!P$437</f>
        <v>74697</v>
      </c>
      <c r="O756" s="10">
        <f>Github!Q$437</f>
        <v>151522</v>
      </c>
    </row>
    <row r="757">
      <c r="A757" s="10">
        <f>Github!J$990</f>
        <v>989</v>
      </c>
      <c r="B757" s="11" t="str">
        <f>HYPERLINK(CONCAT("http://leetcode.com/problems/",Github!C$990), Github!B$990)</f>
        <v>Add to Array-Form of Integer</v>
      </c>
      <c r="C757" s="10">
        <f>Github!F$990</f>
        <v>1111</v>
      </c>
      <c r="D757" s="10">
        <f>Github!G$990</f>
        <v>140</v>
      </c>
      <c r="E757" s="10">
        <f>Github!F$990+Github!G$990</f>
        <v>1251</v>
      </c>
      <c r="F757" s="12">
        <f t="shared" si="1"/>
        <v>7.94</v>
      </c>
      <c r="G757" s="10" t="str">
        <f>Github!H$990</f>
        <v>Algorithms</v>
      </c>
      <c r="H757" s="13" t="str">
        <f>SUBSTITUTE(Github!L$990, ";", ", ")</f>
        <v>Array, Math, </v>
      </c>
      <c r="I757" s="10" t="str">
        <f>Github!E$990</f>
        <v>Easy</v>
      </c>
      <c r="J757" s="10" t="str">
        <f>IF(TRIM(Github!D$990)="TRUE","FALSE","TRUE")</f>
        <v>TRUE</v>
      </c>
      <c r="K757" s="10" t="b">
        <f>Github!M$990</f>
        <v>1</v>
      </c>
      <c r="L757" s="10" t="b">
        <f>Github!N$990</f>
        <v>0</v>
      </c>
      <c r="M757" s="10" t="str">
        <f>ROUND(Github!O$990, 2)&amp;"%"</f>
        <v>45.28%</v>
      </c>
      <c r="N757" s="10">
        <f>Github!P$990</f>
        <v>102039</v>
      </c>
      <c r="O757" s="10">
        <f>Github!Q$990</f>
        <v>225366</v>
      </c>
    </row>
    <row r="758">
      <c r="A758" s="10">
        <f>Github!J$1585</f>
        <v>1584</v>
      </c>
      <c r="B758" s="11" t="str">
        <f>HYPERLINK(CONCAT("http://leetcode.com/problems/",Github!C$1585), Github!B$1585)</f>
        <v>Min Cost to Connect All Points</v>
      </c>
      <c r="C758" s="10">
        <f>Github!F$1585</f>
        <v>1104</v>
      </c>
      <c r="D758" s="10">
        <f>Github!G$1585</f>
        <v>44</v>
      </c>
      <c r="E758" s="10">
        <f>Github!F$1585+Github!G$1585</f>
        <v>1148</v>
      </c>
      <c r="F758" s="12">
        <f t="shared" si="1"/>
        <v>25.09</v>
      </c>
      <c r="G758" s="10" t="str">
        <f>Github!H$1585</f>
        <v>Algorithms</v>
      </c>
      <c r="H758" s="13" t="str">
        <f>SUBSTITUTE(Github!L$1585, ";", ", ")</f>
        <v>Array, Union Find, Minimum Spanning Tree, </v>
      </c>
      <c r="I758" s="10" t="str">
        <f>Github!E$1585</f>
        <v>Medium</v>
      </c>
      <c r="J758" s="10" t="str">
        <f>IF(TRIM(Github!D$1585)="TRUE","FALSE","TRUE")</f>
        <v>TRUE</v>
      </c>
      <c r="K758" s="10" t="b">
        <f>Github!M$1585</f>
        <v>1</v>
      </c>
      <c r="L758" s="10" t="b">
        <f>Github!N$1585</f>
        <v>0</v>
      </c>
      <c r="M758" s="10" t="str">
        <f>ROUND(Github!O$1585, 2)&amp;"%"</f>
        <v>61.08%</v>
      </c>
      <c r="N758" s="10">
        <f>Github!P$1585</f>
        <v>50321</v>
      </c>
      <c r="O758" s="10">
        <f>Github!Q$1585</f>
        <v>82386</v>
      </c>
    </row>
    <row r="759">
      <c r="A759" s="10">
        <f>Github!J$466</f>
        <v>465</v>
      </c>
      <c r="B759" s="11" t="str">
        <f>HYPERLINK(CONCAT("http://leetcode.com/problems/",Github!C$466), Github!B$466)</f>
        <v>Optimal Account Balancing</v>
      </c>
      <c r="C759" s="10">
        <f>Github!F$466</f>
        <v>1099</v>
      </c>
      <c r="D759" s="10">
        <f>Github!G$466</f>
        <v>104</v>
      </c>
      <c r="E759" s="10">
        <f>Github!F$466+Github!G$466</f>
        <v>1203</v>
      </c>
      <c r="F759" s="12">
        <f t="shared" si="1"/>
        <v>10.57</v>
      </c>
      <c r="G759" s="10" t="str">
        <f>Github!H$466</f>
        <v>Algorithms</v>
      </c>
      <c r="H759" s="13" t="str">
        <f>SUBSTITUTE(Github!L$466, ";", ", ")</f>
        <v>Array, Backtracking, </v>
      </c>
      <c r="I759" s="10" t="str">
        <f>Github!E$466</f>
        <v>Hard</v>
      </c>
      <c r="J759" s="10" t="str">
        <f>IF(TRIM(Github!D$466)="TRUE","FALSE","TRUE")</f>
        <v>FALSE</v>
      </c>
      <c r="K759" s="10" t="b">
        <f>Github!M$466</f>
        <v>0</v>
      </c>
      <c r="L759" s="10" t="b">
        <f>Github!N$466</f>
        <v>0</v>
      </c>
      <c r="M759" s="10" t="str">
        <f>ROUND(Github!O$466, 2)&amp;"%"</f>
        <v>48.76%</v>
      </c>
      <c r="N759" s="10">
        <f>Github!P$466</f>
        <v>67349</v>
      </c>
      <c r="O759" s="10">
        <f>Github!Q$466</f>
        <v>138128</v>
      </c>
    </row>
    <row r="760">
      <c r="A760" s="10">
        <f>Github!J$729</f>
        <v>728</v>
      </c>
      <c r="B760" s="11" t="str">
        <f>HYPERLINK(CONCAT("http://leetcode.com/problems/",Github!C$729), Github!B$729)</f>
        <v>Self Dividing Numbers</v>
      </c>
      <c r="C760" s="10">
        <f>Github!F$729</f>
        <v>1100</v>
      </c>
      <c r="D760" s="10">
        <f>Github!G$729</f>
        <v>347</v>
      </c>
      <c r="E760" s="10">
        <f>Github!F$729+Github!G$729</f>
        <v>1447</v>
      </c>
      <c r="F760" s="12">
        <f t="shared" si="1"/>
        <v>3.17</v>
      </c>
      <c r="G760" s="10" t="str">
        <f>Github!H$729</f>
        <v>Algorithms</v>
      </c>
      <c r="H760" s="13" t="str">
        <f>SUBSTITUTE(Github!L$729, ";", ", ")</f>
        <v>Math, </v>
      </c>
      <c r="I760" s="10" t="str">
        <f>Github!E$729</f>
        <v>Easy</v>
      </c>
      <c r="J760" s="10" t="str">
        <f>IF(TRIM(Github!D$729)="TRUE","FALSE","TRUE")</f>
        <v>TRUE</v>
      </c>
      <c r="K760" s="10" t="b">
        <f>Github!M$729</f>
        <v>1</v>
      </c>
      <c r="L760" s="10" t="b">
        <f>Github!N$729</f>
        <v>0</v>
      </c>
      <c r="M760" s="10" t="str">
        <f>ROUND(Github!O$729, 2)&amp;"%"</f>
        <v>76.79%</v>
      </c>
      <c r="N760" s="10">
        <f>Github!P$729</f>
        <v>172009</v>
      </c>
      <c r="O760" s="10">
        <f>Github!Q$729</f>
        <v>224009</v>
      </c>
    </row>
    <row r="761">
      <c r="A761" s="10">
        <f>Github!J$553</f>
        <v>552</v>
      </c>
      <c r="B761" s="11" t="str">
        <f>HYPERLINK(CONCAT("http://leetcode.com/problems/",Github!C$553), Github!B$553)</f>
        <v>Student Attendance Record II</v>
      </c>
      <c r="C761" s="10">
        <f>Github!F$553</f>
        <v>1097</v>
      </c>
      <c r="D761" s="10">
        <f>Github!G$553</f>
        <v>189</v>
      </c>
      <c r="E761" s="10">
        <f>Github!F$553+Github!G$553</f>
        <v>1286</v>
      </c>
      <c r="F761" s="12">
        <f t="shared" si="1"/>
        <v>5.8</v>
      </c>
      <c r="G761" s="10" t="str">
        <f>Github!H$553</f>
        <v>Algorithms</v>
      </c>
      <c r="H761" s="13" t="str">
        <f>SUBSTITUTE(Github!L$553, ";", ", ")</f>
        <v>Dynamic Programming, </v>
      </c>
      <c r="I761" s="10" t="str">
        <f>Github!E$553</f>
        <v>Hard</v>
      </c>
      <c r="J761" s="10" t="str">
        <f>IF(TRIM(Github!D$553)="TRUE","FALSE","TRUE")</f>
        <v>TRUE</v>
      </c>
      <c r="K761" s="10" t="b">
        <f>Github!M$553</f>
        <v>1</v>
      </c>
      <c r="L761" s="10" t="b">
        <f>Github!N$553</f>
        <v>0</v>
      </c>
      <c r="M761" s="10" t="str">
        <f>ROUND(Github!O$553, 2)&amp;"%"</f>
        <v>40.31%</v>
      </c>
      <c r="N761" s="10">
        <f>Github!P$553</f>
        <v>43506</v>
      </c>
      <c r="O761" s="10">
        <f>Github!Q$553</f>
        <v>107926</v>
      </c>
    </row>
    <row r="762">
      <c r="A762" s="10">
        <f>Github!J$732</f>
        <v>731</v>
      </c>
      <c r="B762" s="11" t="str">
        <f>HYPERLINK(CONCAT("http://leetcode.com/problems/",Github!C$732), Github!B$732)</f>
        <v>My Calendar II</v>
      </c>
      <c r="C762" s="10">
        <f>Github!F$732</f>
        <v>1095</v>
      </c>
      <c r="D762" s="10">
        <f>Github!G$732</f>
        <v>122</v>
      </c>
      <c r="E762" s="10">
        <f>Github!F$732+Github!G$732</f>
        <v>1217</v>
      </c>
      <c r="F762" s="12">
        <f t="shared" si="1"/>
        <v>8.98</v>
      </c>
      <c r="G762" s="10" t="str">
        <f>Github!H$732</f>
        <v>Algorithms</v>
      </c>
      <c r="H762" s="13" t="str">
        <f>SUBSTITUTE(Github!L$732, ";", ", ")</f>
        <v>Design, Segment Tree, Ordered Set, </v>
      </c>
      <c r="I762" s="10" t="str">
        <f>Github!E$732</f>
        <v>Medium</v>
      </c>
      <c r="J762" s="10" t="str">
        <f>IF(TRIM(Github!D$732)="TRUE","FALSE","TRUE")</f>
        <v>TRUE</v>
      </c>
      <c r="K762" s="10" t="b">
        <f>Github!M$732</f>
        <v>1</v>
      </c>
      <c r="L762" s="10" t="b">
        <f>Github!N$732</f>
        <v>0</v>
      </c>
      <c r="M762" s="10" t="str">
        <f>ROUND(Github!O$732, 2)&amp;"%"</f>
        <v>53.14%</v>
      </c>
      <c r="N762" s="10">
        <f>Github!P$732</f>
        <v>70719</v>
      </c>
      <c r="O762" s="10">
        <f>Github!Q$732</f>
        <v>133070</v>
      </c>
    </row>
    <row r="763">
      <c r="A763" s="10">
        <f>Github!J$1130</f>
        <v>1129</v>
      </c>
      <c r="B763" s="11" t="str">
        <f>HYPERLINK(CONCAT("http://leetcode.com/problems/",Github!C$1130), Github!B$1130)</f>
        <v>Shortest Path with Alternating Colors</v>
      </c>
      <c r="C763" s="10">
        <f>Github!F$1130</f>
        <v>1097</v>
      </c>
      <c r="D763" s="10">
        <f>Github!G$1130</f>
        <v>59</v>
      </c>
      <c r="E763" s="10">
        <f>Github!F$1130+Github!G$1130</f>
        <v>1156</v>
      </c>
      <c r="F763" s="12">
        <f t="shared" si="1"/>
        <v>18.59</v>
      </c>
      <c r="G763" s="10" t="str">
        <f>Github!H$1130</f>
        <v>Algorithms</v>
      </c>
      <c r="H763" s="13" t="str">
        <f>SUBSTITUTE(Github!L$1130, ";", ", ")</f>
        <v>Breadth-First Search, Graph, </v>
      </c>
      <c r="I763" s="10" t="str">
        <f>Github!E$1130</f>
        <v>Medium</v>
      </c>
      <c r="J763" s="10" t="str">
        <f>IF(TRIM(Github!D$1130)="TRUE","FALSE","TRUE")</f>
        <v>TRUE</v>
      </c>
      <c r="K763" s="10" t="b">
        <f>Github!M$1130</f>
        <v>0</v>
      </c>
      <c r="L763" s="10" t="b">
        <f>Github!N$1130</f>
        <v>0</v>
      </c>
      <c r="M763" s="10" t="str">
        <f>ROUND(Github!O$1130, 2)&amp;"%"</f>
        <v>41.67%</v>
      </c>
      <c r="N763" s="10">
        <f>Github!P$1130</f>
        <v>32184</v>
      </c>
      <c r="O763" s="10">
        <f>Github!Q$1130</f>
        <v>77230</v>
      </c>
    </row>
    <row r="764">
      <c r="A764" s="10">
        <f>Github!J$1096</f>
        <v>1095</v>
      </c>
      <c r="B764" s="11" t="str">
        <f>HYPERLINK(CONCAT("http://leetcode.com/problems/",Github!C$1096), Github!B$1096)</f>
        <v>Find in Mountain Array</v>
      </c>
      <c r="C764" s="10">
        <f>Github!F$1096</f>
        <v>1091</v>
      </c>
      <c r="D764" s="10">
        <f>Github!G$1096</f>
        <v>55</v>
      </c>
      <c r="E764" s="10">
        <f>Github!F$1096+Github!G$1096</f>
        <v>1146</v>
      </c>
      <c r="F764" s="12">
        <f t="shared" si="1"/>
        <v>19.84</v>
      </c>
      <c r="G764" s="10" t="str">
        <f>Github!H$1096</f>
        <v>Algorithms</v>
      </c>
      <c r="H764" s="13" t="str">
        <f>SUBSTITUTE(Github!L$1096, ";", ", ")</f>
        <v>Array, Binary Search, Interactive, </v>
      </c>
      <c r="I764" s="10" t="str">
        <f>Github!E$1096</f>
        <v>Hard</v>
      </c>
      <c r="J764" s="10" t="str">
        <f>IF(TRIM(Github!D$1096)="TRUE","FALSE","TRUE")</f>
        <v>TRUE</v>
      </c>
      <c r="K764" s="10" t="b">
        <f>Github!M$1096</f>
        <v>0</v>
      </c>
      <c r="L764" s="10" t="b">
        <f>Github!N$1096</f>
        <v>0</v>
      </c>
      <c r="M764" s="10" t="str">
        <f>ROUND(Github!O$1096, 2)&amp;"%"</f>
        <v>35.92%</v>
      </c>
      <c r="N764" s="10">
        <f>Github!P$1096</f>
        <v>40679</v>
      </c>
      <c r="O764" s="10">
        <f>Github!Q$1096</f>
        <v>113233</v>
      </c>
    </row>
    <row r="765">
      <c r="A765" s="10">
        <f>Github!J$963</f>
        <v>962</v>
      </c>
      <c r="B765" s="11" t="str">
        <f>HYPERLINK(CONCAT("http://leetcode.com/problems/",Github!C$963), Github!B$963)</f>
        <v>Maximum Width Ramp</v>
      </c>
      <c r="C765" s="10">
        <f>Github!F$963</f>
        <v>1084</v>
      </c>
      <c r="D765" s="10">
        <f>Github!G$963</f>
        <v>32</v>
      </c>
      <c r="E765" s="10">
        <f>Github!F$963+Github!G$963</f>
        <v>1116</v>
      </c>
      <c r="F765" s="12">
        <f t="shared" si="1"/>
        <v>33.88</v>
      </c>
      <c r="G765" s="10" t="str">
        <f>Github!H$963</f>
        <v>Algorithms</v>
      </c>
      <c r="H765" s="13" t="str">
        <f>SUBSTITUTE(Github!L$963, ";", ", ")</f>
        <v>Array, Stack, Monotonic Stack, </v>
      </c>
      <c r="I765" s="10" t="str">
        <f>Github!E$963</f>
        <v>Medium</v>
      </c>
      <c r="J765" s="10" t="str">
        <f>IF(TRIM(Github!D$963)="TRUE","FALSE","TRUE")</f>
        <v>TRUE</v>
      </c>
      <c r="K765" s="10" t="b">
        <f>Github!M$963</f>
        <v>0</v>
      </c>
      <c r="L765" s="10" t="b">
        <f>Github!N$963</f>
        <v>0</v>
      </c>
      <c r="M765" s="10" t="str">
        <f>ROUND(Github!O$963, 2)&amp;"%"</f>
        <v>47.98%</v>
      </c>
      <c r="N765" s="10">
        <f>Github!P$963</f>
        <v>32014</v>
      </c>
      <c r="O765" s="10">
        <f>Github!Q$963</f>
        <v>66717</v>
      </c>
    </row>
    <row r="766">
      <c r="A766" s="10">
        <f>Github!J$868</f>
        <v>867</v>
      </c>
      <c r="B766" s="11" t="str">
        <f>HYPERLINK(CONCAT("http://leetcode.com/problems/",Github!C$868), Github!B$868)</f>
        <v>Transpose Matrix</v>
      </c>
      <c r="C766" s="10">
        <f>Github!F$868</f>
        <v>1083</v>
      </c>
      <c r="D766" s="10">
        <f>Github!G$868</f>
        <v>367</v>
      </c>
      <c r="E766" s="10">
        <f>Github!F$868+Github!G$868</f>
        <v>1450</v>
      </c>
      <c r="F766" s="12">
        <f t="shared" si="1"/>
        <v>2.95</v>
      </c>
      <c r="G766" s="10" t="str">
        <f>Github!H$868</f>
        <v>Algorithms</v>
      </c>
      <c r="H766" s="13" t="str">
        <f>SUBSTITUTE(Github!L$868, ";", ", ")</f>
        <v>Array, Matrix, Simulation, </v>
      </c>
      <c r="I766" s="10" t="str">
        <f>Github!E$868</f>
        <v>Easy</v>
      </c>
      <c r="J766" s="10" t="str">
        <f>IF(TRIM(Github!D$868)="TRUE","FALSE","TRUE")</f>
        <v>TRUE</v>
      </c>
      <c r="K766" s="10" t="b">
        <f>Github!M$868</f>
        <v>1</v>
      </c>
      <c r="L766" s="10" t="b">
        <f>Github!N$868</f>
        <v>0</v>
      </c>
      <c r="M766" s="10" t="str">
        <f>ROUND(Github!O$868, 2)&amp;"%"</f>
        <v>61.16%</v>
      </c>
      <c r="N766" s="10">
        <f>Github!P$868</f>
        <v>127177</v>
      </c>
      <c r="O766" s="10">
        <f>Github!Q$868</f>
        <v>207957</v>
      </c>
    </row>
    <row r="767">
      <c r="A767" s="10">
        <f>Github!J$1515</f>
        <v>1514</v>
      </c>
      <c r="B767" s="11" t="str">
        <f>HYPERLINK(CONCAT("http://leetcode.com/problems/",Github!C$1515), Github!B$1515)</f>
        <v>Path with Maximum Probability</v>
      </c>
      <c r="C767" s="10">
        <f>Github!F$1515</f>
        <v>1082</v>
      </c>
      <c r="D767" s="10">
        <f>Github!G$1515</f>
        <v>25</v>
      </c>
      <c r="E767" s="10">
        <f>Github!F$1515+Github!G$1515</f>
        <v>1107</v>
      </c>
      <c r="F767" s="12">
        <f t="shared" si="1"/>
        <v>43.28</v>
      </c>
      <c r="G767" s="10" t="str">
        <f>Github!H$1515</f>
        <v>Algorithms</v>
      </c>
      <c r="H767" s="13" t="str">
        <f>SUBSTITUTE(Github!L$1515, ";", ", ")</f>
        <v>Graph, Heap (Priority Queue), Shortest Path, </v>
      </c>
      <c r="I767" s="10" t="str">
        <f>Github!E$1515</f>
        <v>Medium</v>
      </c>
      <c r="J767" s="10" t="str">
        <f>IF(TRIM(Github!D$1515)="TRUE","FALSE","TRUE")</f>
        <v>TRUE</v>
      </c>
      <c r="K767" s="10" t="b">
        <f>Github!M$1515</f>
        <v>0</v>
      </c>
      <c r="L767" s="10" t="b">
        <f>Github!N$1515</f>
        <v>0</v>
      </c>
      <c r="M767" s="10" t="str">
        <f>ROUND(Github!O$1515, 2)&amp;"%"</f>
        <v>45.77%</v>
      </c>
      <c r="N767" s="10">
        <f>Github!P$1515</f>
        <v>38931</v>
      </c>
      <c r="O767" s="10">
        <f>Github!Q$1515</f>
        <v>85052</v>
      </c>
    </row>
    <row r="768">
      <c r="A768" s="10">
        <f>Github!J$162</f>
        <v>161</v>
      </c>
      <c r="B768" s="11" t="str">
        <f>HYPERLINK(CONCAT("http://leetcode.com/problems/",Github!C$162), Github!B$162)</f>
        <v>One Edit Distance</v>
      </c>
      <c r="C768" s="10">
        <f>Github!F$162</f>
        <v>1081</v>
      </c>
      <c r="D768" s="10">
        <f>Github!G$162</f>
        <v>160</v>
      </c>
      <c r="E768" s="10">
        <f>Github!F$162+Github!G$162</f>
        <v>1241</v>
      </c>
      <c r="F768" s="12">
        <f t="shared" si="1"/>
        <v>6.76</v>
      </c>
      <c r="G768" s="10" t="str">
        <f>Github!H$162</f>
        <v>Algorithms</v>
      </c>
      <c r="H768" s="13" t="str">
        <f>SUBSTITUTE(Github!L$162, ";", ", ")</f>
        <v>Two Pointers, String, </v>
      </c>
      <c r="I768" s="10" t="str">
        <f>Github!E$162</f>
        <v>Medium</v>
      </c>
      <c r="J768" s="10" t="str">
        <f>IF(TRIM(Github!D$162)="TRUE","FALSE","TRUE")</f>
        <v>FALSE</v>
      </c>
      <c r="K768" s="10" t="b">
        <f>Github!M$162</f>
        <v>1</v>
      </c>
      <c r="L768" s="10" t="b">
        <f>Github!N$162</f>
        <v>0</v>
      </c>
      <c r="M768" s="10" t="str">
        <f>ROUND(Github!O$162, 2)&amp;"%"</f>
        <v>33.89%</v>
      </c>
      <c r="N768" s="10">
        <f>Github!P$162</f>
        <v>167968</v>
      </c>
      <c r="O768" s="10">
        <f>Github!Q$162</f>
        <v>495674</v>
      </c>
    </row>
    <row r="769">
      <c r="A769" s="10">
        <f>Github!J$1053</f>
        <v>1052</v>
      </c>
      <c r="B769" s="11" t="str">
        <f>HYPERLINK(CONCAT("http://leetcode.com/problems/",Github!C$1053), Github!B$1053)</f>
        <v>Grumpy Bookstore Owner</v>
      </c>
      <c r="C769" s="10">
        <f>Github!F$1053</f>
        <v>1078</v>
      </c>
      <c r="D769" s="10">
        <f>Github!G$1053</f>
        <v>90</v>
      </c>
      <c r="E769" s="10">
        <f>Github!F$1053+Github!G$1053</f>
        <v>1168</v>
      </c>
      <c r="F769" s="12">
        <f t="shared" si="1"/>
        <v>11.98</v>
      </c>
      <c r="G769" s="10" t="str">
        <f>Github!H$1053</f>
        <v>Algorithms</v>
      </c>
      <c r="H769" s="13" t="str">
        <f>SUBSTITUTE(Github!L$1053, ";", ", ")</f>
        <v>Array, Sliding Window, </v>
      </c>
      <c r="I769" s="10" t="str">
        <f>Github!E$1053</f>
        <v>Medium</v>
      </c>
      <c r="J769" s="10" t="str">
        <f>IF(TRIM(Github!D$1053)="TRUE","FALSE","TRUE")</f>
        <v>TRUE</v>
      </c>
      <c r="K769" s="10" t="b">
        <f>Github!M$1053</f>
        <v>0</v>
      </c>
      <c r="L769" s="10" t="b">
        <f>Github!N$1053</f>
        <v>0</v>
      </c>
      <c r="M769" s="10" t="str">
        <f>ROUND(Github!O$1053, 2)&amp;"%"</f>
        <v>56.66%</v>
      </c>
      <c r="N769" s="10">
        <f>Github!P$1053</f>
        <v>51406</v>
      </c>
      <c r="O769" s="10">
        <f>Github!Q$1053</f>
        <v>90725</v>
      </c>
    </row>
    <row r="770">
      <c r="A770" s="10">
        <f>Github!J$765</f>
        <v>764</v>
      </c>
      <c r="B770" s="11" t="str">
        <f>HYPERLINK(CONCAT("http://leetcode.com/problems/",Github!C$765), Github!B$765)</f>
        <v>Largest Plus Sign</v>
      </c>
      <c r="C770" s="10">
        <f>Github!F$765</f>
        <v>1078</v>
      </c>
      <c r="D770" s="10">
        <f>Github!G$765</f>
        <v>187</v>
      </c>
      <c r="E770" s="10">
        <f>Github!F$765+Github!G$765</f>
        <v>1265</v>
      </c>
      <c r="F770" s="12">
        <f t="shared" si="1"/>
        <v>5.76</v>
      </c>
      <c r="G770" s="10" t="str">
        <f>Github!H$765</f>
        <v>Algorithms</v>
      </c>
      <c r="H770" s="13" t="str">
        <f>SUBSTITUTE(Github!L$765, ";", ", ")</f>
        <v>Array, Dynamic Programming, </v>
      </c>
      <c r="I770" s="10" t="str">
        <f>Github!E$765</f>
        <v>Medium</v>
      </c>
      <c r="J770" s="10" t="str">
        <f>IF(TRIM(Github!D$765)="TRUE","FALSE","TRUE")</f>
        <v>TRUE</v>
      </c>
      <c r="K770" s="10" t="b">
        <f>Github!M$765</f>
        <v>1</v>
      </c>
      <c r="L770" s="10" t="b">
        <f>Github!N$765</f>
        <v>0</v>
      </c>
      <c r="M770" s="10" t="str">
        <f>ROUND(Github!O$765, 2)&amp;"%"</f>
        <v>48.56%</v>
      </c>
      <c r="N770" s="10">
        <f>Github!P$765</f>
        <v>47566</v>
      </c>
      <c r="O770" s="10">
        <f>Github!Q$765</f>
        <v>97955</v>
      </c>
    </row>
    <row r="771">
      <c r="A771" s="10">
        <f>Github!J$769</f>
        <v>768</v>
      </c>
      <c r="B771" s="11" t="str">
        <f>HYPERLINK(CONCAT("http://leetcode.com/problems/",Github!C$769), Github!B$769)</f>
        <v>Max Chunks To Make Sorted II</v>
      </c>
      <c r="C771" s="10">
        <f>Github!F$769</f>
        <v>1075</v>
      </c>
      <c r="D771" s="10">
        <f>Github!G$769</f>
        <v>31</v>
      </c>
      <c r="E771" s="10">
        <f>Github!F$769+Github!G$769</f>
        <v>1106</v>
      </c>
      <c r="F771" s="12">
        <f t="shared" si="1"/>
        <v>34.68</v>
      </c>
      <c r="G771" s="10" t="str">
        <f>Github!H$769</f>
        <v>Algorithms</v>
      </c>
      <c r="H771" s="13" t="str">
        <f>SUBSTITUTE(Github!L$769, ";", ", ")</f>
        <v>Array, Stack, Greedy, Sorting, Monotonic Stack, </v>
      </c>
      <c r="I771" s="10" t="str">
        <f>Github!E$769</f>
        <v>Hard</v>
      </c>
      <c r="J771" s="10" t="str">
        <f>IF(TRIM(Github!D$769)="TRUE","FALSE","TRUE")</f>
        <v>TRUE</v>
      </c>
      <c r="K771" s="10" t="b">
        <f>Github!M$769</f>
        <v>0</v>
      </c>
      <c r="L771" s="10" t="b">
        <f>Github!N$769</f>
        <v>0</v>
      </c>
      <c r="M771" s="10" t="str">
        <f>ROUND(Github!O$769, 2)&amp;"%"</f>
        <v>51.83%</v>
      </c>
      <c r="N771" s="10">
        <f>Github!P$769</f>
        <v>39000</v>
      </c>
      <c r="O771" s="10">
        <f>Github!Q$769</f>
        <v>75255</v>
      </c>
    </row>
    <row r="772">
      <c r="A772" s="10">
        <f>Github!J$992</f>
        <v>991</v>
      </c>
      <c r="B772" s="11" t="str">
        <f>HYPERLINK(CONCAT("http://leetcode.com/problems/",Github!C$992), Github!B$992)</f>
        <v>Broken Calculator</v>
      </c>
      <c r="C772" s="10">
        <f>Github!F$992</f>
        <v>1072</v>
      </c>
      <c r="D772" s="10">
        <f>Github!G$992</f>
        <v>146</v>
      </c>
      <c r="E772" s="10">
        <f>Github!F$992+Github!G$992</f>
        <v>1218</v>
      </c>
      <c r="F772" s="12">
        <f t="shared" si="1"/>
        <v>7.34</v>
      </c>
      <c r="G772" s="10" t="str">
        <f>Github!H$992</f>
        <v>Algorithms</v>
      </c>
      <c r="H772" s="13" t="str">
        <f>SUBSTITUTE(Github!L$992, ";", ", ")</f>
        <v>Math, Greedy, </v>
      </c>
      <c r="I772" s="10" t="str">
        <f>Github!E$992</f>
        <v>Medium</v>
      </c>
      <c r="J772" s="10" t="str">
        <f>IF(TRIM(Github!D$992)="TRUE","FALSE","TRUE")</f>
        <v>TRUE</v>
      </c>
      <c r="K772" s="10" t="b">
        <f>Github!M$992</f>
        <v>1</v>
      </c>
      <c r="L772" s="10" t="b">
        <f>Github!N$992</f>
        <v>0</v>
      </c>
      <c r="M772" s="10" t="str">
        <f>ROUND(Github!O$992, 2)&amp;"%"</f>
        <v>50.07%</v>
      </c>
      <c r="N772" s="10">
        <f>Github!P$992</f>
        <v>47533</v>
      </c>
      <c r="O772" s="10">
        <f>Github!Q$992</f>
        <v>94932</v>
      </c>
    </row>
    <row r="773">
      <c r="A773" s="10">
        <f>Github!J$331</f>
        <v>330</v>
      </c>
      <c r="B773" s="11" t="str">
        <f>HYPERLINK(CONCAT("http://leetcode.com/problems/",Github!C$331), Github!B$331)</f>
        <v>Patching Array</v>
      </c>
      <c r="C773" s="10">
        <f>Github!F$331</f>
        <v>1071</v>
      </c>
      <c r="D773" s="10">
        <f>Github!G$331</f>
        <v>113</v>
      </c>
      <c r="E773" s="10">
        <f>Github!F$331+Github!G$331</f>
        <v>1184</v>
      </c>
      <c r="F773" s="12">
        <f t="shared" si="1"/>
        <v>9.48</v>
      </c>
      <c r="G773" s="10" t="str">
        <f>Github!H$331</f>
        <v>Algorithms</v>
      </c>
      <c r="H773" s="13" t="str">
        <f>SUBSTITUTE(Github!L$331, ";", ", ")</f>
        <v>Array, Greedy, </v>
      </c>
      <c r="I773" s="10" t="str">
        <f>Github!E$331</f>
        <v>Hard</v>
      </c>
      <c r="J773" s="10" t="str">
        <f>IF(TRIM(Github!D$331)="TRUE","FALSE","TRUE")</f>
        <v>TRUE</v>
      </c>
      <c r="K773" s="10" t="b">
        <f>Github!M$331</f>
        <v>1</v>
      </c>
      <c r="L773" s="10" t="b">
        <f>Github!N$331</f>
        <v>0</v>
      </c>
      <c r="M773" s="10" t="str">
        <f>ROUND(Github!O$331, 2)&amp;"%"</f>
        <v>39.41%</v>
      </c>
      <c r="N773" s="10">
        <f>Github!P$331</f>
        <v>55489</v>
      </c>
      <c r="O773" s="10">
        <f>Github!Q$331</f>
        <v>140789</v>
      </c>
    </row>
    <row r="774">
      <c r="A774" s="10">
        <f>Github!J$1548</f>
        <v>1547</v>
      </c>
      <c r="B774" s="11" t="str">
        <f>HYPERLINK(CONCAT("http://leetcode.com/problems/",Github!C$1548), Github!B$1548)</f>
        <v>Minimum Cost to Cut a Stick</v>
      </c>
      <c r="C774" s="10">
        <f>Github!F$1548</f>
        <v>1068</v>
      </c>
      <c r="D774" s="10">
        <f>Github!G$1548</f>
        <v>21</v>
      </c>
      <c r="E774" s="10">
        <f>Github!F$1548+Github!G$1548</f>
        <v>1089</v>
      </c>
      <c r="F774" s="12">
        <f t="shared" si="1"/>
        <v>50.86</v>
      </c>
      <c r="G774" s="10" t="str">
        <f>Github!H$1548</f>
        <v>Algorithms</v>
      </c>
      <c r="H774" s="13" t="str">
        <f>SUBSTITUTE(Github!L$1548, ";", ", ")</f>
        <v>Array, Dynamic Programming, </v>
      </c>
      <c r="I774" s="10" t="str">
        <f>Github!E$1548</f>
        <v>Hard</v>
      </c>
      <c r="J774" s="10" t="str">
        <f>IF(TRIM(Github!D$1548)="TRUE","FALSE","TRUE")</f>
        <v>TRUE</v>
      </c>
      <c r="K774" s="10" t="b">
        <f>Github!M$1548</f>
        <v>0</v>
      </c>
      <c r="L774" s="10" t="b">
        <f>Github!N$1548</f>
        <v>0</v>
      </c>
      <c r="M774" s="10" t="str">
        <f>ROUND(Github!O$1548, 2)&amp;"%"</f>
        <v>54.98%</v>
      </c>
      <c r="N774" s="10">
        <f>Github!P$1548</f>
        <v>20938</v>
      </c>
      <c r="O774" s="10">
        <f>Github!Q$1548</f>
        <v>38081</v>
      </c>
    </row>
    <row r="775">
      <c r="A775" s="10">
        <f>Github!J$1839</f>
        <v>1838</v>
      </c>
      <c r="B775" s="11" t="str">
        <f>HYPERLINK(CONCAT("http://leetcode.com/problems/",Github!C$1839), Github!B$1839)</f>
        <v>Frequency of the Most Frequent Element</v>
      </c>
      <c r="C775" s="10">
        <f>Github!F$1839</f>
        <v>1064</v>
      </c>
      <c r="D775" s="10">
        <f>Github!G$1839</f>
        <v>22</v>
      </c>
      <c r="E775" s="10">
        <f>Github!F$1839+Github!G$1839</f>
        <v>1086</v>
      </c>
      <c r="F775" s="12">
        <f t="shared" si="1"/>
        <v>48.36</v>
      </c>
      <c r="G775" s="10" t="str">
        <f>Github!H$1839</f>
        <v>Algorithms</v>
      </c>
      <c r="H775" s="13" t="str">
        <f>SUBSTITUTE(Github!L$1839, ";", ", ")</f>
        <v>Array, Binary Search, Greedy, Sliding Window, Sorting, Prefix Sum, </v>
      </c>
      <c r="I775" s="10" t="str">
        <f>Github!E$1839</f>
        <v>Medium</v>
      </c>
      <c r="J775" s="10" t="str">
        <f>IF(TRIM(Github!D$1839)="TRUE","FALSE","TRUE")</f>
        <v>TRUE</v>
      </c>
      <c r="K775" s="10" t="b">
        <f>Github!M$1839</f>
        <v>0</v>
      </c>
      <c r="L775" s="10" t="b">
        <f>Github!N$1839</f>
        <v>0</v>
      </c>
      <c r="M775" s="10" t="str">
        <f>ROUND(Github!O$1839, 2)&amp;"%"</f>
        <v>36.27%</v>
      </c>
      <c r="N775" s="10">
        <f>Github!P$1839</f>
        <v>19180</v>
      </c>
      <c r="O775" s="10">
        <f>Github!Q$1839</f>
        <v>52879</v>
      </c>
    </row>
    <row r="776">
      <c r="A776" s="10">
        <f>Github!J$1198</f>
        <v>1197</v>
      </c>
      <c r="B776" s="11" t="str">
        <f>HYPERLINK(CONCAT("http://leetcode.com/problems/",Github!C$1198), Github!B$1198)</f>
        <v>Minimum Knight Moves</v>
      </c>
      <c r="C776" s="10">
        <f>Github!F$1198</f>
        <v>1063</v>
      </c>
      <c r="D776" s="10">
        <f>Github!G$1198</f>
        <v>325</v>
      </c>
      <c r="E776" s="10">
        <f>Github!F$1198+Github!G$1198</f>
        <v>1388</v>
      </c>
      <c r="F776" s="12">
        <f t="shared" si="1"/>
        <v>3.27</v>
      </c>
      <c r="G776" s="10" t="str">
        <f>Github!H$1198</f>
        <v>Algorithms</v>
      </c>
      <c r="H776" s="13" t="str">
        <f>SUBSTITUTE(Github!L$1198, ";", ", ")</f>
        <v>Breadth-First Search, </v>
      </c>
      <c r="I776" s="10" t="str">
        <f>Github!E$1198</f>
        <v>Medium</v>
      </c>
      <c r="J776" s="10" t="str">
        <f>IF(TRIM(Github!D$1198)="TRUE","FALSE","TRUE")</f>
        <v>FALSE</v>
      </c>
      <c r="K776" s="10" t="b">
        <f>Github!M$1198</f>
        <v>1</v>
      </c>
      <c r="L776" s="10" t="b">
        <f>Github!N$1198</f>
        <v>0</v>
      </c>
      <c r="M776" s="10" t="str">
        <f>ROUND(Github!O$1198, 2)&amp;"%"</f>
        <v>39.51%</v>
      </c>
      <c r="N776" s="10">
        <f>Github!P$1198</f>
        <v>106256</v>
      </c>
      <c r="O776" s="10">
        <f>Github!Q$1198</f>
        <v>268919</v>
      </c>
    </row>
    <row r="777">
      <c r="A777" s="10">
        <f>Github!J$1335</f>
        <v>1334</v>
      </c>
      <c r="B777" s="11" t="str">
        <f>HYPERLINK(CONCAT("http://leetcode.com/problems/",Github!C$1335), Github!B$1335)</f>
        <v>Find the City With the Smallest Number of Neighbors at a Threshold Distance</v>
      </c>
      <c r="C777" s="10">
        <f>Github!F$1335</f>
        <v>1058</v>
      </c>
      <c r="D777" s="10">
        <f>Github!G$1335</f>
        <v>56</v>
      </c>
      <c r="E777" s="10">
        <f>Github!F$1335+Github!G$1335</f>
        <v>1114</v>
      </c>
      <c r="F777" s="12">
        <f t="shared" si="1"/>
        <v>18.89</v>
      </c>
      <c r="G777" s="10" t="str">
        <f>Github!H$1335</f>
        <v>Algorithms</v>
      </c>
      <c r="H777" s="13" t="str">
        <f>SUBSTITUTE(Github!L$1335, ";", ", ")</f>
        <v>Dynamic Programming, Graph, Shortest Path, </v>
      </c>
      <c r="I777" s="10" t="str">
        <f>Github!E$1335</f>
        <v>Medium</v>
      </c>
      <c r="J777" s="10" t="str">
        <f>IF(TRIM(Github!D$1335)="TRUE","FALSE","TRUE")</f>
        <v>TRUE</v>
      </c>
      <c r="K777" s="10" t="b">
        <f>Github!M$1335</f>
        <v>0</v>
      </c>
      <c r="L777" s="10" t="b">
        <f>Github!N$1335</f>
        <v>0</v>
      </c>
      <c r="M777" s="10" t="str">
        <f>ROUND(Github!O$1335, 2)&amp;"%"</f>
        <v>50.84%</v>
      </c>
      <c r="N777" s="10">
        <f>Github!P$1335</f>
        <v>36396</v>
      </c>
      <c r="O777" s="10">
        <f>Github!Q$1335</f>
        <v>71585</v>
      </c>
    </row>
    <row r="778">
      <c r="A778" s="10">
        <f>Github!J$1179</f>
        <v>1178</v>
      </c>
      <c r="B778" s="11" t="str">
        <f>HYPERLINK(CONCAT("http://leetcode.com/problems/",Github!C$1179), Github!B$1179)</f>
        <v>Number of Valid Words for Each Puzzle</v>
      </c>
      <c r="C778" s="10">
        <f>Github!F$1179</f>
        <v>1055</v>
      </c>
      <c r="D778" s="10">
        <f>Github!G$1179</f>
        <v>71</v>
      </c>
      <c r="E778" s="10">
        <f>Github!F$1179+Github!G$1179</f>
        <v>1126</v>
      </c>
      <c r="F778" s="12">
        <f t="shared" si="1"/>
        <v>14.86</v>
      </c>
      <c r="G778" s="10" t="str">
        <f>Github!H$1179</f>
        <v>Algorithms</v>
      </c>
      <c r="H778" s="13" t="str">
        <f>SUBSTITUTE(Github!L$1179, ";", ", ")</f>
        <v>Array, Hash Table, String, Bit Manipulation, Trie, </v>
      </c>
      <c r="I778" s="10" t="str">
        <f>Github!E$1179</f>
        <v>Hard</v>
      </c>
      <c r="J778" s="10" t="str">
        <f>IF(TRIM(Github!D$1179)="TRUE","FALSE","TRUE")</f>
        <v>TRUE</v>
      </c>
      <c r="K778" s="10" t="b">
        <f>Github!M$1179</f>
        <v>1</v>
      </c>
      <c r="L778" s="10" t="b">
        <f>Github!N$1179</f>
        <v>0</v>
      </c>
      <c r="M778" s="10" t="str">
        <f>ROUND(Github!O$1179, 2)&amp;"%"</f>
        <v>46.88%</v>
      </c>
      <c r="N778" s="10">
        <f>Github!P$1179</f>
        <v>26298</v>
      </c>
      <c r="O778" s="10">
        <f>Github!Q$1179</f>
        <v>56093</v>
      </c>
    </row>
    <row r="779">
      <c r="A779" s="10">
        <f>Github!J$1372</f>
        <v>1371</v>
      </c>
      <c r="B779" s="11" t="str">
        <f>HYPERLINK(CONCAT("http://leetcode.com/problems/",Github!C$1372), Github!B$1372)</f>
        <v>Find the Longest Substring Containing Vowels in Even Counts</v>
      </c>
      <c r="C779" s="10">
        <f>Github!F$1372</f>
        <v>1054</v>
      </c>
      <c r="D779" s="10">
        <f>Github!G$1372</f>
        <v>40</v>
      </c>
      <c r="E779" s="10">
        <f>Github!F$1372+Github!G$1372</f>
        <v>1094</v>
      </c>
      <c r="F779" s="12">
        <f t="shared" si="1"/>
        <v>26.35</v>
      </c>
      <c r="G779" s="10" t="str">
        <f>Github!H$1372</f>
        <v>Algorithms</v>
      </c>
      <c r="H779" s="13" t="str">
        <f>SUBSTITUTE(Github!L$1372, ";", ", ")</f>
        <v>Hash Table, String, Bit Manipulation, Prefix Sum, </v>
      </c>
      <c r="I779" s="10" t="str">
        <f>Github!E$1372</f>
        <v>Medium</v>
      </c>
      <c r="J779" s="10" t="str">
        <f>IF(TRIM(Github!D$1372)="TRUE","FALSE","TRUE")</f>
        <v>TRUE</v>
      </c>
      <c r="K779" s="10" t="b">
        <f>Github!M$1372</f>
        <v>0</v>
      </c>
      <c r="L779" s="10" t="b">
        <f>Github!N$1372</f>
        <v>0</v>
      </c>
      <c r="M779" s="10" t="str">
        <f>ROUND(Github!O$1372, 2)&amp;"%"</f>
        <v>62.35%</v>
      </c>
      <c r="N779" s="10">
        <f>Github!P$1372</f>
        <v>17803</v>
      </c>
      <c r="O779" s="10">
        <f>Github!Q$1372</f>
        <v>28555</v>
      </c>
    </row>
    <row r="780">
      <c r="A780" s="10">
        <f>Github!J$755</f>
        <v>754</v>
      </c>
      <c r="B780" s="11" t="str">
        <f>HYPERLINK(CONCAT("http://leetcode.com/problems/",Github!C$755), Github!B$755)</f>
        <v>Reach a Number</v>
      </c>
      <c r="C780" s="10">
        <f>Github!F$755</f>
        <v>1053</v>
      </c>
      <c r="D780" s="10">
        <f>Github!G$755</f>
        <v>649</v>
      </c>
      <c r="E780" s="10">
        <f>Github!F$755+Github!G$755</f>
        <v>1702</v>
      </c>
      <c r="F780" s="12">
        <f t="shared" si="1"/>
        <v>1.62</v>
      </c>
      <c r="G780" s="10" t="str">
        <f>Github!H$755</f>
        <v>Algorithms</v>
      </c>
      <c r="H780" s="13" t="str">
        <f>SUBSTITUTE(Github!L$755, ";", ", ")</f>
        <v>Math, Binary Search, </v>
      </c>
      <c r="I780" s="10" t="str">
        <f>Github!E$755</f>
        <v>Medium</v>
      </c>
      <c r="J780" s="10" t="str">
        <f>IF(TRIM(Github!D$755)="TRUE","FALSE","TRUE")</f>
        <v>TRUE</v>
      </c>
      <c r="K780" s="10" t="b">
        <f>Github!M$755</f>
        <v>1</v>
      </c>
      <c r="L780" s="10" t="b">
        <f>Github!N$755</f>
        <v>0</v>
      </c>
      <c r="M780" s="10" t="str">
        <f>ROUND(Github!O$755, 2)&amp;"%"</f>
        <v>41.74%</v>
      </c>
      <c r="N780" s="10">
        <f>Github!P$755</f>
        <v>37550</v>
      </c>
      <c r="O780" s="10">
        <f>Github!Q$755</f>
        <v>89972</v>
      </c>
    </row>
    <row r="781">
      <c r="A781" s="10">
        <f>Github!J$1014</f>
        <v>1013</v>
      </c>
      <c r="B781" s="11" t="str">
        <f>HYPERLINK(CONCAT("http://leetcode.com/problems/",Github!C$1014), Github!B$1014)</f>
        <v>Partition Array Into Three Parts With Equal Sum</v>
      </c>
      <c r="C781" s="10">
        <f>Github!F$1014</f>
        <v>1052</v>
      </c>
      <c r="D781" s="10">
        <f>Github!G$1014</f>
        <v>115</v>
      </c>
      <c r="E781" s="10">
        <f>Github!F$1014+Github!G$1014</f>
        <v>1167</v>
      </c>
      <c r="F781" s="12">
        <f t="shared" si="1"/>
        <v>9.15</v>
      </c>
      <c r="G781" s="10" t="str">
        <f>Github!H$1014</f>
        <v>Algorithms</v>
      </c>
      <c r="H781" s="13" t="str">
        <f>SUBSTITUTE(Github!L$1014, ";", ", ")</f>
        <v>Array, Greedy, </v>
      </c>
      <c r="I781" s="10" t="str">
        <f>Github!E$1014</f>
        <v>Easy</v>
      </c>
      <c r="J781" s="10" t="str">
        <f>IF(TRIM(Github!D$1014)="TRUE","FALSE","TRUE")</f>
        <v>TRUE</v>
      </c>
      <c r="K781" s="10" t="b">
        <f>Github!M$1014</f>
        <v>0</v>
      </c>
      <c r="L781" s="10" t="b">
        <f>Github!N$1014</f>
        <v>0</v>
      </c>
      <c r="M781" s="10" t="str">
        <f>ROUND(Github!O$1014, 2)&amp;"%"</f>
        <v>44.7%</v>
      </c>
      <c r="N781" s="10">
        <f>Github!P$1014</f>
        <v>61346</v>
      </c>
      <c r="O781" s="10">
        <f>Github!Q$1014</f>
        <v>137227</v>
      </c>
    </row>
    <row r="782">
      <c r="A782" s="10">
        <f>Github!J$1921</f>
        <v>1920</v>
      </c>
      <c r="B782" s="11" t="str">
        <f>HYPERLINK(CONCAT("http://leetcode.com/problems/",Github!C$1921), Github!B$1921)</f>
        <v>Build Array from Permutation</v>
      </c>
      <c r="C782" s="10">
        <f>Github!F$1921</f>
        <v>1050</v>
      </c>
      <c r="D782" s="10">
        <f>Github!G$1921</f>
        <v>146</v>
      </c>
      <c r="E782" s="10">
        <f>Github!F$1921+Github!G$1921</f>
        <v>1196</v>
      </c>
      <c r="F782" s="12">
        <f t="shared" si="1"/>
        <v>7.19</v>
      </c>
      <c r="G782" s="10" t="str">
        <f>Github!H$1921</f>
        <v>Algorithms</v>
      </c>
      <c r="H782" s="13" t="str">
        <f>SUBSTITUTE(Github!L$1921, ";", ", ")</f>
        <v>Array, Simulation, </v>
      </c>
      <c r="I782" s="10" t="str">
        <f>Github!E$1921</f>
        <v>Easy</v>
      </c>
      <c r="J782" s="10" t="str">
        <f>IF(TRIM(Github!D$1921)="TRUE","FALSE","TRUE")</f>
        <v>TRUE</v>
      </c>
      <c r="K782" s="10" t="b">
        <f>Github!M$1921</f>
        <v>0</v>
      </c>
      <c r="L782" s="10" t="b">
        <f>Github!N$1921</f>
        <v>0</v>
      </c>
      <c r="M782" s="10" t="str">
        <f>ROUND(Github!O$1921, 2)&amp;"%"</f>
        <v>91.76%</v>
      </c>
      <c r="N782" s="10">
        <f>Github!P$1921</f>
        <v>130357</v>
      </c>
      <c r="O782" s="10">
        <f>Github!Q$1921</f>
        <v>142066</v>
      </c>
    </row>
    <row r="783">
      <c r="A783" s="10">
        <f>Github!J$1021</f>
        <v>1020</v>
      </c>
      <c r="B783" s="11" t="str">
        <f>HYPERLINK(CONCAT("http://leetcode.com/problems/",Github!C$1021), Github!B$1021)</f>
        <v>Number of Enclaves</v>
      </c>
      <c r="C783" s="10">
        <f>Github!F$1021</f>
        <v>1047</v>
      </c>
      <c r="D783" s="10">
        <f>Github!G$1021</f>
        <v>30</v>
      </c>
      <c r="E783" s="10">
        <f>Github!F$1021+Github!G$1021</f>
        <v>1077</v>
      </c>
      <c r="F783" s="12">
        <f t="shared" si="1"/>
        <v>34.9</v>
      </c>
      <c r="G783" s="10" t="str">
        <f>Github!H$1021</f>
        <v>Algorithms</v>
      </c>
      <c r="H783" s="13" t="str">
        <f>SUBSTITUTE(Github!L$1021, ";", ", ")</f>
        <v>Array, Depth-First Search, Breadth-First Search, Union Find, Matrix, </v>
      </c>
      <c r="I783" s="10" t="str">
        <f>Github!E$1021</f>
        <v>Medium</v>
      </c>
      <c r="J783" s="10" t="str">
        <f>IF(TRIM(Github!D$1021)="TRUE","FALSE","TRUE")</f>
        <v>TRUE</v>
      </c>
      <c r="K783" s="10" t="b">
        <f>Github!M$1021</f>
        <v>0</v>
      </c>
      <c r="L783" s="10" t="b">
        <f>Github!N$1021</f>
        <v>0</v>
      </c>
      <c r="M783" s="10" t="str">
        <f>ROUND(Github!O$1021, 2)&amp;"%"</f>
        <v>61.99%</v>
      </c>
      <c r="N783" s="10">
        <f>Github!P$1021</f>
        <v>45201</v>
      </c>
      <c r="O783" s="10">
        <f>Github!Q$1021</f>
        <v>72918</v>
      </c>
    </row>
    <row r="784">
      <c r="A784" s="10">
        <f>Github!J$1382</f>
        <v>1381</v>
      </c>
      <c r="B784" s="11" t="str">
        <f>HYPERLINK(CONCAT("http://leetcode.com/problems/",Github!C$1382), Github!B$1382)</f>
        <v>Design a Stack With Increment Operation</v>
      </c>
      <c r="C784" s="10">
        <f>Github!F$1382</f>
        <v>1049</v>
      </c>
      <c r="D784" s="10">
        <f>Github!G$1382</f>
        <v>66</v>
      </c>
      <c r="E784" s="10">
        <f>Github!F$1382+Github!G$1382</f>
        <v>1115</v>
      </c>
      <c r="F784" s="12">
        <f t="shared" si="1"/>
        <v>15.89</v>
      </c>
      <c r="G784" s="10" t="str">
        <f>Github!H$1382</f>
        <v>Algorithms</v>
      </c>
      <c r="H784" s="13" t="str">
        <f>SUBSTITUTE(Github!L$1382, ";", ", ")</f>
        <v>Array, Stack, Design, </v>
      </c>
      <c r="I784" s="10" t="str">
        <f>Github!E$1382</f>
        <v>Medium</v>
      </c>
      <c r="J784" s="10" t="str">
        <f>IF(TRIM(Github!D$1382)="TRUE","FALSE","TRUE")</f>
        <v>TRUE</v>
      </c>
      <c r="K784" s="10" t="b">
        <f>Github!M$1382</f>
        <v>0</v>
      </c>
      <c r="L784" s="10" t="b">
        <f>Github!N$1382</f>
        <v>0</v>
      </c>
      <c r="M784" s="10" t="str">
        <f>ROUND(Github!O$1382, 2)&amp;"%"</f>
        <v>77.06%</v>
      </c>
      <c r="N784" s="10">
        <f>Github!P$1382</f>
        <v>64774</v>
      </c>
      <c r="O784" s="10">
        <f>Github!Q$1382</f>
        <v>84059</v>
      </c>
    </row>
    <row r="785">
      <c r="A785" s="10">
        <f>Github!J$970</f>
        <v>969</v>
      </c>
      <c r="B785" s="11" t="str">
        <f>HYPERLINK(CONCAT("http://leetcode.com/problems/",Github!C$970), Github!B$970)</f>
        <v>Pancake Sorting</v>
      </c>
      <c r="C785" s="10">
        <f>Github!F$970</f>
        <v>1043</v>
      </c>
      <c r="D785" s="10">
        <f>Github!G$970</f>
        <v>1217</v>
      </c>
      <c r="E785" s="10">
        <f>Github!F$970+Github!G$970</f>
        <v>2260</v>
      </c>
      <c r="F785" s="12">
        <f t="shared" si="1"/>
        <v>0.86</v>
      </c>
      <c r="G785" s="10" t="str">
        <f>Github!H$970</f>
        <v>Algorithms</v>
      </c>
      <c r="H785" s="13" t="str">
        <f>SUBSTITUTE(Github!L$970, ";", ", ")</f>
        <v>Array, Two Pointers, Greedy, Sorting, </v>
      </c>
      <c r="I785" s="10" t="str">
        <f>Github!E$970</f>
        <v>Medium</v>
      </c>
      <c r="J785" s="10" t="str">
        <f>IF(TRIM(Github!D$970)="TRUE","FALSE","TRUE")</f>
        <v>TRUE</v>
      </c>
      <c r="K785" s="10" t="b">
        <f>Github!M$970</f>
        <v>1</v>
      </c>
      <c r="L785" s="10" t="b">
        <f>Github!N$970</f>
        <v>0</v>
      </c>
      <c r="M785" s="10" t="str">
        <f>ROUND(Github!O$970, 2)&amp;"%"</f>
        <v>69.65%</v>
      </c>
      <c r="N785" s="10">
        <f>Github!P$970</f>
        <v>71920</v>
      </c>
      <c r="O785" s="10">
        <f>Github!Q$970</f>
        <v>103258</v>
      </c>
    </row>
    <row r="786">
      <c r="A786" s="10">
        <f>Github!J$433</f>
        <v>432</v>
      </c>
      <c r="B786" s="11" t="str">
        <f>HYPERLINK(CONCAT("http://leetcode.com/problems/",Github!C$433), Github!B$433)</f>
        <v>All O`one Data Structure</v>
      </c>
      <c r="C786" s="10">
        <f>Github!F$433</f>
        <v>1039</v>
      </c>
      <c r="D786" s="10">
        <f>Github!G$433</f>
        <v>124</v>
      </c>
      <c r="E786" s="10">
        <f>Github!F$433+Github!G$433</f>
        <v>1163</v>
      </c>
      <c r="F786" s="12">
        <f t="shared" si="1"/>
        <v>8.38</v>
      </c>
      <c r="G786" s="10" t="str">
        <f>Github!H$433</f>
        <v>Algorithms</v>
      </c>
      <c r="H786" s="13" t="str">
        <f>SUBSTITUTE(Github!L$433, ";", ", ")</f>
        <v>Hash Table, Linked List, Design, Doubly-Linked List, </v>
      </c>
      <c r="I786" s="10" t="str">
        <f>Github!E$433</f>
        <v>Hard</v>
      </c>
      <c r="J786" s="10" t="str">
        <f>IF(TRIM(Github!D$433)="TRUE","FALSE","TRUE")</f>
        <v>TRUE</v>
      </c>
      <c r="K786" s="10" t="b">
        <f>Github!M$433</f>
        <v>0</v>
      </c>
      <c r="L786" s="10" t="b">
        <f>Github!N$433</f>
        <v>0</v>
      </c>
      <c r="M786" s="10" t="str">
        <f>ROUND(Github!O$433, 2)&amp;"%"</f>
        <v>35.49%</v>
      </c>
      <c r="N786" s="10">
        <f>Github!P$433</f>
        <v>54102</v>
      </c>
      <c r="O786" s="10">
        <f>Github!Q$433</f>
        <v>152459</v>
      </c>
    </row>
    <row r="787">
      <c r="A787" s="10">
        <f>Github!J$955</f>
        <v>954</v>
      </c>
      <c r="B787" s="11" t="str">
        <f>HYPERLINK(CONCAT("http://leetcode.com/problems/",Github!C$955), Github!B$955)</f>
        <v>Array of Doubled Pairs</v>
      </c>
      <c r="C787" s="10">
        <f>Github!F$955</f>
        <v>1039</v>
      </c>
      <c r="D787" s="10">
        <f>Github!G$955</f>
        <v>123</v>
      </c>
      <c r="E787" s="10">
        <f>Github!F$955+Github!G$955</f>
        <v>1162</v>
      </c>
      <c r="F787" s="12">
        <f t="shared" si="1"/>
        <v>8.45</v>
      </c>
      <c r="G787" s="10" t="str">
        <f>Github!H$955</f>
        <v>Algorithms</v>
      </c>
      <c r="H787" s="13" t="str">
        <f>SUBSTITUTE(Github!L$955, ";", ", ")</f>
        <v>Array, Hash Table, Greedy, Sorting, </v>
      </c>
      <c r="I787" s="10" t="str">
        <f>Github!E$955</f>
        <v>Medium</v>
      </c>
      <c r="J787" s="10" t="str">
        <f>IF(TRIM(Github!D$955)="TRUE","FALSE","TRUE")</f>
        <v>TRUE</v>
      </c>
      <c r="K787" s="10" t="b">
        <f>Github!M$955</f>
        <v>1</v>
      </c>
      <c r="L787" s="10" t="b">
        <f>Github!N$955</f>
        <v>0</v>
      </c>
      <c r="M787" s="10" t="str">
        <f>ROUND(Github!O$955, 2)&amp;"%"</f>
        <v>38.5%</v>
      </c>
      <c r="N787" s="10">
        <f>Github!P$955</f>
        <v>68233</v>
      </c>
      <c r="O787" s="10">
        <f>Github!Q$955</f>
        <v>177242</v>
      </c>
    </row>
    <row r="788">
      <c r="A788" s="10">
        <f>Github!J$1499</f>
        <v>1498</v>
      </c>
      <c r="B788" s="11" t="str">
        <f>HYPERLINK(CONCAT("http://leetcode.com/problems/",Github!C$1499), Github!B$1499)</f>
        <v>Number of Subsequences That Satisfy the Given Sum Condition</v>
      </c>
      <c r="C788" s="10">
        <f>Github!F$1499</f>
        <v>1038</v>
      </c>
      <c r="D788" s="10">
        <f>Github!G$1499</f>
        <v>99</v>
      </c>
      <c r="E788" s="10">
        <f>Github!F$1499+Github!G$1499</f>
        <v>1137</v>
      </c>
      <c r="F788" s="12">
        <f t="shared" si="1"/>
        <v>10.48</v>
      </c>
      <c r="G788" s="10" t="str">
        <f>Github!H$1499</f>
        <v>Algorithms</v>
      </c>
      <c r="H788" s="13" t="str">
        <f>SUBSTITUTE(Github!L$1499, ";", ", ")</f>
        <v>Array, Two Pointers, Binary Search, Sorting, </v>
      </c>
      <c r="I788" s="10" t="str">
        <f>Github!E$1499</f>
        <v>Medium</v>
      </c>
      <c r="J788" s="10" t="str">
        <f>IF(TRIM(Github!D$1499)="TRUE","FALSE","TRUE")</f>
        <v>TRUE</v>
      </c>
      <c r="K788" s="10" t="b">
        <f>Github!M$1499</f>
        <v>0</v>
      </c>
      <c r="L788" s="10" t="b">
        <f>Github!N$1499</f>
        <v>0</v>
      </c>
      <c r="M788" s="10" t="str">
        <f>ROUND(Github!O$1499, 2)&amp;"%"</f>
        <v>39.17%</v>
      </c>
      <c r="N788" s="10">
        <f>Github!P$1499</f>
        <v>26345</v>
      </c>
      <c r="O788" s="10">
        <f>Github!Q$1499</f>
        <v>67265</v>
      </c>
    </row>
    <row r="789">
      <c r="A789" s="10">
        <f>Github!J$601</f>
        <v>600</v>
      </c>
      <c r="B789" s="11" t="str">
        <f>HYPERLINK(CONCAT("http://leetcode.com/problems/",Github!C$601), Github!B$601)</f>
        <v>Non-negative Integers without Consecutive Ones</v>
      </c>
      <c r="C789" s="10">
        <f>Github!F$601</f>
        <v>1037</v>
      </c>
      <c r="D789" s="10">
        <f>Github!G$601</f>
        <v>113</v>
      </c>
      <c r="E789" s="10">
        <f>Github!F$601+Github!G$601</f>
        <v>1150</v>
      </c>
      <c r="F789" s="12">
        <f t="shared" si="1"/>
        <v>9.18</v>
      </c>
      <c r="G789" s="10" t="str">
        <f>Github!H$601</f>
        <v>Algorithms</v>
      </c>
      <c r="H789" s="13" t="str">
        <f>SUBSTITUTE(Github!L$601, ";", ", ")</f>
        <v>Dynamic Programming, </v>
      </c>
      <c r="I789" s="10" t="str">
        <f>Github!E$601</f>
        <v>Hard</v>
      </c>
      <c r="J789" s="10" t="str">
        <f>IF(TRIM(Github!D$601)="TRUE","FALSE","TRUE")</f>
        <v>TRUE</v>
      </c>
      <c r="K789" s="10" t="b">
        <f>Github!M$601</f>
        <v>1</v>
      </c>
      <c r="L789" s="10" t="b">
        <f>Github!N$601</f>
        <v>0</v>
      </c>
      <c r="M789" s="10" t="str">
        <f>ROUND(Github!O$601, 2)&amp;"%"</f>
        <v>38.65%</v>
      </c>
      <c r="N789" s="10">
        <f>Github!P$601</f>
        <v>29993</v>
      </c>
      <c r="O789" s="10">
        <f>Github!Q$601</f>
        <v>77612</v>
      </c>
    </row>
    <row r="790">
      <c r="A790" s="10">
        <f>Github!J$468</f>
        <v>467</v>
      </c>
      <c r="B790" s="11" t="str">
        <f>HYPERLINK(CONCAT("http://leetcode.com/problems/",Github!C$468), Github!B$468)</f>
        <v>Unique Substrings in Wraparound String</v>
      </c>
      <c r="C790" s="10">
        <f>Github!F$468</f>
        <v>1035</v>
      </c>
      <c r="D790" s="10">
        <f>Github!G$468</f>
        <v>131</v>
      </c>
      <c r="E790" s="10">
        <f>Github!F$468+Github!G$468</f>
        <v>1166</v>
      </c>
      <c r="F790" s="12">
        <f t="shared" si="1"/>
        <v>7.9</v>
      </c>
      <c r="G790" s="10" t="str">
        <f>Github!H$468</f>
        <v>Algorithms</v>
      </c>
      <c r="H790" s="13" t="str">
        <f>SUBSTITUTE(Github!L$468, ";", ", ")</f>
        <v>String, Dynamic Programming, </v>
      </c>
      <c r="I790" s="10" t="str">
        <f>Github!E$468</f>
        <v>Medium</v>
      </c>
      <c r="J790" s="10" t="str">
        <f>IF(TRIM(Github!D$468)="TRUE","FALSE","TRUE")</f>
        <v>TRUE</v>
      </c>
      <c r="K790" s="10" t="b">
        <f>Github!M$468</f>
        <v>0</v>
      </c>
      <c r="L790" s="10" t="b">
        <f>Github!N$468</f>
        <v>0</v>
      </c>
      <c r="M790" s="10" t="str">
        <f>ROUND(Github!O$468, 2)&amp;"%"</f>
        <v>37.35%</v>
      </c>
      <c r="N790" s="10">
        <f>Github!P$468</f>
        <v>34235</v>
      </c>
      <c r="O790" s="10">
        <f>Github!Q$468</f>
        <v>91668</v>
      </c>
    </row>
    <row r="791">
      <c r="A791" s="10">
        <f>Github!J$903</f>
        <v>902</v>
      </c>
      <c r="B791" s="11" t="str">
        <f>HYPERLINK(CONCAT("http://leetcode.com/problems/",Github!C$903), Github!B$903)</f>
        <v>Numbers At Most N Given Digit Set</v>
      </c>
      <c r="C791" s="10">
        <f>Github!F$903</f>
        <v>1032</v>
      </c>
      <c r="D791" s="10">
        <f>Github!G$903</f>
        <v>88</v>
      </c>
      <c r="E791" s="10">
        <f>Github!F$903+Github!G$903</f>
        <v>1120</v>
      </c>
      <c r="F791" s="12">
        <f t="shared" si="1"/>
        <v>11.73</v>
      </c>
      <c r="G791" s="10" t="str">
        <f>Github!H$903</f>
        <v>Algorithms</v>
      </c>
      <c r="H791" s="13" t="str">
        <f>SUBSTITUTE(Github!L$903, ";", ", ")</f>
        <v>Array, Math, Binary Search, Dynamic Programming, </v>
      </c>
      <c r="I791" s="10" t="str">
        <f>Github!E$903</f>
        <v>Hard</v>
      </c>
      <c r="J791" s="10" t="str">
        <f>IF(TRIM(Github!D$903)="TRUE","FALSE","TRUE")</f>
        <v>TRUE</v>
      </c>
      <c r="K791" s="10" t="b">
        <f>Github!M$903</f>
        <v>1</v>
      </c>
      <c r="L791" s="10" t="b">
        <f>Github!N$903</f>
        <v>0</v>
      </c>
      <c r="M791" s="10" t="str">
        <f>ROUND(Github!O$903, 2)&amp;"%"</f>
        <v>40.8%</v>
      </c>
      <c r="N791" s="10">
        <f>Github!P$903</f>
        <v>34789</v>
      </c>
      <c r="O791" s="10">
        <f>Github!Q$903</f>
        <v>85260</v>
      </c>
    </row>
    <row r="792">
      <c r="A792" s="10">
        <f>Github!J$941</f>
        <v>940</v>
      </c>
      <c r="B792" s="11" t="str">
        <f>HYPERLINK(CONCAT("http://leetcode.com/problems/",Github!C$941), Github!B$941)</f>
        <v>Distinct Subsequences II</v>
      </c>
      <c r="C792" s="10">
        <f>Github!F$941</f>
        <v>1031</v>
      </c>
      <c r="D792" s="10">
        <f>Github!G$941</f>
        <v>27</v>
      </c>
      <c r="E792" s="10">
        <f>Github!F$941+Github!G$941</f>
        <v>1058</v>
      </c>
      <c r="F792" s="12">
        <f t="shared" si="1"/>
        <v>38.19</v>
      </c>
      <c r="G792" s="10" t="str">
        <f>Github!H$941</f>
        <v>Algorithms</v>
      </c>
      <c r="H792" s="13" t="str">
        <f>SUBSTITUTE(Github!L$941, ";", ", ")</f>
        <v>String, Dynamic Programming, </v>
      </c>
      <c r="I792" s="10" t="str">
        <f>Github!E$941</f>
        <v>Hard</v>
      </c>
      <c r="J792" s="10" t="str">
        <f>IF(TRIM(Github!D$941)="TRUE","FALSE","TRUE")</f>
        <v>TRUE</v>
      </c>
      <c r="K792" s="10" t="b">
        <f>Github!M$941</f>
        <v>1</v>
      </c>
      <c r="L792" s="10" t="b">
        <f>Github!N$941</f>
        <v>0</v>
      </c>
      <c r="M792" s="10" t="str">
        <f>ROUND(Github!O$941, 2)&amp;"%"</f>
        <v>44.2%</v>
      </c>
      <c r="N792" s="10">
        <f>Github!P$941</f>
        <v>26002</v>
      </c>
      <c r="O792" s="10">
        <f>Github!Q$941</f>
        <v>58834</v>
      </c>
    </row>
    <row r="793">
      <c r="A793" s="10">
        <f>Github!J$1109</f>
        <v>1108</v>
      </c>
      <c r="B793" s="11" t="str">
        <f>HYPERLINK(CONCAT("http://leetcode.com/problems/",Github!C$1109), Github!B$1109)</f>
        <v>Defanging an IP Address</v>
      </c>
      <c r="C793" s="10">
        <f>Github!F$1109</f>
        <v>1030</v>
      </c>
      <c r="D793" s="10">
        <f>Github!G$1109</f>
        <v>1438</v>
      </c>
      <c r="E793" s="10">
        <f>Github!F$1109+Github!G$1109</f>
        <v>2468</v>
      </c>
      <c r="F793" s="12">
        <f t="shared" si="1"/>
        <v>0.72</v>
      </c>
      <c r="G793" s="10" t="str">
        <f>Github!H$1109</f>
        <v>Algorithms</v>
      </c>
      <c r="H793" s="13" t="str">
        <f>SUBSTITUTE(Github!L$1109, ";", ", ")</f>
        <v>String, </v>
      </c>
      <c r="I793" s="10" t="str">
        <f>Github!E$1109</f>
        <v>Easy</v>
      </c>
      <c r="J793" s="10" t="str">
        <f>IF(TRIM(Github!D$1109)="TRUE","FALSE","TRUE")</f>
        <v>TRUE</v>
      </c>
      <c r="K793" s="10" t="b">
        <f>Github!M$1109</f>
        <v>0</v>
      </c>
      <c r="L793" s="10" t="b">
        <f>Github!N$1109</f>
        <v>0</v>
      </c>
      <c r="M793" s="10" t="str">
        <f>ROUND(Github!O$1109, 2)&amp;"%"</f>
        <v>88.9%</v>
      </c>
      <c r="N793" s="10">
        <f>Github!P$1109</f>
        <v>393427</v>
      </c>
      <c r="O793" s="10">
        <f>Github!Q$1109</f>
        <v>442528</v>
      </c>
    </row>
    <row r="794">
      <c r="A794" s="10">
        <f>Github!J$1553</f>
        <v>1552</v>
      </c>
      <c r="B794" s="11" t="str">
        <f>HYPERLINK(CONCAT("http://leetcode.com/problems/",Github!C$1553), Github!B$1553)</f>
        <v>Magnetic Force Between Two Balls</v>
      </c>
      <c r="C794" s="10">
        <f>Github!F$1553</f>
        <v>1030</v>
      </c>
      <c r="D794" s="10">
        <f>Github!G$1553</f>
        <v>76</v>
      </c>
      <c r="E794" s="10">
        <f>Github!F$1553+Github!G$1553</f>
        <v>1106</v>
      </c>
      <c r="F794" s="12">
        <f t="shared" si="1"/>
        <v>13.55</v>
      </c>
      <c r="G794" s="10" t="str">
        <f>Github!H$1553</f>
        <v>Algorithms</v>
      </c>
      <c r="H794" s="13" t="str">
        <f>SUBSTITUTE(Github!L$1553, ";", ", ")</f>
        <v>Array, Binary Search, Sorting, </v>
      </c>
      <c r="I794" s="10" t="str">
        <f>Github!E$1553</f>
        <v>Medium</v>
      </c>
      <c r="J794" s="10" t="str">
        <f>IF(TRIM(Github!D$1553)="TRUE","FALSE","TRUE")</f>
        <v>TRUE</v>
      </c>
      <c r="K794" s="10" t="b">
        <f>Github!M$1553</f>
        <v>0</v>
      </c>
      <c r="L794" s="10" t="b">
        <f>Github!N$1553</f>
        <v>0</v>
      </c>
      <c r="M794" s="10" t="str">
        <f>ROUND(Github!O$1553, 2)&amp;"%"</f>
        <v>53.87%</v>
      </c>
      <c r="N794" s="10">
        <f>Github!P$1553</f>
        <v>24330</v>
      </c>
      <c r="O794" s="10">
        <f>Github!Q$1553</f>
        <v>45167</v>
      </c>
    </row>
    <row r="795">
      <c r="A795" s="10">
        <f>Github!J$185</f>
        <v>184</v>
      </c>
      <c r="B795" s="11" t="str">
        <f>HYPERLINK(CONCAT("http://leetcode.com/problems/",Github!C$185), Github!B$185)</f>
        <v>Department Highest Salary</v>
      </c>
      <c r="C795" s="10">
        <f>Github!F$185</f>
        <v>1029</v>
      </c>
      <c r="D795" s="10">
        <f>Github!G$185</f>
        <v>163</v>
      </c>
      <c r="E795" s="10">
        <f>Github!F$185+Github!G$185</f>
        <v>1192</v>
      </c>
      <c r="F795" s="12">
        <f t="shared" si="1"/>
        <v>6.31</v>
      </c>
      <c r="G795" s="10" t="str">
        <f>Github!H$185</f>
        <v>Database</v>
      </c>
      <c r="H795" s="13" t="str">
        <f>SUBSTITUTE(Github!L$185, ";", ", ")</f>
        <v>Database, </v>
      </c>
      <c r="I795" s="10" t="str">
        <f>Github!E$185</f>
        <v>Medium</v>
      </c>
      <c r="J795" s="10" t="str">
        <f>IF(TRIM(Github!D$185)="TRUE","FALSE","TRUE")</f>
        <v>TRUE</v>
      </c>
      <c r="K795" s="10" t="b">
        <f>Github!M$185</f>
        <v>1</v>
      </c>
      <c r="L795" s="10" t="b">
        <f>Github!N$185</f>
        <v>0</v>
      </c>
      <c r="M795" s="10" t="str">
        <f>ROUND(Github!O$185, 2)&amp;"%"</f>
        <v>46.09%</v>
      </c>
      <c r="N795" s="10">
        <f>Github!P$185</f>
        <v>208867</v>
      </c>
      <c r="O795" s="10">
        <f>Github!Q$185</f>
        <v>453168</v>
      </c>
    </row>
    <row r="796">
      <c r="A796" s="10">
        <f>Github!J$1297</f>
        <v>1296</v>
      </c>
      <c r="B796" s="11" t="str">
        <f>HYPERLINK(CONCAT("http://leetcode.com/problems/",Github!C$1297), Github!B$1297)</f>
        <v>Divide Array in Sets of K Consecutive Numbers</v>
      </c>
      <c r="C796" s="10">
        <f>Github!F$1297</f>
        <v>1029</v>
      </c>
      <c r="D796" s="10">
        <f>Github!G$1297</f>
        <v>77</v>
      </c>
      <c r="E796" s="10">
        <f>Github!F$1297+Github!G$1297</f>
        <v>1106</v>
      </c>
      <c r="F796" s="12">
        <f t="shared" si="1"/>
        <v>13.36</v>
      </c>
      <c r="G796" s="10" t="str">
        <f>Github!H$1297</f>
        <v>Algorithms</v>
      </c>
      <c r="H796" s="13" t="str">
        <f>SUBSTITUTE(Github!L$1297, ";", ", ")</f>
        <v>Array, Hash Table, Greedy, Sorting, </v>
      </c>
      <c r="I796" s="10" t="str">
        <f>Github!E$1297</f>
        <v>Medium</v>
      </c>
      <c r="J796" s="10" t="str">
        <f>IF(TRIM(Github!D$1297)="TRUE","FALSE","TRUE")</f>
        <v>TRUE</v>
      </c>
      <c r="K796" s="10" t="b">
        <f>Github!M$1297</f>
        <v>0</v>
      </c>
      <c r="L796" s="10" t="b">
        <f>Github!N$1297</f>
        <v>0</v>
      </c>
      <c r="M796" s="10" t="str">
        <f>ROUND(Github!O$1297, 2)&amp;"%"</f>
        <v>56.45%</v>
      </c>
      <c r="N796" s="10">
        <f>Github!P$1297</f>
        <v>57320</v>
      </c>
      <c r="O796" s="10">
        <f>Github!Q$1297</f>
        <v>101547</v>
      </c>
    </row>
    <row r="797">
      <c r="A797" s="10">
        <f>Github!J$1282</f>
        <v>1281</v>
      </c>
      <c r="B797" s="11" t="str">
        <f>HYPERLINK(CONCAT("http://leetcode.com/problems/",Github!C$1282), Github!B$1282)</f>
        <v>Subtract the Product and Sum of Digits of an Integer</v>
      </c>
      <c r="C797" s="10">
        <f>Github!F$1282</f>
        <v>1028</v>
      </c>
      <c r="D797" s="10">
        <f>Github!G$1282</f>
        <v>183</v>
      </c>
      <c r="E797" s="10">
        <f>Github!F$1282+Github!G$1282</f>
        <v>1211</v>
      </c>
      <c r="F797" s="12">
        <f t="shared" si="1"/>
        <v>5.62</v>
      </c>
      <c r="G797" s="10" t="str">
        <f>Github!H$1282</f>
        <v>Algorithms</v>
      </c>
      <c r="H797" s="13" t="str">
        <f>SUBSTITUTE(Github!L$1282, ";", ", ")</f>
        <v>Math, </v>
      </c>
      <c r="I797" s="10" t="str">
        <f>Github!E$1282</f>
        <v>Easy</v>
      </c>
      <c r="J797" s="10" t="str">
        <f>IF(TRIM(Github!D$1282)="TRUE","FALSE","TRUE")</f>
        <v>TRUE</v>
      </c>
      <c r="K797" s="10" t="b">
        <f>Github!M$1282</f>
        <v>0</v>
      </c>
      <c r="L797" s="10" t="b">
        <f>Github!N$1282</f>
        <v>0</v>
      </c>
      <c r="M797" s="10" t="str">
        <f>ROUND(Github!O$1282, 2)&amp;"%"</f>
        <v>86.1%</v>
      </c>
      <c r="N797" s="10">
        <f>Github!P$1282</f>
        <v>203937</v>
      </c>
      <c r="O797" s="10">
        <f>Github!Q$1282</f>
        <v>236861</v>
      </c>
    </row>
    <row r="798">
      <c r="A798" s="10">
        <f>Github!J$488</f>
        <v>487</v>
      </c>
      <c r="B798" s="11" t="str">
        <f>HYPERLINK(CONCAT("http://leetcode.com/problems/",Github!C$488), Github!B$488)</f>
        <v>Max Consecutive Ones II</v>
      </c>
      <c r="C798" s="10">
        <f>Github!F$488</f>
        <v>1024</v>
      </c>
      <c r="D798" s="10">
        <f>Github!G$488</f>
        <v>21</v>
      </c>
      <c r="E798" s="10">
        <f>Github!F$488+Github!G$488</f>
        <v>1045</v>
      </c>
      <c r="F798" s="12">
        <f t="shared" si="1"/>
        <v>48.76</v>
      </c>
      <c r="G798" s="10" t="str">
        <f>Github!H$488</f>
        <v>Algorithms</v>
      </c>
      <c r="H798" s="13" t="str">
        <f>SUBSTITUTE(Github!L$488, ";", ", ")</f>
        <v>Array, Dynamic Programming, Sliding Window, </v>
      </c>
      <c r="I798" s="10" t="str">
        <f>Github!E$488</f>
        <v>Medium</v>
      </c>
      <c r="J798" s="10" t="str">
        <f>IF(TRIM(Github!D$488)="TRUE","FALSE","TRUE")</f>
        <v>FALSE</v>
      </c>
      <c r="K798" s="10" t="b">
        <f>Github!M$488</f>
        <v>1</v>
      </c>
      <c r="L798" s="10" t="b">
        <f>Github!N$488</f>
        <v>0</v>
      </c>
      <c r="M798" s="10" t="str">
        <f>ROUND(Github!O$488, 2)&amp;"%"</f>
        <v>48.78%</v>
      </c>
      <c r="N798" s="10">
        <f>Github!P$488</f>
        <v>86803</v>
      </c>
      <c r="O798" s="10">
        <f>Github!Q$488</f>
        <v>177936</v>
      </c>
    </row>
    <row r="799">
      <c r="A799" s="10">
        <f>Github!J$1531</f>
        <v>1530</v>
      </c>
      <c r="B799" s="11" t="str">
        <f>HYPERLINK(CONCAT("http://leetcode.com/problems/",Github!C$1531), Github!B$1531)</f>
        <v>Number of Good Leaf Nodes Pairs</v>
      </c>
      <c r="C799" s="10">
        <f>Github!F$1531</f>
        <v>1025</v>
      </c>
      <c r="D799" s="10">
        <f>Github!G$1531</f>
        <v>21</v>
      </c>
      <c r="E799" s="10">
        <f>Github!F$1531+Github!G$1531</f>
        <v>1046</v>
      </c>
      <c r="F799" s="12">
        <f t="shared" si="1"/>
        <v>48.81</v>
      </c>
      <c r="G799" s="10" t="str">
        <f>Github!H$1531</f>
        <v>Algorithms</v>
      </c>
      <c r="H799" s="13" t="str">
        <f>SUBSTITUTE(Github!L$1531, ";", ", ")</f>
        <v>Tree, Depth-First Search, Binary Tree, </v>
      </c>
      <c r="I799" s="10" t="str">
        <f>Github!E$1531</f>
        <v>Medium</v>
      </c>
      <c r="J799" s="10" t="str">
        <f>IF(TRIM(Github!D$1531)="TRUE","FALSE","TRUE")</f>
        <v>TRUE</v>
      </c>
      <c r="K799" s="10" t="b">
        <f>Github!M$1531</f>
        <v>0</v>
      </c>
      <c r="L799" s="10" t="b">
        <f>Github!N$1531</f>
        <v>0</v>
      </c>
      <c r="M799" s="10" t="str">
        <f>ROUND(Github!O$1531, 2)&amp;"%"</f>
        <v>59.49%</v>
      </c>
      <c r="N799" s="10">
        <f>Github!P$1531</f>
        <v>24075</v>
      </c>
      <c r="O799" s="10">
        <f>Github!Q$1531</f>
        <v>40472</v>
      </c>
    </row>
    <row r="800">
      <c r="A800" s="10">
        <f>Github!J$640</f>
        <v>639</v>
      </c>
      <c r="B800" s="11" t="str">
        <f>HYPERLINK(CONCAT("http://leetcode.com/problems/",Github!C$640), Github!B$640)</f>
        <v>Decode Ways II</v>
      </c>
      <c r="C800" s="10">
        <f>Github!F$640</f>
        <v>1020</v>
      </c>
      <c r="D800" s="10">
        <f>Github!G$640</f>
        <v>739</v>
      </c>
      <c r="E800" s="10">
        <f>Github!F$640+Github!G$640</f>
        <v>1759</v>
      </c>
      <c r="F800" s="12">
        <f t="shared" si="1"/>
        <v>1.38</v>
      </c>
      <c r="G800" s="10" t="str">
        <f>Github!H$640</f>
        <v>Algorithms</v>
      </c>
      <c r="H800" s="13" t="str">
        <f>SUBSTITUTE(Github!L$640, ";", ", ")</f>
        <v>String, Dynamic Programming, </v>
      </c>
      <c r="I800" s="10" t="str">
        <f>Github!E$640</f>
        <v>Hard</v>
      </c>
      <c r="J800" s="10" t="str">
        <f>IF(TRIM(Github!D$640)="TRUE","FALSE","TRUE")</f>
        <v>TRUE</v>
      </c>
      <c r="K800" s="10" t="b">
        <f>Github!M$640</f>
        <v>1</v>
      </c>
      <c r="L800" s="10" t="b">
        <f>Github!N$640</f>
        <v>0</v>
      </c>
      <c r="M800" s="10" t="str">
        <f>ROUND(Github!O$640, 2)&amp;"%"</f>
        <v>30.32%</v>
      </c>
      <c r="N800" s="10">
        <f>Github!P$640</f>
        <v>59578</v>
      </c>
      <c r="O800" s="10">
        <f>Github!Q$640</f>
        <v>196469</v>
      </c>
    </row>
    <row r="801">
      <c r="A801" s="10">
        <f>Github!J$989</f>
        <v>988</v>
      </c>
      <c r="B801" s="11" t="str">
        <f>HYPERLINK(CONCAT("http://leetcode.com/problems/",Github!C$989), Github!B$989)</f>
        <v>Smallest String Starting From Leaf</v>
      </c>
      <c r="C801" s="10">
        <f>Github!F$989</f>
        <v>1017</v>
      </c>
      <c r="D801" s="10">
        <f>Github!G$989</f>
        <v>166</v>
      </c>
      <c r="E801" s="10">
        <f>Github!F$989+Github!G$989</f>
        <v>1183</v>
      </c>
      <c r="F801" s="12">
        <f t="shared" si="1"/>
        <v>6.13</v>
      </c>
      <c r="G801" s="10" t="str">
        <f>Github!H$989</f>
        <v>Algorithms</v>
      </c>
      <c r="H801" s="13" t="str">
        <f>SUBSTITUTE(Github!L$989, ";", ", ")</f>
        <v>String, Tree, Depth-First Search, Binary Tree, </v>
      </c>
      <c r="I801" s="10" t="str">
        <f>Github!E$989</f>
        <v>Medium</v>
      </c>
      <c r="J801" s="10" t="str">
        <f>IF(TRIM(Github!D$989)="TRUE","FALSE","TRUE")</f>
        <v>TRUE</v>
      </c>
      <c r="K801" s="10" t="b">
        <f>Github!M$989</f>
        <v>1</v>
      </c>
      <c r="L801" s="10" t="b">
        <f>Github!N$989</f>
        <v>0</v>
      </c>
      <c r="M801" s="10" t="str">
        <f>ROUND(Github!O$989, 2)&amp;"%"</f>
        <v>48.59%</v>
      </c>
      <c r="N801" s="10">
        <f>Github!P$989</f>
        <v>50717</v>
      </c>
      <c r="O801" s="10">
        <f>Github!Q$989</f>
        <v>104368</v>
      </c>
    </row>
    <row r="802">
      <c r="A802" s="10">
        <f>Github!J$1406</f>
        <v>1405</v>
      </c>
      <c r="B802" s="11" t="str">
        <f>HYPERLINK(CONCAT("http://leetcode.com/problems/",Github!C$1406), Github!B$1406)</f>
        <v>Longest Happy String</v>
      </c>
      <c r="C802" s="10">
        <f>Github!F$1406</f>
        <v>1019</v>
      </c>
      <c r="D802" s="10">
        <f>Github!G$1406</f>
        <v>171</v>
      </c>
      <c r="E802" s="10">
        <f>Github!F$1406+Github!G$1406</f>
        <v>1190</v>
      </c>
      <c r="F802" s="12">
        <f t="shared" si="1"/>
        <v>5.96</v>
      </c>
      <c r="G802" s="10" t="str">
        <f>Github!H$1406</f>
        <v>Algorithms</v>
      </c>
      <c r="H802" s="13" t="str">
        <f>SUBSTITUTE(Github!L$1406, ";", ", ")</f>
        <v>String, Greedy, Heap (Priority Queue), </v>
      </c>
      <c r="I802" s="10" t="str">
        <f>Github!E$1406</f>
        <v>Medium</v>
      </c>
      <c r="J802" s="10" t="str">
        <f>IF(TRIM(Github!D$1406)="TRUE","FALSE","TRUE")</f>
        <v>TRUE</v>
      </c>
      <c r="K802" s="10" t="b">
        <f>Github!M$1406</f>
        <v>0</v>
      </c>
      <c r="L802" s="10" t="b">
        <f>Github!N$1406</f>
        <v>0</v>
      </c>
      <c r="M802" s="10" t="str">
        <f>ROUND(Github!O$1406, 2)&amp;"%"</f>
        <v>56.19%</v>
      </c>
      <c r="N802" s="10">
        <f>Github!P$1406</f>
        <v>38389</v>
      </c>
      <c r="O802" s="10">
        <f>Github!Q$1406</f>
        <v>68324</v>
      </c>
    </row>
    <row r="803">
      <c r="A803" s="10">
        <f>Github!J$293</f>
        <v>292</v>
      </c>
      <c r="B803" s="11" t="str">
        <f>HYPERLINK(CONCAT("http://leetcode.com/problems/",Github!C$293), Github!B$293)</f>
        <v>Nim Game</v>
      </c>
      <c r="C803" s="10">
        <f>Github!F$293</f>
        <v>1016</v>
      </c>
      <c r="D803" s="10">
        <f>Github!G$293</f>
        <v>2169</v>
      </c>
      <c r="E803" s="10">
        <f>Github!F$293+Github!G$293</f>
        <v>3185</v>
      </c>
      <c r="F803" s="12">
        <f t="shared" si="1"/>
        <v>0.47</v>
      </c>
      <c r="G803" s="10" t="str">
        <f>Github!H$293</f>
        <v>Algorithms</v>
      </c>
      <c r="H803" s="13" t="str">
        <f>SUBSTITUTE(Github!L$293, ";", ", ")</f>
        <v>Math, Brainteaser, Game Theory, </v>
      </c>
      <c r="I803" s="10" t="str">
        <f>Github!E$293</f>
        <v>Easy</v>
      </c>
      <c r="J803" s="10" t="str">
        <f>IF(TRIM(Github!D$293)="TRUE","FALSE","TRUE")</f>
        <v>TRUE</v>
      </c>
      <c r="K803" s="10" t="b">
        <f>Github!M$293</f>
        <v>1</v>
      </c>
      <c r="L803" s="10" t="b">
        <f>Github!N$293</f>
        <v>0</v>
      </c>
      <c r="M803" s="10" t="str">
        <f>ROUND(Github!O$293, 2)&amp;"%"</f>
        <v>55.43%</v>
      </c>
      <c r="N803" s="10">
        <f>Github!P$293</f>
        <v>272192</v>
      </c>
      <c r="O803" s="10">
        <f>Github!Q$293</f>
        <v>491086</v>
      </c>
    </row>
    <row r="804">
      <c r="A804" s="10">
        <f>Github!J$186</f>
        <v>185</v>
      </c>
      <c r="B804" s="11" t="str">
        <f>HYPERLINK(CONCAT("http://leetcode.com/problems/",Github!C$186), Github!B$186)</f>
        <v>Department Top Three Salaries</v>
      </c>
      <c r="C804" s="10">
        <f>Github!F$186</f>
        <v>1012</v>
      </c>
      <c r="D804" s="10">
        <f>Github!G$186</f>
        <v>180</v>
      </c>
      <c r="E804" s="10">
        <f>Github!F$186+Github!G$186</f>
        <v>1192</v>
      </c>
      <c r="F804" s="12">
        <f t="shared" si="1"/>
        <v>5.62</v>
      </c>
      <c r="G804" s="10" t="str">
        <f>Github!H$186</f>
        <v>Database</v>
      </c>
      <c r="H804" s="13" t="str">
        <f>SUBSTITUTE(Github!L$186, ";", ", ")</f>
        <v>Database, </v>
      </c>
      <c r="I804" s="10" t="str">
        <f>Github!E$186</f>
        <v>Hard</v>
      </c>
      <c r="J804" s="10" t="str">
        <f>IF(TRIM(Github!D$186)="TRUE","FALSE","TRUE")</f>
        <v>TRUE</v>
      </c>
      <c r="K804" s="10" t="b">
        <f>Github!M$186</f>
        <v>1</v>
      </c>
      <c r="L804" s="10" t="b">
        <f>Github!N$186</f>
        <v>0</v>
      </c>
      <c r="M804" s="10" t="str">
        <f>ROUND(Github!O$186, 2)&amp;"%"</f>
        <v>46.27%</v>
      </c>
      <c r="N804" s="10">
        <f>Github!P$186</f>
        <v>157366</v>
      </c>
      <c r="O804" s="10">
        <f>Github!Q$186</f>
        <v>340075</v>
      </c>
    </row>
    <row r="805">
      <c r="A805" s="10">
        <f>Github!J$1373</f>
        <v>1372</v>
      </c>
      <c r="B805" s="11" t="str">
        <f>HYPERLINK(CONCAT("http://leetcode.com/problems/",Github!C$1373), Github!B$1373)</f>
        <v>Longest ZigZag Path in a Binary Tree</v>
      </c>
      <c r="C805" s="10">
        <f>Github!F$1373</f>
        <v>1016</v>
      </c>
      <c r="D805" s="10">
        <f>Github!G$1373</f>
        <v>20</v>
      </c>
      <c r="E805" s="10">
        <f>Github!F$1373+Github!G$1373</f>
        <v>1036</v>
      </c>
      <c r="F805" s="12">
        <f t="shared" si="1"/>
        <v>50.8</v>
      </c>
      <c r="G805" s="10" t="str">
        <f>Github!H$1373</f>
        <v>Algorithms</v>
      </c>
      <c r="H805" s="13" t="str">
        <f>SUBSTITUTE(Github!L$1373, ";", ", ")</f>
        <v>Dynamic Programming, Tree, Depth-First Search, Binary Tree, </v>
      </c>
      <c r="I805" s="10" t="str">
        <f>Github!E$1373</f>
        <v>Medium</v>
      </c>
      <c r="J805" s="10" t="str">
        <f>IF(TRIM(Github!D$1373)="TRUE","FALSE","TRUE")</f>
        <v>TRUE</v>
      </c>
      <c r="K805" s="10" t="b">
        <f>Github!M$1373</f>
        <v>0</v>
      </c>
      <c r="L805" s="10" t="b">
        <f>Github!N$1373</f>
        <v>0</v>
      </c>
      <c r="M805" s="10" t="str">
        <f>ROUND(Github!O$1373, 2)&amp;"%"</f>
        <v>57.88%</v>
      </c>
      <c r="N805" s="10">
        <f>Github!P$1373</f>
        <v>32194</v>
      </c>
      <c r="O805" s="10">
        <f>Github!Q$1373</f>
        <v>55623</v>
      </c>
    </row>
    <row r="806">
      <c r="A806" s="10">
        <f>Github!J$911</f>
        <v>910</v>
      </c>
      <c r="B806" s="11" t="str">
        <f>HYPERLINK(CONCAT("http://leetcode.com/problems/",Github!C$911), Github!B$911)</f>
        <v>Smallest Range II</v>
      </c>
      <c r="C806" s="10">
        <f>Github!F$911</f>
        <v>1011</v>
      </c>
      <c r="D806" s="10">
        <f>Github!G$911</f>
        <v>343</v>
      </c>
      <c r="E806" s="10">
        <f>Github!F$911+Github!G$911</f>
        <v>1354</v>
      </c>
      <c r="F806" s="12">
        <f t="shared" si="1"/>
        <v>2.95</v>
      </c>
      <c r="G806" s="10" t="str">
        <f>Github!H$911</f>
        <v>Algorithms</v>
      </c>
      <c r="H806" s="13" t="str">
        <f>SUBSTITUTE(Github!L$911, ";", ", ")</f>
        <v>Array, Math, Greedy, Sorting, </v>
      </c>
      <c r="I806" s="10" t="str">
        <f>Github!E$911</f>
        <v>Medium</v>
      </c>
      <c r="J806" s="10" t="str">
        <f>IF(TRIM(Github!D$911)="TRUE","FALSE","TRUE")</f>
        <v>TRUE</v>
      </c>
      <c r="K806" s="10" t="b">
        <f>Github!M$911</f>
        <v>1</v>
      </c>
      <c r="L806" s="10" t="b">
        <f>Github!N$911</f>
        <v>0</v>
      </c>
      <c r="M806" s="10" t="str">
        <f>ROUND(Github!O$911, 2)&amp;"%"</f>
        <v>32.32%</v>
      </c>
      <c r="N806" s="10">
        <f>Github!P$911</f>
        <v>31648</v>
      </c>
      <c r="O806" s="10">
        <f>Github!Q$911</f>
        <v>97935</v>
      </c>
    </row>
    <row r="807">
      <c r="A807" s="10">
        <f>Github!J$1510</f>
        <v>1509</v>
      </c>
      <c r="B807" s="11" t="str">
        <f>HYPERLINK(CONCAT("http://leetcode.com/problems/",Github!C$1510), Github!B$1510)</f>
        <v>Minimum Difference Between Largest and Smallest Value in Three Moves</v>
      </c>
      <c r="C807" s="10">
        <f>Github!F$1510</f>
        <v>1011</v>
      </c>
      <c r="D807" s="10">
        <f>Github!G$1510</f>
        <v>144</v>
      </c>
      <c r="E807" s="10">
        <f>Github!F$1510+Github!G$1510</f>
        <v>1155</v>
      </c>
      <c r="F807" s="12">
        <f t="shared" si="1"/>
        <v>7.02</v>
      </c>
      <c r="G807" s="10" t="str">
        <f>Github!H$1510</f>
        <v>Algorithms</v>
      </c>
      <c r="H807" s="13" t="str">
        <f>SUBSTITUTE(Github!L$1510, ";", ", ")</f>
        <v>Array, Greedy, Sorting, </v>
      </c>
      <c r="I807" s="10" t="str">
        <f>Github!E$1510</f>
        <v>Medium</v>
      </c>
      <c r="J807" s="10" t="str">
        <f>IF(TRIM(Github!D$1510)="TRUE","FALSE","TRUE")</f>
        <v>TRUE</v>
      </c>
      <c r="K807" s="10" t="b">
        <f>Github!M$1510</f>
        <v>0</v>
      </c>
      <c r="L807" s="10" t="b">
        <f>Github!N$1510</f>
        <v>0</v>
      </c>
      <c r="M807" s="10" t="str">
        <f>ROUND(Github!O$1510, 2)&amp;"%"</f>
        <v>55.79%</v>
      </c>
      <c r="N807" s="10">
        <f>Github!P$1510</f>
        <v>58107</v>
      </c>
      <c r="O807" s="10">
        <f>Github!Q$1510</f>
        <v>104139</v>
      </c>
    </row>
    <row r="808">
      <c r="A808" s="10">
        <f>Github!J$710</f>
        <v>709</v>
      </c>
      <c r="B808" s="11" t="str">
        <f>HYPERLINK(CONCAT("http://leetcode.com/problems/",Github!C$710), Github!B$710)</f>
        <v>To Lower Case</v>
      </c>
      <c r="C808" s="10">
        <f>Github!F$710</f>
        <v>1010</v>
      </c>
      <c r="D808" s="10">
        <f>Github!G$710</f>
        <v>2262</v>
      </c>
      <c r="E808" s="10">
        <f>Github!F$710+Github!G$710</f>
        <v>3272</v>
      </c>
      <c r="F808" s="12">
        <f t="shared" si="1"/>
        <v>0.45</v>
      </c>
      <c r="G808" s="10" t="str">
        <f>Github!H$710</f>
        <v>Algorithms</v>
      </c>
      <c r="H808" s="13" t="str">
        <f>SUBSTITUTE(Github!L$710, ";", ", ")</f>
        <v>String, </v>
      </c>
      <c r="I808" s="10" t="str">
        <f>Github!E$710</f>
        <v>Easy</v>
      </c>
      <c r="J808" s="10" t="str">
        <f>IF(TRIM(Github!D$710)="TRUE","FALSE","TRUE")</f>
        <v>TRUE</v>
      </c>
      <c r="K808" s="10" t="b">
        <f>Github!M$710</f>
        <v>1</v>
      </c>
      <c r="L808" s="10" t="b">
        <f>Github!N$710</f>
        <v>0</v>
      </c>
      <c r="M808" s="10" t="str">
        <f>ROUND(Github!O$710, 2)&amp;"%"</f>
        <v>81.16%</v>
      </c>
      <c r="N808" s="10">
        <f>Github!P$710</f>
        <v>327443</v>
      </c>
      <c r="O808" s="10">
        <f>Github!Q$710</f>
        <v>403472</v>
      </c>
    </row>
    <row r="809">
      <c r="A809" s="10">
        <f>Github!J$812</f>
        <v>811</v>
      </c>
      <c r="B809" s="11" t="str">
        <f>HYPERLINK(CONCAT("http://leetcode.com/problems/",Github!C$812), Github!B$812)</f>
        <v>Subdomain Visit Count</v>
      </c>
      <c r="C809" s="10">
        <f>Github!F$812</f>
        <v>1009</v>
      </c>
      <c r="D809" s="10">
        <f>Github!G$812</f>
        <v>1091</v>
      </c>
      <c r="E809" s="10">
        <f>Github!F$812+Github!G$812</f>
        <v>2100</v>
      </c>
      <c r="F809" s="12">
        <f t="shared" si="1"/>
        <v>0.92</v>
      </c>
      <c r="G809" s="10" t="str">
        <f>Github!H$812</f>
        <v>Algorithms</v>
      </c>
      <c r="H809" s="13" t="str">
        <f>SUBSTITUTE(Github!L$812, ";", ", ")</f>
        <v>Array, Hash Table, String, Counting, </v>
      </c>
      <c r="I809" s="10" t="str">
        <f>Github!E$812</f>
        <v>Medium</v>
      </c>
      <c r="J809" s="10" t="str">
        <f>IF(TRIM(Github!D$812)="TRUE","FALSE","TRUE")</f>
        <v>TRUE</v>
      </c>
      <c r="K809" s="10" t="b">
        <f>Github!M$812</f>
        <v>1</v>
      </c>
      <c r="L809" s="10" t="b">
        <f>Github!N$812</f>
        <v>0</v>
      </c>
      <c r="M809" s="10" t="str">
        <f>ROUND(Github!O$812, 2)&amp;"%"</f>
        <v>73.96%</v>
      </c>
      <c r="N809" s="10">
        <f>Github!P$812</f>
        <v>164247</v>
      </c>
      <c r="O809" s="10">
        <f>Github!Q$812</f>
        <v>222075</v>
      </c>
    </row>
    <row r="810">
      <c r="A810" s="10">
        <f>Github!J$1824</f>
        <v>1823</v>
      </c>
      <c r="B810" s="11" t="str">
        <f>HYPERLINK(CONCAT("http://leetcode.com/problems/",Github!C$1824), Github!B$1824)</f>
        <v>Find the Winner of the Circular Game</v>
      </c>
      <c r="C810" s="10">
        <f>Github!F$1824</f>
        <v>1007</v>
      </c>
      <c r="D810" s="10">
        <f>Github!G$1824</f>
        <v>29</v>
      </c>
      <c r="E810" s="10">
        <f>Github!F$1824+Github!G$1824</f>
        <v>1036</v>
      </c>
      <c r="F810" s="12">
        <f t="shared" si="1"/>
        <v>34.72</v>
      </c>
      <c r="G810" s="10" t="str">
        <f>Github!H$1824</f>
        <v>Algorithms</v>
      </c>
      <c r="H810" s="13" t="str">
        <f>SUBSTITUTE(Github!L$1824, ";", ", ")</f>
        <v>Array, Math, Recursion, Queue, Simulation, </v>
      </c>
      <c r="I810" s="10" t="str">
        <f>Github!E$1824</f>
        <v>Medium</v>
      </c>
      <c r="J810" s="10" t="str">
        <f>IF(TRIM(Github!D$1824)="TRUE","FALSE","TRUE")</f>
        <v>TRUE</v>
      </c>
      <c r="K810" s="10" t="b">
        <f>Github!M$1824</f>
        <v>0</v>
      </c>
      <c r="L810" s="10" t="b">
        <f>Github!N$1824</f>
        <v>0</v>
      </c>
      <c r="M810" s="10" t="str">
        <f>ROUND(Github!O$1824, 2)&amp;"%"</f>
        <v>76.21%</v>
      </c>
      <c r="N810" s="10">
        <f>Github!P$1824</f>
        <v>38818</v>
      </c>
      <c r="O810" s="10">
        <f>Github!Q$1824</f>
        <v>50938</v>
      </c>
    </row>
    <row r="811">
      <c r="A811" s="10">
        <f>Github!J$273</f>
        <v>272</v>
      </c>
      <c r="B811" s="11" t="str">
        <f>HYPERLINK(CONCAT("http://leetcode.com/problems/",Github!C$273), Github!B$273)</f>
        <v>Closest Binary Search Tree Value II</v>
      </c>
      <c r="C811" s="10">
        <f>Github!F$273</f>
        <v>1005</v>
      </c>
      <c r="D811" s="10">
        <f>Github!G$273</f>
        <v>32</v>
      </c>
      <c r="E811" s="10">
        <f>Github!F$273+Github!G$273</f>
        <v>1037</v>
      </c>
      <c r="F811" s="12">
        <f t="shared" si="1"/>
        <v>31.41</v>
      </c>
      <c r="G811" s="10" t="str">
        <f>Github!H$273</f>
        <v>Algorithms</v>
      </c>
      <c r="H811" s="13" t="str">
        <f>SUBSTITUTE(Github!L$273, ";", ", ")</f>
        <v>Two Pointers, Stack, Tree, Depth-First Search, Binary Search Tree, Heap (Priority Queue), Binary Tree, </v>
      </c>
      <c r="I811" s="10" t="str">
        <f>Github!E$273</f>
        <v>Hard</v>
      </c>
      <c r="J811" s="10" t="str">
        <f>IF(TRIM(Github!D$273)="TRUE","FALSE","TRUE")</f>
        <v>FALSE</v>
      </c>
      <c r="K811" s="10" t="b">
        <f>Github!M$273</f>
        <v>1</v>
      </c>
      <c r="L811" s="10" t="b">
        <f>Github!N$273</f>
        <v>0</v>
      </c>
      <c r="M811" s="10" t="str">
        <f>ROUND(Github!O$273, 2)&amp;"%"</f>
        <v>56.29%</v>
      </c>
      <c r="N811" s="10">
        <f>Github!P$273</f>
        <v>91544</v>
      </c>
      <c r="O811" s="10">
        <f>Github!Q$273</f>
        <v>162622</v>
      </c>
    </row>
    <row r="812">
      <c r="A812" s="10">
        <f>Github!J$746</f>
        <v>745</v>
      </c>
      <c r="B812" s="11" t="str">
        <f>HYPERLINK(CONCAT("http://leetcode.com/problems/",Github!C$746), Github!B$746)</f>
        <v>Prefix and Suffix Search</v>
      </c>
      <c r="C812" s="10">
        <f>Github!F$746</f>
        <v>1005</v>
      </c>
      <c r="D812" s="10">
        <f>Github!G$746</f>
        <v>325</v>
      </c>
      <c r="E812" s="10">
        <f>Github!F$746+Github!G$746</f>
        <v>1330</v>
      </c>
      <c r="F812" s="12">
        <f t="shared" si="1"/>
        <v>3.09</v>
      </c>
      <c r="G812" s="10" t="str">
        <f>Github!H$746</f>
        <v>Algorithms</v>
      </c>
      <c r="H812" s="13" t="str">
        <f>SUBSTITUTE(Github!L$746, ";", ", ")</f>
        <v>String, Design, Trie, </v>
      </c>
      <c r="I812" s="10" t="str">
        <f>Github!E$746</f>
        <v>Hard</v>
      </c>
      <c r="J812" s="10" t="str">
        <f>IF(TRIM(Github!D$746)="TRUE","FALSE","TRUE")</f>
        <v>TRUE</v>
      </c>
      <c r="K812" s="10" t="b">
        <f>Github!M$746</f>
        <v>1</v>
      </c>
      <c r="L812" s="10" t="b">
        <f>Github!N$746</f>
        <v>0</v>
      </c>
      <c r="M812" s="10" t="str">
        <f>ROUND(Github!O$746, 2)&amp;"%"</f>
        <v>36.39%</v>
      </c>
      <c r="N812" s="10">
        <f>Github!P$746</f>
        <v>48722</v>
      </c>
      <c r="O812" s="10">
        <f>Github!Q$746</f>
        <v>133905</v>
      </c>
    </row>
    <row r="813">
      <c r="A813" s="10">
        <f>Github!J$1374</f>
        <v>1373</v>
      </c>
      <c r="B813" s="11" t="str">
        <f>HYPERLINK(CONCAT("http://leetcode.com/problems/",Github!C$1374), Github!B$1374)</f>
        <v>Maximum Sum BST in Binary Tree</v>
      </c>
      <c r="C813" s="10">
        <f>Github!F$1374</f>
        <v>1006</v>
      </c>
      <c r="D813" s="10">
        <f>Github!G$1374</f>
        <v>117</v>
      </c>
      <c r="E813" s="10">
        <f>Github!F$1374+Github!G$1374</f>
        <v>1123</v>
      </c>
      <c r="F813" s="12">
        <f t="shared" si="1"/>
        <v>8.6</v>
      </c>
      <c r="G813" s="10" t="str">
        <f>Github!H$1374</f>
        <v>Algorithms</v>
      </c>
      <c r="H813" s="13" t="str">
        <f>SUBSTITUTE(Github!L$1374, ";", ", ")</f>
        <v>Dynamic Programming, Tree, Depth-First Search, Binary Search Tree, Binary Tree, </v>
      </c>
      <c r="I813" s="10" t="str">
        <f>Github!E$1374</f>
        <v>Hard</v>
      </c>
      <c r="J813" s="10" t="str">
        <f>IF(TRIM(Github!D$1374)="TRUE","FALSE","TRUE")</f>
        <v>TRUE</v>
      </c>
      <c r="K813" s="10" t="b">
        <f>Github!M$1374</f>
        <v>0</v>
      </c>
      <c r="L813" s="10" t="b">
        <f>Github!N$1374</f>
        <v>0</v>
      </c>
      <c r="M813" s="10" t="str">
        <f>ROUND(Github!O$1374, 2)&amp;"%"</f>
        <v>38.55%</v>
      </c>
      <c r="N813" s="10">
        <f>Github!P$1374</f>
        <v>29776</v>
      </c>
      <c r="O813" s="10">
        <f>Github!Q$1374</f>
        <v>77236</v>
      </c>
    </row>
    <row r="814">
      <c r="A814" s="10">
        <f>Github!J$1466</f>
        <v>1465</v>
      </c>
      <c r="B814" s="11" t="str">
        <f>HYPERLINK(CONCAT("http://leetcode.com/problems/",Github!C$1466), Github!B$1466)</f>
        <v>Maximum Area of a Piece of Cake After Horizontal and Vertical Cuts</v>
      </c>
      <c r="C814" s="10">
        <f>Github!F$1466</f>
        <v>1003</v>
      </c>
      <c r="D814" s="10">
        <f>Github!G$1466</f>
        <v>231</v>
      </c>
      <c r="E814" s="10">
        <f>Github!F$1466+Github!G$1466</f>
        <v>1234</v>
      </c>
      <c r="F814" s="12">
        <f t="shared" si="1"/>
        <v>4.34</v>
      </c>
      <c r="G814" s="10" t="str">
        <f>Github!H$1466</f>
        <v>Algorithms</v>
      </c>
      <c r="H814" s="13" t="str">
        <f>SUBSTITUTE(Github!L$1466, ";", ", ")</f>
        <v>Array, Greedy, Sorting, </v>
      </c>
      <c r="I814" s="10" t="str">
        <f>Github!E$1466</f>
        <v>Medium</v>
      </c>
      <c r="J814" s="10" t="str">
        <f>IF(TRIM(Github!D$1466)="TRUE","FALSE","TRUE")</f>
        <v>TRUE</v>
      </c>
      <c r="K814" s="10" t="b">
        <f>Github!M$1466</f>
        <v>1</v>
      </c>
      <c r="L814" s="10" t="b">
        <f>Github!N$1466</f>
        <v>0</v>
      </c>
      <c r="M814" s="10" t="str">
        <f>ROUND(Github!O$1466, 2)&amp;"%"</f>
        <v>37.09%</v>
      </c>
      <c r="N814" s="10">
        <f>Github!P$1466</f>
        <v>89173</v>
      </c>
      <c r="O814" s="10">
        <f>Github!Q$1466</f>
        <v>240411</v>
      </c>
    </row>
    <row r="815">
      <c r="A815" s="10">
        <f>Github!J$506</f>
        <v>505</v>
      </c>
      <c r="B815" s="11" t="str">
        <f>HYPERLINK(CONCAT("http://leetcode.com/problems/",Github!C$506), Github!B$506)</f>
        <v>The Maze II</v>
      </c>
      <c r="C815" s="10">
        <f>Github!F$506</f>
        <v>1000</v>
      </c>
      <c r="D815" s="10">
        <f>Github!G$506</f>
        <v>45</v>
      </c>
      <c r="E815" s="10">
        <f>Github!F$506+Github!G$506</f>
        <v>1045</v>
      </c>
      <c r="F815" s="12">
        <f t="shared" si="1"/>
        <v>22.22</v>
      </c>
      <c r="G815" s="10" t="str">
        <f>Github!H$506</f>
        <v>Algorithms</v>
      </c>
      <c r="H815" s="13" t="str">
        <f>SUBSTITUTE(Github!L$506, ";", ", ")</f>
        <v>Depth-First Search, Breadth-First Search, Graph, Heap (Priority Queue), Shortest Path, </v>
      </c>
      <c r="I815" s="10" t="str">
        <f>Github!E$506</f>
        <v>Medium</v>
      </c>
      <c r="J815" s="10" t="str">
        <f>IF(TRIM(Github!D$506)="TRUE","FALSE","TRUE")</f>
        <v>FALSE</v>
      </c>
      <c r="K815" s="10" t="b">
        <f>Github!M$506</f>
        <v>1</v>
      </c>
      <c r="L815" s="10" t="b">
        <f>Github!N$506</f>
        <v>0</v>
      </c>
      <c r="M815" s="10" t="str">
        <f>ROUND(Github!O$506, 2)&amp;"%"</f>
        <v>51.12%</v>
      </c>
      <c r="N815" s="10">
        <f>Github!P$506</f>
        <v>78197</v>
      </c>
      <c r="O815" s="10">
        <f>Github!Q$506</f>
        <v>152980</v>
      </c>
    </row>
    <row r="816">
      <c r="A816" s="10">
        <f>Github!J$546</f>
        <v>545</v>
      </c>
      <c r="B816" s="11" t="str">
        <f>HYPERLINK(CONCAT("http://leetcode.com/problems/",Github!C$546), Github!B$546)</f>
        <v>Boundary of Binary Tree</v>
      </c>
      <c r="C816" s="10">
        <f>Github!F$546</f>
        <v>999</v>
      </c>
      <c r="D816" s="10">
        <f>Github!G$546</f>
        <v>1628</v>
      </c>
      <c r="E816" s="10">
        <f>Github!F$546+Github!G$546</f>
        <v>2627</v>
      </c>
      <c r="F816" s="12">
        <f t="shared" si="1"/>
        <v>0.61</v>
      </c>
      <c r="G816" s="10" t="str">
        <f>Github!H$546</f>
        <v>Algorithms</v>
      </c>
      <c r="H816" s="13" t="str">
        <f>SUBSTITUTE(Github!L$546, ";", ", ")</f>
        <v>Tree, Depth-First Search, Binary Tree, </v>
      </c>
      <c r="I816" s="10" t="str">
        <f>Github!E$546</f>
        <v>Medium</v>
      </c>
      <c r="J816" s="10" t="str">
        <f>IF(TRIM(Github!D$546)="TRUE","FALSE","TRUE")</f>
        <v>FALSE</v>
      </c>
      <c r="K816" s="10" t="b">
        <f>Github!M$546</f>
        <v>1</v>
      </c>
      <c r="L816" s="10" t="b">
        <f>Github!N$546</f>
        <v>0</v>
      </c>
      <c r="M816" s="10" t="str">
        <f>ROUND(Github!O$546, 2)&amp;"%"</f>
        <v>42.85%</v>
      </c>
      <c r="N816" s="10">
        <f>Github!P$546</f>
        <v>95309</v>
      </c>
      <c r="O816" s="10">
        <f>Github!Q$546</f>
        <v>222436</v>
      </c>
    </row>
    <row r="817">
      <c r="A817" s="10">
        <f>Github!J$183</f>
        <v>182</v>
      </c>
      <c r="B817" s="11" t="str">
        <f>HYPERLINK(CONCAT("http://leetcode.com/problems/",Github!C$183), Github!B$183)</f>
        <v>Duplicate Emails</v>
      </c>
      <c r="C817" s="10">
        <f>Github!F$183</f>
        <v>990</v>
      </c>
      <c r="D817" s="10">
        <f>Github!G$183</f>
        <v>45</v>
      </c>
      <c r="E817" s="10">
        <f>Github!F$183+Github!G$183</f>
        <v>1035</v>
      </c>
      <c r="F817" s="12">
        <f t="shared" si="1"/>
        <v>22</v>
      </c>
      <c r="G817" s="10" t="str">
        <f>Github!H$183</f>
        <v>Database</v>
      </c>
      <c r="H817" s="13" t="str">
        <f>SUBSTITUTE(Github!L$183, ";", ", ")</f>
        <v>Database, </v>
      </c>
      <c r="I817" s="10" t="str">
        <f>Github!E$183</f>
        <v>Easy</v>
      </c>
      <c r="J817" s="10" t="str">
        <f>IF(TRIM(Github!D$183)="TRUE","FALSE","TRUE")</f>
        <v>TRUE</v>
      </c>
      <c r="K817" s="10" t="b">
        <f>Github!M$183</f>
        <v>1</v>
      </c>
      <c r="L817" s="10" t="b">
        <f>Github!N$183</f>
        <v>0</v>
      </c>
      <c r="M817" s="10" t="str">
        <f>ROUND(Github!O$183, 2)&amp;"%"</f>
        <v>68.45%</v>
      </c>
      <c r="N817" s="10">
        <f>Github!P$183</f>
        <v>331704</v>
      </c>
      <c r="O817" s="10">
        <f>Github!Q$183</f>
        <v>484574</v>
      </c>
    </row>
    <row r="818">
      <c r="A818" s="10">
        <f>Github!J$862</f>
        <v>861</v>
      </c>
      <c r="B818" s="11" t="str">
        <f>HYPERLINK(CONCAT("http://leetcode.com/problems/",Github!C$862), Github!B$862)</f>
        <v>Score After Flipping Matrix</v>
      </c>
      <c r="C818" s="10">
        <f>Github!F$862</f>
        <v>989</v>
      </c>
      <c r="D818" s="10">
        <f>Github!G$862</f>
        <v>161</v>
      </c>
      <c r="E818" s="10">
        <f>Github!F$862+Github!G$862</f>
        <v>1150</v>
      </c>
      <c r="F818" s="12">
        <f t="shared" si="1"/>
        <v>6.14</v>
      </c>
      <c r="G818" s="10" t="str">
        <f>Github!H$862</f>
        <v>Algorithms</v>
      </c>
      <c r="H818" s="13" t="str">
        <f>SUBSTITUTE(Github!L$862, ";", ", ")</f>
        <v>Array, Greedy, Bit Manipulation, Matrix, </v>
      </c>
      <c r="I818" s="10" t="str">
        <f>Github!E$862</f>
        <v>Medium</v>
      </c>
      <c r="J818" s="10" t="str">
        <f>IF(TRIM(Github!D$862)="TRUE","FALSE","TRUE")</f>
        <v>TRUE</v>
      </c>
      <c r="K818" s="10" t="b">
        <f>Github!M$862</f>
        <v>0</v>
      </c>
      <c r="L818" s="10" t="b">
        <f>Github!N$862</f>
        <v>0</v>
      </c>
      <c r="M818" s="10" t="str">
        <f>ROUND(Github!O$862, 2)&amp;"%"</f>
        <v>74.71%</v>
      </c>
      <c r="N818" s="10">
        <f>Github!P$862</f>
        <v>33512</v>
      </c>
      <c r="O818" s="10">
        <f>Github!Q$862</f>
        <v>44857</v>
      </c>
    </row>
    <row r="819">
      <c r="A819" s="10">
        <f>Github!J$1029</f>
        <v>1028</v>
      </c>
      <c r="B819" s="11" t="str">
        <f>HYPERLINK(CONCAT("http://leetcode.com/problems/",Github!C$1029), Github!B$1029)</f>
        <v>Recover a Tree From Preorder Traversal</v>
      </c>
      <c r="C819" s="10">
        <f>Github!F$1029</f>
        <v>988</v>
      </c>
      <c r="D819" s="10">
        <f>Github!G$1029</f>
        <v>29</v>
      </c>
      <c r="E819" s="10">
        <f>Github!F$1029+Github!G$1029</f>
        <v>1017</v>
      </c>
      <c r="F819" s="12">
        <f t="shared" si="1"/>
        <v>34.07</v>
      </c>
      <c r="G819" s="10" t="str">
        <f>Github!H$1029</f>
        <v>Algorithms</v>
      </c>
      <c r="H819" s="13" t="str">
        <f>SUBSTITUTE(Github!L$1029, ";", ", ")</f>
        <v>String, Tree, Depth-First Search, Binary Tree, </v>
      </c>
      <c r="I819" s="10" t="str">
        <f>Github!E$1029</f>
        <v>Hard</v>
      </c>
      <c r="J819" s="10" t="str">
        <f>IF(TRIM(Github!D$1029)="TRUE","FALSE","TRUE")</f>
        <v>TRUE</v>
      </c>
      <c r="K819" s="10" t="b">
        <f>Github!M$1029</f>
        <v>0</v>
      </c>
      <c r="L819" s="10" t="b">
        <f>Github!N$1029</f>
        <v>0</v>
      </c>
      <c r="M819" s="10" t="str">
        <f>ROUND(Github!O$1029, 2)&amp;"%"</f>
        <v>72.23%</v>
      </c>
      <c r="N819" s="10">
        <f>Github!P$1029</f>
        <v>33488</v>
      </c>
      <c r="O819" s="10">
        <f>Github!Q$1029</f>
        <v>46360</v>
      </c>
    </row>
    <row r="820">
      <c r="A820" s="10">
        <f>Github!J$1305</f>
        <v>1304</v>
      </c>
      <c r="B820" s="11" t="str">
        <f>HYPERLINK(CONCAT("http://leetcode.com/problems/",Github!C$1305), Github!B$1305)</f>
        <v>Find N Unique Integers Sum up to Zero</v>
      </c>
      <c r="C820" s="10">
        <f>Github!F$1305</f>
        <v>988</v>
      </c>
      <c r="D820" s="10">
        <f>Github!G$1305</f>
        <v>444</v>
      </c>
      <c r="E820" s="10">
        <f>Github!F$1305+Github!G$1305</f>
        <v>1432</v>
      </c>
      <c r="F820" s="12">
        <f t="shared" si="1"/>
        <v>2.23</v>
      </c>
      <c r="G820" s="10" t="str">
        <f>Github!H$1305</f>
        <v>Algorithms</v>
      </c>
      <c r="H820" s="13" t="str">
        <f>SUBSTITUTE(Github!L$1305, ";", ", ")</f>
        <v>Array, Math, </v>
      </c>
      <c r="I820" s="10" t="str">
        <f>Github!E$1305</f>
        <v>Easy</v>
      </c>
      <c r="J820" s="10" t="str">
        <f>IF(TRIM(Github!D$1305)="TRUE","FALSE","TRUE")</f>
        <v>TRUE</v>
      </c>
      <c r="K820" s="10" t="b">
        <f>Github!M$1305</f>
        <v>0</v>
      </c>
      <c r="L820" s="10" t="b">
        <f>Github!N$1305</f>
        <v>0</v>
      </c>
      <c r="M820" s="10" t="str">
        <f>ROUND(Github!O$1305, 2)&amp;"%"</f>
        <v>76.89%</v>
      </c>
      <c r="N820" s="10">
        <f>Github!P$1305</f>
        <v>129270</v>
      </c>
      <c r="O820" s="10">
        <f>Github!Q$1305</f>
        <v>168119</v>
      </c>
    </row>
    <row r="821">
      <c r="A821" s="10">
        <f>Github!J$944</f>
        <v>943</v>
      </c>
      <c r="B821" s="11" t="str">
        <f>HYPERLINK(CONCAT("http://leetcode.com/problems/",Github!C$944), Github!B$944)</f>
        <v>Find the Shortest Superstring</v>
      </c>
      <c r="C821" s="10">
        <f>Github!F$944</f>
        <v>980</v>
      </c>
      <c r="D821" s="10">
        <f>Github!G$944</f>
        <v>125</v>
      </c>
      <c r="E821" s="10">
        <f>Github!F$944+Github!G$944</f>
        <v>1105</v>
      </c>
      <c r="F821" s="12">
        <f t="shared" si="1"/>
        <v>7.84</v>
      </c>
      <c r="G821" s="10" t="str">
        <f>Github!H$944</f>
        <v>Algorithms</v>
      </c>
      <c r="H821" s="13" t="str">
        <f>SUBSTITUTE(Github!L$944, ";", ", ")</f>
        <v>Array, String, Dynamic Programming, Bit Manipulation, Bitmask, </v>
      </c>
      <c r="I821" s="10" t="str">
        <f>Github!E$944</f>
        <v>Hard</v>
      </c>
      <c r="J821" s="10" t="str">
        <f>IF(TRIM(Github!D$944)="TRUE","FALSE","TRUE")</f>
        <v>TRUE</v>
      </c>
      <c r="K821" s="10" t="b">
        <f>Github!M$944</f>
        <v>1</v>
      </c>
      <c r="L821" s="10" t="b">
        <f>Github!N$944</f>
        <v>0</v>
      </c>
      <c r="M821" s="10" t="str">
        <f>ROUND(Github!O$944, 2)&amp;"%"</f>
        <v>45.38%</v>
      </c>
      <c r="N821" s="10">
        <f>Github!P$944</f>
        <v>23082</v>
      </c>
      <c r="O821" s="10">
        <f>Github!Q$944</f>
        <v>50863</v>
      </c>
    </row>
    <row r="822">
      <c r="A822" s="10">
        <f>Github!J$178</f>
        <v>177</v>
      </c>
      <c r="B822" s="11" t="str">
        <f>HYPERLINK(CONCAT("http://leetcode.com/problems/",Github!C$178), Github!B$178)</f>
        <v>Nth Highest Salary</v>
      </c>
      <c r="C822" s="10">
        <f>Github!F$178</f>
        <v>979</v>
      </c>
      <c r="D822" s="10">
        <f>Github!G$178</f>
        <v>630</v>
      </c>
      <c r="E822" s="10">
        <f>Github!F$178+Github!G$178</f>
        <v>1609</v>
      </c>
      <c r="F822" s="12">
        <f t="shared" si="1"/>
        <v>1.55</v>
      </c>
      <c r="G822" s="10" t="str">
        <f>Github!H$178</f>
        <v>Database</v>
      </c>
      <c r="H822" s="13" t="str">
        <f>SUBSTITUTE(Github!L$178, ";", ", ")</f>
        <v>Database, </v>
      </c>
      <c r="I822" s="10" t="str">
        <f>Github!E$178</f>
        <v>Medium</v>
      </c>
      <c r="J822" s="10" t="str">
        <f>IF(TRIM(Github!D$178)="TRUE","FALSE","TRUE")</f>
        <v>TRUE</v>
      </c>
      <c r="K822" s="10" t="b">
        <f>Github!M$178</f>
        <v>0</v>
      </c>
      <c r="L822" s="10" t="b">
        <f>Github!N$178</f>
        <v>0</v>
      </c>
      <c r="M822" s="10" t="str">
        <f>ROUND(Github!O$178, 2)&amp;"%"</f>
        <v>35.82%</v>
      </c>
      <c r="N822" s="10">
        <f>Github!P$178</f>
        <v>225249</v>
      </c>
      <c r="O822" s="10">
        <f>Github!Q$178</f>
        <v>628817</v>
      </c>
    </row>
    <row r="823">
      <c r="A823" s="10">
        <f>Github!J$285</f>
        <v>284</v>
      </c>
      <c r="B823" s="11" t="str">
        <f>HYPERLINK(CONCAT("http://leetcode.com/problems/",Github!C$285), Github!B$285)</f>
        <v>Peeking Iterator</v>
      </c>
      <c r="C823" s="10">
        <f>Github!F$285</f>
        <v>979</v>
      </c>
      <c r="D823" s="10">
        <f>Github!G$285</f>
        <v>677</v>
      </c>
      <c r="E823" s="10">
        <f>Github!F$285+Github!G$285</f>
        <v>1656</v>
      </c>
      <c r="F823" s="12">
        <f t="shared" si="1"/>
        <v>1.45</v>
      </c>
      <c r="G823" s="10" t="str">
        <f>Github!H$285</f>
        <v>Algorithms</v>
      </c>
      <c r="H823" s="13" t="str">
        <f>SUBSTITUTE(Github!L$285, ";", ", ")</f>
        <v>Array, Design, Iterator, </v>
      </c>
      <c r="I823" s="10" t="str">
        <f>Github!E$285</f>
        <v>Medium</v>
      </c>
      <c r="J823" s="10" t="str">
        <f>IF(TRIM(Github!D$285)="TRUE","FALSE","TRUE")</f>
        <v>TRUE</v>
      </c>
      <c r="K823" s="10" t="b">
        <f>Github!M$285</f>
        <v>1</v>
      </c>
      <c r="L823" s="10" t="b">
        <f>Github!N$285</f>
        <v>0</v>
      </c>
      <c r="M823" s="10" t="str">
        <f>ROUND(Github!O$285, 2)&amp;"%"</f>
        <v>53.4%</v>
      </c>
      <c r="N823" s="10">
        <f>Github!P$285</f>
        <v>154338</v>
      </c>
      <c r="O823" s="10">
        <f>Github!Q$285</f>
        <v>289043</v>
      </c>
    </row>
    <row r="824">
      <c r="A824" s="10">
        <f>Github!J$1190</f>
        <v>1189</v>
      </c>
      <c r="B824" s="11" t="str">
        <f>HYPERLINK(CONCAT("http://leetcode.com/problems/",Github!C$1190), Github!B$1190)</f>
        <v>Maximum Number of Balloons</v>
      </c>
      <c r="C824" s="10">
        <f>Github!F$1190</f>
        <v>977</v>
      </c>
      <c r="D824" s="10">
        <f>Github!G$1190</f>
        <v>66</v>
      </c>
      <c r="E824" s="10">
        <f>Github!F$1190+Github!G$1190</f>
        <v>1043</v>
      </c>
      <c r="F824" s="12">
        <f t="shared" si="1"/>
        <v>14.8</v>
      </c>
      <c r="G824" s="10" t="str">
        <f>Github!H$1190</f>
        <v>Algorithms</v>
      </c>
      <c r="H824" s="13" t="str">
        <f>SUBSTITUTE(Github!L$1190, ";", ", ")</f>
        <v>Hash Table, String, Counting, </v>
      </c>
      <c r="I824" s="10" t="str">
        <f>Github!E$1190</f>
        <v>Easy</v>
      </c>
      <c r="J824" s="10" t="str">
        <f>IF(TRIM(Github!D$1190)="TRUE","FALSE","TRUE")</f>
        <v>TRUE</v>
      </c>
      <c r="K824" s="10" t="b">
        <f>Github!M$1190</f>
        <v>1</v>
      </c>
      <c r="L824" s="10" t="b">
        <f>Github!N$1190</f>
        <v>0</v>
      </c>
      <c r="M824" s="10" t="str">
        <f>ROUND(Github!O$1190, 2)&amp;"%"</f>
        <v>62.55%</v>
      </c>
      <c r="N824" s="10">
        <f>Github!P$1190</f>
        <v>107775</v>
      </c>
      <c r="O824" s="10">
        <f>Github!Q$1190</f>
        <v>172290</v>
      </c>
    </row>
    <row r="825">
      <c r="A825" s="10">
        <f>Github!J$589</f>
        <v>588</v>
      </c>
      <c r="B825" s="11" t="str">
        <f>HYPERLINK(CONCAT("http://leetcode.com/problems/",Github!C$589), Github!B$589)</f>
        <v>Design In-Memory File System</v>
      </c>
      <c r="C825" s="10">
        <f>Github!F$589</f>
        <v>977</v>
      </c>
      <c r="D825" s="10">
        <f>Github!G$589</f>
        <v>119</v>
      </c>
      <c r="E825" s="10">
        <f>Github!F$589+Github!G$589</f>
        <v>1096</v>
      </c>
      <c r="F825" s="12">
        <f t="shared" si="1"/>
        <v>8.21</v>
      </c>
      <c r="G825" s="10" t="str">
        <f>Github!H$589</f>
        <v>Algorithms</v>
      </c>
      <c r="H825" s="13" t="str">
        <f>SUBSTITUTE(Github!L$589, ";", ", ")</f>
        <v>Hash Table, String, Design, Trie, </v>
      </c>
      <c r="I825" s="10" t="str">
        <f>Github!E$589</f>
        <v>Hard</v>
      </c>
      <c r="J825" s="10" t="str">
        <f>IF(TRIM(Github!D$589)="TRUE","FALSE","TRUE")</f>
        <v>FALSE</v>
      </c>
      <c r="K825" s="10" t="b">
        <f>Github!M$589</f>
        <v>1</v>
      </c>
      <c r="L825" s="10" t="b">
        <f>Github!N$589</f>
        <v>0</v>
      </c>
      <c r="M825" s="10" t="str">
        <f>ROUND(Github!O$589, 2)&amp;"%"</f>
        <v>48.34%</v>
      </c>
      <c r="N825" s="10">
        <f>Github!P$589</f>
        <v>58768</v>
      </c>
      <c r="O825" s="10">
        <f>Github!Q$589</f>
        <v>121581</v>
      </c>
    </row>
    <row r="826">
      <c r="A826" s="10">
        <f>Github!J$946</f>
        <v>945</v>
      </c>
      <c r="B826" s="11" t="str">
        <f>HYPERLINK(CONCAT("http://leetcode.com/problems/",Github!C$946), Github!B$946)</f>
        <v>Minimum Increment to Make Array Unique</v>
      </c>
      <c r="C826" s="10">
        <f>Github!F$946</f>
        <v>974</v>
      </c>
      <c r="D826" s="10">
        <f>Github!G$946</f>
        <v>42</v>
      </c>
      <c r="E826" s="10">
        <f>Github!F$946+Github!G$946</f>
        <v>1016</v>
      </c>
      <c r="F826" s="12">
        <f t="shared" si="1"/>
        <v>23.19</v>
      </c>
      <c r="G826" s="10" t="str">
        <f>Github!H$946</f>
        <v>Algorithms</v>
      </c>
      <c r="H826" s="13" t="str">
        <f>SUBSTITUTE(Github!L$946, ";", ", ")</f>
        <v>Array, Greedy, Sorting, Counting, </v>
      </c>
      <c r="I826" s="10" t="str">
        <f>Github!E$946</f>
        <v>Medium</v>
      </c>
      <c r="J826" s="10" t="str">
        <f>IF(TRIM(Github!D$946)="TRUE","FALSE","TRUE")</f>
        <v>TRUE</v>
      </c>
      <c r="K826" s="10" t="b">
        <f>Github!M$946</f>
        <v>1</v>
      </c>
      <c r="L826" s="10" t="b">
        <f>Github!N$946</f>
        <v>0</v>
      </c>
      <c r="M826" s="10" t="str">
        <f>ROUND(Github!O$946, 2)&amp;"%"</f>
        <v>48.83%</v>
      </c>
      <c r="N826" s="10">
        <f>Github!P$946</f>
        <v>50918</v>
      </c>
      <c r="O826" s="10">
        <f>Github!Q$946</f>
        <v>104273</v>
      </c>
    </row>
    <row r="827">
      <c r="A827" s="10">
        <f>Github!J$677</f>
        <v>676</v>
      </c>
      <c r="B827" s="11" t="str">
        <f>HYPERLINK(CONCAT("http://leetcode.com/problems/",Github!C$677), Github!B$677)</f>
        <v>Implement Magic Dictionary</v>
      </c>
      <c r="C827" s="10">
        <f>Github!F$677</f>
        <v>973</v>
      </c>
      <c r="D827" s="10">
        <f>Github!G$677</f>
        <v>178</v>
      </c>
      <c r="E827" s="10">
        <f>Github!F$677+Github!G$677</f>
        <v>1151</v>
      </c>
      <c r="F827" s="12">
        <f t="shared" si="1"/>
        <v>5.47</v>
      </c>
      <c r="G827" s="10" t="str">
        <f>Github!H$677</f>
        <v>Algorithms</v>
      </c>
      <c r="H827" s="13" t="str">
        <f>SUBSTITUTE(Github!L$677, ";", ", ")</f>
        <v>Hash Table, String, Design, Trie, </v>
      </c>
      <c r="I827" s="10" t="str">
        <f>Github!E$677</f>
        <v>Medium</v>
      </c>
      <c r="J827" s="10" t="str">
        <f>IF(TRIM(Github!D$677)="TRUE","FALSE","TRUE")</f>
        <v>TRUE</v>
      </c>
      <c r="K827" s="10" t="b">
        <f>Github!M$677</f>
        <v>0</v>
      </c>
      <c r="L827" s="10" t="b">
        <f>Github!N$677</f>
        <v>0</v>
      </c>
      <c r="M827" s="10" t="str">
        <f>ROUND(Github!O$677, 2)&amp;"%"</f>
        <v>56.47%</v>
      </c>
      <c r="N827" s="10">
        <f>Github!P$677</f>
        <v>61266</v>
      </c>
      <c r="O827" s="10">
        <f>Github!Q$677</f>
        <v>108502</v>
      </c>
    </row>
    <row r="828">
      <c r="A828" s="10">
        <f>Github!J$683</f>
        <v>682</v>
      </c>
      <c r="B828" s="11" t="str">
        <f>HYPERLINK(CONCAT("http://leetcode.com/problems/",Github!C$683), Github!B$683)</f>
        <v>Baseball Game</v>
      </c>
      <c r="C828" s="10">
        <f>Github!F$683</f>
        <v>972</v>
      </c>
      <c r="D828" s="10">
        <f>Github!G$683</f>
        <v>1355</v>
      </c>
      <c r="E828" s="10">
        <f>Github!F$683+Github!G$683</f>
        <v>2327</v>
      </c>
      <c r="F828" s="12">
        <f t="shared" si="1"/>
        <v>0.72</v>
      </c>
      <c r="G828" s="10" t="str">
        <f>Github!H$683</f>
        <v>Algorithms</v>
      </c>
      <c r="H828" s="13" t="str">
        <f>SUBSTITUTE(Github!L$683, ";", ", ")</f>
        <v>Array, Stack, Simulation, </v>
      </c>
      <c r="I828" s="10" t="str">
        <f>Github!E$683</f>
        <v>Easy</v>
      </c>
      <c r="J828" s="10" t="str">
        <f>IF(TRIM(Github!D$683)="TRUE","FALSE","TRUE")</f>
        <v>TRUE</v>
      </c>
      <c r="K828" s="10" t="b">
        <f>Github!M$683</f>
        <v>1</v>
      </c>
      <c r="L828" s="10" t="b">
        <f>Github!N$683</f>
        <v>0</v>
      </c>
      <c r="M828" s="10" t="str">
        <f>ROUND(Github!O$683, 2)&amp;"%"</f>
        <v>69.33%</v>
      </c>
      <c r="N828" s="10">
        <f>Github!P$683</f>
        <v>140008</v>
      </c>
      <c r="O828" s="10">
        <f>Github!Q$683</f>
        <v>201946</v>
      </c>
    </row>
    <row r="829">
      <c r="A829" s="10">
        <f>Github!J$830</f>
        <v>829</v>
      </c>
      <c r="B829" s="11" t="str">
        <f>HYPERLINK(CONCAT("http://leetcode.com/problems/",Github!C$830), Github!B$830)</f>
        <v>Consecutive Numbers Sum</v>
      </c>
      <c r="C829" s="10">
        <f>Github!F$830</f>
        <v>972</v>
      </c>
      <c r="D829" s="10">
        <f>Github!G$830</f>
        <v>1171</v>
      </c>
      <c r="E829" s="10">
        <f>Github!F$830+Github!G$830</f>
        <v>2143</v>
      </c>
      <c r="F829" s="12">
        <f t="shared" si="1"/>
        <v>0.83</v>
      </c>
      <c r="G829" s="10" t="str">
        <f>Github!H$830</f>
        <v>Algorithms</v>
      </c>
      <c r="H829" s="13" t="str">
        <f>SUBSTITUTE(Github!L$830, ";", ", ")</f>
        <v>Math, Enumeration, </v>
      </c>
      <c r="I829" s="10" t="str">
        <f>Github!E$830</f>
        <v>Hard</v>
      </c>
      <c r="J829" s="10" t="str">
        <f>IF(TRIM(Github!D$830)="TRUE","FALSE","TRUE")</f>
        <v>TRUE</v>
      </c>
      <c r="K829" s="10" t="b">
        <f>Github!M$830</f>
        <v>1</v>
      </c>
      <c r="L829" s="10" t="b">
        <f>Github!N$830</f>
        <v>0</v>
      </c>
      <c r="M829" s="10" t="str">
        <f>ROUND(Github!O$830, 2)&amp;"%"</f>
        <v>40.89%</v>
      </c>
      <c r="N829" s="10">
        <f>Github!P$830</f>
        <v>66079</v>
      </c>
      <c r="O829" s="10">
        <f>Github!Q$830</f>
        <v>161586</v>
      </c>
    </row>
    <row r="830">
      <c r="A830" s="10">
        <f>Github!J$1573</f>
        <v>1572</v>
      </c>
      <c r="B830" s="11" t="str">
        <f>HYPERLINK(CONCAT("http://leetcode.com/problems/",Github!C$1573), Github!B$1573)</f>
        <v>Matrix Diagonal Sum</v>
      </c>
      <c r="C830" s="10">
        <f>Github!F$1573</f>
        <v>972</v>
      </c>
      <c r="D830" s="10">
        <f>Github!G$1573</f>
        <v>20</v>
      </c>
      <c r="E830" s="10">
        <f>Github!F$1573+Github!G$1573</f>
        <v>992</v>
      </c>
      <c r="F830" s="12">
        <f t="shared" si="1"/>
        <v>48.6</v>
      </c>
      <c r="G830" s="10" t="str">
        <f>Github!H$1573</f>
        <v>Algorithms</v>
      </c>
      <c r="H830" s="13" t="str">
        <f>SUBSTITUTE(Github!L$1573, ";", ", ")</f>
        <v>Array, Matrix, </v>
      </c>
      <c r="I830" s="10" t="str">
        <f>Github!E$1573</f>
        <v>Easy</v>
      </c>
      <c r="J830" s="10" t="str">
        <f>IF(TRIM(Github!D$1573)="TRUE","FALSE","TRUE")</f>
        <v>TRUE</v>
      </c>
      <c r="K830" s="10" t="b">
        <f>Github!M$1573</f>
        <v>0</v>
      </c>
      <c r="L830" s="10" t="b">
        <f>Github!N$1573</f>
        <v>0</v>
      </c>
      <c r="M830" s="10" t="str">
        <f>ROUND(Github!O$1573, 2)&amp;"%"</f>
        <v>78.78%</v>
      </c>
      <c r="N830" s="10">
        <f>Github!P$1573</f>
        <v>91263</v>
      </c>
      <c r="O830" s="10">
        <f>Github!Q$1573</f>
        <v>115841</v>
      </c>
    </row>
    <row r="831">
      <c r="A831" s="10">
        <f>Github!J$1110</f>
        <v>1109</v>
      </c>
      <c r="B831" s="11" t="str">
        <f>HYPERLINK(CONCAT("http://leetcode.com/problems/",Github!C$1110), Github!B$1110)</f>
        <v>Corporate Flight Bookings</v>
      </c>
      <c r="C831" s="10">
        <f>Github!F$1110</f>
        <v>972</v>
      </c>
      <c r="D831" s="10">
        <f>Github!G$1110</f>
        <v>139</v>
      </c>
      <c r="E831" s="10">
        <f>Github!F$1110+Github!G$1110</f>
        <v>1111</v>
      </c>
      <c r="F831" s="12">
        <f t="shared" si="1"/>
        <v>6.99</v>
      </c>
      <c r="G831" s="10" t="str">
        <f>Github!H$1110</f>
        <v>Algorithms</v>
      </c>
      <c r="H831" s="13" t="str">
        <f>SUBSTITUTE(Github!L$1110, ";", ", ")</f>
        <v>Array, Prefix Sum, </v>
      </c>
      <c r="I831" s="10" t="str">
        <f>Github!E$1110</f>
        <v>Medium</v>
      </c>
      <c r="J831" s="10" t="str">
        <f>IF(TRIM(Github!D$1110)="TRUE","FALSE","TRUE")</f>
        <v>TRUE</v>
      </c>
      <c r="K831" s="10" t="b">
        <f>Github!M$1110</f>
        <v>0</v>
      </c>
      <c r="L831" s="10" t="b">
        <f>Github!N$1110</f>
        <v>0</v>
      </c>
      <c r="M831" s="10" t="str">
        <f>ROUND(Github!O$1110, 2)&amp;"%"</f>
        <v>58.06%</v>
      </c>
      <c r="N831" s="10">
        <f>Github!P$1110</f>
        <v>36790</v>
      </c>
      <c r="O831" s="10">
        <f>Github!Q$1110</f>
        <v>63362</v>
      </c>
    </row>
    <row r="832">
      <c r="A832" s="10">
        <f>Github!J$1414</f>
        <v>1413</v>
      </c>
      <c r="B832" s="11" t="str">
        <f>HYPERLINK(CONCAT("http://leetcode.com/problems/",Github!C$1414), Github!B$1414)</f>
        <v>Minimum Value to Get Positive Step by Step Sum</v>
      </c>
      <c r="C832" s="10">
        <f>Github!F$1414</f>
        <v>972</v>
      </c>
      <c r="D832" s="10">
        <f>Github!G$1414</f>
        <v>223</v>
      </c>
      <c r="E832" s="10">
        <f>Github!F$1414+Github!G$1414</f>
        <v>1195</v>
      </c>
      <c r="F832" s="12">
        <f t="shared" si="1"/>
        <v>4.36</v>
      </c>
      <c r="G832" s="10" t="str">
        <f>Github!H$1414</f>
        <v>Algorithms</v>
      </c>
      <c r="H832" s="13" t="str">
        <f>SUBSTITUTE(Github!L$1414, ";", ", ")</f>
        <v>Array, Prefix Sum, </v>
      </c>
      <c r="I832" s="10" t="str">
        <f>Github!E$1414</f>
        <v>Easy</v>
      </c>
      <c r="J832" s="10" t="str">
        <f>IF(TRIM(Github!D$1414)="TRUE","FALSE","TRUE")</f>
        <v>TRUE</v>
      </c>
      <c r="K832" s="10" t="b">
        <f>Github!M$1414</f>
        <v>1</v>
      </c>
      <c r="L832" s="10" t="b">
        <f>Github!N$1414</f>
        <v>0</v>
      </c>
      <c r="M832" s="10" t="str">
        <f>ROUND(Github!O$1414, 2)&amp;"%"</f>
        <v>68.7%</v>
      </c>
      <c r="N832" s="10">
        <f>Github!P$1414</f>
        <v>66937</v>
      </c>
      <c r="O832" s="10">
        <f>Github!Q$1414</f>
        <v>97432</v>
      </c>
    </row>
    <row r="833">
      <c r="A833" s="10">
        <f>Github!J$244</f>
        <v>243</v>
      </c>
      <c r="B833" s="11" t="str">
        <f>HYPERLINK(CONCAT("http://leetcode.com/problems/",Github!C$244), Github!B$244)</f>
        <v>Shortest Word Distance</v>
      </c>
      <c r="C833" s="10">
        <f>Github!F$244</f>
        <v>970</v>
      </c>
      <c r="D833" s="10">
        <f>Github!G$244</f>
        <v>82</v>
      </c>
      <c r="E833" s="10">
        <f>Github!F$244+Github!G$244</f>
        <v>1052</v>
      </c>
      <c r="F833" s="12">
        <f t="shared" si="1"/>
        <v>11.83</v>
      </c>
      <c r="G833" s="10" t="str">
        <f>Github!H$244</f>
        <v>Algorithms</v>
      </c>
      <c r="H833" s="13" t="str">
        <f>SUBSTITUTE(Github!L$244, ";", ", ")</f>
        <v>Array, String, </v>
      </c>
      <c r="I833" s="10" t="str">
        <f>Github!E$244</f>
        <v>Easy</v>
      </c>
      <c r="J833" s="10" t="str">
        <f>IF(TRIM(Github!D$244)="TRUE","FALSE","TRUE")</f>
        <v>FALSE</v>
      </c>
      <c r="K833" s="10" t="b">
        <f>Github!M$244</f>
        <v>1</v>
      </c>
      <c r="L833" s="10" t="b">
        <f>Github!N$244</f>
        <v>0</v>
      </c>
      <c r="M833" s="10" t="str">
        <f>ROUND(Github!O$244, 2)&amp;"%"</f>
        <v>64.09%</v>
      </c>
      <c r="N833" s="10">
        <f>Github!P$244</f>
        <v>168302</v>
      </c>
      <c r="O833" s="10">
        <f>Github!Q$244</f>
        <v>262608</v>
      </c>
    </row>
    <row r="834">
      <c r="A834" s="10">
        <f>Github!J$1168</f>
        <v>1167</v>
      </c>
      <c r="B834" s="11" t="str">
        <f>HYPERLINK(CONCAT("http://leetcode.com/problems/",Github!C$1168), Github!B$1168)</f>
        <v>Minimum Cost to Connect Sticks</v>
      </c>
      <c r="C834" s="10">
        <f>Github!F$1168</f>
        <v>969</v>
      </c>
      <c r="D834" s="10">
        <f>Github!G$1168</f>
        <v>148</v>
      </c>
      <c r="E834" s="10">
        <f>Github!F$1168+Github!G$1168</f>
        <v>1117</v>
      </c>
      <c r="F834" s="12">
        <f t="shared" si="1"/>
        <v>6.55</v>
      </c>
      <c r="G834" s="10" t="str">
        <f>Github!H$1168</f>
        <v>Algorithms</v>
      </c>
      <c r="H834" s="13" t="str">
        <f>SUBSTITUTE(Github!L$1168, ";", ", ")</f>
        <v>Array, Greedy, Heap (Priority Queue), </v>
      </c>
      <c r="I834" s="10" t="str">
        <f>Github!E$1168</f>
        <v>Medium</v>
      </c>
      <c r="J834" s="10" t="str">
        <f>IF(TRIM(Github!D$1168)="TRUE","FALSE","TRUE")</f>
        <v>FALSE</v>
      </c>
      <c r="K834" s="10" t="b">
        <f>Github!M$1168</f>
        <v>1</v>
      </c>
      <c r="L834" s="10" t="b">
        <f>Github!N$1168</f>
        <v>1</v>
      </c>
      <c r="M834" s="10" t="str">
        <f>ROUND(Github!O$1168, 2)&amp;"%"</f>
        <v>66.83%</v>
      </c>
      <c r="N834" s="10">
        <f>Github!P$1168</f>
        <v>81558</v>
      </c>
      <c r="O834" s="10">
        <f>Github!Q$1168</f>
        <v>122037</v>
      </c>
    </row>
    <row r="835">
      <c r="A835" s="10">
        <f>Github!J$1476</f>
        <v>1475</v>
      </c>
      <c r="B835" s="11" t="str">
        <f>HYPERLINK(CONCAT("http://leetcode.com/problems/",Github!C$1476), Github!B$1476)</f>
        <v>Final Prices With a Special Discount in a Shop</v>
      </c>
      <c r="C835" s="10">
        <f>Github!F$1476</f>
        <v>968</v>
      </c>
      <c r="D835" s="10">
        <f>Github!G$1476</f>
        <v>64</v>
      </c>
      <c r="E835" s="10">
        <f>Github!F$1476+Github!G$1476</f>
        <v>1032</v>
      </c>
      <c r="F835" s="12">
        <f t="shared" si="1"/>
        <v>15.13</v>
      </c>
      <c r="G835" s="10" t="str">
        <f>Github!H$1476</f>
        <v>Algorithms</v>
      </c>
      <c r="H835" s="13" t="str">
        <f>SUBSTITUTE(Github!L$1476, ";", ", ")</f>
        <v>Array, Stack, Monotonic Stack, </v>
      </c>
      <c r="I835" s="10" t="str">
        <f>Github!E$1476</f>
        <v>Easy</v>
      </c>
      <c r="J835" s="10" t="str">
        <f>IF(TRIM(Github!D$1476)="TRUE","FALSE","TRUE")</f>
        <v>TRUE</v>
      </c>
      <c r="K835" s="10" t="b">
        <f>Github!M$1476</f>
        <v>0</v>
      </c>
      <c r="L835" s="10" t="b">
        <f>Github!N$1476</f>
        <v>0</v>
      </c>
      <c r="M835" s="10" t="str">
        <f>ROUND(Github!O$1476, 2)&amp;"%"</f>
        <v>75.12%</v>
      </c>
      <c r="N835" s="10">
        <f>Github!P$1476</f>
        <v>71031</v>
      </c>
      <c r="O835" s="10">
        <f>Github!Q$1476</f>
        <v>94558</v>
      </c>
    </row>
    <row r="836">
      <c r="A836" s="10">
        <f>Github!J$1369</f>
        <v>1368</v>
      </c>
      <c r="B836" s="11" t="str">
        <f>HYPERLINK(CONCAT("http://leetcode.com/problems/",Github!C$1369), Github!B$1369)</f>
        <v>Minimum Cost to Make at Least One Valid Path in a Grid</v>
      </c>
      <c r="C836" s="10">
        <f>Github!F$1369</f>
        <v>964</v>
      </c>
      <c r="D836" s="10">
        <f>Github!G$1369</f>
        <v>7</v>
      </c>
      <c r="E836" s="10">
        <f>Github!F$1369+Github!G$1369</f>
        <v>971</v>
      </c>
      <c r="F836" s="12">
        <f t="shared" si="1"/>
        <v>137.71</v>
      </c>
      <c r="G836" s="10" t="str">
        <f>Github!H$1369</f>
        <v>Algorithms</v>
      </c>
      <c r="H836" s="13" t="str">
        <f>SUBSTITUTE(Github!L$1369, ";", ", ")</f>
        <v>Array, Breadth-First Search, Graph, Heap (Priority Queue), Matrix, Shortest Path, </v>
      </c>
      <c r="I836" s="10" t="str">
        <f>Github!E$1369</f>
        <v>Hard</v>
      </c>
      <c r="J836" s="10" t="str">
        <f>IF(TRIM(Github!D$1369)="TRUE","FALSE","TRUE")</f>
        <v>TRUE</v>
      </c>
      <c r="K836" s="10" t="b">
        <f>Github!M$1369</f>
        <v>0</v>
      </c>
      <c r="L836" s="10" t="b">
        <f>Github!N$1369</f>
        <v>0</v>
      </c>
      <c r="M836" s="10" t="str">
        <f>ROUND(Github!O$1369, 2)&amp;"%"</f>
        <v>60.37%</v>
      </c>
      <c r="N836" s="10">
        <f>Github!P$1369</f>
        <v>29063</v>
      </c>
      <c r="O836" s="10">
        <f>Github!Q$1369</f>
        <v>48143</v>
      </c>
    </row>
    <row r="837">
      <c r="A837" s="10">
        <f>Github!J$639</f>
        <v>638</v>
      </c>
      <c r="B837" s="11" t="str">
        <f>HYPERLINK(CONCAT("http://leetcode.com/problems/",Github!C$639), Github!B$639)</f>
        <v>Shopping Offers</v>
      </c>
      <c r="C837" s="10">
        <f>Github!F$639</f>
        <v>958</v>
      </c>
      <c r="D837" s="10">
        <f>Github!G$639</f>
        <v>620</v>
      </c>
      <c r="E837" s="10">
        <f>Github!F$639+Github!G$639</f>
        <v>1578</v>
      </c>
      <c r="F837" s="12">
        <f t="shared" si="1"/>
        <v>1.55</v>
      </c>
      <c r="G837" s="10" t="str">
        <f>Github!H$639</f>
        <v>Algorithms</v>
      </c>
      <c r="H837" s="13" t="str">
        <f>SUBSTITUTE(Github!L$639, ";", ", ")</f>
        <v>Array, Dynamic Programming, Backtracking, Bit Manipulation, Memoization, Bitmask, </v>
      </c>
      <c r="I837" s="10" t="str">
        <f>Github!E$639</f>
        <v>Medium</v>
      </c>
      <c r="J837" s="10" t="str">
        <f>IF(TRIM(Github!D$639)="TRUE","FALSE","TRUE")</f>
        <v>TRUE</v>
      </c>
      <c r="K837" s="10" t="b">
        <f>Github!M$639</f>
        <v>1</v>
      </c>
      <c r="L837" s="10" t="b">
        <f>Github!N$639</f>
        <v>0</v>
      </c>
      <c r="M837" s="10" t="str">
        <f>ROUND(Github!O$639, 2)&amp;"%"</f>
        <v>54.47%</v>
      </c>
      <c r="N837" s="10">
        <f>Github!P$639</f>
        <v>44674</v>
      </c>
      <c r="O837" s="10">
        <f>Github!Q$639</f>
        <v>82020</v>
      </c>
    </row>
    <row r="838">
      <c r="A838" s="10">
        <f>Github!J$1016</f>
        <v>1015</v>
      </c>
      <c r="B838" s="11" t="str">
        <f>HYPERLINK(CONCAT("http://leetcode.com/problems/",Github!C$1016), Github!B$1016)</f>
        <v>Smallest Integer Divisible by K</v>
      </c>
      <c r="C838" s="10">
        <f>Github!F$1016</f>
        <v>959</v>
      </c>
      <c r="D838" s="10">
        <f>Github!G$1016</f>
        <v>789</v>
      </c>
      <c r="E838" s="10">
        <f>Github!F$1016+Github!G$1016</f>
        <v>1748</v>
      </c>
      <c r="F838" s="12">
        <f t="shared" si="1"/>
        <v>1.22</v>
      </c>
      <c r="G838" s="10" t="str">
        <f>Github!H$1016</f>
        <v>Algorithms</v>
      </c>
      <c r="H838" s="13" t="str">
        <f>SUBSTITUTE(Github!L$1016, ";", ", ")</f>
        <v>Hash Table, Math, </v>
      </c>
      <c r="I838" s="10" t="str">
        <f>Github!E$1016</f>
        <v>Medium</v>
      </c>
      <c r="J838" s="10" t="str">
        <f>IF(TRIM(Github!D$1016)="TRUE","FALSE","TRUE")</f>
        <v>TRUE</v>
      </c>
      <c r="K838" s="10" t="b">
        <f>Github!M$1016</f>
        <v>1</v>
      </c>
      <c r="L838" s="10" t="b">
        <f>Github!N$1016</f>
        <v>0</v>
      </c>
      <c r="M838" s="10" t="str">
        <f>ROUND(Github!O$1016, 2)&amp;"%"</f>
        <v>46.95%</v>
      </c>
      <c r="N838" s="10">
        <f>Github!P$1016</f>
        <v>54343</v>
      </c>
      <c r="O838" s="10">
        <f>Github!Q$1016</f>
        <v>115737</v>
      </c>
    </row>
    <row r="839">
      <c r="A839" s="10">
        <f>Github!J$1040</f>
        <v>1039</v>
      </c>
      <c r="B839" s="11" t="str">
        <f>HYPERLINK(CONCAT("http://leetcode.com/problems/",Github!C$1040), Github!B$1040)</f>
        <v>Minimum Score Triangulation of Polygon</v>
      </c>
      <c r="C839" s="10">
        <f>Github!F$1040</f>
        <v>956</v>
      </c>
      <c r="D839" s="10">
        <f>Github!G$1040</f>
        <v>109</v>
      </c>
      <c r="E839" s="10">
        <f>Github!F$1040+Github!G$1040</f>
        <v>1065</v>
      </c>
      <c r="F839" s="12">
        <f t="shared" si="1"/>
        <v>8.77</v>
      </c>
      <c r="G839" s="10" t="str">
        <f>Github!H$1040</f>
        <v>Algorithms</v>
      </c>
      <c r="H839" s="13" t="str">
        <f>SUBSTITUTE(Github!L$1040, ";", ", ")</f>
        <v>Array, Dynamic Programming, </v>
      </c>
      <c r="I839" s="10" t="str">
        <f>Github!E$1040</f>
        <v>Medium</v>
      </c>
      <c r="J839" s="10" t="str">
        <f>IF(TRIM(Github!D$1040)="TRUE","FALSE","TRUE")</f>
        <v>TRUE</v>
      </c>
      <c r="K839" s="10" t="b">
        <f>Github!M$1040</f>
        <v>0</v>
      </c>
      <c r="L839" s="10" t="b">
        <f>Github!N$1040</f>
        <v>0</v>
      </c>
      <c r="M839" s="10" t="str">
        <f>ROUND(Github!O$1040, 2)&amp;"%"</f>
        <v>52.4%</v>
      </c>
      <c r="N839" s="10">
        <f>Github!P$1040</f>
        <v>21266</v>
      </c>
      <c r="O839" s="10">
        <f>Github!Q$1040</f>
        <v>40581</v>
      </c>
    </row>
    <row r="840">
      <c r="A840" s="10">
        <f>Github!J$389</f>
        <v>388</v>
      </c>
      <c r="B840" s="11" t="str">
        <f>HYPERLINK(CONCAT("http://leetcode.com/problems/",Github!C$389), Github!B$389)</f>
        <v>Longest Absolute File Path</v>
      </c>
      <c r="C840" s="10">
        <f>Github!F$389</f>
        <v>954</v>
      </c>
      <c r="D840" s="10">
        <f>Github!G$389</f>
        <v>2092</v>
      </c>
      <c r="E840" s="10">
        <f>Github!F$389+Github!G$389</f>
        <v>3046</v>
      </c>
      <c r="F840" s="12">
        <f t="shared" si="1"/>
        <v>0.46</v>
      </c>
      <c r="G840" s="10" t="str">
        <f>Github!H$389</f>
        <v>Algorithms</v>
      </c>
      <c r="H840" s="13" t="str">
        <f>SUBSTITUTE(Github!L$389, ";", ", ")</f>
        <v>String, Stack, Depth-First Search, </v>
      </c>
      <c r="I840" s="10" t="str">
        <f>Github!E$389</f>
        <v>Medium</v>
      </c>
      <c r="J840" s="10" t="str">
        <f>IF(TRIM(Github!D$389)="TRUE","FALSE","TRUE")</f>
        <v>TRUE</v>
      </c>
      <c r="K840" s="10" t="b">
        <f>Github!M$389</f>
        <v>0</v>
      </c>
      <c r="L840" s="10" t="b">
        <f>Github!N$389</f>
        <v>0</v>
      </c>
      <c r="M840" s="10" t="str">
        <f>ROUND(Github!O$389, 2)&amp;"%"</f>
        <v>45.67%</v>
      </c>
      <c r="N840" s="10">
        <f>Github!P$389</f>
        <v>125345</v>
      </c>
      <c r="O840" s="10">
        <f>Github!Q$389</f>
        <v>274445</v>
      </c>
    </row>
    <row r="841">
      <c r="A841" s="10">
        <f>Github!J$977</f>
        <v>976</v>
      </c>
      <c r="B841" s="11" t="str">
        <f>HYPERLINK(CONCAT("http://leetcode.com/problems/",Github!C$977), Github!B$977)</f>
        <v>Largest Perimeter Triangle</v>
      </c>
      <c r="C841" s="10">
        <f>Github!F$977</f>
        <v>959</v>
      </c>
      <c r="D841" s="10">
        <f>Github!G$977</f>
        <v>91</v>
      </c>
      <c r="E841" s="10">
        <f>Github!F$977+Github!G$977</f>
        <v>1050</v>
      </c>
      <c r="F841" s="12">
        <f t="shared" si="1"/>
        <v>10.54</v>
      </c>
      <c r="G841" s="10" t="str">
        <f>Github!H$977</f>
        <v>Algorithms</v>
      </c>
      <c r="H841" s="13" t="str">
        <f>SUBSTITUTE(Github!L$977, ";", ", ")</f>
        <v>Array, Math, Greedy, Sorting, </v>
      </c>
      <c r="I841" s="10" t="str">
        <f>Github!E$977</f>
        <v>Easy</v>
      </c>
      <c r="J841" s="10" t="str">
        <f>IF(TRIM(Github!D$977)="TRUE","FALSE","TRUE")</f>
        <v>TRUE</v>
      </c>
      <c r="K841" s="10" t="b">
        <f>Github!M$977</f>
        <v>1</v>
      </c>
      <c r="L841" s="10" t="b">
        <f>Github!N$977</f>
        <v>0</v>
      </c>
      <c r="M841" s="10" t="str">
        <f>ROUND(Github!O$977, 2)&amp;"%"</f>
        <v>58.35%</v>
      </c>
      <c r="N841" s="10">
        <f>Github!P$977</f>
        <v>66526</v>
      </c>
      <c r="O841" s="10">
        <f>Github!Q$977</f>
        <v>114017</v>
      </c>
    </row>
    <row r="842">
      <c r="A842" s="10">
        <f>Github!J$1283</f>
        <v>1282</v>
      </c>
      <c r="B842" s="11" t="str">
        <f>HYPERLINK(CONCAT("http://leetcode.com/problems/",Github!C$1283), Github!B$1283)</f>
        <v>Group the People Given the Group Size They Belong To</v>
      </c>
      <c r="C842" s="10">
        <f>Github!F$1283</f>
        <v>953</v>
      </c>
      <c r="D842" s="10">
        <f>Github!G$1283</f>
        <v>454</v>
      </c>
      <c r="E842" s="10">
        <f>Github!F$1283+Github!G$1283</f>
        <v>1407</v>
      </c>
      <c r="F842" s="12">
        <f t="shared" si="1"/>
        <v>2.1</v>
      </c>
      <c r="G842" s="10" t="str">
        <f>Github!H$1283</f>
        <v>Algorithms</v>
      </c>
      <c r="H842" s="13" t="str">
        <f>SUBSTITUTE(Github!L$1283, ";", ", ")</f>
        <v>Array, Hash Table, </v>
      </c>
      <c r="I842" s="10" t="str">
        <f>Github!E$1283</f>
        <v>Medium</v>
      </c>
      <c r="J842" s="10" t="str">
        <f>IF(TRIM(Github!D$1283)="TRUE","FALSE","TRUE")</f>
        <v>TRUE</v>
      </c>
      <c r="K842" s="10" t="b">
        <f>Github!M$1283</f>
        <v>0</v>
      </c>
      <c r="L842" s="10" t="b">
        <f>Github!N$1283</f>
        <v>0</v>
      </c>
      <c r="M842" s="10" t="str">
        <f>ROUND(Github!O$1283, 2)&amp;"%"</f>
        <v>85.22%</v>
      </c>
      <c r="N842" s="10">
        <f>Github!P$1283</f>
        <v>76326</v>
      </c>
      <c r="O842" s="10">
        <f>Github!Q$1283</f>
        <v>89564</v>
      </c>
    </row>
    <row r="843">
      <c r="A843" s="10">
        <f>Github!J$1390</f>
        <v>1389</v>
      </c>
      <c r="B843" s="11" t="str">
        <f>HYPERLINK(CONCAT("http://leetcode.com/problems/",Github!C$1390), Github!B$1390)</f>
        <v>Create Target Array in the Given Order</v>
      </c>
      <c r="C843" s="10">
        <f>Github!F$1390</f>
        <v>945</v>
      </c>
      <c r="D843" s="10">
        <f>Github!G$1390</f>
        <v>1112</v>
      </c>
      <c r="E843" s="10">
        <f>Github!F$1390+Github!G$1390</f>
        <v>2057</v>
      </c>
      <c r="F843" s="12">
        <f t="shared" si="1"/>
        <v>0.85</v>
      </c>
      <c r="G843" s="10" t="str">
        <f>Github!H$1390</f>
        <v>Algorithms</v>
      </c>
      <c r="H843" s="13" t="str">
        <f>SUBSTITUTE(Github!L$1390, ";", ", ")</f>
        <v>Array, Simulation, </v>
      </c>
      <c r="I843" s="10" t="str">
        <f>Github!E$1390</f>
        <v>Easy</v>
      </c>
      <c r="J843" s="10" t="str">
        <f>IF(TRIM(Github!D$1390)="TRUE","FALSE","TRUE")</f>
        <v>TRUE</v>
      </c>
      <c r="K843" s="10" t="b">
        <f>Github!M$1390</f>
        <v>0</v>
      </c>
      <c r="L843" s="10" t="b">
        <f>Github!N$1390</f>
        <v>0</v>
      </c>
      <c r="M843" s="10" t="str">
        <f>ROUND(Github!O$1390, 2)&amp;"%"</f>
        <v>85.52%</v>
      </c>
      <c r="N843" s="10">
        <f>Github!P$1390</f>
        <v>135579</v>
      </c>
      <c r="O843" s="10">
        <f>Github!Q$1390</f>
        <v>158531</v>
      </c>
    </row>
    <row r="844">
      <c r="A844" s="10">
        <f>Github!J$365</f>
        <v>364</v>
      </c>
      <c r="B844" s="11" t="str">
        <f>HYPERLINK(CONCAT("http://leetcode.com/problems/",Github!C$365), Github!B$365)</f>
        <v>Nested List Weight Sum II</v>
      </c>
      <c r="C844" s="10">
        <f>Github!F$365</f>
        <v>943</v>
      </c>
      <c r="D844" s="10">
        <f>Github!G$365</f>
        <v>286</v>
      </c>
      <c r="E844" s="10">
        <f>Github!F$365+Github!G$365</f>
        <v>1229</v>
      </c>
      <c r="F844" s="12">
        <f t="shared" si="1"/>
        <v>3.3</v>
      </c>
      <c r="G844" s="10" t="str">
        <f>Github!H$365</f>
        <v>Algorithms</v>
      </c>
      <c r="H844" s="13" t="str">
        <f>SUBSTITUTE(Github!L$365, ";", ", ")</f>
        <v>Stack, Depth-First Search, Breadth-First Search, </v>
      </c>
      <c r="I844" s="10" t="str">
        <f>Github!E$365</f>
        <v>Medium</v>
      </c>
      <c r="J844" s="10" t="str">
        <f>IF(TRIM(Github!D$365)="TRUE","FALSE","TRUE")</f>
        <v>FALSE</v>
      </c>
      <c r="K844" s="10" t="b">
        <f>Github!M$365</f>
        <v>1</v>
      </c>
      <c r="L844" s="10" t="b">
        <f>Github!N$365</f>
        <v>0</v>
      </c>
      <c r="M844" s="10" t="str">
        <f>ROUND(Github!O$365, 2)&amp;"%"</f>
        <v>67.96%</v>
      </c>
      <c r="N844" s="10">
        <f>Github!P$365</f>
        <v>109058</v>
      </c>
      <c r="O844" s="10">
        <f>Github!Q$365</f>
        <v>160471</v>
      </c>
    </row>
    <row r="845">
      <c r="A845" s="10">
        <f>Github!J$1115</f>
        <v>1114</v>
      </c>
      <c r="B845" s="11" t="str">
        <f>HYPERLINK(CONCAT("http://leetcode.com/problems/",Github!C$1115), Github!B$1115)</f>
        <v>Print in Order</v>
      </c>
      <c r="C845" s="10">
        <f>Github!F$1115</f>
        <v>943</v>
      </c>
      <c r="D845" s="10">
        <f>Github!G$1115</f>
        <v>165</v>
      </c>
      <c r="E845" s="10">
        <f>Github!F$1115+Github!G$1115</f>
        <v>1108</v>
      </c>
      <c r="F845" s="12">
        <f t="shared" si="1"/>
        <v>5.72</v>
      </c>
      <c r="G845" s="10" t="str">
        <f>Github!H$1115</f>
        <v>Concurrency</v>
      </c>
      <c r="H845" s="13" t="str">
        <f>SUBSTITUTE(Github!L$1115, ";", ", ")</f>
        <v>Concurrency, </v>
      </c>
      <c r="I845" s="10" t="str">
        <f>Github!E$1115</f>
        <v>Easy</v>
      </c>
      <c r="J845" s="10" t="str">
        <f>IF(TRIM(Github!D$1115)="TRUE","FALSE","TRUE")</f>
        <v>TRUE</v>
      </c>
      <c r="K845" s="10" t="b">
        <f>Github!M$1115</f>
        <v>1</v>
      </c>
      <c r="L845" s="10" t="b">
        <f>Github!N$1115</f>
        <v>0</v>
      </c>
      <c r="M845" s="10" t="str">
        <f>ROUND(Github!O$1115, 2)&amp;"%"</f>
        <v>68.17%</v>
      </c>
      <c r="N845" s="10">
        <f>Github!P$1115</f>
        <v>101354</v>
      </c>
      <c r="O845" s="10">
        <f>Github!Q$1115</f>
        <v>148670</v>
      </c>
    </row>
    <row r="846">
      <c r="A846" s="10">
        <f>Github!J$856</f>
        <v>855</v>
      </c>
      <c r="B846" s="11" t="str">
        <f>HYPERLINK(CONCAT("http://leetcode.com/problems/",Github!C$856), Github!B$856)</f>
        <v>Exam Room</v>
      </c>
      <c r="C846" s="10">
        <f>Github!F$856</f>
        <v>943</v>
      </c>
      <c r="D846" s="10">
        <f>Github!G$856</f>
        <v>368</v>
      </c>
      <c r="E846" s="10">
        <f>Github!F$856+Github!G$856</f>
        <v>1311</v>
      </c>
      <c r="F846" s="12">
        <f t="shared" si="1"/>
        <v>2.56</v>
      </c>
      <c r="G846" s="10" t="str">
        <f>Github!H$856</f>
        <v>Algorithms</v>
      </c>
      <c r="H846" s="13" t="str">
        <f>SUBSTITUTE(Github!L$856, ";", ", ")</f>
        <v>Design, Ordered Set, </v>
      </c>
      <c r="I846" s="10" t="str">
        <f>Github!E$856</f>
        <v>Medium</v>
      </c>
      <c r="J846" s="10" t="str">
        <f>IF(TRIM(Github!D$856)="TRUE","FALSE","TRUE")</f>
        <v>TRUE</v>
      </c>
      <c r="K846" s="10" t="b">
        <f>Github!M$856</f>
        <v>0</v>
      </c>
      <c r="L846" s="10" t="b">
        <f>Github!N$856</f>
        <v>0</v>
      </c>
      <c r="M846" s="10" t="str">
        <f>ROUND(Github!O$856, 2)&amp;"%"</f>
        <v>43.58%</v>
      </c>
      <c r="N846" s="10">
        <f>Github!P$856</f>
        <v>45665</v>
      </c>
      <c r="O846" s="10">
        <f>Github!Q$856</f>
        <v>104793</v>
      </c>
    </row>
    <row r="847">
      <c r="A847" s="10">
        <f>Github!J$266</f>
        <v>265</v>
      </c>
      <c r="B847" s="11" t="str">
        <f>HYPERLINK(CONCAT("http://leetcode.com/problems/",Github!C$266), Github!B$266)</f>
        <v>Paint House II</v>
      </c>
      <c r="C847" s="10">
        <f>Github!F$266</f>
        <v>941</v>
      </c>
      <c r="D847" s="10">
        <f>Github!G$266</f>
        <v>32</v>
      </c>
      <c r="E847" s="10">
        <f>Github!F$266+Github!G$266</f>
        <v>973</v>
      </c>
      <c r="F847" s="12">
        <f t="shared" si="1"/>
        <v>29.41</v>
      </c>
      <c r="G847" s="10" t="str">
        <f>Github!H$266</f>
        <v>Algorithms</v>
      </c>
      <c r="H847" s="13" t="str">
        <f>SUBSTITUTE(Github!L$266, ";", ", ")</f>
        <v>Array, Dynamic Programming, </v>
      </c>
      <c r="I847" s="10" t="str">
        <f>Github!E$266</f>
        <v>Hard</v>
      </c>
      <c r="J847" s="10" t="str">
        <f>IF(TRIM(Github!D$266)="TRUE","FALSE","TRUE")</f>
        <v>FALSE</v>
      </c>
      <c r="K847" s="10" t="b">
        <f>Github!M$266</f>
        <v>1</v>
      </c>
      <c r="L847" s="10" t="b">
        <f>Github!N$266</f>
        <v>0</v>
      </c>
      <c r="M847" s="10" t="str">
        <f>ROUND(Github!O$266, 2)&amp;"%"</f>
        <v>50.26%</v>
      </c>
      <c r="N847" s="10">
        <f>Github!P$266</f>
        <v>91762</v>
      </c>
      <c r="O847" s="10">
        <f>Github!Q$266</f>
        <v>182562</v>
      </c>
    </row>
    <row r="848">
      <c r="A848" s="10">
        <f>Github!J$540</f>
        <v>539</v>
      </c>
      <c r="B848" s="11" t="str">
        <f>HYPERLINK(CONCAT("http://leetcode.com/problems/",Github!C$540), Github!B$540)</f>
        <v>Minimum Time Difference</v>
      </c>
      <c r="C848" s="10">
        <f>Github!F$540</f>
        <v>941</v>
      </c>
      <c r="D848" s="10">
        <f>Github!G$540</f>
        <v>192</v>
      </c>
      <c r="E848" s="10">
        <f>Github!F$540+Github!G$540</f>
        <v>1133</v>
      </c>
      <c r="F848" s="12">
        <f t="shared" si="1"/>
        <v>4.9</v>
      </c>
      <c r="G848" s="10" t="str">
        <f>Github!H$540</f>
        <v>Algorithms</v>
      </c>
      <c r="H848" s="13" t="str">
        <f>SUBSTITUTE(Github!L$540, ";", ", ")</f>
        <v>Array, Math, String, Sorting, </v>
      </c>
      <c r="I848" s="10" t="str">
        <f>Github!E$540</f>
        <v>Medium</v>
      </c>
      <c r="J848" s="10" t="str">
        <f>IF(TRIM(Github!D$540)="TRUE","FALSE","TRUE")</f>
        <v>TRUE</v>
      </c>
      <c r="K848" s="10" t="b">
        <f>Github!M$540</f>
        <v>0</v>
      </c>
      <c r="L848" s="10" t="b">
        <f>Github!N$540</f>
        <v>0</v>
      </c>
      <c r="M848" s="10" t="str">
        <f>ROUND(Github!O$540, 2)&amp;"%"</f>
        <v>54.01%</v>
      </c>
      <c r="N848" s="10">
        <f>Github!P$540</f>
        <v>77772</v>
      </c>
      <c r="O848" s="10">
        <f>Github!Q$540</f>
        <v>143985</v>
      </c>
    </row>
    <row r="849">
      <c r="A849" s="10">
        <f>Github!J$879</f>
        <v>878</v>
      </c>
      <c r="B849" s="11" t="str">
        <f>HYPERLINK(CONCAT("http://leetcode.com/problems/",Github!C$879), Github!B$879)</f>
        <v>Nth Magical Number</v>
      </c>
      <c r="C849" s="10">
        <f>Github!F$879</f>
        <v>937</v>
      </c>
      <c r="D849" s="10">
        <f>Github!G$879</f>
        <v>131</v>
      </c>
      <c r="E849" s="10">
        <f>Github!F$879+Github!G$879</f>
        <v>1068</v>
      </c>
      <c r="F849" s="12">
        <f t="shared" si="1"/>
        <v>7.15</v>
      </c>
      <c r="G849" s="10" t="str">
        <f>Github!H$879</f>
        <v>Algorithms</v>
      </c>
      <c r="H849" s="13" t="str">
        <f>SUBSTITUTE(Github!L$879, ";", ", ")</f>
        <v>Math, Binary Search, </v>
      </c>
      <c r="I849" s="10" t="str">
        <f>Github!E$879</f>
        <v>Hard</v>
      </c>
      <c r="J849" s="10" t="str">
        <f>IF(TRIM(Github!D$879)="TRUE","FALSE","TRUE")</f>
        <v>TRUE</v>
      </c>
      <c r="K849" s="10" t="b">
        <f>Github!M$879</f>
        <v>1</v>
      </c>
      <c r="L849" s="10" t="b">
        <f>Github!N$879</f>
        <v>0</v>
      </c>
      <c r="M849" s="10" t="str">
        <f>ROUND(Github!O$879, 2)&amp;"%"</f>
        <v>35.8%</v>
      </c>
      <c r="N849" s="10">
        <f>Github!P$879</f>
        <v>28507</v>
      </c>
      <c r="O849" s="10">
        <f>Github!Q$879</f>
        <v>79618</v>
      </c>
    </row>
    <row r="850">
      <c r="A850" s="10">
        <f>Github!J$1458</f>
        <v>1457</v>
      </c>
      <c r="B850" s="11" t="str">
        <f>HYPERLINK(CONCAT("http://leetcode.com/problems/",Github!C$1458), Github!B$1458)</f>
        <v>Pseudo-Palindromic Paths in a Binary Tree</v>
      </c>
      <c r="C850" s="10">
        <f>Github!F$1458</f>
        <v>936</v>
      </c>
      <c r="D850" s="10">
        <f>Github!G$1458</f>
        <v>34</v>
      </c>
      <c r="E850" s="10">
        <f>Github!F$1458+Github!G$1458</f>
        <v>970</v>
      </c>
      <c r="F850" s="12">
        <f t="shared" si="1"/>
        <v>27.53</v>
      </c>
      <c r="G850" s="10" t="str">
        <f>Github!H$1458</f>
        <v>Algorithms</v>
      </c>
      <c r="H850" s="13" t="str">
        <f>SUBSTITUTE(Github!L$1458, ";", ", ")</f>
        <v>Bit Manipulation, Tree, Depth-First Search, Breadth-First Search, Binary Tree, </v>
      </c>
      <c r="I850" s="10" t="str">
        <f>Github!E$1458</f>
        <v>Medium</v>
      </c>
      <c r="J850" s="10" t="str">
        <f>IF(TRIM(Github!D$1458)="TRUE","FALSE","TRUE")</f>
        <v>TRUE</v>
      </c>
      <c r="K850" s="10" t="b">
        <f>Github!M$1458</f>
        <v>1</v>
      </c>
      <c r="L850" s="10" t="b">
        <f>Github!N$1458</f>
        <v>0</v>
      </c>
      <c r="M850" s="10" t="str">
        <f>ROUND(Github!O$1458, 2)&amp;"%"</f>
        <v>67.41%</v>
      </c>
      <c r="N850" s="10">
        <f>Github!P$1458</f>
        <v>49975</v>
      </c>
      <c r="O850" s="10">
        <f>Github!Q$1458</f>
        <v>74133</v>
      </c>
    </row>
    <row r="851">
      <c r="A851" s="10">
        <f>Github!J$1105</f>
        <v>1104</v>
      </c>
      <c r="B851" s="11" t="str">
        <f>HYPERLINK(CONCAT("http://leetcode.com/problems/",Github!C$1105), Github!B$1105)</f>
        <v>Path In Zigzag Labelled Binary Tree</v>
      </c>
      <c r="C851" s="10">
        <f>Github!F$1105</f>
        <v>930</v>
      </c>
      <c r="D851" s="10">
        <f>Github!G$1105</f>
        <v>259</v>
      </c>
      <c r="E851" s="10">
        <f>Github!F$1105+Github!G$1105</f>
        <v>1189</v>
      </c>
      <c r="F851" s="12">
        <f t="shared" si="1"/>
        <v>3.59</v>
      </c>
      <c r="G851" s="10" t="str">
        <f>Github!H$1105</f>
        <v>Algorithms</v>
      </c>
      <c r="H851" s="13" t="str">
        <f>SUBSTITUTE(Github!L$1105, ";", ", ")</f>
        <v>Math, Tree, Binary Tree, </v>
      </c>
      <c r="I851" s="10" t="str">
        <f>Github!E$1105</f>
        <v>Medium</v>
      </c>
      <c r="J851" s="10" t="str">
        <f>IF(TRIM(Github!D$1105)="TRUE","FALSE","TRUE")</f>
        <v>TRUE</v>
      </c>
      <c r="K851" s="10" t="b">
        <f>Github!M$1105</f>
        <v>0</v>
      </c>
      <c r="L851" s="10" t="b">
        <f>Github!N$1105</f>
        <v>0</v>
      </c>
      <c r="M851" s="10" t="str">
        <f>ROUND(Github!O$1105, 2)&amp;"%"</f>
        <v>74.43%</v>
      </c>
      <c r="N851" s="10">
        <f>Github!P$1105</f>
        <v>31736</v>
      </c>
      <c r="O851" s="10">
        <f>Github!Q$1105</f>
        <v>42641</v>
      </c>
    </row>
    <row r="852">
      <c r="A852" s="10">
        <f>Github!J$1324</f>
        <v>1323</v>
      </c>
      <c r="B852" s="11" t="str">
        <f>HYPERLINK(CONCAT("http://leetcode.com/problems/",Github!C$1324), Github!B$1324)</f>
        <v>Maximum 69 Number</v>
      </c>
      <c r="C852" s="10">
        <f>Github!F$1324</f>
        <v>931</v>
      </c>
      <c r="D852" s="10">
        <f>Github!G$1324</f>
        <v>116</v>
      </c>
      <c r="E852" s="10">
        <f>Github!F$1324+Github!G$1324</f>
        <v>1047</v>
      </c>
      <c r="F852" s="12">
        <f t="shared" si="1"/>
        <v>8.03</v>
      </c>
      <c r="G852" s="10" t="str">
        <f>Github!H$1324</f>
        <v>Algorithms</v>
      </c>
      <c r="H852" s="13" t="str">
        <f>SUBSTITUTE(Github!L$1324, ";", ", ")</f>
        <v>Math, Greedy, </v>
      </c>
      <c r="I852" s="10" t="str">
        <f>Github!E$1324</f>
        <v>Easy</v>
      </c>
      <c r="J852" s="10" t="str">
        <f>IF(TRIM(Github!D$1324)="TRUE","FALSE","TRUE")</f>
        <v>TRUE</v>
      </c>
      <c r="K852" s="10" t="b">
        <f>Github!M$1324</f>
        <v>0</v>
      </c>
      <c r="L852" s="10" t="b">
        <f>Github!N$1324</f>
        <v>0</v>
      </c>
      <c r="M852" s="10" t="str">
        <f>ROUND(Github!O$1324, 2)&amp;"%"</f>
        <v>78.8%</v>
      </c>
      <c r="N852" s="10">
        <f>Github!P$1324</f>
        <v>105630</v>
      </c>
      <c r="O852" s="10">
        <f>Github!Q$1324</f>
        <v>134050</v>
      </c>
    </row>
    <row r="853">
      <c r="A853" s="10">
        <f>Github!J$917</f>
        <v>916</v>
      </c>
      <c r="B853" s="11" t="str">
        <f>HYPERLINK(CONCAT("http://leetcode.com/problems/",Github!C$917), Github!B$917)</f>
        <v>Word Subsets</v>
      </c>
      <c r="C853" s="10">
        <f>Github!F$917</f>
        <v>930</v>
      </c>
      <c r="D853" s="10">
        <f>Github!G$917</f>
        <v>124</v>
      </c>
      <c r="E853" s="10">
        <f>Github!F$917+Github!G$917</f>
        <v>1054</v>
      </c>
      <c r="F853" s="12">
        <f t="shared" si="1"/>
        <v>7.5</v>
      </c>
      <c r="G853" s="10" t="str">
        <f>Github!H$917</f>
        <v>Algorithms</v>
      </c>
      <c r="H853" s="13" t="str">
        <f>SUBSTITUTE(Github!L$917, ";", ", ")</f>
        <v>Array, Hash Table, String, </v>
      </c>
      <c r="I853" s="10" t="str">
        <f>Github!E$917</f>
        <v>Medium</v>
      </c>
      <c r="J853" s="10" t="str">
        <f>IF(TRIM(Github!D$917)="TRUE","FALSE","TRUE")</f>
        <v>TRUE</v>
      </c>
      <c r="K853" s="10" t="b">
        <f>Github!M$917</f>
        <v>1</v>
      </c>
      <c r="L853" s="10" t="b">
        <f>Github!N$917</f>
        <v>0</v>
      </c>
      <c r="M853" s="10" t="str">
        <f>ROUND(Github!O$917, 2)&amp;"%"</f>
        <v>52.72%</v>
      </c>
      <c r="N853" s="10">
        <f>Github!P$917</f>
        <v>49106</v>
      </c>
      <c r="O853" s="10">
        <f>Github!Q$917</f>
        <v>93149</v>
      </c>
    </row>
    <row r="854">
      <c r="A854" s="10">
        <f>Github!J$1407</f>
        <v>1406</v>
      </c>
      <c r="B854" s="11" t="str">
        <f>HYPERLINK(CONCAT("http://leetcode.com/problems/",Github!C$1407), Github!B$1407)</f>
        <v>Stone Game III</v>
      </c>
      <c r="C854" s="10">
        <f>Github!F$1407</f>
        <v>929</v>
      </c>
      <c r="D854" s="10">
        <f>Github!G$1407</f>
        <v>21</v>
      </c>
      <c r="E854" s="10">
        <f>Github!F$1407+Github!G$1407</f>
        <v>950</v>
      </c>
      <c r="F854" s="12">
        <f t="shared" si="1"/>
        <v>44.24</v>
      </c>
      <c r="G854" s="10" t="str">
        <f>Github!H$1407</f>
        <v>Algorithms</v>
      </c>
      <c r="H854" s="13" t="str">
        <f>SUBSTITUTE(Github!L$1407, ";", ", ")</f>
        <v>Array, Math, Dynamic Programming, Game Theory, </v>
      </c>
      <c r="I854" s="10" t="str">
        <f>Github!E$1407</f>
        <v>Hard</v>
      </c>
      <c r="J854" s="10" t="str">
        <f>IF(TRIM(Github!D$1407)="TRUE","FALSE","TRUE")</f>
        <v>TRUE</v>
      </c>
      <c r="K854" s="10" t="b">
        <f>Github!M$1407</f>
        <v>0</v>
      </c>
      <c r="L854" s="10" t="b">
        <f>Github!N$1407</f>
        <v>0</v>
      </c>
      <c r="M854" s="10" t="str">
        <f>ROUND(Github!O$1407, 2)&amp;"%"</f>
        <v>60.29%</v>
      </c>
      <c r="N854" s="10">
        <f>Github!P$1407</f>
        <v>34747</v>
      </c>
      <c r="O854" s="10">
        <f>Github!Q$1407</f>
        <v>57631</v>
      </c>
    </row>
    <row r="855">
      <c r="A855" s="10">
        <f>Github!J$1489</f>
        <v>1488</v>
      </c>
      <c r="B855" s="11" t="str">
        <f>HYPERLINK(CONCAT("http://leetcode.com/problems/",Github!C$1489), Github!B$1489)</f>
        <v>Avoid Flood in The City</v>
      </c>
      <c r="C855" s="10">
        <f>Github!F$1489</f>
        <v>928</v>
      </c>
      <c r="D855" s="10">
        <f>Github!G$1489</f>
        <v>186</v>
      </c>
      <c r="E855" s="10">
        <f>Github!F$1489+Github!G$1489</f>
        <v>1114</v>
      </c>
      <c r="F855" s="12">
        <f t="shared" si="1"/>
        <v>4.99</v>
      </c>
      <c r="G855" s="10" t="str">
        <f>Github!H$1489</f>
        <v>Algorithms</v>
      </c>
      <c r="H855" s="13" t="str">
        <f>SUBSTITUTE(Github!L$1489, ";", ", ")</f>
        <v>Array, Hash Table, Binary Search, Greedy, Heap (Priority Queue), </v>
      </c>
      <c r="I855" s="10" t="str">
        <f>Github!E$1489</f>
        <v>Medium</v>
      </c>
      <c r="J855" s="10" t="str">
        <f>IF(TRIM(Github!D$1489)="TRUE","FALSE","TRUE")</f>
        <v>TRUE</v>
      </c>
      <c r="K855" s="10" t="b">
        <f>Github!M$1489</f>
        <v>0</v>
      </c>
      <c r="L855" s="10" t="b">
        <f>Github!N$1489</f>
        <v>0</v>
      </c>
      <c r="M855" s="10" t="str">
        <f>ROUND(Github!O$1489, 2)&amp;"%"</f>
        <v>25.28%</v>
      </c>
      <c r="N855" s="10">
        <f>Github!P$1489</f>
        <v>22317</v>
      </c>
      <c r="O855" s="10">
        <f>Github!Q$1489</f>
        <v>88294</v>
      </c>
    </row>
    <row r="856">
      <c r="A856" s="10">
        <f>Github!J$1484</f>
        <v>1483</v>
      </c>
      <c r="B856" s="11" t="str">
        <f>HYPERLINK(CONCAT("http://leetcode.com/problems/",Github!C$1484), Github!B$1484)</f>
        <v>Kth Ancestor of a Tree Node</v>
      </c>
      <c r="C856" s="10">
        <f>Github!F$1484</f>
        <v>926</v>
      </c>
      <c r="D856" s="10">
        <f>Github!G$1484</f>
        <v>80</v>
      </c>
      <c r="E856" s="10">
        <f>Github!F$1484+Github!G$1484</f>
        <v>1006</v>
      </c>
      <c r="F856" s="12">
        <f t="shared" si="1"/>
        <v>11.58</v>
      </c>
      <c r="G856" s="10" t="str">
        <f>Github!H$1484</f>
        <v>Algorithms</v>
      </c>
      <c r="H856" s="13" t="str">
        <f>SUBSTITUTE(Github!L$1484, ";", ", ")</f>
        <v>Binary Search, Dynamic Programming, Tree, Depth-First Search, Breadth-First Search, Design, </v>
      </c>
      <c r="I856" s="10" t="str">
        <f>Github!E$1484</f>
        <v>Hard</v>
      </c>
      <c r="J856" s="10" t="str">
        <f>IF(TRIM(Github!D$1484)="TRUE","FALSE","TRUE")</f>
        <v>TRUE</v>
      </c>
      <c r="K856" s="10" t="b">
        <f>Github!M$1484</f>
        <v>0</v>
      </c>
      <c r="L856" s="10" t="b">
        <f>Github!N$1484</f>
        <v>0</v>
      </c>
      <c r="M856" s="10" t="str">
        <f>ROUND(Github!O$1484, 2)&amp;"%"</f>
        <v>33.39%</v>
      </c>
      <c r="N856" s="10">
        <f>Github!P$1484</f>
        <v>19359</v>
      </c>
      <c r="O856" s="10">
        <f>Github!Q$1484</f>
        <v>57979</v>
      </c>
    </row>
    <row r="857">
      <c r="A857" s="10">
        <f>Github!J$399</f>
        <v>398</v>
      </c>
      <c r="B857" s="11" t="str">
        <f>HYPERLINK(CONCAT("http://leetcode.com/problems/",Github!C$399), Github!B$399)</f>
        <v>Random Pick Index</v>
      </c>
      <c r="C857" s="10">
        <f>Github!F$399</f>
        <v>927</v>
      </c>
      <c r="D857" s="10">
        <f>Github!G$399</f>
        <v>1003</v>
      </c>
      <c r="E857" s="10">
        <f>Github!F$399+Github!G$399</f>
        <v>1930</v>
      </c>
      <c r="F857" s="12">
        <f t="shared" si="1"/>
        <v>0.92</v>
      </c>
      <c r="G857" s="10" t="str">
        <f>Github!H$399</f>
        <v>Algorithms</v>
      </c>
      <c r="H857" s="13" t="str">
        <f>SUBSTITUTE(Github!L$399, ";", ", ")</f>
        <v>Hash Table, Math, Reservoir Sampling, Randomized, </v>
      </c>
      <c r="I857" s="10" t="str">
        <f>Github!E$399</f>
        <v>Medium</v>
      </c>
      <c r="J857" s="10" t="str">
        <f>IF(TRIM(Github!D$399)="TRUE","FALSE","TRUE")</f>
        <v>TRUE</v>
      </c>
      <c r="K857" s="10" t="b">
        <f>Github!M$399</f>
        <v>1</v>
      </c>
      <c r="L857" s="10" t="b">
        <f>Github!N$399</f>
        <v>0</v>
      </c>
      <c r="M857" s="10" t="str">
        <f>ROUND(Github!O$399, 2)&amp;"%"</f>
        <v>63.23%</v>
      </c>
      <c r="N857" s="10">
        <f>Github!P$399</f>
        <v>162596</v>
      </c>
      <c r="O857" s="10">
        <f>Github!Q$399</f>
        <v>257152</v>
      </c>
    </row>
    <row r="858">
      <c r="A858" s="10">
        <f>Github!J$838</f>
        <v>837</v>
      </c>
      <c r="B858" s="11" t="str">
        <f>HYPERLINK(CONCAT("http://leetcode.com/problems/",Github!C$838), Github!B$838)</f>
        <v>New 21 Game</v>
      </c>
      <c r="C858" s="10">
        <f>Github!F$838</f>
        <v>926</v>
      </c>
      <c r="D858" s="10">
        <f>Github!G$838</f>
        <v>613</v>
      </c>
      <c r="E858" s="10">
        <f>Github!F$838+Github!G$838</f>
        <v>1539</v>
      </c>
      <c r="F858" s="12">
        <f t="shared" si="1"/>
        <v>1.51</v>
      </c>
      <c r="G858" s="10" t="str">
        <f>Github!H$838</f>
        <v>Algorithms</v>
      </c>
      <c r="H858" s="13" t="str">
        <f>SUBSTITUTE(Github!L$838, ";", ", ")</f>
        <v>Math, Dynamic Programming, Sliding Window, Probability and Statistics, </v>
      </c>
      <c r="I858" s="10" t="str">
        <f>Github!E$838</f>
        <v>Medium</v>
      </c>
      <c r="J858" s="10" t="str">
        <f>IF(TRIM(Github!D$838)="TRUE","FALSE","TRUE")</f>
        <v>TRUE</v>
      </c>
      <c r="K858" s="10" t="b">
        <f>Github!M$838</f>
        <v>0</v>
      </c>
      <c r="L858" s="10" t="b">
        <f>Github!N$838</f>
        <v>0</v>
      </c>
      <c r="M858" s="10" t="str">
        <f>ROUND(Github!O$838, 2)&amp;"%"</f>
        <v>36.03%</v>
      </c>
      <c r="N858" s="10">
        <f>Github!P$838</f>
        <v>30467</v>
      </c>
      <c r="O858" s="10">
        <f>Github!Q$838</f>
        <v>84562</v>
      </c>
    </row>
    <row r="859">
      <c r="A859" s="10">
        <f>Github!J$1575</f>
        <v>1574</v>
      </c>
      <c r="B859" s="11" t="str">
        <f>HYPERLINK(CONCAT("http://leetcode.com/problems/",Github!C$1575), Github!B$1575)</f>
        <v>Shortest Subarray to be Removed to Make Array Sorted</v>
      </c>
      <c r="C859" s="10">
        <f>Github!F$1575</f>
        <v>924</v>
      </c>
      <c r="D859" s="10">
        <f>Github!G$1575</f>
        <v>28</v>
      </c>
      <c r="E859" s="10">
        <f>Github!F$1575+Github!G$1575</f>
        <v>952</v>
      </c>
      <c r="F859" s="12">
        <f t="shared" si="1"/>
        <v>33</v>
      </c>
      <c r="G859" s="10" t="str">
        <f>Github!H$1575</f>
        <v>Algorithms</v>
      </c>
      <c r="H859" s="13" t="str">
        <f>SUBSTITUTE(Github!L$1575, ";", ", ")</f>
        <v>Array, Two Pointers, Binary Search, Stack, Monotonic Stack, </v>
      </c>
      <c r="I859" s="10" t="str">
        <f>Github!E$1575</f>
        <v>Medium</v>
      </c>
      <c r="J859" s="10" t="str">
        <f>IF(TRIM(Github!D$1575)="TRUE","FALSE","TRUE")</f>
        <v>TRUE</v>
      </c>
      <c r="K859" s="10" t="b">
        <f>Github!M$1575</f>
        <v>0</v>
      </c>
      <c r="L859" s="10" t="b">
        <f>Github!N$1575</f>
        <v>0</v>
      </c>
      <c r="M859" s="10" t="str">
        <f>ROUND(Github!O$1575, 2)&amp;"%"</f>
        <v>35.33%</v>
      </c>
      <c r="N859" s="10">
        <f>Github!P$1575</f>
        <v>17190</v>
      </c>
      <c r="O859" s="10">
        <f>Github!Q$1575</f>
        <v>48660</v>
      </c>
    </row>
    <row r="860">
      <c r="A860" s="10">
        <f>Github!J$899</f>
        <v>898</v>
      </c>
      <c r="B860" s="11" t="str">
        <f>HYPERLINK(CONCAT("http://leetcode.com/problems/",Github!C$899), Github!B$899)</f>
        <v>Bitwise ORs of Subarrays</v>
      </c>
      <c r="C860" s="10">
        <f>Github!F$899</f>
        <v>921</v>
      </c>
      <c r="D860" s="10">
        <f>Github!G$899</f>
        <v>174</v>
      </c>
      <c r="E860" s="10">
        <f>Github!F$899+Github!G$899</f>
        <v>1095</v>
      </c>
      <c r="F860" s="12">
        <f t="shared" si="1"/>
        <v>5.29</v>
      </c>
      <c r="G860" s="10" t="str">
        <f>Github!H$899</f>
        <v>Algorithms</v>
      </c>
      <c r="H860" s="13" t="str">
        <f>SUBSTITUTE(Github!L$899, ";", ", ")</f>
        <v>Array, Dynamic Programming, Bit Manipulation, </v>
      </c>
      <c r="I860" s="10" t="str">
        <f>Github!E$899</f>
        <v>Medium</v>
      </c>
      <c r="J860" s="10" t="str">
        <f>IF(TRIM(Github!D$899)="TRUE","FALSE","TRUE")</f>
        <v>TRUE</v>
      </c>
      <c r="K860" s="10" t="b">
        <f>Github!M$899</f>
        <v>0</v>
      </c>
      <c r="L860" s="10" t="b">
        <f>Github!N$899</f>
        <v>0</v>
      </c>
      <c r="M860" s="10" t="str">
        <f>ROUND(Github!O$899, 2)&amp;"%"</f>
        <v>36.15%</v>
      </c>
      <c r="N860" s="10">
        <f>Github!P$899</f>
        <v>25447</v>
      </c>
      <c r="O860" s="10">
        <f>Github!Q$899</f>
        <v>70390</v>
      </c>
    </row>
    <row r="861">
      <c r="A861" s="10">
        <f>Github!J$1161</f>
        <v>1160</v>
      </c>
      <c r="B861" s="11" t="str">
        <f>HYPERLINK(CONCAT("http://leetcode.com/problems/",Github!C$1161), Github!B$1161)</f>
        <v>Find Words That Can Be Formed by Characters</v>
      </c>
      <c r="C861" s="10">
        <f>Github!F$1161</f>
        <v>920</v>
      </c>
      <c r="D861" s="10">
        <f>Github!G$1161</f>
        <v>120</v>
      </c>
      <c r="E861" s="10">
        <f>Github!F$1161+Github!G$1161</f>
        <v>1040</v>
      </c>
      <c r="F861" s="12">
        <f t="shared" si="1"/>
        <v>7.67</v>
      </c>
      <c r="G861" s="10" t="str">
        <f>Github!H$1161</f>
        <v>Algorithms</v>
      </c>
      <c r="H861" s="13" t="str">
        <f>SUBSTITUTE(Github!L$1161, ";", ", ")</f>
        <v>Array, Hash Table, String, </v>
      </c>
      <c r="I861" s="10" t="str">
        <f>Github!E$1161</f>
        <v>Easy</v>
      </c>
      <c r="J861" s="10" t="str">
        <f>IF(TRIM(Github!D$1161)="TRUE","FALSE","TRUE")</f>
        <v>TRUE</v>
      </c>
      <c r="K861" s="10" t="b">
        <f>Github!M$1161</f>
        <v>0</v>
      </c>
      <c r="L861" s="10" t="b">
        <f>Github!N$1161</f>
        <v>0</v>
      </c>
      <c r="M861" s="10" t="str">
        <f>ROUND(Github!O$1161, 2)&amp;"%"</f>
        <v>67.68%</v>
      </c>
      <c r="N861" s="10">
        <f>Github!P$1161</f>
        <v>108370</v>
      </c>
      <c r="O861" s="10">
        <f>Github!Q$1161</f>
        <v>160130</v>
      </c>
    </row>
    <row r="862">
      <c r="A862" s="10">
        <f>Github!J$1219</f>
        <v>1218</v>
      </c>
      <c r="B862" s="11" t="str">
        <f>HYPERLINK(CONCAT("http://leetcode.com/problems/",Github!C$1219), Github!B$1219)</f>
        <v>Longest Arithmetic Subsequence of Given Difference</v>
      </c>
      <c r="C862" s="10">
        <f>Github!F$1219</f>
        <v>920</v>
      </c>
      <c r="D862" s="10">
        <f>Github!G$1219</f>
        <v>42</v>
      </c>
      <c r="E862" s="10">
        <f>Github!F$1219+Github!G$1219</f>
        <v>962</v>
      </c>
      <c r="F862" s="12">
        <f t="shared" si="1"/>
        <v>21.9</v>
      </c>
      <c r="G862" s="10" t="str">
        <f>Github!H$1219</f>
        <v>Algorithms</v>
      </c>
      <c r="H862" s="13" t="str">
        <f>SUBSTITUTE(Github!L$1219, ";", ", ")</f>
        <v>Array, Hash Table, Dynamic Programming, </v>
      </c>
      <c r="I862" s="10" t="str">
        <f>Github!E$1219</f>
        <v>Medium</v>
      </c>
      <c r="J862" s="10" t="str">
        <f>IF(TRIM(Github!D$1219)="TRUE","FALSE","TRUE")</f>
        <v>TRUE</v>
      </c>
      <c r="K862" s="10" t="b">
        <f>Github!M$1219</f>
        <v>0</v>
      </c>
      <c r="L862" s="10" t="b">
        <f>Github!N$1219</f>
        <v>0</v>
      </c>
      <c r="M862" s="10" t="str">
        <f>ROUND(Github!O$1219, 2)&amp;"%"</f>
        <v>50.82%</v>
      </c>
      <c r="N862" s="10">
        <f>Github!P$1219</f>
        <v>43717</v>
      </c>
      <c r="O862" s="10">
        <f>Github!Q$1219</f>
        <v>86030</v>
      </c>
    </row>
    <row r="863">
      <c r="A863" s="10">
        <f>Github!J$1579</f>
        <v>1578</v>
      </c>
      <c r="B863" s="11" t="str">
        <f>HYPERLINK(CONCAT("http://leetcode.com/problems/",Github!C$1579), Github!B$1579)</f>
        <v>Minimum Time to Make Rope Colorful</v>
      </c>
      <c r="C863" s="10">
        <f>Github!F$1579</f>
        <v>920</v>
      </c>
      <c r="D863" s="10">
        <f>Github!G$1579</f>
        <v>37</v>
      </c>
      <c r="E863" s="10">
        <f>Github!F$1579+Github!G$1579</f>
        <v>957</v>
      </c>
      <c r="F863" s="12">
        <f t="shared" si="1"/>
        <v>24.86</v>
      </c>
      <c r="G863" s="10" t="str">
        <f>Github!H$1579</f>
        <v>Algorithms</v>
      </c>
      <c r="H863" s="13" t="str">
        <f>SUBSTITUTE(Github!L$1579, ";", ", ")</f>
        <v>Array, String, Dynamic Programming, Greedy, </v>
      </c>
      <c r="I863" s="10" t="str">
        <f>Github!E$1579</f>
        <v>Medium</v>
      </c>
      <c r="J863" s="10" t="str">
        <f>IF(TRIM(Github!D$1579)="TRUE","FALSE","TRUE")</f>
        <v>TRUE</v>
      </c>
      <c r="K863" s="10" t="b">
        <f>Github!M$1579</f>
        <v>0</v>
      </c>
      <c r="L863" s="10" t="b">
        <f>Github!N$1579</f>
        <v>0</v>
      </c>
      <c r="M863" s="10" t="str">
        <f>ROUND(Github!O$1579, 2)&amp;"%"</f>
        <v>61.27%</v>
      </c>
      <c r="N863" s="10">
        <f>Github!P$1579</f>
        <v>58013</v>
      </c>
      <c r="O863" s="10">
        <f>Github!Q$1579</f>
        <v>94683</v>
      </c>
    </row>
    <row r="864">
      <c r="A864" s="10">
        <f>Github!J$181</f>
        <v>180</v>
      </c>
      <c r="B864" s="11" t="str">
        <f>HYPERLINK(CONCAT("http://leetcode.com/problems/",Github!C$181), Github!B$181)</f>
        <v>Consecutive Numbers</v>
      </c>
      <c r="C864" s="10">
        <f>Github!F$181</f>
        <v>915</v>
      </c>
      <c r="D864" s="10">
        <f>Github!G$181</f>
        <v>179</v>
      </c>
      <c r="E864" s="10">
        <f>Github!F$181+Github!G$181</f>
        <v>1094</v>
      </c>
      <c r="F864" s="12">
        <f t="shared" si="1"/>
        <v>5.11</v>
      </c>
      <c r="G864" s="10" t="str">
        <f>Github!H$181</f>
        <v>Database</v>
      </c>
      <c r="H864" s="13" t="str">
        <f>SUBSTITUTE(Github!L$181, ";", ", ")</f>
        <v>Database, </v>
      </c>
      <c r="I864" s="10" t="str">
        <f>Github!E$181</f>
        <v>Medium</v>
      </c>
      <c r="J864" s="10" t="str">
        <f>IF(TRIM(Github!D$181)="TRUE","FALSE","TRUE")</f>
        <v>TRUE</v>
      </c>
      <c r="K864" s="10" t="b">
        <f>Github!M$181</f>
        <v>1</v>
      </c>
      <c r="L864" s="10" t="b">
        <f>Github!N$181</f>
        <v>0</v>
      </c>
      <c r="M864" s="10" t="str">
        <f>ROUND(Github!O$181, 2)&amp;"%"</f>
        <v>45.33%</v>
      </c>
      <c r="N864" s="10">
        <f>Github!P$181</f>
        <v>178103</v>
      </c>
      <c r="O864" s="10">
        <f>Github!Q$181</f>
        <v>392891</v>
      </c>
    </row>
    <row r="865">
      <c r="A865" s="10">
        <f>Github!J$576</f>
        <v>575</v>
      </c>
      <c r="B865" s="11" t="str">
        <f>HYPERLINK(CONCAT("http://leetcode.com/problems/",Github!C$576), Github!B$576)</f>
        <v>Distribute Candies</v>
      </c>
      <c r="C865" s="10">
        <f>Github!F$576</f>
        <v>914</v>
      </c>
      <c r="D865" s="10">
        <f>Github!G$576</f>
        <v>1128</v>
      </c>
      <c r="E865" s="10">
        <f>Github!F$576+Github!G$576</f>
        <v>2042</v>
      </c>
      <c r="F865" s="12">
        <f t="shared" si="1"/>
        <v>0.81</v>
      </c>
      <c r="G865" s="10" t="str">
        <f>Github!H$576</f>
        <v>Algorithms</v>
      </c>
      <c r="H865" s="13" t="str">
        <f>SUBSTITUTE(Github!L$576, ";", ", ")</f>
        <v>Array, Hash Table, </v>
      </c>
      <c r="I865" s="10" t="str">
        <f>Github!E$576</f>
        <v>Easy</v>
      </c>
      <c r="J865" s="10" t="str">
        <f>IF(TRIM(Github!D$576)="TRUE","FALSE","TRUE")</f>
        <v>TRUE</v>
      </c>
      <c r="K865" s="10" t="b">
        <f>Github!M$576</f>
        <v>1</v>
      </c>
      <c r="L865" s="10" t="b">
        <f>Github!N$576</f>
        <v>0</v>
      </c>
      <c r="M865" s="10" t="str">
        <f>ROUND(Github!O$576, 2)&amp;"%"</f>
        <v>65.48%</v>
      </c>
      <c r="N865" s="10">
        <f>Github!P$576</f>
        <v>198365</v>
      </c>
      <c r="O865" s="10">
        <f>Github!Q$576</f>
        <v>302929</v>
      </c>
    </row>
    <row r="866">
      <c r="A866" s="10">
        <f>Github!J$1221</f>
        <v>1220</v>
      </c>
      <c r="B866" s="11" t="str">
        <f>HYPERLINK(CONCAT("http://leetcode.com/problems/",Github!C$1221), Github!B$1221)</f>
        <v>Count Vowels Permutation</v>
      </c>
      <c r="C866" s="10">
        <f>Github!F$1221</f>
        <v>912</v>
      </c>
      <c r="D866" s="10">
        <f>Github!G$1221</f>
        <v>91</v>
      </c>
      <c r="E866" s="10">
        <f>Github!F$1221+Github!G$1221</f>
        <v>1003</v>
      </c>
      <c r="F866" s="12">
        <f t="shared" si="1"/>
        <v>10.02</v>
      </c>
      <c r="G866" s="10" t="str">
        <f>Github!H$1221</f>
        <v>Algorithms</v>
      </c>
      <c r="H866" s="13" t="str">
        <f>SUBSTITUTE(Github!L$1221, ";", ", ")</f>
        <v>Dynamic Programming, </v>
      </c>
      <c r="I866" s="10" t="str">
        <f>Github!E$1221</f>
        <v>Hard</v>
      </c>
      <c r="J866" s="10" t="str">
        <f>IF(TRIM(Github!D$1221)="TRUE","FALSE","TRUE")</f>
        <v>TRUE</v>
      </c>
      <c r="K866" s="10" t="b">
        <f>Github!M$1221</f>
        <v>1</v>
      </c>
      <c r="L866" s="10" t="b">
        <f>Github!N$1221</f>
        <v>0</v>
      </c>
      <c r="M866" s="10" t="str">
        <f>ROUND(Github!O$1221, 2)&amp;"%"</f>
        <v>56.31%</v>
      </c>
      <c r="N866" s="10">
        <f>Github!P$1221</f>
        <v>45629</v>
      </c>
      <c r="O866" s="10">
        <f>Github!Q$1221</f>
        <v>81025</v>
      </c>
    </row>
    <row r="867">
      <c r="A867" s="10">
        <f>Github!J$1357</f>
        <v>1356</v>
      </c>
      <c r="B867" s="11" t="str">
        <f>HYPERLINK(CONCAT("http://leetcode.com/problems/",Github!C$1357), Github!B$1357)</f>
        <v>Sort Integers by The Number of 1 Bits</v>
      </c>
      <c r="C867" s="10">
        <f>Github!F$1357</f>
        <v>914</v>
      </c>
      <c r="D867" s="10">
        <f>Github!G$1357</f>
        <v>42</v>
      </c>
      <c r="E867" s="10">
        <f>Github!F$1357+Github!G$1357</f>
        <v>956</v>
      </c>
      <c r="F867" s="12">
        <f t="shared" si="1"/>
        <v>21.76</v>
      </c>
      <c r="G867" s="10" t="str">
        <f>Github!H$1357</f>
        <v>Algorithms</v>
      </c>
      <c r="H867" s="13" t="str">
        <f>SUBSTITUTE(Github!L$1357, ";", ", ")</f>
        <v>Array, Bit Manipulation, Sorting, Counting, </v>
      </c>
      <c r="I867" s="10" t="str">
        <f>Github!E$1357</f>
        <v>Easy</v>
      </c>
      <c r="J867" s="10" t="str">
        <f>IF(TRIM(Github!D$1357)="TRUE","FALSE","TRUE")</f>
        <v>TRUE</v>
      </c>
      <c r="K867" s="10" t="b">
        <f>Github!M$1357</f>
        <v>0</v>
      </c>
      <c r="L867" s="10" t="b">
        <f>Github!N$1357</f>
        <v>0</v>
      </c>
      <c r="M867" s="10" t="str">
        <f>ROUND(Github!O$1357, 2)&amp;"%"</f>
        <v>71.07%</v>
      </c>
      <c r="N867" s="10">
        <f>Github!P$1357</f>
        <v>60255</v>
      </c>
      <c r="O867" s="10">
        <f>Github!Q$1357</f>
        <v>84786</v>
      </c>
    </row>
    <row r="868">
      <c r="A868" s="10">
        <f>Github!J$426</f>
        <v>425</v>
      </c>
      <c r="B868" s="11" t="str">
        <f>HYPERLINK(CONCAT("http://leetcode.com/problems/",Github!C$426), Github!B$426)</f>
        <v>Word Squares</v>
      </c>
      <c r="C868" s="10">
        <f>Github!F$426</f>
        <v>909</v>
      </c>
      <c r="D868" s="10">
        <f>Github!G$426</f>
        <v>58</v>
      </c>
      <c r="E868" s="10">
        <f>Github!F$426+Github!G$426</f>
        <v>967</v>
      </c>
      <c r="F868" s="12">
        <f t="shared" si="1"/>
        <v>15.67</v>
      </c>
      <c r="G868" s="10" t="str">
        <f>Github!H$426</f>
        <v>Algorithms</v>
      </c>
      <c r="H868" s="13" t="str">
        <f>SUBSTITUTE(Github!L$426, ";", ", ")</f>
        <v>Array, String, Backtracking, Trie, </v>
      </c>
      <c r="I868" s="10" t="str">
        <f>Github!E$426</f>
        <v>Hard</v>
      </c>
      <c r="J868" s="10" t="str">
        <f>IF(TRIM(Github!D$426)="TRUE","FALSE","TRUE")</f>
        <v>FALSE</v>
      </c>
      <c r="K868" s="10" t="b">
        <f>Github!M$426</f>
        <v>1</v>
      </c>
      <c r="L868" s="10" t="b">
        <f>Github!N$426</f>
        <v>0</v>
      </c>
      <c r="M868" s="10" t="str">
        <f>ROUND(Github!O$426, 2)&amp;"%"</f>
        <v>52.07%</v>
      </c>
      <c r="N868" s="10">
        <f>Github!P$426</f>
        <v>60399</v>
      </c>
      <c r="O868" s="10">
        <f>Github!Q$426</f>
        <v>115996</v>
      </c>
    </row>
    <row r="869">
      <c r="A869" s="10">
        <f>Github!J$781</f>
        <v>780</v>
      </c>
      <c r="B869" s="11" t="str">
        <f>HYPERLINK(CONCAT("http://leetcode.com/problems/",Github!C$781), Github!B$781)</f>
        <v>Reaching Points</v>
      </c>
      <c r="C869" s="10">
        <f>Github!F$781</f>
        <v>910</v>
      </c>
      <c r="D869" s="10">
        <f>Github!G$781</f>
        <v>155</v>
      </c>
      <c r="E869" s="10">
        <f>Github!F$781+Github!G$781</f>
        <v>1065</v>
      </c>
      <c r="F869" s="12">
        <f t="shared" si="1"/>
        <v>5.87</v>
      </c>
      <c r="G869" s="10" t="str">
        <f>Github!H$781</f>
        <v>Algorithms</v>
      </c>
      <c r="H869" s="13" t="str">
        <f>SUBSTITUTE(Github!L$781, ";", ", ")</f>
        <v>Math, </v>
      </c>
      <c r="I869" s="10" t="str">
        <f>Github!E$781</f>
        <v>Hard</v>
      </c>
      <c r="J869" s="10" t="str">
        <f>IF(TRIM(Github!D$781)="TRUE","FALSE","TRUE")</f>
        <v>TRUE</v>
      </c>
      <c r="K869" s="10" t="b">
        <f>Github!M$781</f>
        <v>1</v>
      </c>
      <c r="L869" s="10" t="b">
        <f>Github!N$781</f>
        <v>0</v>
      </c>
      <c r="M869" s="10" t="str">
        <f>ROUND(Github!O$781, 2)&amp;"%"</f>
        <v>31.47%</v>
      </c>
      <c r="N869" s="10">
        <f>Github!P$781</f>
        <v>40137</v>
      </c>
      <c r="O869" s="10">
        <f>Github!Q$781</f>
        <v>127540</v>
      </c>
    </row>
    <row r="870">
      <c r="A870" s="10">
        <f>Github!J$1146</f>
        <v>1145</v>
      </c>
      <c r="B870" s="11" t="str">
        <f>HYPERLINK(CONCAT("http://leetcode.com/problems/",Github!C$1146), Github!B$1146)</f>
        <v>Binary Tree Coloring Game</v>
      </c>
      <c r="C870" s="10">
        <f>Github!F$1146</f>
        <v>911</v>
      </c>
      <c r="D870" s="10">
        <f>Github!G$1146</f>
        <v>171</v>
      </c>
      <c r="E870" s="10">
        <f>Github!F$1146+Github!G$1146</f>
        <v>1082</v>
      </c>
      <c r="F870" s="12">
        <f t="shared" si="1"/>
        <v>5.33</v>
      </c>
      <c r="G870" s="10" t="str">
        <f>Github!H$1146</f>
        <v>Algorithms</v>
      </c>
      <c r="H870" s="13" t="str">
        <f>SUBSTITUTE(Github!L$1146, ";", ", ")</f>
        <v>Tree, Depth-First Search, Binary Tree, </v>
      </c>
      <c r="I870" s="10" t="str">
        <f>Github!E$1146</f>
        <v>Medium</v>
      </c>
      <c r="J870" s="10" t="str">
        <f>IF(TRIM(Github!D$1146)="TRUE","FALSE","TRUE")</f>
        <v>TRUE</v>
      </c>
      <c r="K870" s="10" t="b">
        <f>Github!M$1146</f>
        <v>0</v>
      </c>
      <c r="L870" s="10" t="b">
        <f>Github!N$1146</f>
        <v>0</v>
      </c>
      <c r="M870" s="10" t="str">
        <f>ROUND(Github!O$1146, 2)&amp;"%"</f>
        <v>51.09%</v>
      </c>
      <c r="N870" s="10">
        <f>Github!P$1146</f>
        <v>33524</v>
      </c>
      <c r="O870" s="10">
        <f>Github!Q$1146</f>
        <v>65612</v>
      </c>
    </row>
    <row r="871">
      <c r="A871" s="10">
        <f>Github!J$1006</f>
        <v>1005</v>
      </c>
      <c r="B871" s="11" t="str">
        <f>HYPERLINK(CONCAT("http://leetcode.com/problems/",Github!C$1006), Github!B$1006)</f>
        <v>Maximize Sum Of Array After K Negations</v>
      </c>
      <c r="C871" s="10">
        <f>Github!F$1006</f>
        <v>910</v>
      </c>
      <c r="D871" s="10">
        <f>Github!G$1006</f>
        <v>75</v>
      </c>
      <c r="E871" s="10">
        <f>Github!F$1006+Github!G$1006</f>
        <v>985</v>
      </c>
      <c r="F871" s="12">
        <f t="shared" si="1"/>
        <v>12.13</v>
      </c>
      <c r="G871" s="10" t="str">
        <f>Github!H$1006</f>
        <v>Algorithms</v>
      </c>
      <c r="H871" s="13" t="str">
        <f>SUBSTITUTE(Github!L$1006, ";", ", ")</f>
        <v>Array, Greedy, Sorting, </v>
      </c>
      <c r="I871" s="10" t="str">
        <f>Github!E$1006</f>
        <v>Easy</v>
      </c>
      <c r="J871" s="10" t="str">
        <f>IF(TRIM(Github!D$1006)="TRUE","FALSE","TRUE")</f>
        <v>TRUE</v>
      </c>
      <c r="K871" s="10" t="b">
        <f>Github!M$1006</f>
        <v>0</v>
      </c>
      <c r="L871" s="10" t="b">
        <f>Github!N$1006</f>
        <v>0</v>
      </c>
      <c r="M871" s="10" t="str">
        <f>ROUND(Github!O$1006, 2)&amp;"%"</f>
        <v>51.52%</v>
      </c>
      <c r="N871" s="10">
        <f>Github!P$1006</f>
        <v>51752</v>
      </c>
      <c r="O871" s="10">
        <f>Github!Q$1006</f>
        <v>100441</v>
      </c>
    </row>
    <row r="872">
      <c r="A872" s="10">
        <f>Github!J$251</f>
        <v>250</v>
      </c>
      <c r="B872" s="11" t="str">
        <f>HYPERLINK(CONCAT("http://leetcode.com/problems/",Github!C$251), Github!B$251)</f>
        <v>Count Univalue Subtrees</v>
      </c>
      <c r="C872" s="10">
        <f>Github!F$251</f>
        <v>909</v>
      </c>
      <c r="D872" s="10">
        <f>Github!G$251</f>
        <v>286</v>
      </c>
      <c r="E872" s="10">
        <f>Github!F$251+Github!G$251</f>
        <v>1195</v>
      </c>
      <c r="F872" s="12">
        <f t="shared" si="1"/>
        <v>3.18</v>
      </c>
      <c r="G872" s="10" t="str">
        <f>Github!H$251</f>
        <v>Algorithms</v>
      </c>
      <c r="H872" s="13" t="str">
        <f>SUBSTITUTE(Github!L$251, ";", ", ")</f>
        <v>Tree, Depth-First Search, Binary Tree, </v>
      </c>
      <c r="I872" s="10" t="str">
        <f>Github!E$251</f>
        <v>Medium</v>
      </c>
      <c r="J872" s="10" t="str">
        <f>IF(TRIM(Github!D$251)="TRUE","FALSE","TRUE")</f>
        <v>FALSE</v>
      </c>
      <c r="K872" s="10" t="b">
        <f>Github!M$251</f>
        <v>1</v>
      </c>
      <c r="L872" s="10" t="b">
        <f>Github!N$251</f>
        <v>0</v>
      </c>
      <c r="M872" s="10" t="str">
        <f>ROUND(Github!O$251, 2)&amp;"%"</f>
        <v>54.68%</v>
      </c>
      <c r="N872" s="10">
        <f>Github!P$251</f>
        <v>114674</v>
      </c>
      <c r="O872" s="10">
        <f>Github!Q$251</f>
        <v>209700</v>
      </c>
    </row>
    <row r="873">
      <c r="A873" s="10">
        <f>Github!J$402</f>
        <v>401</v>
      </c>
      <c r="B873" s="11" t="str">
        <f>HYPERLINK(CONCAT("http://leetcode.com/problems/",Github!C$402), Github!B$402)</f>
        <v>Binary Watch</v>
      </c>
      <c r="C873" s="10">
        <f>Github!F$402</f>
        <v>907</v>
      </c>
      <c r="D873" s="10">
        <f>Github!G$402</f>
        <v>1707</v>
      </c>
      <c r="E873" s="10">
        <f>Github!F$402+Github!G$402</f>
        <v>2614</v>
      </c>
      <c r="F873" s="12">
        <f t="shared" si="1"/>
        <v>0.53</v>
      </c>
      <c r="G873" s="10" t="str">
        <f>Github!H$402</f>
        <v>Algorithms</v>
      </c>
      <c r="H873" s="13" t="str">
        <f>SUBSTITUTE(Github!L$402, ";", ", ")</f>
        <v>Backtracking, Bit Manipulation, </v>
      </c>
      <c r="I873" s="10" t="str">
        <f>Github!E$402</f>
        <v>Easy</v>
      </c>
      <c r="J873" s="10" t="str">
        <f>IF(TRIM(Github!D$402)="TRUE","FALSE","TRUE")</f>
        <v>TRUE</v>
      </c>
      <c r="K873" s="10" t="b">
        <f>Github!M$402</f>
        <v>0</v>
      </c>
      <c r="L873" s="10" t="b">
        <f>Github!N$402</f>
        <v>0</v>
      </c>
      <c r="M873" s="10" t="str">
        <f>ROUND(Github!O$402, 2)&amp;"%"</f>
        <v>50.27%</v>
      </c>
      <c r="N873" s="10">
        <f>Github!P$402</f>
        <v>107606</v>
      </c>
      <c r="O873" s="10">
        <f>Github!Q$402</f>
        <v>214056</v>
      </c>
    </row>
    <row r="874">
      <c r="A874" s="10">
        <f>Github!J$1437</f>
        <v>1436</v>
      </c>
      <c r="B874" s="11" t="str">
        <f>HYPERLINK(CONCAT("http://leetcode.com/problems/",Github!C$1437), Github!B$1437)</f>
        <v>Destination City</v>
      </c>
      <c r="C874" s="10">
        <f>Github!F$1437</f>
        <v>906</v>
      </c>
      <c r="D874" s="10">
        <f>Github!G$1437</f>
        <v>59</v>
      </c>
      <c r="E874" s="10">
        <f>Github!F$1437+Github!G$1437</f>
        <v>965</v>
      </c>
      <c r="F874" s="12">
        <f t="shared" si="1"/>
        <v>15.36</v>
      </c>
      <c r="G874" s="10" t="str">
        <f>Github!H$1437</f>
        <v>Algorithms</v>
      </c>
      <c r="H874" s="13" t="str">
        <f>SUBSTITUTE(Github!L$1437, ";", ", ")</f>
        <v>Hash Table, String, </v>
      </c>
      <c r="I874" s="10" t="str">
        <f>Github!E$1437</f>
        <v>Easy</v>
      </c>
      <c r="J874" s="10" t="str">
        <f>IF(TRIM(Github!D$1437)="TRUE","FALSE","TRUE")</f>
        <v>TRUE</v>
      </c>
      <c r="K874" s="10" t="b">
        <f>Github!M$1437</f>
        <v>0</v>
      </c>
      <c r="L874" s="10" t="b">
        <f>Github!N$1437</f>
        <v>0</v>
      </c>
      <c r="M874" s="10" t="str">
        <f>ROUND(Github!O$1437, 2)&amp;"%"</f>
        <v>77.66%</v>
      </c>
      <c r="N874" s="10">
        <f>Github!P$1437</f>
        <v>94981</v>
      </c>
      <c r="O874" s="10">
        <f>Github!Q$1437</f>
        <v>122302</v>
      </c>
    </row>
    <row r="875">
      <c r="A875" s="10">
        <f>Github!J$1125</f>
        <v>1124</v>
      </c>
      <c r="B875" s="11" t="str">
        <f>HYPERLINK(CONCAT("http://leetcode.com/problems/",Github!C$1125), Github!B$1125)</f>
        <v>Longest Well-Performing Interval</v>
      </c>
      <c r="C875" s="10">
        <f>Github!F$1125</f>
        <v>904</v>
      </c>
      <c r="D875" s="10">
        <f>Github!G$1125</f>
        <v>94</v>
      </c>
      <c r="E875" s="10">
        <f>Github!F$1125+Github!G$1125</f>
        <v>998</v>
      </c>
      <c r="F875" s="12">
        <f t="shared" si="1"/>
        <v>9.62</v>
      </c>
      <c r="G875" s="10" t="str">
        <f>Github!H$1125</f>
        <v>Algorithms</v>
      </c>
      <c r="H875" s="13" t="str">
        <f>SUBSTITUTE(Github!L$1125, ";", ", ")</f>
        <v>Array, Hash Table, Stack, Monotonic Stack, Prefix Sum, </v>
      </c>
      <c r="I875" s="10" t="str">
        <f>Github!E$1125</f>
        <v>Medium</v>
      </c>
      <c r="J875" s="10" t="str">
        <f>IF(TRIM(Github!D$1125)="TRUE","FALSE","TRUE")</f>
        <v>TRUE</v>
      </c>
      <c r="K875" s="10" t="b">
        <f>Github!M$1125</f>
        <v>0</v>
      </c>
      <c r="L875" s="10" t="b">
        <f>Github!N$1125</f>
        <v>0</v>
      </c>
      <c r="M875" s="10" t="str">
        <f>ROUND(Github!O$1125, 2)&amp;"%"</f>
        <v>34.15%</v>
      </c>
      <c r="N875" s="10">
        <f>Github!P$1125</f>
        <v>20986</v>
      </c>
      <c r="O875" s="10">
        <f>Github!Q$1125</f>
        <v>61454</v>
      </c>
    </row>
    <row r="876">
      <c r="A876" s="10">
        <f>Github!J$1429</f>
        <v>1428</v>
      </c>
      <c r="B876" s="11" t="str">
        <f>HYPERLINK(CONCAT("http://leetcode.com/problems/",Github!C$1429), Github!B$1429)</f>
        <v>Leftmost Column with at Least a One</v>
      </c>
      <c r="C876" s="10">
        <f>Github!F$1429</f>
        <v>902</v>
      </c>
      <c r="D876" s="10">
        <f>Github!G$1429</f>
        <v>111</v>
      </c>
      <c r="E876" s="10">
        <f>Github!F$1429+Github!G$1429</f>
        <v>1013</v>
      </c>
      <c r="F876" s="12">
        <f t="shared" si="1"/>
        <v>8.13</v>
      </c>
      <c r="G876" s="10" t="str">
        <f>Github!H$1429</f>
        <v>Algorithms</v>
      </c>
      <c r="H876" s="13" t="str">
        <f>SUBSTITUTE(Github!L$1429, ";", ", ")</f>
        <v>Array, Binary Search, Matrix, Interactive, </v>
      </c>
      <c r="I876" s="10" t="str">
        <f>Github!E$1429</f>
        <v>Medium</v>
      </c>
      <c r="J876" s="10" t="str">
        <f>IF(TRIM(Github!D$1429)="TRUE","FALSE","TRUE")</f>
        <v>FALSE</v>
      </c>
      <c r="K876" s="10" t="b">
        <f>Github!M$1429</f>
        <v>1</v>
      </c>
      <c r="L876" s="10" t="b">
        <f>Github!N$1429</f>
        <v>0</v>
      </c>
      <c r="M876" s="10" t="str">
        <f>ROUND(Github!O$1429, 2)&amp;"%"</f>
        <v>52.35%</v>
      </c>
      <c r="N876" s="10">
        <f>Github!P$1429</f>
        <v>141618</v>
      </c>
      <c r="O876" s="10">
        <f>Github!Q$1429</f>
        <v>270499</v>
      </c>
    </row>
    <row r="877">
      <c r="A877" s="10">
        <f>Github!J$256</f>
        <v>255</v>
      </c>
      <c r="B877" s="11" t="str">
        <f>HYPERLINK(CONCAT("http://leetcode.com/problems/",Github!C$256), Github!B$256)</f>
        <v>Verify Preorder Sequence in Binary Search Tree</v>
      </c>
      <c r="C877" s="10">
        <f>Github!F$256</f>
        <v>900</v>
      </c>
      <c r="D877" s="10">
        <f>Github!G$256</f>
        <v>68</v>
      </c>
      <c r="E877" s="10">
        <f>Github!F$256+Github!G$256</f>
        <v>968</v>
      </c>
      <c r="F877" s="12">
        <f t="shared" si="1"/>
        <v>13.24</v>
      </c>
      <c r="G877" s="10" t="str">
        <f>Github!H$256</f>
        <v>Algorithms</v>
      </c>
      <c r="H877" s="13" t="str">
        <f>SUBSTITUTE(Github!L$256, ";", ", ")</f>
        <v>Stack, Tree, Binary Search Tree, Recursion, Monotonic Stack, Binary Tree, </v>
      </c>
      <c r="I877" s="10" t="str">
        <f>Github!E$256</f>
        <v>Medium</v>
      </c>
      <c r="J877" s="10" t="str">
        <f>IF(TRIM(Github!D$256)="TRUE","FALSE","TRUE")</f>
        <v>FALSE</v>
      </c>
      <c r="K877" s="10" t="b">
        <f>Github!M$256</f>
        <v>0</v>
      </c>
      <c r="L877" s="10" t="b">
        <f>Github!N$256</f>
        <v>0</v>
      </c>
      <c r="M877" s="10" t="str">
        <f>ROUND(Github!O$256, 2)&amp;"%"</f>
        <v>47.41%</v>
      </c>
      <c r="N877" s="10">
        <f>Github!P$256</f>
        <v>63004</v>
      </c>
      <c r="O877" s="10">
        <f>Github!Q$256</f>
        <v>132901</v>
      </c>
    </row>
    <row r="878">
      <c r="A878" s="10">
        <f>Github!J$150</f>
        <v>149</v>
      </c>
      <c r="B878" s="11" t="str">
        <f>HYPERLINK(CONCAT("http://leetcode.com/problems/",Github!C$150), Github!B$150)</f>
        <v>Max Points on a Line</v>
      </c>
      <c r="C878" s="10">
        <f>Github!F$150</f>
        <v>899</v>
      </c>
      <c r="D878" s="10">
        <f>Github!G$150</f>
        <v>163</v>
      </c>
      <c r="E878" s="10">
        <f>Github!F$150+Github!G$150</f>
        <v>1062</v>
      </c>
      <c r="F878" s="12">
        <f t="shared" si="1"/>
        <v>5.52</v>
      </c>
      <c r="G878" s="10" t="str">
        <f>Github!H$150</f>
        <v>Algorithms</v>
      </c>
      <c r="H878" s="13" t="str">
        <f>SUBSTITUTE(Github!L$150, ";", ", ")</f>
        <v>Array, Hash Table, Math, Geometry, </v>
      </c>
      <c r="I878" s="10" t="str">
        <f>Github!E$150</f>
        <v>Hard</v>
      </c>
      <c r="J878" s="10" t="str">
        <f>IF(TRIM(Github!D$150)="TRUE","FALSE","TRUE")</f>
        <v>TRUE</v>
      </c>
      <c r="K878" s="10" t="b">
        <f>Github!M$150</f>
        <v>1</v>
      </c>
      <c r="L878" s="10" t="b">
        <f>Github!N$150</f>
        <v>0</v>
      </c>
      <c r="M878" s="10" t="str">
        <f>ROUND(Github!O$150, 2)&amp;"%"</f>
        <v>20.11%</v>
      </c>
      <c r="N878" s="10">
        <f>Github!P$150</f>
        <v>221857</v>
      </c>
      <c r="O878" s="10">
        <f>Github!Q$150</f>
        <v>1103039</v>
      </c>
    </row>
    <row r="879">
      <c r="A879" s="10">
        <f>Github!J$281</f>
        <v>280</v>
      </c>
      <c r="B879" s="11" t="str">
        <f>HYPERLINK(CONCAT("http://leetcode.com/problems/",Github!C$281), Github!B$281)</f>
        <v>Wiggle Sort</v>
      </c>
      <c r="C879" s="10">
        <f>Github!F$281</f>
        <v>896</v>
      </c>
      <c r="D879" s="10">
        <f>Github!G$281</f>
        <v>74</v>
      </c>
      <c r="E879" s="10">
        <f>Github!F$281+Github!G$281</f>
        <v>970</v>
      </c>
      <c r="F879" s="12">
        <f t="shared" si="1"/>
        <v>12.11</v>
      </c>
      <c r="G879" s="10" t="str">
        <f>Github!H$281</f>
        <v>Algorithms</v>
      </c>
      <c r="H879" s="13" t="str">
        <f>SUBSTITUTE(Github!L$281, ";", ", ")</f>
        <v>Array, Greedy, Sorting, </v>
      </c>
      <c r="I879" s="10" t="str">
        <f>Github!E$281</f>
        <v>Medium</v>
      </c>
      <c r="J879" s="10" t="str">
        <f>IF(TRIM(Github!D$281)="TRUE","FALSE","TRUE")</f>
        <v>FALSE</v>
      </c>
      <c r="K879" s="10" t="b">
        <f>Github!M$281</f>
        <v>1</v>
      </c>
      <c r="L879" s="10" t="b">
        <f>Github!N$281</f>
        <v>0</v>
      </c>
      <c r="M879" s="10" t="str">
        <f>ROUND(Github!O$281, 2)&amp;"%"</f>
        <v>65.89%</v>
      </c>
      <c r="N879" s="10">
        <f>Github!P$281</f>
        <v>112297</v>
      </c>
      <c r="O879" s="10">
        <f>Github!Q$281</f>
        <v>170434</v>
      </c>
    </row>
    <row r="880">
      <c r="A880" s="10">
        <f>Github!J$542</f>
        <v>541</v>
      </c>
      <c r="B880" s="11" t="str">
        <f>HYPERLINK(CONCAT("http://leetcode.com/problems/",Github!C$542), Github!B$542)</f>
        <v>Reverse String II</v>
      </c>
      <c r="C880" s="10">
        <f>Github!F$542</f>
        <v>891</v>
      </c>
      <c r="D880" s="10">
        <f>Github!G$542</f>
        <v>2256</v>
      </c>
      <c r="E880" s="10">
        <f>Github!F$542+Github!G$542</f>
        <v>3147</v>
      </c>
      <c r="F880" s="12">
        <f t="shared" si="1"/>
        <v>0.39</v>
      </c>
      <c r="G880" s="10" t="str">
        <f>Github!H$542</f>
        <v>Algorithms</v>
      </c>
      <c r="H880" s="13" t="str">
        <f>SUBSTITUTE(Github!L$542, ";", ", ")</f>
        <v>Two Pointers, String, </v>
      </c>
      <c r="I880" s="10" t="str">
        <f>Github!E$542</f>
        <v>Easy</v>
      </c>
      <c r="J880" s="10" t="str">
        <f>IF(TRIM(Github!D$542)="TRUE","FALSE","TRUE")</f>
        <v>TRUE</v>
      </c>
      <c r="K880" s="10" t="b">
        <f>Github!M$542</f>
        <v>1</v>
      </c>
      <c r="L880" s="10" t="b">
        <f>Github!N$542</f>
        <v>0</v>
      </c>
      <c r="M880" s="10" t="str">
        <f>ROUND(Github!O$542, 2)&amp;"%"</f>
        <v>50.05%</v>
      </c>
      <c r="N880" s="10">
        <f>Github!P$542</f>
        <v>144388</v>
      </c>
      <c r="O880" s="10">
        <f>Github!Q$542</f>
        <v>288491</v>
      </c>
    </row>
    <row r="881">
      <c r="A881" s="10">
        <f>Github!J$1103</f>
        <v>1102</v>
      </c>
      <c r="B881" s="11" t="str">
        <f>HYPERLINK(CONCAT("http://leetcode.com/problems/",Github!C$1103), Github!B$1103)</f>
        <v>Path With Maximum Minimum Value</v>
      </c>
      <c r="C881" s="10">
        <f>Github!F$1103</f>
        <v>890</v>
      </c>
      <c r="D881" s="10">
        <f>Github!G$1103</f>
        <v>95</v>
      </c>
      <c r="E881" s="10">
        <f>Github!F$1103+Github!G$1103</f>
        <v>985</v>
      </c>
      <c r="F881" s="12">
        <f t="shared" si="1"/>
        <v>9.37</v>
      </c>
      <c r="G881" s="10" t="str">
        <f>Github!H$1103</f>
        <v>Algorithms</v>
      </c>
      <c r="H881" s="13" t="str">
        <f>SUBSTITUTE(Github!L$1103, ";", ", ")</f>
        <v>Array, Depth-First Search, Breadth-First Search, Union Find, Heap (Priority Queue), Matrix, </v>
      </c>
      <c r="I881" s="10" t="str">
        <f>Github!E$1103</f>
        <v>Medium</v>
      </c>
      <c r="J881" s="10" t="str">
        <f>IF(TRIM(Github!D$1103)="TRUE","FALSE","TRUE")</f>
        <v>FALSE</v>
      </c>
      <c r="K881" s="10" t="b">
        <f>Github!M$1103</f>
        <v>1</v>
      </c>
      <c r="L881" s="10" t="b">
        <f>Github!N$1103</f>
        <v>0</v>
      </c>
      <c r="M881" s="10" t="str">
        <f>ROUND(Github!O$1103, 2)&amp;"%"</f>
        <v>52.48%</v>
      </c>
      <c r="N881" s="10">
        <f>Github!P$1103</f>
        <v>42601</v>
      </c>
      <c r="O881" s="10">
        <f>Github!Q$1103</f>
        <v>81184</v>
      </c>
    </row>
    <row r="882">
      <c r="A882" s="10">
        <f>Github!J$727</f>
        <v>726</v>
      </c>
      <c r="B882" s="11" t="str">
        <f>HYPERLINK(CONCAT("http://leetcode.com/problems/",Github!C$727), Github!B$727)</f>
        <v>Number of Atoms</v>
      </c>
      <c r="C882" s="10">
        <f>Github!F$727</f>
        <v>889</v>
      </c>
      <c r="D882" s="10">
        <f>Github!G$727</f>
        <v>221</v>
      </c>
      <c r="E882" s="10">
        <f>Github!F$727+Github!G$727</f>
        <v>1110</v>
      </c>
      <c r="F882" s="12">
        <f t="shared" si="1"/>
        <v>4.02</v>
      </c>
      <c r="G882" s="10" t="str">
        <f>Github!H$727</f>
        <v>Algorithms</v>
      </c>
      <c r="H882" s="13" t="str">
        <f>SUBSTITUTE(Github!L$727, ";", ", ")</f>
        <v>Hash Table, String, Stack, Sorting, </v>
      </c>
      <c r="I882" s="10" t="str">
        <f>Github!E$727</f>
        <v>Hard</v>
      </c>
      <c r="J882" s="10" t="str">
        <f>IF(TRIM(Github!D$727)="TRUE","FALSE","TRUE")</f>
        <v>TRUE</v>
      </c>
      <c r="K882" s="10" t="b">
        <f>Github!M$727</f>
        <v>1</v>
      </c>
      <c r="L882" s="10" t="b">
        <f>Github!N$727</f>
        <v>0</v>
      </c>
      <c r="M882" s="10" t="str">
        <f>ROUND(Github!O$727, 2)&amp;"%"</f>
        <v>51.72%</v>
      </c>
      <c r="N882" s="10">
        <f>Github!P$727</f>
        <v>43518</v>
      </c>
      <c r="O882" s="10">
        <f>Github!Q$727</f>
        <v>84142</v>
      </c>
    </row>
    <row r="883">
      <c r="A883" s="10">
        <f>Github!J$1444</f>
        <v>1443</v>
      </c>
      <c r="B883" s="11" t="str">
        <f>HYPERLINK(CONCAT("http://leetcode.com/problems/",Github!C$1444), Github!B$1444)</f>
        <v>Minimum Time to Collect All Apples in a Tree</v>
      </c>
      <c r="C883" s="10">
        <f>Github!F$1444</f>
        <v>888</v>
      </c>
      <c r="D883" s="10">
        <f>Github!G$1444</f>
        <v>86</v>
      </c>
      <c r="E883" s="10">
        <f>Github!F$1444+Github!G$1444</f>
        <v>974</v>
      </c>
      <c r="F883" s="12">
        <f t="shared" si="1"/>
        <v>10.33</v>
      </c>
      <c r="G883" s="10" t="str">
        <f>Github!H$1444</f>
        <v>Algorithms</v>
      </c>
      <c r="H883" s="13" t="str">
        <f>SUBSTITUTE(Github!L$1444, ";", ", ")</f>
        <v>Hash Table, Tree, Depth-First Search, Breadth-First Search, </v>
      </c>
      <c r="I883" s="10" t="str">
        <f>Github!E$1444</f>
        <v>Medium</v>
      </c>
      <c r="J883" s="10" t="str">
        <f>IF(TRIM(Github!D$1444)="TRUE","FALSE","TRUE")</f>
        <v>TRUE</v>
      </c>
      <c r="K883" s="10" t="b">
        <f>Github!M$1444</f>
        <v>0</v>
      </c>
      <c r="L883" s="10" t="b">
        <f>Github!N$1444</f>
        <v>0</v>
      </c>
      <c r="M883" s="10" t="str">
        <f>ROUND(Github!O$1444, 2)&amp;"%"</f>
        <v>55.52%</v>
      </c>
      <c r="N883" s="10">
        <f>Github!P$1444</f>
        <v>27742</v>
      </c>
      <c r="O883" s="10">
        <f>Github!Q$1444</f>
        <v>49965</v>
      </c>
    </row>
    <row r="884">
      <c r="A884" s="10">
        <f>Github!J$924</f>
        <v>923</v>
      </c>
      <c r="B884" s="11" t="str">
        <f>HYPERLINK(CONCAT("http://leetcode.com/problems/",Github!C$924), Github!B$924)</f>
        <v>3Sum With Multiplicity</v>
      </c>
      <c r="C884" s="10">
        <f>Github!F$924</f>
        <v>887</v>
      </c>
      <c r="D884" s="10">
        <f>Github!G$924</f>
        <v>142</v>
      </c>
      <c r="E884" s="10">
        <f>Github!F$924+Github!G$924</f>
        <v>1029</v>
      </c>
      <c r="F884" s="12">
        <f t="shared" si="1"/>
        <v>6.25</v>
      </c>
      <c r="G884" s="10" t="str">
        <f>Github!H$924</f>
        <v>Algorithms</v>
      </c>
      <c r="H884" s="13" t="str">
        <f>SUBSTITUTE(Github!L$924, ";", ", ")</f>
        <v>Array, Hash Table, Two Pointers, Sorting, Counting, </v>
      </c>
      <c r="I884" s="10" t="str">
        <f>Github!E$924</f>
        <v>Medium</v>
      </c>
      <c r="J884" s="10" t="str">
        <f>IF(TRIM(Github!D$924)="TRUE","FALSE","TRUE")</f>
        <v>TRUE</v>
      </c>
      <c r="K884" s="10" t="b">
        <f>Github!M$924</f>
        <v>1</v>
      </c>
      <c r="L884" s="10" t="b">
        <f>Github!N$924</f>
        <v>0</v>
      </c>
      <c r="M884" s="10" t="str">
        <f>ROUND(Github!O$924, 2)&amp;"%"</f>
        <v>41.38%</v>
      </c>
      <c r="N884" s="10">
        <f>Github!P$924</f>
        <v>45243</v>
      </c>
      <c r="O884" s="10">
        <f>Github!Q$924</f>
        <v>109347</v>
      </c>
    </row>
    <row r="885">
      <c r="A885" s="10">
        <f>Github!J$617</f>
        <v>616</v>
      </c>
      <c r="B885" s="11" t="str">
        <f>HYPERLINK(CONCAT("http://leetcode.com/problems/",Github!C$617), Github!B$617)</f>
        <v>Add Bold Tag in String</v>
      </c>
      <c r="C885" s="10">
        <f>Github!F$617</f>
        <v>883</v>
      </c>
      <c r="D885" s="10">
        <f>Github!G$617</f>
        <v>146</v>
      </c>
      <c r="E885" s="10">
        <f>Github!F$617+Github!G$617</f>
        <v>1029</v>
      </c>
      <c r="F885" s="12">
        <f t="shared" si="1"/>
        <v>6.05</v>
      </c>
      <c r="G885" s="10" t="str">
        <f>Github!H$617</f>
        <v>Algorithms</v>
      </c>
      <c r="H885" s="13" t="str">
        <f>SUBSTITUTE(Github!L$617, ";", ", ")</f>
        <v>Array, Hash Table, String, Trie, String Matching, </v>
      </c>
      <c r="I885" s="10" t="str">
        <f>Github!E$617</f>
        <v>Medium</v>
      </c>
      <c r="J885" s="10" t="str">
        <f>IF(TRIM(Github!D$617)="TRUE","FALSE","TRUE")</f>
        <v>FALSE</v>
      </c>
      <c r="K885" s="10" t="b">
        <f>Github!M$617</f>
        <v>0</v>
      </c>
      <c r="L885" s="10" t="b">
        <f>Github!N$617</f>
        <v>0</v>
      </c>
      <c r="M885" s="10" t="str">
        <f>ROUND(Github!O$617, 2)&amp;"%"</f>
        <v>47.86%</v>
      </c>
      <c r="N885" s="10">
        <f>Github!P$617</f>
        <v>71195</v>
      </c>
      <c r="O885" s="10">
        <f>Github!Q$617</f>
        <v>148752</v>
      </c>
    </row>
    <row r="886">
      <c r="A886" s="10">
        <f>Github!J$550</f>
        <v>549</v>
      </c>
      <c r="B886" s="11" t="str">
        <f>HYPERLINK(CONCAT("http://leetcode.com/problems/",Github!C$550), Github!B$550)</f>
        <v>Binary Tree Longest Consecutive Sequence II</v>
      </c>
      <c r="C886" s="10">
        <f>Github!F$550</f>
        <v>882</v>
      </c>
      <c r="D886" s="10">
        <f>Github!G$550</f>
        <v>70</v>
      </c>
      <c r="E886" s="10">
        <f>Github!F$550+Github!G$550</f>
        <v>952</v>
      </c>
      <c r="F886" s="12">
        <f t="shared" si="1"/>
        <v>12.6</v>
      </c>
      <c r="G886" s="10" t="str">
        <f>Github!H$550</f>
        <v>Algorithms</v>
      </c>
      <c r="H886" s="13" t="str">
        <f>SUBSTITUTE(Github!L$550, ";", ", ")</f>
        <v>Tree, Depth-First Search, Binary Tree, </v>
      </c>
      <c r="I886" s="10" t="str">
        <f>Github!E$550</f>
        <v>Medium</v>
      </c>
      <c r="J886" s="10" t="str">
        <f>IF(TRIM(Github!D$550)="TRUE","FALSE","TRUE")</f>
        <v>FALSE</v>
      </c>
      <c r="K886" s="10" t="b">
        <f>Github!M$550</f>
        <v>1</v>
      </c>
      <c r="L886" s="10" t="b">
        <f>Github!N$550</f>
        <v>0</v>
      </c>
      <c r="M886" s="10" t="str">
        <f>ROUND(Github!O$550, 2)&amp;"%"</f>
        <v>48.55%</v>
      </c>
      <c r="N886" s="10">
        <f>Github!P$550</f>
        <v>41293</v>
      </c>
      <c r="O886" s="10">
        <f>Github!Q$550</f>
        <v>85047</v>
      </c>
    </row>
    <row r="887">
      <c r="A887" s="10">
        <f>Github!J$716</f>
        <v>715</v>
      </c>
      <c r="B887" s="11" t="str">
        <f>HYPERLINK(CONCAT("http://leetcode.com/problems/",Github!C$716), Github!B$716)</f>
        <v>Range Module</v>
      </c>
      <c r="C887" s="10">
        <f>Github!F$716</f>
        <v>880</v>
      </c>
      <c r="D887" s="10">
        <f>Github!G$716</f>
        <v>68</v>
      </c>
      <c r="E887" s="10">
        <f>Github!F$716+Github!G$716</f>
        <v>948</v>
      </c>
      <c r="F887" s="12">
        <f t="shared" si="1"/>
        <v>12.94</v>
      </c>
      <c r="G887" s="10" t="str">
        <f>Github!H$716</f>
        <v>Algorithms</v>
      </c>
      <c r="H887" s="13" t="str">
        <f>SUBSTITUTE(Github!L$716, ";", ", ")</f>
        <v>Design, Segment Tree, Ordered Set, </v>
      </c>
      <c r="I887" s="10" t="str">
        <f>Github!E$716</f>
        <v>Hard</v>
      </c>
      <c r="J887" s="10" t="str">
        <f>IF(TRIM(Github!D$716)="TRUE","FALSE","TRUE")</f>
        <v>TRUE</v>
      </c>
      <c r="K887" s="10" t="b">
        <f>Github!M$716</f>
        <v>0</v>
      </c>
      <c r="L887" s="10" t="b">
        <f>Github!N$716</f>
        <v>0</v>
      </c>
      <c r="M887" s="10" t="str">
        <f>ROUND(Github!O$716, 2)&amp;"%"</f>
        <v>43.36%</v>
      </c>
      <c r="N887" s="10">
        <f>Github!P$716</f>
        <v>41519</v>
      </c>
      <c r="O887" s="10">
        <f>Github!Q$716</f>
        <v>95758</v>
      </c>
    </row>
    <row r="888">
      <c r="A888" s="10">
        <f>Github!J$739</f>
        <v>738</v>
      </c>
      <c r="B888" s="11" t="str">
        <f>HYPERLINK(CONCAT("http://leetcode.com/problems/",Github!C$739), Github!B$739)</f>
        <v>Monotone Increasing Digits</v>
      </c>
      <c r="C888" s="10">
        <f>Github!F$739</f>
        <v>881</v>
      </c>
      <c r="D888" s="10">
        <f>Github!G$739</f>
        <v>86</v>
      </c>
      <c r="E888" s="10">
        <f>Github!F$739+Github!G$739</f>
        <v>967</v>
      </c>
      <c r="F888" s="12">
        <f t="shared" si="1"/>
        <v>10.24</v>
      </c>
      <c r="G888" s="10" t="str">
        <f>Github!H$739</f>
        <v>Algorithms</v>
      </c>
      <c r="H888" s="13" t="str">
        <f>SUBSTITUTE(Github!L$739, ";", ", ")</f>
        <v>Math, Greedy, </v>
      </c>
      <c r="I888" s="10" t="str">
        <f>Github!E$739</f>
        <v>Medium</v>
      </c>
      <c r="J888" s="10" t="str">
        <f>IF(TRIM(Github!D$739)="TRUE","FALSE","TRUE")</f>
        <v>TRUE</v>
      </c>
      <c r="K888" s="10" t="b">
        <f>Github!M$739</f>
        <v>0</v>
      </c>
      <c r="L888" s="10" t="b">
        <f>Github!N$739</f>
        <v>0</v>
      </c>
      <c r="M888" s="10" t="str">
        <f>ROUND(Github!O$739, 2)&amp;"%"</f>
        <v>46.74%</v>
      </c>
      <c r="N888" s="10">
        <f>Github!P$739</f>
        <v>36584</v>
      </c>
      <c r="O888" s="10">
        <f>Github!Q$739</f>
        <v>78263</v>
      </c>
    </row>
    <row r="889">
      <c r="A889" s="10">
        <f>Github!J$320</f>
        <v>319</v>
      </c>
      <c r="B889" s="11" t="str">
        <f>HYPERLINK(CONCAT("http://leetcode.com/problems/",Github!C$320), Github!B$320)</f>
        <v>Bulb Switcher</v>
      </c>
      <c r="C889" s="10">
        <f>Github!F$320</f>
        <v>880</v>
      </c>
      <c r="D889" s="10">
        <f>Github!G$320</f>
        <v>1607</v>
      </c>
      <c r="E889" s="10">
        <f>Github!F$320+Github!G$320</f>
        <v>2487</v>
      </c>
      <c r="F889" s="12">
        <f t="shared" si="1"/>
        <v>0.55</v>
      </c>
      <c r="G889" s="10" t="str">
        <f>Github!H$320</f>
        <v>Algorithms</v>
      </c>
      <c r="H889" s="13" t="str">
        <f>SUBSTITUTE(Github!L$320, ";", ", ")</f>
        <v>Math, Brainteaser, </v>
      </c>
      <c r="I889" s="10" t="str">
        <f>Github!E$320</f>
        <v>Medium</v>
      </c>
      <c r="J889" s="10" t="str">
        <f>IF(TRIM(Github!D$320)="TRUE","FALSE","TRUE")</f>
        <v>TRUE</v>
      </c>
      <c r="K889" s="10" t="b">
        <f>Github!M$320</f>
        <v>0</v>
      </c>
      <c r="L889" s="10" t="b">
        <f>Github!N$320</f>
        <v>0</v>
      </c>
      <c r="M889" s="10" t="str">
        <f>ROUND(Github!O$320, 2)&amp;"%"</f>
        <v>47.1%</v>
      </c>
      <c r="N889" s="10">
        <f>Github!P$320</f>
        <v>111496</v>
      </c>
      <c r="O889" s="10">
        <f>Github!Q$320</f>
        <v>236739</v>
      </c>
    </row>
    <row r="890">
      <c r="A890" s="10">
        <f>Github!J$1345</f>
        <v>1344</v>
      </c>
      <c r="B890" s="11" t="str">
        <f>HYPERLINK(CONCAT("http://leetcode.com/problems/",Github!C$1345), Github!B$1345)</f>
        <v>Angle Between Hands of a Clock</v>
      </c>
      <c r="C890" s="10">
        <f>Github!F$1345</f>
        <v>878</v>
      </c>
      <c r="D890" s="10">
        <f>Github!G$1345</f>
        <v>182</v>
      </c>
      <c r="E890" s="10">
        <f>Github!F$1345+Github!G$1345</f>
        <v>1060</v>
      </c>
      <c r="F890" s="12">
        <f t="shared" si="1"/>
        <v>4.82</v>
      </c>
      <c r="G890" s="10" t="str">
        <f>Github!H$1345</f>
        <v>Algorithms</v>
      </c>
      <c r="H890" s="13" t="str">
        <f>SUBSTITUTE(Github!L$1345, ";", ", ")</f>
        <v>Math, </v>
      </c>
      <c r="I890" s="10" t="str">
        <f>Github!E$1345</f>
        <v>Medium</v>
      </c>
      <c r="J890" s="10" t="str">
        <f>IF(TRIM(Github!D$1345)="TRUE","FALSE","TRUE")</f>
        <v>TRUE</v>
      </c>
      <c r="K890" s="10" t="b">
        <f>Github!M$1345</f>
        <v>1</v>
      </c>
      <c r="L890" s="10" t="b">
        <f>Github!N$1345</f>
        <v>0</v>
      </c>
      <c r="M890" s="10" t="str">
        <f>ROUND(Github!O$1345, 2)&amp;"%"</f>
        <v>62.95%</v>
      </c>
      <c r="N890" s="10">
        <f>Github!P$1345</f>
        <v>85223</v>
      </c>
      <c r="O890" s="10">
        <f>Github!Q$1345</f>
        <v>135383</v>
      </c>
    </row>
    <row r="891">
      <c r="A891" s="10">
        <f>Github!J$777</f>
        <v>776</v>
      </c>
      <c r="B891" s="11" t="str">
        <f>HYPERLINK(CONCAT("http://leetcode.com/problems/",Github!C$777), Github!B$777)</f>
        <v>Split BST</v>
      </c>
      <c r="C891" s="10">
        <f>Github!F$777</f>
        <v>875</v>
      </c>
      <c r="D891" s="10">
        <f>Github!G$777</f>
        <v>87</v>
      </c>
      <c r="E891" s="10">
        <f>Github!F$777+Github!G$777</f>
        <v>962</v>
      </c>
      <c r="F891" s="12">
        <f t="shared" si="1"/>
        <v>10.06</v>
      </c>
      <c r="G891" s="10" t="str">
        <f>Github!H$777</f>
        <v>Algorithms</v>
      </c>
      <c r="H891" s="13" t="str">
        <f>SUBSTITUTE(Github!L$777, ";", ", ")</f>
        <v>Tree, Binary Search Tree, Recursion, Binary Tree, </v>
      </c>
      <c r="I891" s="10" t="str">
        <f>Github!E$777</f>
        <v>Medium</v>
      </c>
      <c r="J891" s="10" t="str">
        <f>IF(TRIM(Github!D$777)="TRUE","FALSE","TRUE")</f>
        <v>FALSE</v>
      </c>
      <c r="K891" s="10" t="b">
        <f>Github!M$777</f>
        <v>1</v>
      </c>
      <c r="L891" s="10" t="b">
        <f>Github!N$777</f>
        <v>0</v>
      </c>
      <c r="M891" s="10" t="str">
        <f>ROUND(Github!O$777, 2)&amp;"%"</f>
        <v>58.17%</v>
      </c>
      <c r="N891" s="10">
        <f>Github!P$777</f>
        <v>26451</v>
      </c>
      <c r="O891" s="10">
        <f>Github!Q$777</f>
        <v>45471</v>
      </c>
    </row>
    <row r="892">
      <c r="A892" s="10">
        <f>Github!J$694</f>
        <v>693</v>
      </c>
      <c r="B892" s="11" t="str">
        <f>HYPERLINK(CONCAT("http://leetcode.com/problems/",Github!C$694), Github!B$694)</f>
        <v>Binary Number with Alternating Bits</v>
      </c>
      <c r="C892" s="10">
        <f>Github!F$694</f>
        <v>875</v>
      </c>
      <c r="D892" s="10">
        <f>Github!G$694</f>
        <v>101</v>
      </c>
      <c r="E892" s="10">
        <f>Github!F$694+Github!G$694</f>
        <v>976</v>
      </c>
      <c r="F892" s="12">
        <f t="shared" si="1"/>
        <v>8.66</v>
      </c>
      <c r="G892" s="10" t="str">
        <f>Github!H$694</f>
        <v>Algorithms</v>
      </c>
      <c r="H892" s="13" t="str">
        <f>SUBSTITUTE(Github!L$694, ";", ", ")</f>
        <v>Bit Manipulation, </v>
      </c>
      <c r="I892" s="10" t="str">
        <f>Github!E$694</f>
        <v>Easy</v>
      </c>
      <c r="J892" s="10" t="str">
        <f>IF(TRIM(Github!D$694)="TRUE","FALSE","TRUE")</f>
        <v>TRUE</v>
      </c>
      <c r="K892" s="10" t="b">
        <f>Github!M$694</f>
        <v>1</v>
      </c>
      <c r="L892" s="10" t="b">
        <f>Github!N$694</f>
        <v>0</v>
      </c>
      <c r="M892" s="10" t="str">
        <f>ROUND(Github!O$694, 2)&amp;"%"</f>
        <v>60.73%</v>
      </c>
      <c r="N892" s="10">
        <f>Github!P$694</f>
        <v>89628</v>
      </c>
      <c r="O892" s="10">
        <f>Github!Q$694</f>
        <v>147596</v>
      </c>
    </row>
    <row r="893">
      <c r="A893" s="10">
        <f>Github!J$1498</f>
        <v>1497</v>
      </c>
      <c r="B893" s="11" t="str">
        <f>HYPERLINK(CONCAT("http://leetcode.com/problems/",Github!C$1498), Github!B$1498)</f>
        <v>Check If Array Pairs Are Divisible by k</v>
      </c>
      <c r="C893" s="10">
        <f>Github!F$1498</f>
        <v>873</v>
      </c>
      <c r="D893" s="10">
        <f>Github!G$1498</f>
        <v>53</v>
      </c>
      <c r="E893" s="10">
        <f>Github!F$1498+Github!G$1498</f>
        <v>926</v>
      </c>
      <c r="F893" s="12">
        <f t="shared" si="1"/>
        <v>16.47</v>
      </c>
      <c r="G893" s="10" t="str">
        <f>Github!H$1498</f>
        <v>Algorithms</v>
      </c>
      <c r="H893" s="13" t="str">
        <f>SUBSTITUTE(Github!L$1498, ";", ", ")</f>
        <v>Array, Hash Table, Counting, </v>
      </c>
      <c r="I893" s="10" t="str">
        <f>Github!E$1498</f>
        <v>Medium</v>
      </c>
      <c r="J893" s="10" t="str">
        <f>IF(TRIM(Github!D$1498)="TRUE","FALSE","TRUE")</f>
        <v>TRUE</v>
      </c>
      <c r="K893" s="10" t="b">
        <f>Github!M$1498</f>
        <v>0</v>
      </c>
      <c r="L893" s="10" t="b">
        <f>Github!N$1498</f>
        <v>0</v>
      </c>
      <c r="M893" s="10" t="str">
        <f>ROUND(Github!O$1498, 2)&amp;"%"</f>
        <v>40.47%</v>
      </c>
      <c r="N893" s="10">
        <f>Github!P$1498</f>
        <v>29136</v>
      </c>
      <c r="O893" s="10">
        <f>Github!Q$1498</f>
        <v>71995</v>
      </c>
    </row>
    <row r="894">
      <c r="A894" s="10">
        <f>Github!J$1403</f>
        <v>1402</v>
      </c>
      <c r="B894" s="11" t="str">
        <f>HYPERLINK(CONCAT("http://leetcode.com/problems/",Github!C$1403), Github!B$1403)</f>
        <v>Reducing Dishes</v>
      </c>
      <c r="C894" s="10">
        <f>Github!F$1403</f>
        <v>873</v>
      </c>
      <c r="D894" s="10">
        <f>Github!G$1403</f>
        <v>133</v>
      </c>
      <c r="E894" s="10">
        <f>Github!F$1403+Github!G$1403</f>
        <v>1006</v>
      </c>
      <c r="F894" s="12">
        <f t="shared" si="1"/>
        <v>6.56</v>
      </c>
      <c r="G894" s="10" t="str">
        <f>Github!H$1403</f>
        <v>Algorithms</v>
      </c>
      <c r="H894" s="13" t="str">
        <f>SUBSTITUTE(Github!L$1403, ";", ", ")</f>
        <v>Array, Dynamic Programming, Greedy, Sorting, </v>
      </c>
      <c r="I894" s="10" t="str">
        <f>Github!E$1403</f>
        <v>Hard</v>
      </c>
      <c r="J894" s="10" t="str">
        <f>IF(TRIM(Github!D$1403)="TRUE","FALSE","TRUE")</f>
        <v>TRUE</v>
      </c>
      <c r="K894" s="10" t="b">
        <f>Github!M$1403</f>
        <v>0</v>
      </c>
      <c r="L894" s="10" t="b">
        <f>Github!N$1403</f>
        <v>0</v>
      </c>
      <c r="M894" s="10" t="str">
        <f>ROUND(Github!O$1403, 2)&amp;"%"</f>
        <v>72.49%</v>
      </c>
      <c r="N894" s="10">
        <f>Github!P$1403</f>
        <v>34649</v>
      </c>
      <c r="O894" s="10">
        <f>Github!Q$1403</f>
        <v>47798</v>
      </c>
    </row>
    <row r="895">
      <c r="A895" s="10">
        <f>Github!J$255</f>
        <v>254</v>
      </c>
      <c r="B895" s="11" t="str">
        <f>HYPERLINK(CONCAT("http://leetcode.com/problems/",Github!C$255), Github!B$255)</f>
        <v>Factor Combinations</v>
      </c>
      <c r="C895" s="10">
        <f>Github!F$255</f>
        <v>871</v>
      </c>
      <c r="D895" s="10">
        <f>Github!G$255</f>
        <v>45</v>
      </c>
      <c r="E895" s="10">
        <f>Github!F$255+Github!G$255</f>
        <v>916</v>
      </c>
      <c r="F895" s="12">
        <f t="shared" si="1"/>
        <v>19.36</v>
      </c>
      <c r="G895" s="10" t="str">
        <f>Github!H$255</f>
        <v>Algorithms</v>
      </c>
      <c r="H895" s="13" t="str">
        <f>SUBSTITUTE(Github!L$255, ";", ", ")</f>
        <v>Array, Backtracking, </v>
      </c>
      <c r="I895" s="10" t="str">
        <f>Github!E$255</f>
        <v>Medium</v>
      </c>
      <c r="J895" s="10" t="str">
        <f>IF(TRIM(Github!D$255)="TRUE","FALSE","TRUE")</f>
        <v>FALSE</v>
      </c>
      <c r="K895" s="10" t="b">
        <f>Github!M$255</f>
        <v>0</v>
      </c>
      <c r="L895" s="10" t="b">
        <f>Github!N$255</f>
        <v>0</v>
      </c>
      <c r="M895" s="10" t="str">
        <f>ROUND(Github!O$255, 2)&amp;"%"</f>
        <v>48.55%</v>
      </c>
      <c r="N895" s="10">
        <f>Github!P$255</f>
        <v>103555</v>
      </c>
      <c r="O895" s="10">
        <f>Github!Q$255</f>
        <v>213293</v>
      </c>
    </row>
    <row r="896">
      <c r="A896" s="10">
        <f>Github!J$537</f>
        <v>536</v>
      </c>
      <c r="B896" s="11" t="str">
        <f>HYPERLINK(CONCAT("http://leetcode.com/problems/",Github!C$537), Github!B$537)</f>
        <v>Construct Binary Tree from String</v>
      </c>
      <c r="C896" s="10">
        <f>Github!F$537</f>
        <v>871</v>
      </c>
      <c r="D896" s="10">
        <f>Github!G$537</f>
        <v>139</v>
      </c>
      <c r="E896" s="10">
        <f>Github!F$537+Github!G$537</f>
        <v>1010</v>
      </c>
      <c r="F896" s="12">
        <f t="shared" si="1"/>
        <v>6.27</v>
      </c>
      <c r="G896" s="10" t="str">
        <f>Github!H$537</f>
        <v>Algorithms</v>
      </c>
      <c r="H896" s="13" t="str">
        <f>SUBSTITUTE(Github!L$537, ";", ", ")</f>
        <v>String, Tree, Depth-First Search, Binary Tree, </v>
      </c>
      <c r="I896" s="10" t="str">
        <f>Github!E$537</f>
        <v>Medium</v>
      </c>
      <c r="J896" s="10" t="str">
        <f>IF(TRIM(Github!D$537)="TRUE","FALSE","TRUE")</f>
        <v>FALSE</v>
      </c>
      <c r="K896" s="10" t="b">
        <f>Github!M$537</f>
        <v>1</v>
      </c>
      <c r="L896" s="10" t="b">
        <f>Github!N$537</f>
        <v>0</v>
      </c>
      <c r="M896" s="10" t="str">
        <f>ROUND(Github!O$537, 2)&amp;"%"</f>
        <v>55.49%</v>
      </c>
      <c r="N896" s="10">
        <f>Github!P$537</f>
        <v>72367</v>
      </c>
      <c r="O896" s="10">
        <f>Github!Q$537</f>
        <v>130407</v>
      </c>
    </row>
    <row r="897">
      <c r="A897" s="10">
        <f>Github!J$676</f>
        <v>675</v>
      </c>
      <c r="B897" s="11" t="str">
        <f>HYPERLINK(CONCAT("http://leetcode.com/problems/",Github!C$676), Github!B$676)</f>
        <v>Cut Off Trees for Golf Event</v>
      </c>
      <c r="C897" s="10">
        <f>Github!F$676</f>
        <v>870</v>
      </c>
      <c r="D897" s="10">
        <f>Github!G$676</f>
        <v>499</v>
      </c>
      <c r="E897" s="10">
        <f>Github!F$676+Github!G$676</f>
        <v>1369</v>
      </c>
      <c r="F897" s="12">
        <f t="shared" si="1"/>
        <v>1.74</v>
      </c>
      <c r="G897" s="10" t="str">
        <f>Github!H$676</f>
        <v>Algorithms</v>
      </c>
      <c r="H897" s="13" t="str">
        <f>SUBSTITUTE(Github!L$676, ";", ", ")</f>
        <v>Array, Breadth-First Search, Heap (Priority Queue), Matrix, </v>
      </c>
      <c r="I897" s="10" t="str">
        <f>Github!E$676</f>
        <v>Hard</v>
      </c>
      <c r="J897" s="10" t="str">
        <f>IF(TRIM(Github!D$676)="TRUE","FALSE","TRUE")</f>
        <v>TRUE</v>
      </c>
      <c r="K897" s="10" t="b">
        <f>Github!M$676</f>
        <v>0</v>
      </c>
      <c r="L897" s="10" t="b">
        <f>Github!N$676</f>
        <v>0</v>
      </c>
      <c r="M897" s="10" t="str">
        <f>ROUND(Github!O$676, 2)&amp;"%"</f>
        <v>35.48%</v>
      </c>
      <c r="N897" s="10">
        <f>Github!P$676</f>
        <v>53463</v>
      </c>
      <c r="O897" s="10">
        <f>Github!Q$676</f>
        <v>150667</v>
      </c>
    </row>
    <row r="898">
      <c r="A898" s="10">
        <f>Github!J$1381</f>
        <v>1380</v>
      </c>
      <c r="B898" s="11" t="str">
        <f>HYPERLINK(CONCAT("http://leetcode.com/problems/",Github!C$1381), Github!B$1381)</f>
        <v>Lucky Numbers in a Matrix</v>
      </c>
      <c r="C898" s="10">
        <f>Github!F$1381</f>
        <v>870</v>
      </c>
      <c r="D898" s="10">
        <f>Github!G$1381</f>
        <v>63</v>
      </c>
      <c r="E898" s="10">
        <f>Github!F$1381+Github!G$1381</f>
        <v>933</v>
      </c>
      <c r="F898" s="12">
        <f t="shared" si="1"/>
        <v>13.81</v>
      </c>
      <c r="G898" s="10" t="str">
        <f>Github!H$1381</f>
        <v>Algorithms</v>
      </c>
      <c r="H898" s="13" t="str">
        <f>SUBSTITUTE(Github!L$1381, ";", ", ")</f>
        <v>Array, Matrix, </v>
      </c>
      <c r="I898" s="10" t="str">
        <f>Github!E$1381</f>
        <v>Easy</v>
      </c>
      <c r="J898" s="10" t="str">
        <f>IF(TRIM(Github!D$1381)="TRUE","FALSE","TRUE")</f>
        <v>TRUE</v>
      </c>
      <c r="K898" s="10" t="b">
        <f>Github!M$1381</f>
        <v>0</v>
      </c>
      <c r="L898" s="10" t="b">
        <f>Github!N$1381</f>
        <v>0</v>
      </c>
      <c r="M898" s="10" t="str">
        <f>ROUND(Github!O$1381, 2)&amp;"%"</f>
        <v>70.94%</v>
      </c>
      <c r="N898" s="10">
        <f>Github!P$1381</f>
        <v>61113</v>
      </c>
      <c r="O898" s="10">
        <f>Github!Q$1381</f>
        <v>86153</v>
      </c>
    </row>
    <row r="899">
      <c r="A899" s="10">
        <f>Github!J$709</f>
        <v>708</v>
      </c>
      <c r="B899" s="11" t="str">
        <f>HYPERLINK(CONCAT("http://leetcode.com/problems/",Github!C$709), Github!B$709)</f>
        <v>Insert into a Sorted Circular Linked List</v>
      </c>
      <c r="C899" s="10">
        <f>Github!F$709</f>
        <v>867</v>
      </c>
      <c r="D899" s="10">
        <f>Github!G$709</f>
        <v>580</v>
      </c>
      <c r="E899" s="10">
        <f>Github!F$709+Github!G$709</f>
        <v>1447</v>
      </c>
      <c r="F899" s="12">
        <f t="shared" si="1"/>
        <v>1.49</v>
      </c>
      <c r="G899" s="10" t="str">
        <f>Github!H$709</f>
        <v>Algorithms</v>
      </c>
      <c r="H899" s="13" t="str">
        <f>SUBSTITUTE(Github!L$709, ";", ", ")</f>
        <v>Linked List, </v>
      </c>
      <c r="I899" s="10" t="str">
        <f>Github!E$709</f>
        <v>Medium</v>
      </c>
      <c r="J899" s="10" t="str">
        <f>IF(TRIM(Github!D$709)="TRUE","FALSE","TRUE")</f>
        <v>FALSE</v>
      </c>
      <c r="K899" s="10" t="b">
        <f>Github!M$709</f>
        <v>1</v>
      </c>
      <c r="L899" s="10" t="b">
        <f>Github!N$709</f>
        <v>0</v>
      </c>
      <c r="M899" s="10" t="str">
        <f>ROUND(Github!O$709, 2)&amp;"%"</f>
        <v>34.18%</v>
      </c>
      <c r="N899" s="10">
        <f>Github!P$709</f>
        <v>103964</v>
      </c>
      <c r="O899" s="10">
        <f>Github!Q$709</f>
        <v>304168</v>
      </c>
    </row>
    <row r="900">
      <c r="A900" s="10">
        <f>Github!J$501</f>
        <v>500</v>
      </c>
      <c r="B900" s="11" t="str">
        <f>HYPERLINK(CONCAT("http://leetcode.com/problems/",Github!C$501), Github!B$501)</f>
        <v>Keyboard Row</v>
      </c>
      <c r="C900" s="10">
        <f>Github!F$501</f>
        <v>865</v>
      </c>
      <c r="D900" s="10">
        <f>Github!G$501</f>
        <v>886</v>
      </c>
      <c r="E900" s="10">
        <f>Github!F$501+Github!G$501</f>
        <v>1751</v>
      </c>
      <c r="F900" s="12">
        <f t="shared" si="1"/>
        <v>0.98</v>
      </c>
      <c r="G900" s="10" t="str">
        <f>Github!H$501</f>
        <v>Algorithms</v>
      </c>
      <c r="H900" s="13" t="str">
        <f>SUBSTITUTE(Github!L$501, ";", ", ")</f>
        <v>Array, Hash Table, String, </v>
      </c>
      <c r="I900" s="10" t="str">
        <f>Github!E$501</f>
        <v>Easy</v>
      </c>
      <c r="J900" s="10" t="str">
        <f>IF(TRIM(Github!D$501)="TRUE","FALSE","TRUE")</f>
        <v>TRUE</v>
      </c>
      <c r="K900" s="10" t="b">
        <f>Github!M$501</f>
        <v>0</v>
      </c>
      <c r="L900" s="10" t="b">
        <f>Github!N$501</f>
        <v>0</v>
      </c>
      <c r="M900" s="10" t="str">
        <f>ROUND(Github!O$501, 2)&amp;"%"</f>
        <v>67.77%</v>
      </c>
      <c r="N900" s="10">
        <f>Github!P$501</f>
        <v>147453</v>
      </c>
      <c r="O900" s="10">
        <f>Github!Q$501</f>
        <v>217594</v>
      </c>
    </row>
    <row r="901">
      <c r="A901" s="10">
        <f>Github!J$885</f>
        <v>884</v>
      </c>
      <c r="B901" s="11" t="str">
        <f>HYPERLINK(CONCAT("http://leetcode.com/problems/",Github!C$885), Github!B$885)</f>
        <v>Uncommon Words from Two Sentences</v>
      </c>
      <c r="C901" s="10">
        <f>Github!F$885</f>
        <v>865</v>
      </c>
      <c r="D901" s="10">
        <f>Github!G$885</f>
        <v>133</v>
      </c>
      <c r="E901" s="10">
        <f>Github!F$885+Github!G$885</f>
        <v>998</v>
      </c>
      <c r="F901" s="12">
        <f t="shared" si="1"/>
        <v>6.5</v>
      </c>
      <c r="G901" s="10" t="str">
        <f>Github!H$885</f>
        <v>Algorithms</v>
      </c>
      <c r="H901" s="13" t="str">
        <f>SUBSTITUTE(Github!L$885, ";", ", ")</f>
        <v>Hash Table, String, </v>
      </c>
      <c r="I901" s="10" t="str">
        <f>Github!E$885</f>
        <v>Easy</v>
      </c>
      <c r="J901" s="10" t="str">
        <f>IF(TRIM(Github!D$885)="TRUE","FALSE","TRUE")</f>
        <v>TRUE</v>
      </c>
      <c r="K901" s="10" t="b">
        <f>Github!M$885</f>
        <v>1</v>
      </c>
      <c r="L901" s="10" t="b">
        <f>Github!N$885</f>
        <v>0</v>
      </c>
      <c r="M901" s="10" t="str">
        <f>ROUND(Github!O$885, 2)&amp;"%"</f>
        <v>65.42%</v>
      </c>
      <c r="N901" s="10">
        <f>Github!P$885</f>
        <v>94161</v>
      </c>
      <c r="O901" s="10">
        <f>Github!Q$885</f>
        <v>143933</v>
      </c>
    </row>
    <row r="902">
      <c r="A902" s="10">
        <f>Github!J$1136</f>
        <v>1135</v>
      </c>
      <c r="B902" s="11" t="str">
        <f>HYPERLINK(CONCAT("http://leetcode.com/problems/",Github!C$1136), Github!B$1136)</f>
        <v>Connecting Cities With Minimum Cost</v>
      </c>
      <c r="C902" s="10">
        <f>Github!F$1136</f>
        <v>864</v>
      </c>
      <c r="D902" s="10">
        <f>Github!G$1136</f>
        <v>46</v>
      </c>
      <c r="E902" s="10">
        <f>Github!F$1136+Github!G$1136</f>
        <v>910</v>
      </c>
      <c r="F902" s="12">
        <f t="shared" si="1"/>
        <v>18.78</v>
      </c>
      <c r="G902" s="10" t="str">
        <f>Github!H$1136</f>
        <v>Algorithms</v>
      </c>
      <c r="H902" s="13" t="str">
        <f>SUBSTITUTE(Github!L$1136, ";", ", ")</f>
        <v>Union Find, Graph, Heap (Priority Queue), Minimum Spanning Tree, </v>
      </c>
      <c r="I902" s="10" t="str">
        <f>Github!E$1136</f>
        <v>Medium</v>
      </c>
      <c r="J902" s="10" t="str">
        <f>IF(TRIM(Github!D$1136)="TRUE","FALSE","TRUE")</f>
        <v>FALSE</v>
      </c>
      <c r="K902" s="10" t="b">
        <f>Github!M$1136</f>
        <v>1</v>
      </c>
      <c r="L902" s="10" t="b">
        <f>Github!N$1136</f>
        <v>0</v>
      </c>
      <c r="M902" s="10" t="str">
        <f>ROUND(Github!O$1136, 2)&amp;"%"</f>
        <v>60.69%</v>
      </c>
      <c r="N902" s="10">
        <f>Github!P$1136</f>
        <v>53898</v>
      </c>
      <c r="O902" s="10">
        <f>Github!Q$1136</f>
        <v>88801</v>
      </c>
    </row>
    <row r="903">
      <c r="A903" s="10">
        <f>Github!J$583</f>
        <v>582</v>
      </c>
      <c r="B903" s="11" t="str">
        <f>HYPERLINK(CONCAT("http://leetcode.com/problems/",Github!C$583), Github!B$583)</f>
        <v>Kill Process</v>
      </c>
      <c r="C903" s="10">
        <f>Github!F$583</f>
        <v>863</v>
      </c>
      <c r="D903" s="10">
        <f>Github!G$583</f>
        <v>17</v>
      </c>
      <c r="E903" s="10">
        <f>Github!F$583+Github!G$583</f>
        <v>880</v>
      </c>
      <c r="F903" s="12">
        <f t="shared" si="1"/>
        <v>50.76</v>
      </c>
      <c r="G903" s="10" t="str">
        <f>Github!H$583</f>
        <v>Algorithms</v>
      </c>
      <c r="H903" s="13" t="str">
        <f>SUBSTITUTE(Github!L$583, ";", ", ")</f>
        <v>Array, Hash Table, Tree, Depth-First Search, Breadth-First Search, </v>
      </c>
      <c r="I903" s="10" t="str">
        <f>Github!E$583</f>
        <v>Medium</v>
      </c>
      <c r="J903" s="10" t="str">
        <f>IF(TRIM(Github!D$583)="TRUE","FALSE","TRUE")</f>
        <v>FALSE</v>
      </c>
      <c r="K903" s="10" t="b">
        <f>Github!M$583</f>
        <v>1</v>
      </c>
      <c r="L903" s="10" t="b">
        <f>Github!N$583</f>
        <v>1</v>
      </c>
      <c r="M903" s="10" t="str">
        <f>ROUND(Github!O$583, 2)&amp;"%"</f>
        <v>66.53%</v>
      </c>
      <c r="N903" s="10">
        <f>Github!P$583</f>
        <v>63068</v>
      </c>
      <c r="O903" s="10">
        <f>Github!Q$583</f>
        <v>94790</v>
      </c>
    </row>
    <row r="904">
      <c r="A904" s="10">
        <f>Github!J$1311</f>
        <v>1310</v>
      </c>
      <c r="B904" s="11" t="str">
        <f>HYPERLINK(CONCAT("http://leetcode.com/problems/",Github!C$1311), Github!B$1311)</f>
        <v>XOR Queries of a Subarray</v>
      </c>
      <c r="C904" s="10">
        <f>Github!F$1311</f>
        <v>860</v>
      </c>
      <c r="D904" s="10">
        <f>Github!G$1311</f>
        <v>29</v>
      </c>
      <c r="E904" s="10">
        <f>Github!F$1311+Github!G$1311</f>
        <v>889</v>
      </c>
      <c r="F904" s="12">
        <f t="shared" si="1"/>
        <v>29.66</v>
      </c>
      <c r="G904" s="10" t="str">
        <f>Github!H$1311</f>
        <v>Algorithms</v>
      </c>
      <c r="H904" s="13" t="str">
        <f>SUBSTITUTE(Github!L$1311, ";", ", ")</f>
        <v>Array, Bit Manipulation, Prefix Sum, </v>
      </c>
      <c r="I904" s="10" t="str">
        <f>Github!E$1311</f>
        <v>Medium</v>
      </c>
      <c r="J904" s="10" t="str">
        <f>IF(TRIM(Github!D$1311)="TRUE","FALSE","TRUE")</f>
        <v>TRUE</v>
      </c>
      <c r="K904" s="10" t="b">
        <f>Github!M$1311</f>
        <v>0</v>
      </c>
      <c r="L904" s="10" t="b">
        <f>Github!N$1311</f>
        <v>0</v>
      </c>
      <c r="M904" s="10" t="str">
        <f>ROUND(Github!O$1311, 2)&amp;"%"</f>
        <v>71.13%</v>
      </c>
      <c r="N904" s="10">
        <f>Github!P$1311</f>
        <v>34795</v>
      </c>
      <c r="O904" s="10">
        <f>Github!Q$1311</f>
        <v>48914</v>
      </c>
    </row>
    <row r="905">
      <c r="A905" s="10">
        <f>Github!J$1761</f>
        <v>1760</v>
      </c>
      <c r="B905" s="11" t="str">
        <f>HYPERLINK(CONCAT("http://leetcode.com/problems/",Github!C$1761), Github!B$1761)</f>
        <v>Minimum Limit of Balls in a Bag</v>
      </c>
      <c r="C905" s="10">
        <f>Github!F$1761</f>
        <v>861</v>
      </c>
      <c r="D905" s="10">
        <f>Github!G$1761</f>
        <v>30</v>
      </c>
      <c r="E905" s="10">
        <f>Github!F$1761+Github!G$1761</f>
        <v>891</v>
      </c>
      <c r="F905" s="12">
        <f t="shared" si="1"/>
        <v>28.7</v>
      </c>
      <c r="G905" s="10" t="str">
        <f>Github!H$1761</f>
        <v>Algorithms</v>
      </c>
      <c r="H905" s="13" t="str">
        <f>SUBSTITUTE(Github!L$1761, ";", ", ")</f>
        <v>Array, Binary Search, </v>
      </c>
      <c r="I905" s="10" t="str">
        <f>Github!E$1761</f>
        <v>Medium</v>
      </c>
      <c r="J905" s="10" t="str">
        <f>IF(TRIM(Github!D$1761)="TRUE","FALSE","TRUE")</f>
        <v>TRUE</v>
      </c>
      <c r="K905" s="10" t="b">
        <f>Github!M$1761</f>
        <v>0</v>
      </c>
      <c r="L905" s="10" t="b">
        <f>Github!N$1761</f>
        <v>0</v>
      </c>
      <c r="M905" s="10" t="str">
        <f>ROUND(Github!O$1761, 2)&amp;"%"</f>
        <v>56.44%</v>
      </c>
      <c r="N905" s="10">
        <f>Github!P$1761</f>
        <v>15013</v>
      </c>
      <c r="O905" s="10">
        <f>Github!Q$1761</f>
        <v>26600</v>
      </c>
    </row>
    <row r="906">
      <c r="A906" s="10">
        <f>Github!J$299</f>
        <v>298</v>
      </c>
      <c r="B906" s="11" t="str">
        <f>HYPERLINK(CONCAT("http://leetcode.com/problems/",Github!C$299), Github!B$299)</f>
        <v>Binary Tree Longest Consecutive Sequence</v>
      </c>
      <c r="C906" s="10">
        <f>Github!F$299</f>
        <v>858</v>
      </c>
      <c r="D906" s="10">
        <f>Github!G$299</f>
        <v>209</v>
      </c>
      <c r="E906" s="10">
        <f>Github!F$299+Github!G$299</f>
        <v>1067</v>
      </c>
      <c r="F906" s="12">
        <f t="shared" si="1"/>
        <v>4.11</v>
      </c>
      <c r="G906" s="10" t="str">
        <f>Github!H$299</f>
        <v>Algorithms</v>
      </c>
      <c r="H906" s="13" t="str">
        <f>SUBSTITUTE(Github!L$299, ";", ", ")</f>
        <v>Tree, Depth-First Search, Binary Tree, </v>
      </c>
      <c r="I906" s="10" t="str">
        <f>Github!E$299</f>
        <v>Medium</v>
      </c>
      <c r="J906" s="10" t="str">
        <f>IF(TRIM(Github!D$299)="TRUE","FALSE","TRUE")</f>
        <v>FALSE</v>
      </c>
      <c r="K906" s="10" t="b">
        <f>Github!M$299</f>
        <v>1</v>
      </c>
      <c r="L906" s="10" t="b">
        <f>Github!N$299</f>
        <v>0</v>
      </c>
      <c r="M906" s="10" t="str">
        <f>ROUND(Github!O$299, 2)&amp;"%"</f>
        <v>50.9%</v>
      </c>
      <c r="N906" s="10">
        <f>Github!P$299</f>
        <v>117802</v>
      </c>
      <c r="O906" s="10">
        <f>Github!Q$299</f>
        <v>231435</v>
      </c>
    </row>
    <row r="907">
      <c r="A907" s="10">
        <f>Github!J$962</f>
        <v>961</v>
      </c>
      <c r="B907" s="11" t="str">
        <f>HYPERLINK(CONCAT("http://leetcode.com/problems/",Github!C$962), Github!B$962)</f>
        <v>N-Repeated Element in Size 2N Array</v>
      </c>
      <c r="C907" s="10">
        <f>Github!F$962</f>
        <v>857</v>
      </c>
      <c r="D907" s="10">
        <f>Github!G$962</f>
        <v>291</v>
      </c>
      <c r="E907" s="10">
        <f>Github!F$962+Github!G$962</f>
        <v>1148</v>
      </c>
      <c r="F907" s="12">
        <f t="shared" si="1"/>
        <v>2.95</v>
      </c>
      <c r="G907" s="10" t="str">
        <f>Github!H$962</f>
        <v>Algorithms</v>
      </c>
      <c r="H907" s="13" t="str">
        <f>SUBSTITUTE(Github!L$962, ";", ", ")</f>
        <v>Array, Hash Table, </v>
      </c>
      <c r="I907" s="10" t="str">
        <f>Github!E$962</f>
        <v>Easy</v>
      </c>
      <c r="J907" s="10" t="str">
        <f>IF(TRIM(Github!D$962)="TRUE","FALSE","TRUE")</f>
        <v>TRUE</v>
      </c>
      <c r="K907" s="10" t="b">
        <f>Github!M$962</f>
        <v>1</v>
      </c>
      <c r="L907" s="10" t="b">
        <f>Github!N$962</f>
        <v>0</v>
      </c>
      <c r="M907" s="10" t="str">
        <f>ROUND(Github!O$962, 2)&amp;"%"</f>
        <v>75.36%</v>
      </c>
      <c r="N907" s="10">
        <f>Github!P$962</f>
        <v>172644</v>
      </c>
      <c r="O907" s="10">
        <f>Github!Q$962</f>
        <v>229096</v>
      </c>
    </row>
    <row r="908">
      <c r="A908" s="10">
        <f>Github!J$1443</f>
        <v>1442</v>
      </c>
      <c r="B908" s="11" t="str">
        <f>HYPERLINK(CONCAT("http://leetcode.com/problems/",Github!C$1443), Github!B$1443)</f>
        <v>Count Triplets That Can Form Two Arrays of Equal XOR</v>
      </c>
      <c r="C908" s="10">
        <f>Github!F$1443</f>
        <v>854</v>
      </c>
      <c r="D908" s="10">
        <f>Github!G$1443</f>
        <v>43</v>
      </c>
      <c r="E908" s="10">
        <f>Github!F$1443+Github!G$1443</f>
        <v>897</v>
      </c>
      <c r="F908" s="12">
        <f t="shared" si="1"/>
        <v>19.86</v>
      </c>
      <c r="G908" s="10" t="str">
        <f>Github!H$1443</f>
        <v>Algorithms</v>
      </c>
      <c r="H908" s="13" t="str">
        <f>SUBSTITUTE(Github!L$1443, ";", ", ")</f>
        <v>Array, Hash Table, Math, Bit Manipulation, Prefix Sum, </v>
      </c>
      <c r="I908" s="10" t="str">
        <f>Github!E$1443</f>
        <v>Medium</v>
      </c>
      <c r="J908" s="10" t="str">
        <f>IF(TRIM(Github!D$1443)="TRUE","FALSE","TRUE")</f>
        <v>TRUE</v>
      </c>
      <c r="K908" s="10" t="b">
        <f>Github!M$1443</f>
        <v>0</v>
      </c>
      <c r="L908" s="10" t="b">
        <f>Github!N$1443</f>
        <v>0</v>
      </c>
      <c r="M908" s="10" t="str">
        <f>ROUND(Github!O$1443, 2)&amp;"%"</f>
        <v>74.49%</v>
      </c>
      <c r="N908" s="10">
        <f>Github!P$1443</f>
        <v>24748</v>
      </c>
      <c r="O908" s="10">
        <f>Github!Q$1443</f>
        <v>33224</v>
      </c>
    </row>
    <row r="909">
      <c r="A909" s="10">
        <f>Github!J$471</f>
        <v>470</v>
      </c>
      <c r="B909" s="11" t="str">
        <f>HYPERLINK(CONCAT("http://leetcode.com/problems/",Github!C$471), Github!B$471)</f>
        <v>Implement Rand10() Using Rand7()</v>
      </c>
      <c r="C909" s="10">
        <f>Github!F$471</f>
        <v>853</v>
      </c>
      <c r="D909" s="10">
        <f>Github!G$471</f>
        <v>280</v>
      </c>
      <c r="E909" s="10">
        <f>Github!F$471+Github!G$471</f>
        <v>1133</v>
      </c>
      <c r="F909" s="12">
        <f t="shared" si="1"/>
        <v>3.05</v>
      </c>
      <c r="G909" s="10" t="str">
        <f>Github!H$471</f>
        <v>Algorithms</v>
      </c>
      <c r="H909" s="13" t="str">
        <f>SUBSTITUTE(Github!L$471, ";", ", ")</f>
        <v>Math, Rejection Sampling, Randomized, Probability and Statistics, </v>
      </c>
      <c r="I909" s="10" t="str">
        <f>Github!E$471</f>
        <v>Medium</v>
      </c>
      <c r="J909" s="10" t="str">
        <f>IF(TRIM(Github!D$471)="TRUE","FALSE","TRUE")</f>
        <v>TRUE</v>
      </c>
      <c r="K909" s="10" t="b">
        <f>Github!M$471</f>
        <v>1</v>
      </c>
      <c r="L909" s="10" t="b">
        <f>Github!N$471</f>
        <v>0</v>
      </c>
      <c r="M909" s="10" t="str">
        <f>ROUND(Github!O$471, 2)&amp;"%"</f>
        <v>46.7%</v>
      </c>
      <c r="N909" s="10">
        <f>Github!P$471</f>
        <v>60674</v>
      </c>
      <c r="O909" s="10">
        <f>Github!Q$471</f>
        <v>129912</v>
      </c>
    </row>
    <row r="910">
      <c r="A910" s="10">
        <f>Github!J$819</f>
        <v>818</v>
      </c>
      <c r="B910" s="11" t="str">
        <f>HYPERLINK(CONCAT("http://leetcode.com/problems/",Github!C$819), Github!B$819)</f>
        <v>Race Car</v>
      </c>
      <c r="C910" s="10">
        <f>Github!F$819</f>
        <v>851</v>
      </c>
      <c r="D910" s="10">
        <f>Github!G$819</f>
        <v>87</v>
      </c>
      <c r="E910" s="10">
        <f>Github!F$819+Github!G$819</f>
        <v>938</v>
      </c>
      <c r="F910" s="12">
        <f t="shared" si="1"/>
        <v>9.78</v>
      </c>
      <c r="G910" s="10" t="str">
        <f>Github!H$819</f>
        <v>Algorithms</v>
      </c>
      <c r="H910" s="13" t="str">
        <f>SUBSTITUTE(Github!L$819, ";", ", ")</f>
        <v>Dynamic Programming, </v>
      </c>
      <c r="I910" s="10" t="str">
        <f>Github!E$819</f>
        <v>Hard</v>
      </c>
      <c r="J910" s="10" t="str">
        <f>IF(TRIM(Github!D$819)="TRUE","FALSE","TRUE")</f>
        <v>TRUE</v>
      </c>
      <c r="K910" s="10" t="b">
        <f>Github!M$819</f>
        <v>0</v>
      </c>
      <c r="L910" s="10" t="b">
        <f>Github!N$819</f>
        <v>0</v>
      </c>
      <c r="M910" s="10" t="str">
        <f>ROUND(Github!O$819, 2)&amp;"%"</f>
        <v>42.04%</v>
      </c>
      <c r="N910" s="10">
        <f>Github!P$819</f>
        <v>32180</v>
      </c>
      <c r="O910" s="10">
        <f>Github!Q$819</f>
        <v>76547</v>
      </c>
    </row>
    <row r="911">
      <c r="A911" s="10">
        <f>Github!J$1192</f>
        <v>1191</v>
      </c>
      <c r="B911" s="11" t="str">
        <f>HYPERLINK(CONCAT("http://leetcode.com/problems/",Github!C$1192), Github!B$1192)</f>
        <v>K-Concatenation Maximum Sum</v>
      </c>
      <c r="C911" s="10">
        <f>Github!F$1192</f>
        <v>852</v>
      </c>
      <c r="D911" s="10">
        <f>Github!G$1192</f>
        <v>80</v>
      </c>
      <c r="E911" s="10">
        <f>Github!F$1192+Github!G$1192</f>
        <v>932</v>
      </c>
      <c r="F911" s="12">
        <f t="shared" si="1"/>
        <v>10.65</v>
      </c>
      <c r="G911" s="10" t="str">
        <f>Github!H$1192</f>
        <v>Algorithms</v>
      </c>
      <c r="H911" s="13" t="str">
        <f>SUBSTITUTE(Github!L$1192, ";", ", ")</f>
        <v>Array, Dynamic Programming, </v>
      </c>
      <c r="I911" s="10" t="str">
        <f>Github!E$1192</f>
        <v>Medium</v>
      </c>
      <c r="J911" s="10" t="str">
        <f>IF(TRIM(Github!D$1192)="TRUE","FALSE","TRUE")</f>
        <v>TRUE</v>
      </c>
      <c r="K911" s="10" t="b">
        <f>Github!M$1192</f>
        <v>0</v>
      </c>
      <c r="L911" s="10" t="b">
        <f>Github!N$1192</f>
        <v>0</v>
      </c>
      <c r="M911" s="10" t="str">
        <f>ROUND(Github!O$1192, 2)&amp;"%"</f>
        <v>24.13%</v>
      </c>
      <c r="N911" s="10">
        <f>Github!P$1192</f>
        <v>23507</v>
      </c>
      <c r="O911" s="10">
        <f>Github!Q$1192</f>
        <v>97403</v>
      </c>
    </row>
    <row r="912">
      <c r="A912" s="10">
        <f>Github!J$1310</f>
        <v>1309</v>
      </c>
      <c r="B912" s="11" t="str">
        <f>HYPERLINK(CONCAT("http://leetcode.com/problems/",Github!C$1310), Github!B$1310)</f>
        <v>Decrypt String from Alphabet to Integer Mapping</v>
      </c>
      <c r="C912" s="10">
        <f>Github!F$1310</f>
        <v>853</v>
      </c>
      <c r="D912" s="10">
        <f>Github!G$1310</f>
        <v>70</v>
      </c>
      <c r="E912" s="10">
        <f>Github!F$1310+Github!G$1310</f>
        <v>923</v>
      </c>
      <c r="F912" s="12">
        <f t="shared" si="1"/>
        <v>12.19</v>
      </c>
      <c r="G912" s="10" t="str">
        <f>Github!H$1310</f>
        <v>Algorithms</v>
      </c>
      <c r="H912" s="13" t="str">
        <f>SUBSTITUTE(Github!L$1310, ";", ", ")</f>
        <v>String, </v>
      </c>
      <c r="I912" s="10" t="str">
        <f>Github!E$1310</f>
        <v>Easy</v>
      </c>
      <c r="J912" s="10" t="str">
        <f>IF(TRIM(Github!D$1310)="TRUE","FALSE","TRUE")</f>
        <v>TRUE</v>
      </c>
      <c r="K912" s="10" t="b">
        <f>Github!M$1310</f>
        <v>0</v>
      </c>
      <c r="L912" s="10" t="b">
        <f>Github!N$1310</f>
        <v>0</v>
      </c>
      <c r="M912" s="10" t="str">
        <f>ROUND(Github!O$1310, 2)&amp;"%"</f>
        <v>78.41%</v>
      </c>
      <c r="N912" s="10">
        <f>Github!P$1310</f>
        <v>71544</v>
      </c>
      <c r="O912" s="10">
        <f>Github!Q$1310</f>
        <v>91241</v>
      </c>
    </row>
    <row r="913">
      <c r="A913" s="10">
        <f>Github!J$419</f>
        <v>418</v>
      </c>
      <c r="B913" s="11" t="str">
        <f>HYPERLINK(CONCAT("http://leetcode.com/problems/",Github!C$419), Github!B$419)</f>
        <v>Sentence Screen Fitting</v>
      </c>
      <c r="C913" s="10">
        <f>Github!F$419</f>
        <v>850</v>
      </c>
      <c r="D913" s="10">
        <f>Github!G$419</f>
        <v>425</v>
      </c>
      <c r="E913" s="10">
        <f>Github!F$419+Github!G$419</f>
        <v>1275</v>
      </c>
      <c r="F913" s="12">
        <f t="shared" si="1"/>
        <v>2</v>
      </c>
      <c r="G913" s="10" t="str">
        <f>Github!H$419</f>
        <v>Algorithms</v>
      </c>
      <c r="H913" s="13" t="str">
        <f>SUBSTITUTE(Github!L$419, ";", ", ")</f>
        <v>String, Dynamic Programming, Simulation, </v>
      </c>
      <c r="I913" s="10" t="str">
        <f>Github!E$419</f>
        <v>Medium</v>
      </c>
      <c r="J913" s="10" t="str">
        <f>IF(TRIM(Github!D$419)="TRUE","FALSE","TRUE")</f>
        <v>FALSE</v>
      </c>
      <c r="K913" s="10" t="b">
        <f>Github!M$419</f>
        <v>0</v>
      </c>
      <c r="L913" s="10" t="b">
        <f>Github!N$419</f>
        <v>0</v>
      </c>
      <c r="M913" s="10" t="str">
        <f>ROUND(Github!O$419, 2)&amp;"%"</f>
        <v>35.29%</v>
      </c>
      <c r="N913" s="10">
        <f>Github!P$419</f>
        <v>77553</v>
      </c>
      <c r="O913" s="10">
        <f>Github!Q$419</f>
        <v>219756</v>
      </c>
    </row>
    <row r="914">
      <c r="A914" s="10">
        <f>Github!J$1465</f>
        <v>1464</v>
      </c>
      <c r="B914" s="11" t="str">
        <f>HYPERLINK(CONCAT("http://leetcode.com/problems/",Github!C$1465), Github!B$1465)</f>
        <v>Maximum Product of Two Elements in an Array</v>
      </c>
      <c r="C914" s="10">
        <f>Github!F$1465</f>
        <v>851</v>
      </c>
      <c r="D914" s="10">
        <f>Github!G$1465</f>
        <v>147</v>
      </c>
      <c r="E914" s="10">
        <f>Github!F$1465+Github!G$1465</f>
        <v>998</v>
      </c>
      <c r="F914" s="12">
        <f t="shared" si="1"/>
        <v>5.79</v>
      </c>
      <c r="G914" s="10" t="str">
        <f>Github!H$1465</f>
        <v>Algorithms</v>
      </c>
      <c r="H914" s="13" t="str">
        <f>SUBSTITUTE(Github!L$1465, ";", ", ")</f>
        <v>Array, Sorting, Heap (Priority Queue), </v>
      </c>
      <c r="I914" s="10" t="str">
        <f>Github!E$1465</f>
        <v>Easy</v>
      </c>
      <c r="J914" s="10" t="str">
        <f>IF(TRIM(Github!D$1465)="TRUE","FALSE","TRUE")</f>
        <v>TRUE</v>
      </c>
      <c r="K914" s="10" t="b">
        <f>Github!M$1465</f>
        <v>0</v>
      </c>
      <c r="L914" s="10" t="b">
        <f>Github!N$1465</f>
        <v>0</v>
      </c>
      <c r="M914" s="10" t="str">
        <f>ROUND(Github!O$1465, 2)&amp;"%"</f>
        <v>78.26%</v>
      </c>
      <c r="N914" s="10">
        <f>Github!P$1465</f>
        <v>122682</v>
      </c>
      <c r="O914" s="10">
        <f>Github!Q$1465</f>
        <v>156770</v>
      </c>
    </row>
    <row r="915">
      <c r="A915" s="10">
        <f>Github!J$1332</f>
        <v>1331</v>
      </c>
      <c r="B915" s="11" t="str">
        <f>HYPERLINK(CONCAT("http://leetcode.com/problems/",Github!C$1332), Github!B$1332)</f>
        <v>Rank Transform of an Array</v>
      </c>
      <c r="C915" s="10">
        <f>Github!F$1332</f>
        <v>849</v>
      </c>
      <c r="D915" s="10">
        <f>Github!G$1332</f>
        <v>54</v>
      </c>
      <c r="E915" s="10">
        <f>Github!F$1332+Github!G$1332</f>
        <v>903</v>
      </c>
      <c r="F915" s="12">
        <f t="shared" si="1"/>
        <v>15.72</v>
      </c>
      <c r="G915" s="10" t="str">
        <f>Github!H$1332</f>
        <v>Algorithms</v>
      </c>
      <c r="H915" s="13" t="str">
        <f>SUBSTITUTE(Github!L$1332, ";", ", ")</f>
        <v>Array, Hash Table, Sorting, </v>
      </c>
      <c r="I915" s="10" t="str">
        <f>Github!E$1332</f>
        <v>Easy</v>
      </c>
      <c r="J915" s="10" t="str">
        <f>IF(TRIM(Github!D$1332)="TRUE","FALSE","TRUE")</f>
        <v>TRUE</v>
      </c>
      <c r="K915" s="10" t="b">
        <f>Github!M$1332</f>
        <v>0</v>
      </c>
      <c r="L915" s="10" t="b">
        <f>Github!N$1332</f>
        <v>0</v>
      </c>
      <c r="M915" s="10" t="str">
        <f>ROUND(Github!O$1332, 2)&amp;"%"</f>
        <v>58.39%</v>
      </c>
      <c r="N915" s="10">
        <f>Github!P$1332</f>
        <v>54792</v>
      </c>
      <c r="O915" s="10">
        <f>Github!Q$1332</f>
        <v>93831</v>
      </c>
    </row>
    <row r="916">
      <c r="A916" s="10">
        <f>Github!J$297</f>
        <v>296</v>
      </c>
      <c r="B916" s="11" t="str">
        <f>HYPERLINK(CONCAT("http://leetcode.com/problems/",Github!C$297), Github!B$297)</f>
        <v>Best Meeting Point</v>
      </c>
      <c r="C916" s="10">
        <f>Github!F$297</f>
        <v>846</v>
      </c>
      <c r="D916" s="10">
        <f>Github!G$297</f>
        <v>66</v>
      </c>
      <c r="E916" s="10">
        <f>Github!F$297+Github!G$297</f>
        <v>912</v>
      </c>
      <c r="F916" s="12">
        <f t="shared" si="1"/>
        <v>12.82</v>
      </c>
      <c r="G916" s="10" t="str">
        <f>Github!H$297</f>
        <v>Algorithms</v>
      </c>
      <c r="H916" s="13" t="str">
        <f>SUBSTITUTE(Github!L$297, ";", ", ")</f>
        <v>Array, Math, Sorting, Matrix, </v>
      </c>
      <c r="I916" s="10" t="str">
        <f>Github!E$297</f>
        <v>Hard</v>
      </c>
      <c r="J916" s="10" t="str">
        <f>IF(TRIM(Github!D$297)="TRUE","FALSE","TRUE")</f>
        <v>FALSE</v>
      </c>
      <c r="K916" s="10" t="b">
        <f>Github!M$297</f>
        <v>1</v>
      </c>
      <c r="L916" s="10" t="b">
        <f>Github!N$297</f>
        <v>0</v>
      </c>
      <c r="M916" s="10" t="str">
        <f>ROUND(Github!O$297, 2)&amp;"%"</f>
        <v>59.37%</v>
      </c>
      <c r="N916" s="10">
        <f>Github!P$297</f>
        <v>56736</v>
      </c>
      <c r="O916" s="10">
        <f>Github!Q$297</f>
        <v>95566</v>
      </c>
    </row>
    <row r="917">
      <c r="A917" s="10">
        <f>Github!J$968</f>
        <v>967</v>
      </c>
      <c r="B917" s="11" t="str">
        <f>HYPERLINK(CONCAT("http://leetcode.com/problems/",Github!C$968), Github!B$968)</f>
        <v>Numbers With Same Consecutive Differences</v>
      </c>
      <c r="C917" s="10">
        <f>Github!F$968</f>
        <v>846</v>
      </c>
      <c r="D917" s="10">
        <f>Github!G$968</f>
        <v>130</v>
      </c>
      <c r="E917" s="10">
        <f>Github!F$968+Github!G$968</f>
        <v>976</v>
      </c>
      <c r="F917" s="12">
        <f t="shared" si="1"/>
        <v>6.51</v>
      </c>
      <c r="G917" s="10" t="str">
        <f>Github!H$968</f>
        <v>Algorithms</v>
      </c>
      <c r="H917" s="13" t="str">
        <f>SUBSTITUTE(Github!L$968, ";", ", ")</f>
        <v>Backtracking, Breadth-First Search, </v>
      </c>
      <c r="I917" s="10" t="str">
        <f>Github!E$968</f>
        <v>Medium</v>
      </c>
      <c r="J917" s="10" t="str">
        <f>IF(TRIM(Github!D$968)="TRUE","FALSE","TRUE")</f>
        <v>TRUE</v>
      </c>
      <c r="K917" s="10" t="b">
        <f>Github!M$968</f>
        <v>1</v>
      </c>
      <c r="L917" s="10" t="b">
        <f>Github!N$968</f>
        <v>0</v>
      </c>
      <c r="M917" s="10" t="str">
        <f>ROUND(Github!O$968, 2)&amp;"%"</f>
        <v>47.03%</v>
      </c>
      <c r="N917" s="10">
        <f>Github!P$968</f>
        <v>48893</v>
      </c>
      <c r="O917" s="10">
        <f>Github!Q$968</f>
        <v>103972</v>
      </c>
    </row>
    <row r="918">
      <c r="A918" s="10">
        <f>Github!J$1606</f>
        <v>1605</v>
      </c>
      <c r="B918" s="11" t="str">
        <f>HYPERLINK(CONCAT("http://leetcode.com/problems/",Github!C$1606), Github!B$1606)</f>
        <v>Find Valid Matrix Given Row and Column Sums</v>
      </c>
      <c r="C918" s="10">
        <f>Github!F$1606</f>
        <v>844</v>
      </c>
      <c r="D918" s="10">
        <f>Github!G$1606</f>
        <v>26</v>
      </c>
      <c r="E918" s="10">
        <f>Github!F$1606+Github!G$1606</f>
        <v>870</v>
      </c>
      <c r="F918" s="12">
        <f t="shared" si="1"/>
        <v>32.46</v>
      </c>
      <c r="G918" s="10" t="str">
        <f>Github!H$1606</f>
        <v>Algorithms</v>
      </c>
      <c r="H918" s="13" t="str">
        <f>SUBSTITUTE(Github!L$1606, ";", ", ")</f>
        <v>Array, Greedy, Matrix, </v>
      </c>
      <c r="I918" s="10" t="str">
        <f>Github!E$1606</f>
        <v>Medium</v>
      </c>
      <c r="J918" s="10" t="str">
        <f>IF(TRIM(Github!D$1606)="TRUE","FALSE","TRUE")</f>
        <v>TRUE</v>
      </c>
      <c r="K918" s="10" t="b">
        <f>Github!M$1606</f>
        <v>0</v>
      </c>
      <c r="L918" s="10" t="b">
        <f>Github!N$1606</f>
        <v>0</v>
      </c>
      <c r="M918" s="10" t="str">
        <f>ROUND(Github!O$1606, 2)&amp;"%"</f>
        <v>78.46%</v>
      </c>
      <c r="N918" s="10">
        <f>Github!P$1606</f>
        <v>23917</v>
      </c>
      <c r="O918" s="10">
        <f>Github!Q$1606</f>
        <v>30482</v>
      </c>
    </row>
    <row r="919">
      <c r="A919" s="10">
        <f>Github!J$1860</f>
        <v>1859</v>
      </c>
      <c r="B919" s="11" t="str">
        <f>HYPERLINK(CONCAT("http://leetcode.com/problems/",Github!C$1860), Github!B$1860)</f>
        <v>Sorting the Sentence</v>
      </c>
      <c r="C919" s="10">
        <f>Github!F$1860</f>
        <v>845</v>
      </c>
      <c r="D919" s="10">
        <f>Github!G$1860</f>
        <v>24</v>
      </c>
      <c r="E919" s="10">
        <f>Github!F$1860+Github!G$1860</f>
        <v>869</v>
      </c>
      <c r="F919" s="12">
        <f t="shared" si="1"/>
        <v>35.21</v>
      </c>
      <c r="G919" s="10" t="str">
        <f>Github!H$1860</f>
        <v>Algorithms</v>
      </c>
      <c r="H919" s="13" t="str">
        <f>SUBSTITUTE(Github!L$1860, ";", ", ")</f>
        <v>String, Sorting, </v>
      </c>
      <c r="I919" s="10" t="str">
        <f>Github!E$1860</f>
        <v>Easy</v>
      </c>
      <c r="J919" s="10" t="str">
        <f>IF(TRIM(Github!D$1860)="TRUE","FALSE","TRUE")</f>
        <v>TRUE</v>
      </c>
      <c r="K919" s="10" t="b">
        <f>Github!M$1860</f>
        <v>0</v>
      </c>
      <c r="L919" s="10" t="b">
        <f>Github!N$1860</f>
        <v>0</v>
      </c>
      <c r="M919" s="10" t="str">
        <f>ROUND(Github!O$1860, 2)&amp;"%"</f>
        <v>84.46%</v>
      </c>
      <c r="N919" s="10">
        <f>Github!P$1860</f>
        <v>56784</v>
      </c>
      <c r="O919" s="10">
        <f>Github!Q$1860</f>
        <v>67232</v>
      </c>
    </row>
    <row r="920">
      <c r="A920" s="10">
        <f>Github!J$267</f>
        <v>266</v>
      </c>
      <c r="B920" s="11" t="str">
        <f>HYPERLINK(CONCAT("http://leetcode.com/problems/",Github!C$267), Github!B$267)</f>
        <v>Palindrome Permutation</v>
      </c>
      <c r="C920" s="10">
        <f>Github!F$267</f>
        <v>843</v>
      </c>
      <c r="D920" s="10">
        <f>Github!G$267</f>
        <v>63</v>
      </c>
      <c r="E920" s="10">
        <f>Github!F$267+Github!G$267</f>
        <v>906</v>
      </c>
      <c r="F920" s="12">
        <f t="shared" si="1"/>
        <v>13.38</v>
      </c>
      <c r="G920" s="10" t="str">
        <f>Github!H$267</f>
        <v>Algorithms</v>
      </c>
      <c r="H920" s="13" t="str">
        <f>SUBSTITUTE(Github!L$267, ";", ", ")</f>
        <v>Hash Table, String, Bit Manipulation, </v>
      </c>
      <c r="I920" s="10" t="str">
        <f>Github!E$267</f>
        <v>Easy</v>
      </c>
      <c r="J920" s="10" t="str">
        <f>IF(TRIM(Github!D$267)="TRUE","FALSE","TRUE")</f>
        <v>FALSE</v>
      </c>
      <c r="K920" s="10" t="b">
        <f>Github!M$267</f>
        <v>1</v>
      </c>
      <c r="L920" s="10" t="b">
        <f>Github!N$267</f>
        <v>0</v>
      </c>
      <c r="M920" s="10" t="str">
        <f>ROUND(Github!O$267, 2)&amp;"%"</f>
        <v>65.11%</v>
      </c>
      <c r="N920" s="10">
        <f>Github!P$267</f>
        <v>158641</v>
      </c>
      <c r="O920" s="10">
        <f>Github!Q$267</f>
        <v>243636</v>
      </c>
    </row>
    <row r="921">
      <c r="A921" s="10">
        <f>Github!J$1353</f>
        <v>1352</v>
      </c>
      <c r="B921" s="11" t="str">
        <f>HYPERLINK(CONCAT("http://leetcode.com/problems/",Github!C$1353), Github!B$1353)</f>
        <v>Product of the Last K Numbers</v>
      </c>
      <c r="C921" s="10">
        <f>Github!F$1353</f>
        <v>843</v>
      </c>
      <c r="D921" s="10">
        <f>Github!G$1353</f>
        <v>48</v>
      </c>
      <c r="E921" s="10">
        <f>Github!F$1353+Github!G$1353</f>
        <v>891</v>
      </c>
      <c r="F921" s="12">
        <f t="shared" si="1"/>
        <v>17.56</v>
      </c>
      <c r="G921" s="10" t="str">
        <f>Github!H$1353</f>
        <v>Algorithms</v>
      </c>
      <c r="H921" s="13" t="str">
        <f>SUBSTITUTE(Github!L$1353, ";", ", ")</f>
        <v>Array, Math, Design, Queue, Data Stream, </v>
      </c>
      <c r="I921" s="10" t="str">
        <f>Github!E$1353</f>
        <v>Medium</v>
      </c>
      <c r="J921" s="10" t="str">
        <f>IF(TRIM(Github!D$1353)="TRUE","FALSE","TRUE")</f>
        <v>TRUE</v>
      </c>
      <c r="K921" s="10" t="b">
        <f>Github!M$1353</f>
        <v>0</v>
      </c>
      <c r="L921" s="10" t="b">
        <f>Github!N$1353</f>
        <v>0</v>
      </c>
      <c r="M921" s="10" t="str">
        <f>ROUND(Github!O$1353, 2)&amp;"%"</f>
        <v>47.55%</v>
      </c>
      <c r="N921" s="10">
        <f>Github!P$1353</f>
        <v>45185</v>
      </c>
      <c r="O921" s="10">
        <f>Github!Q$1353</f>
        <v>95023</v>
      </c>
    </row>
    <row r="922">
      <c r="A922" s="10">
        <f>Github!J$358</f>
        <v>357</v>
      </c>
      <c r="B922" s="11" t="str">
        <f>HYPERLINK(CONCAT("http://leetcode.com/problems/",Github!C$358), Github!B$358)</f>
        <v>Count Numbers with Unique Digits</v>
      </c>
      <c r="C922" s="10">
        <f>Github!F$358</f>
        <v>839</v>
      </c>
      <c r="D922" s="10">
        <f>Github!G$358</f>
        <v>1202</v>
      </c>
      <c r="E922" s="10">
        <f>Github!F$358+Github!G$358</f>
        <v>2041</v>
      </c>
      <c r="F922" s="12">
        <f t="shared" si="1"/>
        <v>0.7</v>
      </c>
      <c r="G922" s="10" t="str">
        <f>Github!H$358</f>
        <v>Algorithms</v>
      </c>
      <c r="H922" s="13" t="str">
        <f>SUBSTITUTE(Github!L$358, ";", ", ")</f>
        <v>Math, Dynamic Programming, Backtracking, </v>
      </c>
      <c r="I922" s="10" t="str">
        <f>Github!E$358</f>
        <v>Medium</v>
      </c>
      <c r="J922" s="10" t="str">
        <f>IF(TRIM(Github!D$358)="TRUE","FALSE","TRUE")</f>
        <v>TRUE</v>
      </c>
      <c r="K922" s="10" t="b">
        <f>Github!M$358</f>
        <v>0</v>
      </c>
      <c r="L922" s="10" t="b">
        <f>Github!N$358</f>
        <v>0</v>
      </c>
      <c r="M922" s="10" t="str">
        <f>ROUND(Github!O$358, 2)&amp;"%"</f>
        <v>50.43%</v>
      </c>
      <c r="N922" s="10">
        <f>Github!P$358</f>
        <v>100011</v>
      </c>
      <c r="O922" s="10">
        <f>Github!Q$358</f>
        <v>198316</v>
      </c>
    </row>
    <row r="923">
      <c r="A923" s="10">
        <f>Github!J$406</f>
        <v>405</v>
      </c>
      <c r="B923" s="11" t="str">
        <f>HYPERLINK(CONCAT("http://leetcode.com/problems/",Github!C$406), Github!B$406)</f>
        <v>Convert a Number to Hexadecimal</v>
      </c>
      <c r="C923" s="10">
        <f>Github!F$406</f>
        <v>836</v>
      </c>
      <c r="D923" s="10">
        <f>Github!G$406</f>
        <v>164</v>
      </c>
      <c r="E923" s="10">
        <f>Github!F$406+Github!G$406</f>
        <v>1000</v>
      </c>
      <c r="F923" s="12">
        <f t="shared" si="1"/>
        <v>5.1</v>
      </c>
      <c r="G923" s="10" t="str">
        <f>Github!H$406</f>
        <v>Algorithms</v>
      </c>
      <c r="H923" s="13" t="str">
        <f>SUBSTITUTE(Github!L$406, ";", ", ")</f>
        <v>Math, Bit Manipulation, </v>
      </c>
      <c r="I923" s="10" t="str">
        <f>Github!E$406</f>
        <v>Easy</v>
      </c>
      <c r="J923" s="10" t="str">
        <f>IF(TRIM(Github!D$406)="TRUE","FALSE","TRUE")</f>
        <v>TRUE</v>
      </c>
      <c r="K923" s="10" t="b">
        <f>Github!M$406</f>
        <v>0</v>
      </c>
      <c r="L923" s="10" t="b">
        <f>Github!N$406</f>
        <v>0</v>
      </c>
      <c r="M923" s="10" t="str">
        <f>ROUND(Github!O$406, 2)&amp;"%"</f>
        <v>45.65%</v>
      </c>
      <c r="N923" s="10">
        <f>Github!P$406</f>
        <v>95695</v>
      </c>
      <c r="O923" s="10">
        <f>Github!Q$406</f>
        <v>209607</v>
      </c>
    </row>
    <row r="924">
      <c r="A924" s="10">
        <f>Github!J$1591</f>
        <v>1590</v>
      </c>
      <c r="B924" s="11" t="str">
        <f>HYPERLINK(CONCAT("http://leetcode.com/problems/",Github!C$1591), Github!B$1591)</f>
        <v>Make Sum Divisible by P</v>
      </c>
      <c r="C924" s="10">
        <f>Github!F$1591</f>
        <v>835</v>
      </c>
      <c r="D924" s="10">
        <f>Github!G$1591</f>
        <v>37</v>
      </c>
      <c r="E924" s="10">
        <f>Github!F$1591+Github!G$1591</f>
        <v>872</v>
      </c>
      <c r="F924" s="12">
        <f t="shared" si="1"/>
        <v>22.57</v>
      </c>
      <c r="G924" s="10" t="str">
        <f>Github!H$1591</f>
        <v>Algorithms</v>
      </c>
      <c r="H924" s="13" t="str">
        <f>SUBSTITUTE(Github!L$1591, ";", ", ")</f>
        <v>Array, Hash Table, Prefix Sum, </v>
      </c>
      <c r="I924" s="10" t="str">
        <f>Github!E$1591</f>
        <v>Medium</v>
      </c>
      <c r="J924" s="10" t="str">
        <f>IF(TRIM(Github!D$1591)="TRUE","FALSE","TRUE")</f>
        <v>TRUE</v>
      </c>
      <c r="K924" s="10" t="b">
        <f>Github!M$1591</f>
        <v>0</v>
      </c>
      <c r="L924" s="10" t="b">
        <f>Github!N$1591</f>
        <v>0</v>
      </c>
      <c r="M924" s="10" t="str">
        <f>ROUND(Github!O$1591, 2)&amp;"%"</f>
        <v>28.25%</v>
      </c>
      <c r="N924" s="10">
        <f>Github!P$1591</f>
        <v>15215</v>
      </c>
      <c r="O924" s="10">
        <f>Github!Q$1591</f>
        <v>53849</v>
      </c>
    </row>
    <row r="925">
      <c r="A925" s="10">
        <f>Github!J$849</f>
        <v>848</v>
      </c>
      <c r="B925" s="11" t="str">
        <f>HYPERLINK(CONCAT("http://leetcode.com/problems/",Github!C$849), Github!B$849)</f>
        <v>Shifting Letters</v>
      </c>
      <c r="C925" s="10">
        <f>Github!F$849</f>
        <v>833</v>
      </c>
      <c r="D925" s="10">
        <f>Github!G$849</f>
        <v>96</v>
      </c>
      <c r="E925" s="10">
        <f>Github!F$849+Github!G$849</f>
        <v>929</v>
      </c>
      <c r="F925" s="12">
        <f t="shared" si="1"/>
        <v>8.68</v>
      </c>
      <c r="G925" s="10" t="str">
        <f>Github!H$849</f>
        <v>Algorithms</v>
      </c>
      <c r="H925" s="13" t="str">
        <f>SUBSTITUTE(Github!L$849, ";", ", ")</f>
        <v>Array, String, </v>
      </c>
      <c r="I925" s="10" t="str">
        <f>Github!E$849</f>
        <v>Medium</v>
      </c>
      <c r="J925" s="10" t="str">
        <f>IF(TRIM(Github!D$849)="TRUE","FALSE","TRUE")</f>
        <v>TRUE</v>
      </c>
      <c r="K925" s="10" t="b">
        <f>Github!M$849</f>
        <v>1</v>
      </c>
      <c r="L925" s="10" t="b">
        <f>Github!N$849</f>
        <v>0</v>
      </c>
      <c r="M925" s="10" t="str">
        <f>ROUND(Github!O$849, 2)&amp;"%"</f>
        <v>45.47%</v>
      </c>
      <c r="N925" s="10">
        <f>Github!P$849</f>
        <v>70520</v>
      </c>
      <c r="O925" s="10">
        <f>Github!Q$849</f>
        <v>155078</v>
      </c>
    </row>
    <row r="926">
      <c r="A926" s="10">
        <f>Github!J$905</f>
        <v>904</v>
      </c>
      <c r="B926" s="11" t="str">
        <f>HYPERLINK(CONCAT("http://leetcode.com/problems/",Github!C$905), Github!B$905)</f>
        <v>Fruit Into Baskets</v>
      </c>
      <c r="C926" s="10">
        <f>Github!F$905</f>
        <v>830</v>
      </c>
      <c r="D926" s="10">
        <f>Github!G$905</f>
        <v>56</v>
      </c>
      <c r="E926" s="10">
        <f>Github!F$905+Github!G$905</f>
        <v>886</v>
      </c>
      <c r="F926" s="12">
        <f t="shared" si="1"/>
        <v>14.82</v>
      </c>
      <c r="G926" s="10" t="str">
        <f>Github!H$905</f>
        <v>Algorithms</v>
      </c>
      <c r="H926" s="13" t="str">
        <f>SUBSTITUTE(Github!L$905, ";", ", ")</f>
        <v>Array, Hash Table, Sliding Window, </v>
      </c>
      <c r="I926" s="10" t="str">
        <f>Github!E$905</f>
        <v>Medium</v>
      </c>
      <c r="J926" s="10" t="str">
        <f>IF(TRIM(Github!D$905)="TRUE","FALSE","TRUE")</f>
        <v>TRUE</v>
      </c>
      <c r="K926" s="10" t="b">
        <f>Github!M$905</f>
        <v>0</v>
      </c>
      <c r="L926" s="10" t="b">
        <f>Github!N$905</f>
        <v>0</v>
      </c>
      <c r="M926" s="10" t="str">
        <f>ROUND(Github!O$905, 2)&amp;"%"</f>
        <v>42.9%</v>
      </c>
      <c r="N926" s="10">
        <f>Github!P$905</f>
        <v>189355</v>
      </c>
      <c r="O926" s="10">
        <f>Github!Q$905</f>
        <v>441359</v>
      </c>
    </row>
    <row r="927">
      <c r="A927" s="10">
        <f>Github!J$187</f>
        <v>186</v>
      </c>
      <c r="B927" s="11" t="str">
        <f>HYPERLINK(CONCAT("http://leetcode.com/problems/",Github!C$187), Github!B$187)</f>
        <v>Reverse Words in a String II</v>
      </c>
      <c r="C927" s="10">
        <f>Github!F$187</f>
        <v>826</v>
      </c>
      <c r="D927" s="10">
        <f>Github!G$187</f>
        <v>125</v>
      </c>
      <c r="E927" s="10">
        <f>Github!F$187+Github!G$187</f>
        <v>951</v>
      </c>
      <c r="F927" s="12">
        <f t="shared" si="1"/>
        <v>6.61</v>
      </c>
      <c r="G927" s="10" t="str">
        <f>Github!H$187</f>
        <v>Algorithms</v>
      </c>
      <c r="H927" s="13" t="str">
        <f>SUBSTITUTE(Github!L$187, ";", ", ")</f>
        <v>Two Pointers, String, </v>
      </c>
      <c r="I927" s="10" t="str">
        <f>Github!E$187</f>
        <v>Medium</v>
      </c>
      <c r="J927" s="10" t="str">
        <f>IF(TRIM(Github!D$187)="TRUE","FALSE","TRUE")</f>
        <v>FALSE</v>
      </c>
      <c r="K927" s="10" t="b">
        <f>Github!M$187</f>
        <v>1</v>
      </c>
      <c r="L927" s="10" t="b">
        <f>Github!N$187</f>
        <v>0</v>
      </c>
      <c r="M927" s="10" t="str">
        <f>ROUND(Github!O$187, 2)&amp;"%"</f>
        <v>50.51%</v>
      </c>
      <c r="N927" s="10">
        <f>Github!P$187</f>
        <v>129442</v>
      </c>
      <c r="O927" s="10">
        <f>Github!Q$187</f>
        <v>256266</v>
      </c>
    </row>
    <row r="928">
      <c r="A928" s="10">
        <f>Github!J$184</f>
        <v>183</v>
      </c>
      <c r="B928" s="11" t="str">
        <f>HYPERLINK(CONCAT("http://leetcode.com/problems/",Github!C$184), Github!B$184)</f>
        <v>Customers Who Never Order</v>
      </c>
      <c r="C928" s="10">
        <f>Github!F$184</f>
        <v>826</v>
      </c>
      <c r="D928" s="10">
        <f>Github!G$184</f>
        <v>69</v>
      </c>
      <c r="E928" s="10">
        <f>Github!F$184+Github!G$184</f>
        <v>895</v>
      </c>
      <c r="F928" s="12">
        <f t="shared" si="1"/>
        <v>11.97</v>
      </c>
      <c r="G928" s="10" t="str">
        <f>Github!H$184</f>
        <v>Database</v>
      </c>
      <c r="H928" s="13" t="str">
        <f>SUBSTITUTE(Github!L$184, ";", ", ")</f>
        <v>Database, </v>
      </c>
      <c r="I928" s="10" t="str">
        <f>Github!E$184</f>
        <v>Easy</v>
      </c>
      <c r="J928" s="10" t="str">
        <f>IF(TRIM(Github!D$184)="TRUE","FALSE","TRUE")</f>
        <v>TRUE</v>
      </c>
      <c r="K928" s="10" t="b">
        <f>Github!M$184</f>
        <v>1</v>
      </c>
      <c r="L928" s="10" t="b">
        <f>Github!N$184</f>
        <v>0</v>
      </c>
      <c r="M928" s="10" t="str">
        <f>ROUND(Github!O$184, 2)&amp;"%"</f>
        <v>62.12%</v>
      </c>
      <c r="N928" s="10">
        <f>Github!P$184</f>
        <v>315506</v>
      </c>
      <c r="O928" s="10">
        <f>Github!Q$184</f>
        <v>507886</v>
      </c>
    </row>
    <row r="929">
      <c r="A929" s="10">
        <f>Github!J$1930</f>
        <v>1929</v>
      </c>
      <c r="B929" s="11" t="str">
        <f>HYPERLINK(CONCAT("http://leetcode.com/problems/",Github!C$1930), Github!B$1930)</f>
        <v>Concatenation of Array</v>
      </c>
      <c r="C929" s="10">
        <f>Github!F$1930</f>
        <v>825</v>
      </c>
      <c r="D929" s="10">
        <f>Github!G$1930</f>
        <v>168</v>
      </c>
      <c r="E929" s="10">
        <f>Github!F$1930+Github!G$1930</f>
        <v>993</v>
      </c>
      <c r="F929" s="12">
        <f t="shared" si="1"/>
        <v>4.91</v>
      </c>
      <c r="G929" s="10" t="str">
        <f>Github!H$1930</f>
        <v>Algorithms</v>
      </c>
      <c r="H929" s="13" t="str">
        <f>SUBSTITUTE(Github!L$1930, ";", ", ")</f>
        <v>Array, </v>
      </c>
      <c r="I929" s="10" t="str">
        <f>Github!E$1930</f>
        <v>Easy</v>
      </c>
      <c r="J929" s="10" t="str">
        <f>IF(TRIM(Github!D$1930)="TRUE","FALSE","TRUE")</f>
        <v>TRUE</v>
      </c>
      <c r="K929" s="10" t="b">
        <f>Github!M$1930</f>
        <v>0</v>
      </c>
      <c r="L929" s="10" t="b">
        <f>Github!N$1930</f>
        <v>0</v>
      </c>
      <c r="M929" s="10" t="str">
        <f>ROUND(Github!O$1930, 2)&amp;"%"</f>
        <v>91.71%</v>
      </c>
      <c r="N929" s="10">
        <f>Github!P$1930</f>
        <v>150078</v>
      </c>
      <c r="O929" s="10">
        <f>Github!Q$1930</f>
        <v>163642</v>
      </c>
    </row>
    <row r="930">
      <c r="A930" s="10">
        <f>Github!J$1268</f>
        <v>1267</v>
      </c>
      <c r="B930" s="11" t="str">
        <f>HYPERLINK(CONCAT("http://leetcode.com/problems/",Github!C$1268), Github!B$1268)</f>
        <v>Count Servers that Communicate</v>
      </c>
      <c r="C930" s="10">
        <f>Github!F$1268</f>
        <v>822</v>
      </c>
      <c r="D930" s="10">
        <f>Github!G$1268</f>
        <v>69</v>
      </c>
      <c r="E930" s="10">
        <f>Github!F$1268+Github!G$1268</f>
        <v>891</v>
      </c>
      <c r="F930" s="12">
        <f t="shared" si="1"/>
        <v>11.91</v>
      </c>
      <c r="G930" s="10" t="str">
        <f>Github!H$1268</f>
        <v>Algorithms</v>
      </c>
      <c r="H930" s="13" t="str">
        <f>SUBSTITUTE(Github!L$1268, ";", ", ")</f>
        <v>Array, Depth-First Search, Breadth-First Search, Union Find, Matrix, Counting, </v>
      </c>
      <c r="I930" s="10" t="str">
        <f>Github!E$1268</f>
        <v>Medium</v>
      </c>
      <c r="J930" s="10" t="str">
        <f>IF(TRIM(Github!D$1268)="TRUE","FALSE","TRUE")</f>
        <v>TRUE</v>
      </c>
      <c r="K930" s="10" t="b">
        <f>Github!M$1268</f>
        <v>0</v>
      </c>
      <c r="L930" s="10" t="b">
        <f>Github!N$1268</f>
        <v>0</v>
      </c>
      <c r="M930" s="10" t="str">
        <f>ROUND(Github!O$1268, 2)&amp;"%"</f>
        <v>58.12%</v>
      </c>
      <c r="N930" s="10">
        <f>Github!P$1268</f>
        <v>39135</v>
      </c>
      <c r="O930" s="10">
        <f>Github!Q$1268</f>
        <v>67338</v>
      </c>
    </row>
    <row r="931">
      <c r="A931" s="10">
        <f>Github!J$1248</f>
        <v>1247</v>
      </c>
      <c r="B931" s="11" t="str">
        <f>HYPERLINK(CONCAT("http://leetcode.com/problems/",Github!C$1248), Github!B$1248)</f>
        <v>Minimum Swaps to Make Strings Equal</v>
      </c>
      <c r="C931" s="10">
        <f>Github!F$1248</f>
        <v>820</v>
      </c>
      <c r="D931" s="10">
        <f>Github!G$1248</f>
        <v>205</v>
      </c>
      <c r="E931" s="10">
        <f>Github!F$1248+Github!G$1248</f>
        <v>1025</v>
      </c>
      <c r="F931" s="12">
        <f t="shared" si="1"/>
        <v>4</v>
      </c>
      <c r="G931" s="10" t="str">
        <f>Github!H$1248</f>
        <v>Algorithms</v>
      </c>
      <c r="H931" s="13" t="str">
        <f>SUBSTITUTE(Github!L$1248, ";", ", ")</f>
        <v>Math, String, Greedy, </v>
      </c>
      <c r="I931" s="10" t="str">
        <f>Github!E$1248</f>
        <v>Medium</v>
      </c>
      <c r="J931" s="10" t="str">
        <f>IF(TRIM(Github!D$1248)="TRUE","FALSE","TRUE")</f>
        <v>TRUE</v>
      </c>
      <c r="K931" s="10" t="b">
        <f>Github!M$1248</f>
        <v>0</v>
      </c>
      <c r="L931" s="10" t="b">
        <f>Github!N$1248</f>
        <v>0</v>
      </c>
      <c r="M931" s="10" t="str">
        <f>ROUND(Github!O$1248, 2)&amp;"%"</f>
        <v>63.7%</v>
      </c>
      <c r="N931" s="10">
        <f>Github!P$1248</f>
        <v>26823</v>
      </c>
      <c r="O931" s="10">
        <f>Github!Q$1248</f>
        <v>42108</v>
      </c>
    </row>
    <row r="932">
      <c r="A932" s="10">
        <f>Github!J$1482</f>
        <v>1481</v>
      </c>
      <c r="B932" s="11" t="str">
        <f>HYPERLINK(CONCAT("http://leetcode.com/problems/",Github!C$1482), Github!B$1482)</f>
        <v>Least Number of Unique Integers after K Removals</v>
      </c>
      <c r="C932" s="10">
        <f>Github!F$1482</f>
        <v>821</v>
      </c>
      <c r="D932" s="10">
        <f>Github!G$1482</f>
        <v>62</v>
      </c>
      <c r="E932" s="10">
        <f>Github!F$1482+Github!G$1482</f>
        <v>883</v>
      </c>
      <c r="F932" s="12">
        <f t="shared" si="1"/>
        <v>13.24</v>
      </c>
      <c r="G932" s="10" t="str">
        <f>Github!H$1482</f>
        <v>Algorithms</v>
      </c>
      <c r="H932" s="13" t="str">
        <f>SUBSTITUTE(Github!L$1482, ";", ", ")</f>
        <v>Array, Hash Table, Greedy, Sorting, Counting, </v>
      </c>
      <c r="I932" s="10" t="str">
        <f>Github!E$1482</f>
        <v>Medium</v>
      </c>
      <c r="J932" s="10" t="str">
        <f>IF(TRIM(Github!D$1482)="TRUE","FALSE","TRUE")</f>
        <v>TRUE</v>
      </c>
      <c r="K932" s="10" t="b">
        <f>Github!M$1482</f>
        <v>0</v>
      </c>
      <c r="L932" s="10" t="b">
        <f>Github!N$1482</f>
        <v>0</v>
      </c>
      <c r="M932" s="10" t="str">
        <f>ROUND(Github!O$1482, 2)&amp;"%"</f>
        <v>60%</v>
      </c>
      <c r="N932" s="10">
        <f>Github!P$1482</f>
        <v>66436</v>
      </c>
      <c r="O932" s="10">
        <f>Github!Q$1482</f>
        <v>110727</v>
      </c>
    </row>
    <row r="933">
      <c r="A933" s="10">
        <f>Github!J$327</f>
        <v>326</v>
      </c>
      <c r="B933" s="11" t="str">
        <f>HYPERLINK(CONCAT("http://leetcode.com/problems/",Github!C$327), Github!B$327)</f>
        <v>Power of Three</v>
      </c>
      <c r="C933" s="10">
        <f>Github!F$327</f>
        <v>818</v>
      </c>
      <c r="D933" s="10">
        <f>Github!G$327</f>
        <v>102</v>
      </c>
      <c r="E933" s="10">
        <f>Github!F$327+Github!G$327</f>
        <v>920</v>
      </c>
      <c r="F933" s="12">
        <f t="shared" si="1"/>
        <v>8.02</v>
      </c>
      <c r="G933" s="10" t="str">
        <f>Github!H$327</f>
        <v>Algorithms</v>
      </c>
      <c r="H933" s="13" t="str">
        <f>SUBSTITUTE(Github!L$327, ";", ", ")</f>
        <v>Math, Recursion, </v>
      </c>
      <c r="I933" s="10" t="str">
        <f>Github!E$327</f>
        <v>Easy</v>
      </c>
      <c r="J933" s="10" t="str">
        <f>IF(TRIM(Github!D$327)="TRUE","FALSE","TRUE")</f>
        <v>TRUE</v>
      </c>
      <c r="K933" s="10" t="b">
        <f>Github!M$327</f>
        <v>1</v>
      </c>
      <c r="L933" s="10" t="b">
        <f>Github!N$327</f>
        <v>0</v>
      </c>
      <c r="M933" s="10" t="str">
        <f>ROUND(Github!O$327, 2)&amp;"%"</f>
        <v>43.33%</v>
      </c>
      <c r="N933" s="10">
        <f>Github!P$327</f>
        <v>443196</v>
      </c>
      <c r="O933" s="10">
        <f>Github!Q$327</f>
        <v>1022855</v>
      </c>
    </row>
    <row r="934">
      <c r="A934" s="10">
        <f>Github!J$198</f>
        <v>197</v>
      </c>
      <c r="B934" s="11" t="str">
        <f>HYPERLINK(CONCAT("http://leetcode.com/problems/",Github!C$198), Github!B$198)</f>
        <v>Rising Temperature</v>
      </c>
      <c r="C934" s="10">
        <f>Github!F$198</f>
        <v>814</v>
      </c>
      <c r="D934" s="10">
        <f>Github!G$198</f>
        <v>341</v>
      </c>
      <c r="E934" s="10">
        <f>Github!F$198+Github!G$198</f>
        <v>1155</v>
      </c>
      <c r="F934" s="12">
        <f t="shared" si="1"/>
        <v>2.39</v>
      </c>
      <c r="G934" s="10" t="str">
        <f>Github!H$198</f>
        <v>Database</v>
      </c>
      <c r="H934" s="13" t="str">
        <f>SUBSTITUTE(Github!L$198, ";", ", ")</f>
        <v>Database, </v>
      </c>
      <c r="I934" s="10" t="str">
        <f>Github!E$198</f>
        <v>Easy</v>
      </c>
      <c r="J934" s="10" t="str">
        <f>IF(TRIM(Github!D$198)="TRUE","FALSE","TRUE")</f>
        <v>TRUE</v>
      </c>
      <c r="K934" s="10" t="b">
        <f>Github!M$198</f>
        <v>1</v>
      </c>
      <c r="L934" s="10" t="b">
        <f>Github!N$198</f>
        <v>0</v>
      </c>
      <c r="M934" s="10" t="str">
        <f>ROUND(Github!O$198, 2)&amp;"%"</f>
        <v>42.14%</v>
      </c>
      <c r="N934" s="10">
        <f>Github!P$198</f>
        <v>208661</v>
      </c>
      <c r="O934" s="10">
        <f>Github!Q$198</f>
        <v>495139</v>
      </c>
    </row>
    <row r="935">
      <c r="A935" s="10">
        <f>Github!J$434</f>
        <v>433</v>
      </c>
      <c r="B935" s="11" t="str">
        <f>HYPERLINK(CONCAT("http://leetcode.com/problems/",Github!C$434), Github!B$434)</f>
        <v>Minimum Genetic Mutation</v>
      </c>
      <c r="C935" s="10">
        <f>Github!F$434</f>
        <v>816</v>
      </c>
      <c r="D935" s="10">
        <f>Github!G$434</f>
        <v>96</v>
      </c>
      <c r="E935" s="10">
        <f>Github!F$434+Github!G$434</f>
        <v>912</v>
      </c>
      <c r="F935" s="12">
        <f t="shared" si="1"/>
        <v>8.5</v>
      </c>
      <c r="G935" s="10" t="str">
        <f>Github!H$434</f>
        <v>Algorithms</v>
      </c>
      <c r="H935" s="13" t="str">
        <f>SUBSTITUTE(Github!L$434, ";", ", ")</f>
        <v>Hash Table, String, Breadth-First Search, </v>
      </c>
      <c r="I935" s="10" t="str">
        <f>Github!E$434</f>
        <v>Medium</v>
      </c>
      <c r="J935" s="10" t="str">
        <f>IF(TRIM(Github!D$434)="TRUE","FALSE","TRUE")</f>
        <v>TRUE</v>
      </c>
      <c r="K935" s="10" t="b">
        <f>Github!M$434</f>
        <v>0</v>
      </c>
      <c r="L935" s="10" t="b">
        <f>Github!N$434</f>
        <v>0</v>
      </c>
      <c r="M935" s="10" t="str">
        <f>ROUND(Github!O$434, 2)&amp;"%"</f>
        <v>45.93%</v>
      </c>
      <c r="N935" s="10">
        <f>Github!P$434</f>
        <v>50105</v>
      </c>
      <c r="O935" s="10">
        <f>Github!Q$434</f>
        <v>109086</v>
      </c>
    </row>
    <row r="936">
      <c r="A936" s="10">
        <f>Github!J$824</f>
        <v>823</v>
      </c>
      <c r="B936" s="11" t="str">
        <f>HYPERLINK(CONCAT("http://leetcode.com/problems/",Github!C$824), Github!B$824)</f>
        <v>Binary Trees With Factors</v>
      </c>
      <c r="C936" s="10">
        <f>Github!F$824</f>
        <v>814</v>
      </c>
      <c r="D936" s="10">
        <f>Github!G$824</f>
        <v>101</v>
      </c>
      <c r="E936" s="10">
        <f>Github!F$824+Github!G$824</f>
        <v>915</v>
      </c>
      <c r="F936" s="12">
        <f t="shared" si="1"/>
        <v>8.06</v>
      </c>
      <c r="G936" s="10" t="str">
        <f>Github!H$824</f>
        <v>Algorithms</v>
      </c>
      <c r="H936" s="13" t="str">
        <f>SUBSTITUTE(Github!L$824, ";", ", ")</f>
        <v>Array, Hash Table, Dynamic Programming, </v>
      </c>
      <c r="I936" s="10" t="str">
        <f>Github!E$824</f>
        <v>Medium</v>
      </c>
      <c r="J936" s="10" t="str">
        <f>IF(TRIM(Github!D$824)="TRUE","FALSE","TRUE")</f>
        <v>TRUE</v>
      </c>
      <c r="K936" s="10" t="b">
        <f>Github!M$824</f>
        <v>1</v>
      </c>
      <c r="L936" s="10" t="b">
        <f>Github!N$824</f>
        <v>0</v>
      </c>
      <c r="M936" s="10" t="str">
        <f>ROUND(Github!O$824, 2)&amp;"%"</f>
        <v>43.65%</v>
      </c>
      <c r="N936" s="10">
        <f>Github!P$824</f>
        <v>36159</v>
      </c>
      <c r="O936" s="10">
        <f>Github!Q$824</f>
        <v>82835</v>
      </c>
    </row>
    <row r="937">
      <c r="A937" s="10">
        <f>Github!J$773</f>
        <v>772</v>
      </c>
      <c r="B937" s="11" t="str">
        <f>HYPERLINK(CONCAT("http://leetcode.com/problems/",Github!C$773), Github!B$773)</f>
        <v>Basic Calculator III</v>
      </c>
      <c r="C937" s="10">
        <f>Github!F$773</f>
        <v>810</v>
      </c>
      <c r="D937" s="10">
        <f>Github!G$773</f>
        <v>242</v>
      </c>
      <c r="E937" s="10">
        <f>Github!F$773+Github!G$773</f>
        <v>1052</v>
      </c>
      <c r="F937" s="12">
        <f t="shared" si="1"/>
        <v>3.35</v>
      </c>
      <c r="G937" s="10" t="str">
        <f>Github!H$773</f>
        <v>Algorithms</v>
      </c>
      <c r="H937" s="13" t="str">
        <f>SUBSTITUTE(Github!L$773, ";", ", ")</f>
        <v>Math, String, Stack, Recursion, </v>
      </c>
      <c r="I937" s="10" t="str">
        <f>Github!E$773</f>
        <v>Hard</v>
      </c>
      <c r="J937" s="10" t="str">
        <f>IF(TRIM(Github!D$773)="TRUE","FALSE","TRUE")</f>
        <v>FALSE</v>
      </c>
      <c r="K937" s="10" t="b">
        <f>Github!M$773</f>
        <v>0</v>
      </c>
      <c r="L937" s="10" t="b">
        <f>Github!N$773</f>
        <v>0</v>
      </c>
      <c r="M937" s="10" t="str">
        <f>ROUND(Github!O$773, 2)&amp;"%"</f>
        <v>47.16%</v>
      </c>
      <c r="N937" s="10">
        <f>Github!P$773</f>
        <v>79218</v>
      </c>
      <c r="O937" s="10">
        <f>Github!Q$773</f>
        <v>167993</v>
      </c>
    </row>
    <row r="938">
      <c r="A938" s="10">
        <f>Github!J$1055</f>
        <v>1054</v>
      </c>
      <c r="B938" s="11" t="str">
        <f>HYPERLINK(CONCAT("http://leetcode.com/problems/",Github!C$1055), Github!B$1055)</f>
        <v>Distant Barcodes</v>
      </c>
      <c r="C938" s="10">
        <f>Github!F$1055</f>
        <v>809</v>
      </c>
      <c r="D938" s="10">
        <f>Github!G$1055</f>
        <v>36</v>
      </c>
      <c r="E938" s="10">
        <f>Github!F$1055+Github!G$1055</f>
        <v>845</v>
      </c>
      <c r="F938" s="12">
        <f t="shared" si="1"/>
        <v>22.47</v>
      </c>
      <c r="G938" s="10" t="str">
        <f>Github!H$1055</f>
        <v>Algorithms</v>
      </c>
      <c r="H938" s="13" t="str">
        <f>SUBSTITUTE(Github!L$1055, ";", ", ")</f>
        <v>Array, Hash Table, Greedy, Sorting, Heap (Priority Queue), Counting, </v>
      </c>
      <c r="I938" s="10" t="str">
        <f>Github!E$1055</f>
        <v>Medium</v>
      </c>
      <c r="J938" s="10" t="str">
        <f>IF(TRIM(Github!D$1055)="TRUE","FALSE","TRUE")</f>
        <v>TRUE</v>
      </c>
      <c r="K938" s="10" t="b">
        <f>Github!M$1055</f>
        <v>0</v>
      </c>
      <c r="L938" s="10" t="b">
        <f>Github!N$1055</f>
        <v>0</v>
      </c>
      <c r="M938" s="10" t="str">
        <f>ROUND(Github!O$1055, 2)&amp;"%"</f>
        <v>45.21%</v>
      </c>
      <c r="N938" s="10">
        <f>Github!P$1055</f>
        <v>28894</v>
      </c>
      <c r="O938" s="10">
        <f>Github!Q$1055</f>
        <v>63904</v>
      </c>
    </row>
    <row r="939">
      <c r="A939" s="10">
        <f>Github!J$1494</f>
        <v>1493</v>
      </c>
      <c r="B939" s="11" t="str">
        <f>HYPERLINK(CONCAT("http://leetcode.com/problems/",Github!C$1494), Github!B$1494)</f>
        <v>Longest Subarray of 1's After Deleting One Element</v>
      </c>
      <c r="C939" s="10">
        <f>Github!F$1494</f>
        <v>810</v>
      </c>
      <c r="D939" s="10">
        <f>Github!G$1494</f>
        <v>19</v>
      </c>
      <c r="E939" s="10">
        <f>Github!F$1494+Github!G$1494</f>
        <v>829</v>
      </c>
      <c r="F939" s="12">
        <f t="shared" si="1"/>
        <v>42.63</v>
      </c>
      <c r="G939" s="10" t="str">
        <f>Github!H$1494</f>
        <v>Algorithms</v>
      </c>
      <c r="H939" s="13" t="str">
        <f>SUBSTITUTE(Github!L$1494, ";", ", ")</f>
        <v>Math, Dynamic Programming, Sliding Window, </v>
      </c>
      <c r="I939" s="10" t="str">
        <f>Github!E$1494</f>
        <v>Medium</v>
      </c>
      <c r="J939" s="10" t="str">
        <f>IF(TRIM(Github!D$1494)="TRUE","FALSE","TRUE")</f>
        <v>TRUE</v>
      </c>
      <c r="K939" s="10" t="b">
        <f>Github!M$1494</f>
        <v>0</v>
      </c>
      <c r="L939" s="10" t="b">
        <f>Github!N$1494</f>
        <v>0</v>
      </c>
      <c r="M939" s="10" t="str">
        <f>ROUND(Github!O$1494, 2)&amp;"%"</f>
        <v>60.03%</v>
      </c>
      <c r="N939" s="10">
        <f>Github!P$1494</f>
        <v>37332</v>
      </c>
      <c r="O939" s="10">
        <f>Github!Q$1494</f>
        <v>62193</v>
      </c>
    </row>
    <row r="940">
      <c r="A940" s="10">
        <f>Github!J$1440</f>
        <v>1439</v>
      </c>
      <c r="B940" s="11" t="str">
        <f>HYPERLINK(CONCAT("http://leetcode.com/problems/",Github!C$1440), Github!B$1440)</f>
        <v>Find the Kth Smallest Sum of a Matrix With Sorted Rows</v>
      </c>
      <c r="C940" s="10">
        <f>Github!F$1440</f>
        <v>808</v>
      </c>
      <c r="D940" s="10">
        <f>Github!G$1440</f>
        <v>9</v>
      </c>
      <c r="E940" s="10">
        <f>Github!F$1440+Github!G$1440</f>
        <v>817</v>
      </c>
      <c r="F940" s="12">
        <f t="shared" si="1"/>
        <v>89.78</v>
      </c>
      <c r="G940" s="10" t="str">
        <f>Github!H$1440</f>
        <v>Algorithms</v>
      </c>
      <c r="H940" s="13" t="str">
        <f>SUBSTITUTE(Github!L$1440, ";", ", ")</f>
        <v>Array, Binary Search, Heap (Priority Queue), Matrix, </v>
      </c>
      <c r="I940" s="10" t="str">
        <f>Github!E$1440</f>
        <v>Hard</v>
      </c>
      <c r="J940" s="10" t="str">
        <f>IF(TRIM(Github!D$1440)="TRUE","FALSE","TRUE")</f>
        <v>TRUE</v>
      </c>
      <c r="K940" s="10" t="b">
        <f>Github!M$1440</f>
        <v>0</v>
      </c>
      <c r="L940" s="10" t="b">
        <f>Github!N$1440</f>
        <v>0</v>
      </c>
      <c r="M940" s="10" t="str">
        <f>ROUND(Github!O$1440, 2)&amp;"%"</f>
        <v>61.48%</v>
      </c>
      <c r="N940" s="10">
        <f>Github!P$1440</f>
        <v>23738</v>
      </c>
      <c r="O940" s="10">
        <f>Github!Q$1440</f>
        <v>38612</v>
      </c>
    </row>
    <row r="941">
      <c r="A941" s="10">
        <f>Github!J$843</f>
        <v>842</v>
      </c>
      <c r="B941" s="11" t="str">
        <f>HYPERLINK(CONCAT("http://leetcode.com/problems/",Github!C$843), Github!B$843)</f>
        <v>Split Array into Fibonacci Sequence</v>
      </c>
      <c r="C941" s="10">
        <f>Github!F$843</f>
        <v>808</v>
      </c>
      <c r="D941" s="10">
        <f>Github!G$843</f>
        <v>246</v>
      </c>
      <c r="E941" s="10">
        <f>Github!F$843+Github!G$843</f>
        <v>1054</v>
      </c>
      <c r="F941" s="12">
        <f t="shared" si="1"/>
        <v>3.28</v>
      </c>
      <c r="G941" s="10" t="str">
        <f>Github!H$843</f>
        <v>Algorithms</v>
      </c>
      <c r="H941" s="13" t="str">
        <f>SUBSTITUTE(Github!L$843, ";", ", ")</f>
        <v>String, Backtracking, </v>
      </c>
      <c r="I941" s="10" t="str">
        <f>Github!E$843</f>
        <v>Medium</v>
      </c>
      <c r="J941" s="10" t="str">
        <f>IF(TRIM(Github!D$843)="TRUE","FALSE","TRUE")</f>
        <v>TRUE</v>
      </c>
      <c r="K941" s="10" t="b">
        <f>Github!M$843</f>
        <v>1</v>
      </c>
      <c r="L941" s="10" t="b">
        <f>Github!N$843</f>
        <v>0</v>
      </c>
      <c r="M941" s="10" t="str">
        <f>ROUND(Github!O$843, 2)&amp;"%"</f>
        <v>37.68%</v>
      </c>
      <c r="N941" s="10">
        <f>Github!P$843</f>
        <v>29904</v>
      </c>
      <c r="O941" s="10">
        <f>Github!Q$843</f>
        <v>79362</v>
      </c>
    </row>
    <row r="942">
      <c r="A942" s="10">
        <f>Github!J$1670</f>
        <v>1669</v>
      </c>
      <c r="B942" s="11" t="str">
        <f>HYPERLINK(CONCAT("http://leetcode.com/problems/",Github!C$1670), Github!B$1670)</f>
        <v>Merge In Between Linked Lists</v>
      </c>
      <c r="C942" s="10">
        <f>Github!F$1670</f>
        <v>807</v>
      </c>
      <c r="D942" s="10">
        <f>Github!G$1670</f>
        <v>117</v>
      </c>
      <c r="E942" s="10">
        <f>Github!F$1670+Github!G$1670</f>
        <v>924</v>
      </c>
      <c r="F942" s="12">
        <f t="shared" si="1"/>
        <v>6.9</v>
      </c>
      <c r="G942" s="10" t="str">
        <f>Github!H$1670</f>
        <v>Algorithms</v>
      </c>
      <c r="H942" s="13" t="str">
        <f>SUBSTITUTE(Github!L$1670, ";", ", ")</f>
        <v>Linked List, </v>
      </c>
      <c r="I942" s="10" t="str">
        <f>Github!E$1670</f>
        <v>Medium</v>
      </c>
      <c r="J942" s="10" t="str">
        <f>IF(TRIM(Github!D$1670)="TRUE","FALSE","TRUE")</f>
        <v>TRUE</v>
      </c>
      <c r="K942" s="10" t="b">
        <f>Github!M$1670</f>
        <v>0</v>
      </c>
      <c r="L942" s="10" t="b">
        <f>Github!N$1670</f>
        <v>0</v>
      </c>
      <c r="M942" s="10" t="str">
        <f>ROUND(Github!O$1670, 2)&amp;"%"</f>
        <v>74.63%</v>
      </c>
      <c r="N942" s="10">
        <f>Github!P$1670</f>
        <v>46357</v>
      </c>
      <c r="O942" s="10">
        <f>Github!Q$1670</f>
        <v>62118</v>
      </c>
    </row>
    <row r="943">
      <c r="A943" s="10">
        <f>Github!J$429</f>
        <v>428</v>
      </c>
      <c r="B943" s="11" t="str">
        <f>HYPERLINK(CONCAT("http://leetcode.com/problems/",Github!C$429), Github!B$429)</f>
        <v>Serialize and Deserialize N-ary Tree</v>
      </c>
      <c r="C943" s="10">
        <f>Github!F$429</f>
        <v>801</v>
      </c>
      <c r="D943" s="10">
        <f>Github!G$429</f>
        <v>48</v>
      </c>
      <c r="E943" s="10">
        <f>Github!F$429+Github!G$429</f>
        <v>849</v>
      </c>
      <c r="F943" s="12">
        <f t="shared" si="1"/>
        <v>16.69</v>
      </c>
      <c r="G943" s="10" t="str">
        <f>Github!H$429</f>
        <v>Algorithms</v>
      </c>
      <c r="H943" s="13" t="str">
        <f>SUBSTITUTE(Github!L$429, ";", ", ")</f>
        <v>String, Tree, Depth-First Search, Breadth-First Search, </v>
      </c>
      <c r="I943" s="10" t="str">
        <f>Github!E$429</f>
        <v>Hard</v>
      </c>
      <c r="J943" s="10" t="str">
        <f>IF(TRIM(Github!D$429)="TRUE","FALSE","TRUE")</f>
        <v>FALSE</v>
      </c>
      <c r="K943" s="10" t="b">
        <f>Github!M$429</f>
        <v>1</v>
      </c>
      <c r="L943" s="10" t="b">
        <f>Github!N$429</f>
        <v>0</v>
      </c>
      <c r="M943" s="10" t="str">
        <f>ROUND(Github!O$429, 2)&amp;"%"</f>
        <v>64.06%</v>
      </c>
      <c r="N943" s="10">
        <f>Github!P$429</f>
        <v>62583</v>
      </c>
      <c r="O943" s="10">
        <f>Github!Q$429</f>
        <v>97695</v>
      </c>
    </row>
    <row r="944">
      <c r="A944" s="10">
        <f>Github!J$1233</f>
        <v>1232</v>
      </c>
      <c r="B944" s="11" t="str">
        <f>HYPERLINK(CONCAT("http://leetcode.com/problems/",Github!C$1233), Github!B$1233)</f>
        <v>Check If It Is a Straight Line</v>
      </c>
      <c r="C944" s="10">
        <f>Github!F$1233</f>
        <v>801</v>
      </c>
      <c r="D944" s="10">
        <f>Github!G$1233</f>
        <v>119</v>
      </c>
      <c r="E944" s="10">
        <f>Github!F$1233+Github!G$1233</f>
        <v>920</v>
      </c>
      <c r="F944" s="12">
        <f t="shared" si="1"/>
        <v>6.73</v>
      </c>
      <c r="G944" s="10" t="str">
        <f>Github!H$1233</f>
        <v>Algorithms</v>
      </c>
      <c r="H944" s="13" t="str">
        <f>SUBSTITUTE(Github!L$1233, ";", ", ")</f>
        <v>Array, Math, Geometry, </v>
      </c>
      <c r="I944" s="10" t="str">
        <f>Github!E$1233</f>
        <v>Easy</v>
      </c>
      <c r="J944" s="10" t="str">
        <f>IF(TRIM(Github!D$1233)="TRUE","FALSE","TRUE")</f>
        <v>TRUE</v>
      </c>
      <c r="K944" s="10" t="b">
        <f>Github!M$1233</f>
        <v>0</v>
      </c>
      <c r="L944" s="10" t="b">
        <f>Github!N$1233</f>
        <v>0</v>
      </c>
      <c r="M944" s="10" t="str">
        <f>ROUND(Github!O$1233, 2)&amp;"%"</f>
        <v>42.13%</v>
      </c>
      <c r="N944" s="10">
        <f>Github!P$1233</f>
        <v>106693</v>
      </c>
      <c r="O944" s="10">
        <f>Github!Q$1233</f>
        <v>253226</v>
      </c>
    </row>
    <row r="945">
      <c r="A945" s="10">
        <f>Github!J$1527</f>
        <v>1526</v>
      </c>
      <c r="B945" s="11" t="str">
        <f>HYPERLINK(CONCAT("http://leetcode.com/problems/",Github!C$1527), Github!B$1527)</f>
        <v>Minimum Number of Increments on Subarrays to Form a Target Array</v>
      </c>
      <c r="C945" s="10">
        <f>Github!F$1527</f>
        <v>801</v>
      </c>
      <c r="D945" s="10">
        <f>Github!G$1527</f>
        <v>49</v>
      </c>
      <c r="E945" s="10">
        <f>Github!F$1527+Github!G$1527</f>
        <v>850</v>
      </c>
      <c r="F945" s="12">
        <f t="shared" si="1"/>
        <v>16.35</v>
      </c>
      <c r="G945" s="10" t="str">
        <f>Github!H$1527</f>
        <v>Algorithms</v>
      </c>
      <c r="H945" s="13" t="str">
        <f>SUBSTITUTE(Github!L$1527, ";", ", ")</f>
        <v>Array, Dynamic Programming, Stack, Greedy, Monotonic Stack, </v>
      </c>
      <c r="I945" s="10" t="str">
        <f>Github!E$1527</f>
        <v>Hard</v>
      </c>
      <c r="J945" s="10" t="str">
        <f>IF(TRIM(Github!D$1527)="TRUE","FALSE","TRUE")</f>
        <v>TRUE</v>
      </c>
      <c r="K945" s="10" t="b">
        <f>Github!M$1527</f>
        <v>0</v>
      </c>
      <c r="L945" s="10" t="b">
        <f>Github!N$1527</f>
        <v>0</v>
      </c>
      <c r="M945" s="10" t="str">
        <f>ROUND(Github!O$1527, 2)&amp;"%"</f>
        <v>67.87%</v>
      </c>
      <c r="N945" s="10">
        <f>Github!P$1527</f>
        <v>23306</v>
      </c>
      <c r="O945" s="10">
        <f>Github!Q$1527</f>
        <v>34340</v>
      </c>
    </row>
    <row r="946">
      <c r="A946" s="10">
        <f>Github!J$1056</f>
        <v>1055</v>
      </c>
      <c r="B946" s="11" t="str">
        <f>HYPERLINK(CONCAT("http://leetcode.com/problems/",Github!C$1056), Github!B$1056)</f>
        <v>Shortest Way to Form String</v>
      </c>
      <c r="C946" s="10">
        <f>Github!F$1056</f>
        <v>799</v>
      </c>
      <c r="D946" s="10">
        <f>Github!G$1056</f>
        <v>48</v>
      </c>
      <c r="E946" s="10">
        <f>Github!F$1056+Github!G$1056</f>
        <v>847</v>
      </c>
      <c r="F946" s="12">
        <f t="shared" si="1"/>
        <v>16.65</v>
      </c>
      <c r="G946" s="10" t="str">
        <f>Github!H$1056</f>
        <v>Algorithms</v>
      </c>
      <c r="H946" s="13" t="str">
        <f>SUBSTITUTE(Github!L$1056, ";", ", ")</f>
        <v>String, Dynamic Programming, Greedy, </v>
      </c>
      <c r="I946" s="10" t="str">
        <f>Github!E$1056</f>
        <v>Medium</v>
      </c>
      <c r="J946" s="10" t="str">
        <f>IF(TRIM(Github!D$1056)="TRUE","FALSE","TRUE")</f>
        <v>FALSE</v>
      </c>
      <c r="K946" s="10" t="b">
        <f>Github!M$1056</f>
        <v>0</v>
      </c>
      <c r="L946" s="10" t="b">
        <f>Github!N$1056</f>
        <v>0</v>
      </c>
      <c r="M946" s="10" t="str">
        <f>ROUND(Github!O$1056, 2)&amp;"%"</f>
        <v>58.17%</v>
      </c>
      <c r="N946" s="10">
        <f>Github!P$1056</f>
        <v>55741</v>
      </c>
      <c r="O946" s="10">
        <f>Github!Q$1056</f>
        <v>95819</v>
      </c>
    </row>
    <row r="947">
      <c r="A947" s="10">
        <f>Github!J$245</f>
        <v>244</v>
      </c>
      <c r="B947" s="11" t="str">
        <f>HYPERLINK(CONCAT("http://leetcode.com/problems/",Github!C$245), Github!B$245)</f>
        <v>Shortest Word Distance II</v>
      </c>
      <c r="C947" s="10">
        <f>Github!F$245</f>
        <v>797</v>
      </c>
      <c r="D947" s="10">
        <f>Github!G$245</f>
        <v>242</v>
      </c>
      <c r="E947" s="10">
        <f>Github!F$245+Github!G$245</f>
        <v>1039</v>
      </c>
      <c r="F947" s="12">
        <f t="shared" si="1"/>
        <v>3.29</v>
      </c>
      <c r="G947" s="10" t="str">
        <f>Github!H$245</f>
        <v>Algorithms</v>
      </c>
      <c r="H947" s="13" t="str">
        <f>SUBSTITUTE(Github!L$245, ";", ", ")</f>
        <v>Array, Hash Table, Two Pointers, String, Design, </v>
      </c>
      <c r="I947" s="10" t="str">
        <f>Github!E$245</f>
        <v>Medium</v>
      </c>
      <c r="J947" s="10" t="str">
        <f>IF(TRIM(Github!D$245)="TRUE","FALSE","TRUE")</f>
        <v>FALSE</v>
      </c>
      <c r="K947" s="10" t="b">
        <f>Github!M$245</f>
        <v>1</v>
      </c>
      <c r="L947" s="10" t="b">
        <f>Github!N$245</f>
        <v>0</v>
      </c>
      <c r="M947" s="10" t="str">
        <f>ROUND(Github!O$245, 2)&amp;"%"</f>
        <v>58.98%</v>
      </c>
      <c r="N947" s="10">
        <f>Github!P$245</f>
        <v>120140</v>
      </c>
      <c r="O947" s="10">
        <f>Github!Q$245</f>
        <v>203684</v>
      </c>
    </row>
    <row r="948">
      <c r="A948" s="10">
        <f>Github!J$1835</f>
        <v>1834</v>
      </c>
      <c r="B948" s="11" t="str">
        <f>HYPERLINK(CONCAT("http://leetcode.com/problems/",Github!C$1835), Github!B$1835)</f>
        <v>Single-Threaded CPU</v>
      </c>
      <c r="C948" s="10">
        <f>Github!F$1835</f>
        <v>800</v>
      </c>
      <c r="D948" s="10">
        <f>Github!G$1835</f>
        <v>100</v>
      </c>
      <c r="E948" s="10">
        <f>Github!F$1835+Github!G$1835</f>
        <v>900</v>
      </c>
      <c r="F948" s="12">
        <f t="shared" si="1"/>
        <v>8</v>
      </c>
      <c r="G948" s="10" t="str">
        <f>Github!H$1835</f>
        <v>Algorithms</v>
      </c>
      <c r="H948" s="13" t="str">
        <f>SUBSTITUTE(Github!L$1835, ";", ", ")</f>
        <v>Array, Sorting, Heap (Priority Queue), </v>
      </c>
      <c r="I948" s="10" t="str">
        <f>Github!E$1835</f>
        <v>Medium</v>
      </c>
      <c r="J948" s="10" t="str">
        <f>IF(TRIM(Github!D$1835)="TRUE","FALSE","TRUE")</f>
        <v>TRUE</v>
      </c>
      <c r="K948" s="10" t="b">
        <f>Github!M$1835</f>
        <v>0</v>
      </c>
      <c r="L948" s="10" t="b">
        <f>Github!N$1835</f>
        <v>0</v>
      </c>
      <c r="M948" s="10" t="str">
        <f>ROUND(Github!O$1835, 2)&amp;"%"</f>
        <v>40.47%</v>
      </c>
      <c r="N948" s="10">
        <f>Github!P$1835</f>
        <v>30670</v>
      </c>
      <c r="O948" s="10">
        <f>Github!Q$1835</f>
        <v>75776</v>
      </c>
    </row>
    <row r="949">
      <c r="A949" s="10">
        <f>Github!J$610</f>
        <v>609</v>
      </c>
      <c r="B949" s="11" t="str">
        <f>HYPERLINK(CONCAT("http://leetcode.com/problems/",Github!C$610), Github!B$610)</f>
        <v>Find Duplicate File in System</v>
      </c>
      <c r="C949" s="10">
        <f>Github!F$610</f>
        <v>794</v>
      </c>
      <c r="D949" s="10">
        <f>Github!G$610</f>
        <v>908</v>
      </c>
      <c r="E949" s="10">
        <f>Github!F$610+Github!G$610</f>
        <v>1702</v>
      </c>
      <c r="F949" s="12">
        <f t="shared" si="1"/>
        <v>0.87</v>
      </c>
      <c r="G949" s="10" t="str">
        <f>Github!H$610</f>
        <v>Algorithms</v>
      </c>
      <c r="H949" s="13" t="str">
        <f>SUBSTITUTE(Github!L$610, ";", ", ")</f>
        <v>Array, Hash Table, String, </v>
      </c>
      <c r="I949" s="10" t="str">
        <f>Github!E$610</f>
        <v>Medium</v>
      </c>
      <c r="J949" s="10" t="str">
        <f>IF(TRIM(Github!D$610)="TRUE","FALSE","TRUE")</f>
        <v>TRUE</v>
      </c>
      <c r="K949" s="10" t="b">
        <f>Github!M$610</f>
        <v>1</v>
      </c>
      <c r="L949" s="10" t="b">
        <f>Github!N$610</f>
        <v>0</v>
      </c>
      <c r="M949" s="10" t="str">
        <f>ROUND(Github!O$610, 2)&amp;"%"</f>
        <v>63.7%</v>
      </c>
      <c r="N949" s="10">
        <f>Github!P$610</f>
        <v>93650</v>
      </c>
      <c r="O949" s="10">
        <f>Github!Q$610</f>
        <v>147014</v>
      </c>
    </row>
    <row r="950">
      <c r="A950" s="10">
        <f>Github!J$1043</f>
        <v>1042</v>
      </c>
      <c r="B950" s="11" t="str">
        <f>HYPERLINK(CONCAT("http://leetcode.com/problems/",Github!C$1043), Github!B$1043)</f>
        <v>Flower Planting With No Adjacent</v>
      </c>
      <c r="C950" s="10">
        <f>Github!F$1043</f>
        <v>793</v>
      </c>
      <c r="D950" s="10">
        <f>Github!G$1043</f>
        <v>647</v>
      </c>
      <c r="E950" s="10">
        <f>Github!F$1043+Github!G$1043</f>
        <v>1440</v>
      </c>
      <c r="F950" s="12">
        <f t="shared" si="1"/>
        <v>1.23</v>
      </c>
      <c r="G950" s="10" t="str">
        <f>Github!H$1043</f>
        <v>Algorithms</v>
      </c>
      <c r="H950" s="13" t="str">
        <f>SUBSTITUTE(Github!L$1043, ";", ", ")</f>
        <v>Depth-First Search, Breadth-First Search, Graph, </v>
      </c>
      <c r="I950" s="10" t="str">
        <f>Github!E$1043</f>
        <v>Medium</v>
      </c>
      <c r="J950" s="10" t="str">
        <f>IF(TRIM(Github!D$1043)="TRUE","FALSE","TRUE")</f>
        <v>TRUE</v>
      </c>
      <c r="K950" s="10" t="b">
        <f>Github!M$1043</f>
        <v>0</v>
      </c>
      <c r="L950" s="10" t="b">
        <f>Github!N$1043</f>
        <v>0</v>
      </c>
      <c r="M950" s="10" t="str">
        <f>ROUND(Github!O$1043, 2)&amp;"%"</f>
        <v>49.76%</v>
      </c>
      <c r="N950" s="10">
        <f>Github!P$1043</f>
        <v>53093</v>
      </c>
      <c r="O950" s="10">
        <f>Github!Q$1043</f>
        <v>106697</v>
      </c>
    </row>
    <row r="951">
      <c r="A951" s="10">
        <f>Github!J$665</f>
        <v>664</v>
      </c>
      <c r="B951" s="11" t="str">
        <f>HYPERLINK(CONCAT("http://leetcode.com/problems/",Github!C$665), Github!B$665)</f>
        <v>Strange Printer</v>
      </c>
      <c r="C951" s="10">
        <f>Github!F$665</f>
        <v>792</v>
      </c>
      <c r="D951" s="10">
        <f>Github!G$665</f>
        <v>73</v>
      </c>
      <c r="E951" s="10">
        <f>Github!F$665+Github!G$665</f>
        <v>865</v>
      </c>
      <c r="F951" s="12">
        <f t="shared" si="1"/>
        <v>10.85</v>
      </c>
      <c r="G951" s="10" t="str">
        <f>Github!H$665</f>
        <v>Algorithms</v>
      </c>
      <c r="H951" s="13" t="str">
        <f>SUBSTITUTE(Github!L$665, ";", ", ")</f>
        <v>String, Dynamic Programming, </v>
      </c>
      <c r="I951" s="10" t="str">
        <f>Github!E$665</f>
        <v>Hard</v>
      </c>
      <c r="J951" s="10" t="str">
        <f>IF(TRIM(Github!D$665)="TRUE","FALSE","TRUE")</f>
        <v>TRUE</v>
      </c>
      <c r="K951" s="10" t="b">
        <f>Github!M$665</f>
        <v>0</v>
      </c>
      <c r="L951" s="10" t="b">
        <f>Github!N$665</f>
        <v>0</v>
      </c>
      <c r="M951" s="10" t="str">
        <f>ROUND(Github!O$665, 2)&amp;"%"</f>
        <v>45.41%</v>
      </c>
      <c r="N951" s="10">
        <f>Github!P$665</f>
        <v>25193</v>
      </c>
      <c r="O951" s="10">
        <f>Github!Q$665</f>
        <v>55480</v>
      </c>
    </row>
    <row r="952">
      <c r="A952" s="10">
        <f>Github!J$159</f>
        <v>158</v>
      </c>
      <c r="B952" s="11" t="str">
        <f>HYPERLINK(CONCAT("http://leetcode.com/problems/",Github!C$159), Github!B$159)</f>
        <v>Read N Characters Given read4 II - Call Multiple Times</v>
      </c>
      <c r="C952" s="10">
        <f>Github!F$159</f>
        <v>791</v>
      </c>
      <c r="D952" s="10">
        <f>Github!G$159</f>
        <v>1615</v>
      </c>
      <c r="E952" s="10">
        <f>Github!F$159+Github!G$159</f>
        <v>2406</v>
      </c>
      <c r="F952" s="12">
        <f t="shared" si="1"/>
        <v>0.49</v>
      </c>
      <c r="G952" s="10" t="str">
        <f>Github!H$159</f>
        <v>Algorithms</v>
      </c>
      <c r="H952" s="13" t="str">
        <f>SUBSTITUTE(Github!L$159, ";", ", ")</f>
        <v>String, Simulation, Interactive, </v>
      </c>
      <c r="I952" s="10" t="str">
        <f>Github!E$159</f>
        <v>Hard</v>
      </c>
      <c r="J952" s="10" t="str">
        <f>IF(TRIM(Github!D$159)="TRUE","FALSE","TRUE")</f>
        <v>FALSE</v>
      </c>
      <c r="K952" s="10" t="b">
        <f>Github!M$159</f>
        <v>0</v>
      </c>
      <c r="L952" s="10" t="b">
        <f>Github!N$159</f>
        <v>0</v>
      </c>
      <c r="M952" s="10" t="str">
        <f>ROUND(Github!O$159, 2)&amp;"%"</f>
        <v>40.57%</v>
      </c>
      <c r="N952" s="10">
        <f>Github!P$159</f>
        <v>161907</v>
      </c>
      <c r="O952" s="10">
        <f>Github!Q$159</f>
        <v>399066</v>
      </c>
    </row>
    <row r="953">
      <c r="A953" s="10">
        <f>Github!J$1388</f>
        <v>1387</v>
      </c>
      <c r="B953" s="11" t="str">
        <f>HYPERLINK(CONCAT("http://leetcode.com/problems/",Github!C$1388), Github!B$1388)</f>
        <v>Sort Integers by The Power Value</v>
      </c>
      <c r="C953" s="10">
        <f>Github!F$1388</f>
        <v>791</v>
      </c>
      <c r="D953" s="10">
        <f>Github!G$1388</f>
        <v>89</v>
      </c>
      <c r="E953" s="10">
        <f>Github!F$1388+Github!G$1388</f>
        <v>880</v>
      </c>
      <c r="F953" s="12">
        <f t="shared" si="1"/>
        <v>8.89</v>
      </c>
      <c r="G953" s="10" t="str">
        <f>Github!H$1388</f>
        <v>Algorithms</v>
      </c>
      <c r="H953" s="13" t="str">
        <f>SUBSTITUTE(Github!L$1388, ";", ", ")</f>
        <v>Dynamic Programming, Memoization, Sorting, </v>
      </c>
      <c r="I953" s="10" t="str">
        <f>Github!E$1388</f>
        <v>Medium</v>
      </c>
      <c r="J953" s="10" t="str">
        <f>IF(TRIM(Github!D$1388)="TRUE","FALSE","TRUE")</f>
        <v>TRUE</v>
      </c>
      <c r="K953" s="10" t="b">
        <f>Github!M$1388</f>
        <v>0</v>
      </c>
      <c r="L953" s="10" t="b">
        <f>Github!N$1388</f>
        <v>0</v>
      </c>
      <c r="M953" s="10" t="str">
        <f>ROUND(Github!O$1388, 2)&amp;"%"</f>
        <v>70.06%</v>
      </c>
      <c r="N953" s="10">
        <f>Github!P$1388</f>
        <v>50161</v>
      </c>
      <c r="O953" s="10">
        <f>Github!Q$1388</f>
        <v>71594</v>
      </c>
    </row>
    <row r="954">
      <c r="A954" s="10">
        <f>Github!J$1696</f>
        <v>1695</v>
      </c>
      <c r="B954" s="11" t="str">
        <f>HYPERLINK(CONCAT("http://leetcode.com/problems/",Github!C$1696), Github!B$1696)</f>
        <v>Maximum Erasure Value</v>
      </c>
      <c r="C954" s="10">
        <f>Github!F$1696</f>
        <v>791</v>
      </c>
      <c r="D954" s="10">
        <f>Github!G$1696</f>
        <v>13</v>
      </c>
      <c r="E954" s="10">
        <f>Github!F$1696+Github!G$1696</f>
        <v>804</v>
      </c>
      <c r="F954" s="12">
        <f t="shared" si="1"/>
        <v>60.85</v>
      </c>
      <c r="G954" s="10" t="str">
        <f>Github!H$1696</f>
        <v>Algorithms</v>
      </c>
      <c r="H954" s="13" t="str">
        <f>SUBSTITUTE(Github!L$1696, ";", ", ")</f>
        <v>Array, Hash Table, Sliding Window, </v>
      </c>
      <c r="I954" s="10" t="str">
        <f>Github!E$1696</f>
        <v>Medium</v>
      </c>
      <c r="J954" s="10" t="str">
        <f>IF(TRIM(Github!D$1696)="TRUE","FALSE","TRUE")</f>
        <v>TRUE</v>
      </c>
      <c r="K954" s="10" t="b">
        <f>Github!M$1696</f>
        <v>1</v>
      </c>
      <c r="L954" s="10" t="b">
        <f>Github!N$1696</f>
        <v>0</v>
      </c>
      <c r="M954" s="10" t="str">
        <f>ROUND(Github!O$1696, 2)&amp;"%"</f>
        <v>52.35%</v>
      </c>
      <c r="N954" s="10">
        <f>Github!P$1696</f>
        <v>39862</v>
      </c>
      <c r="O954" s="10">
        <f>Github!Q$1696</f>
        <v>76151</v>
      </c>
    </row>
    <row r="955">
      <c r="A955" s="10">
        <f>Github!J$628</f>
        <v>627</v>
      </c>
      <c r="B955" s="11" t="str">
        <f>HYPERLINK(CONCAT("http://leetcode.com/problems/",Github!C$628), Github!B$628)</f>
        <v>Swap Salary</v>
      </c>
      <c r="C955" s="10">
        <f>Github!F$628</f>
        <v>790</v>
      </c>
      <c r="D955" s="10">
        <f>Github!G$628</f>
        <v>397</v>
      </c>
      <c r="E955" s="10">
        <f>Github!F$628+Github!G$628</f>
        <v>1187</v>
      </c>
      <c r="F955" s="12">
        <f t="shared" si="1"/>
        <v>1.99</v>
      </c>
      <c r="G955" s="10" t="str">
        <f>Github!H$628</f>
        <v>Database</v>
      </c>
      <c r="H955" s="13" t="str">
        <f>SUBSTITUTE(Github!L$628, ";", ", ")</f>
        <v>Database, </v>
      </c>
      <c r="I955" s="10" t="str">
        <f>Github!E$628</f>
        <v>Easy</v>
      </c>
      <c r="J955" s="10" t="str">
        <f>IF(TRIM(Github!D$628)="TRUE","FALSE","TRUE")</f>
        <v>TRUE</v>
      </c>
      <c r="K955" s="10" t="b">
        <f>Github!M$628</f>
        <v>1</v>
      </c>
      <c r="L955" s="10" t="b">
        <f>Github!N$628</f>
        <v>0</v>
      </c>
      <c r="M955" s="10" t="str">
        <f>ROUND(Github!O$628, 2)&amp;"%"</f>
        <v>79.88%</v>
      </c>
      <c r="N955" s="10">
        <f>Github!P$628</f>
        <v>178060</v>
      </c>
      <c r="O955" s="10">
        <f>Github!Q$628</f>
        <v>222920</v>
      </c>
    </row>
    <row r="956">
      <c r="A956" s="10">
        <f>Github!J$933</f>
        <v>932</v>
      </c>
      <c r="B956" s="11" t="str">
        <f>HYPERLINK(CONCAT("http://leetcode.com/problems/",Github!C$933), Github!B$933)</f>
        <v>Beautiful Array</v>
      </c>
      <c r="C956" s="10">
        <f>Github!F$933</f>
        <v>790</v>
      </c>
      <c r="D956" s="10">
        <f>Github!G$933</f>
        <v>1178</v>
      </c>
      <c r="E956" s="10">
        <f>Github!F$933+Github!G$933</f>
        <v>1968</v>
      </c>
      <c r="F956" s="12">
        <f t="shared" si="1"/>
        <v>0.67</v>
      </c>
      <c r="G956" s="10" t="str">
        <f>Github!H$933</f>
        <v>Algorithms</v>
      </c>
      <c r="H956" s="13" t="str">
        <f>SUBSTITUTE(Github!L$933, ";", ", ")</f>
        <v>Array, Math, Divide and Conquer, </v>
      </c>
      <c r="I956" s="10" t="str">
        <f>Github!E$933</f>
        <v>Medium</v>
      </c>
      <c r="J956" s="10" t="str">
        <f>IF(TRIM(Github!D$933)="TRUE","FALSE","TRUE")</f>
        <v>TRUE</v>
      </c>
      <c r="K956" s="10" t="b">
        <f>Github!M$933</f>
        <v>1</v>
      </c>
      <c r="L956" s="10" t="b">
        <f>Github!N$933</f>
        <v>0</v>
      </c>
      <c r="M956" s="10" t="str">
        <f>ROUND(Github!O$933, 2)&amp;"%"</f>
        <v>64.56%</v>
      </c>
      <c r="N956" s="10">
        <f>Github!P$933</f>
        <v>35248</v>
      </c>
      <c r="O956" s="10">
        <f>Github!Q$933</f>
        <v>54594</v>
      </c>
    </row>
    <row r="957">
      <c r="A957" s="10">
        <f>Github!J$827</f>
        <v>826</v>
      </c>
      <c r="B957" s="11" t="str">
        <f>HYPERLINK(CONCAT("http://leetcode.com/problems/",Github!C$827), Github!B$827)</f>
        <v>Most Profit Assigning Work</v>
      </c>
      <c r="C957" s="10">
        <f>Github!F$827</f>
        <v>791</v>
      </c>
      <c r="D957" s="10">
        <f>Github!G$827</f>
        <v>96</v>
      </c>
      <c r="E957" s="10">
        <f>Github!F$827+Github!G$827</f>
        <v>887</v>
      </c>
      <c r="F957" s="12">
        <f t="shared" si="1"/>
        <v>8.24</v>
      </c>
      <c r="G957" s="10" t="str">
        <f>Github!H$827</f>
        <v>Algorithms</v>
      </c>
      <c r="H957" s="13" t="str">
        <f>SUBSTITUTE(Github!L$827, ";", ", ")</f>
        <v>Array, Two Pointers, Binary Search, Greedy, Sorting, </v>
      </c>
      <c r="I957" s="10" t="str">
        <f>Github!E$827</f>
        <v>Medium</v>
      </c>
      <c r="J957" s="10" t="str">
        <f>IF(TRIM(Github!D$827)="TRUE","FALSE","TRUE")</f>
        <v>TRUE</v>
      </c>
      <c r="K957" s="10" t="b">
        <f>Github!M$827</f>
        <v>1</v>
      </c>
      <c r="L957" s="10" t="b">
        <f>Github!N$827</f>
        <v>0</v>
      </c>
      <c r="M957" s="10" t="str">
        <f>ROUND(Github!O$827, 2)&amp;"%"</f>
        <v>41.25%</v>
      </c>
      <c r="N957" s="10">
        <f>Github!P$827</f>
        <v>34025</v>
      </c>
      <c r="O957" s="10">
        <f>Github!Q$827</f>
        <v>82475</v>
      </c>
    </row>
    <row r="958">
      <c r="A958" s="10">
        <f>Github!J$272</f>
        <v>271</v>
      </c>
      <c r="B958" s="11" t="str">
        <f>HYPERLINK(CONCAT("http://leetcode.com/problems/",Github!C$272), Github!B$272)</f>
        <v>Encode and Decode Strings</v>
      </c>
      <c r="C958" s="10">
        <f>Github!F$272</f>
        <v>786</v>
      </c>
      <c r="D958" s="10">
        <f>Github!G$272</f>
        <v>219</v>
      </c>
      <c r="E958" s="10">
        <f>Github!F$272+Github!G$272</f>
        <v>1005</v>
      </c>
      <c r="F958" s="12">
        <f t="shared" si="1"/>
        <v>3.59</v>
      </c>
      <c r="G958" s="10" t="str">
        <f>Github!H$272</f>
        <v>Algorithms</v>
      </c>
      <c r="H958" s="13" t="str">
        <f>SUBSTITUTE(Github!L$272, ";", ", ")</f>
        <v>Array, String, Design, </v>
      </c>
      <c r="I958" s="10" t="str">
        <f>Github!E$272</f>
        <v>Medium</v>
      </c>
      <c r="J958" s="10" t="str">
        <f>IF(TRIM(Github!D$272)="TRUE","FALSE","TRUE")</f>
        <v>FALSE</v>
      </c>
      <c r="K958" s="10" t="b">
        <f>Github!M$272</f>
        <v>1</v>
      </c>
      <c r="L958" s="10" t="b">
        <f>Github!N$272</f>
        <v>0</v>
      </c>
      <c r="M958" s="10" t="str">
        <f>ROUND(Github!O$272, 2)&amp;"%"</f>
        <v>37.09%</v>
      </c>
      <c r="N958" s="10">
        <f>Github!P$272</f>
        <v>89631</v>
      </c>
      <c r="O958" s="10">
        <f>Github!Q$272</f>
        <v>241660</v>
      </c>
    </row>
    <row r="959">
      <c r="A959" s="10">
        <f>Github!J$1651</f>
        <v>1650</v>
      </c>
      <c r="B959" s="11" t="str">
        <f>HYPERLINK(CONCAT("http://leetcode.com/problems/",Github!C$1651), Github!B$1651)</f>
        <v>Lowest Common Ancestor of a Binary Tree III</v>
      </c>
      <c r="C959" s="10">
        <f>Github!F$1651</f>
        <v>787</v>
      </c>
      <c r="D959" s="10">
        <f>Github!G$1651</f>
        <v>24</v>
      </c>
      <c r="E959" s="10">
        <f>Github!F$1651+Github!G$1651</f>
        <v>811</v>
      </c>
      <c r="F959" s="12">
        <f t="shared" si="1"/>
        <v>32.79</v>
      </c>
      <c r="G959" s="10" t="str">
        <f>Github!H$1651</f>
        <v>Algorithms</v>
      </c>
      <c r="H959" s="13" t="str">
        <f>SUBSTITUTE(Github!L$1651, ";", ", ")</f>
        <v>Hash Table, Tree, Binary Tree, </v>
      </c>
      <c r="I959" s="10" t="str">
        <f>Github!E$1651</f>
        <v>Medium</v>
      </c>
      <c r="J959" s="10" t="str">
        <f>IF(TRIM(Github!D$1651)="TRUE","FALSE","TRUE")</f>
        <v>FALSE</v>
      </c>
      <c r="K959" s="10" t="b">
        <f>Github!M$1651</f>
        <v>0</v>
      </c>
      <c r="L959" s="10" t="b">
        <f>Github!N$1651</f>
        <v>0</v>
      </c>
      <c r="M959" s="10" t="str">
        <f>ROUND(Github!O$1651, 2)&amp;"%"</f>
        <v>77.45%</v>
      </c>
      <c r="N959" s="10">
        <f>Github!P$1651</f>
        <v>102985</v>
      </c>
      <c r="O959" s="10">
        <f>Github!Q$1651</f>
        <v>132973</v>
      </c>
    </row>
    <row r="960">
      <c r="A960" s="10">
        <f>Github!J$855</f>
        <v>854</v>
      </c>
      <c r="B960" s="11" t="str">
        <f>HYPERLINK(CONCAT("http://leetcode.com/problems/",Github!C$855), Github!B$855)</f>
        <v>K-Similar Strings</v>
      </c>
      <c r="C960" s="10">
        <f>Github!F$855</f>
        <v>785</v>
      </c>
      <c r="D960" s="10">
        <f>Github!G$855</f>
        <v>47</v>
      </c>
      <c r="E960" s="10">
        <f>Github!F$855+Github!G$855</f>
        <v>832</v>
      </c>
      <c r="F960" s="12">
        <f t="shared" si="1"/>
        <v>16.7</v>
      </c>
      <c r="G960" s="10" t="str">
        <f>Github!H$855</f>
        <v>Algorithms</v>
      </c>
      <c r="H960" s="13" t="str">
        <f>SUBSTITUTE(Github!L$855, ";", ", ")</f>
        <v>String, Breadth-First Search, </v>
      </c>
      <c r="I960" s="10" t="str">
        <f>Github!E$855</f>
        <v>Hard</v>
      </c>
      <c r="J960" s="10" t="str">
        <f>IF(TRIM(Github!D$855)="TRUE","FALSE","TRUE")</f>
        <v>TRUE</v>
      </c>
      <c r="K960" s="10" t="b">
        <f>Github!M$855</f>
        <v>0</v>
      </c>
      <c r="L960" s="10" t="b">
        <f>Github!N$855</f>
        <v>0</v>
      </c>
      <c r="M960" s="10" t="str">
        <f>ROUND(Github!O$855, 2)&amp;"%"</f>
        <v>39.19%</v>
      </c>
      <c r="N960" s="10">
        <f>Github!P$855</f>
        <v>31027</v>
      </c>
      <c r="O960" s="10">
        <f>Github!Q$855</f>
        <v>79174</v>
      </c>
    </row>
    <row r="961">
      <c r="A961" s="10">
        <f>Github!J$1154</f>
        <v>1153</v>
      </c>
      <c r="B961" s="11" t="str">
        <f>HYPERLINK(CONCAT("http://leetcode.com/problems/",Github!C$1154), Github!B$1154)</f>
        <v>String Transforms Into Another String</v>
      </c>
      <c r="C961" s="10">
        <f>Github!F$1154</f>
        <v>785</v>
      </c>
      <c r="D961" s="10">
        <f>Github!G$1154</f>
        <v>297</v>
      </c>
      <c r="E961" s="10">
        <f>Github!F$1154+Github!G$1154</f>
        <v>1082</v>
      </c>
      <c r="F961" s="12">
        <f t="shared" si="1"/>
        <v>2.64</v>
      </c>
      <c r="G961" s="10" t="str">
        <f>Github!H$1154</f>
        <v>Algorithms</v>
      </c>
      <c r="H961" s="13" t="str">
        <f>SUBSTITUTE(Github!L$1154, ";", ", ")</f>
        <v>Hash Table, String, </v>
      </c>
      <c r="I961" s="10" t="str">
        <f>Github!E$1154</f>
        <v>Hard</v>
      </c>
      <c r="J961" s="10" t="str">
        <f>IF(TRIM(Github!D$1154)="TRUE","FALSE","TRUE")</f>
        <v>FALSE</v>
      </c>
      <c r="K961" s="10" t="b">
        <f>Github!M$1154</f>
        <v>1</v>
      </c>
      <c r="L961" s="10" t="b">
        <f>Github!N$1154</f>
        <v>0</v>
      </c>
      <c r="M961" s="10" t="str">
        <f>ROUND(Github!O$1154, 2)&amp;"%"</f>
        <v>35.52%</v>
      </c>
      <c r="N961" s="10">
        <f>Github!P$1154</f>
        <v>46392</v>
      </c>
      <c r="O961" s="10">
        <f>Github!Q$1154</f>
        <v>130611</v>
      </c>
    </row>
    <row r="962">
      <c r="A962" s="10">
        <f>Github!J$1276</f>
        <v>1275</v>
      </c>
      <c r="B962" s="11" t="str">
        <f>HYPERLINK(CONCAT("http://leetcode.com/problems/",Github!C$1276), Github!B$1276)</f>
        <v>Find Winner on a Tic Tac Toe Game</v>
      </c>
      <c r="C962" s="10">
        <f>Github!F$1276</f>
        <v>784</v>
      </c>
      <c r="D962" s="10">
        <f>Github!G$1276</f>
        <v>202</v>
      </c>
      <c r="E962" s="10">
        <f>Github!F$1276+Github!G$1276</f>
        <v>986</v>
      </c>
      <c r="F962" s="12">
        <f t="shared" si="1"/>
        <v>3.88</v>
      </c>
      <c r="G962" s="10" t="str">
        <f>Github!H$1276</f>
        <v>Algorithms</v>
      </c>
      <c r="H962" s="13" t="str">
        <f>SUBSTITUTE(Github!L$1276, ";", ", ")</f>
        <v>Array, Hash Table, Matrix, Simulation, </v>
      </c>
      <c r="I962" s="10" t="str">
        <f>Github!E$1276</f>
        <v>Easy</v>
      </c>
      <c r="J962" s="10" t="str">
        <f>IF(TRIM(Github!D$1276)="TRUE","FALSE","TRUE")</f>
        <v>TRUE</v>
      </c>
      <c r="K962" s="10" t="b">
        <f>Github!M$1276</f>
        <v>1</v>
      </c>
      <c r="L962" s="10" t="b">
        <f>Github!N$1276</f>
        <v>0</v>
      </c>
      <c r="M962" s="10" t="str">
        <f>ROUND(Github!O$1276, 2)&amp;"%"</f>
        <v>55.05%</v>
      </c>
      <c r="N962" s="10">
        <f>Github!P$1276</f>
        <v>67419</v>
      </c>
      <c r="O962" s="10">
        <f>Github!Q$1276</f>
        <v>122461</v>
      </c>
    </row>
    <row r="963">
      <c r="A963" s="10">
        <f>Github!J$1058</f>
        <v>1057</v>
      </c>
      <c r="B963" s="11" t="str">
        <f>HYPERLINK(CONCAT("http://leetcode.com/problems/",Github!C$1058), Github!B$1058)</f>
        <v>Campus Bikes</v>
      </c>
      <c r="C963" s="10">
        <f>Github!F$1058</f>
        <v>783</v>
      </c>
      <c r="D963" s="10">
        <f>Github!G$1058</f>
        <v>141</v>
      </c>
      <c r="E963" s="10">
        <f>Github!F$1058+Github!G$1058</f>
        <v>924</v>
      </c>
      <c r="F963" s="12">
        <f t="shared" si="1"/>
        <v>5.55</v>
      </c>
      <c r="G963" s="10" t="str">
        <f>Github!H$1058</f>
        <v>Algorithms</v>
      </c>
      <c r="H963" s="13" t="str">
        <f>SUBSTITUTE(Github!L$1058, ";", ", ")</f>
        <v>Array, Greedy, Sorting, </v>
      </c>
      <c r="I963" s="10" t="str">
        <f>Github!E$1058</f>
        <v>Medium</v>
      </c>
      <c r="J963" s="10" t="str">
        <f>IF(TRIM(Github!D$1058)="TRUE","FALSE","TRUE")</f>
        <v>FALSE</v>
      </c>
      <c r="K963" s="10" t="b">
        <f>Github!M$1058</f>
        <v>1</v>
      </c>
      <c r="L963" s="10" t="b">
        <f>Github!N$1058</f>
        <v>0</v>
      </c>
      <c r="M963" s="10" t="str">
        <f>ROUND(Github!O$1058, 2)&amp;"%"</f>
        <v>57.79%</v>
      </c>
      <c r="N963" s="10">
        <f>Github!P$1058</f>
        <v>56125</v>
      </c>
      <c r="O963" s="10">
        <f>Github!Q$1058</f>
        <v>97114</v>
      </c>
    </row>
    <row r="964">
      <c r="A964" s="10">
        <f>Github!J$397</f>
        <v>396</v>
      </c>
      <c r="B964" s="11" t="str">
        <f>HYPERLINK(CONCAT("http://leetcode.com/problems/",Github!C$397), Github!B$397)</f>
        <v>Rotate Function</v>
      </c>
      <c r="C964" s="10">
        <f>Github!F$397</f>
        <v>783</v>
      </c>
      <c r="D964" s="10">
        <f>Github!G$397</f>
        <v>206</v>
      </c>
      <c r="E964" s="10">
        <f>Github!F$397+Github!G$397</f>
        <v>989</v>
      </c>
      <c r="F964" s="12">
        <f t="shared" si="1"/>
        <v>3.8</v>
      </c>
      <c r="G964" s="10" t="str">
        <f>Github!H$397</f>
        <v>Algorithms</v>
      </c>
      <c r="H964" s="13" t="str">
        <f>SUBSTITUTE(Github!L$397, ";", ", ")</f>
        <v>Math, Dynamic Programming, </v>
      </c>
      <c r="I964" s="10" t="str">
        <f>Github!E$397</f>
        <v>Medium</v>
      </c>
      <c r="J964" s="10" t="str">
        <f>IF(TRIM(Github!D$397)="TRUE","FALSE","TRUE")</f>
        <v>TRUE</v>
      </c>
      <c r="K964" s="10" t="b">
        <f>Github!M$397</f>
        <v>0</v>
      </c>
      <c r="L964" s="10" t="b">
        <f>Github!N$397</f>
        <v>0</v>
      </c>
      <c r="M964" s="10" t="str">
        <f>ROUND(Github!O$397, 2)&amp;"%"</f>
        <v>38.95%</v>
      </c>
      <c r="N964" s="10">
        <f>Github!P$397</f>
        <v>59360</v>
      </c>
      <c r="O964" s="10">
        <f>Github!Q$397</f>
        <v>152404</v>
      </c>
    </row>
    <row r="965">
      <c r="A965" s="10">
        <f>Github!J$806</f>
        <v>805</v>
      </c>
      <c r="B965" s="11" t="str">
        <f>HYPERLINK(CONCAT("http://leetcode.com/problems/",Github!C$806), Github!B$806)</f>
        <v>Split Array With Same Average</v>
      </c>
      <c r="C965" s="10">
        <f>Github!F$806</f>
        <v>784</v>
      </c>
      <c r="D965" s="10">
        <f>Github!G$806</f>
        <v>113</v>
      </c>
      <c r="E965" s="10">
        <f>Github!F$806+Github!G$806</f>
        <v>897</v>
      </c>
      <c r="F965" s="12">
        <f t="shared" si="1"/>
        <v>6.94</v>
      </c>
      <c r="G965" s="10" t="str">
        <f>Github!H$806</f>
        <v>Algorithms</v>
      </c>
      <c r="H965" s="13" t="str">
        <f>SUBSTITUTE(Github!L$806, ";", ", ")</f>
        <v>Array, Math, Dynamic Programming, Bit Manipulation, Bitmask, </v>
      </c>
      <c r="I965" s="10" t="str">
        <f>Github!E$806</f>
        <v>Hard</v>
      </c>
      <c r="J965" s="10" t="str">
        <f>IF(TRIM(Github!D$806)="TRUE","FALSE","TRUE")</f>
        <v>TRUE</v>
      </c>
      <c r="K965" s="10" t="b">
        <f>Github!M$806</f>
        <v>0</v>
      </c>
      <c r="L965" s="10" t="b">
        <f>Github!N$806</f>
        <v>0</v>
      </c>
      <c r="M965" s="10" t="str">
        <f>ROUND(Github!O$806, 2)&amp;"%"</f>
        <v>26.55%</v>
      </c>
      <c r="N965" s="10">
        <f>Github!P$806</f>
        <v>24781</v>
      </c>
      <c r="O965" s="10">
        <f>Github!Q$806</f>
        <v>93345</v>
      </c>
    </row>
    <row r="966">
      <c r="A966" s="10">
        <f>Github!J$1425</f>
        <v>1424</v>
      </c>
      <c r="B966" s="11" t="str">
        <f>HYPERLINK(CONCAT("http://leetcode.com/problems/",Github!C$1425), Github!B$1425)</f>
        <v>Diagonal Traverse II</v>
      </c>
      <c r="C966" s="10">
        <f>Github!F$1425</f>
        <v>780</v>
      </c>
      <c r="D966" s="10">
        <f>Github!G$1425</f>
        <v>74</v>
      </c>
      <c r="E966" s="10">
        <f>Github!F$1425+Github!G$1425</f>
        <v>854</v>
      </c>
      <c r="F966" s="12">
        <f t="shared" si="1"/>
        <v>10.54</v>
      </c>
      <c r="G966" s="10" t="str">
        <f>Github!H$1425</f>
        <v>Algorithms</v>
      </c>
      <c r="H966" s="13" t="str">
        <f>SUBSTITUTE(Github!L$1425, ";", ", ")</f>
        <v>Array, Sorting, Heap (Priority Queue), </v>
      </c>
      <c r="I966" s="10" t="str">
        <f>Github!E$1425</f>
        <v>Medium</v>
      </c>
      <c r="J966" s="10" t="str">
        <f>IF(TRIM(Github!D$1425)="TRUE","FALSE","TRUE")</f>
        <v>TRUE</v>
      </c>
      <c r="K966" s="10" t="b">
        <f>Github!M$1425</f>
        <v>0</v>
      </c>
      <c r="L966" s="10" t="b">
        <f>Github!N$1425</f>
        <v>0</v>
      </c>
      <c r="M966" s="10" t="str">
        <f>ROUND(Github!O$1425, 2)&amp;"%"</f>
        <v>49.7%</v>
      </c>
      <c r="N966" s="10">
        <f>Github!P$1425</f>
        <v>38891</v>
      </c>
      <c r="O966" s="10">
        <f>Github!Q$1425</f>
        <v>78245</v>
      </c>
    </row>
    <row r="967">
      <c r="A967" s="10">
        <f>Github!J$1872</f>
        <v>1871</v>
      </c>
      <c r="B967" s="11" t="str">
        <f>HYPERLINK(CONCAT("http://leetcode.com/problems/",Github!C$1872), Github!B$1872)</f>
        <v>Jump Game VII</v>
      </c>
      <c r="C967" s="10">
        <f>Github!F$1872</f>
        <v>781</v>
      </c>
      <c r="D967" s="10">
        <f>Github!G$1872</f>
        <v>45</v>
      </c>
      <c r="E967" s="10">
        <f>Github!F$1872+Github!G$1872</f>
        <v>826</v>
      </c>
      <c r="F967" s="12">
        <f t="shared" si="1"/>
        <v>17.36</v>
      </c>
      <c r="G967" s="10" t="str">
        <f>Github!H$1872</f>
        <v>Algorithms</v>
      </c>
      <c r="H967" s="13" t="str">
        <f>SUBSTITUTE(Github!L$1872, ";", ", ")</f>
        <v>Two Pointers, String, Prefix Sum, </v>
      </c>
      <c r="I967" s="10" t="str">
        <f>Github!E$1872</f>
        <v>Medium</v>
      </c>
      <c r="J967" s="10" t="str">
        <f>IF(TRIM(Github!D$1872)="TRUE","FALSE","TRUE")</f>
        <v>TRUE</v>
      </c>
      <c r="K967" s="10" t="b">
        <f>Github!M$1872</f>
        <v>0</v>
      </c>
      <c r="L967" s="10" t="b">
        <f>Github!N$1872</f>
        <v>0</v>
      </c>
      <c r="M967" s="10" t="str">
        <f>ROUND(Github!O$1872, 2)&amp;"%"</f>
        <v>24.7%</v>
      </c>
      <c r="N967" s="10">
        <f>Github!P$1872</f>
        <v>20806</v>
      </c>
      <c r="O967" s="10">
        <f>Github!Q$1872</f>
        <v>84229</v>
      </c>
    </row>
    <row r="968">
      <c r="A968" s="10">
        <f>Github!J$312</f>
        <v>311</v>
      </c>
      <c r="B968" s="11" t="str">
        <f>HYPERLINK(CONCAT("http://leetcode.com/problems/",Github!C$312), Github!B$312)</f>
        <v>Sparse Matrix Multiplication</v>
      </c>
      <c r="C968" s="10">
        <f>Github!F$312</f>
        <v>780</v>
      </c>
      <c r="D968" s="10">
        <f>Github!G$312</f>
        <v>278</v>
      </c>
      <c r="E968" s="10">
        <f>Github!F$312+Github!G$312</f>
        <v>1058</v>
      </c>
      <c r="F968" s="12">
        <f t="shared" si="1"/>
        <v>2.81</v>
      </c>
      <c r="G968" s="10" t="str">
        <f>Github!H$312</f>
        <v>Algorithms</v>
      </c>
      <c r="H968" s="13" t="str">
        <f>SUBSTITUTE(Github!L$312, ";", ", ")</f>
        <v>Array, Hash Table, Matrix, </v>
      </c>
      <c r="I968" s="10" t="str">
        <f>Github!E$312</f>
        <v>Medium</v>
      </c>
      <c r="J968" s="10" t="str">
        <f>IF(TRIM(Github!D$312)="TRUE","FALSE","TRUE")</f>
        <v>FALSE</v>
      </c>
      <c r="K968" s="10" t="b">
        <f>Github!M$312</f>
        <v>1</v>
      </c>
      <c r="L968" s="10" t="b">
        <f>Github!N$312</f>
        <v>0</v>
      </c>
      <c r="M968" s="10" t="str">
        <f>ROUND(Github!O$312, 2)&amp;"%"</f>
        <v>65.73%</v>
      </c>
      <c r="N968" s="10">
        <f>Github!P$312</f>
        <v>145965</v>
      </c>
      <c r="O968" s="10">
        <f>Github!Q$312</f>
        <v>222064</v>
      </c>
    </row>
    <row r="969">
      <c r="A969" s="10">
        <f>Github!J$1685</f>
        <v>1684</v>
      </c>
      <c r="B969" s="11" t="str">
        <f>HYPERLINK(CONCAT("http://leetcode.com/problems/",Github!C$1685), Github!B$1685)</f>
        <v>Count the Number of Consistent Strings</v>
      </c>
      <c r="C969" s="10">
        <f>Github!F$1685</f>
        <v>777</v>
      </c>
      <c r="D969" s="10">
        <f>Github!G$1685</f>
        <v>39</v>
      </c>
      <c r="E969" s="10">
        <f>Github!F$1685+Github!G$1685</f>
        <v>816</v>
      </c>
      <c r="F969" s="12">
        <f t="shared" si="1"/>
        <v>19.92</v>
      </c>
      <c r="G969" s="10" t="str">
        <f>Github!H$1685</f>
        <v>Algorithms</v>
      </c>
      <c r="H969" s="13" t="str">
        <f>SUBSTITUTE(Github!L$1685, ";", ", ")</f>
        <v>Array, Hash Table, String, Bit Manipulation, </v>
      </c>
      <c r="I969" s="10" t="str">
        <f>Github!E$1685</f>
        <v>Easy</v>
      </c>
      <c r="J969" s="10" t="str">
        <f>IF(TRIM(Github!D$1685)="TRUE","FALSE","TRUE")</f>
        <v>TRUE</v>
      </c>
      <c r="K969" s="10" t="b">
        <f>Github!M$1685</f>
        <v>0</v>
      </c>
      <c r="L969" s="10" t="b">
        <f>Github!N$1685</f>
        <v>0</v>
      </c>
      <c r="M969" s="10" t="str">
        <f>ROUND(Github!O$1685, 2)&amp;"%"</f>
        <v>81.79%</v>
      </c>
      <c r="N969" s="10">
        <f>Github!P$1685</f>
        <v>79995</v>
      </c>
      <c r="O969" s="10">
        <f>Github!Q$1685</f>
        <v>97804</v>
      </c>
    </row>
    <row r="970">
      <c r="A970" s="10">
        <f>Github!J$398</f>
        <v>397</v>
      </c>
      <c r="B970" s="11" t="str">
        <f>HYPERLINK(CONCAT("http://leetcode.com/problems/",Github!C$398), Github!B$398)</f>
        <v>Integer Replacement</v>
      </c>
      <c r="C970" s="10">
        <f>Github!F$398</f>
        <v>777</v>
      </c>
      <c r="D970" s="10">
        <f>Github!G$398</f>
        <v>415</v>
      </c>
      <c r="E970" s="10">
        <f>Github!F$398+Github!G$398</f>
        <v>1192</v>
      </c>
      <c r="F970" s="12">
        <f t="shared" si="1"/>
        <v>1.87</v>
      </c>
      <c r="G970" s="10" t="str">
        <f>Github!H$398</f>
        <v>Algorithms</v>
      </c>
      <c r="H970" s="13" t="str">
        <f>SUBSTITUTE(Github!L$398, ";", ", ")</f>
        <v>Dynamic Programming, Greedy, Bit Manipulation, Memoization, </v>
      </c>
      <c r="I970" s="10" t="str">
        <f>Github!E$398</f>
        <v>Medium</v>
      </c>
      <c r="J970" s="10" t="str">
        <f>IF(TRIM(Github!D$398)="TRUE","FALSE","TRUE")</f>
        <v>TRUE</v>
      </c>
      <c r="K970" s="10" t="b">
        <f>Github!M$398</f>
        <v>0</v>
      </c>
      <c r="L970" s="10" t="b">
        <f>Github!N$398</f>
        <v>0</v>
      </c>
      <c r="M970" s="10" t="str">
        <f>ROUND(Github!O$398, 2)&amp;"%"</f>
        <v>34.59%</v>
      </c>
      <c r="N970" s="10">
        <f>Github!P$398</f>
        <v>79038</v>
      </c>
      <c r="O970" s="10">
        <f>Github!Q$398</f>
        <v>228513</v>
      </c>
    </row>
    <row r="971">
      <c r="A971" s="10">
        <f>Github!J$804</f>
        <v>803</v>
      </c>
      <c r="B971" s="11" t="str">
        <f>HYPERLINK(CONCAT("http://leetcode.com/problems/",Github!C$804), Github!B$804)</f>
        <v>Bricks Falling When Hit</v>
      </c>
      <c r="C971" s="10">
        <f>Github!F$804</f>
        <v>771</v>
      </c>
      <c r="D971" s="10">
        <f>Github!G$804</f>
        <v>168</v>
      </c>
      <c r="E971" s="10">
        <f>Github!F$804+Github!G$804</f>
        <v>939</v>
      </c>
      <c r="F971" s="12">
        <f t="shared" si="1"/>
        <v>4.59</v>
      </c>
      <c r="G971" s="10" t="str">
        <f>Github!H$804</f>
        <v>Algorithms</v>
      </c>
      <c r="H971" s="13" t="str">
        <f>SUBSTITUTE(Github!L$804, ";", ", ")</f>
        <v>Array, Union Find, Matrix, </v>
      </c>
      <c r="I971" s="10" t="str">
        <f>Github!E$804</f>
        <v>Hard</v>
      </c>
      <c r="J971" s="10" t="str">
        <f>IF(TRIM(Github!D$804)="TRUE","FALSE","TRUE")</f>
        <v>TRUE</v>
      </c>
      <c r="K971" s="10" t="b">
        <f>Github!M$804</f>
        <v>1</v>
      </c>
      <c r="L971" s="10" t="b">
        <f>Github!N$804</f>
        <v>0</v>
      </c>
      <c r="M971" s="10" t="str">
        <f>ROUND(Github!O$804, 2)&amp;"%"</f>
        <v>33.64%</v>
      </c>
      <c r="N971" s="10">
        <f>Github!P$804</f>
        <v>24048</v>
      </c>
      <c r="O971" s="10">
        <f>Github!Q$804</f>
        <v>71479</v>
      </c>
    </row>
    <row r="972">
      <c r="A972" s="10">
        <f>Github!J$1972</f>
        <v>1971</v>
      </c>
      <c r="B972" s="11" t="str">
        <f>HYPERLINK(CONCAT("http://leetcode.com/problems/",Github!C$1972), Github!B$1972)</f>
        <v>Find if Path Exists in Graph</v>
      </c>
      <c r="C972" s="10">
        <f>Github!F$1972</f>
        <v>774</v>
      </c>
      <c r="D972" s="10">
        <f>Github!G$1972</f>
        <v>42</v>
      </c>
      <c r="E972" s="10">
        <f>Github!F$1972+Github!G$1972</f>
        <v>816</v>
      </c>
      <c r="F972" s="12">
        <f t="shared" si="1"/>
        <v>18.43</v>
      </c>
      <c r="G972" s="10" t="str">
        <f>Github!H$1972</f>
        <v>Algorithms</v>
      </c>
      <c r="H972" s="13" t="str">
        <f>SUBSTITUTE(Github!L$1972, ";", ", ")</f>
        <v>Depth-First Search, Breadth-First Search, Graph, </v>
      </c>
      <c r="I972" s="10" t="str">
        <f>Github!E$1972</f>
        <v>Easy</v>
      </c>
      <c r="J972" s="10" t="str">
        <f>IF(TRIM(Github!D$1972)="TRUE","FALSE","TRUE")</f>
        <v>TRUE</v>
      </c>
      <c r="K972" s="10" t="b">
        <f>Github!M$1972</f>
        <v>0</v>
      </c>
      <c r="L972" s="10" t="b">
        <f>Github!N$1972</f>
        <v>0</v>
      </c>
      <c r="M972" s="10" t="str">
        <f>ROUND(Github!O$1972, 2)&amp;"%"</f>
        <v>50.41%</v>
      </c>
      <c r="N972" s="10">
        <f>Github!P$1972</f>
        <v>71323</v>
      </c>
      <c r="O972" s="10">
        <f>Github!Q$1972</f>
        <v>141492</v>
      </c>
    </row>
    <row r="973">
      <c r="A973" s="10">
        <f>Github!J$1347</f>
        <v>1346</v>
      </c>
      <c r="B973" s="11" t="str">
        <f>HYPERLINK(CONCAT("http://leetcode.com/problems/",Github!C$1347), Github!B$1347)</f>
        <v>Check If N and Its Double Exist</v>
      </c>
      <c r="C973" s="10">
        <f>Github!F$1347</f>
        <v>771</v>
      </c>
      <c r="D973" s="10">
        <f>Github!G$1347</f>
        <v>103</v>
      </c>
      <c r="E973" s="10">
        <f>Github!F$1347+Github!G$1347</f>
        <v>874</v>
      </c>
      <c r="F973" s="12">
        <f t="shared" si="1"/>
        <v>7.49</v>
      </c>
      <c r="G973" s="10" t="str">
        <f>Github!H$1347</f>
        <v>Algorithms</v>
      </c>
      <c r="H973" s="13" t="str">
        <f>SUBSTITUTE(Github!L$1347, ";", ", ")</f>
        <v>Array, Hash Table, Two Pointers, Binary Search, Sorting, </v>
      </c>
      <c r="I973" s="10" t="str">
        <f>Github!E$1347</f>
        <v>Easy</v>
      </c>
      <c r="J973" s="10" t="str">
        <f>IF(TRIM(Github!D$1347)="TRUE","FALSE","TRUE")</f>
        <v>TRUE</v>
      </c>
      <c r="K973" s="10" t="b">
        <f>Github!M$1347</f>
        <v>0</v>
      </c>
      <c r="L973" s="10" t="b">
        <f>Github!N$1347</f>
        <v>0</v>
      </c>
      <c r="M973" s="10" t="str">
        <f>ROUND(Github!O$1347, 2)&amp;"%"</f>
        <v>35.46%</v>
      </c>
      <c r="N973" s="10">
        <f>Github!P$1347</f>
        <v>176990</v>
      </c>
      <c r="O973" s="10">
        <f>Github!Q$1347</f>
        <v>499177</v>
      </c>
    </row>
    <row r="974">
      <c r="A974" s="10">
        <f>Github!J$1169</f>
        <v>1168</v>
      </c>
      <c r="B974" s="11" t="str">
        <f>HYPERLINK(CONCAT("http://leetcode.com/problems/",Github!C$1169), Github!B$1169)</f>
        <v>Optimize Water Distribution in a Village</v>
      </c>
      <c r="C974" s="10">
        <f>Github!F$1169</f>
        <v>772</v>
      </c>
      <c r="D974" s="10">
        <f>Github!G$1169</f>
        <v>30</v>
      </c>
      <c r="E974" s="10">
        <f>Github!F$1169+Github!G$1169</f>
        <v>802</v>
      </c>
      <c r="F974" s="12">
        <f t="shared" si="1"/>
        <v>25.73</v>
      </c>
      <c r="G974" s="10" t="str">
        <f>Github!H$1169</f>
        <v>Algorithms</v>
      </c>
      <c r="H974" s="13" t="str">
        <f>SUBSTITUTE(Github!L$1169, ";", ", ")</f>
        <v>Union Find, Graph, Minimum Spanning Tree, </v>
      </c>
      <c r="I974" s="10" t="str">
        <f>Github!E$1169</f>
        <v>Hard</v>
      </c>
      <c r="J974" s="10" t="str">
        <f>IF(TRIM(Github!D$1169)="TRUE","FALSE","TRUE")</f>
        <v>FALSE</v>
      </c>
      <c r="K974" s="10" t="b">
        <f>Github!M$1169</f>
        <v>1</v>
      </c>
      <c r="L974" s="10" t="b">
        <f>Github!N$1169</f>
        <v>0</v>
      </c>
      <c r="M974" s="10" t="str">
        <f>ROUND(Github!O$1169, 2)&amp;"%"</f>
        <v>63.6%</v>
      </c>
      <c r="N974" s="10">
        <f>Github!P$1169</f>
        <v>28075</v>
      </c>
      <c r="O974" s="10">
        <f>Github!Q$1169</f>
        <v>44144</v>
      </c>
    </row>
    <row r="975">
      <c r="A975" s="10">
        <f>Github!J$1774</f>
        <v>1773</v>
      </c>
      <c r="B975" s="11" t="str">
        <f>HYPERLINK(CONCAT("http://leetcode.com/problems/",Github!C$1774), Github!B$1774)</f>
        <v>Count Items Matching a Rule</v>
      </c>
      <c r="C975" s="10">
        <f>Github!F$1774</f>
        <v>770</v>
      </c>
      <c r="D975" s="10">
        <f>Github!G$1774</f>
        <v>101</v>
      </c>
      <c r="E975" s="10">
        <f>Github!F$1774+Github!G$1774</f>
        <v>871</v>
      </c>
      <c r="F975" s="12">
        <f t="shared" si="1"/>
        <v>7.62</v>
      </c>
      <c r="G975" s="10" t="str">
        <f>Github!H$1774</f>
        <v>Algorithms</v>
      </c>
      <c r="H975" s="13" t="str">
        <f>SUBSTITUTE(Github!L$1774, ";", ", ")</f>
        <v>Array, String, </v>
      </c>
      <c r="I975" s="10" t="str">
        <f>Github!E$1774</f>
        <v>Easy</v>
      </c>
      <c r="J975" s="10" t="str">
        <f>IF(TRIM(Github!D$1774)="TRUE","FALSE","TRUE")</f>
        <v>TRUE</v>
      </c>
      <c r="K975" s="10" t="b">
        <f>Github!M$1774</f>
        <v>0</v>
      </c>
      <c r="L975" s="10" t="b">
        <f>Github!N$1774</f>
        <v>0</v>
      </c>
      <c r="M975" s="10" t="str">
        <f>ROUND(Github!O$1774, 2)&amp;"%"</f>
        <v>84.48%</v>
      </c>
      <c r="N975" s="10">
        <f>Github!P$1774</f>
        <v>92832</v>
      </c>
      <c r="O975" s="10">
        <f>Github!Q$1774</f>
        <v>109892</v>
      </c>
    </row>
    <row r="976">
      <c r="A976" s="10">
        <f>Github!J$834</f>
        <v>833</v>
      </c>
      <c r="B976" s="11" t="str">
        <f>HYPERLINK(CONCAT("http://leetcode.com/problems/",Github!C$834), Github!B$834)</f>
        <v>Find And Replace in String</v>
      </c>
      <c r="C976" s="10">
        <f>Github!F$834</f>
        <v>770</v>
      </c>
      <c r="D976" s="10">
        <f>Github!G$834</f>
        <v>747</v>
      </c>
      <c r="E976" s="10">
        <f>Github!F$834+Github!G$834</f>
        <v>1517</v>
      </c>
      <c r="F976" s="12">
        <f t="shared" si="1"/>
        <v>1.03</v>
      </c>
      <c r="G976" s="10" t="str">
        <f>Github!H$834</f>
        <v>Algorithms</v>
      </c>
      <c r="H976" s="13" t="str">
        <f>SUBSTITUTE(Github!L$834, ";", ", ")</f>
        <v>Array, String, Sorting, </v>
      </c>
      <c r="I976" s="10" t="str">
        <f>Github!E$834</f>
        <v>Medium</v>
      </c>
      <c r="J976" s="10" t="str">
        <f>IF(TRIM(Github!D$834)="TRUE","FALSE","TRUE")</f>
        <v>TRUE</v>
      </c>
      <c r="K976" s="10" t="b">
        <f>Github!M$834</f>
        <v>0</v>
      </c>
      <c r="L976" s="10" t="b">
        <f>Github!N$834</f>
        <v>0</v>
      </c>
      <c r="M976" s="10" t="str">
        <f>ROUND(Github!O$834, 2)&amp;"%"</f>
        <v>54.3%</v>
      </c>
      <c r="N976" s="10">
        <f>Github!P$834</f>
        <v>100391</v>
      </c>
      <c r="O976" s="10">
        <f>Github!Q$834</f>
        <v>184859</v>
      </c>
    </row>
    <row r="977">
      <c r="A977" s="10">
        <f>Github!J$1665</f>
        <v>1664</v>
      </c>
      <c r="B977" s="11" t="str">
        <f>HYPERLINK(CONCAT("http://leetcode.com/problems/",Github!C$1665), Github!B$1665)</f>
        <v>Ways to Make a Fair Array</v>
      </c>
      <c r="C977" s="10">
        <f>Github!F$1665</f>
        <v>769</v>
      </c>
      <c r="D977" s="10">
        <f>Github!G$1665</f>
        <v>19</v>
      </c>
      <c r="E977" s="10">
        <f>Github!F$1665+Github!G$1665</f>
        <v>788</v>
      </c>
      <c r="F977" s="12">
        <f t="shared" si="1"/>
        <v>40.47</v>
      </c>
      <c r="G977" s="10" t="str">
        <f>Github!H$1665</f>
        <v>Algorithms</v>
      </c>
      <c r="H977" s="13" t="str">
        <f>SUBSTITUTE(Github!L$1665, ";", ", ")</f>
        <v>Array, Dynamic Programming, </v>
      </c>
      <c r="I977" s="10" t="str">
        <f>Github!E$1665</f>
        <v>Medium</v>
      </c>
      <c r="J977" s="10" t="str">
        <f>IF(TRIM(Github!D$1665)="TRUE","FALSE","TRUE")</f>
        <v>TRUE</v>
      </c>
      <c r="K977" s="10" t="b">
        <f>Github!M$1665</f>
        <v>0</v>
      </c>
      <c r="L977" s="10" t="b">
        <f>Github!N$1665</f>
        <v>0</v>
      </c>
      <c r="M977" s="10" t="str">
        <f>ROUND(Github!O$1665, 2)&amp;"%"</f>
        <v>63.08%</v>
      </c>
      <c r="N977" s="10">
        <f>Github!P$1665</f>
        <v>22545</v>
      </c>
      <c r="O977" s="10">
        <f>Github!Q$1665</f>
        <v>35740</v>
      </c>
    </row>
    <row r="978">
      <c r="A978" s="10">
        <f>Github!J$1500</f>
        <v>1499</v>
      </c>
      <c r="B978" s="11" t="str">
        <f>HYPERLINK(CONCAT("http://leetcode.com/problems/",Github!C$1500), Github!B$1500)</f>
        <v>Max Value of Equation</v>
      </c>
      <c r="C978" s="10">
        <f>Github!F$1500</f>
        <v>766</v>
      </c>
      <c r="D978" s="10">
        <f>Github!G$1500</f>
        <v>27</v>
      </c>
      <c r="E978" s="10">
        <f>Github!F$1500+Github!G$1500</f>
        <v>793</v>
      </c>
      <c r="F978" s="12">
        <f t="shared" si="1"/>
        <v>28.37</v>
      </c>
      <c r="G978" s="10" t="str">
        <f>Github!H$1500</f>
        <v>Algorithms</v>
      </c>
      <c r="H978" s="13" t="str">
        <f>SUBSTITUTE(Github!L$1500, ";", ", ")</f>
        <v>Array, Queue, Sliding Window, Heap (Priority Queue), Monotonic Queue, </v>
      </c>
      <c r="I978" s="10" t="str">
        <f>Github!E$1500</f>
        <v>Hard</v>
      </c>
      <c r="J978" s="10" t="str">
        <f>IF(TRIM(Github!D$1500)="TRUE","FALSE","TRUE")</f>
        <v>TRUE</v>
      </c>
      <c r="K978" s="10" t="b">
        <f>Github!M$1500</f>
        <v>0</v>
      </c>
      <c r="L978" s="10" t="b">
        <f>Github!N$1500</f>
        <v>0</v>
      </c>
      <c r="M978" s="10" t="str">
        <f>ROUND(Github!O$1500, 2)&amp;"%"</f>
        <v>46.85%</v>
      </c>
      <c r="N978" s="10">
        <f>Github!P$1500</f>
        <v>28860</v>
      </c>
      <c r="O978" s="10">
        <f>Github!Q$1500</f>
        <v>61598</v>
      </c>
    </row>
    <row r="979">
      <c r="A979" s="10">
        <f>Github!J$1487</f>
        <v>1486</v>
      </c>
      <c r="B979" s="11" t="str">
        <f>HYPERLINK(CONCAT("http://leetcode.com/problems/",Github!C$1487), Github!B$1487)</f>
        <v>XOR Operation in an Array</v>
      </c>
      <c r="C979" s="10">
        <f>Github!F$1487</f>
        <v>766</v>
      </c>
      <c r="D979" s="10">
        <f>Github!G$1487</f>
        <v>280</v>
      </c>
      <c r="E979" s="10">
        <f>Github!F$1487+Github!G$1487</f>
        <v>1046</v>
      </c>
      <c r="F979" s="12">
        <f t="shared" si="1"/>
        <v>2.74</v>
      </c>
      <c r="G979" s="10" t="str">
        <f>Github!H$1487</f>
        <v>Algorithms</v>
      </c>
      <c r="H979" s="13" t="str">
        <f>SUBSTITUTE(Github!L$1487, ";", ", ")</f>
        <v>Math, Bit Manipulation, </v>
      </c>
      <c r="I979" s="10" t="str">
        <f>Github!E$1487</f>
        <v>Easy</v>
      </c>
      <c r="J979" s="10" t="str">
        <f>IF(TRIM(Github!D$1487)="TRUE","FALSE","TRUE")</f>
        <v>TRUE</v>
      </c>
      <c r="K979" s="10" t="b">
        <f>Github!M$1487</f>
        <v>0</v>
      </c>
      <c r="L979" s="10" t="b">
        <f>Github!N$1487</f>
        <v>0</v>
      </c>
      <c r="M979" s="10" t="str">
        <f>ROUND(Github!O$1487, 2)&amp;"%"</f>
        <v>84.16%</v>
      </c>
      <c r="N979" s="10">
        <f>Github!P$1487</f>
        <v>116302</v>
      </c>
      <c r="O979" s="10">
        <f>Github!Q$1487</f>
        <v>138189</v>
      </c>
    </row>
    <row r="980">
      <c r="A980" s="10">
        <f>Github!J$1552</f>
        <v>1551</v>
      </c>
      <c r="B980" s="11" t="str">
        <f>HYPERLINK(CONCAT("http://leetcode.com/problems/",Github!C$1552), Github!B$1552)</f>
        <v>Minimum Operations to Make Array Equal</v>
      </c>
      <c r="C980" s="10">
        <f>Github!F$1552</f>
        <v>764</v>
      </c>
      <c r="D980" s="10">
        <f>Github!G$1552</f>
        <v>131</v>
      </c>
      <c r="E980" s="10">
        <f>Github!F$1552+Github!G$1552</f>
        <v>895</v>
      </c>
      <c r="F980" s="12">
        <f t="shared" si="1"/>
        <v>5.83</v>
      </c>
      <c r="G980" s="10" t="str">
        <f>Github!H$1552</f>
        <v>Algorithms</v>
      </c>
      <c r="H980" s="13" t="str">
        <f>SUBSTITUTE(Github!L$1552, ";", ", ")</f>
        <v>Math, </v>
      </c>
      <c r="I980" s="10" t="str">
        <f>Github!E$1552</f>
        <v>Medium</v>
      </c>
      <c r="J980" s="10" t="str">
        <f>IF(TRIM(Github!D$1552)="TRUE","FALSE","TRUE")</f>
        <v>TRUE</v>
      </c>
      <c r="K980" s="10" t="b">
        <f>Github!M$1552</f>
        <v>1</v>
      </c>
      <c r="L980" s="10" t="b">
        <f>Github!N$1552</f>
        <v>0</v>
      </c>
      <c r="M980" s="10" t="str">
        <f>ROUND(Github!O$1552, 2)&amp;"%"</f>
        <v>80.74%</v>
      </c>
      <c r="N980" s="10">
        <f>Github!P$1552</f>
        <v>63585</v>
      </c>
      <c r="O980" s="10">
        <f>Github!Q$1552</f>
        <v>78748</v>
      </c>
    </row>
    <row r="981">
      <c r="A981" s="10">
        <f>Github!J$197</f>
        <v>196</v>
      </c>
      <c r="B981" s="11" t="str">
        <f>HYPERLINK(CONCAT("http://leetcode.com/problems/",Github!C$197), Github!B$197)</f>
        <v>Delete Duplicate Emails</v>
      </c>
      <c r="C981" s="10">
        <f>Github!F$197</f>
        <v>765</v>
      </c>
      <c r="D981" s="10">
        <f>Github!G$197</f>
        <v>1233</v>
      </c>
      <c r="E981" s="10">
        <f>Github!F$197+Github!G$197</f>
        <v>1998</v>
      </c>
      <c r="F981" s="12">
        <f t="shared" si="1"/>
        <v>0.62</v>
      </c>
      <c r="G981" s="10" t="str">
        <f>Github!H$197</f>
        <v>Database</v>
      </c>
      <c r="H981" s="13" t="str">
        <f>SUBSTITUTE(Github!L$197, ";", ", ")</f>
        <v>Database, </v>
      </c>
      <c r="I981" s="10" t="str">
        <f>Github!E$197</f>
        <v>Easy</v>
      </c>
      <c r="J981" s="10" t="str">
        <f>IF(TRIM(Github!D$197)="TRUE","FALSE","TRUE")</f>
        <v>TRUE</v>
      </c>
      <c r="K981" s="10" t="b">
        <f>Github!M$197</f>
        <v>1</v>
      </c>
      <c r="L981" s="10" t="b">
        <f>Github!N$197</f>
        <v>0</v>
      </c>
      <c r="M981" s="10" t="str">
        <f>ROUND(Github!O$197, 2)&amp;"%"</f>
        <v>51.12%</v>
      </c>
      <c r="N981" s="10">
        <f>Github!P$197</f>
        <v>202558</v>
      </c>
      <c r="O981" s="10">
        <f>Github!Q$197</f>
        <v>396201</v>
      </c>
    </row>
    <row r="982">
      <c r="A982" s="10">
        <f>Github!J$851</f>
        <v>850</v>
      </c>
      <c r="B982" s="11" t="str">
        <f>HYPERLINK(CONCAT("http://leetcode.com/problems/",Github!C$851), Github!B$851)</f>
        <v>Rectangle Area II</v>
      </c>
      <c r="C982" s="10">
        <f>Github!F$851</f>
        <v>763</v>
      </c>
      <c r="D982" s="10">
        <f>Github!G$851</f>
        <v>50</v>
      </c>
      <c r="E982" s="10">
        <f>Github!F$851+Github!G$851</f>
        <v>813</v>
      </c>
      <c r="F982" s="12">
        <f t="shared" si="1"/>
        <v>15.26</v>
      </c>
      <c r="G982" s="10" t="str">
        <f>Github!H$851</f>
        <v>Algorithms</v>
      </c>
      <c r="H982" s="13" t="str">
        <f>SUBSTITUTE(Github!L$851, ";", ", ")</f>
        <v>Array, Segment Tree, Line Sweep, Ordered Set, </v>
      </c>
      <c r="I982" s="10" t="str">
        <f>Github!E$851</f>
        <v>Hard</v>
      </c>
      <c r="J982" s="10" t="str">
        <f>IF(TRIM(Github!D$851)="TRUE","FALSE","TRUE")</f>
        <v>TRUE</v>
      </c>
      <c r="K982" s="10" t="b">
        <f>Github!M$851</f>
        <v>1</v>
      </c>
      <c r="L982" s="10" t="b">
        <f>Github!N$851</f>
        <v>0</v>
      </c>
      <c r="M982" s="10" t="str">
        <f>ROUND(Github!O$851, 2)&amp;"%"</f>
        <v>53.26%</v>
      </c>
      <c r="N982" s="10">
        <f>Github!P$851</f>
        <v>28829</v>
      </c>
      <c r="O982" s="10">
        <f>Github!Q$851</f>
        <v>54133</v>
      </c>
    </row>
    <row r="983">
      <c r="A983" s="10">
        <f>Github!J$996</f>
        <v>995</v>
      </c>
      <c r="B983" s="11" t="str">
        <f>HYPERLINK(CONCAT("http://leetcode.com/problems/",Github!C$996), Github!B$996)</f>
        <v>Minimum Number of K Consecutive Bit Flips</v>
      </c>
      <c r="C983" s="10">
        <f>Github!F$996</f>
        <v>763</v>
      </c>
      <c r="D983" s="10">
        <f>Github!G$996</f>
        <v>48</v>
      </c>
      <c r="E983" s="10">
        <f>Github!F$996+Github!G$996</f>
        <v>811</v>
      </c>
      <c r="F983" s="12">
        <f t="shared" si="1"/>
        <v>15.9</v>
      </c>
      <c r="G983" s="10" t="str">
        <f>Github!H$996</f>
        <v>Algorithms</v>
      </c>
      <c r="H983" s="13" t="str">
        <f>SUBSTITUTE(Github!L$996, ";", ", ")</f>
        <v>Array, Bit Manipulation, Sliding Window, Prefix Sum, </v>
      </c>
      <c r="I983" s="10" t="str">
        <f>Github!E$996</f>
        <v>Hard</v>
      </c>
      <c r="J983" s="10" t="str">
        <f>IF(TRIM(Github!D$996)="TRUE","FALSE","TRUE")</f>
        <v>TRUE</v>
      </c>
      <c r="K983" s="10" t="b">
        <f>Github!M$996</f>
        <v>0</v>
      </c>
      <c r="L983" s="10" t="b">
        <f>Github!N$996</f>
        <v>0</v>
      </c>
      <c r="M983" s="10" t="str">
        <f>ROUND(Github!O$996, 2)&amp;"%"</f>
        <v>50.65%</v>
      </c>
      <c r="N983" s="10">
        <f>Github!P$996</f>
        <v>24676</v>
      </c>
      <c r="O983" s="10">
        <f>Github!Q$996</f>
        <v>48714</v>
      </c>
    </row>
    <row r="984">
      <c r="A984" s="10">
        <f>Github!J$1627</f>
        <v>1626</v>
      </c>
      <c r="B984" s="11" t="str">
        <f>HYPERLINK(CONCAT("http://leetcode.com/problems/",Github!C$1627), Github!B$1627)</f>
        <v>Best Team With No Conflicts</v>
      </c>
      <c r="C984" s="10">
        <f>Github!F$1627</f>
        <v>760</v>
      </c>
      <c r="D984" s="10">
        <f>Github!G$1627</f>
        <v>27</v>
      </c>
      <c r="E984" s="10">
        <f>Github!F$1627+Github!G$1627</f>
        <v>787</v>
      </c>
      <c r="F984" s="12">
        <f t="shared" si="1"/>
        <v>28.15</v>
      </c>
      <c r="G984" s="10" t="str">
        <f>Github!H$1627</f>
        <v>Algorithms</v>
      </c>
      <c r="H984" s="13" t="str">
        <f>SUBSTITUTE(Github!L$1627, ";", ", ")</f>
        <v>Array, Dynamic Programming, Sorting, </v>
      </c>
      <c r="I984" s="10" t="str">
        <f>Github!E$1627</f>
        <v>Medium</v>
      </c>
      <c r="J984" s="10" t="str">
        <f>IF(TRIM(Github!D$1627)="TRUE","FALSE","TRUE")</f>
        <v>TRUE</v>
      </c>
      <c r="K984" s="10" t="b">
        <f>Github!M$1627</f>
        <v>0</v>
      </c>
      <c r="L984" s="10" t="b">
        <f>Github!N$1627</f>
        <v>0</v>
      </c>
      <c r="M984" s="10" t="str">
        <f>ROUND(Github!O$1627, 2)&amp;"%"</f>
        <v>40.47%</v>
      </c>
      <c r="N984" s="10">
        <f>Github!P$1627</f>
        <v>17403</v>
      </c>
      <c r="O984" s="10">
        <f>Github!Q$1627</f>
        <v>43004</v>
      </c>
    </row>
    <row r="985">
      <c r="A985" s="10">
        <f>Github!J$370</f>
        <v>369</v>
      </c>
      <c r="B985" s="11" t="str">
        <f>HYPERLINK(CONCAT("http://leetcode.com/problems/",Github!C$370), Github!B$370)</f>
        <v>Plus One Linked List</v>
      </c>
      <c r="C985" s="10">
        <f>Github!F$370</f>
        <v>757</v>
      </c>
      <c r="D985" s="10">
        <f>Github!G$370</f>
        <v>39</v>
      </c>
      <c r="E985" s="10">
        <f>Github!F$370+Github!G$370</f>
        <v>796</v>
      </c>
      <c r="F985" s="12">
        <f t="shared" si="1"/>
        <v>19.41</v>
      </c>
      <c r="G985" s="10" t="str">
        <f>Github!H$370</f>
        <v>Algorithms</v>
      </c>
      <c r="H985" s="13" t="str">
        <f>SUBSTITUTE(Github!L$370, ";", ", ")</f>
        <v>Linked List, Math, </v>
      </c>
      <c r="I985" s="10" t="str">
        <f>Github!E$370</f>
        <v>Medium</v>
      </c>
      <c r="J985" s="10" t="str">
        <f>IF(TRIM(Github!D$370)="TRUE","FALSE","TRUE")</f>
        <v>FALSE</v>
      </c>
      <c r="K985" s="10" t="b">
        <f>Github!M$370</f>
        <v>1</v>
      </c>
      <c r="L985" s="10" t="b">
        <f>Github!N$370</f>
        <v>1</v>
      </c>
      <c r="M985" s="10" t="str">
        <f>ROUND(Github!O$370, 2)&amp;"%"</f>
        <v>60.34%</v>
      </c>
      <c r="N985" s="10">
        <f>Github!P$370</f>
        <v>66010</v>
      </c>
      <c r="O985" s="10">
        <f>Github!Q$370</f>
        <v>109389</v>
      </c>
    </row>
    <row r="986">
      <c r="A986" s="10">
        <f>Github!J$503</f>
        <v>502</v>
      </c>
      <c r="B986" s="11" t="str">
        <f>HYPERLINK(CONCAT("http://leetcode.com/problems/",Github!C$503), Github!B$503)</f>
        <v>IPO</v>
      </c>
      <c r="C986" s="10">
        <f>Github!F$503</f>
        <v>755</v>
      </c>
      <c r="D986" s="10">
        <f>Github!G$503</f>
        <v>68</v>
      </c>
      <c r="E986" s="10">
        <f>Github!F$503+Github!G$503</f>
        <v>823</v>
      </c>
      <c r="F986" s="12">
        <f t="shared" si="1"/>
        <v>11.1</v>
      </c>
      <c r="G986" s="10" t="str">
        <f>Github!H$503</f>
        <v>Algorithms</v>
      </c>
      <c r="H986" s="13" t="str">
        <f>SUBSTITUTE(Github!L$503, ";", ", ")</f>
        <v>Array, Greedy, Sorting, Heap (Priority Queue), </v>
      </c>
      <c r="I986" s="10" t="str">
        <f>Github!E$503</f>
        <v>Hard</v>
      </c>
      <c r="J986" s="10" t="str">
        <f>IF(TRIM(Github!D$503)="TRUE","FALSE","TRUE")</f>
        <v>TRUE</v>
      </c>
      <c r="K986" s="10" t="b">
        <f>Github!M$503</f>
        <v>1</v>
      </c>
      <c r="L986" s="10" t="b">
        <f>Github!N$503</f>
        <v>0</v>
      </c>
      <c r="M986" s="10" t="str">
        <f>ROUND(Github!O$503, 2)&amp;"%"</f>
        <v>43.83%</v>
      </c>
      <c r="N986" s="10">
        <f>Github!P$503</f>
        <v>31162</v>
      </c>
      <c r="O986" s="10">
        <f>Github!Q$503</f>
        <v>71091</v>
      </c>
    </row>
    <row r="987">
      <c r="A987" s="10">
        <f>Github!J$1615</f>
        <v>1614</v>
      </c>
      <c r="B987" s="11" t="str">
        <f>HYPERLINK(CONCAT("http://leetcode.com/problems/",Github!C$1615), Github!B$1615)</f>
        <v>Maximum Nesting Depth of the Parentheses</v>
      </c>
      <c r="C987" s="10">
        <f>Github!F$1615</f>
        <v>755</v>
      </c>
      <c r="D987" s="10">
        <f>Github!G$1615</f>
        <v>163</v>
      </c>
      <c r="E987" s="10">
        <f>Github!F$1615+Github!G$1615</f>
        <v>918</v>
      </c>
      <c r="F987" s="12">
        <f t="shared" si="1"/>
        <v>4.63</v>
      </c>
      <c r="G987" s="10" t="str">
        <f>Github!H$1615</f>
        <v>Algorithms</v>
      </c>
      <c r="H987" s="13" t="str">
        <f>SUBSTITUTE(Github!L$1615, ";", ", ")</f>
        <v>String, Stack, </v>
      </c>
      <c r="I987" s="10" t="str">
        <f>Github!E$1615</f>
        <v>Easy</v>
      </c>
      <c r="J987" s="10" t="str">
        <f>IF(TRIM(Github!D$1615)="TRUE","FALSE","TRUE")</f>
        <v>TRUE</v>
      </c>
      <c r="K987" s="10" t="b">
        <f>Github!M$1615</f>
        <v>0</v>
      </c>
      <c r="L987" s="10" t="b">
        <f>Github!N$1615</f>
        <v>0</v>
      </c>
      <c r="M987" s="10" t="str">
        <f>ROUND(Github!O$1615, 2)&amp;"%"</f>
        <v>83%</v>
      </c>
      <c r="N987" s="10">
        <f>Github!P$1615</f>
        <v>78778</v>
      </c>
      <c r="O987" s="10">
        <f>Github!Q$1615</f>
        <v>94914</v>
      </c>
    </row>
    <row r="988">
      <c r="A988" s="10">
        <f>Github!J$362</f>
        <v>361</v>
      </c>
      <c r="B988" s="11" t="str">
        <f>HYPERLINK(CONCAT("http://leetcode.com/problems/",Github!C$362), Github!B$362)</f>
        <v>Bomb Enemy</v>
      </c>
      <c r="C988" s="10">
        <f>Github!F$362</f>
        <v>750</v>
      </c>
      <c r="D988" s="10">
        <f>Github!G$362</f>
        <v>92</v>
      </c>
      <c r="E988" s="10">
        <f>Github!F$362+Github!G$362</f>
        <v>842</v>
      </c>
      <c r="F988" s="12">
        <f t="shared" si="1"/>
        <v>8.15</v>
      </c>
      <c r="G988" s="10" t="str">
        <f>Github!H$362</f>
        <v>Algorithms</v>
      </c>
      <c r="H988" s="13" t="str">
        <f>SUBSTITUTE(Github!L$362, ";", ", ")</f>
        <v>Array, Dynamic Programming, Matrix, </v>
      </c>
      <c r="I988" s="10" t="str">
        <f>Github!E$362</f>
        <v>Medium</v>
      </c>
      <c r="J988" s="10" t="str">
        <f>IF(TRIM(Github!D$362)="TRUE","FALSE","TRUE")</f>
        <v>FALSE</v>
      </c>
      <c r="K988" s="10" t="b">
        <f>Github!M$362</f>
        <v>1</v>
      </c>
      <c r="L988" s="10" t="b">
        <f>Github!N$362</f>
        <v>0</v>
      </c>
      <c r="M988" s="10" t="str">
        <f>ROUND(Github!O$362, 2)&amp;"%"</f>
        <v>49.83%</v>
      </c>
      <c r="N988" s="10">
        <f>Github!P$362</f>
        <v>63805</v>
      </c>
      <c r="O988" s="10">
        <f>Github!Q$362</f>
        <v>128044</v>
      </c>
    </row>
    <row r="989">
      <c r="A989" s="10">
        <f>Github!J$1690</f>
        <v>1689</v>
      </c>
      <c r="B989" s="11" t="str">
        <f>HYPERLINK(CONCAT("http://leetcode.com/problems/",Github!C$1690), Github!B$1690)</f>
        <v>Partitioning Into Minimum Number Of Deci-Binary Numbers</v>
      </c>
      <c r="C989" s="10">
        <f>Github!F$1690</f>
        <v>751</v>
      </c>
      <c r="D989" s="10">
        <f>Github!G$1690</f>
        <v>537</v>
      </c>
      <c r="E989" s="10">
        <f>Github!F$1690+Github!G$1690</f>
        <v>1288</v>
      </c>
      <c r="F989" s="12">
        <f t="shared" si="1"/>
        <v>1.4</v>
      </c>
      <c r="G989" s="10" t="str">
        <f>Github!H$1690</f>
        <v>Algorithms</v>
      </c>
      <c r="H989" s="13" t="str">
        <f>SUBSTITUTE(Github!L$1690, ";", ", ")</f>
        <v>String, Greedy, </v>
      </c>
      <c r="I989" s="10" t="str">
        <f>Github!E$1690</f>
        <v>Medium</v>
      </c>
      <c r="J989" s="10" t="str">
        <f>IF(TRIM(Github!D$1690)="TRUE","FALSE","TRUE")</f>
        <v>TRUE</v>
      </c>
      <c r="K989" s="10" t="b">
        <f>Github!M$1690</f>
        <v>1</v>
      </c>
      <c r="L989" s="10" t="b">
        <f>Github!N$1690</f>
        <v>0</v>
      </c>
      <c r="M989" s="10" t="str">
        <f>ROUND(Github!O$1690, 2)&amp;"%"</f>
        <v>87.79%</v>
      </c>
      <c r="N989" s="10">
        <f>Github!P$1690</f>
        <v>73350</v>
      </c>
      <c r="O989" s="10">
        <f>Github!Q$1690</f>
        <v>83556</v>
      </c>
    </row>
    <row r="990">
      <c r="A990" s="10">
        <f>Github!J$1367</f>
        <v>1366</v>
      </c>
      <c r="B990" s="11" t="str">
        <f>HYPERLINK(CONCAT("http://leetcode.com/problems/",Github!C$1367), Github!B$1367)</f>
        <v>Rank Teams by Votes</v>
      </c>
      <c r="C990" s="10">
        <f>Github!F$1367</f>
        <v>750</v>
      </c>
      <c r="D990" s="10">
        <f>Github!G$1367</f>
        <v>81</v>
      </c>
      <c r="E990" s="10">
        <f>Github!F$1367+Github!G$1367</f>
        <v>831</v>
      </c>
      <c r="F990" s="12">
        <f t="shared" si="1"/>
        <v>9.26</v>
      </c>
      <c r="G990" s="10" t="str">
        <f>Github!H$1367</f>
        <v>Algorithms</v>
      </c>
      <c r="H990" s="13" t="str">
        <f>SUBSTITUTE(Github!L$1367, ";", ", ")</f>
        <v>Array, Hash Table, String, Sorting, Counting, </v>
      </c>
      <c r="I990" s="10" t="str">
        <f>Github!E$1367</f>
        <v>Medium</v>
      </c>
      <c r="J990" s="10" t="str">
        <f>IF(TRIM(Github!D$1367)="TRUE","FALSE","TRUE")</f>
        <v>TRUE</v>
      </c>
      <c r="K990" s="10" t="b">
        <f>Github!M$1367</f>
        <v>0</v>
      </c>
      <c r="L990" s="10" t="b">
        <f>Github!N$1367</f>
        <v>0</v>
      </c>
      <c r="M990" s="10" t="str">
        <f>ROUND(Github!O$1367, 2)&amp;"%"</f>
        <v>58.71%</v>
      </c>
      <c r="N990" s="10">
        <f>Github!P$1367</f>
        <v>34451</v>
      </c>
      <c r="O990" s="10">
        <f>Github!Q$1367</f>
        <v>58678</v>
      </c>
    </row>
    <row r="991">
      <c r="A991" s="10">
        <f>Github!J$840</f>
        <v>839</v>
      </c>
      <c r="B991" s="11" t="str">
        <f>HYPERLINK(CONCAT("http://leetcode.com/problems/",Github!C$840), Github!B$840)</f>
        <v>Similar String Groups</v>
      </c>
      <c r="C991" s="10">
        <f>Github!F$840</f>
        <v>748</v>
      </c>
      <c r="D991" s="10">
        <f>Github!G$840</f>
        <v>165</v>
      </c>
      <c r="E991" s="10">
        <f>Github!F$840+Github!G$840</f>
        <v>913</v>
      </c>
      <c r="F991" s="12">
        <f t="shared" si="1"/>
        <v>4.53</v>
      </c>
      <c r="G991" s="10" t="str">
        <f>Github!H$840</f>
        <v>Algorithms</v>
      </c>
      <c r="H991" s="13" t="str">
        <f>SUBSTITUTE(Github!L$840, ";", ", ")</f>
        <v>String, Depth-First Search, Breadth-First Search, Union Find, </v>
      </c>
      <c r="I991" s="10" t="str">
        <f>Github!E$840</f>
        <v>Hard</v>
      </c>
      <c r="J991" s="10" t="str">
        <f>IF(TRIM(Github!D$840)="TRUE","FALSE","TRUE")</f>
        <v>TRUE</v>
      </c>
      <c r="K991" s="10" t="b">
        <f>Github!M$840</f>
        <v>0</v>
      </c>
      <c r="L991" s="10" t="b">
        <f>Github!N$840</f>
        <v>0</v>
      </c>
      <c r="M991" s="10" t="str">
        <f>ROUND(Github!O$840, 2)&amp;"%"</f>
        <v>45.05%</v>
      </c>
      <c r="N991" s="10">
        <f>Github!P$840</f>
        <v>48601</v>
      </c>
      <c r="O991" s="10">
        <f>Github!Q$840</f>
        <v>107891</v>
      </c>
    </row>
    <row r="992">
      <c r="A992" s="10">
        <f>Github!J$1426</f>
        <v>1425</v>
      </c>
      <c r="B992" s="11" t="str">
        <f>HYPERLINK(CONCAT("http://leetcode.com/problems/",Github!C$1426), Github!B$1426)</f>
        <v>Constrained Subsequence Sum</v>
      </c>
      <c r="C992" s="10">
        <f>Github!F$1426</f>
        <v>747</v>
      </c>
      <c r="D992" s="10">
        <f>Github!G$1426</f>
        <v>30</v>
      </c>
      <c r="E992" s="10">
        <f>Github!F$1426+Github!G$1426</f>
        <v>777</v>
      </c>
      <c r="F992" s="12">
        <f t="shared" si="1"/>
        <v>24.9</v>
      </c>
      <c r="G992" s="10" t="str">
        <f>Github!H$1426</f>
        <v>Algorithms</v>
      </c>
      <c r="H992" s="13" t="str">
        <f>SUBSTITUTE(Github!L$1426, ";", ", ")</f>
        <v>Array, Dynamic Programming, Queue, Sliding Window, Heap (Priority Queue), Monotonic Queue, </v>
      </c>
      <c r="I992" s="10" t="str">
        <f>Github!E$1426</f>
        <v>Hard</v>
      </c>
      <c r="J992" s="10" t="str">
        <f>IF(TRIM(Github!D$1426)="TRUE","FALSE","TRUE")</f>
        <v>TRUE</v>
      </c>
      <c r="K992" s="10" t="b">
        <f>Github!M$1426</f>
        <v>0</v>
      </c>
      <c r="L992" s="10" t="b">
        <f>Github!N$1426</f>
        <v>0</v>
      </c>
      <c r="M992" s="10" t="str">
        <f>ROUND(Github!O$1426, 2)&amp;"%"</f>
        <v>46.41%</v>
      </c>
      <c r="N992" s="10">
        <f>Github!P$1426</f>
        <v>17387</v>
      </c>
      <c r="O992" s="10">
        <f>Github!Q$1426</f>
        <v>37469</v>
      </c>
    </row>
    <row r="993">
      <c r="A993" s="10">
        <f>Github!J$630</f>
        <v>629</v>
      </c>
      <c r="B993" s="11" t="str">
        <f>HYPERLINK(CONCAT("http://leetcode.com/problems/",Github!C$630), Github!B$630)</f>
        <v>K Inverse Pairs Array</v>
      </c>
      <c r="C993" s="10">
        <f>Github!F$630</f>
        <v>746</v>
      </c>
      <c r="D993" s="10">
        <f>Github!G$630</f>
        <v>108</v>
      </c>
      <c r="E993" s="10">
        <f>Github!F$630+Github!G$630</f>
        <v>854</v>
      </c>
      <c r="F993" s="12">
        <f t="shared" si="1"/>
        <v>6.91</v>
      </c>
      <c r="G993" s="10" t="str">
        <f>Github!H$630</f>
        <v>Algorithms</v>
      </c>
      <c r="H993" s="13" t="str">
        <f>SUBSTITUTE(Github!L$630, ";", ", ")</f>
        <v>Dynamic Programming, </v>
      </c>
      <c r="I993" s="10" t="str">
        <f>Github!E$630</f>
        <v>Hard</v>
      </c>
      <c r="J993" s="10" t="str">
        <f>IF(TRIM(Github!D$630)="TRUE","FALSE","TRUE")</f>
        <v>TRUE</v>
      </c>
      <c r="K993" s="10" t="b">
        <f>Github!M$630</f>
        <v>1</v>
      </c>
      <c r="L993" s="10" t="b">
        <f>Github!N$630</f>
        <v>0</v>
      </c>
      <c r="M993" s="10" t="str">
        <f>ROUND(Github!O$630, 2)&amp;"%"</f>
        <v>37.23%</v>
      </c>
      <c r="N993" s="10">
        <f>Github!P$630</f>
        <v>24546</v>
      </c>
      <c r="O993" s="10">
        <f>Github!Q$630</f>
        <v>65929</v>
      </c>
    </row>
    <row r="994">
      <c r="A994" s="10">
        <f>Github!J$1293</f>
        <v>1292</v>
      </c>
      <c r="B994" s="11" t="str">
        <f>HYPERLINK(CONCAT("http://leetcode.com/problems/",Github!C$1293), Github!B$1293)</f>
        <v>Maximum Side Length of a Square with Sum Less than or Equal to Threshold</v>
      </c>
      <c r="C994" s="10">
        <f>Github!F$1293</f>
        <v>746</v>
      </c>
      <c r="D994" s="10">
        <f>Github!G$1293</f>
        <v>56</v>
      </c>
      <c r="E994" s="10">
        <f>Github!F$1293+Github!G$1293</f>
        <v>802</v>
      </c>
      <c r="F994" s="12">
        <f t="shared" si="1"/>
        <v>13.32</v>
      </c>
      <c r="G994" s="10" t="str">
        <f>Github!H$1293</f>
        <v>Algorithms</v>
      </c>
      <c r="H994" s="13" t="str">
        <f>SUBSTITUTE(Github!L$1293, ";", ", ")</f>
        <v>Array, Binary Search, Matrix, Prefix Sum, </v>
      </c>
      <c r="I994" s="10" t="str">
        <f>Github!E$1293</f>
        <v>Medium</v>
      </c>
      <c r="J994" s="10" t="str">
        <f>IF(TRIM(Github!D$1293)="TRUE","FALSE","TRUE")</f>
        <v>TRUE</v>
      </c>
      <c r="K994" s="10" t="b">
        <f>Github!M$1293</f>
        <v>0</v>
      </c>
      <c r="L994" s="10" t="b">
        <f>Github!N$1293</f>
        <v>0</v>
      </c>
      <c r="M994" s="10" t="str">
        <f>ROUND(Github!O$1293, 2)&amp;"%"</f>
        <v>52.14%</v>
      </c>
      <c r="N994" s="10">
        <f>Github!P$1293</f>
        <v>23114</v>
      </c>
      <c r="O994" s="10">
        <f>Github!Q$1293</f>
        <v>44327</v>
      </c>
    </row>
    <row r="995">
      <c r="A995" s="10">
        <f>Github!J$778</f>
        <v>777</v>
      </c>
      <c r="B995" s="11" t="str">
        <f>HYPERLINK(CONCAT("http://leetcode.com/problems/",Github!C$778), Github!B$778)</f>
        <v>Swap Adjacent in LR String</v>
      </c>
      <c r="C995" s="10">
        <f>Github!F$778</f>
        <v>746</v>
      </c>
      <c r="D995" s="10">
        <f>Github!G$778</f>
        <v>650</v>
      </c>
      <c r="E995" s="10">
        <f>Github!F$778+Github!G$778</f>
        <v>1396</v>
      </c>
      <c r="F995" s="12">
        <f t="shared" si="1"/>
        <v>1.15</v>
      </c>
      <c r="G995" s="10" t="str">
        <f>Github!H$778</f>
        <v>Algorithms</v>
      </c>
      <c r="H995" s="13" t="str">
        <f>SUBSTITUTE(Github!L$778, ";", ", ")</f>
        <v>Two Pointers, String, </v>
      </c>
      <c r="I995" s="10" t="str">
        <f>Github!E$778</f>
        <v>Medium</v>
      </c>
      <c r="J995" s="10" t="str">
        <f>IF(TRIM(Github!D$778)="TRUE","FALSE","TRUE")</f>
        <v>TRUE</v>
      </c>
      <c r="K995" s="10" t="b">
        <f>Github!M$778</f>
        <v>0</v>
      </c>
      <c r="L995" s="10" t="b">
        <f>Github!N$778</f>
        <v>0</v>
      </c>
      <c r="M995" s="10" t="str">
        <f>ROUND(Github!O$778, 2)&amp;"%"</f>
        <v>36.22%</v>
      </c>
      <c r="N995" s="10">
        <f>Github!P$778</f>
        <v>49825</v>
      </c>
      <c r="O995" s="10">
        <f>Github!Q$778</f>
        <v>137555</v>
      </c>
    </row>
    <row r="996">
      <c r="A996" s="10">
        <f>Github!J$59</f>
        <v>58</v>
      </c>
      <c r="B996" s="11" t="str">
        <f>HYPERLINK(CONCAT("http://leetcode.com/problems/",Github!C$59), Github!B$59)</f>
        <v>Length of Last Word</v>
      </c>
      <c r="C996" s="10">
        <f>Github!F$59</f>
        <v>745</v>
      </c>
      <c r="D996" s="10">
        <f>Github!G$59</f>
        <v>59</v>
      </c>
      <c r="E996" s="10">
        <f>Github!F$59+Github!G$59</f>
        <v>804</v>
      </c>
      <c r="F996" s="12">
        <f t="shared" si="1"/>
        <v>12.63</v>
      </c>
      <c r="G996" s="10" t="str">
        <f>Github!H$59</f>
        <v>Algorithms</v>
      </c>
      <c r="H996" s="13" t="str">
        <f>SUBSTITUTE(Github!L$59, ";", ", ")</f>
        <v>String, </v>
      </c>
      <c r="I996" s="10" t="str">
        <f>Github!E$59</f>
        <v>Easy</v>
      </c>
      <c r="J996" s="10" t="str">
        <f>IF(TRIM(Github!D$59)="TRUE","FALSE","TRUE")</f>
        <v>TRUE</v>
      </c>
      <c r="K996" s="10" t="b">
        <f>Github!M$59</f>
        <v>1</v>
      </c>
      <c r="L996" s="10" t="b">
        <f>Github!N$59</f>
        <v>0</v>
      </c>
      <c r="M996" s="10" t="str">
        <f>ROUND(Github!O$59, 2)&amp;"%"</f>
        <v>36.89%</v>
      </c>
      <c r="N996" s="10">
        <f>Github!P$59</f>
        <v>689356</v>
      </c>
      <c r="O996" s="10">
        <f>Github!Q$59</f>
        <v>1868694</v>
      </c>
    </row>
    <row r="997">
      <c r="A997" s="10">
        <f>Github!J$1100</f>
        <v>1099</v>
      </c>
      <c r="B997" s="11" t="str">
        <f>HYPERLINK(CONCAT("http://leetcode.com/problems/",Github!C$1100), Github!B$1100)</f>
        <v>Two Sum Less Than K</v>
      </c>
      <c r="C997" s="10">
        <f>Github!F$1100</f>
        <v>744</v>
      </c>
      <c r="D997" s="10">
        <f>Github!G$1100</f>
        <v>84</v>
      </c>
      <c r="E997" s="10">
        <f>Github!F$1100+Github!G$1100</f>
        <v>828</v>
      </c>
      <c r="F997" s="12">
        <f t="shared" si="1"/>
        <v>8.86</v>
      </c>
      <c r="G997" s="10" t="str">
        <f>Github!H$1100</f>
        <v>Algorithms</v>
      </c>
      <c r="H997" s="13" t="str">
        <f>SUBSTITUTE(Github!L$1100, ";", ", ")</f>
        <v>Array, Two Pointers, Binary Search, Sorting, </v>
      </c>
      <c r="I997" s="10" t="str">
        <f>Github!E$1100</f>
        <v>Easy</v>
      </c>
      <c r="J997" s="10" t="str">
        <f>IF(TRIM(Github!D$1100)="TRUE","FALSE","TRUE")</f>
        <v>FALSE</v>
      </c>
      <c r="K997" s="10" t="b">
        <f>Github!M$1100</f>
        <v>1</v>
      </c>
      <c r="L997" s="10" t="b">
        <f>Github!N$1100</f>
        <v>1</v>
      </c>
      <c r="M997" s="10" t="str">
        <f>ROUND(Github!O$1100, 2)&amp;"%"</f>
        <v>60.49%</v>
      </c>
      <c r="N997" s="10">
        <f>Github!P$1100</f>
        <v>85304</v>
      </c>
      <c r="O997" s="10">
        <f>Github!Q$1100</f>
        <v>141031</v>
      </c>
    </row>
    <row r="998">
      <c r="A998" s="10">
        <f>Github!J$865</f>
        <v>864</v>
      </c>
      <c r="B998" s="11" t="str">
        <f>HYPERLINK(CONCAT("http://leetcode.com/problems/",Github!C$865), Github!B$865)</f>
        <v>Shortest Path to Get All Keys</v>
      </c>
      <c r="C998" s="10">
        <f>Github!F$865</f>
        <v>742</v>
      </c>
      <c r="D998" s="10">
        <f>Github!G$865</f>
        <v>25</v>
      </c>
      <c r="E998" s="10">
        <f>Github!F$865+Github!G$865</f>
        <v>767</v>
      </c>
      <c r="F998" s="12">
        <f t="shared" si="1"/>
        <v>29.68</v>
      </c>
      <c r="G998" s="10" t="str">
        <f>Github!H$865</f>
        <v>Algorithms</v>
      </c>
      <c r="H998" s="13" t="str">
        <f>SUBSTITUTE(Github!L$865, ";", ", ")</f>
        <v>Bit Manipulation, Breadth-First Search, </v>
      </c>
      <c r="I998" s="10" t="str">
        <f>Github!E$865</f>
        <v>Hard</v>
      </c>
      <c r="J998" s="10" t="str">
        <f>IF(TRIM(Github!D$865)="TRUE","FALSE","TRUE")</f>
        <v>TRUE</v>
      </c>
      <c r="K998" s="10" t="b">
        <f>Github!M$865</f>
        <v>0</v>
      </c>
      <c r="L998" s="10" t="b">
        <f>Github!N$865</f>
        <v>0</v>
      </c>
      <c r="M998" s="10" t="str">
        <f>ROUND(Github!O$865, 2)&amp;"%"</f>
        <v>44.28%</v>
      </c>
      <c r="N998" s="10">
        <f>Github!P$865</f>
        <v>22343</v>
      </c>
      <c r="O998" s="10">
        <f>Github!Q$865</f>
        <v>50456</v>
      </c>
    </row>
    <row r="999">
      <c r="A999" s="10">
        <f>Github!J$164</f>
        <v>163</v>
      </c>
      <c r="B999" s="11" t="str">
        <f>HYPERLINK(CONCAT("http://leetcode.com/problems/",Github!C$164), Github!B$164)</f>
        <v>Missing Ranges</v>
      </c>
      <c r="C999" s="10">
        <f>Github!F$164</f>
        <v>741</v>
      </c>
      <c r="D999" s="10">
        <f>Github!G$164</f>
        <v>2457</v>
      </c>
      <c r="E999" s="10">
        <f>Github!F$164+Github!G$164</f>
        <v>3198</v>
      </c>
      <c r="F999" s="12">
        <f t="shared" si="1"/>
        <v>0.3</v>
      </c>
      <c r="G999" s="10" t="str">
        <f>Github!H$164</f>
        <v>Algorithms</v>
      </c>
      <c r="H999" s="13" t="str">
        <f>SUBSTITUTE(Github!L$164, ";", ", ")</f>
        <v>Array, </v>
      </c>
      <c r="I999" s="10" t="str">
        <f>Github!E$164</f>
        <v>Easy</v>
      </c>
      <c r="J999" s="10" t="str">
        <f>IF(TRIM(Github!D$164)="TRUE","FALSE","TRUE")</f>
        <v>FALSE</v>
      </c>
      <c r="K999" s="10" t="b">
        <f>Github!M$164</f>
        <v>1</v>
      </c>
      <c r="L999" s="10" t="b">
        <f>Github!N$164</f>
        <v>1</v>
      </c>
      <c r="M999" s="10" t="str">
        <f>ROUND(Github!O$164, 2)&amp;"%"</f>
        <v>30.99%</v>
      </c>
      <c r="N999" s="10">
        <f>Github!P$164</f>
        <v>162217</v>
      </c>
      <c r="O999" s="10">
        <f>Github!Q$164</f>
        <v>523438</v>
      </c>
    </row>
    <row r="1000">
      <c r="A1000" s="10">
        <f>Github!J$1906</f>
        <v>1905</v>
      </c>
      <c r="B1000" s="11" t="str">
        <f>HYPERLINK(CONCAT("http://leetcode.com/problems/",Github!C$1906), Github!B$1906)</f>
        <v>Count Sub Islands</v>
      </c>
      <c r="C1000" s="10">
        <f>Github!F$1906</f>
        <v>742</v>
      </c>
      <c r="D1000" s="10">
        <f>Github!G$1906</f>
        <v>25</v>
      </c>
      <c r="E1000" s="10">
        <f>Github!F$1906+Github!G$1906</f>
        <v>767</v>
      </c>
      <c r="F1000" s="12">
        <f t="shared" si="1"/>
        <v>29.68</v>
      </c>
      <c r="G1000" s="10" t="str">
        <f>Github!H$1906</f>
        <v>Algorithms</v>
      </c>
      <c r="H1000" s="13" t="str">
        <f>SUBSTITUTE(Github!L$1906, ";", ", ")</f>
        <v>Array, Depth-First Search, Breadth-First Search, Union Find, Matrix, </v>
      </c>
      <c r="I1000" s="10" t="str">
        <f>Github!E$1906</f>
        <v>Medium</v>
      </c>
      <c r="J1000" s="10" t="str">
        <f>IF(TRIM(Github!D$1906)="TRUE","FALSE","TRUE")</f>
        <v>TRUE</v>
      </c>
      <c r="K1000" s="10" t="b">
        <f>Github!M$1906</f>
        <v>0</v>
      </c>
      <c r="L1000" s="10" t="b">
        <f>Github!N$1906</f>
        <v>0</v>
      </c>
      <c r="M1000" s="10" t="str">
        <f>ROUND(Github!O$1906, 2)&amp;"%"</f>
        <v>64.25%</v>
      </c>
      <c r="N1000" s="10">
        <f>Github!P$1906</f>
        <v>24192</v>
      </c>
      <c r="O1000" s="10">
        <f>Github!Q$1906</f>
        <v>37655</v>
      </c>
    </row>
    <row r="1001">
      <c r="A1001" s="10">
        <f>Github!J$1152</f>
        <v>1151</v>
      </c>
      <c r="B1001" s="11" t="str">
        <f>HYPERLINK(CONCAT("http://leetcode.com/problems/",Github!C$1152), Github!B$1152)</f>
        <v>Minimum Swaps to Group All 1's Together</v>
      </c>
      <c r="C1001" s="10">
        <f>Github!F$1152</f>
        <v>739</v>
      </c>
      <c r="D1001" s="10">
        <f>Github!G$1152</f>
        <v>9</v>
      </c>
      <c r="E1001" s="10">
        <f>Github!F$1152+Github!G$1152</f>
        <v>748</v>
      </c>
      <c r="F1001" s="12">
        <f t="shared" si="1"/>
        <v>82.11</v>
      </c>
      <c r="G1001" s="10" t="str">
        <f>Github!H$1152</f>
        <v>Algorithms</v>
      </c>
      <c r="H1001" s="13" t="str">
        <f>SUBSTITUTE(Github!L$1152, ";", ", ")</f>
        <v>Array, Sliding Window, </v>
      </c>
      <c r="I1001" s="10" t="str">
        <f>Github!E$1152</f>
        <v>Medium</v>
      </c>
      <c r="J1001" s="10" t="str">
        <f>IF(TRIM(Github!D$1152)="TRUE","FALSE","TRUE")</f>
        <v>FALSE</v>
      </c>
      <c r="K1001" s="10" t="b">
        <f>Github!M$1152</f>
        <v>1</v>
      </c>
      <c r="L1001" s="10" t="b">
        <f>Github!N$1152</f>
        <v>1</v>
      </c>
      <c r="M1001" s="10" t="str">
        <f>ROUND(Github!O$1152, 2)&amp;"%"</f>
        <v>59.4%</v>
      </c>
      <c r="N1001" s="10">
        <f>Github!P$1152</f>
        <v>32879</v>
      </c>
      <c r="O1001" s="10">
        <f>Github!Q$1152</f>
        <v>55347</v>
      </c>
    </row>
    <row r="1002">
      <c r="A1002" s="10">
        <f>Github!J$391</f>
        <v>390</v>
      </c>
      <c r="B1002" s="11" t="str">
        <f>HYPERLINK(CONCAT("http://leetcode.com/problems/",Github!C$391), Github!B$391)</f>
        <v>Elimination Game</v>
      </c>
      <c r="C1002" s="10">
        <f>Github!F$391</f>
        <v>735</v>
      </c>
      <c r="D1002" s="10">
        <f>Github!G$391</f>
        <v>489</v>
      </c>
      <c r="E1002" s="10">
        <f>Github!F$391+Github!G$391</f>
        <v>1224</v>
      </c>
      <c r="F1002" s="12">
        <f t="shared" si="1"/>
        <v>1.5</v>
      </c>
      <c r="G1002" s="10" t="str">
        <f>Github!H$391</f>
        <v>Algorithms</v>
      </c>
      <c r="H1002" s="13" t="str">
        <f>SUBSTITUTE(Github!L$391, ";", ", ")</f>
        <v>Math, </v>
      </c>
      <c r="I1002" s="10" t="str">
        <f>Github!E$391</f>
        <v>Medium</v>
      </c>
      <c r="J1002" s="10" t="str">
        <f>IF(TRIM(Github!D$391)="TRUE","FALSE","TRUE")</f>
        <v>TRUE</v>
      </c>
      <c r="K1002" s="10" t="b">
        <f>Github!M$391</f>
        <v>0</v>
      </c>
      <c r="L1002" s="10" t="b">
        <f>Github!N$391</f>
        <v>0</v>
      </c>
      <c r="M1002" s="10" t="str">
        <f>ROUND(Github!O$391, 2)&amp;"%"</f>
        <v>46.31%</v>
      </c>
      <c r="N1002" s="10">
        <f>Github!P$391</f>
        <v>44207</v>
      </c>
      <c r="O1002" s="10">
        <f>Github!Q$391</f>
        <v>95460</v>
      </c>
    </row>
    <row r="1003">
      <c r="A1003" s="10">
        <f>Github!J$1412</f>
        <v>1411</v>
      </c>
      <c r="B1003" s="11" t="str">
        <f>HYPERLINK(CONCAT("http://leetcode.com/problems/",Github!C$1412), Github!B$1412)</f>
        <v>Number of Ways to Paint N × 3 Grid</v>
      </c>
      <c r="C1003" s="10">
        <f>Github!F$1412</f>
        <v>735</v>
      </c>
      <c r="D1003" s="10">
        <f>Github!G$1412</f>
        <v>33</v>
      </c>
      <c r="E1003" s="10">
        <f>Github!F$1412+Github!G$1412</f>
        <v>768</v>
      </c>
      <c r="F1003" s="12">
        <f t="shared" si="1"/>
        <v>22.27</v>
      </c>
      <c r="G1003" s="10" t="str">
        <f>Github!H$1412</f>
        <v>Algorithms</v>
      </c>
      <c r="H1003" s="13" t="str">
        <f>SUBSTITUTE(Github!L$1412, ";", ", ")</f>
        <v>Dynamic Programming, </v>
      </c>
      <c r="I1003" s="10" t="str">
        <f>Github!E$1412</f>
        <v>Hard</v>
      </c>
      <c r="J1003" s="10" t="str">
        <f>IF(TRIM(Github!D$1412)="TRUE","FALSE","TRUE")</f>
        <v>TRUE</v>
      </c>
      <c r="K1003" s="10" t="b">
        <f>Github!M$1412</f>
        <v>0</v>
      </c>
      <c r="L1003" s="10" t="b">
        <f>Github!N$1412</f>
        <v>0</v>
      </c>
      <c r="M1003" s="10" t="str">
        <f>ROUND(Github!O$1412, 2)&amp;"%"</f>
        <v>61.8%</v>
      </c>
      <c r="N1003" s="10">
        <f>Github!P$1412</f>
        <v>23762</v>
      </c>
      <c r="O1003" s="10">
        <f>Github!Q$1412</f>
        <v>38450</v>
      </c>
    </row>
    <row r="1004">
      <c r="A1004" s="10">
        <f>Github!J$1463</f>
        <v>1462</v>
      </c>
      <c r="B1004" s="11" t="str">
        <f>HYPERLINK(CONCAT("http://leetcode.com/problems/",Github!C$1463), Github!B$1463)</f>
        <v>Course Schedule IV</v>
      </c>
      <c r="C1004" s="10">
        <f>Github!F$1463</f>
        <v>735</v>
      </c>
      <c r="D1004" s="10">
        <f>Github!G$1463</f>
        <v>46</v>
      </c>
      <c r="E1004" s="10">
        <f>Github!F$1463+Github!G$1463</f>
        <v>781</v>
      </c>
      <c r="F1004" s="12">
        <f t="shared" si="1"/>
        <v>15.98</v>
      </c>
      <c r="G1004" s="10" t="str">
        <f>Github!H$1463</f>
        <v>Algorithms</v>
      </c>
      <c r="H1004" s="13" t="str">
        <f>SUBSTITUTE(Github!L$1463, ";", ", ")</f>
        <v>Depth-First Search, Breadth-First Search, Graph, Topological Sort, </v>
      </c>
      <c r="I1004" s="10" t="str">
        <f>Github!E$1463</f>
        <v>Medium</v>
      </c>
      <c r="J1004" s="10" t="str">
        <f>IF(TRIM(Github!D$1463)="TRUE","FALSE","TRUE")</f>
        <v>TRUE</v>
      </c>
      <c r="K1004" s="10" t="b">
        <f>Github!M$1463</f>
        <v>0</v>
      </c>
      <c r="L1004" s="10" t="b">
        <f>Github!N$1463</f>
        <v>0</v>
      </c>
      <c r="M1004" s="10" t="str">
        <f>ROUND(Github!O$1463, 2)&amp;"%"</f>
        <v>47.62%</v>
      </c>
      <c r="N1004" s="10">
        <f>Github!P$1463</f>
        <v>29518</v>
      </c>
      <c r="O1004" s="10">
        <f>Github!Q$1463</f>
        <v>61991</v>
      </c>
    </row>
    <row r="1005">
      <c r="A1005" s="10">
        <f>Github!J$724</f>
        <v>723</v>
      </c>
      <c r="B1005" s="11" t="str">
        <f>HYPERLINK(CONCAT("http://leetcode.com/problems/",Github!C$724), Github!B$724)</f>
        <v>Candy Crush</v>
      </c>
      <c r="C1005" s="10">
        <f>Github!F$724</f>
        <v>735</v>
      </c>
      <c r="D1005" s="10">
        <f>Github!G$724</f>
        <v>325</v>
      </c>
      <c r="E1005" s="10">
        <f>Github!F$724+Github!G$724</f>
        <v>1060</v>
      </c>
      <c r="F1005" s="12">
        <f t="shared" si="1"/>
        <v>2.26</v>
      </c>
      <c r="G1005" s="10" t="str">
        <f>Github!H$724</f>
        <v>Algorithms</v>
      </c>
      <c r="H1005" s="13" t="str">
        <f>SUBSTITUTE(Github!L$724, ";", ", ")</f>
        <v>Array, Two Pointers, Matrix, Simulation, </v>
      </c>
      <c r="I1005" s="10" t="str">
        <f>Github!E$724</f>
        <v>Medium</v>
      </c>
      <c r="J1005" s="10" t="str">
        <f>IF(TRIM(Github!D$724)="TRUE","FALSE","TRUE")</f>
        <v>FALSE</v>
      </c>
      <c r="K1005" s="10" t="b">
        <f>Github!M$724</f>
        <v>1</v>
      </c>
      <c r="L1005" s="10" t="b">
        <f>Github!N$724</f>
        <v>0</v>
      </c>
      <c r="M1005" s="10" t="str">
        <f>ROUND(Github!O$724, 2)&amp;"%"</f>
        <v>74.94%</v>
      </c>
      <c r="N1005" s="10">
        <f>Github!P$724</f>
        <v>48083</v>
      </c>
      <c r="O1005" s="10">
        <f>Github!Q$724</f>
        <v>64162</v>
      </c>
    </row>
    <row r="1006">
      <c r="A1006" s="10">
        <f>Github!J$1321</f>
        <v>1320</v>
      </c>
      <c r="B1006" s="11" t="str">
        <f>HYPERLINK(CONCAT("http://leetcode.com/problems/",Github!C$1321), Github!B$1321)</f>
        <v>Minimum Distance to Type a Word Using Two Fingers</v>
      </c>
      <c r="C1006" s="10">
        <f>Github!F$1321</f>
        <v>733</v>
      </c>
      <c r="D1006" s="10">
        <f>Github!G$1321</f>
        <v>28</v>
      </c>
      <c r="E1006" s="10">
        <f>Github!F$1321+Github!G$1321</f>
        <v>761</v>
      </c>
      <c r="F1006" s="12">
        <f t="shared" si="1"/>
        <v>26.18</v>
      </c>
      <c r="G1006" s="10" t="str">
        <f>Github!H$1321</f>
        <v>Algorithms</v>
      </c>
      <c r="H1006" s="13" t="str">
        <f>SUBSTITUTE(Github!L$1321, ";", ", ")</f>
        <v>String, Dynamic Programming, </v>
      </c>
      <c r="I1006" s="10" t="str">
        <f>Github!E$1321</f>
        <v>Hard</v>
      </c>
      <c r="J1006" s="10" t="str">
        <f>IF(TRIM(Github!D$1321)="TRUE","FALSE","TRUE")</f>
        <v>TRUE</v>
      </c>
      <c r="K1006" s="10" t="b">
        <f>Github!M$1321</f>
        <v>0</v>
      </c>
      <c r="L1006" s="10" t="b">
        <f>Github!N$1321</f>
        <v>0</v>
      </c>
      <c r="M1006" s="10" t="str">
        <f>ROUND(Github!O$1321, 2)&amp;"%"</f>
        <v>60.36%</v>
      </c>
      <c r="N1006" s="10">
        <f>Github!P$1321</f>
        <v>23127</v>
      </c>
      <c r="O1006" s="10">
        <f>Github!Q$1321</f>
        <v>38314</v>
      </c>
    </row>
    <row r="1007">
      <c r="A1007" s="10">
        <f>Github!J$483</f>
        <v>482</v>
      </c>
      <c r="B1007" s="11" t="str">
        <f>HYPERLINK(CONCAT("http://leetcode.com/problems/",Github!C$483), Github!B$483)</f>
        <v>License Key Formatting</v>
      </c>
      <c r="C1007" s="10">
        <f>Github!F$483</f>
        <v>733</v>
      </c>
      <c r="D1007" s="10">
        <f>Github!G$483</f>
        <v>1057</v>
      </c>
      <c r="E1007" s="10">
        <f>Github!F$483+Github!G$483</f>
        <v>1790</v>
      </c>
      <c r="F1007" s="12">
        <f t="shared" si="1"/>
        <v>0.69</v>
      </c>
      <c r="G1007" s="10" t="str">
        <f>Github!H$483</f>
        <v>Algorithms</v>
      </c>
      <c r="H1007" s="13" t="str">
        <f>SUBSTITUTE(Github!L$483, ";", ", ")</f>
        <v>String, </v>
      </c>
      <c r="I1007" s="10" t="str">
        <f>Github!E$483</f>
        <v>Easy</v>
      </c>
      <c r="J1007" s="10" t="str">
        <f>IF(TRIM(Github!D$483)="TRUE","FALSE","TRUE")</f>
        <v>TRUE</v>
      </c>
      <c r="K1007" s="10" t="b">
        <f>Github!M$483</f>
        <v>0</v>
      </c>
      <c r="L1007" s="10" t="b">
        <f>Github!N$483</f>
        <v>0</v>
      </c>
      <c r="M1007" s="10" t="str">
        <f>ROUND(Github!O$483, 2)&amp;"%"</f>
        <v>43.13%</v>
      </c>
      <c r="N1007" s="10">
        <f>Github!P$483</f>
        <v>205452</v>
      </c>
      <c r="O1007" s="10">
        <f>Github!Q$483</f>
        <v>476403</v>
      </c>
    </row>
    <row r="1008">
      <c r="A1008" s="10">
        <f>Github!J$743</f>
        <v>742</v>
      </c>
      <c r="B1008" s="11" t="str">
        <f>HYPERLINK(CONCAT("http://leetcode.com/problems/",Github!C$743), Github!B$743)</f>
        <v>Closest Leaf in a Binary Tree</v>
      </c>
      <c r="C1008" s="10">
        <f>Github!F$743</f>
        <v>732</v>
      </c>
      <c r="D1008" s="10">
        <f>Github!G$743</f>
        <v>146</v>
      </c>
      <c r="E1008" s="10">
        <f>Github!F$743+Github!G$743</f>
        <v>878</v>
      </c>
      <c r="F1008" s="12">
        <f t="shared" si="1"/>
        <v>5.01</v>
      </c>
      <c r="G1008" s="10" t="str">
        <f>Github!H$743</f>
        <v>Algorithms</v>
      </c>
      <c r="H1008" s="13" t="str">
        <f>SUBSTITUTE(Github!L$743, ";", ", ")</f>
        <v>Tree, Depth-First Search, Breadth-First Search, Binary Tree, </v>
      </c>
      <c r="I1008" s="10" t="str">
        <f>Github!E$743</f>
        <v>Medium</v>
      </c>
      <c r="J1008" s="10" t="str">
        <f>IF(TRIM(Github!D$743)="TRUE","FALSE","TRUE")</f>
        <v>FALSE</v>
      </c>
      <c r="K1008" s="10" t="b">
        <f>Github!M$743</f>
        <v>1</v>
      </c>
      <c r="L1008" s="10" t="b">
        <f>Github!N$743</f>
        <v>0</v>
      </c>
      <c r="M1008" s="10" t="str">
        <f>ROUND(Github!O$743, 2)&amp;"%"</f>
        <v>45.47%</v>
      </c>
      <c r="N1008" s="10">
        <f>Github!P$743</f>
        <v>36687</v>
      </c>
      <c r="O1008" s="10">
        <f>Github!Q$743</f>
        <v>80692</v>
      </c>
    </row>
    <row r="1009">
      <c r="A1009" s="10">
        <f>Github!J$562</f>
        <v>561</v>
      </c>
      <c r="B1009" s="11" t="str">
        <f>HYPERLINK(CONCAT("http://leetcode.com/problems/",Github!C$562), Github!B$562)</f>
        <v>Array Partition I</v>
      </c>
      <c r="C1009" s="10">
        <f>Github!F$562</f>
        <v>731</v>
      </c>
      <c r="D1009" s="10">
        <f>Github!G$562</f>
        <v>125</v>
      </c>
      <c r="E1009" s="10">
        <f>Github!F$562+Github!G$562</f>
        <v>856</v>
      </c>
      <c r="F1009" s="12">
        <f t="shared" si="1"/>
        <v>5.85</v>
      </c>
      <c r="G1009" s="10" t="str">
        <f>Github!H$562</f>
        <v>Algorithms</v>
      </c>
      <c r="H1009" s="13" t="str">
        <f>SUBSTITUTE(Github!L$562, ";", ", ")</f>
        <v>Array, Greedy, Sorting, Counting Sort, </v>
      </c>
      <c r="I1009" s="10" t="str">
        <f>Github!E$562</f>
        <v>Easy</v>
      </c>
      <c r="J1009" s="10" t="str">
        <f>IF(TRIM(Github!D$562)="TRUE","FALSE","TRUE")</f>
        <v>TRUE</v>
      </c>
      <c r="K1009" s="10" t="b">
        <f>Github!M$562</f>
        <v>0</v>
      </c>
      <c r="L1009" s="10" t="b">
        <f>Github!N$562</f>
        <v>0</v>
      </c>
      <c r="M1009" s="10" t="str">
        <f>ROUND(Github!O$562, 2)&amp;"%"</f>
        <v>75.38%</v>
      </c>
      <c r="N1009" s="10">
        <f>Github!P$562</f>
        <v>316430</v>
      </c>
      <c r="O1009" s="10">
        <f>Github!Q$562</f>
        <v>419781</v>
      </c>
    </row>
    <row r="1010">
      <c r="A1010" s="10">
        <f>Github!J$248</f>
        <v>247</v>
      </c>
      <c r="B1010" s="11" t="str">
        <f>HYPERLINK(CONCAT("http://leetcode.com/problems/",Github!C$248), Github!B$248)</f>
        <v>Strobogrammatic Number II</v>
      </c>
      <c r="C1010" s="10">
        <f>Github!F$248</f>
        <v>730</v>
      </c>
      <c r="D1010" s="10">
        <f>Github!G$248</f>
        <v>187</v>
      </c>
      <c r="E1010" s="10">
        <f>Github!F$248+Github!G$248</f>
        <v>917</v>
      </c>
      <c r="F1010" s="12">
        <f t="shared" si="1"/>
        <v>3.9</v>
      </c>
      <c r="G1010" s="10" t="str">
        <f>Github!H$248</f>
        <v>Algorithms</v>
      </c>
      <c r="H1010" s="13" t="str">
        <f>SUBSTITUTE(Github!L$248, ";", ", ")</f>
        <v>Array, String, Recursion, </v>
      </c>
      <c r="I1010" s="10" t="str">
        <f>Github!E$248</f>
        <v>Medium</v>
      </c>
      <c r="J1010" s="10" t="str">
        <f>IF(TRIM(Github!D$248)="TRUE","FALSE","TRUE")</f>
        <v>FALSE</v>
      </c>
      <c r="K1010" s="10" t="b">
        <f>Github!M$248</f>
        <v>1</v>
      </c>
      <c r="L1010" s="10" t="b">
        <f>Github!N$248</f>
        <v>0</v>
      </c>
      <c r="M1010" s="10" t="str">
        <f>ROUND(Github!O$248, 2)&amp;"%"</f>
        <v>50.59%</v>
      </c>
      <c r="N1010" s="10">
        <f>Github!P$248</f>
        <v>114132</v>
      </c>
      <c r="O1010" s="10">
        <f>Github!Q$248</f>
        <v>225586</v>
      </c>
    </row>
    <row r="1011">
      <c r="A1011" s="10">
        <f>Github!J$920</f>
        <v>919</v>
      </c>
      <c r="B1011" s="11" t="str">
        <f>HYPERLINK(CONCAT("http://leetcode.com/problems/",Github!C$920), Github!B$920)</f>
        <v>Complete Binary Tree Inserter</v>
      </c>
      <c r="C1011" s="10">
        <f>Github!F$920</f>
        <v>728</v>
      </c>
      <c r="D1011" s="10">
        <f>Github!G$920</f>
        <v>82</v>
      </c>
      <c r="E1011" s="10">
        <f>Github!F$920+Github!G$920</f>
        <v>810</v>
      </c>
      <c r="F1011" s="12">
        <f t="shared" si="1"/>
        <v>8.88</v>
      </c>
      <c r="G1011" s="10" t="str">
        <f>Github!H$920</f>
        <v>Algorithms</v>
      </c>
      <c r="H1011" s="13" t="str">
        <f>SUBSTITUTE(Github!L$920, ";", ", ")</f>
        <v>Tree, Breadth-First Search, Design, Binary Tree, </v>
      </c>
      <c r="I1011" s="10" t="str">
        <f>Github!E$920</f>
        <v>Medium</v>
      </c>
      <c r="J1011" s="10" t="str">
        <f>IF(TRIM(Github!D$920)="TRUE","FALSE","TRUE")</f>
        <v>TRUE</v>
      </c>
      <c r="K1011" s="10" t="b">
        <f>Github!M$920</f>
        <v>1</v>
      </c>
      <c r="L1011" s="10" t="b">
        <f>Github!N$920</f>
        <v>0</v>
      </c>
      <c r="M1011" s="10" t="str">
        <f>ROUND(Github!O$920, 2)&amp;"%"</f>
        <v>63.71%</v>
      </c>
      <c r="N1011" s="10">
        <f>Github!P$920</f>
        <v>37168</v>
      </c>
      <c r="O1011" s="10">
        <f>Github!Q$920</f>
        <v>58343</v>
      </c>
    </row>
    <row r="1012">
      <c r="A1012" s="10">
        <f>Github!J$1977</f>
        <v>1976</v>
      </c>
      <c r="B1012" s="11" t="str">
        <f>HYPERLINK(CONCAT("http://leetcode.com/problems/",Github!C$1977), Github!B$1977)</f>
        <v>Number of Ways to Arrive at Destination</v>
      </c>
      <c r="C1012" s="10">
        <f>Github!F$1977</f>
        <v>728</v>
      </c>
      <c r="D1012" s="10">
        <f>Github!G$1977</f>
        <v>22</v>
      </c>
      <c r="E1012" s="10">
        <f>Github!F$1977+Github!G$1977</f>
        <v>750</v>
      </c>
      <c r="F1012" s="12">
        <f t="shared" si="1"/>
        <v>33.09</v>
      </c>
      <c r="G1012" s="10" t="str">
        <f>Github!H$1977</f>
        <v>Algorithms</v>
      </c>
      <c r="H1012" s="13" t="str">
        <f>SUBSTITUTE(Github!L$1977, ";", ", ")</f>
        <v>Dynamic Programming, Graph, Topological Sort, Shortest Path, </v>
      </c>
      <c r="I1012" s="10" t="str">
        <f>Github!E$1977</f>
        <v>Medium</v>
      </c>
      <c r="J1012" s="10" t="str">
        <f>IF(TRIM(Github!D$1977)="TRUE","FALSE","TRUE")</f>
        <v>TRUE</v>
      </c>
      <c r="K1012" s="10" t="b">
        <f>Github!M$1977</f>
        <v>0</v>
      </c>
      <c r="L1012" s="10" t="b">
        <f>Github!N$1977</f>
        <v>0</v>
      </c>
      <c r="M1012" s="10" t="str">
        <f>ROUND(Github!O$1977, 2)&amp;"%"</f>
        <v>32.51%</v>
      </c>
      <c r="N1012" s="10">
        <f>Github!P$1977</f>
        <v>12333</v>
      </c>
      <c r="O1012" s="10">
        <f>Github!Q$1977</f>
        <v>37941</v>
      </c>
    </row>
    <row r="1013">
      <c r="A1013" s="10">
        <f>Github!J$1571</f>
        <v>1570</v>
      </c>
      <c r="B1013" s="11" t="str">
        <f>HYPERLINK(CONCAT("http://leetcode.com/problems/",Github!C$1571), Github!B$1571)</f>
        <v>Dot Product of Two Sparse Vectors</v>
      </c>
      <c r="C1013" s="10">
        <f>Github!F$1571</f>
        <v>727</v>
      </c>
      <c r="D1013" s="10">
        <f>Github!G$1571</f>
        <v>94</v>
      </c>
      <c r="E1013" s="10">
        <f>Github!F$1571+Github!G$1571</f>
        <v>821</v>
      </c>
      <c r="F1013" s="12">
        <f t="shared" si="1"/>
        <v>7.73</v>
      </c>
      <c r="G1013" s="10" t="str">
        <f>Github!H$1571</f>
        <v>Algorithms</v>
      </c>
      <c r="H1013" s="13" t="str">
        <f>SUBSTITUTE(Github!L$1571, ";", ", ")</f>
        <v>Array, Hash Table, Two Pointers, Design, </v>
      </c>
      <c r="I1013" s="10" t="str">
        <f>Github!E$1571</f>
        <v>Medium</v>
      </c>
      <c r="J1013" s="10" t="str">
        <f>IF(TRIM(Github!D$1571)="TRUE","FALSE","TRUE")</f>
        <v>FALSE</v>
      </c>
      <c r="K1013" s="10" t="b">
        <f>Github!M$1571</f>
        <v>1</v>
      </c>
      <c r="L1013" s="10" t="b">
        <f>Github!N$1571</f>
        <v>0</v>
      </c>
      <c r="M1013" s="10" t="str">
        <f>ROUND(Github!O$1571, 2)&amp;"%"</f>
        <v>90.5%</v>
      </c>
      <c r="N1013" s="10">
        <f>Github!P$1571</f>
        <v>128027</v>
      </c>
      <c r="O1013" s="10">
        <f>Github!Q$1571</f>
        <v>141459</v>
      </c>
    </row>
    <row r="1014">
      <c r="A1014" s="10">
        <f>Github!J$1701</f>
        <v>1700</v>
      </c>
      <c r="B1014" s="11" t="str">
        <f>HYPERLINK(CONCAT("http://leetcode.com/problems/",Github!C$1701), Github!B$1701)</f>
        <v>Number of Students Unable to Eat Lunch</v>
      </c>
      <c r="C1014" s="10">
        <f>Github!F$1701</f>
        <v>725</v>
      </c>
      <c r="D1014" s="10">
        <f>Github!G$1701</f>
        <v>37</v>
      </c>
      <c r="E1014" s="10">
        <f>Github!F$1701+Github!G$1701</f>
        <v>762</v>
      </c>
      <c r="F1014" s="12">
        <f t="shared" si="1"/>
        <v>19.59</v>
      </c>
      <c r="G1014" s="10" t="str">
        <f>Github!H$1701</f>
        <v>Algorithms</v>
      </c>
      <c r="H1014" s="13" t="str">
        <f>SUBSTITUTE(Github!L$1701, ";", ", ")</f>
        <v>Array, Stack, Queue, Simulation, </v>
      </c>
      <c r="I1014" s="10" t="str">
        <f>Github!E$1701</f>
        <v>Easy</v>
      </c>
      <c r="J1014" s="10" t="str">
        <f>IF(TRIM(Github!D$1701)="TRUE","FALSE","TRUE")</f>
        <v>TRUE</v>
      </c>
      <c r="K1014" s="10" t="b">
        <f>Github!M$1701</f>
        <v>0</v>
      </c>
      <c r="L1014" s="10" t="b">
        <f>Github!N$1701</f>
        <v>0</v>
      </c>
      <c r="M1014" s="10" t="str">
        <f>ROUND(Github!O$1701, 2)&amp;"%"</f>
        <v>67.9%</v>
      </c>
      <c r="N1014" s="10">
        <f>Github!P$1701</f>
        <v>35272</v>
      </c>
      <c r="O1014" s="10">
        <f>Github!Q$1701</f>
        <v>51949</v>
      </c>
    </row>
    <row r="1015">
      <c r="A1015" s="10">
        <f>Github!J$224</f>
        <v>223</v>
      </c>
      <c r="B1015" s="11" t="str">
        <f>HYPERLINK(CONCAT("http://leetcode.com/problems/",Github!C$224), Github!B$224)</f>
        <v>Rectangle Area</v>
      </c>
      <c r="C1015" s="10">
        <f>Github!F$224</f>
        <v>723</v>
      </c>
      <c r="D1015" s="10">
        <f>Github!G$224</f>
        <v>997</v>
      </c>
      <c r="E1015" s="10">
        <f>Github!F$224+Github!G$224</f>
        <v>1720</v>
      </c>
      <c r="F1015" s="12">
        <f t="shared" si="1"/>
        <v>0.73</v>
      </c>
      <c r="G1015" s="10" t="str">
        <f>Github!H$224</f>
        <v>Algorithms</v>
      </c>
      <c r="H1015" s="13" t="str">
        <f>SUBSTITUTE(Github!L$224, ";", ", ")</f>
        <v>Math, Geometry, </v>
      </c>
      <c r="I1015" s="10" t="str">
        <f>Github!E$224</f>
        <v>Medium</v>
      </c>
      <c r="J1015" s="10" t="str">
        <f>IF(TRIM(Github!D$224)="TRUE","FALSE","TRUE")</f>
        <v>TRUE</v>
      </c>
      <c r="K1015" s="10" t="b">
        <f>Github!M$224</f>
        <v>0</v>
      </c>
      <c r="L1015" s="10" t="b">
        <f>Github!N$224</f>
        <v>0</v>
      </c>
      <c r="M1015" s="10" t="str">
        <f>ROUND(Github!O$224, 2)&amp;"%"</f>
        <v>39.91%</v>
      </c>
      <c r="N1015" s="10">
        <f>Github!P$224</f>
        <v>133802</v>
      </c>
      <c r="O1015" s="10">
        <f>Github!Q$224</f>
        <v>335272</v>
      </c>
    </row>
    <row r="1016">
      <c r="A1016" s="10">
        <f>Github!J$1713</f>
        <v>1712</v>
      </c>
      <c r="B1016" s="11" t="str">
        <f>HYPERLINK(CONCAT("http://leetcode.com/problems/",Github!C$1713), Github!B$1713)</f>
        <v>Ways to Split Array Into Three Subarrays</v>
      </c>
      <c r="C1016" s="10">
        <f>Github!F$1713</f>
        <v>724</v>
      </c>
      <c r="D1016" s="10">
        <f>Github!G$1713</f>
        <v>68</v>
      </c>
      <c r="E1016" s="10">
        <f>Github!F$1713+Github!G$1713</f>
        <v>792</v>
      </c>
      <c r="F1016" s="12">
        <f t="shared" si="1"/>
        <v>10.65</v>
      </c>
      <c r="G1016" s="10" t="str">
        <f>Github!H$1713</f>
        <v>Algorithms</v>
      </c>
      <c r="H1016" s="13" t="str">
        <f>SUBSTITUTE(Github!L$1713, ";", ", ")</f>
        <v>Array, Two Pointers, Binary Search, Prefix Sum, </v>
      </c>
      <c r="I1016" s="10" t="str">
        <f>Github!E$1713</f>
        <v>Medium</v>
      </c>
      <c r="J1016" s="10" t="str">
        <f>IF(TRIM(Github!D$1713)="TRUE","FALSE","TRUE")</f>
        <v>TRUE</v>
      </c>
      <c r="K1016" s="10" t="b">
        <f>Github!M$1713</f>
        <v>0</v>
      </c>
      <c r="L1016" s="10" t="b">
        <f>Github!N$1713</f>
        <v>0</v>
      </c>
      <c r="M1016" s="10" t="str">
        <f>ROUND(Github!O$1713, 2)&amp;"%"</f>
        <v>30.8%</v>
      </c>
      <c r="N1016" s="10">
        <f>Github!P$1713</f>
        <v>17712</v>
      </c>
      <c r="O1016" s="10">
        <f>Github!Q$1713</f>
        <v>57500</v>
      </c>
    </row>
    <row r="1017">
      <c r="A1017" s="10">
        <f>Github!J$1733</f>
        <v>1732</v>
      </c>
      <c r="B1017" s="11" t="str">
        <f>HYPERLINK(CONCAT("http://leetcode.com/problems/",Github!C$1733), Github!B$1733)</f>
        <v>Find the Highest Altitude</v>
      </c>
      <c r="C1017" s="10">
        <f>Github!F$1733</f>
        <v>724</v>
      </c>
      <c r="D1017" s="10">
        <f>Github!G$1733</f>
        <v>73</v>
      </c>
      <c r="E1017" s="10">
        <f>Github!F$1733+Github!G$1733</f>
        <v>797</v>
      </c>
      <c r="F1017" s="12">
        <f t="shared" si="1"/>
        <v>9.92</v>
      </c>
      <c r="G1017" s="10" t="str">
        <f>Github!H$1733</f>
        <v>Algorithms</v>
      </c>
      <c r="H1017" s="13" t="str">
        <f>SUBSTITUTE(Github!L$1733, ";", ", ")</f>
        <v>Array, Prefix Sum, </v>
      </c>
      <c r="I1017" s="10" t="str">
        <f>Github!E$1733</f>
        <v>Easy</v>
      </c>
      <c r="J1017" s="10" t="str">
        <f>IF(TRIM(Github!D$1733)="TRUE","FALSE","TRUE")</f>
        <v>TRUE</v>
      </c>
      <c r="K1017" s="10" t="b">
        <f>Github!M$1733</f>
        <v>0</v>
      </c>
      <c r="L1017" s="10" t="b">
        <f>Github!N$1733</f>
        <v>0</v>
      </c>
      <c r="M1017" s="10" t="str">
        <f>ROUND(Github!O$1733, 2)&amp;"%"</f>
        <v>78.93%</v>
      </c>
      <c r="N1017" s="10">
        <f>Github!P$1733</f>
        <v>66314</v>
      </c>
      <c r="O1017" s="10">
        <f>Github!Q$1733</f>
        <v>84014</v>
      </c>
    </row>
    <row r="1018">
      <c r="A1018" s="10">
        <f>Github!J$787</f>
        <v>786</v>
      </c>
      <c r="B1018" s="11" t="str">
        <f>HYPERLINK(CONCAT("http://leetcode.com/problems/",Github!C$787), Github!B$787)</f>
        <v>K-th Smallest Prime Fraction</v>
      </c>
      <c r="C1018" s="10">
        <f>Github!F$787</f>
        <v>721</v>
      </c>
      <c r="D1018" s="10">
        <f>Github!G$787</f>
        <v>36</v>
      </c>
      <c r="E1018" s="10">
        <f>Github!F$787+Github!G$787</f>
        <v>757</v>
      </c>
      <c r="F1018" s="12">
        <f t="shared" si="1"/>
        <v>20.03</v>
      </c>
      <c r="G1018" s="10" t="str">
        <f>Github!H$787</f>
        <v>Algorithms</v>
      </c>
      <c r="H1018" s="13" t="str">
        <f>SUBSTITUTE(Github!L$787, ";", ", ")</f>
        <v>Array, Binary Search, Heap (Priority Queue), </v>
      </c>
      <c r="I1018" s="10" t="str">
        <f>Github!E$787</f>
        <v>Hard</v>
      </c>
      <c r="J1018" s="10" t="str">
        <f>IF(TRIM(Github!D$787)="TRUE","FALSE","TRUE")</f>
        <v>TRUE</v>
      </c>
      <c r="K1018" s="10" t="b">
        <f>Github!M$787</f>
        <v>1</v>
      </c>
      <c r="L1018" s="10" t="b">
        <f>Github!N$787</f>
        <v>0</v>
      </c>
      <c r="M1018" s="10" t="str">
        <f>ROUND(Github!O$787, 2)&amp;"%"</f>
        <v>48.08%</v>
      </c>
      <c r="N1018" s="10">
        <f>Github!P$787</f>
        <v>25237</v>
      </c>
      <c r="O1018" s="10">
        <f>Github!Q$787</f>
        <v>52487</v>
      </c>
    </row>
    <row r="1019">
      <c r="A1019" s="10">
        <f>Github!J$934</f>
        <v>933</v>
      </c>
      <c r="B1019" s="11" t="str">
        <f>HYPERLINK(CONCAT("http://leetcode.com/problems/",Github!C$934), Github!B$934)</f>
        <v>Number of Recent Calls</v>
      </c>
      <c r="C1019" s="10">
        <f>Github!F$934</f>
        <v>722</v>
      </c>
      <c r="D1019" s="10">
        <f>Github!G$934</f>
        <v>2409</v>
      </c>
      <c r="E1019" s="10">
        <f>Github!F$934+Github!G$934</f>
        <v>3131</v>
      </c>
      <c r="F1019" s="12">
        <f t="shared" si="1"/>
        <v>0.3</v>
      </c>
      <c r="G1019" s="10" t="str">
        <f>Github!H$934</f>
        <v>Algorithms</v>
      </c>
      <c r="H1019" s="13" t="str">
        <f>SUBSTITUTE(Github!L$934, ";", ", ")</f>
        <v>Design, Queue, Data Stream, </v>
      </c>
      <c r="I1019" s="10" t="str">
        <f>Github!E$934</f>
        <v>Easy</v>
      </c>
      <c r="J1019" s="10" t="str">
        <f>IF(TRIM(Github!D$934)="TRUE","FALSE","TRUE")</f>
        <v>TRUE</v>
      </c>
      <c r="K1019" s="10" t="b">
        <f>Github!M$934</f>
        <v>1</v>
      </c>
      <c r="L1019" s="10" t="b">
        <f>Github!N$934</f>
        <v>0</v>
      </c>
      <c r="M1019" s="10" t="str">
        <f>ROUND(Github!O$934, 2)&amp;"%"</f>
        <v>73.09%</v>
      </c>
      <c r="N1019" s="10">
        <f>Github!P$934</f>
        <v>118279</v>
      </c>
      <c r="O1019" s="10">
        <f>Github!Q$934</f>
        <v>161824</v>
      </c>
    </row>
    <row r="1020">
      <c r="A1020" s="10">
        <f>Github!J$1235</f>
        <v>1234</v>
      </c>
      <c r="B1020" s="11" t="str">
        <f>HYPERLINK(CONCAT("http://leetcode.com/problems/",Github!C$1235), Github!B$1235)</f>
        <v>Replace the Substring for Balanced String</v>
      </c>
      <c r="C1020" s="10">
        <f>Github!F$1235</f>
        <v>720</v>
      </c>
      <c r="D1020" s="10">
        <f>Github!G$1235</f>
        <v>150</v>
      </c>
      <c r="E1020" s="10">
        <f>Github!F$1235+Github!G$1235</f>
        <v>870</v>
      </c>
      <c r="F1020" s="12">
        <f t="shared" si="1"/>
        <v>4.8</v>
      </c>
      <c r="G1020" s="10" t="str">
        <f>Github!H$1235</f>
        <v>Algorithms</v>
      </c>
      <c r="H1020" s="13" t="str">
        <f>SUBSTITUTE(Github!L$1235, ";", ", ")</f>
        <v>String, Sliding Window, </v>
      </c>
      <c r="I1020" s="10" t="str">
        <f>Github!E$1235</f>
        <v>Medium</v>
      </c>
      <c r="J1020" s="10" t="str">
        <f>IF(TRIM(Github!D$1235)="TRUE","FALSE","TRUE")</f>
        <v>TRUE</v>
      </c>
      <c r="K1020" s="10" t="b">
        <f>Github!M$1235</f>
        <v>0</v>
      </c>
      <c r="L1020" s="10" t="b">
        <f>Github!N$1235</f>
        <v>0</v>
      </c>
      <c r="M1020" s="10" t="str">
        <f>ROUND(Github!O$1235, 2)&amp;"%"</f>
        <v>36.1%</v>
      </c>
      <c r="N1020" s="10">
        <f>Github!P$1235</f>
        <v>21880</v>
      </c>
      <c r="O1020" s="10">
        <f>Github!Q$1235</f>
        <v>60609</v>
      </c>
    </row>
    <row r="1021">
      <c r="A1021" s="10">
        <f>Github!J$1663</f>
        <v>1662</v>
      </c>
      <c r="B1021" s="11" t="str">
        <f>HYPERLINK(CONCAT("http://leetcode.com/problems/",Github!C$1663), Github!B$1663)</f>
        <v>Check If Two String Arrays are Equivalent</v>
      </c>
      <c r="C1021" s="10">
        <f>Github!F$1663</f>
        <v>720</v>
      </c>
      <c r="D1021" s="10">
        <f>Github!G$1663</f>
        <v>107</v>
      </c>
      <c r="E1021" s="10">
        <f>Github!F$1663+Github!G$1663</f>
        <v>827</v>
      </c>
      <c r="F1021" s="12">
        <f t="shared" si="1"/>
        <v>6.73</v>
      </c>
      <c r="G1021" s="10" t="str">
        <f>Github!H$1663</f>
        <v>Algorithms</v>
      </c>
      <c r="H1021" s="13" t="str">
        <f>SUBSTITUTE(Github!L$1663, ";", ", ")</f>
        <v>Array, String, </v>
      </c>
      <c r="I1021" s="10" t="str">
        <f>Github!E$1663</f>
        <v>Easy</v>
      </c>
      <c r="J1021" s="10" t="str">
        <f>IF(TRIM(Github!D$1663)="TRUE","FALSE","TRUE")</f>
        <v>TRUE</v>
      </c>
      <c r="K1021" s="10" t="b">
        <f>Github!M$1663</f>
        <v>0</v>
      </c>
      <c r="L1021" s="10" t="b">
        <f>Github!N$1663</f>
        <v>0</v>
      </c>
      <c r="M1021" s="10" t="str">
        <f>ROUND(Github!O$1663, 2)&amp;"%"</f>
        <v>81.97%</v>
      </c>
      <c r="N1021" s="10">
        <f>Github!P$1663</f>
        <v>133918</v>
      </c>
      <c r="O1021" s="10">
        <f>Github!Q$1663</f>
        <v>163384</v>
      </c>
    </row>
    <row r="1022">
      <c r="A1022" s="10">
        <f>Github!J$684</f>
        <v>683</v>
      </c>
      <c r="B1022" s="11" t="str">
        <f>HYPERLINK(CONCAT("http://leetcode.com/problems/",Github!C$684), Github!B$684)</f>
        <v>K Empty Slots</v>
      </c>
      <c r="C1022" s="10">
        <f>Github!F$684</f>
        <v>720</v>
      </c>
      <c r="D1022" s="10">
        <f>Github!G$684</f>
        <v>646</v>
      </c>
      <c r="E1022" s="10">
        <f>Github!F$684+Github!G$684</f>
        <v>1366</v>
      </c>
      <c r="F1022" s="12">
        <f t="shared" si="1"/>
        <v>1.11</v>
      </c>
      <c r="G1022" s="10" t="str">
        <f>Github!H$684</f>
        <v>Algorithms</v>
      </c>
      <c r="H1022" s="13" t="str">
        <f>SUBSTITUTE(Github!L$684, ";", ", ")</f>
        <v>Array, Binary Indexed Tree, Sliding Window, Ordered Set, </v>
      </c>
      <c r="I1022" s="10" t="str">
        <f>Github!E$684</f>
        <v>Hard</v>
      </c>
      <c r="J1022" s="10" t="str">
        <f>IF(TRIM(Github!D$684)="TRUE","FALSE","TRUE")</f>
        <v>FALSE</v>
      </c>
      <c r="K1022" s="10" t="b">
        <f>Github!M$684</f>
        <v>0</v>
      </c>
      <c r="L1022" s="10" t="b">
        <f>Github!N$684</f>
        <v>0</v>
      </c>
      <c r="M1022" s="10" t="str">
        <f>ROUND(Github!O$684, 2)&amp;"%"</f>
        <v>36.73%</v>
      </c>
      <c r="N1022" s="10">
        <f>Github!P$684</f>
        <v>55620</v>
      </c>
      <c r="O1022" s="10">
        <f>Github!Q$684</f>
        <v>151411</v>
      </c>
    </row>
    <row r="1023">
      <c r="A1023" s="10">
        <f>Github!J$1525</f>
        <v>1524</v>
      </c>
      <c r="B1023" s="11" t="str">
        <f>HYPERLINK(CONCAT("http://leetcode.com/problems/",Github!C$1525), Github!B$1525)</f>
        <v>Number of Sub-arrays With Odd Sum</v>
      </c>
      <c r="C1023" s="10">
        <f>Github!F$1525</f>
        <v>718</v>
      </c>
      <c r="D1023" s="10">
        <f>Github!G$1525</f>
        <v>29</v>
      </c>
      <c r="E1023" s="10">
        <f>Github!F$1525+Github!G$1525</f>
        <v>747</v>
      </c>
      <c r="F1023" s="12">
        <f t="shared" si="1"/>
        <v>24.76</v>
      </c>
      <c r="G1023" s="10" t="str">
        <f>Github!H$1525</f>
        <v>Algorithms</v>
      </c>
      <c r="H1023" s="13" t="str">
        <f>SUBSTITUTE(Github!L$1525, ";", ", ")</f>
        <v>Array, Math, Dynamic Programming, Prefix Sum, </v>
      </c>
      <c r="I1023" s="10" t="str">
        <f>Github!E$1525</f>
        <v>Medium</v>
      </c>
      <c r="J1023" s="10" t="str">
        <f>IF(TRIM(Github!D$1525)="TRUE","FALSE","TRUE")</f>
        <v>TRUE</v>
      </c>
      <c r="K1023" s="10" t="b">
        <f>Github!M$1525</f>
        <v>0</v>
      </c>
      <c r="L1023" s="10" t="b">
        <f>Github!N$1525</f>
        <v>0</v>
      </c>
      <c r="M1023" s="10" t="str">
        <f>ROUND(Github!O$1525, 2)&amp;"%"</f>
        <v>43.6%</v>
      </c>
      <c r="N1023" s="10">
        <f>Github!P$1525</f>
        <v>21813</v>
      </c>
      <c r="O1023" s="10">
        <f>Github!Q$1525</f>
        <v>50030</v>
      </c>
    </row>
    <row r="1024">
      <c r="A1024" s="10">
        <f>Github!J$1857</f>
        <v>1856</v>
      </c>
      <c r="B1024" s="11" t="str">
        <f>HYPERLINK(CONCAT("http://leetcode.com/problems/",Github!C$1857), Github!B$1857)</f>
        <v>Maximum Subarray Min-Product</v>
      </c>
      <c r="C1024" s="10">
        <f>Github!F$1857</f>
        <v>719</v>
      </c>
      <c r="D1024" s="10">
        <f>Github!G$1857</f>
        <v>41</v>
      </c>
      <c r="E1024" s="10">
        <f>Github!F$1857+Github!G$1857</f>
        <v>760</v>
      </c>
      <c r="F1024" s="12">
        <f t="shared" si="1"/>
        <v>17.54</v>
      </c>
      <c r="G1024" s="10" t="str">
        <f>Github!H$1857</f>
        <v>Algorithms</v>
      </c>
      <c r="H1024" s="13" t="str">
        <f>SUBSTITUTE(Github!L$1857, ";", ", ")</f>
        <v>Array, Stack, Monotonic Stack, Prefix Sum, </v>
      </c>
      <c r="I1024" s="10" t="str">
        <f>Github!E$1857</f>
        <v>Medium</v>
      </c>
      <c r="J1024" s="10" t="str">
        <f>IF(TRIM(Github!D$1857)="TRUE","FALSE","TRUE")</f>
        <v>TRUE</v>
      </c>
      <c r="K1024" s="10" t="b">
        <f>Github!M$1857</f>
        <v>0</v>
      </c>
      <c r="L1024" s="10" t="b">
        <f>Github!N$1857</f>
        <v>0</v>
      </c>
      <c r="M1024" s="10" t="str">
        <f>ROUND(Github!O$1857, 2)&amp;"%"</f>
        <v>35.25%</v>
      </c>
      <c r="N1024" s="10">
        <f>Github!P$1857</f>
        <v>11205</v>
      </c>
      <c r="O1024" s="10">
        <f>Github!Q$1857</f>
        <v>31791</v>
      </c>
    </row>
    <row r="1025">
      <c r="A1025" s="10">
        <f>Github!J$1202</f>
        <v>1201</v>
      </c>
      <c r="B1025" s="11" t="str">
        <f>HYPERLINK(CONCAT("http://leetcode.com/problems/",Github!C$1202), Github!B$1202)</f>
        <v>Ugly Number III</v>
      </c>
      <c r="C1025" s="10">
        <f>Github!F$1202</f>
        <v>716</v>
      </c>
      <c r="D1025" s="10">
        <f>Github!G$1202</f>
        <v>384</v>
      </c>
      <c r="E1025" s="10">
        <f>Github!F$1202+Github!G$1202</f>
        <v>1100</v>
      </c>
      <c r="F1025" s="12">
        <f t="shared" si="1"/>
        <v>1.86</v>
      </c>
      <c r="G1025" s="10" t="str">
        <f>Github!H$1202</f>
        <v>Algorithms</v>
      </c>
      <c r="H1025" s="13" t="str">
        <f>SUBSTITUTE(Github!L$1202, ";", ", ")</f>
        <v>Math, Binary Search, Number Theory, </v>
      </c>
      <c r="I1025" s="10" t="str">
        <f>Github!E$1202</f>
        <v>Medium</v>
      </c>
      <c r="J1025" s="10" t="str">
        <f>IF(TRIM(Github!D$1202)="TRUE","FALSE","TRUE")</f>
        <v>TRUE</v>
      </c>
      <c r="K1025" s="10" t="b">
        <f>Github!M$1202</f>
        <v>0</v>
      </c>
      <c r="L1025" s="10" t="b">
        <f>Github!N$1202</f>
        <v>0</v>
      </c>
      <c r="M1025" s="10" t="str">
        <f>ROUND(Github!O$1202, 2)&amp;"%"</f>
        <v>27.69%</v>
      </c>
      <c r="N1025" s="10">
        <f>Github!P$1202</f>
        <v>18717</v>
      </c>
      <c r="O1025" s="10">
        <f>Github!Q$1202</f>
        <v>67605</v>
      </c>
    </row>
    <row r="1026">
      <c r="A1026" s="10">
        <f>Github!J$359</f>
        <v>358</v>
      </c>
      <c r="B1026" s="11" t="str">
        <f>HYPERLINK(CONCAT("http://leetcode.com/problems/",Github!C$359), Github!B$359)</f>
        <v>Rearrange String k Distance Apart</v>
      </c>
      <c r="C1026" s="10">
        <f>Github!F$359</f>
        <v>713</v>
      </c>
      <c r="D1026" s="10">
        <f>Github!G$359</f>
        <v>31</v>
      </c>
      <c r="E1026" s="10">
        <f>Github!F$359+Github!G$359</f>
        <v>744</v>
      </c>
      <c r="F1026" s="12">
        <f t="shared" si="1"/>
        <v>23</v>
      </c>
      <c r="G1026" s="10" t="str">
        <f>Github!H$359</f>
        <v>Algorithms</v>
      </c>
      <c r="H1026" s="13" t="str">
        <f>SUBSTITUTE(Github!L$359, ";", ", ")</f>
        <v>Hash Table, String, Greedy, Sorting, Heap (Priority Queue), Counting, </v>
      </c>
      <c r="I1026" s="10" t="str">
        <f>Github!E$359</f>
        <v>Hard</v>
      </c>
      <c r="J1026" s="10" t="str">
        <f>IF(TRIM(Github!D$359)="TRUE","FALSE","TRUE")</f>
        <v>FALSE</v>
      </c>
      <c r="K1026" s="10" t="b">
        <f>Github!M$359</f>
        <v>0</v>
      </c>
      <c r="L1026" s="10" t="b">
        <f>Github!N$359</f>
        <v>0</v>
      </c>
      <c r="M1026" s="10" t="str">
        <f>ROUND(Github!O$359, 2)&amp;"%"</f>
        <v>36.81%</v>
      </c>
      <c r="N1026" s="10">
        <f>Github!P$359</f>
        <v>50369</v>
      </c>
      <c r="O1026" s="10">
        <f>Github!Q$359</f>
        <v>136820</v>
      </c>
    </row>
    <row r="1027">
      <c r="A1027" s="10">
        <f>Github!J$1290</f>
        <v>1289</v>
      </c>
      <c r="B1027" s="11" t="str">
        <f>HYPERLINK(CONCAT("http://leetcode.com/problems/",Github!C$1290), Github!B$1290)</f>
        <v>Minimum Falling Path Sum II</v>
      </c>
      <c r="C1027" s="10">
        <f>Github!F$1290</f>
        <v>712</v>
      </c>
      <c r="D1027" s="10">
        <f>Github!G$1290</f>
        <v>62</v>
      </c>
      <c r="E1027" s="10">
        <f>Github!F$1290+Github!G$1290</f>
        <v>774</v>
      </c>
      <c r="F1027" s="12">
        <f t="shared" si="1"/>
        <v>11.48</v>
      </c>
      <c r="G1027" s="10" t="str">
        <f>Github!H$1290</f>
        <v>Algorithms</v>
      </c>
      <c r="H1027" s="13" t="str">
        <f>SUBSTITUTE(Github!L$1290, ";", ", ")</f>
        <v>Array, Dynamic Programming, Matrix, </v>
      </c>
      <c r="I1027" s="10" t="str">
        <f>Github!E$1290</f>
        <v>Hard</v>
      </c>
      <c r="J1027" s="10" t="str">
        <f>IF(TRIM(Github!D$1290)="TRUE","FALSE","TRUE")</f>
        <v>TRUE</v>
      </c>
      <c r="K1027" s="10" t="b">
        <f>Github!M$1290</f>
        <v>0</v>
      </c>
      <c r="L1027" s="10" t="b">
        <f>Github!N$1290</f>
        <v>0</v>
      </c>
      <c r="M1027" s="10" t="str">
        <f>ROUND(Github!O$1290, 2)&amp;"%"</f>
        <v>61.52%</v>
      </c>
      <c r="N1027" s="10">
        <f>Github!P$1290</f>
        <v>26362</v>
      </c>
      <c r="O1027" s="10">
        <f>Github!Q$1290</f>
        <v>42850</v>
      </c>
    </row>
    <row r="1028">
      <c r="A1028" s="10">
        <f>Github!J$366</f>
        <v>365</v>
      </c>
      <c r="B1028" s="11" t="str">
        <f>HYPERLINK(CONCAT("http://leetcode.com/problems/",Github!C$366), Github!B$366)</f>
        <v>Water and Jug Problem</v>
      </c>
      <c r="C1028" s="10">
        <f>Github!F$366</f>
        <v>712</v>
      </c>
      <c r="D1028" s="10">
        <f>Github!G$366</f>
        <v>1071</v>
      </c>
      <c r="E1028" s="10">
        <f>Github!F$366+Github!G$366</f>
        <v>1783</v>
      </c>
      <c r="F1028" s="12">
        <f t="shared" si="1"/>
        <v>0.66</v>
      </c>
      <c r="G1028" s="10" t="str">
        <f>Github!H$366</f>
        <v>Algorithms</v>
      </c>
      <c r="H1028" s="13" t="str">
        <f>SUBSTITUTE(Github!L$366, ";", ", ")</f>
        <v>Math, Depth-First Search, Breadth-First Search, </v>
      </c>
      <c r="I1028" s="10" t="str">
        <f>Github!E$366</f>
        <v>Medium</v>
      </c>
      <c r="J1028" s="10" t="str">
        <f>IF(TRIM(Github!D$366)="TRUE","FALSE","TRUE")</f>
        <v>TRUE</v>
      </c>
      <c r="K1028" s="10" t="b">
        <f>Github!M$366</f>
        <v>0</v>
      </c>
      <c r="L1028" s="10" t="b">
        <f>Github!N$366</f>
        <v>0</v>
      </c>
      <c r="M1028" s="10" t="str">
        <f>ROUND(Github!O$366, 2)&amp;"%"</f>
        <v>33.89%</v>
      </c>
      <c r="N1028" s="10">
        <f>Github!P$366</f>
        <v>59201</v>
      </c>
      <c r="O1028" s="10">
        <f>Github!Q$366</f>
        <v>174701</v>
      </c>
    </row>
    <row r="1029">
      <c r="A1029" s="10">
        <f>Github!J$1362</f>
        <v>1361</v>
      </c>
      <c r="B1029" s="11" t="str">
        <f>HYPERLINK(CONCAT("http://leetcode.com/problems/",Github!C$1362), Github!B$1362)</f>
        <v>Validate Binary Tree Nodes</v>
      </c>
      <c r="C1029" s="10">
        <f>Github!F$1362</f>
        <v>711</v>
      </c>
      <c r="D1029" s="10">
        <f>Github!G$1362</f>
        <v>240</v>
      </c>
      <c r="E1029" s="10">
        <f>Github!F$1362+Github!G$1362</f>
        <v>951</v>
      </c>
      <c r="F1029" s="12">
        <f t="shared" si="1"/>
        <v>2.96</v>
      </c>
      <c r="G1029" s="10" t="str">
        <f>Github!H$1362</f>
        <v>Algorithms</v>
      </c>
      <c r="H1029" s="13" t="str">
        <f>SUBSTITUTE(Github!L$1362, ";", ", ")</f>
        <v>Tree, Depth-First Search, Breadth-First Search, Union Find, Graph, Binary Tree, </v>
      </c>
      <c r="I1029" s="10" t="str">
        <f>Github!E$1362</f>
        <v>Medium</v>
      </c>
      <c r="J1029" s="10" t="str">
        <f>IF(TRIM(Github!D$1362)="TRUE","FALSE","TRUE")</f>
        <v>TRUE</v>
      </c>
      <c r="K1029" s="10" t="b">
        <f>Github!M$1362</f>
        <v>0</v>
      </c>
      <c r="L1029" s="10" t="b">
        <f>Github!N$1362</f>
        <v>0</v>
      </c>
      <c r="M1029" s="10" t="str">
        <f>ROUND(Github!O$1362, 2)&amp;"%"</f>
        <v>41.6%</v>
      </c>
      <c r="N1029" s="10">
        <f>Github!P$1362</f>
        <v>33385</v>
      </c>
      <c r="O1029" s="10">
        <f>Github!Q$1362</f>
        <v>80258</v>
      </c>
    </row>
    <row r="1030">
      <c r="A1030" s="10">
        <f>Github!J$1253</f>
        <v>1252</v>
      </c>
      <c r="B1030" s="11" t="str">
        <f>HYPERLINK(CONCAT("http://leetcode.com/problems/",Github!C$1253), Github!B$1253)</f>
        <v>Cells with Odd Values in a Matrix</v>
      </c>
      <c r="C1030" s="10">
        <f>Github!F$1253</f>
        <v>707</v>
      </c>
      <c r="D1030" s="10">
        <f>Github!G$1253</f>
        <v>1061</v>
      </c>
      <c r="E1030" s="10">
        <f>Github!F$1253+Github!G$1253</f>
        <v>1768</v>
      </c>
      <c r="F1030" s="12">
        <f t="shared" si="1"/>
        <v>0.67</v>
      </c>
      <c r="G1030" s="10" t="str">
        <f>Github!H$1253</f>
        <v>Algorithms</v>
      </c>
      <c r="H1030" s="13" t="str">
        <f>SUBSTITUTE(Github!L$1253, ";", ", ")</f>
        <v>Array, Math, Simulation, </v>
      </c>
      <c r="I1030" s="10" t="str">
        <f>Github!E$1253</f>
        <v>Easy</v>
      </c>
      <c r="J1030" s="10" t="str">
        <f>IF(TRIM(Github!D$1253)="TRUE","FALSE","TRUE")</f>
        <v>TRUE</v>
      </c>
      <c r="K1030" s="10" t="b">
        <f>Github!M$1253</f>
        <v>0</v>
      </c>
      <c r="L1030" s="10" t="b">
        <f>Github!N$1253</f>
        <v>0</v>
      </c>
      <c r="M1030" s="10" t="str">
        <f>ROUND(Github!O$1253, 2)&amp;"%"</f>
        <v>78.53%</v>
      </c>
      <c r="N1030" s="10">
        <f>Github!P$1253</f>
        <v>77036</v>
      </c>
      <c r="O1030" s="10">
        <f>Github!Q$1253</f>
        <v>98098</v>
      </c>
    </row>
    <row r="1031">
      <c r="A1031" s="10">
        <f>Github!J$1301</f>
        <v>1300</v>
      </c>
      <c r="B1031" s="11" t="str">
        <f>HYPERLINK(CONCAT("http://leetcode.com/problems/",Github!C$1301), Github!B$1301)</f>
        <v>Sum of Mutated Array Closest to Target</v>
      </c>
      <c r="C1031" s="10">
        <f>Github!F$1301</f>
        <v>706</v>
      </c>
      <c r="D1031" s="10">
        <f>Github!G$1301</f>
        <v>88</v>
      </c>
      <c r="E1031" s="10">
        <f>Github!F$1301+Github!G$1301</f>
        <v>794</v>
      </c>
      <c r="F1031" s="12">
        <f t="shared" si="1"/>
        <v>8.02</v>
      </c>
      <c r="G1031" s="10" t="str">
        <f>Github!H$1301</f>
        <v>Algorithms</v>
      </c>
      <c r="H1031" s="13" t="str">
        <f>SUBSTITUTE(Github!L$1301, ";", ", ")</f>
        <v>Array, Binary Search, Sorting, </v>
      </c>
      <c r="I1031" s="10" t="str">
        <f>Github!E$1301</f>
        <v>Medium</v>
      </c>
      <c r="J1031" s="10" t="str">
        <f>IF(TRIM(Github!D$1301)="TRUE","FALSE","TRUE")</f>
        <v>TRUE</v>
      </c>
      <c r="K1031" s="10" t="b">
        <f>Github!M$1301</f>
        <v>0</v>
      </c>
      <c r="L1031" s="10" t="b">
        <f>Github!N$1301</f>
        <v>0</v>
      </c>
      <c r="M1031" s="10" t="str">
        <f>ROUND(Github!O$1301, 2)&amp;"%"</f>
        <v>42.52%</v>
      </c>
      <c r="N1031" s="10">
        <f>Github!P$1301</f>
        <v>23595</v>
      </c>
      <c r="O1031" s="10">
        <f>Github!Q$1301</f>
        <v>55495</v>
      </c>
    </row>
    <row r="1032">
      <c r="A1032" s="10">
        <f>Github!J$1314</f>
        <v>1313</v>
      </c>
      <c r="B1032" s="11" t="str">
        <f>HYPERLINK(CONCAT("http://leetcode.com/problems/",Github!C$1314), Github!B$1314)</f>
        <v>Decompress Run-Length Encoded List</v>
      </c>
      <c r="C1032" s="10">
        <f>Github!F$1314</f>
        <v>705</v>
      </c>
      <c r="D1032" s="10">
        <f>Github!G$1314</f>
        <v>1045</v>
      </c>
      <c r="E1032" s="10">
        <f>Github!F$1314+Github!G$1314</f>
        <v>1750</v>
      </c>
      <c r="F1032" s="12">
        <f t="shared" si="1"/>
        <v>0.67</v>
      </c>
      <c r="G1032" s="10" t="str">
        <f>Github!H$1314</f>
        <v>Algorithms</v>
      </c>
      <c r="H1032" s="13" t="str">
        <f>SUBSTITUTE(Github!L$1314, ";", ", ")</f>
        <v>Array, </v>
      </c>
      <c r="I1032" s="10" t="str">
        <f>Github!E$1314</f>
        <v>Easy</v>
      </c>
      <c r="J1032" s="10" t="str">
        <f>IF(TRIM(Github!D$1314)="TRUE","FALSE","TRUE")</f>
        <v>TRUE</v>
      </c>
      <c r="K1032" s="10" t="b">
        <f>Github!M$1314</f>
        <v>0</v>
      </c>
      <c r="L1032" s="10" t="b">
        <f>Github!N$1314</f>
        <v>0</v>
      </c>
      <c r="M1032" s="10" t="str">
        <f>ROUND(Github!O$1314, 2)&amp;"%"</f>
        <v>85.82%</v>
      </c>
      <c r="N1032" s="10">
        <f>Github!P$1314</f>
        <v>172971</v>
      </c>
      <c r="O1032" s="10">
        <f>Github!Q$1314</f>
        <v>201554</v>
      </c>
    </row>
    <row r="1033">
      <c r="A1033" s="10">
        <f>Github!J$1329</f>
        <v>1328</v>
      </c>
      <c r="B1033" s="11" t="str">
        <f>HYPERLINK(CONCAT("http://leetcode.com/problems/",Github!C$1329), Github!B$1329)</f>
        <v>Break a Palindrome</v>
      </c>
      <c r="C1033" s="10">
        <f>Github!F$1329</f>
        <v>702</v>
      </c>
      <c r="D1033" s="10">
        <f>Github!G$1329</f>
        <v>429</v>
      </c>
      <c r="E1033" s="10">
        <f>Github!F$1329+Github!G$1329</f>
        <v>1131</v>
      </c>
      <c r="F1033" s="12">
        <f t="shared" si="1"/>
        <v>1.64</v>
      </c>
      <c r="G1033" s="10" t="str">
        <f>Github!H$1329</f>
        <v>Algorithms</v>
      </c>
      <c r="H1033" s="13" t="str">
        <f>SUBSTITUTE(Github!L$1329, ";", ", ")</f>
        <v>String, Greedy, </v>
      </c>
      <c r="I1033" s="10" t="str">
        <f>Github!E$1329</f>
        <v>Medium</v>
      </c>
      <c r="J1033" s="10" t="str">
        <f>IF(TRIM(Github!D$1329)="TRUE","FALSE","TRUE")</f>
        <v>TRUE</v>
      </c>
      <c r="K1033" s="10" t="b">
        <f>Github!M$1329</f>
        <v>1</v>
      </c>
      <c r="L1033" s="10" t="b">
        <f>Github!N$1329</f>
        <v>0</v>
      </c>
      <c r="M1033" s="10" t="str">
        <f>ROUND(Github!O$1329, 2)&amp;"%"</f>
        <v>52.41%</v>
      </c>
      <c r="N1033" s="10">
        <f>Github!P$1329</f>
        <v>66049</v>
      </c>
      <c r="O1033" s="10">
        <f>Github!Q$1329</f>
        <v>126029</v>
      </c>
    </row>
    <row r="1034">
      <c r="A1034" s="10">
        <f>Github!J$1707</f>
        <v>1706</v>
      </c>
      <c r="B1034" s="11" t="str">
        <f>HYPERLINK(CONCAT("http://leetcode.com/problems/",Github!C$1707), Github!B$1707)</f>
        <v>Where Will the Ball Fall</v>
      </c>
      <c r="C1034" s="10">
        <f>Github!F$1707</f>
        <v>702</v>
      </c>
      <c r="D1034" s="10">
        <f>Github!G$1707</f>
        <v>52</v>
      </c>
      <c r="E1034" s="10">
        <f>Github!F$1707+Github!G$1707</f>
        <v>754</v>
      </c>
      <c r="F1034" s="12">
        <f t="shared" si="1"/>
        <v>13.5</v>
      </c>
      <c r="G1034" s="10" t="str">
        <f>Github!H$1707</f>
        <v>Algorithms</v>
      </c>
      <c r="H1034" s="13" t="str">
        <f>SUBSTITUTE(Github!L$1707, ";", ", ")</f>
        <v>Array, Dynamic Programming, Depth-First Search, Matrix, Simulation, </v>
      </c>
      <c r="I1034" s="10" t="str">
        <f>Github!E$1707</f>
        <v>Medium</v>
      </c>
      <c r="J1034" s="10" t="str">
        <f>IF(TRIM(Github!D$1707)="TRUE","FALSE","TRUE")</f>
        <v>TRUE</v>
      </c>
      <c r="K1034" s="10" t="b">
        <f>Github!M$1707</f>
        <v>0</v>
      </c>
      <c r="L1034" s="10" t="b">
        <f>Github!N$1707</f>
        <v>0</v>
      </c>
      <c r="M1034" s="10" t="str">
        <f>ROUND(Github!O$1707, 2)&amp;"%"</f>
        <v>66.38%</v>
      </c>
      <c r="N1034" s="10">
        <f>Github!P$1707</f>
        <v>25572</v>
      </c>
      <c r="O1034" s="10">
        <f>Github!Q$1707</f>
        <v>38523</v>
      </c>
    </row>
    <row r="1035">
      <c r="A1035" s="10">
        <f>Github!J$292</f>
        <v>291</v>
      </c>
      <c r="B1035" s="11" t="str">
        <f>HYPERLINK(CONCAT("http://leetcode.com/problems/",Github!C$292), Github!B$292)</f>
        <v>Word Pattern II</v>
      </c>
      <c r="C1035" s="10">
        <f>Github!F$292</f>
        <v>701</v>
      </c>
      <c r="D1035" s="10">
        <f>Github!G$292</f>
        <v>52</v>
      </c>
      <c r="E1035" s="10">
        <f>Github!F$292+Github!G$292</f>
        <v>753</v>
      </c>
      <c r="F1035" s="12">
        <f t="shared" si="1"/>
        <v>13.48</v>
      </c>
      <c r="G1035" s="10" t="str">
        <f>Github!H$292</f>
        <v>Algorithms</v>
      </c>
      <c r="H1035" s="13" t="str">
        <f>SUBSTITUTE(Github!L$292, ";", ", ")</f>
        <v>Hash Table, String, Backtracking, </v>
      </c>
      <c r="I1035" s="10" t="str">
        <f>Github!E$292</f>
        <v>Medium</v>
      </c>
      <c r="J1035" s="10" t="str">
        <f>IF(TRIM(Github!D$292)="TRUE","FALSE","TRUE")</f>
        <v>FALSE</v>
      </c>
      <c r="K1035" s="10" t="b">
        <f>Github!M$292</f>
        <v>0</v>
      </c>
      <c r="L1035" s="10" t="b">
        <f>Github!N$292</f>
        <v>0</v>
      </c>
      <c r="M1035" s="10" t="str">
        <f>ROUND(Github!O$292, 2)&amp;"%"</f>
        <v>46.02%</v>
      </c>
      <c r="N1035" s="10">
        <f>Github!P$292</f>
        <v>58709</v>
      </c>
      <c r="O1035" s="10">
        <f>Github!Q$292</f>
        <v>127567</v>
      </c>
    </row>
    <row r="1036">
      <c r="A1036" s="10">
        <f>Github!J$596</f>
        <v>595</v>
      </c>
      <c r="B1036" s="11" t="str">
        <f>HYPERLINK(CONCAT("http://leetcode.com/problems/",Github!C$596), Github!B$596)</f>
        <v>Big Countries</v>
      </c>
      <c r="C1036" s="10">
        <f>Github!F$596</f>
        <v>700</v>
      </c>
      <c r="D1036" s="10">
        <f>Github!G$596</f>
        <v>863</v>
      </c>
      <c r="E1036" s="10">
        <f>Github!F$596+Github!G$596</f>
        <v>1563</v>
      </c>
      <c r="F1036" s="12">
        <f t="shared" si="1"/>
        <v>0.81</v>
      </c>
      <c r="G1036" s="10" t="str">
        <f>Github!H$596</f>
        <v>Database</v>
      </c>
      <c r="H1036" s="13" t="str">
        <f>SUBSTITUTE(Github!L$596, ";", ", ")</f>
        <v>Database, </v>
      </c>
      <c r="I1036" s="10" t="str">
        <f>Github!E$596</f>
        <v>Easy</v>
      </c>
      <c r="J1036" s="10" t="str">
        <f>IF(TRIM(Github!D$596)="TRUE","FALSE","TRUE")</f>
        <v>TRUE</v>
      </c>
      <c r="K1036" s="10" t="b">
        <f>Github!M$596</f>
        <v>1</v>
      </c>
      <c r="L1036" s="10" t="b">
        <f>Github!N$596</f>
        <v>0</v>
      </c>
      <c r="M1036" s="10" t="str">
        <f>ROUND(Github!O$596, 2)&amp;"%"</f>
        <v>78.03%</v>
      </c>
      <c r="N1036" s="10">
        <f>Github!P$596</f>
        <v>261508</v>
      </c>
      <c r="O1036" s="10">
        <f>Github!Q$596</f>
        <v>335126</v>
      </c>
    </row>
    <row r="1037">
      <c r="A1037" s="10">
        <f>Github!J$307</f>
        <v>306</v>
      </c>
      <c r="B1037" s="11" t="str">
        <f>HYPERLINK(CONCAT("http://leetcode.com/problems/",Github!C$307), Github!B$307)</f>
        <v>Additive Number</v>
      </c>
      <c r="C1037" s="10">
        <f>Github!F$307</f>
        <v>699</v>
      </c>
      <c r="D1037" s="10">
        <f>Github!G$307</f>
        <v>615</v>
      </c>
      <c r="E1037" s="10">
        <f>Github!F$307+Github!G$307</f>
        <v>1314</v>
      </c>
      <c r="F1037" s="12">
        <f t="shared" si="1"/>
        <v>1.14</v>
      </c>
      <c r="G1037" s="10" t="str">
        <f>Github!H$307</f>
        <v>Algorithms</v>
      </c>
      <c r="H1037" s="13" t="str">
        <f>SUBSTITUTE(Github!L$307, ";", ", ")</f>
        <v>String, Backtracking, </v>
      </c>
      <c r="I1037" s="10" t="str">
        <f>Github!E$307</f>
        <v>Medium</v>
      </c>
      <c r="J1037" s="10" t="str">
        <f>IF(TRIM(Github!D$307)="TRUE","FALSE","TRUE")</f>
        <v>TRUE</v>
      </c>
      <c r="K1037" s="10" t="b">
        <f>Github!M$307</f>
        <v>0</v>
      </c>
      <c r="L1037" s="10" t="b">
        <f>Github!N$307</f>
        <v>0</v>
      </c>
      <c r="M1037" s="10" t="str">
        <f>ROUND(Github!O$307, 2)&amp;"%"</f>
        <v>30.52%</v>
      </c>
      <c r="N1037" s="10">
        <f>Github!P$307</f>
        <v>67956</v>
      </c>
      <c r="O1037" s="10">
        <f>Github!Q$307</f>
        <v>222682</v>
      </c>
    </row>
    <row r="1038">
      <c r="A1038" s="10">
        <f>Github!J$1547</f>
        <v>1546</v>
      </c>
      <c r="B1038" s="11" t="str">
        <f>HYPERLINK(CONCAT("http://leetcode.com/problems/",Github!C$1547), Github!B$1547)</f>
        <v>Maximum Number of Non-Overlapping Subarrays With Sum Equals Target</v>
      </c>
      <c r="C1038" s="10">
        <f>Github!F$1547</f>
        <v>701</v>
      </c>
      <c r="D1038" s="10">
        <f>Github!G$1547</f>
        <v>15</v>
      </c>
      <c r="E1038" s="10">
        <f>Github!F$1547+Github!G$1547</f>
        <v>716</v>
      </c>
      <c r="F1038" s="12">
        <f t="shared" si="1"/>
        <v>46.73</v>
      </c>
      <c r="G1038" s="10" t="str">
        <f>Github!H$1547</f>
        <v>Algorithms</v>
      </c>
      <c r="H1038" s="13" t="str">
        <f>SUBSTITUTE(Github!L$1547, ";", ", ")</f>
        <v>Array, Hash Table, Greedy, Prefix Sum, </v>
      </c>
      <c r="I1038" s="10" t="str">
        <f>Github!E$1547</f>
        <v>Medium</v>
      </c>
      <c r="J1038" s="10" t="str">
        <f>IF(TRIM(Github!D$1547)="TRUE","FALSE","TRUE")</f>
        <v>TRUE</v>
      </c>
      <c r="K1038" s="10" t="b">
        <f>Github!M$1547</f>
        <v>0</v>
      </c>
      <c r="L1038" s="10" t="b">
        <f>Github!N$1547</f>
        <v>0</v>
      </c>
      <c r="M1038" s="10" t="str">
        <f>ROUND(Github!O$1547, 2)&amp;"%"</f>
        <v>46.12%</v>
      </c>
      <c r="N1038" s="10">
        <f>Github!P$1547</f>
        <v>18510</v>
      </c>
      <c r="O1038" s="10">
        <f>Github!Q$1547</f>
        <v>40132</v>
      </c>
    </row>
    <row r="1039">
      <c r="A1039" s="10">
        <f>Github!J$268</f>
        <v>267</v>
      </c>
      <c r="B1039" s="11" t="str">
        <f>HYPERLINK(CONCAT("http://leetcode.com/problems/",Github!C$268), Github!B$268)</f>
        <v>Palindrome Permutation II</v>
      </c>
      <c r="C1039" s="10">
        <f>Github!F$268</f>
        <v>696</v>
      </c>
      <c r="D1039" s="10">
        <f>Github!G$268</f>
        <v>83</v>
      </c>
      <c r="E1039" s="10">
        <f>Github!F$268+Github!G$268</f>
        <v>779</v>
      </c>
      <c r="F1039" s="12">
        <f t="shared" si="1"/>
        <v>8.39</v>
      </c>
      <c r="G1039" s="10" t="str">
        <f>Github!H$268</f>
        <v>Algorithms</v>
      </c>
      <c r="H1039" s="13" t="str">
        <f>SUBSTITUTE(Github!L$268, ";", ", ")</f>
        <v>Hash Table, String, Backtracking, </v>
      </c>
      <c r="I1039" s="10" t="str">
        <f>Github!E$268</f>
        <v>Medium</v>
      </c>
      <c r="J1039" s="10" t="str">
        <f>IF(TRIM(Github!D$268)="TRUE","FALSE","TRUE")</f>
        <v>FALSE</v>
      </c>
      <c r="K1039" s="10" t="b">
        <f>Github!M$268</f>
        <v>1</v>
      </c>
      <c r="L1039" s="10" t="b">
        <f>Github!N$268</f>
        <v>0</v>
      </c>
      <c r="M1039" s="10" t="str">
        <f>ROUND(Github!O$268, 2)&amp;"%"</f>
        <v>39.4%</v>
      </c>
      <c r="N1039" s="10">
        <f>Github!P$268</f>
        <v>52912</v>
      </c>
      <c r="O1039" s="10">
        <f>Github!Q$268</f>
        <v>134303</v>
      </c>
    </row>
    <row r="1040">
      <c r="A1040" s="10">
        <f>Github!J$385</f>
        <v>384</v>
      </c>
      <c r="B1040" s="11" t="str">
        <f>HYPERLINK(CONCAT("http://leetcode.com/problems/",Github!C$385), Github!B$385)</f>
        <v>Shuffle an Array</v>
      </c>
      <c r="C1040" s="10">
        <f>Github!F$385</f>
        <v>697</v>
      </c>
      <c r="D1040" s="10">
        <f>Github!G$385</f>
        <v>606</v>
      </c>
      <c r="E1040" s="10">
        <f>Github!F$385+Github!G$385</f>
        <v>1303</v>
      </c>
      <c r="F1040" s="12">
        <f t="shared" si="1"/>
        <v>1.15</v>
      </c>
      <c r="G1040" s="10" t="str">
        <f>Github!H$385</f>
        <v>Algorithms</v>
      </c>
      <c r="H1040" s="13" t="str">
        <f>SUBSTITUTE(Github!L$385, ";", ", ")</f>
        <v>Array, Math, Randomized, </v>
      </c>
      <c r="I1040" s="10" t="str">
        <f>Github!E$385</f>
        <v>Medium</v>
      </c>
      <c r="J1040" s="10" t="str">
        <f>IF(TRIM(Github!D$385)="TRUE","FALSE","TRUE")</f>
        <v>TRUE</v>
      </c>
      <c r="K1040" s="10" t="b">
        <f>Github!M$385</f>
        <v>1</v>
      </c>
      <c r="L1040" s="10" t="b">
        <f>Github!N$385</f>
        <v>0</v>
      </c>
      <c r="M1040" s="10" t="str">
        <f>ROUND(Github!O$385, 2)&amp;"%"</f>
        <v>56.87%</v>
      </c>
      <c r="N1040" s="10">
        <f>Github!P$385</f>
        <v>251591</v>
      </c>
      <c r="O1040" s="10">
        <f>Github!Q$385</f>
        <v>442434</v>
      </c>
    </row>
    <row r="1041">
      <c r="A1041" s="10">
        <f>Github!J$692</f>
        <v>691</v>
      </c>
      <c r="B1041" s="11" t="str">
        <f>HYPERLINK(CONCAT("http://leetcode.com/problems/",Github!C$692), Github!B$692)</f>
        <v>Stickers to Spell Word</v>
      </c>
      <c r="C1041" s="10">
        <f>Github!F$692</f>
        <v>695</v>
      </c>
      <c r="D1041" s="10">
        <f>Github!G$692</f>
        <v>67</v>
      </c>
      <c r="E1041" s="10">
        <f>Github!F$692+Github!G$692</f>
        <v>762</v>
      </c>
      <c r="F1041" s="12">
        <f t="shared" si="1"/>
        <v>10.37</v>
      </c>
      <c r="G1041" s="10" t="str">
        <f>Github!H$692</f>
        <v>Algorithms</v>
      </c>
      <c r="H1041" s="13" t="str">
        <f>SUBSTITUTE(Github!L$692, ";", ", ")</f>
        <v>Dynamic Programming, Backtracking, Bit Manipulation, Bitmask, </v>
      </c>
      <c r="I1041" s="10" t="str">
        <f>Github!E$692</f>
        <v>Hard</v>
      </c>
      <c r="J1041" s="10" t="str">
        <f>IF(TRIM(Github!D$692)="TRUE","FALSE","TRUE")</f>
        <v>TRUE</v>
      </c>
      <c r="K1041" s="10" t="b">
        <f>Github!M$692</f>
        <v>0</v>
      </c>
      <c r="L1041" s="10" t="b">
        <f>Github!N$692</f>
        <v>0</v>
      </c>
      <c r="M1041" s="10" t="str">
        <f>ROUND(Github!O$692, 2)&amp;"%"</f>
        <v>46.74%</v>
      </c>
      <c r="N1041" s="10">
        <f>Github!P$692</f>
        <v>29263</v>
      </c>
      <c r="O1041" s="10">
        <f>Github!Q$692</f>
        <v>62608</v>
      </c>
    </row>
    <row r="1042">
      <c r="A1042" s="10">
        <f>Github!J$1380</f>
        <v>1379</v>
      </c>
      <c r="B1042" s="11" t="str">
        <f>HYPERLINK(CONCAT("http://leetcode.com/problems/",Github!C$1380), Github!B$1380)</f>
        <v>Find a Corresponding Node of a Binary Tree in a Clone of That Tree</v>
      </c>
      <c r="C1042" s="10">
        <f>Github!F$1380</f>
        <v>693</v>
      </c>
      <c r="D1042" s="10">
        <f>Github!G$1380</f>
        <v>905</v>
      </c>
      <c r="E1042" s="10">
        <f>Github!F$1380+Github!G$1380</f>
        <v>1598</v>
      </c>
      <c r="F1042" s="12">
        <f t="shared" si="1"/>
        <v>0.77</v>
      </c>
      <c r="G1042" s="10" t="str">
        <f>Github!H$1380</f>
        <v>Algorithms</v>
      </c>
      <c r="H1042" s="13" t="str">
        <f>SUBSTITUTE(Github!L$1380, ";", ", ")</f>
        <v>Tree, Depth-First Search, Breadth-First Search, Binary Tree, </v>
      </c>
      <c r="I1042" s="10" t="str">
        <f>Github!E$1380</f>
        <v>Medium</v>
      </c>
      <c r="J1042" s="10" t="str">
        <f>IF(TRIM(Github!D$1380)="TRUE","FALSE","TRUE")</f>
        <v>TRUE</v>
      </c>
      <c r="K1042" s="10" t="b">
        <f>Github!M$1380</f>
        <v>1</v>
      </c>
      <c r="L1042" s="10" t="b">
        <f>Github!N$1380</f>
        <v>0</v>
      </c>
      <c r="M1042" s="10" t="str">
        <f>ROUND(Github!O$1380, 2)&amp;"%"</f>
        <v>85.42%</v>
      </c>
      <c r="N1042" s="10">
        <f>Github!P$1380</f>
        <v>99661</v>
      </c>
      <c r="O1042" s="10">
        <f>Github!Q$1380</f>
        <v>116667</v>
      </c>
    </row>
    <row r="1043">
      <c r="A1043" s="10">
        <f>Github!J$375</f>
        <v>374</v>
      </c>
      <c r="B1043" s="11" t="str">
        <f>HYPERLINK(CONCAT("http://leetcode.com/problems/",Github!C$375), Github!B$375)</f>
        <v>Guess Number Higher or Lower</v>
      </c>
      <c r="C1043" s="10">
        <f>Github!F$375</f>
        <v>689</v>
      </c>
      <c r="D1043" s="10">
        <f>Github!G$375</f>
        <v>110</v>
      </c>
      <c r="E1043" s="10">
        <f>Github!F$375+Github!G$375</f>
        <v>799</v>
      </c>
      <c r="F1043" s="12">
        <f t="shared" si="1"/>
        <v>6.26</v>
      </c>
      <c r="G1043" s="10" t="str">
        <f>Github!H$375</f>
        <v>Algorithms</v>
      </c>
      <c r="H1043" s="13" t="str">
        <f>SUBSTITUTE(Github!L$375, ";", ", ")</f>
        <v>Binary Search, Interactive, </v>
      </c>
      <c r="I1043" s="10" t="str">
        <f>Github!E$375</f>
        <v>Easy</v>
      </c>
      <c r="J1043" s="10" t="str">
        <f>IF(TRIM(Github!D$375)="TRUE","FALSE","TRUE")</f>
        <v>TRUE</v>
      </c>
      <c r="K1043" s="10" t="b">
        <f>Github!M$375</f>
        <v>1</v>
      </c>
      <c r="L1043" s="10" t="b">
        <f>Github!N$375</f>
        <v>0</v>
      </c>
      <c r="M1043" s="10" t="str">
        <f>ROUND(Github!O$375, 2)&amp;"%"</f>
        <v>48.48%</v>
      </c>
      <c r="N1043" s="10">
        <f>Github!P$375</f>
        <v>287373</v>
      </c>
      <c r="O1043" s="10">
        <f>Github!Q$375</f>
        <v>592706</v>
      </c>
    </row>
    <row r="1044">
      <c r="A1044" s="10">
        <f>Github!J$738</f>
        <v>737</v>
      </c>
      <c r="B1044" s="11" t="str">
        <f>HYPERLINK(CONCAT("http://leetcode.com/problems/",Github!C$738), Github!B$738)</f>
        <v>Sentence Similarity II</v>
      </c>
      <c r="C1044" s="10">
        <f>Github!F$738</f>
        <v>689</v>
      </c>
      <c r="D1044" s="10">
        <f>Github!G$738</f>
        <v>41</v>
      </c>
      <c r="E1044" s="10">
        <f>Github!F$738+Github!G$738</f>
        <v>730</v>
      </c>
      <c r="F1044" s="12">
        <f t="shared" si="1"/>
        <v>16.8</v>
      </c>
      <c r="G1044" s="10" t="str">
        <f>Github!H$738</f>
        <v>Algorithms</v>
      </c>
      <c r="H1044" s="13" t="str">
        <f>SUBSTITUTE(Github!L$738, ";", ", ")</f>
        <v>Array, Hash Table, String, Depth-First Search, Breadth-First Search, Union Find, </v>
      </c>
      <c r="I1044" s="10" t="str">
        <f>Github!E$738</f>
        <v>Medium</v>
      </c>
      <c r="J1044" s="10" t="str">
        <f>IF(TRIM(Github!D$738)="TRUE","FALSE","TRUE")</f>
        <v>FALSE</v>
      </c>
      <c r="K1044" s="10" t="b">
        <f>Github!M$738</f>
        <v>1</v>
      </c>
      <c r="L1044" s="10" t="b">
        <f>Github!N$738</f>
        <v>0</v>
      </c>
      <c r="M1044" s="10" t="str">
        <f>ROUND(Github!O$738, 2)&amp;"%"</f>
        <v>47.89%</v>
      </c>
      <c r="N1044" s="10">
        <f>Github!P$738</f>
        <v>57364</v>
      </c>
      <c r="O1044" s="10">
        <f>Github!Q$738</f>
        <v>119773</v>
      </c>
    </row>
    <row r="1045">
      <c r="A1045" s="10">
        <f>Github!J$354</f>
        <v>353</v>
      </c>
      <c r="B1045" s="11" t="str">
        <f>HYPERLINK(CONCAT("http://leetcode.com/problems/",Github!C$354), Github!B$354)</f>
        <v>Design Snake Game</v>
      </c>
      <c r="C1045" s="10">
        <f>Github!F$354</f>
        <v>688</v>
      </c>
      <c r="D1045" s="10">
        <f>Github!G$354</f>
        <v>251</v>
      </c>
      <c r="E1045" s="10">
        <f>Github!F$354+Github!G$354</f>
        <v>939</v>
      </c>
      <c r="F1045" s="12">
        <f t="shared" si="1"/>
        <v>2.74</v>
      </c>
      <c r="G1045" s="10" t="str">
        <f>Github!H$354</f>
        <v>Algorithms</v>
      </c>
      <c r="H1045" s="13" t="str">
        <f>SUBSTITUTE(Github!L$354, ";", ", ")</f>
        <v>Array, Design, Queue, Matrix, </v>
      </c>
      <c r="I1045" s="10" t="str">
        <f>Github!E$354</f>
        <v>Medium</v>
      </c>
      <c r="J1045" s="10" t="str">
        <f>IF(TRIM(Github!D$354)="TRUE","FALSE","TRUE")</f>
        <v>FALSE</v>
      </c>
      <c r="K1045" s="10" t="b">
        <f>Github!M$354</f>
        <v>1</v>
      </c>
      <c r="L1045" s="10" t="b">
        <f>Github!N$354</f>
        <v>0</v>
      </c>
      <c r="M1045" s="10" t="str">
        <f>ROUND(Github!O$354, 2)&amp;"%"</f>
        <v>37.92%</v>
      </c>
      <c r="N1045" s="10">
        <f>Github!P$354</f>
        <v>57437</v>
      </c>
      <c r="O1045" s="10">
        <f>Github!Q$354</f>
        <v>151451</v>
      </c>
    </row>
    <row r="1046">
      <c r="A1046" s="10">
        <f>Github!J$733</f>
        <v>732</v>
      </c>
      <c r="B1046" s="11" t="str">
        <f>HYPERLINK(CONCAT("http://leetcode.com/problems/",Github!C$733), Github!B$733)</f>
        <v>My Calendar III</v>
      </c>
      <c r="C1046" s="10">
        <f>Github!F$733</f>
        <v>687</v>
      </c>
      <c r="D1046" s="10">
        <f>Github!G$733</f>
        <v>142</v>
      </c>
      <c r="E1046" s="10">
        <f>Github!F$733+Github!G$733</f>
        <v>829</v>
      </c>
      <c r="F1046" s="12">
        <f t="shared" si="1"/>
        <v>4.84</v>
      </c>
      <c r="G1046" s="10" t="str">
        <f>Github!H$733</f>
        <v>Algorithms</v>
      </c>
      <c r="H1046" s="13" t="str">
        <f>SUBSTITUTE(Github!L$733, ";", ", ")</f>
        <v>Design, Segment Tree, Ordered Set, </v>
      </c>
      <c r="I1046" s="10" t="str">
        <f>Github!E$733</f>
        <v>Hard</v>
      </c>
      <c r="J1046" s="10" t="str">
        <f>IF(TRIM(Github!D$733)="TRUE","FALSE","TRUE")</f>
        <v>TRUE</v>
      </c>
      <c r="K1046" s="10" t="b">
        <f>Github!M$733</f>
        <v>1</v>
      </c>
      <c r="L1046" s="10" t="b">
        <f>Github!N$733</f>
        <v>0</v>
      </c>
      <c r="M1046" s="10" t="str">
        <f>ROUND(Github!O$733, 2)&amp;"%"</f>
        <v>66.23%</v>
      </c>
      <c r="N1046" s="10">
        <f>Github!P$733</f>
        <v>38979</v>
      </c>
      <c r="O1046" s="10">
        <f>Github!Q$733</f>
        <v>58857</v>
      </c>
    </row>
    <row r="1047">
      <c r="A1047" s="10">
        <f>Github!J$921</f>
        <v>920</v>
      </c>
      <c r="B1047" s="11" t="str">
        <f>HYPERLINK(CONCAT("http://leetcode.com/problems/",Github!C$921), Github!B$921)</f>
        <v>Number of Music Playlists</v>
      </c>
      <c r="C1047" s="10">
        <f>Github!F$921</f>
        <v>687</v>
      </c>
      <c r="D1047" s="10">
        <f>Github!G$921</f>
        <v>64</v>
      </c>
      <c r="E1047" s="10">
        <f>Github!F$921+Github!G$921</f>
        <v>751</v>
      </c>
      <c r="F1047" s="12">
        <f t="shared" si="1"/>
        <v>10.73</v>
      </c>
      <c r="G1047" s="10" t="str">
        <f>Github!H$921</f>
        <v>Algorithms</v>
      </c>
      <c r="H1047" s="13" t="str">
        <f>SUBSTITUTE(Github!L$921, ";", ", ")</f>
        <v>Math, Dynamic Programming, Combinatorics, </v>
      </c>
      <c r="I1047" s="10" t="str">
        <f>Github!E$921</f>
        <v>Hard</v>
      </c>
      <c r="J1047" s="10" t="str">
        <f>IF(TRIM(Github!D$921)="TRUE","FALSE","TRUE")</f>
        <v>TRUE</v>
      </c>
      <c r="K1047" s="10" t="b">
        <f>Github!M$921</f>
        <v>1</v>
      </c>
      <c r="L1047" s="10" t="b">
        <f>Github!N$921</f>
        <v>0</v>
      </c>
      <c r="M1047" s="10" t="str">
        <f>ROUND(Github!O$921, 2)&amp;"%"</f>
        <v>49.33%</v>
      </c>
      <c r="N1047" s="10">
        <f>Github!P$921</f>
        <v>17651</v>
      </c>
      <c r="O1047" s="10">
        <f>Github!Q$921</f>
        <v>35784</v>
      </c>
    </row>
    <row r="1048">
      <c r="A1048" s="10">
        <f>Github!J$1232</f>
        <v>1231</v>
      </c>
      <c r="B1048" s="11" t="str">
        <f>HYPERLINK(CONCAT("http://leetcode.com/problems/",Github!C$1232), Github!B$1232)</f>
        <v>Divide Chocolate</v>
      </c>
      <c r="C1048" s="10">
        <f>Github!F$1232</f>
        <v>689</v>
      </c>
      <c r="D1048" s="10">
        <f>Github!G$1232</f>
        <v>45</v>
      </c>
      <c r="E1048" s="10">
        <f>Github!F$1232+Github!G$1232</f>
        <v>734</v>
      </c>
      <c r="F1048" s="12">
        <f t="shared" si="1"/>
        <v>15.31</v>
      </c>
      <c r="G1048" s="10" t="str">
        <f>Github!H$1232</f>
        <v>Algorithms</v>
      </c>
      <c r="H1048" s="13" t="str">
        <f>SUBSTITUTE(Github!L$1232, ";", ", ")</f>
        <v>Array, Binary Search, </v>
      </c>
      <c r="I1048" s="10" t="str">
        <f>Github!E$1232</f>
        <v>Hard</v>
      </c>
      <c r="J1048" s="10" t="str">
        <f>IF(TRIM(Github!D$1232)="TRUE","FALSE","TRUE")</f>
        <v>FALSE</v>
      </c>
      <c r="K1048" s="10" t="b">
        <f>Github!M$1232</f>
        <v>1</v>
      </c>
      <c r="L1048" s="10" t="b">
        <f>Github!N$1232</f>
        <v>0</v>
      </c>
      <c r="M1048" s="10" t="str">
        <f>ROUND(Github!O$1232, 2)&amp;"%"</f>
        <v>55.99%</v>
      </c>
      <c r="N1048" s="10">
        <f>Github!P$1232</f>
        <v>34906</v>
      </c>
      <c r="O1048" s="10">
        <f>Github!Q$1232</f>
        <v>62339</v>
      </c>
    </row>
    <row r="1049">
      <c r="A1049" s="10">
        <f>Github!J$1864</f>
        <v>1863</v>
      </c>
      <c r="B1049" s="11" t="str">
        <f>HYPERLINK(CONCAT("http://leetcode.com/problems/",Github!C$1864), Github!B$1864)</f>
        <v>Sum of All Subset XOR Totals</v>
      </c>
      <c r="C1049" s="10">
        <f>Github!F$1864</f>
        <v>687</v>
      </c>
      <c r="D1049" s="10">
        <f>Github!G$1864</f>
        <v>71</v>
      </c>
      <c r="E1049" s="10">
        <f>Github!F$1864+Github!G$1864</f>
        <v>758</v>
      </c>
      <c r="F1049" s="12">
        <f t="shared" si="1"/>
        <v>9.68</v>
      </c>
      <c r="G1049" s="10" t="str">
        <f>Github!H$1864</f>
        <v>Algorithms</v>
      </c>
      <c r="H1049" s="13" t="str">
        <f>SUBSTITUTE(Github!L$1864, ";", ", ")</f>
        <v>Array, Math, Backtracking, Bit Manipulation, Combinatorics, </v>
      </c>
      <c r="I1049" s="10" t="str">
        <f>Github!E$1864</f>
        <v>Easy</v>
      </c>
      <c r="J1049" s="10" t="str">
        <f>IF(TRIM(Github!D$1864)="TRUE","FALSE","TRUE")</f>
        <v>TRUE</v>
      </c>
      <c r="K1049" s="10" t="b">
        <f>Github!M$1864</f>
        <v>0</v>
      </c>
      <c r="L1049" s="10" t="b">
        <f>Github!N$1864</f>
        <v>0</v>
      </c>
      <c r="M1049" s="10" t="str">
        <f>ROUND(Github!O$1864, 2)&amp;"%"</f>
        <v>78.62%</v>
      </c>
      <c r="N1049" s="10">
        <f>Github!P$1864</f>
        <v>30229</v>
      </c>
      <c r="O1049" s="10">
        <f>Github!Q$1864</f>
        <v>38450</v>
      </c>
    </row>
    <row r="1050">
      <c r="A1050" s="10">
        <f>Github!J$810</f>
        <v>809</v>
      </c>
      <c r="B1050" s="11" t="str">
        <f>HYPERLINK(CONCAT("http://leetcode.com/problems/",Github!C$810), Github!B$810)</f>
        <v>Expressive Words</v>
      </c>
      <c r="C1050" s="10">
        <f>Github!F$810</f>
        <v>685</v>
      </c>
      <c r="D1050" s="10">
        <f>Github!G$810</f>
        <v>1591</v>
      </c>
      <c r="E1050" s="10">
        <f>Github!F$810+Github!G$810</f>
        <v>2276</v>
      </c>
      <c r="F1050" s="12">
        <f t="shared" si="1"/>
        <v>0.43</v>
      </c>
      <c r="G1050" s="10" t="str">
        <f>Github!H$810</f>
        <v>Algorithms</v>
      </c>
      <c r="H1050" s="13" t="str">
        <f>SUBSTITUTE(Github!L$810, ";", ", ")</f>
        <v>Array, Two Pointers, String, </v>
      </c>
      <c r="I1050" s="10" t="str">
        <f>Github!E$810</f>
        <v>Medium</v>
      </c>
      <c r="J1050" s="10" t="str">
        <f>IF(TRIM(Github!D$810)="TRUE","FALSE","TRUE")</f>
        <v>TRUE</v>
      </c>
      <c r="K1050" s="10" t="b">
        <f>Github!M$810</f>
        <v>0</v>
      </c>
      <c r="L1050" s="10" t="b">
        <f>Github!N$810</f>
        <v>0</v>
      </c>
      <c r="M1050" s="10" t="str">
        <f>ROUND(Github!O$810, 2)&amp;"%"</f>
        <v>46.34%</v>
      </c>
      <c r="N1050" s="10">
        <f>Github!P$810</f>
        <v>92380</v>
      </c>
      <c r="O1050" s="10">
        <f>Github!Q$810</f>
        <v>199358</v>
      </c>
    </row>
    <row r="1051">
      <c r="A1051" s="10">
        <f>Github!J$821</f>
        <v>820</v>
      </c>
      <c r="B1051" s="11" t="str">
        <f>HYPERLINK(CONCAT("http://leetcode.com/problems/",Github!C$821), Github!B$821)</f>
        <v>Short Encoding of Words</v>
      </c>
      <c r="C1051" s="10">
        <f>Github!F$821</f>
        <v>685</v>
      </c>
      <c r="D1051" s="10">
        <f>Github!G$821</f>
        <v>257</v>
      </c>
      <c r="E1051" s="10">
        <f>Github!F$821+Github!G$821</f>
        <v>942</v>
      </c>
      <c r="F1051" s="12">
        <f t="shared" si="1"/>
        <v>2.67</v>
      </c>
      <c r="G1051" s="10" t="str">
        <f>Github!H$821</f>
        <v>Algorithms</v>
      </c>
      <c r="H1051" s="13" t="str">
        <f>SUBSTITUTE(Github!L$821, ";", ", ")</f>
        <v>Array, Hash Table, String, Trie, </v>
      </c>
      <c r="I1051" s="10" t="str">
        <f>Github!E$821</f>
        <v>Medium</v>
      </c>
      <c r="J1051" s="10" t="str">
        <f>IF(TRIM(Github!D$821)="TRUE","FALSE","TRUE")</f>
        <v>TRUE</v>
      </c>
      <c r="K1051" s="10" t="b">
        <f>Github!M$821</f>
        <v>1</v>
      </c>
      <c r="L1051" s="10" t="b">
        <f>Github!N$821</f>
        <v>0</v>
      </c>
      <c r="M1051" s="10" t="str">
        <f>ROUND(Github!O$821, 2)&amp;"%"</f>
        <v>55.14%</v>
      </c>
      <c r="N1051" s="10">
        <f>Github!P$821</f>
        <v>44574</v>
      </c>
      <c r="O1051" s="10">
        <f>Github!Q$821</f>
        <v>80834</v>
      </c>
    </row>
    <row r="1052">
      <c r="A1052" s="10">
        <f>Github!J$972</f>
        <v>971</v>
      </c>
      <c r="B1052" s="11" t="str">
        <f>HYPERLINK(CONCAT("http://leetcode.com/problems/",Github!C$972), Github!B$972)</f>
        <v>Flip Binary Tree To Match Preorder Traversal</v>
      </c>
      <c r="C1052" s="10">
        <f>Github!F$972</f>
        <v>684</v>
      </c>
      <c r="D1052" s="10">
        <f>Github!G$972</f>
        <v>236</v>
      </c>
      <c r="E1052" s="10">
        <f>Github!F$972+Github!G$972</f>
        <v>920</v>
      </c>
      <c r="F1052" s="12">
        <f t="shared" si="1"/>
        <v>2.9</v>
      </c>
      <c r="G1052" s="10" t="str">
        <f>Github!H$972</f>
        <v>Algorithms</v>
      </c>
      <c r="H1052" s="13" t="str">
        <f>SUBSTITUTE(Github!L$972, ";", ", ")</f>
        <v>Tree, Depth-First Search, Binary Tree, </v>
      </c>
      <c r="I1052" s="10" t="str">
        <f>Github!E$972</f>
        <v>Medium</v>
      </c>
      <c r="J1052" s="10" t="str">
        <f>IF(TRIM(Github!D$972)="TRUE","FALSE","TRUE")</f>
        <v>TRUE</v>
      </c>
      <c r="K1052" s="10" t="b">
        <f>Github!M$972</f>
        <v>1</v>
      </c>
      <c r="L1052" s="10" t="b">
        <f>Github!N$972</f>
        <v>0</v>
      </c>
      <c r="M1052" s="10" t="str">
        <f>ROUND(Github!O$972, 2)&amp;"%"</f>
        <v>49.87%</v>
      </c>
      <c r="N1052" s="10">
        <f>Github!P$972</f>
        <v>34332</v>
      </c>
      <c r="O1052" s="10">
        <f>Github!Q$972</f>
        <v>68846</v>
      </c>
    </row>
    <row r="1053">
      <c r="A1053" s="10">
        <f>Github!J$1104</f>
        <v>1103</v>
      </c>
      <c r="B1053" s="11" t="str">
        <f>HYPERLINK(CONCAT("http://leetcode.com/problems/",Github!C$1104), Github!B$1104)</f>
        <v>Distribute Candies to People</v>
      </c>
      <c r="C1053" s="10">
        <f>Github!F$1104</f>
        <v>683</v>
      </c>
      <c r="D1053" s="10">
        <f>Github!G$1104</f>
        <v>164</v>
      </c>
      <c r="E1053" s="10">
        <f>Github!F$1104+Github!G$1104</f>
        <v>847</v>
      </c>
      <c r="F1053" s="12">
        <f t="shared" si="1"/>
        <v>4.16</v>
      </c>
      <c r="G1053" s="10" t="str">
        <f>Github!H$1104</f>
        <v>Algorithms</v>
      </c>
      <c r="H1053" s="13" t="str">
        <f>SUBSTITUTE(Github!L$1104, ";", ", ")</f>
        <v>Math, Simulation, </v>
      </c>
      <c r="I1053" s="10" t="str">
        <f>Github!E$1104</f>
        <v>Easy</v>
      </c>
      <c r="J1053" s="10" t="str">
        <f>IF(TRIM(Github!D$1104)="TRUE","FALSE","TRUE")</f>
        <v>TRUE</v>
      </c>
      <c r="K1053" s="10" t="b">
        <f>Github!M$1104</f>
        <v>0</v>
      </c>
      <c r="L1053" s="10" t="b">
        <f>Github!N$1104</f>
        <v>0</v>
      </c>
      <c r="M1053" s="10" t="str">
        <f>ROUND(Github!O$1104, 2)&amp;"%"</f>
        <v>63.71%</v>
      </c>
      <c r="N1053" s="10">
        <f>Github!P$1104</f>
        <v>65886</v>
      </c>
      <c r="O1053" s="10">
        <f>Github!Q$1104</f>
        <v>103419</v>
      </c>
    </row>
    <row r="1054">
      <c r="A1054" s="10">
        <f>Github!J$1376</f>
        <v>1375</v>
      </c>
      <c r="B1054" s="11" t="str">
        <f>HYPERLINK(CONCAT("http://leetcode.com/problems/",Github!C$1376), Github!B$1376)</f>
        <v>Number of Times Binary String Is Prefix-Aligned</v>
      </c>
      <c r="C1054" s="10">
        <f>Github!F$1376</f>
        <v>683</v>
      </c>
      <c r="D1054" s="10">
        <f>Github!G$1376</f>
        <v>108</v>
      </c>
      <c r="E1054" s="10">
        <f>Github!F$1376+Github!G$1376</f>
        <v>791</v>
      </c>
      <c r="F1054" s="12">
        <f t="shared" si="1"/>
        <v>6.32</v>
      </c>
      <c r="G1054" s="10" t="str">
        <f>Github!H$1376</f>
        <v>Algorithms</v>
      </c>
      <c r="H1054" s="13" t="str">
        <f>SUBSTITUTE(Github!L$1376, ";", ", ")</f>
        <v>Array, </v>
      </c>
      <c r="I1054" s="10" t="str">
        <f>Github!E$1376</f>
        <v>Medium</v>
      </c>
      <c r="J1054" s="10" t="str">
        <f>IF(TRIM(Github!D$1376)="TRUE","FALSE","TRUE")</f>
        <v>TRUE</v>
      </c>
      <c r="K1054" s="10" t="b">
        <f>Github!M$1376</f>
        <v>0</v>
      </c>
      <c r="L1054" s="10" t="b">
        <f>Github!N$1376</f>
        <v>0</v>
      </c>
      <c r="M1054" s="10" t="str">
        <f>ROUND(Github!O$1376, 2)&amp;"%"</f>
        <v>65.55%</v>
      </c>
      <c r="N1054" s="10">
        <f>Github!P$1376</f>
        <v>38101</v>
      </c>
      <c r="O1054" s="10">
        <f>Github!Q$1376</f>
        <v>58126</v>
      </c>
    </row>
    <row r="1055">
      <c r="A1055" s="10">
        <f>Github!J$1749</f>
        <v>1748</v>
      </c>
      <c r="B1055" s="11" t="str">
        <f>HYPERLINK(CONCAT("http://leetcode.com/problems/",Github!C$1749), Github!B$1749)</f>
        <v>Sum of Unique Elements</v>
      </c>
      <c r="C1055" s="10">
        <f>Github!F$1749</f>
        <v>683</v>
      </c>
      <c r="D1055" s="10">
        <f>Github!G$1749</f>
        <v>17</v>
      </c>
      <c r="E1055" s="10">
        <f>Github!F$1749+Github!G$1749</f>
        <v>700</v>
      </c>
      <c r="F1055" s="12">
        <f t="shared" si="1"/>
        <v>40.18</v>
      </c>
      <c r="G1055" s="10" t="str">
        <f>Github!H$1749</f>
        <v>Algorithms</v>
      </c>
      <c r="H1055" s="13" t="str">
        <f>SUBSTITUTE(Github!L$1749, ";", ", ")</f>
        <v>Array, Hash Table, Counting, </v>
      </c>
      <c r="I1055" s="10" t="str">
        <f>Github!E$1749</f>
        <v>Easy</v>
      </c>
      <c r="J1055" s="10" t="str">
        <f>IF(TRIM(Github!D$1749)="TRUE","FALSE","TRUE")</f>
        <v>TRUE</v>
      </c>
      <c r="K1055" s="10" t="b">
        <f>Github!M$1749</f>
        <v>0</v>
      </c>
      <c r="L1055" s="10" t="b">
        <f>Github!N$1749</f>
        <v>0</v>
      </c>
      <c r="M1055" s="10" t="str">
        <f>ROUND(Github!O$1749, 2)&amp;"%"</f>
        <v>75.39%</v>
      </c>
      <c r="N1055" s="10">
        <f>Github!P$1749</f>
        <v>68877</v>
      </c>
      <c r="O1055" s="10">
        <f>Github!Q$1749</f>
        <v>91366</v>
      </c>
    </row>
    <row r="1056">
      <c r="A1056" s="10">
        <f>Github!J$1771</f>
        <v>1770</v>
      </c>
      <c r="B1056" s="11" t="str">
        <f>HYPERLINK(CONCAT("http://leetcode.com/problems/",Github!C$1771), Github!B$1771)</f>
        <v>Maximum Score from Performing Multiplication Operations</v>
      </c>
      <c r="C1056" s="10">
        <f>Github!F$1771</f>
        <v>683</v>
      </c>
      <c r="D1056" s="10">
        <f>Github!G$1771</f>
        <v>160</v>
      </c>
      <c r="E1056" s="10">
        <f>Github!F$1771+Github!G$1771</f>
        <v>843</v>
      </c>
      <c r="F1056" s="12">
        <f t="shared" si="1"/>
        <v>4.27</v>
      </c>
      <c r="G1056" s="10" t="str">
        <f>Github!H$1771</f>
        <v>Algorithms</v>
      </c>
      <c r="H1056" s="13" t="str">
        <f>SUBSTITUTE(Github!L$1771, ";", ", ")</f>
        <v>Array, Dynamic Programming, </v>
      </c>
      <c r="I1056" s="10" t="str">
        <f>Github!E$1771</f>
        <v>Medium</v>
      </c>
      <c r="J1056" s="10" t="str">
        <f>IF(TRIM(Github!D$1771)="TRUE","FALSE","TRUE")</f>
        <v>TRUE</v>
      </c>
      <c r="K1056" s="10" t="b">
        <f>Github!M$1771</f>
        <v>0</v>
      </c>
      <c r="L1056" s="10" t="b">
        <f>Github!N$1771</f>
        <v>0</v>
      </c>
      <c r="M1056" s="10" t="str">
        <f>ROUND(Github!O$1771, 2)&amp;"%"</f>
        <v>35.45%</v>
      </c>
      <c r="N1056" s="10">
        <f>Github!P$1771</f>
        <v>27969</v>
      </c>
      <c r="O1056" s="10">
        <f>Github!Q$1771</f>
        <v>78897</v>
      </c>
    </row>
    <row r="1057">
      <c r="A1057" s="10">
        <f>Github!J$276</f>
        <v>275</v>
      </c>
      <c r="B1057" s="11" t="str">
        <f>HYPERLINK(CONCAT("http://leetcode.com/problems/",Github!C$276), Github!B$276)</f>
        <v>H-Index II</v>
      </c>
      <c r="C1057" s="10">
        <f>Github!F$276</f>
        <v>683</v>
      </c>
      <c r="D1057" s="10">
        <f>Github!G$276</f>
        <v>1001</v>
      </c>
      <c r="E1057" s="10">
        <f>Github!F$276+Github!G$276</f>
        <v>1684</v>
      </c>
      <c r="F1057" s="12">
        <f t="shared" si="1"/>
        <v>0.68</v>
      </c>
      <c r="G1057" s="10" t="str">
        <f>Github!H$276</f>
        <v>Algorithms</v>
      </c>
      <c r="H1057" s="13" t="str">
        <f>SUBSTITUTE(Github!L$276, ";", ", ")</f>
        <v>Array, Binary Search, </v>
      </c>
      <c r="I1057" s="10" t="str">
        <f>Github!E$276</f>
        <v>Medium</v>
      </c>
      <c r="J1057" s="10" t="str">
        <f>IF(TRIM(Github!D$276)="TRUE","FALSE","TRUE")</f>
        <v>TRUE</v>
      </c>
      <c r="K1057" s="10" t="b">
        <f>Github!M$276</f>
        <v>1</v>
      </c>
      <c r="L1057" s="10" t="b">
        <f>Github!N$276</f>
        <v>0</v>
      </c>
      <c r="M1057" s="10" t="str">
        <f>ROUND(Github!O$276, 2)&amp;"%"</f>
        <v>36.9%</v>
      </c>
      <c r="N1057" s="10">
        <f>Github!P$276</f>
        <v>155205</v>
      </c>
      <c r="O1057" s="10">
        <f>Github!Q$276</f>
        <v>420580</v>
      </c>
    </row>
    <row r="1058">
      <c r="A1058" s="10">
        <f>Github!J$1279</f>
        <v>1278</v>
      </c>
      <c r="B1058" s="11" t="str">
        <f>HYPERLINK(CONCAT("http://leetcode.com/problems/",Github!C$1279), Github!B$1279)</f>
        <v>Palindrome Partitioning III</v>
      </c>
      <c r="C1058" s="10">
        <f>Github!F$1279</f>
        <v>682</v>
      </c>
      <c r="D1058" s="10">
        <f>Github!G$1279</f>
        <v>12</v>
      </c>
      <c r="E1058" s="10">
        <f>Github!F$1279+Github!G$1279</f>
        <v>694</v>
      </c>
      <c r="F1058" s="12">
        <f t="shared" si="1"/>
        <v>56.83</v>
      </c>
      <c r="G1058" s="10" t="str">
        <f>Github!H$1279</f>
        <v>Algorithms</v>
      </c>
      <c r="H1058" s="13" t="str">
        <f>SUBSTITUTE(Github!L$1279, ";", ", ")</f>
        <v>String, Dynamic Programming, </v>
      </c>
      <c r="I1058" s="10" t="str">
        <f>Github!E$1279</f>
        <v>Hard</v>
      </c>
      <c r="J1058" s="10" t="str">
        <f>IF(TRIM(Github!D$1279)="TRUE","FALSE","TRUE")</f>
        <v>TRUE</v>
      </c>
      <c r="K1058" s="10" t="b">
        <f>Github!M$1279</f>
        <v>0</v>
      </c>
      <c r="L1058" s="10" t="b">
        <f>Github!N$1279</f>
        <v>0</v>
      </c>
      <c r="M1058" s="10" t="str">
        <f>ROUND(Github!O$1279, 2)&amp;"%"</f>
        <v>60.95%</v>
      </c>
      <c r="N1058" s="10">
        <f>Github!P$1279</f>
        <v>17708</v>
      </c>
      <c r="O1058" s="10">
        <f>Github!Q$1279</f>
        <v>29055</v>
      </c>
    </row>
    <row r="1059">
      <c r="A1059" s="10">
        <f>Github!J$1655</f>
        <v>1654</v>
      </c>
      <c r="B1059" s="11" t="str">
        <f>HYPERLINK(CONCAT("http://leetcode.com/problems/",Github!C$1655), Github!B$1655)</f>
        <v>Minimum Jumps to Reach Home</v>
      </c>
      <c r="C1059" s="10">
        <f>Github!F$1655</f>
        <v>683</v>
      </c>
      <c r="D1059" s="10">
        <f>Github!G$1655</f>
        <v>146</v>
      </c>
      <c r="E1059" s="10">
        <f>Github!F$1655+Github!G$1655</f>
        <v>829</v>
      </c>
      <c r="F1059" s="12">
        <f t="shared" si="1"/>
        <v>4.68</v>
      </c>
      <c r="G1059" s="10" t="str">
        <f>Github!H$1655</f>
        <v>Algorithms</v>
      </c>
      <c r="H1059" s="13" t="str">
        <f>SUBSTITUTE(Github!L$1655, ";", ", ")</f>
        <v>Array, Dynamic Programming, Breadth-First Search, </v>
      </c>
      <c r="I1059" s="10" t="str">
        <f>Github!E$1655</f>
        <v>Medium</v>
      </c>
      <c r="J1059" s="10" t="str">
        <f>IF(TRIM(Github!D$1655)="TRUE","FALSE","TRUE")</f>
        <v>TRUE</v>
      </c>
      <c r="K1059" s="10" t="b">
        <f>Github!M$1655</f>
        <v>0</v>
      </c>
      <c r="L1059" s="10" t="b">
        <f>Github!N$1655</f>
        <v>0</v>
      </c>
      <c r="M1059" s="10" t="str">
        <f>ROUND(Github!O$1655, 2)&amp;"%"</f>
        <v>26.31%</v>
      </c>
      <c r="N1059" s="10">
        <f>Github!P$1655</f>
        <v>18394</v>
      </c>
      <c r="O1059" s="10">
        <f>Github!Q$1655</f>
        <v>69902</v>
      </c>
    </row>
    <row r="1060">
      <c r="A1060" s="10">
        <f>Github!J$1763</f>
        <v>1762</v>
      </c>
      <c r="B1060" s="11" t="str">
        <f>HYPERLINK(CONCAT("http://leetcode.com/problems/",Github!C$1763), Github!B$1763)</f>
        <v>Buildings With an Ocean View</v>
      </c>
      <c r="C1060" s="10">
        <f>Github!F$1763</f>
        <v>681</v>
      </c>
      <c r="D1060" s="10">
        <f>Github!G$1763</f>
        <v>95</v>
      </c>
      <c r="E1060" s="10">
        <f>Github!F$1763+Github!G$1763</f>
        <v>776</v>
      </c>
      <c r="F1060" s="12">
        <f t="shared" si="1"/>
        <v>7.17</v>
      </c>
      <c r="G1060" s="10" t="str">
        <f>Github!H$1763</f>
        <v>Algorithms</v>
      </c>
      <c r="H1060" s="13" t="str">
        <f>SUBSTITUTE(Github!L$1763, ";", ", ")</f>
        <v>Array, Stack, Monotonic Stack, </v>
      </c>
      <c r="I1060" s="10" t="str">
        <f>Github!E$1763</f>
        <v>Medium</v>
      </c>
      <c r="J1060" s="10" t="str">
        <f>IF(TRIM(Github!D$1763)="TRUE","FALSE","TRUE")</f>
        <v>FALSE</v>
      </c>
      <c r="K1060" s="10" t="b">
        <f>Github!M$1763</f>
        <v>1</v>
      </c>
      <c r="L1060" s="10" t="b">
        <f>Github!N$1763</f>
        <v>0</v>
      </c>
      <c r="M1060" s="10" t="str">
        <f>ROUND(Github!O$1763, 2)&amp;"%"</f>
        <v>80.33%</v>
      </c>
      <c r="N1060" s="10">
        <f>Github!P$1763</f>
        <v>89055</v>
      </c>
      <c r="O1060" s="10">
        <f>Github!Q$1763</f>
        <v>110853</v>
      </c>
    </row>
    <row r="1061">
      <c r="A1061" s="10">
        <f>Github!J$263</f>
        <v>262</v>
      </c>
      <c r="B1061" s="11" t="str">
        <f>HYPERLINK(CONCAT("http://leetcode.com/problems/",Github!C$263), Github!B$263)</f>
        <v>Trips and Users</v>
      </c>
      <c r="C1061" s="10">
        <f>Github!F$263</f>
        <v>680</v>
      </c>
      <c r="D1061" s="10">
        <f>Github!G$263</f>
        <v>443</v>
      </c>
      <c r="E1061" s="10">
        <f>Github!F$263+Github!G$263</f>
        <v>1123</v>
      </c>
      <c r="F1061" s="12">
        <f t="shared" si="1"/>
        <v>1.53</v>
      </c>
      <c r="G1061" s="10" t="str">
        <f>Github!H$263</f>
        <v>Database</v>
      </c>
      <c r="H1061" s="13" t="str">
        <f>SUBSTITUTE(Github!L$263, ";", ", ")</f>
        <v>Database, </v>
      </c>
      <c r="I1061" s="10" t="str">
        <f>Github!E$263</f>
        <v>Hard</v>
      </c>
      <c r="J1061" s="10" t="str">
        <f>IF(TRIM(Github!D$263)="TRUE","FALSE","TRUE")</f>
        <v>TRUE</v>
      </c>
      <c r="K1061" s="10" t="b">
        <f>Github!M$263</f>
        <v>0</v>
      </c>
      <c r="L1061" s="10" t="b">
        <f>Github!N$263</f>
        <v>0</v>
      </c>
      <c r="M1061" s="10" t="str">
        <f>ROUND(Github!O$263, 2)&amp;"%"</f>
        <v>37.58%</v>
      </c>
      <c r="N1061" s="10">
        <f>Github!P$263</f>
        <v>108768</v>
      </c>
      <c r="O1061" s="10">
        <f>Github!Q$263</f>
        <v>289394</v>
      </c>
    </row>
    <row r="1062">
      <c r="A1062" s="10">
        <f>Github!J$1649</f>
        <v>1648</v>
      </c>
      <c r="B1062" s="11" t="str">
        <f>HYPERLINK(CONCAT("http://leetcode.com/problems/",Github!C$1649), Github!B$1649)</f>
        <v>Sell Diminishing-Valued Colored Balls</v>
      </c>
      <c r="C1062" s="10">
        <f>Github!F$1649</f>
        <v>679</v>
      </c>
      <c r="D1062" s="10">
        <f>Github!G$1649</f>
        <v>253</v>
      </c>
      <c r="E1062" s="10">
        <f>Github!F$1649+Github!G$1649</f>
        <v>932</v>
      </c>
      <c r="F1062" s="12">
        <f t="shared" si="1"/>
        <v>2.68</v>
      </c>
      <c r="G1062" s="10" t="str">
        <f>Github!H$1649</f>
        <v>Algorithms</v>
      </c>
      <c r="H1062" s="13" t="str">
        <f>SUBSTITUTE(Github!L$1649, ";", ", ")</f>
        <v>Array, Math, Binary Search, Greedy, Sorting, Heap (Priority Queue), </v>
      </c>
      <c r="I1062" s="10" t="str">
        <f>Github!E$1649</f>
        <v>Medium</v>
      </c>
      <c r="J1062" s="10" t="str">
        <f>IF(TRIM(Github!D$1649)="TRUE","FALSE","TRUE")</f>
        <v>TRUE</v>
      </c>
      <c r="K1062" s="10" t="b">
        <f>Github!M$1649</f>
        <v>0</v>
      </c>
      <c r="L1062" s="10" t="b">
        <f>Github!N$1649</f>
        <v>0</v>
      </c>
      <c r="M1062" s="10" t="str">
        <f>ROUND(Github!O$1649, 2)&amp;"%"</f>
        <v>30.87%</v>
      </c>
      <c r="N1062" s="10">
        <f>Github!P$1649</f>
        <v>26330</v>
      </c>
      <c r="O1062" s="10">
        <f>Github!Q$1649</f>
        <v>85303</v>
      </c>
    </row>
    <row r="1063">
      <c r="A1063" s="10">
        <f>Github!J$1672</f>
        <v>1671</v>
      </c>
      <c r="B1063" s="11" t="str">
        <f>HYPERLINK(CONCAT("http://leetcode.com/problems/",Github!C$1672), Github!B$1672)</f>
        <v>Minimum Number of Removals to Make Mountain Array</v>
      </c>
      <c r="C1063" s="10">
        <f>Github!F$1672</f>
        <v>679</v>
      </c>
      <c r="D1063" s="10">
        <f>Github!G$1672</f>
        <v>10</v>
      </c>
      <c r="E1063" s="10">
        <f>Github!F$1672+Github!G$1672</f>
        <v>689</v>
      </c>
      <c r="F1063" s="12">
        <f t="shared" si="1"/>
        <v>67.9</v>
      </c>
      <c r="G1063" s="10" t="str">
        <f>Github!H$1672</f>
        <v>Algorithms</v>
      </c>
      <c r="H1063" s="13" t="str">
        <f>SUBSTITUTE(Github!L$1672, ";", ", ")</f>
        <v>Array, Binary Search, Dynamic Programming, Greedy, </v>
      </c>
      <c r="I1063" s="10" t="str">
        <f>Github!E$1672</f>
        <v>Hard</v>
      </c>
      <c r="J1063" s="10" t="str">
        <f>IF(TRIM(Github!D$1672)="TRUE","FALSE","TRUE")</f>
        <v>TRUE</v>
      </c>
      <c r="K1063" s="10" t="b">
        <f>Github!M$1672</f>
        <v>0</v>
      </c>
      <c r="L1063" s="10" t="b">
        <f>Github!N$1672</f>
        <v>0</v>
      </c>
      <c r="M1063" s="10" t="str">
        <f>ROUND(Github!O$1672, 2)&amp;"%"</f>
        <v>43.22%</v>
      </c>
      <c r="N1063" s="10">
        <f>Github!P$1672</f>
        <v>11886</v>
      </c>
      <c r="O1063" s="10">
        <f>Github!Q$1672</f>
        <v>27498</v>
      </c>
    </row>
    <row r="1064">
      <c r="A1064" s="10">
        <f>Github!J$1121</f>
        <v>1120</v>
      </c>
      <c r="B1064" s="11" t="str">
        <f>HYPERLINK(CONCAT("http://leetcode.com/problems/",Github!C$1121), Github!B$1121)</f>
        <v>Maximum Average Subtree</v>
      </c>
      <c r="C1064" s="10">
        <f>Github!F$1121</f>
        <v>678</v>
      </c>
      <c r="D1064" s="10">
        <f>Github!G$1121</f>
        <v>27</v>
      </c>
      <c r="E1064" s="10">
        <f>Github!F$1121+Github!G$1121</f>
        <v>705</v>
      </c>
      <c r="F1064" s="12">
        <f t="shared" si="1"/>
        <v>25.11</v>
      </c>
      <c r="G1064" s="10" t="str">
        <f>Github!H$1121</f>
        <v>Algorithms</v>
      </c>
      <c r="H1064" s="13" t="str">
        <f>SUBSTITUTE(Github!L$1121, ";", ", ")</f>
        <v>Tree, Depth-First Search, Binary Tree, </v>
      </c>
      <c r="I1064" s="10" t="str">
        <f>Github!E$1121</f>
        <v>Medium</v>
      </c>
      <c r="J1064" s="10" t="str">
        <f>IF(TRIM(Github!D$1121)="TRUE","FALSE","TRUE")</f>
        <v>FALSE</v>
      </c>
      <c r="K1064" s="10" t="b">
        <f>Github!M$1121</f>
        <v>1</v>
      </c>
      <c r="L1064" s="10" t="b">
        <f>Github!N$1121</f>
        <v>0</v>
      </c>
      <c r="M1064" s="10" t="str">
        <f>ROUND(Github!O$1121, 2)&amp;"%"</f>
        <v>65.07%</v>
      </c>
      <c r="N1064" s="10">
        <f>Github!P$1121</f>
        <v>53051</v>
      </c>
      <c r="O1064" s="10">
        <f>Github!Q$1121</f>
        <v>81527</v>
      </c>
    </row>
    <row r="1065">
      <c r="A1065" s="10">
        <f>Github!J$1157</f>
        <v>1156</v>
      </c>
      <c r="B1065" s="11" t="str">
        <f>HYPERLINK(CONCAT("http://leetcode.com/problems/",Github!C$1157), Github!B$1157)</f>
        <v>Swap For Longest Repeated Character Substring</v>
      </c>
      <c r="C1065" s="10">
        <f>Github!F$1157</f>
        <v>678</v>
      </c>
      <c r="D1065" s="10">
        <f>Github!G$1157</f>
        <v>62</v>
      </c>
      <c r="E1065" s="10">
        <f>Github!F$1157+Github!G$1157</f>
        <v>740</v>
      </c>
      <c r="F1065" s="12">
        <f t="shared" si="1"/>
        <v>10.94</v>
      </c>
      <c r="G1065" s="10" t="str">
        <f>Github!H$1157</f>
        <v>Algorithms</v>
      </c>
      <c r="H1065" s="13" t="str">
        <f>SUBSTITUTE(Github!L$1157, ";", ", ")</f>
        <v>String, Sliding Window, </v>
      </c>
      <c r="I1065" s="10" t="str">
        <f>Github!E$1157</f>
        <v>Medium</v>
      </c>
      <c r="J1065" s="10" t="str">
        <f>IF(TRIM(Github!D$1157)="TRUE","FALSE","TRUE")</f>
        <v>TRUE</v>
      </c>
      <c r="K1065" s="10" t="b">
        <f>Github!M$1157</f>
        <v>0</v>
      </c>
      <c r="L1065" s="10" t="b">
        <f>Github!N$1157</f>
        <v>0</v>
      </c>
      <c r="M1065" s="10" t="str">
        <f>ROUND(Github!O$1157, 2)&amp;"%"</f>
        <v>46.43%</v>
      </c>
      <c r="N1065" s="10">
        <f>Github!P$1157</f>
        <v>22011</v>
      </c>
      <c r="O1065" s="10">
        <f>Github!Q$1157</f>
        <v>47403</v>
      </c>
    </row>
    <row r="1066">
      <c r="A1066" s="10">
        <f>Github!J$1461</f>
        <v>1460</v>
      </c>
      <c r="B1066" s="11" t="str">
        <f>HYPERLINK(CONCAT("http://leetcode.com/problems/",Github!C$1461), Github!B$1461)</f>
        <v>Make Two Arrays Equal by Reversing Sub-arrays</v>
      </c>
      <c r="C1066" s="10">
        <f>Github!F$1461</f>
        <v>677</v>
      </c>
      <c r="D1066" s="10">
        <f>Github!G$1461</f>
        <v>107</v>
      </c>
      <c r="E1066" s="10">
        <f>Github!F$1461+Github!G$1461</f>
        <v>784</v>
      </c>
      <c r="F1066" s="12">
        <f t="shared" si="1"/>
        <v>6.33</v>
      </c>
      <c r="G1066" s="10" t="str">
        <f>Github!H$1461</f>
        <v>Algorithms</v>
      </c>
      <c r="H1066" s="13" t="str">
        <f>SUBSTITUTE(Github!L$1461, ";", ", ")</f>
        <v>Array, Hash Table, Sorting, </v>
      </c>
      <c r="I1066" s="10" t="str">
        <f>Github!E$1461</f>
        <v>Easy</v>
      </c>
      <c r="J1066" s="10" t="str">
        <f>IF(TRIM(Github!D$1461)="TRUE","FALSE","TRUE")</f>
        <v>TRUE</v>
      </c>
      <c r="K1066" s="10" t="b">
        <f>Github!M$1461</f>
        <v>0</v>
      </c>
      <c r="L1066" s="10" t="b">
        <f>Github!N$1461</f>
        <v>0</v>
      </c>
      <c r="M1066" s="10" t="str">
        <f>ROUND(Github!O$1461, 2)&amp;"%"</f>
        <v>72.55%</v>
      </c>
      <c r="N1066" s="10">
        <f>Github!P$1461</f>
        <v>81182</v>
      </c>
      <c r="O1066" s="10">
        <f>Github!Q$1461</f>
        <v>111900</v>
      </c>
    </row>
    <row r="1067">
      <c r="A1067" s="10">
        <f>Github!J$1462</f>
        <v>1461</v>
      </c>
      <c r="B1067" s="11" t="str">
        <f>HYPERLINK(CONCAT("http://leetcode.com/problems/",Github!C$1462), Github!B$1462)</f>
        <v>Check If a String Contains All Binary Codes of Size K</v>
      </c>
      <c r="C1067" s="10">
        <f>Github!F$1462</f>
        <v>677</v>
      </c>
      <c r="D1067" s="10">
        <f>Github!G$1462</f>
        <v>66</v>
      </c>
      <c r="E1067" s="10">
        <f>Github!F$1462+Github!G$1462</f>
        <v>743</v>
      </c>
      <c r="F1067" s="12">
        <f t="shared" si="1"/>
        <v>10.26</v>
      </c>
      <c r="G1067" s="10" t="str">
        <f>Github!H$1462</f>
        <v>Algorithms</v>
      </c>
      <c r="H1067" s="13" t="str">
        <f>SUBSTITUTE(Github!L$1462, ";", ", ")</f>
        <v>Hash Table, String, Bit Manipulation, Rolling Hash, Hash Function, </v>
      </c>
      <c r="I1067" s="10" t="str">
        <f>Github!E$1462</f>
        <v>Medium</v>
      </c>
      <c r="J1067" s="10" t="str">
        <f>IF(TRIM(Github!D$1462)="TRUE","FALSE","TRUE")</f>
        <v>TRUE</v>
      </c>
      <c r="K1067" s="10" t="b">
        <f>Github!M$1462</f>
        <v>1</v>
      </c>
      <c r="L1067" s="10" t="b">
        <f>Github!N$1462</f>
        <v>0</v>
      </c>
      <c r="M1067" s="10" t="str">
        <f>ROUND(Github!O$1462, 2)&amp;"%"</f>
        <v>54.44%</v>
      </c>
      <c r="N1067" s="10">
        <f>Github!P$1462</f>
        <v>46932</v>
      </c>
      <c r="O1067" s="10">
        <f>Github!Q$1462</f>
        <v>86203</v>
      </c>
    </row>
    <row r="1068">
      <c r="A1068" s="10">
        <f>Github!J$1126</f>
        <v>1125</v>
      </c>
      <c r="B1068" s="11" t="str">
        <f>HYPERLINK(CONCAT("http://leetcode.com/problems/",Github!C$1126), Github!B$1126)</f>
        <v>Smallest Sufficient Team</v>
      </c>
      <c r="C1068" s="10">
        <f>Github!F$1126</f>
        <v>676</v>
      </c>
      <c r="D1068" s="10">
        <f>Github!G$1126</f>
        <v>13</v>
      </c>
      <c r="E1068" s="10">
        <f>Github!F$1126+Github!G$1126</f>
        <v>689</v>
      </c>
      <c r="F1068" s="12">
        <f t="shared" si="1"/>
        <v>52</v>
      </c>
      <c r="G1068" s="10" t="str">
        <f>Github!H$1126</f>
        <v>Algorithms</v>
      </c>
      <c r="H1068" s="13" t="str">
        <f>SUBSTITUTE(Github!L$1126, ";", ", ")</f>
        <v>Array, Dynamic Programming, Bit Manipulation, Bitmask, </v>
      </c>
      <c r="I1068" s="10" t="str">
        <f>Github!E$1126</f>
        <v>Hard</v>
      </c>
      <c r="J1068" s="10" t="str">
        <f>IF(TRIM(Github!D$1126)="TRUE","FALSE","TRUE")</f>
        <v>TRUE</v>
      </c>
      <c r="K1068" s="10" t="b">
        <f>Github!M$1126</f>
        <v>0</v>
      </c>
      <c r="L1068" s="10" t="b">
        <f>Github!N$1126</f>
        <v>0</v>
      </c>
      <c r="M1068" s="10" t="str">
        <f>ROUND(Github!O$1126, 2)&amp;"%"</f>
        <v>47.83%</v>
      </c>
      <c r="N1068" s="10">
        <f>Github!P$1126</f>
        <v>15598</v>
      </c>
      <c r="O1068" s="10">
        <f>Github!Q$1126</f>
        <v>32612</v>
      </c>
    </row>
    <row r="1069">
      <c r="A1069" s="10">
        <f>Github!J$1721</f>
        <v>1720</v>
      </c>
      <c r="B1069" s="11" t="str">
        <f>HYPERLINK(CONCAT("http://leetcode.com/problems/",Github!C$1721), Github!B$1721)</f>
        <v>Decode XORed Array</v>
      </c>
      <c r="C1069" s="10">
        <f>Github!F$1721</f>
        <v>678</v>
      </c>
      <c r="D1069" s="10">
        <f>Github!G$1721</f>
        <v>130</v>
      </c>
      <c r="E1069" s="10">
        <f>Github!F$1721+Github!G$1721</f>
        <v>808</v>
      </c>
      <c r="F1069" s="12">
        <f t="shared" si="1"/>
        <v>5.22</v>
      </c>
      <c r="G1069" s="10" t="str">
        <f>Github!H$1721</f>
        <v>Algorithms</v>
      </c>
      <c r="H1069" s="13" t="str">
        <f>SUBSTITUTE(Github!L$1721, ";", ", ")</f>
        <v>Array, Bit Manipulation, </v>
      </c>
      <c r="I1069" s="10" t="str">
        <f>Github!E$1721</f>
        <v>Easy</v>
      </c>
      <c r="J1069" s="10" t="str">
        <f>IF(TRIM(Github!D$1721)="TRUE","FALSE","TRUE")</f>
        <v>TRUE</v>
      </c>
      <c r="K1069" s="10" t="b">
        <f>Github!M$1721</f>
        <v>0</v>
      </c>
      <c r="L1069" s="10" t="b">
        <f>Github!N$1721</f>
        <v>0</v>
      </c>
      <c r="M1069" s="10" t="str">
        <f>ROUND(Github!O$1721, 2)&amp;"%"</f>
        <v>85.93%</v>
      </c>
      <c r="N1069" s="10">
        <f>Github!P$1721</f>
        <v>64430</v>
      </c>
      <c r="O1069" s="10">
        <f>Github!Q$1721</f>
        <v>74983</v>
      </c>
    </row>
    <row r="1070">
      <c r="A1070" s="10">
        <f>Github!J$1067</f>
        <v>1066</v>
      </c>
      <c r="B1070" s="11" t="str">
        <f>HYPERLINK(CONCAT("http://leetcode.com/problems/",Github!C$1067), Github!B$1067)</f>
        <v>Campus Bikes II</v>
      </c>
      <c r="C1070" s="10">
        <f>Github!F$1067</f>
        <v>675</v>
      </c>
      <c r="D1070" s="10">
        <f>Github!G$1067</f>
        <v>55</v>
      </c>
      <c r="E1070" s="10">
        <f>Github!F$1067+Github!G$1067</f>
        <v>730</v>
      </c>
      <c r="F1070" s="12">
        <f t="shared" si="1"/>
        <v>12.27</v>
      </c>
      <c r="G1070" s="10" t="str">
        <f>Github!H$1067</f>
        <v>Algorithms</v>
      </c>
      <c r="H1070" s="13" t="str">
        <f>SUBSTITUTE(Github!L$1067, ";", ", ")</f>
        <v>Array, Dynamic Programming, Backtracking, Bit Manipulation, Bitmask, </v>
      </c>
      <c r="I1070" s="10" t="str">
        <f>Github!E$1067</f>
        <v>Medium</v>
      </c>
      <c r="J1070" s="10" t="str">
        <f>IF(TRIM(Github!D$1067)="TRUE","FALSE","TRUE")</f>
        <v>FALSE</v>
      </c>
      <c r="K1070" s="10" t="b">
        <f>Github!M$1067</f>
        <v>1</v>
      </c>
      <c r="L1070" s="10" t="b">
        <f>Github!N$1067</f>
        <v>0</v>
      </c>
      <c r="M1070" s="10" t="str">
        <f>ROUND(Github!O$1067, 2)&amp;"%"</f>
        <v>54.68%</v>
      </c>
      <c r="N1070" s="10">
        <f>Github!P$1067</f>
        <v>37015</v>
      </c>
      <c r="O1070" s="10">
        <f>Github!Q$1067</f>
        <v>67693</v>
      </c>
    </row>
    <row r="1071">
      <c r="A1071" s="10">
        <f>Github!J$703</f>
        <v>702</v>
      </c>
      <c r="B1071" s="11" t="str">
        <f>HYPERLINK(CONCAT("http://leetcode.com/problems/",Github!C$703), Github!B$703)</f>
        <v>Search in a Sorted Array of Unknown Size</v>
      </c>
      <c r="C1071" s="10">
        <f>Github!F$703</f>
        <v>674</v>
      </c>
      <c r="D1071" s="10">
        <f>Github!G$703</f>
        <v>33</v>
      </c>
      <c r="E1071" s="10">
        <f>Github!F$703+Github!G$703</f>
        <v>707</v>
      </c>
      <c r="F1071" s="12">
        <f t="shared" si="1"/>
        <v>20.42</v>
      </c>
      <c r="G1071" s="10" t="str">
        <f>Github!H$703</f>
        <v>Algorithms</v>
      </c>
      <c r="H1071" s="13" t="str">
        <f>SUBSTITUTE(Github!L$703, ";", ", ")</f>
        <v>Array, Binary Search, Interactive, </v>
      </c>
      <c r="I1071" s="10" t="str">
        <f>Github!E$703</f>
        <v>Medium</v>
      </c>
      <c r="J1071" s="10" t="str">
        <f>IF(TRIM(Github!D$703)="TRUE","FALSE","TRUE")</f>
        <v>FALSE</v>
      </c>
      <c r="K1071" s="10" t="b">
        <f>Github!M$703</f>
        <v>1</v>
      </c>
      <c r="L1071" s="10" t="b">
        <f>Github!N$703</f>
        <v>0</v>
      </c>
      <c r="M1071" s="10" t="str">
        <f>ROUND(Github!O$703, 2)&amp;"%"</f>
        <v>70.56%</v>
      </c>
      <c r="N1071" s="10">
        <f>Github!P$703</f>
        <v>65599</v>
      </c>
      <c r="O1071" s="10">
        <f>Github!Q$703</f>
        <v>92963</v>
      </c>
    </row>
    <row r="1072">
      <c r="A1072" s="10">
        <f>Github!J$818</f>
        <v>817</v>
      </c>
      <c r="B1072" s="11" t="str">
        <f>HYPERLINK(CONCAT("http://leetcode.com/problems/",Github!C$818), Github!B$818)</f>
        <v>Linked List Components</v>
      </c>
      <c r="C1072" s="10">
        <f>Github!F$818</f>
        <v>675</v>
      </c>
      <c r="D1072" s="10">
        <f>Github!G$818</f>
        <v>1709</v>
      </c>
      <c r="E1072" s="10">
        <f>Github!F$818+Github!G$818</f>
        <v>2384</v>
      </c>
      <c r="F1072" s="12">
        <f t="shared" si="1"/>
        <v>0.39</v>
      </c>
      <c r="G1072" s="10" t="str">
        <f>Github!H$818</f>
        <v>Algorithms</v>
      </c>
      <c r="H1072" s="13" t="str">
        <f>SUBSTITUTE(Github!L$818, ";", ", ")</f>
        <v>Hash Table, Linked List, </v>
      </c>
      <c r="I1072" s="10" t="str">
        <f>Github!E$818</f>
        <v>Medium</v>
      </c>
      <c r="J1072" s="10" t="str">
        <f>IF(TRIM(Github!D$818)="TRUE","FALSE","TRUE")</f>
        <v>TRUE</v>
      </c>
      <c r="K1072" s="10" t="b">
        <f>Github!M$818</f>
        <v>0</v>
      </c>
      <c r="L1072" s="10" t="b">
        <f>Github!N$818</f>
        <v>0</v>
      </c>
      <c r="M1072" s="10" t="str">
        <f>ROUND(Github!O$818, 2)&amp;"%"</f>
        <v>58.01%</v>
      </c>
      <c r="N1072" s="10">
        <f>Github!P$818</f>
        <v>66704</v>
      </c>
      <c r="O1072" s="10">
        <f>Github!Q$818</f>
        <v>114990</v>
      </c>
    </row>
    <row r="1073">
      <c r="A1073" s="10">
        <f>Github!J$563</f>
        <v>562</v>
      </c>
      <c r="B1073" s="11" t="str">
        <f>HYPERLINK(CONCAT("http://leetcode.com/problems/",Github!C$563), Github!B$563)</f>
        <v>Longest Line of Consecutive One in Matrix</v>
      </c>
      <c r="C1073" s="10">
        <f>Github!F$563</f>
        <v>673</v>
      </c>
      <c r="D1073" s="10">
        <f>Github!G$563</f>
        <v>97</v>
      </c>
      <c r="E1073" s="10">
        <f>Github!F$563+Github!G$563</f>
        <v>770</v>
      </c>
      <c r="F1073" s="12">
        <f t="shared" si="1"/>
        <v>6.94</v>
      </c>
      <c r="G1073" s="10" t="str">
        <f>Github!H$563</f>
        <v>Algorithms</v>
      </c>
      <c r="H1073" s="13" t="str">
        <f>SUBSTITUTE(Github!L$563, ";", ", ")</f>
        <v>Array, Dynamic Programming, Matrix, </v>
      </c>
      <c r="I1073" s="10" t="str">
        <f>Github!E$563</f>
        <v>Medium</v>
      </c>
      <c r="J1073" s="10" t="str">
        <f>IF(TRIM(Github!D$563)="TRUE","FALSE","TRUE")</f>
        <v>FALSE</v>
      </c>
      <c r="K1073" s="10" t="b">
        <f>Github!M$563</f>
        <v>1</v>
      </c>
      <c r="L1073" s="10" t="b">
        <f>Github!N$563</f>
        <v>0</v>
      </c>
      <c r="M1073" s="10" t="str">
        <f>ROUND(Github!O$563, 2)&amp;"%"</f>
        <v>48.95%</v>
      </c>
      <c r="N1073" s="10">
        <f>Github!P$563</f>
        <v>56380</v>
      </c>
      <c r="O1073" s="10">
        <f>Github!Q$563</f>
        <v>115191</v>
      </c>
    </row>
    <row r="1074">
      <c r="A1074" s="10">
        <f>Github!J$928</f>
        <v>927</v>
      </c>
      <c r="B1074" s="11" t="str">
        <f>HYPERLINK(CONCAT("http://leetcode.com/problems/",Github!C$928), Github!B$928)</f>
        <v>Three Equal Parts</v>
      </c>
      <c r="C1074" s="10">
        <f>Github!F$928</f>
        <v>672</v>
      </c>
      <c r="D1074" s="10">
        <f>Github!G$928</f>
        <v>103</v>
      </c>
      <c r="E1074" s="10">
        <f>Github!F$928+Github!G$928</f>
        <v>775</v>
      </c>
      <c r="F1074" s="12">
        <f t="shared" si="1"/>
        <v>6.52</v>
      </c>
      <c r="G1074" s="10" t="str">
        <f>Github!H$928</f>
        <v>Algorithms</v>
      </c>
      <c r="H1074" s="13" t="str">
        <f>SUBSTITUTE(Github!L$928, ";", ", ")</f>
        <v>Array, Math, </v>
      </c>
      <c r="I1074" s="10" t="str">
        <f>Github!E$928</f>
        <v>Hard</v>
      </c>
      <c r="J1074" s="10" t="str">
        <f>IF(TRIM(Github!D$928)="TRUE","FALSE","TRUE")</f>
        <v>TRUE</v>
      </c>
      <c r="K1074" s="10" t="b">
        <f>Github!M$928</f>
        <v>1</v>
      </c>
      <c r="L1074" s="10" t="b">
        <f>Github!N$928</f>
        <v>0</v>
      </c>
      <c r="M1074" s="10" t="str">
        <f>ROUND(Github!O$928, 2)&amp;"%"</f>
        <v>39.3%</v>
      </c>
      <c r="N1074" s="10">
        <f>Github!P$928</f>
        <v>25519</v>
      </c>
      <c r="O1074" s="10">
        <f>Github!Q$928</f>
        <v>64935</v>
      </c>
    </row>
    <row r="1075">
      <c r="A1075" s="10">
        <f>Github!J$1493</f>
        <v>1492</v>
      </c>
      <c r="B1075" s="11" t="str">
        <f>HYPERLINK(CONCAT("http://leetcode.com/problems/",Github!C$1493), Github!B$1493)</f>
        <v>The kth Factor of n</v>
      </c>
      <c r="C1075" s="10">
        <f>Github!F$1493</f>
        <v>672</v>
      </c>
      <c r="D1075" s="10">
        <f>Github!G$1493</f>
        <v>195</v>
      </c>
      <c r="E1075" s="10">
        <f>Github!F$1493+Github!G$1493</f>
        <v>867</v>
      </c>
      <c r="F1075" s="12">
        <f t="shared" si="1"/>
        <v>3.45</v>
      </c>
      <c r="G1075" s="10" t="str">
        <f>Github!H$1493</f>
        <v>Algorithms</v>
      </c>
      <c r="H1075" s="13" t="str">
        <f>SUBSTITUTE(Github!L$1493, ";", ", ")</f>
        <v>Math, </v>
      </c>
      <c r="I1075" s="10" t="str">
        <f>Github!E$1493</f>
        <v>Medium</v>
      </c>
      <c r="J1075" s="10" t="str">
        <f>IF(TRIM(Github!D$1493)="TRUE","FALSE","TRUE")</f>
        <v>TRUE</v>
      </c>
      <c r="K1075" s="10" t="b">
        <f>Github!M$1493</f>
        <v>1</v>
      </c>
      <c r="L1075" s="10" t="b">
        <f>Github!N$1493</f>
        <v>0</v>
      </c>
      <c r="M1075" s="10" t="str">
        <f>ROUND(Github!O$1493, 2)&amp;"%"</f>
        <v>62.09%</v>
      </c>
      <c r="N1075" s="10">
        <f>Github!P$1493</f>
        <v>82266</v>
      </c>
      <c r="O1075" s="10">
        <f>Github!Q$1493</f>
        <v>132486</v>
      </c>
    </row>
    <row r="1076">
      <c r="A1076" s="10">
        <f>Github!J$234</f>
        <v>233</v>
      </c>
      <c r="B1076" s="11" t="str">
        <f>HYPERLINK(CONCAT("http://leetcode.com/problems/",Github!C$234), Github!B$234)</f>
        <v>Number of Digit One</v>
      </c>
      <c r="C1076" s="10">
        <f>Github!F$234</f>
        <v>670</v>
      </c>
      <c r="D1076" s="10">
        <f>Github!G$234</f>
        <v>985</v>
      </c>
      <c r="E1076" s="10">
        <f>Github!F$234+Github!G$234</f>
        <v>1655</v>
      </c>
      <c r="F1076" s="12">
        <f t="shared" si="1"/>
        <v>0.68</v>
      </c>
      <c r="G1076" s="10" t="str">
        <f>Github!H$234</f>
        <v>Algorithms</v>
      </c>
      <c r="H1076" s="13" t="str">
        <f>SUBSTITUTE(Github!L$234, ";", ", ")</f>
        <v>Math, Dynamic Programming, Recursion, </v>
      </c>
      <c r="I1076" s="10" t="str">
        <f>Github!E$234</f>
        <v>Hard</v>
      </c>
      <c r="J1076" s="10" t="str">
        <f>IF(TRIM(Github!D$234)="TRUE","FALSE","TRUE")</f>
        <v>TRUE</v>
      </c>
      <c r="K1076" s="10" t="b">
        <f>Github!M$234</f>
        <v>1</v>
      </c>
      <c r="L1076" s="10" t="b">
        <f>Github!N$234</f>
        <v>0</v>
      </c>
      <c r="M1076" s="10" t="str">
        <f>ROUND(Github!O$234, 2)&amp;"%"</f>
        <v>33.33%</v>
      </c>
      <c r="N1076" s="10">
        <f>Github!P$234</f>
        <v>62607</v>
      </c>
      <c r="O1076" s="10">
        <f>Github!Q$234</f>
        <v>187815</v>
      </c>
    </row>
    <row r="1077">
      <c r="A1077" s="10">
        <f>Github!J$1545</f>
        <v>1544</v>
      </c>
      <c r="B1077" s="11" t="str">
        <f>HYPERLINK(CONCAT("http://leetcode.com/problems/",Github!C$1545), Github!B$1545)</f>
        <v>Make The String Great</v>
      </c>
      <c r="C1077" s="10">
        <f>Github!F$1545</f>
        <v>670</v>
      </c>
      <c r="D1077" s="10">
        <f>Github!G$1545</f>
        <v>50</v>
      </c>
      <c r="E1077" s="10">
        <f>Github!F$1545+Github!G$1545</f>
        <v>720</v>
      </c>
      <c r="F1077" s="12">
        <f t="shared" si="1"/>
        <v>13.4</v>
      </c>
      <c r="G1077" s="10" t="str">
        <f>Github!H$1545</f>
        <v>Algorithms</v>
      </c>
      <c r="H1077" s="13" t="str">
        <f>SUBSTITUTE(Github!L$1545, ";", ", ")</f>
        <v>String, Stack, </v>
      </c>
      <c r="I1077" s="10" t="str">
        <f>Github!E$1545</f>
        <v>Easy</v>
      </c>
      <c r="J1077" s="10" t="str">
        <f>IF(TRIM(Github!D$1545)="TRUE","FALSE","TRUE")</f>
        <v>TRUE</v>
      </c>
      <c r="K1077" s="10" t="b">
        <f>Github!M$1545</f>
        <v>0</v>
      </c>
      <c r="L1077" s="10" t="b">
        <f>Github!N$1545</f>
        <v>0</v>
      </c>
      <c r="M1077" s="10" t="str">
        <f>ROUND(Github!O$1545, 2)&amp;"%"</f>
        <v>56.38%</v>
      </c>
      <c r="N1077" s="10">
        <f>Github!P$1545</f>
        <v>46156</v>
      </c>
      <c r="O1077" s="10">
        <f>Github!Q$1545</f>
        <v>81867</v>
      </c>
    </row>
    <row r="1078">
      <c r="A1078" s="10">
        <f>Github!J$1479</f>
        <v>1478</v>
      </c>
      <c r="B1078" s="11" t="str">
        <f>HYPERLINK(CONCAT("http://leetcode.com/problems/",Github!C$1479), Github!B$1479)</f>
        <v>Allocate Mailboxes</v>
      </c>
      <c r="C1078" s="10">
        <f>Github!F$1479</f>
        <v>669</v>
      </c>
      <c r="D1078" s="10">
        <f>Github!G$1479</f>
        <v>12</v>
      </c>
      <c r="E1078" s="10">
        <f>Github!F$1479+Github!G$1479</f>
        <v>681</v>
      </c>
      <c r="F1078" s="12">
        <f t="shared" si="1"/>
        <v>55.75</v>
      </c>
      <c r="G1078" s="10" t="str">
        <f>Github!H$1479</f>
        <v>Algorithms</v>
      </c>
      <c r="H1078" s="13" t="str">
        <f>SUBSTITUTE(Github!L$1479, ";", ", ")</f>
        <v>Array, Math, Dynamic Programming, Sorting, </v>
      </c>
      <c r="I1078" s="10" t="str">
        <f>Github!E$1479</f>
        <v>Hard</v>
      </c>
      <c r="J1078" s="10" t="str">
        <f>IF(TRIM(Github!D$1479)="TRUE","FALSE","TRUE")</f>
        <v>TRUE</v>
      </c>
      <c r="K1078" s="10" t="b">
        <f>Github!M$1479</f>
        <v>0</v>
      </c>
      <c r="L1078" s="10" t="b">
        <f>Github!N$1479</f>
        <v>0</v>
      </c>
      <c r="M1078" s="10" t="str">
        <f>ROUND(Github!O$1479, 2)&amp;"%"</f>
        <v>55.39%</v>
      </c>
      <c r="N1078" s="10">
        <f>Github!P$1479</f>
        <v>14709</v>
      </c>
      <c r="O1078" s="10">
        <f>Github!Q$1479</f>
        <v>26553</v>
      </c>
    </row>
    <row r="1079">
      <c r="A1079" s="10">
        <f>Github!J$515</f>
        <v>514</v>
      </c>
      <c r="B1079" s="11" t="str">
        <f>HYPERLINK(CONCAT("http://leetcode.com/problems/",Github!C$515), Github!B$515)</f>
        <v>Freedom Trail</v>
      </c>
      <c r="C1079" s="10">
        <f>Github!F$515</f>
        <v>665</v>
      </c>
      <c r="D1079" s="10">
        <f>Github!G$515</f>
        <v>31</v>
      </c>
      <c r="E1079" s="10">
        <f>Github!F$515+Github!G$515</f>
        <v>696</v>
      </c>
      <c r="F1079" s="12">
        <f t="shared" si="1"/>
        <v>21.45</v>
      </c>
      <c r="G1079" s="10" t="str">
        <f>Github!H$515</f>
        <v>Algorithms</v>
      </c>
      <c r="H1079" s="13" t="str">
        <f>SUBSTITUTE(Github!L$515, ";", ", ")</f>
        <v>String, Dynamic Programming, Depth-First Search, Breadth-First Search, </v>
      </c>
      <c r="I1079" s="10" t="str">
        <f>Github!E$515</f>
        <v>Hard</v>
      </c>
      <c r="J1079" s="10" t="str">
        <f>IF(TRIM(Github!D$515)="TRUE","FALSE","TRUE")</f>
        <v>TRUE</v>
      </c>
      <c r="K1079" s="10" t="b">
        <f>Github!M$515</f>
        <v>0</v>
      </c>
      <c r="L1079" s="10" t="b">
        <f>Github!N$515</f>
        <v>0</v>
      </c>
      <c r="M1079" s="10" t="str">
        <f>ROUND(Github!O$515, 2)&amp;"%"</f>
        <v>46.02%</v>
      </c>
      <c r="N1079" s="10">
        <f>Github!P$515</f>
        <v>26600</v>
      </c>
      <c r="O1079" s="10">
        <f>Github!Q$515</f>
        <v>57798</v>
      </c>
    </row>
    <row r="1080">
      <c r="A1080" s="10">
        <f>Github!J$1750</f>
        <v>1749</v>
      </c>
      <c r="B1080" s="11" t="str">
        <f>HYPERLINK(CONCAT("http://leetcode.com/problems/",Github!C$1750), Github!B$1750)</f>
        <v>Maximum Absolute Sum of Any Subarray</v>
      </c>
      <c r="C1080" s="10">
        <f>Github!F$1750</f>
        <v>667</v>
      </c>
      <c r="D1080" s="10">
        <f>Github!G$1750</f>
        <v>10</v>
      </c>
      <c r="E1080" s="10">
        <f>Github!F$1750+Github!G$1750</f>
        <v>677</v>
      </c>
      <c r="F1080" s="12">
        <f t="shared" si="1"/>
        <v>66.7</v>
      </c>
      <c r="G1080" s="10" t="str">
        <f>Github!H$1750</f>
        <v>Algorithms</v>
      </c>
      <c r="H1080" s="13" t="str">
        <f>SUBSTITUTE(Github!L$1750, ";", ", ")</f>
        <v>Array, Dynamic Programming, </v>
      </c>
      <c r="I1080" s="10" t="str">
        <f>Github!E$1750</f>
        <v>Medium</v>
      </c>
      <c r="J1080" s="10" t="str">
        <f>IF(TRIM(Github!D$1750)="TRUE","FALSE","TRUE")</f>
        <v>TRUE</v>
      </c>
      <c r="K1080" s="10" t="b">
        <f>Github!M$1750</f>
        <v>0</v>
      </c>
      <c r="L1080" s="10" t="b">
        <f>Github!N$1750</f>
        <v>0</v>
      </c>
      <c r="M1080" s="10" t="str">
        <f>ROUND(Github!O$1750, 2)&amp;"%"</f>
        <v>56.6%</v>
      </c>
      <c r="N1080" s="10">
        <f>Github!P$1750</f>
        <v>20002</v>
      </c>
      <c r="O1080" s="10">
        <f>Github!Q$1750</f>
        <v>35341</v>
      </c>
    </row>
    <row r="1081">
      <c r="A1081" s="10">
        <f>Github!J$594</f>
        <v>593</v>
      </c>
      <c r="B1081" s="11" t="str">
        <f>HYPERLINK(CONCAT("http://leetcode.com/problems/",Github!C$594), Github!B$594)</f>
        <v>Valid Square</v>
      </c>
      <c r="C1081" s="10">
        <f>Github!F$594</f>
        <v>664</v>
      </c>
      <c r="D1081" s="10">
        <f>Github!G$594</f>
        <v>736</v>
      </c>
      <c r="E1081" s="10">
        <f>Github!F$594+Github!G$594</f>
        <v>1400</v>
      </c>
      <c r="F1081" s="12">
        <f t="shared" si="1"/>
        <v>0.9</v>
      </c>
      <c r="G1081" s="10" t="str">
        <f>Github!H$594</f>
        <v>Algorithms</v>
      </c>
      <c r="H1081" s="13" t="str">
        <f>SUBSTITUTE(Github!L$594, ";", ", ")</f>
        <v>Math, Geometry, </v>
      </c>
      <c r="I1081" s="10" t="str">
        <f>Github!E$594</f>
        <v>Medium</v>
      </c>
      <c r="J1081" s="10" t="str">
        <f>IF(TRIM(Github!D$594)="TRUE","FALSE","TRUE")</f>
        <v>TRUE</v>
      </c>
      <c r="K1081" s="10" t="b">
        <f>Github!M$594</f>
        <v>1</v>
      </c>
      <c r="L1081" s="10" t="b">
        <f>Github!N$594</f>
        <v>0</v>
      </c>
      <c r="M1081" s="10" t="str">
        <f>ROUND(Github!O$594, 2)&amp;"%"</f>
        <v>43.79%</v>
      </c>
      <c r="N1081" s="10">
        <f>Github!P$594</f>
        <v>80621</v>
      </c>
      <c r="O1081" s="10">
        <f>Github!Q$594</f>
        <v>184093</v>
      </c>
    </row>
    <row r="1082">
      <c r="A1082" s="10">
        <f>Github!J$1457</f>
        <v>1456</v>
      </c>
      <c r="B1082" s="11" t="str">
        <f>HYPERLINK(CONCAT("http://leetcode.com/problems/",Github!C$1457), Github!B$1457)</f>
        <v>Maximum Number of Vowels in a Substring of Given Length</v>
      </c>
      <c r="C1082" s="10">
        <f>Github!F$1457</f>
        <v>663</v>
      </c>
      <c r="D1082" s="10">
        <f>Github!G$1457</f>
        <v>37</v>
      </c>
      <c r="E1082" s="10">
        <f>Github!F$1457+Github!G$1457</f>
        <v>700</v>
      </c>
      <c r="F1082" s="12">
        <f t="shared" si="1"/>
        <v>17.92</v>
      </c>
      <c r="G1082" s="10" t="str">
        <f>Github!H$1457</f>
        <v>Algorithms</v>
      </c>
      <c r="H1082" s="13" t="str">
        <f>SUBSTITUTE(Github!L$1457, ";", ", ")</f>
        <v>String, Sliding Window, </v>
      </c>
      <c r="I1082" s="10" t="str">
        <f>Github!E$1457</f>
        <v>Medium</v>
      </c>
      <c r="J1082" s="10" t="str">
        <f>IF(TRIM(Github!D$1457)="TRUE","FALSE","TRUE")</f>
        <v>TRUE</v>
      </c>
      <c r="K1082" s="10" t="b">
        <f>Github!M$1457</f>
        <v>0</v>
      </c>
      <c r="L1082" s="10" t="b">
        <f>Github!N$1457</f>
        <v>0</v>
      </c>
      <c r="M1082" s="10" t="str">
        <f>ROUND(Github!O$1457, 2)&amp;"%"</f>
        <v>57.23%</v>
      </c>
      <c r="N1082" s="10">
        <f>Github!P$1457</f>
        <v>41131</v>
      </c>
      <c r="O1082" s="10">
        <f>Github!Q$1457</f>
        <v>71864</v>
      </c>
    </row>
    <row r="1083">
      <c r="A1083" s="10">
        <f>Github!J$1680</f>
        <v>1679</v>
      </c>
      <c r="B1083" s="11" t="str">
        <f>HYPERLINK(CONCAT("http://leetcode.com/problems/",Github!C$1680), Github!B$1680)</f>
        <v>Max Number of K-Sum Pairs</v>
      </c>
      <c r="C1083" s="10">
        <f>Github!F$1680</f>
        <v>663</v>
      </c>
      <c r="D1083" s="10">
        <f>Github!G$1680</f>
        <v>24</v>
      </c>
      <c r="E1083" s="10">
        <f>Github!F$1680+Github!G$1680</f>
        <v>687</v>
      </c>
      <c r="F1083" s="12">
        <f t="shared" si="1"/>
        <v>27.63</v>
      </c>
      <c r="G1083" s="10" t="str">
        <f>Github!H$1680</f>
        <v>Algorithms</v>
      </c>
      <c r="H1083" s="13" t="str">
        <f>SUBSTITUTE(Github!L$1680, ";", ", ")</f>
        <v>Array, Hash Table, Two Pointers, Sorting, </v>
      </c>
      <c r="I1083" s="10" t="str">
        <f>Github!E$1680</f>
        <v>Medium</v>
      </c>
      <c r="J1083" s="10" t="str">
        <f>IF(TRIM(Github!D$1680)="TRUE","FALSE","TRUE")</f>
        <v>TRUE</v>
      </c>
      <c r="K1083" s="10" t="b">
        <f>Github!M$1680</f>
        <v>1</v>
      </c>
      <c r="L1083" s="10" t="b">
        <f>Github!N$1680</f>
        <v>0</v>
      </c>
      <c r="M1083" s="10" t="str">
        <f>ROUND(Github!O$1680, 2)&amp;"%"</f>
        <v>53.56%</v>
      </c>
      <c r="N1083" s="10">
        <f>Github!P$1680</f>
        <v>49700</v>
      </c>
      <c r="O1083" s="10">
        <f>Github!Q$1680</f>
        <v>92797</v>
      </c>
    </row>
    <row r="1084">
      <c r="A1084" s="10">
        <f>Github!J$1945</f>
        <v>1944</v>
      </c>
      <c r="B1084" s="11" t="str">
        <f>HYPERLINK(CONCAT("http://leetcode.com/problems/",Github!C$1945), Github!B$1945)</f>
        <v>Number of Visible People in a Queue</v>
      </c>
      <c r="C1084" s="10">
        <f>Github!F$1945</f>
        <v>664</v>
      </c>
      <c r="D1084" s="10">
        <f>Github!G$1945</f>
        <v>13</v>
      </c>
      <c r="E1084" s="10">
        <f>Github!F$1945+Github!G$1945</f>
        <v>677</v>
      </c>
      <c r="F1084" s="12">
        <f t="shared" si="1"/>
        <v>51.08</v>
      </c>
      <c r="G1084" s="10" t="str">
        <f>Github!H$1945</f>
        <v>Algorithms</v>
      </c>
      <c r="H1084" s="13" t="str">
        <f>SUBSTITUTE(Github!L$1945, ";", ", ")</f>
        <v>Array, Stack, Monotonic Stack, </v>
      </c>
      <c r="I1084" s="10" t="str">
        <f>Github!E$1945</f>
        <v>Hard</v>
      </c>
      <c r="J1084" s="10" t="str">
        <f>IF(TRIM(Github!D$1945)="TRUE","FALSE","TRUE")</f>
        <v>TRUE</v>
      </c>
      <c r="K1084" s="10" t="b">
        <f>Github!M$1945</f>
        <v>0</v>
      </c>
      <c r="L1084" s="10" t="b">
        <f>Github!N$1945</f>
        <v>0</v>
      </c>
      <c r="M1084" s="10" t="str">
        <f>ROUND(Github!O$1945, 2)&amp;"%"</f>
        <v>69.82%</v>
      </c>
      <c r="N1084" s="10">
        <f>Github!P$1945</f>
        <v>15520</v>
      </c>
      <c r="O1084" s="10">
        <f>Github!Q$1945</f>
        <v>22228</v>
      </c>
    </row>
    <row r="1085">
      <c r="A1085" s="10">
        <f>Github!J$825</f>
        <v>824</v>
      </c>
      <c r="B1085" s="11" t="str">
        <f>HYPERLINK(CONCAT("http://leetcode.com/problems/",Github!C$825), Github!B$825)</f>
        <v>Goat Latin</v>
      </c>
      <c r="C1085" s="10">
        <f>Github!F$825</f>
        <v>662</v>
      </c>
      <c r="D1085" s="10">
        <f>Github!G$825</f>
        <v>1074</v>
      </c>
      <c r="E1085" s="10">
        <f>Github!F$825+Github!G$825</f>
        <v>1736</v>
      </c>
      <c r="F1085" s="12">
        <f t="shared" si="1"/>
        <v>0.62</v>
      </c>
      <c r="G1085" s="10" t="str">
        <f>Github!H$825</f>
        <v>Algorithms</v>
      </c>
      <c r="H1085" s="13" t="str">
        <f>SUBSTITUTE(Github!L$825, ";", ", ")</f>
        <v>String, </v>
      </c>
      <c r="I1085" s="10" t="str">
        <f>Github!E$825</f>
        <v>Easy</v>
      </c>
      <c r="J1085" s="10" t="str">
        <f>IF(TRIM(Github!D$825)="TRUE","FALSE","TRUE")</f>
        <v>TRUE</v>
      </c>
      <c r="K1085" s="10" t="b">
        <f>Github!M$825</f>
        <v>0</v>
      </c>
      <c r="L1085" s="10" t="b">
        <f>Github!N$825</f>
        <v>0</v>
      </c>
      <c r="M1085" s="10" t="str">
        <f>ROUND(Github!O$825, 2)&amp;"%"</f>
        <v>67.51%</v>
      </c>
      <c r="N1085" s="10">
        <f>Github!P$825</f>
        <v>139087</v>
      </c>
      <c r="O1085" s="10">
        <f>Github!Q$825</f>
        <v>206030</v>
      </c>
    </row>
    <row r="1086">
      <c r="A1086" s="10">
        <f>Github!J$1224</f>
        <v>1223</v>
      </c>
      <c r="B1086" s="11" t="str">
        <f>HYPERLINK(CONCAT("http://leetcode.com/problems/",Github!C$1224), Github!B$1224)</f>
        <v>Dice Roll Simulation</v>
      </c>
      <c r="C1086" s="10">
        <f>Github!F$1224</f>
        <v>661</v>
      </c>
      <c r="D1086" s="10">
        <f>Github!G$1224</f>
        <v>172</v>
      </c>
      <c r="E1086" s="10">
        <f>Github!F$1224+Github!G$1224</f>
        <v>833</v>
      </c>
      <c r="F1086" s="12">
        <f t="shared" si="1"/>
        <v>3.84</v>
      </c>
      <c r="G1086" s="10" t="str">
        <f>Github!H$1224</f>
        <v>Algorithms</v>
      </c>
      <c r="H1086" s="13" t="str">
        <f>SUBSTITUTE(Github!L$1224, ";", ", ")</f>
        <v>Array, Dynamic Programming, </v>
      </c>
      <c r="I1086" s="10" t="str">
        <f>Github!E$1224</f>
        <v>Hard</v>
      </c>
      <c r="J1086" s="10" t="str">
        <f>IF(TRIM(Github!D$1224)="TRUE","FALSE","TRUE")</f>
        <v>TRUE</v>
      </c>
      <c r="K1086" s="10" t="b">
        <f>Github!M$1224</f>
        <v>0</v>
      </c>
      <c r="L1086" s="10" t="b">
        <f>Github!N$1224</f>
        <v>0</v>
      </c>
      <c r="M1086" s="10" t="str">
        <f>ROUND(Github!O$1224, 2)&amp;"%"</f>
        <v>47.71%</v>
      </c>
      <c r="N1086" s="10">
        <f>Github!P$1224</f>
        <v>21243</v>
      </c>
      <c r="O1086" s="10">
        <f>Github!Q$1224</f>
        <v>44521</v>
      </c>
    </row>
    <row r="1087">
      <c r="A1087" s="10">
        <f>Github!J$782</f>
        <v>781</v>
      </c>
      <c r="B1087" s="11" t="str">
        <f>HYPERLINK(CONCAT("http://leetcode.com/problems/",Github!C$782), Github!B$782)</f>
        <v>Rabbits in Forest</v>
      </c>
      <c r="C1087" s="10">
        <f>Github!F$782</f>
        <v>661</v>
      </c>
      <c r="D1087" s="10">
        <f>Github!G$782</f>
        <v>476</v>
      </c>
      <c r="E1087" s="10">
        <f>Github!F$782+Github!G$782</f>
        <v>1137</v>
      </c>
      <c r="F1087" s="12">
        <f t="shared" si="1"/>
        <v>1.39</v>
      </c>
      <c r="G1087" s="10" t="str">
        <f>Github!H$782</f>
        <v>Algorithms</v>
      </c>
      <c r="H1087" s="13" t="str">
        <f>SUBSTITUTE(Github!L$782, ";", ", ")</f>
        <v>Array, Hash Table, Math, Greedy, </v>
      </c>
      <c r="I1087" s="10" t="str">
        <f>Github!E$782</f>
        <v>Medium</v>
      </c>
      <c r="J1087" s="10" t="str">
        <f>IF(TRIM(Github!D$782)="TRUE","FALSE","TRUE")</f>
        <v>TRUE</v>
      </c>
      <c r="K1087" s="10" t="b">
        <f>Github!M$782</f>
        <v>1</v>
      </c>
      <c r="L1087" s="10" t="b">
        <f>Github!N$782</f>
        <v>0</v>
      </c>
      <c r="M1087" s="10" t="str">
        <f>ROUND(Github!O$782, 2)&amp;"%"</f>
        <v>55.7%</v>
      </c>
      <c r="N1087" s="10">
        <f>Github!P$782</f>
        <v>34932</v>
      </c>
      <c r="O1087" s="10">
        <f>Github!Q$782</f>
        <v>62712</v>
      </c>
    </row>
    <row r="1088">
      <c r="A1088" s="10">
        <f>Github!J$1401</f>
        <v>1400</v>
      </c>
      <c r="B1088" s="11" t="str">
        <f>HYPERLINK(CONCAT("http://leetcode.com/problems/",Github!C$1401), Github!B$1401)</f>
        <v>Construct K Palindrome Strings</v>
      </c>
      <c r="C1088" s="10">
        <f>Github!F$1401</f>
        <v>658</v>
      </c>
      <c r="D1088" s="10">
        <f>Github!G$1401</f>
        <v>67</v>
      </c>
      <c r="E1088" s="10">
        <f>Github!F$1401+Github!G$1401</f>
        <v>725</v>
      </c>
      <c r="F1088" s="12">
        <f t="shared" si="1"/>
        <v>9.82</v>
      </c>
      <c r="G1088" s="10" t="str">
        <f>Github!H$1401</f>
        <v>Algorithms</v>
      </c>
      <c r="H1088" s="13" t="str">
        <f>SUBSTITUTE(Github!L$1401, ";", ", ")</f>
        <v>Hash Table, String, Greedy, Counting, </v>
      </c>
      <c r="I1088" s="10" t="str">
        <f>Github!E$1401</f>
        <v>Medium</v>
      </c>
      <c r="J1088" s="10" t="str">
        <f>IF(TRIM(Github!D$1401)="TRUE","FALSE","TRUE")</f>
        <v>TRUE</v>
      </c>
      <c r="K1088" s="10" t="b">
        <f>Github!M$1401</f>
        <v>0</v>
      </c>
      <c r="L1088" s="10" t="b">
        <f>Github!N$1401</f>
        <v>0</v>
      </c>
      <c r="M1088" s="10" t="str">
        <f>ROUND(Github!O$1401, 2)&amp;"%"</f>
        <v>63.83%</v>
      </c>
      <c r="N1088" s="10">
        <f>Github!P$1401</f>
        <v>34027</v>
      </c>
      <c r="O1088" s="10">
        <f>Github!Q$1401</f>
        <v>53306</v>
      </c>
    </row>
    <row r="1089">
      <c r="A1089" s="10">
        <f>Github!J$1519</f>
        <v>1518</v>
      </c>
      <c r="B1089" s="11" t="str">
        <f>HYPERLINK(CONCAT("http://leetcode.com/problems/",Github!C$1519), Github!B$1519)</f>
        <v>Water Bottles</v>
      </c>
      <c r="C1089" s="10">
        <f>Github!F$1519</f>
        <v>657</v>
      </c>
      <c r="D1089" s="10">
        <f>Github!G$1519</f>
        <v>53</v>
      </c>
      <c r="E1089" s="10">
        <f>Github!F$1519+Github!G$1519</f>
        <v>710</v>
      </c>
      <c r="F1089" s="12">
        <f t="shared" si="1"/>
        <v>12.4</v>
      </c>
      <c r="G1089" s="10" t="str">
        <f>Github!H$1519</f>
        <v>Algorithms</v>
      </c>
      <c r="H1089" s="13" t="str">
        <f>SUBSTITUTE(Github!L$1519, ";", ", ")</f>
        <v>Math, Simulation, </v>
      </c>
      <c r="I1089" s="10" t="str">
        <f>Github!E$1519</f>
        <v>Easy</v>
      </c>
      <c r="J1089" s="10" t="str">
        <f>IF(TRIM(Github!D$1519)="TRUE","FALSE","TRUE")</f>
        <v>TRUE</v>
      </c>
      <c r="K1089" s="10" t="b">
        <f>Github!M$1519</f>
        <v>0</v>
      </c>
      <c r="L1089" s="10" t="b">
        <f>Github!N$1519</f>
        <v>0</v>
      </c>
      <c r="M1089" s="10" t="str">
        <f>ROUND(Github!O$1519, 2)&amp;"%"</f>
        <v>60.46%</v>
      </c>
      <c r="N1089" s="10">
        <f>Github!P$1519</f>
        <v>47378</v>
      </c>
      <c r="O1089" s="10">
        <f>Github!Q$1519</f>
        <v>78369</v>
      </c>
    </row>
    <row r="1090">
      <c r="A1090" s="10">
        <f>Github!J$718</f>
        <v>717</v>
      </c>
      <c r="B1090" s="11" t="str">
        <f>HYPERLINK(CONCAT("http://leetcode.com/problems/",Github!C$718), Github!B$718)</f>
        <v>1-bit and 2-bit Characters</v>
      </c>
      <c r="C1090" s="10">
        <f>Github!F$718</f>
        <v>657</v>
      </c>
      <c r="D1090" s="10">
        <f>Github!G$718</f>
        <v>1693</v>
      </c>
      <c r="E1090" s="10">
        <f>Github!F$718+Github!G$718</f>
        <v>2350</v>
      </c>
      <c r="F1090" s="12">
        <f t="shared" si="1"/>
        <v>0.39</v>
      </c>
      <c r="G1090" s="10" t="str">
        <f>Github!H$718</f>
        <v>Algorithms</v>
      </c>
      <c r="H1090" s="13" t="str">
        <f>SUBSTITUTE(Github!L$718, ";", ", ")</f>
        <v>Array, </v>
      </c>
      <c r="I1090" s="10" t="str">
        <f>Github!E$718</f>
        <v>Easy</v>
      </c>
      <c r="J1090" s="10" t="str">
        <f>IF(TRIM(Github!D$718)="TRUE","FALSE","TRUE")</f>
        <v>TRUE</v>
      </c>
      <c r="K1090" s="10" t="b">
        <f>Github!M$718</f>
        <v>0</v>
      </c>
      <c r="L1090" s="10" t="b">
        <f>Github!N$718</f>
        <v>0</v>
      </c>
      <c r="M1090" s="10" t="str">
        <f>ROUND(Github!O$718, 2)&amp;"%"</f>
        <v>46.24%</v>
      </c>
      <c r="N1090" s="10">
        <f>Github!P$718</f>
        <v>101490</v>
      </c>
      <c r="O1090" s="10">
        <f>Github!Q$718</f>
        <v>219496</v>
      </c>
    </row>
    <row r="1091">
      <c r="A1091" s="10">
        <f>Github!J$642</f>
        <v>641</v>
      </c>
      <c r="B1091" s="11" t="str">
        <f>HYPERLINK(CONCAT("http://leetcode.com/problems/",Github!C$642), Github!B$642)</f>
        <v>Design Circular Deque</v>
      </c>
      <c r="C1091" s="10">
        <f>Github!F$642</f>
        <v>655</v>
      </c>
      <c r="D1091" s="10">
        <f>Github!G$642</f>
        <v>55</v>
      </c>
      <c r="E1091" s="10">
        <f>Github!F$642+Github!G$642</f>
        <v>710</v>
      </c>
      <c r="F1091" s="12">
        <f t="shared" si="1"/>
        <v>11.91</v>
      </c>
      <c r="G1091" s="10" t="str">
        <f>Github!H$642</f>
        <v>Algorithms</v>
      </c>
      <c r="H1091" s="13" t="str">
        <f>SUBSTITUTE(Github!L$642, ";", ", ")</f>
        <v>Array, Linked List, Design, Queue, </v>
      </c>
      <c r="I1091" s="10" t="str">
        <f>Github!E$642</f>
        <v>Medium</v>
      </c>
      <c r="J1091" s="10" t="str">
        <f>IF(TRIM(Github!D$642)="TRUE","FALSE","TRUE")</f>
        <v>TRUE</v>
      </c>
      <c r="K1091" s="10" t="b">
        <f>Github!M$642</f>
        <v>0</v>
      </c>
      <c r="L1091" s="10" t="b">
        <f>Github!N$642</f>
        <v>0</v>
      </c>
      <c r="M1091" s="10" t="str">
        <f>ROUND(Github!O$642, 2)&amp;"%"</f>
        <v>57.22%</v>
      </c>
      <c r="N1091" s="10">
        <f>Github!P$642</f>
        <v>40814</v>
      </c>
      <c r="O1091" s="10">
        <f>Github!Q$642</f>
        <v>71325</v>
      </c>
    </row>
    <row r="1092">
      <c r="A1092" s="10">
        <f>Github!J$986</f>
        <v>985</v>
      </c>
      <c r="B1092" s="11" t="str">
        <f>HYPERLINK(CONCAT("http://leetcode.com/problems/",Github!C$986), Github!B$986)</f>
        <v>Sum of Even Numbers After Queries</v>
      </c>
      <c r="C1092" s="10">
        <f>Github!F$986</f>
        <v>653</v>
      </c>
      <c r="D1092" s="10">
        <f>Github!G$986</f>
        <v>211</v>
      </c>
      <c r="E1092" s="10">
        <f>Github!F$986+Github!G$986</f>
        <v>864</v>
      </c>
      <c r="F1092" s="12">
        <f t="shared" si="1"/>
        <v>3.09</v>
      </c>
      <c r="G1092" s="10" t="str">
        <f>Github!H$986</f>
        <v>Algorithms</v>
      </c>
      <c r="H1092" s="13" t="str">
        <f>SUBSTITUTE(Github!L$986, ";", ", ")</f>
        <v>Array, Simulation, </v>
      </c>
      <c r="I1092" s="10" t="str">
        <f>Github!E$986</f>
        <v>Medium</v>
      </c>
      <c r="J1092" s="10" t="str">
        <f>IF(TRIM(Github!D$986)="TRUE","FALSE","TRUE")</f>
        <v>TRUE</v>
      </c>
      <c r="K1092" s="10" t="b">
        <f>Github!M$986</f>
        <v>1</v>
      </c>
      <c r="L1092" s="10" t="b">
        <f>Github!N$986</f>
        <v>0</v>
      </c>
      <c r="M1092" s="10" t="str">
        <f>ROUND(Github!O$986, 2)&amp;"%"</f>
        <v>60.87%</v>
      </c>
      <c r="N1092" s="10">
        <f>Github!P$986</f>
        <v>61871</v>
      </c>
      <c r="O1092" s="10">
        <f>Github!Q$986</f>
        <v>101652</v>
      </c>
    </row>
    <row r="1093">
      <c r="A1093" s="10">
        <f>Github!J$1641</f>
        <v>1640</v>
      </c>
      <c r="B1093" s="11" t="str">
        <f>HYPERLINK(CONCAT("http://leetcode.com/problems/",Github!C$1641), Github!B$1641)</f>
        <v>Check Array Formation Through Concatenation</v>
      </c>
      <c r="C1093" s="10">
        <f>Github!F$1641</f>
        <v>653</v>
      </c>
      <c r="D1093" s="10">
        <f>Github!G$1641</f>
        <v>111</v>
      </c>
      <c r="E1093" s="10">
        <f>Github!F$1641+Github!G$1641</f>
        <v>764</v>
      </c>
      <c r="F1093" s="12">
        <f t="shared" si="1"/>
        <v>5.88</v>
      </c>
      <c r="G1093" s="10" t="str">
        <f>Github!H$1641</f>
        <v>Algorithms</v>
      </c>
      <c r="H1093" s="13" t="str">
        <f>SUBSTITUTE(Github!L$1641, ";", ", ")</f>
        <v>Array, Hash Table, </v>
      </c>
      <c r="I1093" s="10" t="str">
        <f>Github!E$1641</f>
        <v>Easy</v>
      </c>
      <c r="J1093" s="10" t="str">
        <f>IF(TRIM(Github!D$1641)="TRUE","FALSE","TRUE")</f>
        <v>TRUE</v>
      </c>
      <c r="K1093" s="10" t="b">
        <f>Github!M$1641</f>
        <v>1</v>
      </c>
      <c r="L1093" s="10" t="b">
        <f>Github!N$1641</f>
        <v>0</v>
      </c>
      <c r="M1093" s="10" t="str">
        <f>ROUND(Github!O$1641, 2)&amp;"%"</f>
        <v>55.72%</v>
      </c>
      <c r="N1093" s="10">
        <f>Github!P$1641</f>
        <v>65680</v>
      </c>
      <c r="O1093" s="10">
        <f>Github!Q$1641</f>
        <v>117876</v>
      </c>
    </row>
    <row r="1094">
      <c r="A1094" s="10">
        <f>Github!J$469</f>
        <v>468</v>
      </c>
      <c r="B1094" s="11" t="str">
        <f>HYPERLINK(CONCAT("http://leetcode.com/problems/",Github!C$469), Github!B$469)</f>
        <v>Validate IP Address</v>
      </c>
      <c r="C1094" s="10">
        <f>Github!F$469</f>
        <v>652</v>
      </c>
      <c r="D1094" s="10">
        <f>Github!G$469</f>
        <v>2304</v>
      </c>
      <c r="E1094" s="10">
        <f>Github!F$469+Github!G$469</f>
        <v>2956</v>
      </c>
      <c r="F1094" s="12">
        <f t="shared" si="1"/>
        <v>0.28</v>
      </c>
      <c r="G1094" s="10" t="str">
        <f>Github!H$469</f>
        <v>Algorithms</v>
      </c>
      <c r="H1094" s="13" t="str">
        <f>SUBSTITUTE(Github!L$469, ";", ", ")</f>
        <v>String, </v>
      </c>
      <c r="I1094" s="10" t="str">
        <f>Github!E$469</f>
        <v>Medium</v>
      </c>
      <c r="J1094" s="10" t="str">
        <f>IF(TRIM(Github!D$469)="TRUE","FALSE","TRUE")</f>
        <v>TRUE</v>
      </c>
      <c r="K1094" s="10" t="b">
        <f>Github!M$469</f>
        <v>1</v>
      </c>
      <c r="L1094" s="10" t="b">
        <f>Github!N$469</f>
        <v>0</v>
      </c>
      <c r="M1094" s="10" t="str">
        <f>ROUND(Github!O$469, 2)&amp;"%"</f>
        <v>26.11%</v>
      </c>
      <c r="N1094" s="10">
        <f>Github!P$469</f>
        <v>122404</v>
      </c>
      <c r="O1094" s="10">
        <f>Github!Q$469</f>
        <v>468721</v>
      </c>
    </row>
    <row r="1095">
      <c r="A1095" s="10">
        <f>Github!J$682</f>
        <v>681</v>
      </c>
      <c r="B1095" s="11" t="str">
        <f>HYPERLINK(CONCAT("http://leetcode.com/problems/",Github!C$682), Github!B$682)</f>
        <v>Next Closest Time</v>
      </c>
      <c r="C1095" s="10">
        <f>Github!F$682</f>
        <v>650</v>
      </c>
      <c r="D1095" s="10">
        <f>Github!G$682</f>
        <v>950</v>
      </c>
      <c r="E1095" s="10">
        <f>Github!F$682+Github!G$682</f>
        <v>1600</v>
      </c>
      <c r="F1095" s="12">
        <f t="shared" si="1"/>
        <v>0.68</v>
      </c>
      <c r="G1095" s="10" t="str">
        <f>Github!H$682</f>
        <v>Algorithms</v>
      </c>
      <c r="H1095" s="13" t="str">
        <f>SUBSTITUTE(Github!L$682, ";", ", ")</f>
        <v>String, Enumeration, </v>
      </c>
      <c r="I1095" s="10" t="str">
        <f>Github!E$682</f>
        <v>Medium</v>
      </c>
      <c r="J1095" s="10" t="str">
        <f>IF(TRIM(Github!D$682)="TRUE","FALSE","TRUE")</f>
        <v>FALSE</v>
      </c>
      <c r="K1095" s="10" t="b">
        <f>Github!M$682</f>
        <v>0</v>
      </c>
      <c r="L1095" s="10" t="b">
        <f>Github!N$682</f>
        <v>0</v>
      </c>
      <c r="M1095" s="10" t="str">
        <f>ROUND(Github!O$682, 2)&amp;"%"</f>
        <v>46.47%</v>
      </c>
      <c r="N1095" s="10">
        <f>Github!P$682</f>
        <v>92611</v>
      </c>
      <c r="O1095" s="10">
        <f>Github!Q$682</f>
        <v>199309</v>
      </c>
    </row>
    <row r="1096">
      <c r="A1096" s="10">
        <f>Github!J$1223</f>
        <v>1222</v>
      </c>
      <c r="B1096" s="11" t="str">
        <f>HYPERLINK(CONCAT("http://leetcode.com/problems/",Github!C$1223), Github!B$1223)</f>
        <v>Queens That Can Attack the King</v>
      </c>
      <c r="C1096" s="10">
        <f>Github!F$1223</f>
        <v>648</v>
      </c>
      <c r="D1096" s="10">
        <f>Github!G$1223</f>
        <v>119</v>
      </c>
      <c r="E1096" s="10">
        <f>Github!F$1223+Github!G$1223</f>
        <v>767</v>
      </c>
      <c r="F1096" s="12">
        <f t="shared" si="1"/>
        <v>5.45</v>
      </c>
      <c r="G1096" s="10" t="str">
        <f>Github!H$1223</f>
        <v>Algorithms</v>
      </c>
      <c r="H1096" s="13" t="str">
        <f>SUBSTITUTE(Github!L$1223, ";", ", ")</f>
        <v>Array, Matrix, Simulation, </v>
      </c>
      <c r="I1096" s="10" t="str">
        <f>Github!E$1223</f>
        <v>Medium</v>
      </c>
      <c r="J1096" s="10" t="str">
        <f>IF(TRIM(Github!D$1223)="TRUE","FALSE","TRUE")</f>
        <v>TRUE</v>
      </c>
      <c r="K1096" s="10" t="b">
        <f>Github!M$1223</f>
        <v>0</v>
      </c>
      <c r="L1096" s="10" t="b">
        <f>Github!N$1223</f>
        <v>0</v>
      </c>
      <c r="M1096" s="10" t="str">
        <f>ROUND(Github!O$1223, 2)&amp;"%"</f>
        <v>70.98%</v>
      </c>
      <c r="N1096" s="10">
        <f>Github!P$1223</f>
        <v>31277</v>
      </c>
      <c r="O1096" s="10">
        <f>Github!Q$1223</f>
        <v>44066</v>
      </c>
    </row>
    <row r="1097">
      <c r="A1097" s="10">
        <f>Github!J$1833</f>
        <v>1832</v>
      </c>
      <c r="B1097" s="11" t="str">
        <f>HYPERLINK(CONCAT("http://leetcode.com/problems/",Github!C$1833), Github!B$1833)</f>
        <v>Check if the Sentence Is Pangram</v>
      </c>
      <c r="C1097" s="10">
        <f>Github!F$1833</f>
        <v>648</v>
      </c>
      <c r="D1097" s="10">
        <f>Github!G$1833</f>
        <v>18</v>
      </c>
      <c r="E1097" s="10">
        <f>Github!F$1833+Github!G$1833</f>
        <v>666</v>
      </c>
      <c r="F1097" s="12">
        <f t="shared" si="1"/>
        <v>36</v>
      </c>
      <c r="G1097" s="10" t="str">
        <f>Github!H$1833</f>
        <v>Algorithms</v>
      </c>
      <c r="H1097" s="13" t="str">
        <f>SUBSTITUTE(Github!L$1833, ";", ", ")</f>
        <v>Hash Table, String, </v>
      </c>
      <c r="I1097" s="10" t="str">
        <f>Github!E$1833</f>
        <v>Easy</v>
      </c>
      <c r="J1097" s="10" t="str">
        <f>IF(TRIM(Github!D$1833)="TRUE","FALSE","TRUE")</f>
        <v>TRUE</v>
      </c>
      <c r="K1097" s="10" t="b">
        <f>Github!M$1833</f>
        <v>0</v>
      </c>
      <c r="L1097" s="10" t="b">
        <f>Github!N$1833</f>
        <v>0</v>
      </c>
      <c r="M1097" s="10" t="str">
        <f>ROUND(Github!O$1833, 2)&amp;"%"</f>
        <v>81.41%</v>
      </c>
      <c r="N1097" s="10">
        <f>Github!P$1833</f>
        <v>74992</v>
      </c>
      <c r="O1097" s="10">
        <f>Github!Q$1833</f>
        <v>92118</v>
      </c>
    </row>
    <row r="1098">
      <c r="A1098" s="10">
        <f>Github!J$912</f>
        <v>911</v>
      </c>
      <c r="B1098" s="11" t="str">
        <f>HYPERLINK(CONCAT("http://leetcode.com/problems/",Github!C$912), Github!B$912)</f>
        <v>Online Election</v>
      </c>
      <c r="C1098" s="10">
        <f>Github!F$912</f>
        <v>647</v>
      </c>
      <c r="D1098" s="10">
        <f>Github!G$912</f>
        <v>493</v>
      </c>
      <c r="E1098" s="10">
        <f>Github!F$912+Github!G$912</f>
        <v>1140</v>
      </c>
      <c r="F1098" s="12">
        <f t="shared" si="1"/>
        <v>1.31</v>
      </c>
      <c r="G1098" s="10" t="str">
        <f>Github!H$912</f>
        <v>Algorithms</v>
      </c>
      <c r="H1098" s="13" t="str">
        <f>SUBSTITUTE(Github!L$912, ";", ", ")</f>
        <v>Array, Hash Table, Binary Search, Design, </v>
      </c>
      <c r="I1098" s="10" t="str">
        <f>Github!E$912</f>
        <v>Medium</v>
      </c>
      <c r="J1098" s="10" t="str">
        <f>IF(TRIM(Github!D$912)="TRUE","FALSE","TRUE")</f>
        <v>TRUE</v>
      </c>
      <c r="K1098" s="10" t="b">
        <f>Github!M$912</f>
        <v>1</v>
      </c>
      <c r="L1098" s="10" t="b">
        <f>Github!N$912</f>
        <v>0</v>
      </c>
      <c r="M1098" s="10" t="str">
        <f>ROUND(Github!O$912, 2)&amp;"%"</f>
        <v>51.57%</v>
      </c>
      <c r="N1098" s="10">
        <f>Github!P$912</f>
        <v>38039</v>
      </c>
      <c r="O1098" s="10">
        <f>Github!Q$912</f>
        <v>73767</v>
      </c>
    </row>
    <row r="1099">
      <c r="A1099" s="10">
        <f>Github!J$949</f>
        <v>948</v>
      </c>
      <c r="B1099" s="11" t="str">
        <f>HYPERLINK(CONCAT("http://leetcode.com/problems/",Github!C$949), Github!B$949)</f>
        <v>Bag of Tokens</v>
      </c>
      <c r="C1099" s="10">
        <f>Github!F$949</f>
        <v>646</v>
      </c>
      <c r="D1099" s="10">
        <f>Github!G$949</f>
        <v>292</v>
      </c>
      <c r="E1099" s="10">
        <f>Github!F$949+Github!G$949</f>
        <v>938</v>
      </c>
      <c r="F1099" s="12">
        <f t="shared" si="1"/>
        <v>2.21</v>
      </c>
      <c r="G1099" s="10" t="str">
        <f>Github!H$949</f>
        <v>Algorithms</v>
      </c>
      <c r="H1099" s="13" t="str">
        <f>SUBSTITUTE(Github!L$949, ";", ", ")</f>
        <v>Array, Two Pointers, Greedy, Sorting, </v>
      </c>
      <c r="I1099" s="10" t="str">
        <f>Github!E$949</f>
        <v>Medium</v>
      </c>
      <c r="J1099" s="10" t="str">
        <f>IF(TRIM(Github!D$949)="TRUE","FALSE","TRUE")</f>
        <v>TRUE</v>
      </c>
      <c r="K1099" s="10" t="b">
        <f>Github!M$949</f>
        <v>1</v>
      </c>
      <c r="L1099" s="10" t="b">
        <f>Github!N$949</f>
        <v>0</v>
      </c>
      <c r="M1099" s="10" t="str">
        <f>ROUND(Github!O$949, 2)&amp;"%"</f>
        <v>46.16%</v>
      </c>
      <c r="N1099" s="10">
        <f>Github!P$949</f>
        <v>38344</v>
      </c>
      <c r="O1099" s="10">
        <f>Github!Q$949</f>
        <v>83064</v>
      </c>
    </row>
    <row r="1100">
      <c r="A1100" s="10">
        <f>Github!J$1415</f>
        <v>1414</v>
      </c>
      <c r="B1100" s="11" t="str">
        <f>HYPERLINK(CONCAT("http://leetcode.com/problems/",Github!C$1415), Github!B$1415)</f>
        <v>Find the Minimum Number of Fibonacci Numbers Whose Sum Is K</v>
      </c>
      <c r="C1100" s="10">
        <f>Github!F$1415</f>
        <v>646</v>
      </c>
      <c r="D1100" s="10">
        <f>Github!G$1415</f>
        <v>51</v>
      </c>
      <c r="E1100" s="10">
        <f>Github!F$1415+Github!G$1415</f>
        <v>697</v>
      </c>
      <c r="F1100" s="12">
        <f t="shared" si="1"/>
        <v>12.67</v>
      </c>
      <c r="G1100" s="10" t="str">
        <f>Github!H$1415</f>
        <v>Algorithms</v>
      </c>
      <c r="H1100" s="13" t="str">
        <f>SUBSTITUTE(Github!L$1415, ";", ", ")</f>
        <v>Greedy, </v>
      </c>
      <c r="I1100" s="10" t="str">
        <f>Github!E$1415</f>
        <v>Medium</v>
      </c>
      <c r="J1100" s="10" t="str">
        <f>IF(TRIM(Github!D$1415)="TRUE","FALSE","TRUE")</f>
        <v>TRUE</v>
      </c>
      <c r="K1100" s="10" t="b">
        <f>Github!M$1415</f>
        <v>0</v>
      </c>
      <c r="L1100" s="10" t="b">
        <f>Github!N$1415</f>
        <v>0</v>
      </c>
      <c r="M1100" s="10" t="str">
        <f>ROUND(Github!O$1415, 2)&amp;"%"</f>
        <v>65.14%</v>
      </c>
      <c r="N1100" s="10">
        <f>Github!P$1415</f>
        <v>29748</v>
      </c>
      <c r="O1100" s="10">
        <f>Github!Q$1415</f>
        <v>45670</v>
      </c>
    </row>
    <row r="1101">
      <c r="A1101" s="10">
        <f>Github!J$1686</f>
        <v>1685</v>
      </c>
      <c r="B1101" s="11" t="str">
        <f>HYPERLINK(CONCAT("http://leetcode.com/problems/",Github!C$1686), Github!B$1686)</f>
        <v>Sum of Absolute Differences in a Sorted Array</v>
      </c>
      <c r="C1101" s="10">
        <f>Github!F$1686</f>
        <v>645</v>
      </c>
      <c r="D1101" s="10">
        <f>Github!G$1686</f>
        <v>21</v>
      </c>
      <c r="E1101" s="10">
        <f>Github!F$1686+Github!G$1686</f>
        <v>666</v>
      </c>
      <c r="F1101" s="12">
        <f t="shared" si="1"/>
        <v>30.71</v>
      </c>
      <c r="G1101" s="10" t="str">
        <f>Github!H$1686</f>
        <v>Algorithms</v>
      </c>
      <c r="H1101" s="13" t="str">
        <f>SUBSTITUTE(Github!L$1686, ";", ", ")</f>
        <v>Array, Math, Prefix Sum, </v>
      </c>
      <c r="I1101" s="10" t="str">
        <f>Github!E$1686</f>
        <v>Medium</v>
      </c>
      <c r="J1101" s="10" t="str">
        <f>IF(TRIM(Github!D$1686)="TRUE","FALSE","TRUE")</f>
        <v>TRUE</v>
      </c>
      <c r="K1101" s="10" t="b">
        <f>Github!M$1686</f>
        <v>0</v>
      </c>
      <c r="L1101" s="10" t="b">
        <f>Github!N$1686</f>
        <v>0</v>
      </c>
      <c r="M1101" s="10" t="str">
        <f>ROUND(Github!O$1686, 2)&amp;"%"</f>
        <v>65.59%</v>
      </c>
      <c r="N1101" s="10">
        <f>Github!P$1686</f>
        <v>18778</v>
      </c>
      <c r="O1101" s="10">
        <f>Github!Q$1686</f>
        <v>28628</v>
      </c>
    </row>
    <row r="1102">
      <c r="A1102" s="10">
        <f>Github!J$1137</f>
        <v>1136</v>
      </c>
      <c r="B1102" s="11" t="str">
        <f>HYPERLINK(CONCAT("http://leetcode.com/problems/",Github!C$1137), Github!B$1137)</f>
        <v>Parallel Courses</v>
      </c>
      <c r="C1102" s="10">
        <f>Github!F$1137</f>
        <v>644</v>
      </c>
      <c r="D1102" s="10">
        <f>Github!G$1137</f>
        <v>19</v>
      </c>
      <c r="E1102" s="10">
        <f>Github!F$1137+Github!G$1137</f>
        <v>663</v>
      </c>
      <c r="F1102" s="12">
        <f t="shared" si="1"/>
        <v>33.89</v>
      </c>
      <c r="G1102" s="10" t="str">
        <f>Github!H$1137</f>
        <v>Algorithms</v>
      </c>
      <c r="H1102" s="13" t="str">
        <f>SUBSTITUTE(Github!L$1137, ";", ", ")</f>
        <v>Graph, Topological Sort, </v>
      </c>
      <c r="I1102" s="10" t="str">
        <f>Github!E$1137</f>
        <v>Medium</v>
      </c>
      <c r="J1102" s="10" t="str">
        <f>IF(TRIM(Github!D$1137)="TRUE","FALSE","TRUE")</f>
        <v>FALSE</v>
      </c>
      <c r="K1102" s="10" t="b">
        <f>Github!M$1137</f>
        <v>1</v>
      </c>
      <c r="L1102" s="10" t="b">
        <f>Github!N$1137</f>
        <v>0</v>
      </c>
      <c r="M1102" s="10" t="str">
        <f>ROUND(Github!O$1137, 2)&amp;"%"</f>
        <v>60.82%</v>
      </c>
      <c r="N1102" s="10">
        <f>Github!P$1137</f>
        <v>35694</v>
      </c>
      <c r="O1102" s="10">
        <f>Github!Q$1137</f>
        <v>58689</v>
      </c>
    </row>
    <row r="1103">
      <c r="A1103" s="10">
        <f>Github!J$1885</f>
        <v>1884</v>
      </c>
      <c r="B1103" s="11" t="str">
        <f>HYPERLINK(CONCAT("http://leetcode.com/problems/",Github!C$1885), Github!B$1885)</f>
        <v>Egg Drop With 2 Eggs and N Floors</v>
      </c>
      <c r="C1103" s="10">
        <f>Github!F$1885</f>
        <v>642</v>
      </c>
      <c r="D1103" s="10">
        <f>Github!G$1885</f>
        <v>56</v>
      </c>
      <c r="E1103" s="10">
        <f>Github!F$1885+Github!G$1885</f>
        <v>698</v>
      </c>
      <c r="F1103" s="12">
        <f t="shared" si="1"/>
        <v>11.46</v>
      </c>
      <c r="G1103" s="10" t="str">
        <f>Github!H$1885</f>
        <v>Algorithms</v>
      </c>
      <c r="H1103" s="13" t="str">
        <f>SUBSTITUTE(Github!L$1885, ";", ", ")</f>
        <v>Math, Dynamic Programming, </v>
      </c>
      <c r="I1103" s="10" t="str">
        <f>Github!E$1885</f>
        <v>Medium</v>
      </c>
      <c r="J1103" s="10" t="str">
        <f>IF(TRIM(Github!D$1885)="TRUE","FALSE","TRUE")</f>
        <v>TRUE</v>
      </c>
      <c r="K1103" s="10" t="b">
        <f>Github!M$1885</f>
        <v>0</v>
      </c>
      <c r="L1103" s="10" t="b">
        <f>Github!N$1885</f>
        <v>0</v>
      </c>
      <c r="M1103" s="10" t="str">
        <f>ROUND(Github!O$1885, 2)&amp;"%"</f>
        <v>70.14%</v>
      </c>
      <c r="N1103" s="10">
        <f>Github!P$1885</f>
        <v>17992</v>
      </c>
      <c r="O1103" s="10">
        <f>Github!Q$1885</f>
        <v>25651</v>
      </c>
    </row>
    <row r="1104">
      <c r="A1104" s="10">
        <f>Github!J$668</f>
        <v>667</v>
      </c>
      <c r="B1104" s="11" t="str">
        <f>HYPERLINK(CONCAT("http://leetcode.com/problems/",Github!C$668), Github!B$668)</f>
        <v>Beautiful Arrangement II</v>
      </c>
      <c r="C1104" s="10">
        <f>Github!F$668</f>
        <v>641</v>
      </c>
      <c r="D1104" s="10">
        <f>Github!G$668</f>
        <v>950</v>
      </c>
      <c r="E1104" s="10">
        <f>Github!F$668+Github!G$668</f>
        <v>1591</v>
      </c>
      <c r="F1104" s="12">
        <f t="shared" si="1"/>
        <v>0.67</v>
      </c>
      <c r="G1104" s="10" t="str">
        <f>Github!H$668</f>
        <v>Algorithms</v>
      </c>
      <c r="H1104" s="13" t="str">
        <f>SUBSTITUTE(Github!L$668, ";", ", ")</f>
        <v>Array, Math, </v>
      </c>
      <c r="I1104" s="10" t="str">
        <f>Github!E$668</f>
        <v>Medium</v>
      </c>
      <c r="J1104" s="10" t="str">
        <f>IF(TRIM(Github!D$668)="TRUE","FALSE","TRUE")</f>
        <v>TRUE</v>
      </c>
      <c r="K1104" s="10" t="b">
        <f>Github!M$668</f>
        <v>1</v>
      </c>
      <c r="L1104" s="10" t="b">
        <f>Github!N$668</f>
        <v>0</v>
      </c>
      <c r="M1104" s="10" t="str">
        <f>ROUND(Github!O$668, 2)&amp;"%"</f>
        <v>59.28%</v>
      </c>
      <c r="N1104" s="10">
        <f>Github!P$668</f>
        <v>46577</v>
      </c>
      <c r="O1104" s="10">
        <f>Github!Q$668</f>
        <v>78576</v>
      </c>
    </row>
    <row r="1105">
      <c r="A1105" s="10">
        <f>Github!J$511</f>
        <v>510</v>
      </c>
      <c r="B1105" s="11" t="str">
        <f>HYPERLINK(CONCAT("http://leetcode.com/problems/",Github!C$511), Github!B$511)</f>
        <v>Inorder Successor in BST II</v>
      </c>
      <c r="C1105" s="10">
        <f>Github!F$511</f>
        <v>640</v>
      </c>
      <c r="D1105" s="10">
        <f>Github!G$511</f>
        <v>34</v>
      </c>
      <c r="E1105" s="10">
        <f>Github!F$511+Github!G$511</f>
        <v>674</v>
      </c>
      <c r="F1105" s="12">
        <f t="shared" si="1"/>
        <v>18.82</v>
      </c>
      <c r="G1105" s="10" t="str">
        <f>Github!H$511</f>
        <v>Algorithms</v>
      </c>
      <c r="H1105" s="13" t="str">
        <f>SUBSTITUTE(Github!L$511, ";", ", ")</f>
        <v>Tree, Binary Search Tree, Binary Tree, </v>
      </c>
      <c r="I1105" s="10" t="str">
        <f>Github!E$511</f>
        <v>Medium</v>
      </c>
      <c r="J1105" s="10" t="str">
        <f>IF(TRIM(Github!D$511)="TRUE","FALSE","TRUE")</f>
        <v>FALSE</v>
      </c>
      <c r="K1105" s="10" t="b">
        <f>Github!M$511</f>
        <v>1</v>
      </c>
      <c r="L1105" s="10" t="b">
        <f>Github!N$511</f>
        <v>0</v>
      </c>
      <c r="M1105" s="10" t="str">
        <f>ROUND(Github!O$511, 2)&amp;"%"</f>
        <v>61.49%</v>
      </c>
      <c r="N1105" s="10">
        <f>Github!P$511</f>
        <v>45899</v>
      </c>
      <c r="O1105" s="10">
        <f>Github!Q$511</f>
        <v>74648</v>
      </c>
    </row>
    <row r="1106">
      <c r="A1106" s="10">
        <f>Github!J$1087</f>
        <v>1086</v>
      </c>
      <c r="B1106" s="11" t="str">
        <f>HYPERLINK(CONCAT("http://leetcode.com/problems/",Github!C$1087), Github!B$1087)</f>
        <v>High Five</v>
      </c>
      <c r="C1106" s="10">
        <f>Github!F$1087</f>
        <v>639</v>
      </c>
      <c r="D1106" s="10">
        <f>Github!G$1087</f>
        <v>103</v>
      </c>
      <c r="E1106" s="10">
        <f>Github!F$1087+Github!G$1087</f>
        <v>742</v>
      </c>
      <c r="F1106" s="12">
        <f t="shared" si="1"/>
        <v>6.2</v>
      </c>
      <c r="G1106" s="10" t="str">
        <f>Github!H$1087</f>
        <v>Algorithms</v>
      </c>
      <c r="H1106" s="13" t="str">
        <f>SUBSTITUTE(Github!L$1087, ";", ", ")</f>
        <v>Array, Hash Table, Sorting, </v>
      </c>
      <c r="I1106" s="10" t="str">
        <f>Github!E$1087</f>
        <v>Easy</v>
      </c>
      <c r="J1106" s="10" t="str">
        <f>IF(TRIM(Github!D$1087)="TRUE","FALSE","TRUE")</f>
        <v>FALSE</v>
      </c>
      <c r="K1106" s="10" t="b">
        <f>Github!M$1087</f>
        <v>1</v>
      </c>
      <c r="L1106" s="10" t="b">
        <f>Github!N$1087</f>
        <v>0</v>
      </c>
      <c r="M1106" s="10" t="str">
        <f>ROUND(Github!O$1087, 2)&amp;"%"</f>
        <v>75.56%</v>
      </c>
      <c r="N1106" s="10">
        <f>Github!P$1087</f>
        <v>80147</v>
      </c>
      <c r="O1106" s="10">
        <f>Github!Q$1087</f>
        <v>106073</v>
      </c>
    </row>
    <row r="1107">
      <c r="A1107" s="10">
        <f>Github!J$1658</f>
        <v>1657</v>
      </c>
      <c r="B1107" s="11" t="str">
        <f>HYPERLINK(CONCAT("http://leetcode.com/problems/",Github!C$1658), Github!B$1658)</f>
        <v>Determine if Two Strings Are Close</v>
      </c>
      <c r="C1107" s="10">
        <f>Github!F$1658</f>
        <v>639</v>
      </c>
      <c r="D1107" s="10">
        <f>Github!G$1658</f>
        <v>36</v>
      </c>
      <c r="E1107" s="10">
        <f>Github!F$1658+Github!G$1658</f>
        <v>675</v>
      </c>
      <c r="F1107" s="12">
        <f t="shared" si="1"/>
        <v>17.75</v>
      </c>
      <c r="G1107" s="10" t="str">
        <f>Github!H$1658</f>
        <v>Algorithms</v>
      </c>
      <c r="H1107" s="13" t="str">
        <f>SUBSTITUTE(Github!L$1658, ";", ", ")</f>
        <v>Hash Table, String, Sorting, </v>
      </c>
      <c r="I1107" s="10" t="str">
        <f>Github!E$1658</f>
        <v>Medium</v>
      </c>
      <c r="J1107" s="10" t="str">
        <f>IF(TRIM(Github!D$1658)="TRUE","FALSE","TRUE")</f>
        <v>TRUE</v>
      </c>
      <c r="K1107" s="10" t="b">
        <f>Github!M$1658</f>
        <v>1</v>
      </c>
      <c r="L1107" s="10" t="b">
        <f>Github!N$1658</f>
        <v>0</v>
      </c>
      <c r="M1107" s="10" t="str">
        <f>ROUND(Github!O$1658, 2)&amp;"%"</f>
        <v>54.55%</v>
      </c>
      <c r="N1107" s="10">
        <f>Github!P$1658</f>
        <v>38587</v>
      </c>
      <c r="O1107" s="10">
        <f>Github!Q$1658</f>
        <v>70730</v>
      </c>
    </row>
    <row r="1108">
      <c r="A1108" s="10">
        <f>Github!J$2097</f>
        <v>2096</v>
      </c>
      <c r="B1108" s="11" t="str">
        <f>HYPERLINK(CONCAT("http://leetcode.com/problems/",Github!C$2097), Github!B$2097)</f>
        <v>Step-By-Step Directions From a Binary Tree Node to Another</v>
      </c>
      <c r="C1108" s="10">
        <f>Github!F$2097</f>
        <v>639</v>
      </c>
      <c r="D1108" s="10">
        <f>Github!G$2097</f>
        <v>46</v>
      </c>
      <c r="E1108" s="10">
        <f>Github!F$2097+Github!G$2097</f>
        <v>685</v>
      </c>
      <c r="F1108" s="12">
        <f t="shared" si="1"/>
        <v>13.89</v>
      </c>
      <c r="G1108" s="10" t="str">
        <f>Github!H$2097</f>
        <v>Algorithms</v>
      </c>
      <c r="H1108" s="13" t="str">
        <f>SUBSTITUTE(Github!L$2097, ";", ", ")</f>
        <v>String, Tree, Depth-First Search, Binary Tree, </v>
      </c>
      <c r="I1108" s="10" t="str">
        <f>Github!E$2097</f>
        <v>Medium</v>
      </c>
      <c r="J1108" s="10" t="str">
        <f>IF(TRIM(Github!D$2097)="TRUE","FALSE","TRUE")</f>
        <v>TRUE</v>
      </c>
      <c r="K1108" s="10" t="b">
        <f>Github!M$2097</f>
        <v>0</v>
      </c>
      <c r="L1108" s="10" t="b">
        <f>Github!N$2097</f>
        <v>0</v>
      </c>
      <c r="M1108" s="10" t="str">
        <f>ROUND(Github!O$2097, 2)&amp;"%"</f>
        <v>47.77%</v>
      </c>
      <c r="N1108" s="10">
        <f>Github!P$2097</f>
        <v>20516</v>
      </c>
      <c r="O1108" s="10">
        <f>Github!Q$2097</f>
        <v>42954</v>
      </c>
    </row>
    <row r="1109">
      <c r="A1109" s="10">
        <f>Github!J$401</f>
        <v>400</v>
      </c>
      <c r="B1109" s="11" t="str">
        <f>HYPERLINK(CONCAT("http://leetcode.com/problems/",Github!C$401), Github!B$401)</f>
        <v>Nth Digit</v>
      </c>
      <c r="C1109" s="10">
        <f>Github!F$401</f>
        <v>638</v>
      </c>
      <c r="D1109" s="10">
        <f>Github!G$401</f>
        <v>1463</v>
      </c>
      <c r="E1109" s="10">
        <f>Github!F$401+Github!G$401</f>
        <v>2101</v>
      </c>
      <c r="F1109" s="12">
        <f t="shared" si="1"/>
        <v>0.44</v>
      </c>
      <c r="G1109" s="10" t="str">
        <f>Github!H$401</f>
        <v>Algorithms</v>
      </c>
      <c r="H1109" s="13" t="str">
        <f>SUBSTITUTE(Github!L$401, ";", ", ")</f>
        <v>Math, Binary Search, </v>
      </c>
      <c r="I1109" s="10" t="str">
        <f>Github!E$401</f>
        <v>Medium</v>
      </c>
      <c r="J1109" s="10" t="str">
        <f>IF(TRIM(Github!D$401)="TRUE","FALSE","TRUE")</f>
        <v>TRUE</v>
      </c>
      <c r="K1109" s="10" t="b">
        <f>Github!M$401</f>
        <v>0</v>
      </c>
      <c r="L1109" s="10" t="b">
        <f>Github!N$401</f>
        <v>0</v>
      </c>
      <c r="M1109" s="10" t="str">
        <f>ROUND(Github!O$401, 2)&amp;"%"</f>
        <v>33.41%</v>
      </c>
      <c r="N1109" s="10">
        <f>Github!P$401</f>
        <v>74117</v>
      </c>
      <c r="O1109" s="10">
        <f>Github!Q$401</f>
        <v>221871</v>
      </c>
    </row>
    <row r="1110">
      <c r="A1110" s="10">
        <f>Github!J$309</f>
        <v>308</v>
      </c>
      <c r="B1110" s="11" t="str">
        <f>HYPERLINK(CONCAT("http://leetcode.com/problems/",Github!C$309), Github!B$309)</f>
        <v>Range Sum Query 2D - Mutable</v>
      </c>
      <c r="C1110" s="10">
        <f>Github!F$309</f>
        <v>637</v>
      </c>
      <c r="D1110" s="10">
        <f>Github!G$309</f>
        <v>73</v>
      </c>
      <c r="E1110" s="10">
        <f>Github!F$309+Github!G$309</f>
        <v>710</v>
      </c>
      <c r="F1110" s="12">
        <f t="shared" si="1"/>
        <v>8.73</v>
      </c>
      <c r="G1110" s="10" t="str">
        <f>Github!H$309</f>
        <v>Algorithms</v>
      </c>
      <c r="H1110" s="13" t="str">
        <f>SUBSTITUTE(Github!L$309, ";", ", ")</f>
        <v>Array, Design, Binary Indexed Tree, Segment Tree, Matrix, </v>
      </c>
      <c r="I1110" s="10" t="str">
        <f>Github!E$309</f>
        <v>Hard</v>
      </c>
      <c r="J1110" s="10" t="str">
        <f>IF(TRIM(Github!D$309)="TRUE","FALSE","TRUE")</f>
        <v>FALSE</v>
      </c>
      <c r="K1110" s="10" t="b">
        <f>Github!M$309</f>
        <v>1</v>
      </c>
      <c r="L1110" s="10" t="b">
        <f>Github!N$309</f>
        <v>0</v>
      </c>
      <c r="M1110" s="10" t="str">
        <f>ROUND(Github!O$309, 2)&amp;"%"</f>
        <v>40.73%</v>
      </c>
      <c r="N1110" s="10">
        <f>Github!P$309</f>
        <v>64140</v>
      </c>
      <c r="O1110" s="10">
        <f>Github!Q$309</f>
        <v>157470</v>
      </c>
    </row>
    <row r="1111">
      <c r="A1111" s="10">
        <f>Github!J$748</f>
        <v>747</v>
      </c>
      <c r="B1111" s="11" t="str">
        <f>HYPERLINK(CONCAT("http://leetcode.com/problems/",Github!C$748), Github!B$748)</f>
        <v>Largest Number At Least Twice of Others</v>
      </c>
      <c r="C1111" s="10">
        <f>Github!F$748</f>
        <v>637</v>
      </c>
      <c r="D1111" s="10">
        <f>Github!G$748</f>
        <v>745</v>
      </c>
      <c r="E1111" s="10">
        <f>Github!F$748+Github!G$748</f>
        <v>1382</v>
      </c>
      <c r="F1111" s="12">
        <f t="shared" si="1"/>
        <v>0.86</v>
      </c>
      <c r="G1111" s="10" t="str">
        <f>Github!H$748</f>
        <v>Algorithms</v>
      </c>
      <c r="H1111" s="13" t="str">
        <f>SUBSTITUTE(Github!L$748, ";", ", ")</f>
        <v>Array, Sorting, </v>
      </c>
      <c r="I1111" s="10" t="str">
        <f>Github!E$748</f>
        <v>Easy</v>
      </c>
      <c r="J1111" s="10" t="str">
        <f>IF(TRIM(Github!D$748)="TRUE","FALSE","TRUE")</f>
        <v>TRUE</v>
      </c>
      <c r="K1111" s="10" t="b">
        <f>Github!M$748</f>
        <v>0</v>
      </c>
      <c r="L1111" s="10" t="b">
        <f>Github!N$748</f>
        <v>0</v>
      </c>
      <c r="M1111" s="10" t="str">
        <f>ROUND(Github!O$748, 2)&amp;"%"</f>
        <v>44.99%</v>
      </c>
      <c r="N1111" s="10">
        <f>Github!P$748</f>
        <v>150045</v>
      </c>
      <c r="O1111" s="10">
        <f>Github!Q$748</f>
        <v>333509</v>
      </c>
    </row>
    <row r="1112">
      <c r="A1112" s="10">
        <f>Github!J$627</f>
        <v>626</v>
      </c>
      <c r="B1112" s="11" t="str">
        <f>HYPERLINK(CONCAT("http://leetcode.com/problems/",Github!C$627), Github!B$627)</f>
        <v>Exchange Seats</v>
      </c>
      <c r="C1112" s="10">
        <f>Github!F$627</f>
        <v>633</v>
      </c>
      <c r="D1112" s="10">
        <f>Github!G$627</f>
        <v>347</v>
      </c>
      <c r="E1112" s="10">
        <f>Github!F$627+Github!G$627</f>
        <v>980</v>
      </c>
      <c r="F1112" s="12">
        <f t="shared" si="1"/>
        <v>1.82</v>
      </c>
      <c r="G1112" s="10" t="str">
        <f>Github!H$627</f>
        <v>Database</v>
      </c>
      <c r="H1112" s="13" t="str">
        <f>SUBSTITUTE(Github!L$627, ";", ", ")</f>
        <v>Database, </v>
      </c>
      <c r="I1112" s="10" t="str">
        <f>Github!E$627</f>
        <v>Medium</v>
      </c>
      <c r="J1112" s="10" t="str">
        <f>IF(TRIM(Github!D$627)="TRUE","FALSE","TRUE")</f>
        <v>TRUE</v>
      </c>
      <c r="K1112" s="10" t="b">
        <f>Github!M$627</f>
        <v>1</v>
      </c>
      <c r="L1112" s="10" t="b">
        <f>Github!N$627</f>
        <v>0</v>
      </c>
      <c r="M1112" s="10" t="str">
        <f>ROUND(Github!O$627, 2)&amp;"%"</f>
        <v>68.94%</v>
      </c>
      <c r="N1112" s="10">
        <f>Github!P$627</f>
        <v>96681</v>
      </c>
      <c r="O1112" s="10">
        <f>Github!Q$627</f>
        <v>140245</v>
      </c>
    </row>
    <row r="1113">
      <c r="A1113" s="10">
        <f>Github!J$1964</f>
        <v>1963</v>
      </c>
      <c r="B1113" s="11" t="str">
        <f>HYPERLINK(CONCAT("http://leetcode.com/problems/",Github!C$1964), Github!B$1964)</f>
        <v>Minimum Number of Swaps to Make the String Balanced</v>
      </c>
      <c r="C1113" s="10">
        <f>Github!F$1964</f>
        <v>634</v>
      </c>
      <c r="D1113" s="10">
        <f>Github!G$1964</f>
        <v>28</v>
      </c>
      <c r="E1113" s="10">
        <f>Github!F$1964+Github!G$1964</f>
        <v>662</v>
      </c>
      <c r="F1113" s="12">
        <f t="shared" si="1"/>
        <v>22.64</v>
      </c>
      <c r="G1113" s="10" t="str">
        <f>Github!H$1964</f>
        <v>Algorithms</v>
      </c>
      <c r="H1113" s="13" t="str">
        <f>SUBSTITUTE(Github!L$1964, ";", ", ")</f>
        <v>Two Pointers, String, Stack, Greedy, </v>
      </c>
      <c r="I1113" s="10" t="str">
        <f>Github!E$1964</f>
        <v>Medium</v>
      </c>
      <c r="J1113" s="10" t="str">
        <f>IF(TRIM(Github!D$1964)="TRUE","FALSE","TRUE")</f>
        <v>TRUE</v>
      </c>
      <c r="K1113" s="10" t="b">
        <f>Github!M$1964</f>
        <v>0</v>
      </c>
      <c r="L1113" s="10" t="b">
        <f>Github!N$1964</f>
        <v>0</v>
      </c>
      <c r="M1113" s="10" t="str">
        <f>ROUND(Github!O$1964, 2)&amp;"%"</f>
        <v>66.56%</v>
      </c>
      <c r="N1113" s="10">
        <f>Github!P$1964</f>
        <v>22645</v>
      </c>
      <c r="O1113" s="10">
        <f>Github!Q$1964</f>
        <v>34023</v>
      </c>
    </row>
    <row r="1114">
      <c r="A1114" s="10">
        <f>Github!J$997</f>
        <v>996</v>
      </c>
      <c r="B1114" s="11" t="str">
        <f>HYPERLINK(CONCAT("http://leetcode.com/problems/",Github!C$997), Github!B$997)</f>
        <v>Number of Squareful Arrays</v>
      </c>
      <c r="C1114" s="10">
        <f>Github!F$997</f>
        <v>632</v>
      </c>
      <c r="D1114" s="10">
        <f>Github!G$997</f>
        <v>26</v>
      </c>
      <c r="E1114" s="10">
        <f>Github!F$997+Github!G$997</f>
        <v>658</v>
      </c>
      <c r="F1114" s="12">
        <f t="shared" si="1"/>
        <v>24.31</v>
      </c>
      <c r="G1114" s="10" t="str">
        <f>Github!H$997</f>
        <v>Algorithms</v>
      </c>
      <c r="H1114" s="13" t="str">
        <f>SUBSTITUTE(Github!L$997, ";", ", ")</f>
        <v>Array, Math, Dynamic Programming, Backtracking, Bit Manipulation, Bitmask, </v>
      </c>
      <c r="I1114" s="10" t="str">
        <f>Github!E$997</f>
        <v>Hard</v>
      </c>
      <c r="J1114" s="10" t="str">
        <f>IF(TRIM(Github!D$997)="TRUE","FALSE","TRUE")</f>
        <v>TRUE</v>
      </c>
      <c r="K1114" s="10" t="b">
        <f>Github!M$997</f>
        <v>0</v>
      </c>
      <c r="L1114" s="10" t="b">
        <f>Github!N$997</f>
        <v>0</v>
      </c>
      <c r="M1114" s="10" t="str">
        <f>ROUND(Github!O$997, 2)&amp;"%"</f>
        <v>49.08%</v>
      </c>
      <c r="N1114" s="10">
        <f>Github!P$997</f>
        <v>24654</v>
      </c>
      <c r="O1114" s="10">
        <f>Github!Q$997</f>
        <v>50229</v>
      </c>
    </row>
    <row r="1115">
      <c r="A1115" s="10">
        <f>Github!J$1416</f>
        <v>1415</v>
      </c>
      <c r="B1115" s="11" t="str">
        <f>HYPERLINK(CONCAT("http://leetcode.com/problems/",Github!C$1416), Github!B$1416)</f>
        <v>The k-th Lexicographical String of All Happy Strings of Length n</v>
      </c>
      <c r="C1115" s="10">
        <f>Github!F$1416</f>
        <v>632</v>
      </c>
      <c r="D1115" s="10">
        <f>Github!G$1416</f>
        <v>16</v>
      </c>
      <c r="E1115" s="10">
        <f>Github!F$1416+Github!G$1416</f>
        <v>648</v>
      </c>
      <c r="F1115" s="12">
        <f t="shared" si="1"/>
        <v>39.5</v>
      </c>
      <c r="G1115" s="10" t="str">
        <f>Github!H$1416</f>
        <v>Algorithms</v>
      </c>
      <c r="H1115" s="13" t="str">
        <f>SUBSTITUTE(Github!L$1416, ";", ", ")</f>
        <v>String, Backtracking, </v>
      </c>
      <c r="I1115" s="10" t="str">
        <f>Github!E$1416</f>
        <v>Medium</v>
      </c>
      <c r="J1115" s="10" t="str">
        <f>IF(TRIM(Github!D$1416)="TRUE","FALSE","TRUE")</f>
        <v>TRUE</v>
      </c>
      <c r="K1115" s="10" t="b">
        <f>Github!M$1416</f>
        <v>0</v>
      </c>
      <c r="L1115" s="10" t="b">
        <f>Github!N$1416</f>
        <v>0</v>
      </c>
      <c r="M1115" s="10" t="str">
        <f>ROUND(Github!O$1416, 2)&amp;"%"</f>
        <v>71.26%</v>
      </c>
      <c r="N1115" s="10">
        <f>Github!P$1416</f>
        <v>24576</v>
      </c>
      <c r="O1115" s="10">
        <f>Github!Q$1416</f>
        <v>34488</v>
      </c>
    </row>
    <row r="1116">
      <c r="A1116" s="10">
        <f>Github!J$1355</f>
        <v>1354</v>
      </c>
      <c r="B1116" s="11" t="str">
        <f>HYPERLINK(CONCAT("http://leetcode.com/problems/",Github!C$1355), Github!B$1355)</f>
        <v>Construct Target Array With Multiple Sums</v>
      </c>
      <c r="C1116" s="10">
        <f>Github!F$1355</f>
        <v>631</v>
      </c>
      <c r="D1116" s="10">
        <f>Github!G$1355</f>
        <v>73</v>
      </c>
      <c r="E1116" s="10">
        <f>Github!F$1355+Github!G$1355</f>
        <v>704</v>
      </c>
      <c r="F1116" s="12">
        <f t="shared" si="1"/>
        <v>8.64</v>
      </c>
      <c r="G1116" s="10" t="str">
        <f>Github!H$1355</f>
        <v>Algorithms</v>
      </c>
      <c r="H1116" s="13" t="str">
        <f>SUBSTITUTE(Github!L$1355, ";", ", ")</f>
        <v>Array, Heap (Priority Queue), </v>
      </c>
      <c r="I1116" s="10" t="str">
        <f>Github!E$1355</f>
        <v>Hard</v>
      </c>
      <c r="J1116" s="10" t="str">
        <f>IF(TRIM(Github!D$1355)="TRUE","FALSE","TRUE")</f>
        <v>TRUE</v>
      </c>
      <c r="K1116" s="10" t="b">
        <f>Github!M$1355</f>
        <v>1</v>
      </c>
      <c r="L1116" s="10" t="b">
        <f>Github!N$1355</f>
        <v>0</v>
      </c>
      <c r="M1116" s="10" t="str">
        <f>ROUND(Github!O$1355, 2)&amp;"%"</f>
        <v>31.21%</v>
      </c>
      <c r="N1116" s="10">
        <f>Github!P$1355</f>
        <v>25100</v>
      </c>
      <c r="O1116" s="10">
        <f>Github!Q$1355</f>
        <v>80431</v>
      </c>
    </row>
    <row r="1117">
      <c r="A1117" s="10">
        <f>Github!J$1691</f>
        <v>1690</v>
      </c>
      <c r="B1117" s="11" t="str">
        <f>HYPERLINK(CONCAT("http://leetcode.com/problems/",Github!C$1691), Github!B$1691)</f>
        <v>Stone Game VII</v>
      </c>
      <c r="C1117" s="10">
        <f>Github!F$1691</f>
        <v>630</v>
      </c>
      <c r="D1117" s="10">
        <f>Github!G$1691</f>
        <v>125</v>
      </c>
      <c r="E1117" s="10">
        <f>Github!F$1691+Github!G$1691</f>
        <v>755</v>
      </c>
      <c r="F1117" s="12">
        <f t="shared" si="1"/>
        <v>5.04</v>
      </c>
      <c r="G1117" s="10" t="str">
        <f>Github!H$1691</f>
        <v>Algorithms</v>
      </c>
      <c r="H1117" s="13" t="str">
        <f>SUBSTITUTE(Github!L$1691, ";", ", ")</f>
        <v>Array, Math, Dynamic Programming, Game Theory, </v>
      </c>
      <c r="I1117" s="10" t="str">
        <f>Github!E$1691</f>
        <v>Medium</v>
      </c>
      <c r="J1117" s="10" t="str">
        <f>IF(TRIM(Github!D$1691)="TRUE","FALSE","TRUE")</f>
        <v>TRUE</v>
      </c>
      <c r="K1117" s="10" t="b">
        <f>Github!M$1691</f>
        <v>1</v>
      </c>
      <c r="L1117" s="10" t="b">
        <f>Github!N$1691</f>
        <v>0</v>
      </c>
      <c r="M1117" s="10" t="str">
        <f>ROUND(Github!O$1691, 2)&amp;"%"</f>
        <v>58.69%</v>
      </c>
      <c r="N1117" s="10">
        <f>Github!P$1691</f>
        <v>25633</v>
      </c>
      <c r="O1117" s="10">
        <f>Github!Q$1691</f>
        <v>43674</v>
      </c>
    </row>
    <row r="1118">
      <c r="A1118" s="10">
        <f>Github!J$1609</f>
        <v>1608</v>
      </c>
      <c r="B1118" s="11" t="str">
        <f>HYPERLINK(CONCAT("http://leetcode.com/problems/",Github!C$1609), Github!B$1609)</f>
        <v>Special Array With X Elements Greater Than or Equal X</v>
      </c>
      <c r="C1118" s="10">
        <f>Github!F$1609</f>
        <v>630</v>
      </c>
      <c r="D1118" s="10">
        <f>Github!G$1609</f>
        <v>101</v>
      </c>
      <c r="E1118" s="10">
        <f>Github!F$1609+Github!G$1609</f>
        <v>731</v>
      </c>
      <c r="F1118" s="12">
        <f t="shared" si="1"/>
        <v>6.24</v>
      </c>
      <c r="G1118" s="10" t="str">
        <f>Github!H$1609</f>
        <v>Algorithms</v>
      </c>
      <c r="H1118" s="13" t="str">
        <f>SUBSTITUTE(Github!L$1609, ";", ", ")</f>
        <v>Array, Binary Search, Sorting, </v>
      </c>
      <c r="I1118" s="10" t="str">
        <f>Github!E$1609</f>
        <v>Easy</v>
      </c>
      <c r="J1118" s="10" t="str">
        <f>IF(TRIM(Github!D$1609)="TRUE","FALSE","TRUE")</f>
        <v>TRUE</v>
      </c>
      <c r="K1118" s="10" t="b">
        <f>Github!M$1609</f>
        <v>0</v>
      </c>
      <c r="L1118" s="10" t="b">
        <f>Github!N$1609</f>
        <v>0</v>
      </c>
      <c r="M1118" s="10" t="str">
        <f>ROUND(Github!O$1609, 2)&amp;"%"</f>
        <v>60.25%</v>
      </c>
      <c r="N1118" s="10">
        <f>Github!P$1609</f>
        <v>32604</v>
      </c>
      <c r="O1118" s="10">
        <f>Github!Q$1609</f>
        <v>54117</v>
      </c>
    </row>
    <row r="1119">
      <c r="A1119" s="10">
        <f>Github!J$599</f>
        <v>598</v>
      </c>
      <c r="B1119" s="11" t="str">
        <f>HYPERLINK(CONCAT("http://leetcode.com/problems/",Github!C$599), Github!B$599)</f>
        <v>Range Addition II</v>
      </c>
      <c r="C1119" s="10">
        <f>Github!F$599</f>
        <v>628</v>
      </c>
      <c r="D1119" s="10">
        <f>Github!G$599</f>
        <v>793</v>
      </c>
      <c r="E1119" s="10">
        <f>Github!F$599+Github!G$599</f>
        <v>1421</v>
      </c>
      <c r="F1119" s="12">
        <f t="shared" si="1"/>
        <v>0.79</v>
      </c>
      <c r="G1119" s="10" t="str">
        <f>Github!H$599</f>
        <v>Algorithms</v>
      </c>
      <c r="H1119" s="13" t="str">
        <f>SUBSTITUTE(Github!L$599, ";", ", ")</f>
        <v>Array, Math, </v>
      </c>
      <c r="I1119" s="10" t="str">
        <f>Github!E$599</f>
        <v>Easy</v>
      </c>
      <c r="J1119" s="10" t="str">
        <f>IF(TRIM(Github!D$599)="TRUE","FALSE","TRUE")</f>
        <v>TRUE</v>
      </c>
      <c r="K1119" s="10" t="b">
        <f>Github!M$599</f>
        <v>1</v>
      </c>
      <c r="L1119" s="10" t="b">
        <f>Github!N$599</f>
        <v>0</v>
      </c>
      <c r="M1119" s="10" t="str">
        <f>ROUND(Github!O$599, 2)&amp;"%"</f>
        <v>54.59%</v>
      </c>
      <c r="N1119" s="10">
        <f>Github!P$599</f>
        <v>76144</v>
      </c>
      <c r="O1119" s="10">
        <f>Github!Q$599</f>
        <v>139486</v>
      </c>
    </row>
    <row r="1120">
      <c r="A1120" s="10">
        <f>Github!J$957</f>
        <v>956</v>
      </c>
      <c r="B1120" s="11" t="str">
        <f>HYPERLINK(CONCAT("http://leetcode.com/problems/",Github!C$957), Github!B$957)</f>
        <v>Tallest Billboard</v>
      </c>
      <c r="C1120" s="10">
        <f>Github!F$957</f>
        <v>628</v>
      </c>
      <c r="D1120" s="10">
        <f>Github!G$957</f>
        <v>22</v>
      </c>
      <c r="E1120" s="10">
        <f>Github!F$957+Github!G$957</f>
        <v>650</v>
      </c>
      <c r="F1120" s="12">
        <f t="shared" si="1"/>
        <v>28.55</v>
      </c>
      <c r="G1120" s="10" t="str">
        <f>Github!H$957</f>
        <v>Algorithms</v>
      </c>
      <c r="H1120" s="13" t="str">
        <f>SUBSTITUTE(Github!L$957, ";", ", ")</f>
        <v>Array, Dynamic Programming, </v>
      </c>
      <c r="I1120" s="10" t="str">
        <f>Github!E$957</f>
        <v>Hard</v>
      </c>
      <c r="J1120" s="10" t="str">
        <f>IF(TRIM(Github!D$957)="TRUE","FALSE","TRUE")</f>
        <v>TRUE</v>
      </c>
      <c r="K1120" s="10" t="b">
        <f>Github!M$957</f>
        <v>0</v>
      </c>
      <c r="L1120" s="10" t="b">
        <f>Github!N$957</f>
        <v>0</v>
      </c>
      <c r="M1120" s="10" t="str">
        <f>ROUND(Github!O$957, 2)&amp;"%"</f>
        <v>39.91%</v>
      </c>
      <c r="N1120" s="10">
        <f>Github!P$957</f>
        <v>12597</v>
      </c>
      <c r="O1120" s="10">
        <f>Github!Q$957</f>
        <v>31567</v>
      </c>
    </row>
    <row r="1121">
      <c r="A1121" s="10">
        <f>Github!J$459</f>
        <v>458</v>
      </c>
      <c r="B1121" s="11" t="str">
        <f>HYPERLINK(CONCAT("http://leetcode.com/problems/",Github!C$459), Github!B$459)</f>
        <v>Poor Pigs</v>
      </c>
      <c r="C1121" s="10">
        <f>Github!F$459</f>
        <v>626</v>
      </c>
      <c r="D1121" s="10">
        <f>Github!G$459</f>
        <v>1128</v>
      </c>
      <c r="E1121" s="10">
        <f>Github!F$459+Github!G$459</f>
        <v>1754</v>
      </c>
      <c r="F1121" s="12">
        <f t="shared" si="1"/>
        <v>0.55</v>
      </c>
      <c r="G1121" s="10" t="str">
        <f>Github!H$459</f>
        <v>Algorithms</v>
      </c>
      <c r="H1121" s="13" t="str">
        <f>SUBSTITUTE(Github!L$459, ";", ", ")</f>
        <v>Math, Dynamic Programming, Combinatorics, </v>
      </c>
      <c r="I1121" s="10" t="str">
        <f>Github!E$459</f>
        <v>Hard</v>
      </c>
      <c r="J1121" s="10" t="str">
        <f>IF(TRIM(Github!D$459)="TRUE","FALSE","TRUE")</f>
        <v>TRUE</v>
      </c>
      <c r="K1121" s="10" t="b">
        <f>Github!M$459</f>
        <v>1</v>
      </c>
      <c r="L1121" s="10" t="b">
        <f>Github!N$459</f>
        <v>0</v>
      </c>
      <c r="M1121" s="10" t="str">
        <f>ROUND(Github!O$459, 2)&amp;"%"</f>
        <v>55.43%</v>
      </c>
      <c r="N1121" s="10">
        <f>Github!P$459</f>
        <v>33165</v>
      </c>
      <c r="O1121" s="10">
        <f>Github!Q$459</f>
        <v>59827</v>
      </c>
    </row>
    <row r="1122">
      <c r="A1122" s="10">
        <f>Github!J$1679</f>
        <v>1678</v>
      </c>
      <c r="B1122" s="11" t="str">
        <f>HYPERLINK(CONCAT("http://leetcode.com/problems/",Github!C$1679), Github!B$1679)</f>
        <v>Goal Parser Interpretation</v>
      </c>
      <c r="C1122" s="10">
        <f>Github!F$1679</f>
        <v>627</v>
      </c>
      <c r="D1122" s="10">
        <f>Github!G$1679</f>
        <v>58</v>
      </c>
      <c r="E1122" s="10">
        <f>Github!F$1679+Github!G$1679</f>
        <v>685</v>
      </c>
      <c r="F1122" s="12">
        <f t="shared" si="1"/>
        <v>10.81</v>
      </c>
      <c r="G1122" s="10" t="str">
        <f>Github!H$1679</f>
        <v>Algorithms</v>
      </c>
      <c r="H1122" s="13" t="str">
        <f>SUBSTITUTE(Github!L$1679, ";", ", ")</f>
        <v>String, </v>
      </c>
      <c r="I1122" s="10" t="str">
        <f>Github!E$1679</f>
        <v>Easy</v>
      </c>
      <c r="J1122" s="10" t="str">
        <f>IF(TRIM(Github!D$1679)="TRUE","FALSE","TRUE")</f>
        <v>TRUE</v>
      </c>
      <c r="K1122" s="10" t="b">
        <f>Github!M$1679</f>
        <v>0</v>
      </c>
      <c r="L1122" s="10" t="b">
        <f>Github!N$1679</f>
        <v>0</v>
      </c>
      <c r="M1122" s="10" t="str">
        <f>ROUND(Github!O$1679, 2)&amp;"%"</f>
        <v>85.54%</v>
      </c>
      <c r="N1122" s="10">
        <f>Github!P$1679</f>
        <v>94710</v>
      </c>
      <c r="O1122" s="10">
        <f>Github!Q$1679</f>
        <v>110720</v>
      </c>
    </row>
    <row r="1123">
      <c r="A1123" s="10">
        <f>Github!J$1139</f>
        <v>1138</v>
      </c>
      <c r="B1123" s="11" t="str">
        <f>HYPERLINK(CONCAT("http://leetcode.com/problems/",Github!C$1139), Github!B$1139)</f>
        <v>Alphabet Board Path</v>
      </c>
      <c r="C1123" s="10">
        <f>Github!F$1139</f>
        <v>622</v>
      </c>
      <c r="D1123" s="10">
        <f>Github!G$1139</f>
        <v>134</v>
      </c>
      <c r="E1123" s="10">
        <f>Github!F$1139+Github!G$1139</f>
        <v>756</v>
      </c>
      <c r="F1123" s="12">
        <f t="shared" si="1"/>
        <v>4.64</v>
      </c>
      <c r="G1123" s="10" t="str">
        <f>Github!H$1139</f>
        <v>Algorithms</v>
      </c>
      <c r="H1123" s="13" t="str">
        <f>SUBSTITUTE(Github!L$1139, ";", ", ")</f>
        <v>Hash Table, String, </v>
      </c>
      <c r="I1123" s="10" t="str">
        <f>Github!E$1139</f>
        <v>Medium</v>
      </c>
      <c r="J1123" s="10" t="str">
        <f>IF(TRIM(Github!D$1139)="TRUE","FALSE","TRUE")</f>
        <v>TRUE</v>
      </c>
      <c r="K1123" s="10" t="b">
        <f>Github!M$1139</f>
        <v>0</v>
      </c>
      <c r="L1123" s="10" t="b">
        <f>Github!N$1139</f>
        <v>0</v>
      </c>
      <c r="M1123" s="10" t="str">
        <f>ROUND(Github!O$1139, 2)&amp;"%"</f>
        <v>52.33%</v>
      </c>
      <c r="N1123" s="10">
        <f>Github!P$1139</f>
        <v>38511</v>
      </c>
      <c r="O1123" s="10">
        <f>Github!Q$1139</f>
        <v>73595</v>
      </c>
    </row>
    <row r="1124">
      <c r="A1124" s="10">
        <f>Github!J$1654</f>
        <v>1653</v>
      </c>
      <c r="B1124" s="11" t="str">
        <f>HYPERLINK(CONCAT("http://leetcode.com/problems/",Github!C$1654), Github!B$1654)</f>
        <v>Minimum Deletions to Make String Balanced</v>
      </c>
      <c r="C1124" s="10">
        <f>Github!F$1654</f>
        <v>620</v>
      </c>
      <c r="D1124" s="10">
        <f>Github!G$1654</f>
        <v>16</v>
      </c>
      <c r="E1124" s="10">
        <f>Github!F$1654+Github!G$1654</f>
        <v>636</v>
      </c>
      <c r="F1124" s="12">
        <f t="shared" si="1"/>
        <v>38.75</v>
      </c>
      <c r="G1124" s="10" t="str">
        <f>Github!H$1654</f>
        <v>Algorithms</v>
      </c>
      <c r="H1124" s="13" t="str">
        <f>SUBSTITUTE(Github!L$1654, ";", ", ")</f>
        <v>String, Dynamic Programming, Stack, </v>
      </c>
      <c r="I1124" s="10" t="str">
        <f>Github!E$1654</f>
        <v>Medium</v>
      </c>
      <c r="J1124" s="10" t="str">
        <f>IF(TRIM(Github!D$1654)="TRUE","FALSE","TRUE")</f>
        <v>TRUE</v>
      </c>
      <c r="K1124" s="10" t="b">
        <f>Github!M$1654</f>
        <v>0</v>
      </c>
      <c r="L1124" s="10" t="b">
        <f>Github!N$1654</f>
        <v>0</v>
      </c>
      <c r="M1124" s="10" t="str">
        <f>ROUND(Github!O$1654, 2)&amp;"%"</f>
        <v>55.36%</v>
      </c>
      <c r="N1124" s="10">
        <f>Github!P$1654</f>
        <v>16703</v>
      </c>
      <c r="O1124" s="10">
        <f>Github!Q$1654</f>
        <v>30171</v>
      </c>
    </row>
    <row r="1125">
      <c r="A1125" s="10">
        <f>Github!J$1288</f>
        <v>1287</v>
      </c>
      <c r="B1125" s="11" t="str">
        <f>HYPERLINK(CONCAT("http://leetcode.com/problems/",Github!C$1288), Github!B$1288)</f>
        <v>Element Appearing More Than 25% In Sorted Array</v>
      </c>
      <c r="C1125" s="10">
        <f>Github!F$1288</f>
        <v>618</v>
      </c>
      <c r="D1125" s="10">
        <f>Github!G$1288</f>
        <v>35</v>
      </c>
      <c r="E1125" s="10">
        <f>Github!F$1288+Github!G$1288</f>
        <v>653</v>
      </c>
      <c r="F1125" s="12">
        <f t="shared" si="1"/>
        <v>17.66</v>
      </c>
      <c r="G1125" s="10" t="str">
        <f>Github!H$1288</f>
        <v>Algorithms</v>
      </c>
      <c r="H1125" s="13" t="str">
        <f>SUBSTITUTE(Github!L$1288, ";", ", ")</f>
        <v>Array, </v>
      </c>
      <c r="I1125" s="10" t="str">
        <f>Github!E$1288</f>
        <v>Easy</v>
      </c>
      <c r="J1125" s="10" t="str">
        <f>IF(TRIM(Github!D$1288)="TRUE","FALSE","TRUE")</f>
        <v>TRUE</v>
      </c>
      <c r="K1125" s="10" t="b">
        <f>Github!M$1288</f>
        <v>0</v>
      </c>
      <c r="L1125" s="10" t="b">
        <f>Github!N$1288</f>
        <v>0</v>
      </c>
      <c r="M1125" s="10" t="str">
        <f>ROUND(Github!O$1288, 2)&amp;"%"</f>
        <v>59.53%</v>
      </c>
      <c r="N1125" s="10">
        <f>Github!P$1288</f>
        <v>60084</v>
      </c>
      <c r="O1125" s="10">
        <f>Github!Q$1288</f>
        <v>100928</v>
      </c>
    </row>
    <row r="1126">
      <c r="A1126" s="10">
        <f>Github!J$1728</f>
        <v>1727</v>
      </c>
      <c r="B1126" s="11" t="str">
        <f>HYPERLINK(CONCAT("http://leetcode.com/problems/",Github!C$1728), Github!B$1728)</f>
        <v>Largest Submatrix With Rearrangements</v>
      </c>
      <c r="C1126" s="10">
        <f>Github!F$1728</f>
        <v>617</v>
      </c>
      <c r="D1126" s="10">
        <f>Github!G$1728</f>
        <v>16</v>
      </c>
      <c r="E1126" s="10">
        <f>Github!F$1728+Github!G$1728</f>
        <v>633</v>
      </c>
      <c r="F1126" s="12">
        <f t="shared" si="1"/>
        <v>38.56</v>
      </c>
      <c r="G1126" s="10" t="str">
        <f>Github!H$1728</f>
        <v>Algorithms</v>
      </c>
      <c r="H1126" s="13" t="str">
        <f>SUBSTITUTE(Github!L$1728, ";", ", ")</f>
        <v>Array, Greedy, Sorting, Matrix, </v>
      </c>
      <c r="I1126" s="10" t="str">
        <f>Github!E$1728</f>
        <v>Medium</v>
      </c>
      <c r="J1126" s="10" t="str">
        <f>IF(TRIM(Github!D$1728)="TRUE","FALSE","TRUE")</f>
        <v>TRUE</v>
      </c>
      <c r="K1126" s="10" t="b">
        <f>Github!M$1728</f>
        <v>0</v>
      </c>
      <c r="L1126" s="10" t="b">
        <f>Github!N$1728</f>
        <v>0</v>
      </c>
      <c r="M1126" s="10" t="str">
        <f>ROUND(Github!O$1728, 2)&amp;"%"</f>
        <v>60.21%</v>
      </c>
      <c r="N1126" s="10">
        <f>Github!P$1728</f>
        <v>11306</v>
      </c>
      <c r="O1126" s="10">
        <f>Github!Q$1728</f>
        <v>18779</v>
      </c>
    </row>
    <row r="1127">
      <c r="A1127" s="10">
        <f>Github!J$1554</f>
        <v>1553</v>
      </c>
      <c r="B1127" s="11" t="str">
        <f>HYPERLINK(CONCAT("http://leetcode.com/problems/",Github!C$1554), Github!B$1554)</f>
        <v>Minimum Number of Days to Eat N Oranges</v>
      </c>
      <c r="C1127" s="10">
        <f>Github!F$1554</f>
        <v>616</v>
      </c>
      <c r="D1127" s="10">
        <f>Github!G$1554</f>
        <v>41</v>
      </c>
      <c r="E1127" s="10">
        <f>Github!F$1554+Github!G$1554</f>
        <v>657</v>
      </c>
      <c r="F1127" s="12">
        <f t="shared" si="1"/>
        <v>15.02</v>
      </c>
      <c r="G1127" s="10" t="str">
        <f>Github!H$1554</f>
        <v>Algorithms</v>
      </c>
      <c r="H1127" s="13" t="str">
        <f>SUBSTITUTE(Github!L$1554, ";", ", ")</f>
        <v>Dynamic Programming, Memoization, </v>
      </c>
      <c r="I1127" s="10" t="str">
        <f>Github!E$1554</f>
        <v>Hard</v>
      </c>
      <c r="J1127" s="10" t="str">
        <f>IF(TRIM(Github!D$1554)="TRUE","FALSE","TRUE")</f>
        <v>TRUE</v>
      </c>
      <c r="K1127" s="10" t="b">
        <f>Github!M$1554</f>
        <v>0</v>
      </c>
      <c r="L1127" s="10" t="b">
        <f>Github!N$1554</f>
        <v>0</v>
      </c>
      <c r="M1127" s="10" t="str">
        <f>ROUND(Github!O$1554, 2)&amp;"%"</f>
        <v>32.61%</v>
      </c>
      <c r="N1127" s="10">
        <f>Github!P$1554</f>
        <v>21208</v>
      </c>
      <c r="O1127" s="10">
        <f>Github!Q$1554</f>
        <v>65034</v>
      </c>
    </row>
    <row r="1128">
      <c r="A1128" s="10">
        <f>Github!J$1341</f>
        <v>1340</v>
      </c>
      <c r="B1128" s="11" t="str">
        <f>HYPERLINK(CONCAT("http://leetcode.com/problems/",Github!C$1341), Github!B$1341)</f>
        <v>Jump Game V</v>
      </c>
      <c r="C1128" s="10">
        <f>Github!F$1341</f>
        <v>615</v>
      </c>
      <c r="D1128" s="10">
        <f>Github!G$1341</f>
        <v>22</v>
      </c>
      <c r="E1128" s="10">
        <f>Github!F$1341+Github!G$1341</f>
        <v>637</v>
      </c>
      <c r="F1128" s="12">
        <f t="shared" si="1"/>
        <v>27.95</v>
      </c>
      <c r="G1128" s="10" t="str">
        <f>Github!H$1341</f>
        <v>Algorithms</v>
      </c>
      <c r="H1128" s="13" t="str">
        <f>SUBSTITUTE(Github!L$1341, ";", ", ")</f>
        <v>Array, Dynamic Programming, Sorting, </v>
      </c>
      <c r="I1128" s="10" t="str">
        <f>Github!E$1341</f>
        <v>Hard</v>
      </c>
      <c r="J1128" s="10" t="str">
        <f>IF(TRIM(Github!D$1341)="TRUE","FALSE","TRUE")</f>
        <v>TRUE</v>
      </c>
      <c r="K1128" s="10" t="b">
        <f>Github!M$1341</f>
        <v>0</v>
      </c>
      <c r="L1128" s="10" t="b">
        <f>Github!N$1341</f>
        <v>0</v>
      </c>
      <c r="M1128" s="10" t="str">
        <f>ROUND(Github!O$1341, 2)&amp;"%"</f>
        <v>61.95%</v>
      </c>
      <c r="N1128" s="10">
        <f>Github!P$1341</f>
        <v>17928</v>
      </c>
      <c r="O1128" s="10">
        <f>Github!Q$1341</f>
        <v>28939</v>
      </c>
    </row>
    <row r="1129">
      <c r="A1129" s="10">
        <f>Github!J$1530</f>
        <v>1529</v>
      </c>
      <c r="B1129" s="11" t="str">
        <f>HYPERLINK(CONCAT("http://leetcode.com/problems/",Github!C$1530), Github!B$1530)</f>
        <v>Minimum Suffix Flips</v>
      </c>
      <c r="C1129" s="10">
        <f>Github!F$1530</f>
        <v>611</v>
      </c>
      <c r="D1129" s="10">
        <f>Github!G$1530</f>
        <v>30</v>
      </c>
      <c r="E1129" s="10">
        <f>Github!F$1530+Github!G$1530</f>
        <v>641</v>
      </c>
      <c r="F1129" s="12">
        <f t="shared" si="1"/>
        <v>20.37</v>
      </c>
      <c r="G1129" s="10" t="str">
        <f>Github!H$1530</f>
        <v>Algorithms</v>
      </c>
      <c r="H1129" s="13" t="str">
        <f>SUBSTITUTE(Github!L$1530, ";", ", ")</f>
        <v>String, Greedy, </v>
      </c>
      <c r="I1129" s="10" t="str">
        <f>Github!E$1530</f>
        <v>Medium</v>
      </c>
      <c r="J1129" s="10" t="str">
        <f>IF(TRIM(Github!D$1530)="TRUE","FALSE","TRUE")</f>
        <v>TRUE</v>
      </c>
      <c r="K1129" s="10" t="b">
        <f>Github!M$1530</f>
        <v>0</v>
      </c>
      <c r="L1129" s="10" t="b">
        <f>Github!N$1530</f>
        <v>0</v>
      </c>
      <c r="M1129" s="10" t="str">
        <f>ROUND(Github!O$1530, 2)&amp;"%"</f>
        <v>72.42%</v>
      </c>
      <c r="N1129" s="10">
        <f>Github!P$1530</f>
        <v>31431</v>
      </c>
      <c r="O1129" s="10">
        <f>Github!Q$1530</f>
        <v>43402</v>
      </c>
    </row>
    <row r="1130">
      <c r="A1130" s="10">
        <f>Github!J$1420</f>
        <v>1419</v>
      </c>
      <c r="B1130" s="11" t="str">
        <f>HYPERLINK(CONCAT("http://leetcode.com/problems/",Github!C$1420), Github!B$1420)</f>
        <v>Minimum Number of Frogs Croaking</v>
      </c>
      <c r="C1130" s="10">
        <f>Github!F$1420</f>
        <v>612</v>
      </c>
      <c r="D1130" s="10">
        <f>Github!G$1420</f>
        <v>38</v>
      </c>
      <c r="E1130" s="10">
        <f>Github!F$1420+Github!G$1420</f>
        <v>650</v>
      </c>
      <c r="F1130" s="12">
        <f t="shared" si="1"/>
        <v>16.11</v>
      </c>
      <c r="G1130" s="10" t="str">
        <f>Github!H$1420</f>
        <v>Algorithms</v>
      </c>
      <c r="H1130" s="13" t="str">
        <f>SUBSTITUTE(Github!L$1420, ";", ", ")</f>
        <v>String, Counting, </v>
      </c>
      <c r="I1130" s="10" t="str">
        <f>Github!E$1420</f>
        <v>Medium</v>
      </c>
      <c r="J1130" s="10" t="str">
        <f>IF(TRIM(Github!D$1420)="TRUE","FALSE","TRUE")</f>
        <v>TRUE</v>
      </c>
      <c r="K1130" s="10" t="b">
        <f>Github!M$1420</f>
        <v>0</v>
      </c>
      <c r="L1130" s="10" t="b">
        <f>Github!N$1420</f>
        <v>0</v>
      </c>
      <c r="M1130" s="10" t="str">
        <f>ROUND(Github!O$1420, 2)&amp;"%"</f>
        <v>49.59%</v>
      </c>
      <c r="N1130" s="10">
        <f>Github!P$1420</f>
        <v>24324</v>
      </c>
      <c r="O1130" s="10">
        <f>Github!Q$1420</f>
        <v>49046</v>
      </c>
    </row>
    <row r="1131">
      <c r="A1131" s="10">
        <f>Github!J$1902</f>
        <v>1901</v>
      </c>
      <c r="B1131" s="11" t="str">
        <f>HYPERLINK(CONCAT("http://leetcode.com/problems/",Github!C$1902), Github!B$1902)</f>
        <v>Find a Peak Element II</v>
      </c>
      <c r="C1131" s="10">
        <f>Github!F$1902</f>
        <v>612</v>
      </c>
      <c r="D1131" s="10">
        <f>Github!G$1902</f>
        <v>48</v>
      </c>
      <c r="E1131" s="10">
        <f>Github!F$1902+Github!G$1902</f>
        <v>660</v>
      </c>
      <c r="F1131" s="12">
        <f t="shared" si="1"/>
        <v>12.75</v>
      </c>
      <c r="G1131" s="10" t="str">
        <f>Github!H$1902</f>
        <v>Algorithms</v>
      </c>
      <c r="H1131" s="13" t="str">
        <f>SUBSTITUTE(Github!L$1902, ";", ", ")</f>
        <v>Array, Binary Search, Divide and Conquer, Matrix, </v>
      </c>
      <c r="I1131" s="10" t="str">
        <f>Github!E$1902</f>
        <v>Medium</v>
      </c>
      <c r="J1131" s="10" t="str">
        <f>IF(TRIM(Github!D$1902)="TRUE","FALSE","TRUE")</f>
        <v>TRUE</v>
      </c>
      <c r="K1131" s="10" t="b">
        <f>Github!M$1902</f>
        <v>0</v>
      </c>
      <c r="L1131" s="10" t="b">
        <f>Github!N$1902</f>
        <v>0</v>
      </c>
      <c r="M1131" s="10" t="str">
        <f>ROUND(Github!O$1902, 2)&amp;"%"</f>
        <v>53.57%</v>
      </c>
      <c r="N1131" s="10">
        <f>Github!P$1902</f>
        <v>16279</v>
      </c>
      <c r="O1131" s="10">
        <f>Github!Q$1902</f>
        <v>30392</v>
      </c>
    </row>
    <row r="1132">
      <c r="A1132" s="10">
        <f>Github!J$1230</f>
        <v>1229</v>
      </c>
      <c r="B1132" s="11" t="str">
        <f>HYPERLINK(CONCAT("http://leetcode.com/problems/",Github!C$1230), Github!B$1230)</f>
        <v>Meeting Scheduler</v>
      </c>
      <c r="C1132" s="10">
        <f>Github!F$1230</f>
        <v>608</v>
      </c>
      <c r="D1132" s="10">
        <f>Github!G$1230</f>
        <v>25</v>
      </c>
      <c r="E1132" s="10">
        <f>Github!F$1230+Github!G$1230</f>
        <v>633</v>
      </c>
      <c r="F1132" s="12">
        <f t="shared" si="1"/>
        <v>24.32</v>
      </c>
      <c r="G1132" s="10" t="str">
        <f>Github!H$1230</f>
        <v>Algorithms</v>
      </c>
      <c r="H1132" s="13" t="str">
        <f>SUBSTITUTE(Github!L$1230, ";", ", ")</f>
        <v>Array, Two Pointers, Sorting, </v>
      </c>
      <c r="I1132" s="10" t="str">
        <f>Github!E$1230</f>
        <v>Medium</v>
      </c>
      <c r="J1132" s="10" t="str">
        <f>IF(TRIM(Github!D$1230)="TRUE","FALSE","TRUE")</f>
        <v>FALSE</v>
      </c>
      <c r="K1132" s="10" t="b">
        <f>Github!M$1230</f>
        <v>1</v>
      </c>
      <c r="L1132" s="10" t="b">
        <f>Github!N$1230</f>
        <v>0</v>
      </c>
      <c r="M1132" s="10" t="str">
        <f>ROUND(Github!O$1230, 2)&amp;"%"</f>
        <v>54.62%</v>
      </c>
      <c r="N1132" s="10">
        <f>Github!P$1230</f>
        <v>49584</v>
      </c>
      <c r="O1132" s="10">
        <f>Github!Q$1230</f>
        <v>90788</v>
      </c>
    </row>
    <row r="1133">
      <c r="A1133" s="10">
        <f>Github!J$831</f>
        <v>830</v>
      </c>
      <c r="B1133" s="11" t="str">
        <f>HYPERLINK(CONCAT("http://leetcode.com/problems/",Github!C$831), Github!B$831)</f>
        <v>Positions of Large Groups</v>
      </c>
      <c r="C1133" s="10">
        <f>Github!F$831</f>
        <v>606</v>
      </c>
      <c r="D1133" s="10">
        <f>Github!G$831</f>
        <v>111</v>
      </c>
      <c r="E1133" s="10">
        <f>Github!F$831+Github!G$831</f>
        <v>717</v>
      </c>
      <c r="F1133" s="12">
        <f t="shared" si="1"/>
        <v>5.46</v>
      </c>
      <c r="G1133" s="10" t="str">
        <f>Github!H$831</f>
        <v>Algorithms</v>
      </c>
      <c r="H1133" s="13" t="str">
        <f>SUBSTITUTE(Github!L$831, ";", ", ")</f>
        <v>String, </v>
      </c>
      <c r="I1133" s="10" t="str">
        <f>Github!E$831</f>
        <v>Easy</v>
      </c>
      <c r="J1133" s="10" t="str">
        <f>IF(TRIM(Github!D$831)="TRUE","FALSE","TRUE")</f>
        <v>TRUE</v>
      </c>
      <c r="K1133" s="10" t="b">
        <f>Github!M$831</f>
        <v>1</v>
      </c>
      <c r="L1133" s="10" t="b">
        <f>Github!N$831</f>
        <v>0</v>
      </c>
      <c r="M1133" s="10" t="str">
        <f>ROUND(Github!O$831, 2)&amp;"%"</f>
        <v>51.31%</v>
      </c>
      <c r="N1133" s="10">
        <f>Github!P$831</f>
        <v>69258</v>
      </c>
      <c r="O1133" s="10">
        <f>Github!Q$831</f>
        <v>134971</v>
      </c>
    </row>
    <row r="1134">
      <c r="A1134" s="10">
        <f>Github!J$1209</f>
        <v>1208</v>
      </c>
      <c r="B1134" s="11" t="str">
        <f>HYPERLINK(CONCAT("http://leetcode.com/problems/",Github!C$1209), Github!B$1209)</f>
        <v>Get Equal Substrings Within Budget</v>
      </c>
      <c r="C1134" s="10">
        <f>Github!F$1209</f>
        <v>606</v>
      </c>
      <c r="D1134" s="10">
        <f>Github!G$1209</f>
        <v>42</v>
      </c>
      <c r="E1134" s="10">
        <f>Github!F$1209+Github!G$1209</f>
        <v>648</v>
      </c>
      <c r="F1134" s="12">
        <f t="shared" si="1"/>
        <v>14.43</v>
      </c>
      <c r="G1134" s="10" t="str">
        <f>Github!H$1209</f>
        <v>Algorithms</v>
      </c>
      <c r="H1134" s="13" t="str">
        <f>SUBSTITUTE(Github!L$1209, ";", ", ")</f>
        <v>String, Binary Search, Sliding Window, Prefix Sum, </v>
      </c>
      <c r="I1134" s="10" t="str">
        <f>Github!E$1209</f>
        <v>Medium</v>
      </c>
      <c r="J1134" s="10" t="str">
        <f>IF(TRIM(Github!D$1209)="TRUE","FALSE","TRUE")</f>
        <v>TRUE</v>
      </c>
      <c r="K1134" s="10" t="b">
        <f>Github!M$1209</f>
        <v>0</v>
      </c>
      <c r="L1134" s="10" t="b">
        <f>Github!N$1209</f>
        <v>0</v>
      </c>
      <c r="M1134" s="10" t="str">
        <f>ROUND(Github!O$1209, 2)&amp;"%"</f>
        <v>46.33%</v>
      </c>
      <c r="N1134" s="10">
        <f>Github!P$1209</f>
        <v>27807</v>
      </c>
      <c r="O1134" s="10">
        <f>Github!Q$1209</f>
        <v>60015</v>
      </c>
    </row>
    <row r="1135">
      <c r="A1135" s="10">
        <f>Github!J$1639</f>
        <v>1638</v>
      </c>
      <c r="B1135" s="11" t="str">
        <f>HYPERLINK(CONCAT("http://leetcode.com/problems/",Github!C$1639), Github!B$1639)</f>
        <v>Count Substrings That Differ by One Character</v>
      </c>
      <c r="C1135" s="10">
        <f>Github!F$1639</f>
        <v>608</v>
      </c>
      <c r="D1135" s="10">
        <f>Github!G$1639</f>
        <v>235</v>
      </c>
      <c r="E1135" s="10">
        <f>Github!F$1639+Github!G$1639</f>
        <v>843</v>
      </c>
      <c r="F1135" s="12">
        <f t="shared" si="1"/>
        <v>2.59</v>
      </c>
      <c r="G1135" s="10" t="str">
        <f>Github!H$1639</f>
        <v>Algorithms</v>
      </c>
      <c r="H1135" s="13" t="str">
        <f>SUBSTITUTE(Github!L$1639, ";", ", ")</f>
        <v>Hash Table, String, Dynamic Programming, </v>
      </c>
      <c r="I1135" s="10" t="str">
        <f>Github!E$1639</f>
        <v>Medium</v>
      </c>
      <c r="J1135" s="10" t="str">
        <f>IF(TRIM(Github!D$1639)="TRUE","FALSE","TRUE")</f>
        <v>TRUE</v>
      </c>
      <c r="K1135" s="10" t="b">
        <f>Github!M$1639</f>
        <v>0</v>
      </c>
      <c r="L1135" s="10" t="b">
        <f>Github!N$1639</f>
        <v>0</v>
      </c>
      <c r="M1135" s="10" t="str">
        <f>ROUND(Github!O$1639, 2)&amp;"%"</f>
        <v>72.1%</v>
      </c>
      <c r="N1135" s="10">
        <f>Github!P$1639</f>
        <v>16222</v>
      </c>
      <c r="O1135" s="10">
        <f>Github!Q$1639</f>
        <v>22500</v>
      </c>
    </row>
    <row r="1136">
      <c r="A1136" s="10">
        <f>Github!J$914</f>
        <v>913</v>
      </c>
      <c r="B1136" s="11" t="str">
        <f>HYPERLINK(CONCAT("http://leetcode.com/problems/",Github!C$914), Github!B$914)</f>
        <v>Cat and Mouse</v>
      </c>
      <c r="C1136" s="10">
        <f>Github!F$914</f>
        <v>604</v>
      </c>
      <c r="D1136" s="10">
        <f>Github!G$914</f>
        <v>107</v>
      </c>
      <c r="E1136" s="10">
        <f>Github!F$914+Github!G$914</f>
        <v>711</v>
      </c>
      <c r="F1136" s="12">
        <f t="shared" si="1"/>
        <v>5.64</v>
      </c>
      <c r="G1136" s="10" t="str">
        <f>Github!H$914</f>
        <v>Algorithms</v>
      </c>
      <c r="H1136" s="13" t="str">
        <f>SUBSTITUTE(Github!L$914, ";", ", ")</f>
        <v>Math, Dynamic Programming, Breadth-First Search, Graph, Memoization, Game Theory, </v>
      </c>
      <c r="I1136" s="10" t="str">
        <f>Github!E$914</f>
        <v>Hard</v>
      </c>
      <c r="J1136" s="10" t="str">
        <f>IF(TRIM(Github!D$914)="TRUE","FALSE","TRUE")</f>
        <v>TRUE</v>
      </c>
      <c r="K1136" s="10" t="b">
        <f>Github!M$914</f>
        <v>1</v>
      </c>
      <c r="L1136" s="10" t="b">
        <f>Github!N$914</f>
        <v>0</v>
      </c>
      <c r="M1136" s="10" t="str">
        <f>ROUND(Github!O$914, 2)&amp;"%"</f>
        <v>35.07%</v>
      </c>
      <c r="N1136" s="10">
        <f>Github!P$914</f>
        <v>14012</v>
      </c>
      <c r="O1136" s="10">
        <f>Github!Q$914</f>
        <v>39955</v>
      </c>
    </row>
    <row r="1137">
      <c r="A1137" s="10">
        <f>Github!J$353</f>
        <v>352</v>
      </c>
      <c r="B1137" s="11" t="str">
        <f>HYPERLINK(CONCAT("http://leetcode.com/problems/",Github!C$353), Github!B$353)</f>
        <v>Data Stream as Disjoint Intervals</v>
      </c>
      <c r="C1137" s="10">
        <f>Github!F$353</f>
        <v>602</v>
      </c>
      <c r="D1137" s="10">
        <f>Github!G$353</f>
        <v>154</v>
      </c>
      <c r="E1137" s="10">
        <f>Github!F$353+Github!G$353</f>
        <v>756</v>
      </c>
      <c r="F1137" s="12">
        <f t="shared" si="1"/>
        <v>3.91</v>
      </c>
      <c r="G1137" s="10" t="str">
        <f>Github!H$353</f>
        <v>Algorithms</v>
      </c>
      <c r="H1137" s="13" t="str">
        <f>SUBSTITUTE(Github!L$353, ";", ", ")</f>
        <v>Binary Search, Design, Ordered Set, </v>
      </c>
      <c r="I1137" s="10" t="str">
        <f>Github!E$353</f>
        <v>Hard</v>
      </c>
      <c r="J1137" s="10" t="str">
        <f>IF(TRIM(Github!D$353)="TRUE","FALSE","TRUE")</f>
        <v>TRUE</v>
      </c>
      <c r="K1137" s="10" t="b">
        <f>Github!M$353</f>
        <v>0</v>
      </c>
      <c r="L1137" s="10" t="b">
        <f>Github!N$353</f>
        <v>0</v>
      </c>
      <c r="M1137" s="10" t="str">
        <f>ROUND(Github!O$353, 2)&amp;"%"</f>
        <v>50.38%</v>
      </c>
      <c r="N1137" s="10">
        <f>Github!P$353</f>
        <v>49731</v>
      </c>
      <c r="O1137" s="10">
        <f>Github!Q$353</f>
        <v>98704</v>
      </c>
    </row>
    <row r="1138">
      <c r="A1138" s="10">
        <f>Github!J$1256</f>
        <v>1255</v>
      </c>
      <c r="B1138" s="11" t="str">
        <f>HYPERLINK(CONCAT("http://leetcode.com/problems/",Github!C$1256), Github!B$1256)</f>
        <v>Maximum Score Words Formed by Letters</v>
      </c>
      <c r="C1138" s="10">
        <f>Github!F$1256</f>
        <v>599</v>
      </c>
      <c r="D1138" s="10">
        <f>Github!G$1256</f>
        <v>36</v>
      </c>
      <c r="E1138" s="10">
        <f>Github!F$1256+Github!G$1256</f>
        <v>635</v>
      </c>
      <c r="F1138" s="12">
        <f t="shared" si="1"/>
        <v>16.64</v>
      </c>
      <c r="G1138" s="10" t="str">
        <f>Github!H$1256</f>
        <v>Algorithms</v>
      </c>
      <c r="H1138" s="13" t="str">
        <f>SUBSTITUTE(Github!L$1256, ";", ", ")</f>
        <v>Array, String, Dynamic Programming, Backtracking, Bit Manipulation, Bitmask, </v>
      </c>
      <c r="I1138" s="10" t="str">
        <f>Github!E$1256</f>
        <v>Hard</v>
      </c>
      <c r="J1138" s="10" t="str">
        <f>IF(TRIM(Github!D$1256)="TRUE","FALSE","TRUE")</f>
        <v>TRUE</v>
      </c>
      <c r="K1138" s="10" t="b">
        <f>Github!M$1256</f>
        <v>0</v>
      </c>
      <c r="L1138" s="10" t="b">
        <f>Github!N$1256</f>
        <v>0</v>
      </c>
      <c r="M1138" s="10" t="str">
        <f>ROUND(Github!O$1256, 2)&amp;"%"</f>
        <v>71.93%</v>
      </c>
      <c r="N1138" s="10">
        <f>Github!P$1256</f>
        <v>20197</v>
      </c>
      <c r="O1138" s="10">
        <f>Github!Q$1256</f>
        <v>28078</v>
      </c>
    </row>
    <row r="1139">
      <c r="A1139" s="10">
        <f>Github!J$1393</f>
        <v>1392</v>
      </c>
      <c r="B1139" s="11" t="str">
        <f>HYPERLINK(CONCAT("http://leetcode.com/problems/",Github!C$1393), Github!B$1393)</f>
        <v>Longest Happy Prefix</v>
      </c>
      <c r="C1139" s="10">
        <f>Github!F$1393</f>
        <v>599</v>
      </c>
      <c r="D1139" s="10">
        <f>Github!G$1393</f>
        <v>23</v>
      </c>
      <c r="E1139" s="10">
        <f>Github!F$1393+Github!G$1393</f>
        <v>622</v>
      </c>
      <c r="F1139" s="12">
        <f t="shared" si="1"/>
        <v>26.04</v>
      </c>
      <c r="G1139" s="10" t="str">
        <f>Github!H$1393</f>
        <v>Algorithms</v>
      </c>
      <c r="H1139" s="13" t="str">
        <f>SUBSTITUTE(Github!L$1393, ";", ", ")</f>
        <v>String, Rolling Hash, String Matching, Hash Function, </v>
      </c>
      <c r="I1139" s="10" t="str">
        <f>Github!E$1393</f>
        <v>Hard</v>
      </c>
      <c r="J1139" s="10" t="str">
        <f>IF(TRIM(Github!D$1393)="TRUE","FALSE","TRUE")</f>
        <v>TRUE</v>
      </c>
      <c r="K1139" s="10" t="b">
        <f>Github!M$1393</f>
        <v>0</v>
      </c>
      <c r="L1139" s="10" t="b">
        <f>Github!N$1393</f>
        <v>0</v>
      </c>
      <c r="M1139" s="10" t="str">
        <f>ROUND(Github!O$1393, 2)&amp;"%"</f>
        <v>44.26%</v>
      </c>
      <c r="N1139" s="10">
        <f>Github!P$1393</f>
        <v>19222</v>
      </c>
      <c r="O1139" s="10">
        <f>Github!Q$1393</f>
        <v>43430</v>
      </c>
    </row>
    <row r="1140">
      <c r="A1140" s="10">
        <f>Github!J$1889</f>
        <v>1888</v>
      </c>
      <c r="B1140" s="11" t="str">
        <f>HYPERLINK(CONCAT("http://leetcode.com/problems/",Github!C$1889), Github!B$1889)</f>
        <v>Minimum Number of Flips to Make the Binary String Alternating</v>
      </c>
      <c r="C1140" s="10">
        <f>Github!F$1889</f>
        <v>597</v>
      </c>
      <c r="D1140" s="10">
        <f>Github!G$1889</f>
        <v>18</v>
      </c>
      <c r="E1140" s="10">
        <f>Github!F$1889+Github!G$1889</f>
        <v>615</v>
      </c>
      <c r="F1140" s="12">
        <f t="shared" si="1"/>
        <v>33.17</v>
      </c>
      <c r="G1140" s="10" t="str">
        <f>Github!H$1889</f>
        <v>Algorithms</v>
      </c>
      <c r="H1140" s="13" t="str">
        <f>SUBSTITUTE(Github!L$1889, ";", ", ")</f>
        <v>String, Greedy, </v>
      </c>
      <c r="I1140" s="10" t="str">
        <f>Github!E$1889</f>
        <v>Medium</v>
      </c>
      <c r="J1140" s="10" t="str">
        <f>IF(TRIM(Github!D$1889)="TRUE","FALSE","TRUE")</f>
        <v>TRUE</v>
      </c>
      <c r="K1140" s="10" t="b">
        <f>Github!M$1889</f>
        <v>0</v>
      </c>
      <c r="L1140" s="10" t="b">
        <f>Github!N$1889</f>
        <v>0</v>
      </c>
      <c r="M1140" s="10" t="str">
        <f>ROUND(Github!O$1889, 2)&amp;"%"</f>
        <v>36.69%</v>
      </c>
      <c r="N1140" s="10">
        <f>Github!P$1889</f>
        <v>11258</v>
      </c>
      <c r="O1140" s="10">
        <f>Github!Q$1889</f>
        <v>30685</v>
      </c>
    </row>
    <row r="1141">
      <c r="A1141" s="10">
        <f>Github!J$1912</f>
        <v>1911</v>
      </c>
      <c r="B1141" s="11" t="str">
        <f>HYPERLINK(CONCAT("http://leetcode.com/problems/",Github!C$1912), Github!B$1912)</f>
        <v>Maximum Alternating Subsequence Sum</v>
      </c>
      <c r="C1141" s="10">
        <f>Github!F$1912</f>
        <v>599</v>
      </c>
      <c r="D1141" s="10">
        <f>Github!G$1912</f>
        <v>10</v>
      </c>
      <c r="E1141" s="10">
        <f>Github!F$1912+Github!G$1912</f>
        <v>609</v>
      </c>
      <c r="F1141" s="12">
        <f t="shared" si="1"/>
        <v>59.9</v>
      </c>
      <c r="G1141" s="10" t="str">
        <f>Github!H$1912</f>
        <v>Algorithms</v>
      </c>
      <c r="H1141" s="13" t="str">
        <f>SUBSTITUTE(Github!L$1912, ";", ", ")</f>
        <v>Array, Dynamic Programming, </v>
      </c>
      <c r="I1141" s="10" t="str">
        <f>Github!E$1912</f>
        <v>Medium</v>
      </c>
      <c r="J1141" s="10" t="str">
        <f>IF(TRIM(Github!D$1912)="TRUE","FALSE","TRUE")</f>
        <v>TRUE</v>
      </c>
      <c r="K1141" s="10" t="b">
        <f>Github!M$1912</f>
        <v>0</v>
      </c>
      <c r="L1141" s="10" t="b">
        <f>Github!N$1912</f>
        <v>0</v>
      </c>
      <c r="M1141" s="10" t="str">
        <f>ROUND(Github!O$1912, 2)&amp;"%"</f>
        <v>58.77%</v>
      </c>
      <c r="N1141" s="10">
        <f>Github!P$1912</f>
        <v>14289</v>
      </c>
      <c r="O1141" s="10">
        <f>Github!Q$1912</f>
        <v>24315</v>
      </c>
    </row>
    <row r="1142">
      <c r="A1142" s="10">
        <f>Github!J$1264</f>
        <v>1263</v>
      </c>
      <c r="B1142" s="11" t="str">
        <f>HYPERLINK(CONCAT("http://leetcode.com/problems/",Github!C$1264), Github!B$1264)</f>
        <v>Minimum Moves to Move a Box to Their Target Location</v>
      </c>
      <c r="C1142" s="10">
        <f>Github!F$1264</f>
        <v>599</v>
      </c>
      <c r="D1142" s="10">
        <f>Github!G$1264</f>
        <v>45</v>
      </c>
      <c r="E1142" s="10">
        <f>Github!F$1264+Github!G$1264</f>
        <v>644</v>
      </c>
      <c r="F1142" s="12">
        <f t="shared" si="1"/>
        <v>13.31</v>
      </c>
      <c r="G1142" s="10" t="str">
        <f>Github!H$1264</f>
        <v>Algorithms</v>
      </c>
      <c r="H1142" s="13" t="str">
        <f>SUBSTITUTE(Github!L$1264, ";", ", ")</f>
        <v>Array, Breadth-First Search, Heap (Priority Queue), Matrix, </v>
      </c>
      <c r="I1142" s="10" t="str">
        <f>Github!E$1264</f>
        <v>Hard</v>
      </c>
      <c r="J1142" s="10" t="str">
        <f>IF(TRIM(Github!D$1264)="TRUE","FALSE","TRUE")</f>
        <v>TRUE</v>
      </c>
      <c r="K1142" s="10" t="b">
        <f>Github!M$1264</f>
        <v>0</v>
      </c>
      <c r="L1142" s="10" t="b">
        <f>Github!N$1264</f>
        <v>0</v>
      </c>
      <c r="M1142" s="10" t="str">
        <f>ROUND(Github!O$1264, 2)&amp;"%"</f>
        <v>48.27%</v>
      </c>
      <c r="N1142" s="10">
        <f>Github!P$1264</f>
        <v>20104</v>
      </c>
      <c r="O1142" s="10">
        <f>Github!Q$1264</f>
        <v>41649</v>
      </c>
    </row>
    <row r="1143">
      <c r="A1143" s="10">
        <f>Github!J$1542</f>
        <v>1541</v>
      </c>
      <c r="B1143" s="11" t="str">
        <f>HYPERLINK(CONCAT("http://leetcode.com/problems/",Github!C$1542), Github!B$1542)</f>
        <v>Minimum Insertions to Balance a Parentheses String</v>
      </c>
      <c r="C1143" s="10">
        <f>Github!F$1542</f>
        <v>596</v>
      </c>
      <c r="D1143" s="10">
        <f>Github!G$1542</f>
        <v>122</v>
      </c>
      <c r="E1143" s="10">
        <f>Github!F$1542+Github!G$1542</f>
        <v>718</v>
      </c>
      <c r="F1143" s="12">
        <f t="shared" si="1"/>
        <v>4.89</v>
      </c>
      <c r="G1143" s="10" t="str">
        <f>Github!H$1542</f>
        <v>Algorithms</v>
      </c>
      <c r="H1143" s="13" t="str">
        <f>SUBSTITUTE(Github!L$1542, ";", ", ")</f>
        <v>String, Stack, Greedy, </v>
      </c>
      <c r="I1143" s="10" t="str">
        <f>Github!E$1542</f>
        <v>Medium</v>
      </c>
      <c r="J1143" s="10" t="str">
        <f>IF(TRIM(Github!D$1542)="TRUE","FALSE","TRUE")</f>
        <v>TRUE</v>
      </c>
      <c r="K1143" s="10" t="b">
        <f>Github!M$1542</f>
        <v>0</v>
      </c>
      <c r="L1143" s="10" t="b">
        <f>Github!N$1542</f>
        <v>0</v>
      </c>
      <c r="M1143" s="10" t="str">
        <f>ROUND(Github!O$1542, 2)&amp;"%"</f>
        <v>48.96%</v>
      </c>
      <c r="N1143" s="10">
        <f>Github!P$1542</f>
        <v>26541</v>
      </c>
      <c r="O1143" s="10">
        <f>Github!Q$1542</f>
        <v>54215</v>
      </c>
    </row>
    <row r="1144">
      <c r="A1144" s="10">
        <f>Github!J$1610</f>
        <v>1609</v>
      </c>
      <c r="B1144" s="11" t="str">
        <f>HYPERLINK(CONCAT("http://leetcode.com/problems/",Github!C$1610), Github!B$1610)</f>
        <v>Even Odd Tree</v>
      </c>
      <c r="C1144" s="10">
        <f>Github!F$1610</f>
        <v>596</v>
      </c>
      <c r="D1144" s="10">
        <f>Github!G$1610</f>
        <v>36</v>
      </c>
      <c r="E1144" s="10">
        <f>Github!F$1610+Github!G$1610</f>
        <v>632</v>
      </c>
      <c r="F1144" s="12">
        <f t="shared" si="1"/>
        <v>16.56</v>
      </c>
      <c r="G1144" s="10" t="str">
        <f>Github!H$1610</f>
        <v>Algorithms</v>
      </c>
      <c r="H1144" s="13" t="str">
        <f>SUBSTITUTE(Github!L$1610, ";", ", ")</f>
        <v>Tree, Breadth-First Search, Binary Tree, </v>
      </c>
      <c r="I1144" s="10" t="str">
        <f>Github!E$1610</f>
        <v>Medium</v>
      </c>
      <c r="J1144" s="10" t="str">
        <f>IF(TRIM(Github!D$1610)="TRUE","FALSE","TRUE")</f>
        <v>TRUE</v>
      </c>
      <c r="K1144" s="10" t="b">
        <f>Github!M$1610</f>
        <v>0</v>
      </c>
      <c r="L1144" s="10" t="b">
        <f>Github!N$1610</f>
        <v>0</v>
      </c>
      <c r="M1144" s="10" t="str">
        <f>ROUND(Github!O$1610, 2)&amp;"%"</f>
        <v>52.91%</v>
      </c>
      <c r="N1144" s="10">
        <f>Github!P$1610</f>
        <v>30200</v>
      </c>
      <c r="O1144" s="10">
        <f>Github!Q$1610</f>
        <v>57077</v>
      </c>
    </row>
    <row r="1145">
      <c r="A1145" s="10">
        <f>Github!J$1395</f>
        <v>1394</v>
      </c>
      <c r="B1145" s="11" t="str">
        <f>HYPERLINK(CONCAT("http://leetcode.com/problems/",Github!C$1395), Github!B$1395)</f>
        <v>Find Lucky Integer in an Array</v>
      </c>
      <c r="C1145" s="10">
        <f>Github!F$1395</f>
        <v>595</v>
      </c>
      <c r="D1145" s="10">
        <f>Github!G$1395</f>
        <v>19</v>
      </c>
      <c r="E1145" s="10">
        <f>Github!F$1395+Github!G$1395</f>
        <v>614</v>
      </c>
      <c r="F1145" s="12">
        <f t="shared" si="1"/>
        <v>31.32</v>
      </c>
      <c r="G1145" s="10" t="str">
        <f>Github!H$1395</f>
        <v>Algorithms</v>
      </c>
      <c r="H1145" s="13" t="str">
        <f>SUBSTITUTE(Github!L$1395, ";", ", ")</f>
        <v>Array, Hash Table, Counting, </v>
      </c>
      <c r="I1145" s="10" t="str">
        <f>Github!E$1395</f>
        <v>Easy</v>
      </c>
      <c r="J1145" s="10" t="str">
        <f>IF(TRIM(Github!D$1395)="TRUE","FALSE","TRUE")</f>
        <v>TRUE</v>
      </c>
      <c r="K1145" s="10" t="b">
        <f>Github!M$1395</f>
        <v>1</v>
      </c>
      <c r="L1145" s="10" t="b">
        <f>Github!N$1395</f>
        <v>0</v>
      </c>
      <c r="M1145" s="10" t="str">
        <f>ROUND(Github!O$1395, 2)&amp;"%"</f>
        <v>63.55%</v>
      </c>
      <c r="N1145" s="10">
        <f>Github!P$1395</f>
        <v>66203</v>
      </c>
      <c r="O1145" s="10">
        <f>Github!Q$1395</f>
        <v>104182</v>
      </c>
    </row>
    <row r="1146">
      <c r="A1146" s="10">
        <f>Github!J$625</f>
        <v>624</v>
      </c>
      <c r="B1146" s="11" t="str">
        <f>HYPERLINK(CONCAT("http://leetcode.com/problems/",Github!C$625), Github!B$625)</f>
        <v>Maximum Distance in Arrays</v>
      </c>
      <c r="C1146" s="10">
        <f>Github!F$625</f>
        <v>591</v>
      </c>
      <c r="D1146" s="10">
        <f>Github!G$625</f>
        <v>61</v>
      </c>
      <c r="E1146" s="10">
        <f>Github!F$625+Github!G$625</f>
        <v>652</v>
      </c>
      <c r="F1146" s="12">
        <f t="shared" si="1"/>
        <v>9.69</v>
      </c>
      <c r="G1146" s="10" t="str">
        <f>Github!H$625</f>
        <v>Algorithms</v>
      </c>
      <c r="H1146" s="13" t="str">
        <f>SUBSTITUTE(Github!L$625, ";", ", ")</f>
        <v>Array, Greedy, </v>
      </c>
      <c r="I1146" s="10" t="str">
        <f>Github!E$625</f>
        <v>Medium</v>
      </c>
      <c r="J1146" s="10" t="str">
        <f>IF(TRIM(Github!D$625)="TRUE","FALSE","TRUE")</f>
        <v>FALSE</v>
      </c>
      <c r="K1146" s="10" t="b">
        <f>Github!M$625</f>
        <v>1</v>
      </c>
      <c r="L1146" s="10" t="b">
        <f>Github!N$625</f>
        <v>0</v>
      </c>
      <c r="M1146" s="10" t="str">
        <f>ROUND(Github!O$625, 2)&amp;"%"</f>
        <v>41.52%</v>
      </c>
      <c r="N1146" s="10">
        <f>Github!P$625</f>
        <v>35371</v>
      </c>
      <c r="O1146" s="10">
        <f>Github!Q$625</f>
        <v>85193</v>
      </c>
    </row>
    <row r="1147">
      <c r="A1147" s="10">
        <f>Github!J$1744</f>
        <v>1743</v>
      </c>
      <c r="B1147" s="11" t="str">
        <f>HYPERLINK(CONCAT("http://leetcode.com/problems/",Github!C$1744), Github!B$1744)</f>
        <v>Restore the Array From Adjacent Pairs</v>
      </c>
      <c r="C1147" s="10">
        <f>Github!F$1744</f>
        <v>592</v>
      </c>
      <c r="D1147" s="10">
        <f>Github!G$1744</f>
        <v>9</v>
      </c>
      <c r="E1147" s="10">
        <f>Github!F$1744+Github!G$1744</f>
        <v>601</v>
      </c>
      <c r="F1147" s="12">
        <f t="shared" si="1"/>
        <v>65.78</v>
      </c>
      <c r="G1147" s="10" t="str">
        <f>Github!H$1744</f>
        <v>Algorithms</v>
      </c>
      <c r="H1147" s="13" t="str">
        <f>SUBSTITUTE(Github!L$1744, ";", ", ")</f>
        <v>Array, Hash Table, </v>
      </c>
      <c r="I1147" s="10" t="str">
        <f>Github!E$1744</f>
        <v>Medium</v>
      </c>
      <c r="J1147" s="10" t="str">
        <f>IF(TRIM(Github!D$1744)="TRUE","FALSE","TRUE")</f>
        <v>TRUE</v>
      </c>
      <c r="K1147" s="10" t="b">
        <f>Github!M$1744</f>
        <v>0</v>
      </c>
      <c r="L1147" s="10" t="b">
        <f>Github!N$1744</f>
        <v>0</v>
      </c>
      <c r="M1147" s="10" t="str">
        <f>ROUND(Github!O$1744, 2)&amp;"%"</f>
        <v>68.06%</v>
      </c>
      <c r="N1147" s="10">
        <f>Github!P$1744</f>
        <v>23734</v>
      </c>
      <c r="O1147" s="10">
        <f>Github!Q$1744</f>
        <v>34874</v>
      </c>
    </row>
    <row r="1148">
      <c r="A1148" s="10">
        <f>Github!J$448</f>
        <v>447</v>
      </c>
      <c r="B1148" s="11" t="str">
        <f>HYPERLINK(CONCAT("http://leetcode.com/problems/",Github!C$448), Github!B$448)</f>
        <v>Number of Boomerangs</v>
      </c>
      <c r="C1148" s="10">
        <f>Github!F$448</f>
        <v>590</v>
      </c>
      <c r="D1148" s="10">
        <f>Github!G$448</f>
        <v>857</v>
      </c>
      <c r="E1148" s="10">
        <f>Github!F$448+Github!G$448</f>
        <v>1447</v>
      </c>
      <c r="F1148" s="12">
        <f t="shared" si="1"/>
        <v>0.69</v>
      </c>
      <c r="G1148" s="10" t="str">
        <f>Github!H$448</f>
        <v>Algorithms</v>
      </c>
      <c r="H1148" s="13" t="str">
        <f>SUBSTITUTE(Github!L$448, ";", ", ")</f>
        <v>Array, Hash Table, Math, </v>
      </c>
      <c r="I1148" s="10" t="str">
        <f>Github!E$448</f>
        <v>Medium</v>
      </c>
      <c r="J1148" s="10" t="str">
        <f>IF(TRIM(Github!D$448)="TRUE","FALSE","TRUE")</f>
        <v>TRUE</v>
      </c>
      <c r="K1148" s="10" t="b">
        <f>Github!M$448</f>
        <v>0</v>
      </c>
      <c r="L1148" s="10" t="b">
        <f>Github!N$448</f>
        <v>0</v>
      </c>
      <c r="M1148" s="10" t="str">
        <f>ROUND(Github!O$448, 2)&amp;"%"</f>
        <v>53.82%</v>
      </c>
      <c r="N1148" s="10">
        <f>Github!P$448</f>
        <v>82671</v>
      </c>
      <c r="O1148" s="10">
        <f>Github!Q$448</f>
        <v>153609</v>
      </c>
    </row>
    <row r="1149">
      <c r="A1149" s="10">
        <f>Github!J$1616</f>
        <v>1615</v>
      </c>
      <c r="B1149" s="11" t="str">
        <f>HYPERLINK(CONCAT("http://leetcode.com/problems/",Github!C$1616), Github!B$1616)</f>
        <v>Maximal Network Rank</v>
      </c>
      <c r="C1149" s="10">
        <f>Github!F$1616</f>
        <v>593</v>
      </c>
      <c r="D1149" s="10">
        <f>Github!G$1616</f>
        <v>114</v>
      </c>
      <c r="E1149" s="10">
        <f>Github!F$1616+Github!G$1616</f>
        <v>707</v>
      </c>
      <c r="F1149" s="12">
        <f t="shared" si="1"/>
        <v>5.2</v>
      </c>
      <c r="G1149" s="10" t="str">
        <f>Github!H$1616</f>
        <v>Algorithms</v>
      </c>
      <c r="H1149" s="13" t="str">
        <f>SUBSTITUTE(Github!L$1616, ";", ", ")</f>
        <v>Graph, </v>
      </c>
      <c r="I1149" s="10" t="str">
        <f>Github!E$1616</f>
        <v>Medium</v>
      </c>
      <c r="J1149" s="10" t="str">
        <f>IF(TRIM(Github!D$1616)="TRUE","FALSE","TRUE")</f>
        <v>TRUE</v>
      </c>
      <c r="K1149" s="10" t="b">
        <f>Github!M$1616</f>
        <v>0</v>
      </c>
      <c r="L1149" s="10" t="b">
        <f>Github!N$1616</f>
        <v>0</v>
      </c>
      <c r="M1149" s="10" t="str">
        <f>ROUND(Github!O$1616, 2)&amp;"%"</f>
        <v>56.04%</v>
      </c>
      <c r="N1149" s="10">
        <f>Github!P$1616</f>
        <v>35200</v>
      </c>
      <c r="O1149" s="10">
        <f>Github!Q$1616</f>
        <v>62813</v>
      </c>
    </row>
    <row r="1150">
      <c r="A1150" s="10">
        <f>Github!J$321</f>
        <v>320</v>
      </c>
      <c r="B1150" s="11" t="str">
        <f>HYPERLINK(CONCAT("http://leetcode.com/problems/",Github!C$321), Github!B$321)</f>
        <v>Generalized Abbreviation</v>
      </c>
      <c r="C1150" s="10">
        <f>Github!F$321</f>
        <v>586</v>
      </c>
      <c r="D1150" s="10">
        <f>Github!G$321</f>
        <v>202</v>
      </c>
      <c r="E1150" s="10">
        <f>Github!F$321+Github!G$321</f>
        <v>788</v>
      </c>
      <c r="F1150" s="12">
        <f t="shared" si="1"/>
        <v>2.9</v>
      </c>
      <c r="G1150" s="10" t="str">
        <f>Github!H$321</f>
        <v>Algorithms</v>
      </c>
      <c r="H1150" s="13" t="str">
        <f>SUBSTITUTE(Github!L$321, ";", ", ")</f>
        <v>String, Backtracking, Bit Manipulation, </v>
      </c>
      <c r="I1150" s="10" t="str">
        <f>Github!E$321</f>
        <v>Medium</v>
      </c>
      <c r="J1150" s="10" t="str">
        <f>IF(TRIM(Github!D$321)="TRUE","FALSE","TRUE")</f>
        <v>FALSE</v>
      </c>
      <c r="K1150" s="10" t="b">
        <f>Github!M$321</f>
        <v>1</v>
      </c>
      <c r="L1150" s="10" t="b">
        <f>Github!N$321</f>
        <v>0</v>
      </c>
      <c r="M1150" s="10" t="str">
        <f>ROUND(Github!O$321, 2)&amp;"%"</f>
        <v>56.03%</v>
      </c>
      <c r="N1150" s="10">
        <f>Github!P$321</f>
        <v>59485</v>
      </c>
      <c r="O1150" s="10">
        <f>Github!Q$321</f>
        <v>106171</v>
      </c>
    </row>
    <row r="1151">
      <c r="A1151" s="10">
        <f>Github!J$1503</f>
        <v>1502</v>
      </c>
      <c r="B1151" s="11" t="str">
        <f>HYPERLINK(CONCAT("http://leetcode.com/problems/",Github!C$1503), Github!B$1503)</f>
        <v>Can Make Arithmetic Progression From Sequence</v>
      </c>
      <c r="C1151" s="10">
        <f>Github!F$1503</f>
        <v>587</v>
      </c>
      <c r="D1151" s="10">
        <f>Github!G$1503</f>
        <v>38</v>
      </c>
      <c r="E1151" s="10">
        <f>Github!F$1503+Github!G$1503</f>
        <v>625</v>
      </c>
      <c r="F1151" s="12">
        <f t="shared" si="1"/>
        <v>15.45</v>
      </c>
      <c r="G1151" s="10" t="str">
        <f>Github!H$1503</f>
        <v>Algorithms</v>
      </c>
      <c r="H1151" s="13" t="str">
        <f>SUBSTITUTE(Github!L$1503, ";", ", ")</f>
        <v>Array, Sorting, </v>
      </c>
      <c r="I1151" s="10" t="str">
        <f>Github!E$1503</f>
        <v>Easy</v>
      </c>
      <c r="J1151" s="10" t="str">
        <f>IF(TRIM(Github!D$1503)="TRUE","FALSE","TRUE")</f>
        <v>TRUE</v>
      </c>
      <c r="K1151" s="10" t="b">
        <f>Github!M$1503</f>
        <v>0</v>
      </c>
      <c r="L1151" s="10" t="b">
        <f>Github!N$1503</f>
        <v>0</v>
      </c>
      <c r="M1151" s="10" t="str">
        <f>ROUND(Github!O$1503, 2)&amp;"%"</f>
        <v>70.38%</v>
      </c>
      <c r="N1151" s="10">
        <f>Github!P$1503</f>
        <v>68846</v>
      </c>
      <c r="O1151" s="10">
        <f>Github!Q$1503</f>
        <v>97816</v>
      </c>
    </row>
    <row r="1152">
      <c r="A1152" s="10">
        <f>Github!J$2096</f>
        <v>2095</v>
      </c>
      <c r="B1152" s="11" t="str">
        <f>HYPERLINK(CONCAT("http://leetcode.com/problems/",Github!C$2096), Github!B$2096)</f>
        <v>Delete the Middle Node of a Linked List</v>
      </c>
      <c r="C1152" s="10">
        <f>Github!F$2096</f>
        <v>588</v>
      </c>
      <c r="D1152" s="10">
        <f>Github!G$2096</f>
        <v>20</v>
      </c>
      <c r="E1152" s="10">
        <f>Github!F$2096+Github!G$2096</f>
        <v>608</v>
      </c>
      <c r="F1152" s="12">
        <f t="shared" si="1"/>
        <v>29.4</v>
      </c>
      <c r="G1152" s="10" t="str">
        <f>Github!H$2096</f>
        <v>Algorithms</v>
      </c>
      <c r="H1152" s="13" t="str">
        <f>SUBSTITUTE(Github!L$2096, ";", ", ")</f>
        <v>Linked List, Two Pointers, </v>
      </c>
      <c r="I1152" s="10" t="str">
        <f>Github!E$2096</f>
        <v>Medium</v>
      </c>
      <c r="J1152" s="10" t="str">
        <f>IF(TRIM(Github!D$2096)="TRUE","FALSE","TRUE")</f>
        <v>TRUE</v>
      </c>
      <c r="K1152" s="10" t="b">
        <f>Github!M$2096</f>
        <v>0</v>
      </c>
      <c r="L1152" s="10" t="b">
        <f>Github!N$2096</f>
        <v>0</v>
      </c>
      <c r="M1152" s="10" t="str">
        <f>ROUND(Github!O$2096, 2)&amp;"%"</f>
        <v>57.83%</v>
      </c>
      <c r="N1152" s="10">
        <f>Github!P$2096</f>
        <v>34825</v>
      </c>
      <c r="O1152" s="10">
        <f>Github!Q$2096</f>
        <v>60221</v>
      </c>
    </row>
    <row r="1153">
      <c r="A1153" s="10">
        <f>Github!J$1246</f>
        <v>1245</v>
      </c>
      <c r="B1153" s="11" t="str">
        <f>HYPERLINK(CONCAT("http://leetcode.com/problems/",Github!C$1246), Github!B$1246)</f>
        <v>Tree Diameter</v>
      </c>
      <c r="C1153" s="10">
        <f>Github!F$1246</f>
        <v>584</v>
      </c>
      <c r="D1153" s="10">
        <f>Github!G$1246</f>
        <v>13</v>
      </c>
      <c r="E1153" s="10">
        <f>Github!F$1246+Github!G$1246</f>
        <v>597</v>
      </c>
      <c r="F1153" s="12">
        <f t="shared" si="1"/>
        <v>44.92</v>
      </c>
      <c r="G1153" s="10" t="str">
        <f>Github!H$1246</f>
        <v>Algorithms</v>
      </c>
      <c r="H1153" s="13" t="str">
        <f>SUBSTITUTE(Github!L$1246, ";", ", ")</f>
        <v>Tree, Depth-First Search, Breadth-First Search, </v>
      </c>
      <c r="I1153" s="10" t="str">
        <f>Github!E$1246</f>
        <v>Medium</v>
      </c>
      <c r="J1153" s="10" t="str">
        <f>IF(TRIM(Github!D$1246)="TRUE","FALSE","TRUE")</f>
        <v>FALSE</v>
      </c>
      <c r="K1153" s="10" t="b">
        <f>Github!M$1246</f>
        <v>1</v>
      </c>
      <c r="L1153" s="10" t="b">
        <f>Github!N$1246</f>
        <v>0</v>
      </c>
      <c r="M1153" s="10" t="str">
        <f>ROUND(Github!O$1246, 2)&amp;"%"</f>
        <v>62.32%</v>
      </c>
      <c r="N1153" s="10">
        <f>Github!P$1246</f>
        <v>24544</v>
      </c>
      <c r="O1153" s="10">
        <f>Github!Q$1246</f>
        <v>39386</v>
      </c>
    </row>
    <row r="1154">
      <c r="A1154" s="10">
        <f>Github!J$711</f>
        <v>710</v>
      </c>
      <c r="B1154" s="11" t="str">
        <f>HYPERLINK(CONCAT("http://leetcode.com/problems/",Github!C$711), Github!B$711)</f>
        <v>Random Pick with Blacklist</v>
      </c>
      <c r="C1154" s="10">
        <f>Github!F$711</f>
        <v>583</v>
      </c>
      <c r="D1154" s="10">
        <f>Github!G$711</f>
        <v>89</v>
      </c>
      <c r="E1154" s="10">
        <f>Github!F$711+Github!G$711</f>
        <v>672</v>
      </c>
      <c r="F1154" s="12">
        <f t="shared" si="1"/>
        <v>6.55</v>
      </c>
      <c r="G1154" s="10" t="str">
        <f>Github!H$711</f>
        <v>Algorithms</v>
      </c>
      <c r="H1154" s="13" t="str">
        <f>SUBSTITUTE(Github!L$711, ";", ", ")</f>
        <v>Hash Table, Math, Binary Search, Sorting, Randomized, </v>
      </c>
      <c r="I1154" s="10" t="str">
        <f>Github!E$711</f>
        <v>Hard</v>
      </c>
      <c r="J1154" s="10" t="str">
        <f>IF(TRIM(Github!D$711)="TRUE","FALSE","TRUE")</f>
        <v>TRUE</v>
      </c>
      <c r="K1154" s="10" t="b">
        <f>Github!M$711</f>
        <v>1</v>
      </c>
      <c r="L1154" s="10" t="b">
        <f>Github!N$711</f>
        <v>0</v>
      </c>
      <c r="M1154" s="10" t="str">
        <f>ROUND(Github!O$711, 2)&amp;"%"</f>
        <v>33.26%</v>
      </c>
      <c r="N1154" s="10">
        <f>Github!P$711</f>
        <v>26526</v>
      </c>
      <c r="O1154" s="10">
        <f>Github!Q$711</f>
        <v>79751</v>
      </c>
    </row>
    <row r="1155">
      <c r="A1155" s="10">
        <f>Github!J$424</f>
        <v>423</v>
      </c>
      <c r="B1155" s="11" t="str">
        <f>HYPERLINK(CONCAT("http://leetcode.com/problems/",Github!C$424), Github!B$424)</f>
        <v>Reconstruct Original Digits from English</v>
      </c>
      <c r="C1155" s="10">
        <f>Github!F$424</f>
        <v>582</v>
      </c>
      <c r="D1155" s="10">
        <f>Github!G$424</f>
        <v>1881</v>
      </c>
      <c r="E1155" s="10">
        <f>Github!F$424+Github!G$424</f>
        <v>2463</v>
      </c>
      <c r="F1155" s="12">
        <f t="shared" si="1"/>
        <v>0.31</v>
      </c>
      <c r="G1155" s="10" t="str">
        <f>Github!H$424</f>
        <v>Algorithms</v>
      </c>
      <c r="H1155" s="13" t="str">
        <f>SUBSTITUTE(Github!L$424, ";", ", ")</f>
        <v>Hash Table, Math, String, </v>
      </c>
      <c r="I1155" s="10" t="str">
        <f>Github!E$424</f>
        <v>Medium</v>
      </c>
      <c r="J1155" s="10" t="str">
        <f>IF(TRIM(Github!D$424)="TRUE","FALSE","TRUE")</f>
        <v>TRUE</v>
      </c>
      <c r="K1155" s="10" t="b">
        <f>Github!M$424</f>
        <v>1</v>
      </c>
      <c r="L1155" s="10" t="b">
        <f>Github!N$424</f>
        <v>0</v>
      </c>
      <c r="M1155" s="10" t="str">
        <f>ROUND(Github!O$424, 2)&amp;"%"</f>
        <v>51.22%</v>
      </c>
      <c r="N1155" s="10">
        <f>Github!P$424</f>
        <v>59324</v>
      </c>
      <c r="O1155" s="10">
        <f>Github!Q$424</f>
        <v>115813</v>
      </c>
    </row>
    <row r="1156">
      <c r="A1156" s="10">
        <f>Github!J$1562</f>
        <v>1561</v>
      </c>
      <c r="B1156" s="11" t="str">
        <f>HYPERLINK(CONCAT("http://leetcode.com/problems/",Github!C$1562), Github!B$1562)</f>
        <v>Maximum Number of Coins You Can Get</v>
      </c>
      <c r="C1156" s="10">
        <f>Github!F$1562</f>
        <v>583</v>
      </c>
      <c r="D1156" s="10">
        <f>Github!G$1562</f>
        <v>84</v>
      </c>
      <c r="E1156" s="10">
        <f>Github!F$1562+Github!G$1562</f>
        <v>667</v>
      </c>
      <c r="F1156" s="12">
        <f t="shared" si="1"/>
        <v>6.94</v>
      </c>
      <c r="G1156" s="10" t="str">
        <f>Github!H$1562</f>
        <v>Algorithms</v>
      </c>
      <c r="H1156" s="13" t="str">
        <f>SUBSTITUTE(Github!L$1562, ";", ", ")</f>
        <v>Array, Math, Greedy, Sorting, Game Theory, </v>
      </c>
      <c r="I1156" s="10" t="str">
        <f>Github!E$1562</f>
        <v>Medium</v>
      </c>
      <c r="J1156" s="10" t="str">
        <f>IF(TRIM(Github!D$1562)="TRUE","FALSE","TRUE")</f>
        <v>TRUE</v>
      </c>
      <c r="K1156" s="10" t="b">
        <f>Github!M$1562</f>
        <v>0</v>
      </c>
      <c r="L1156" s="10" t="b">
        <f>Github!N$1562</f>
        <v>0</v>
      </c>
      <c r="M1156" s="10" t="str">
        <f>ROUND(Github!O$1562, 2)&amp;"%"</f>
        <v>78.16%</v>
      </c>
      <c r="N1156" s="10">
        <f>Github!P$1562</f>
        <v>43302</v>
      </c>
      <c r="O1156" s="10">
        <f>Github!Q$1562</f>
        <v>55399</v>
      </c>
    </row>
    <row r="1157">
      <c r="A1157" s="10">
        <f>Github!J$1604</f>
        <v>1603</v>
      </c>
      <c r="B1157" s="11" t="str">
        <f>HYPERLINK(CONCAT("http://leetcode.com/problems/",Github!C$1604), Github!B$1604)</f>
        <v>Design Parking System</v>
      </c>
      <c r="C1157" s="10">
        <f>Github!F$1604</f>
        <v>582</v>
      </c>
      <c r="D1157" s="10">
        <f>Github!G$1604</f>
        <v>267</v>
      </c>
      <c r="E1157" s="10">
        <f>Github!F$1604+Github!G$1604</f>
        <v>849</v>
      </c>
      <c r="F1157" s="12">
        <f t="shared" si="1"/>
        <v>2.18</v>
      </c>
      <c r="G1157" s="10" t="str">
        <f>Github!H$1604</f>
        <v>Algorithms</v>
      </c>
      <c r="H1157" s="13" t="str">
        <f>SUBSTITUTE(Github!L$1604, ";", ", ")</f>
        <v>Design, Simulation, Counting, </v>
      </c>
      <c r="I1157" s="10" t="str">
        <f>Github!E$1604</f>
        <v>Easy</v>
      </c>
      <c r="J1157" s="10" t="str">
        <f>IF(TRIM(Github!D$1604)="TRUE","FALSE","TRUE")</f>
        <v>TRUE</v>
      </c>
      <c r="K1157" s="10" t="b">
        <f>Github!M$1604</f>
        <v>0</v>
      </c>
      <c r="L1157" s="10" t="b">
        <f>Github!N$1604</f>
        <v>0</v>
      </c>
      <c r="M1157" s="10" t="str">
        <f>ROUND(Github!O$1604, 2)&amp;"%"</f>
        <v>87.32%</v>
      </c>
      <c r="N1157" s="10">
        <f>Github!P$1604</f>
        <v>107437</v>
      </c>
      <c r="O1157" s="10">
        <f>Github!Q$1604</f>
        <v>123033</v>
      </c>
    </row>
    <row r="1158">
      <c r="A1158" s="10">
        <f>Github!J$925</f>
        <v>924</v>
      </c>
      <c r="B1158" s="11" t="str">
        <f>HYPERLINK(CONCAT("http://leetcode.com/problems/",Github!C$925), Github!B$925)</f>
        <v>Minimize Malware Spread</v>
      </c>
      <c r="C1158" s="10">
        <f>Github!F$925</f>
        <v>581</v>
      </c>
      <c r="D1158" s="10">
        <f>Github!G$925</f>
        <v>397</v>
      </c>
      <c r="E1158" s="10">
        <f>Github!F$925+Github!G$925</f>
        <v>978</v>
      </c>
      <c r="F1158" s="12">
        <f t="shared" si="1"/>
        <v>1.46</v>
      </c>
      <c r="G1158" s="10" t="str">
        <f>Github!H$925</f>
        <v>Algorithms</v>
      </c>
      <c r="H1158" s="13" t="str">
        <f>SUBSTITUTE(Github!L$925, ";", ", ")</f>
        <v>Array, Depth-First Search, Breadth-First Search, Union Find, Matrix, </v>
      </c>
      <c r="I1158" s="10" t="str">
        <f>Github!E$925</f>
        <v>Hard</v>
      </c>
      <c r="J1158" s="10" t="str">
        <f>IF(TRIM(Github!D$925)="TRUE","FALSE","TRUE")</f>
        <v>TRUE</v>
      </c>
      <c r="K1158" s="10" t="b">
        <f>Github!M$925</f>
        <v>1</v>
      </c>
      <c r="L1158" s="10" t="b">
        <f>Github!N$925</f>
        <v>0</v>
      </c>
      <c r="M1158" s="10" t="str">
        <f>ROUND(Github!O$925, 2)&amp;"%"</f>
        <v>41.88%</v>
      </c>
      <c r="N1158" s="10">
        <f>Github!P$925</f>
        <v>36140</v>
      </c>
      <c r="O1158" s="10">
        <f>Github!Q$925</f>
        <v>86293</v>
      </c>
    </row>
    <row r="1159">
      <c r="A1159" s="10">
        <f>Github!J$1916</f>
        <v>1915</v>
      </c>
      <c r="B1159" s="11" t="str">
        <f>HYPERLINK(CONCAT("http://leetcode.com/problems/",Github!C$1916), Github!B$1916)</f>
        <v>Number of Wonderful Substrings</v>
      </c>
      <c r="C1159" s="10">
        <f>Github!F$1916</f>
        <v>580</v>
      </c>
      <c r="D1159" s="10">
        <f>Github!G$1916</f>
        <v>42</v>
      </c>
      <c r="E1159" s="10">
        <f>Github!F$1916+Github!G$1916</f>
        <v>622</v>
      </c>
      <c r="F1159" s="12">
        <f t="shared" si="1"/>
        <v>13.81</v>
      </c>
      <c r="G1159" s="10" t="str">
        <f>Github!H$1916</f>
        <v>Algorithms</v>
      </c>
      <c r="H1159" s="13" t="str">
        <f>SUBSTITUTE(Github!L$1916, ";", ", ")</f>
        <v>Hash Table, String, Bit Manipulation, Prefix Sum, </v>
      </c>
      <c r="I1159" s="10" t="str">
        <f>Github!E$1916</f>
        <v>Medium</v>
      </c>
      <c r="J1159" s="10" t="str">
        <f>IF(TRIM(Github!D$1916)="TRUE","FALSE","TRUE")</f>
        <v>TRUE</v>
      </c>
      <c r="K1159" s="10" t="b">
        <f>Github!M$1916</f>
        <v>0</v>
      </c>
      <c r="L1159" s="10" t="b">
        <f>Github!N$1916</f>
        <v>0</v>
      </c>
      <c r="M1159" s="10" t="str">
        <f>ROUND(Github!O$1916, 2)&amp;"%"</f>
        <v>43.23%</v>
      </c>
      <c r="N1159" s="10">
        <f>Github!P$1916</f>
        <v>8105</v>
      </c>
      <c r="O1159" s="10">
        <f>Github!Q$1916</f>
        <v>18747</v>
      </c>
    </row>
    <row r="1160">
      <c r="A1160" s="10">
        <f>Github!J$392</f>
        <v>391</v>
      </c>
      <c r="B1160" s="11" t="str">
        <f>HYPERLINK(CONCAT("http://leetcode.com/problems/",Github!C$392), Github!B$392)</f>
        <v>Perfect Rectangle</v>
      </c>
      <c r="C1160" s="10">
        <f>Github!F$392</f>
        <v>579</v>
      </c>
      <c r="D1160" s="10">
        <f>Github!G$392</f>
        <v>96</v>
      </c>
      <c r="E1160" s="10">
        <f>Github!F$392+Github!G$392</f>
        <v>675</v>
      </c>
      <c r="F1160" s="12">
        <f t="shared" si="1"/>
        <v>6.03</v>
      </c>
      <c r="G1160" s="10" t="str">
        <f>Github!H$392</f>
        <v>Algorithms</v>
      </c>
      <c r="H1160" s="13" t="str">
        <f>SUBSTITUTE(Github!L$392, ";", ", ")</f>
        <v>Array, Line Sweep, </v>
      </c>
      <c r="I1160" s="10" t="str">
        <f>Github!E$392</f>
        <v>Hard</v>
      </c>
      <c r="J1160" s="10" t="str">
        <f>IF(TRIM(Github!D$392)="TRUE","FALSE","TRUE")</f>
        <v>TRUE</v>
      </c>
      <c r="K1160" s="10" t="b">
        <f>Github!M$392</f>
        <v>0</v>
      </c>
      <c r="L1160" s="10" t="b">
        <f>Github!N$392</f>
        <v>0</v>
      </c>
      <c r="M1160" s="10" t="str">
        <f>ROUND(Github!O$392, 2)&amp;"%"</f>
        <v>32%</v>
      </c>
      <c r="N1160" s="10">
        <f>Github!P$392</f>
        <v>33583</v>
      </c>
      <c r="O1160" s="10">
        <f>Github!Q$392</f>
        <v>104934</v>
      </c>
    </row>
    <row r="1161">
      <c r="A1161" s="10">
        <f>Github!J$852</f>
        <v>851</v>
      </c>
      <c r="B1161" s="11" t="str">
        <f>HYPERLINK(CONCAT("http://leetcode.com/problems/",Github!C$852), Github!B$852)</f>
        <v>Loud and Rich</v>
      </c>
      <c r="C1161" s="10">
        <f>Github!F$852</f>
        <v>580</v>
      </c>
      <c r="D1161" s="10">
        <f>Github!G$852</f>
        <v>531</v>
      </c>
      <c r="E1161" s="10">
        <f>Github!F$852+Github!G$852</f>
        <v>1111</v>
      </c>
      <c r="F1161" s="12">
        <f t="shared" si="1"/>
        <v>1.09</v>
      </c>
      <c r="G1161" s="10" t="str">
        <f>Github!H$852</f>
        <v>Algorithms</v>
      </c>
      <c r="H1161" s="13" t="str">
        <f>SUBSTITUTE(Github!L$852, ";", ", ")</f>
        <v>Array, Depth-First Search, Graph, Topological Sort, </v>
      </c>
      <c r="I1161" s="10" t="str">
        <f>Github!E$852</f>
        <v>Medium</v>
      </c>
      <c r="J1161" s="10" t="str">
        <f>IF(TRIM(Github!D$852)="TRUE","FALSE","TRUE")</f>
        <v>TRUE</v>
      </c>
      <c r="K1161" s="10" t="b">
        <f>Github!M$852</f>
        <v>1</v>
      </c>
      <c r="L1161" s="10" t="b">
        <f>Github!N$852</f>
        <v>0</v>
      </c>
      <c r="M1161" s="10" t="str">
        <f>ROUND(Github!O$852, 2)&amp;"%"</f>
        <v>56.23%</v>
      </c>
      <c r="N1161" s="10">
        <f>Github!P$852</f>
        <v>22484</v>
      </c>
      <c r="O1161" s="10">
        <f>Github!Q$852</f>
        <v>39983</v>
      </c>
    </row>
    <row r="1162">
      <c r="A1162" s="10">
        <f>Github!J$1188</f>
        <v>1187</v>
      </c>
      <c r="B1162" s="11" t="str">
        <f>HYPERLINK(CONCAT("http://leetcode.com/problems/",Github!C$1188), Github!B$1188)</f>
        <v>Make Array Strictly Increasing</v>
      </c>
      <c r="C1162" s="10">
        <f>Github!F$1188</f>
        <v>578</v>
      </c>
      <c r="D1162" s="10">
        <f>Github!G$1188</f>
        <v>16</v>
      </c>
      <c r="E1162" s="10">
        <f>Github!F$1188+Github!G$1188</f>
        <v>594</v>
      </c>
      <c r="F1162" s="12">
        <f t="shared" si="1"/>
        <v>36.13</v>
      </c>
      <c r="G1162" s="10" t="str">
        <f>Github!H$1188</f>
        <v>Algorithms</v>
      </c>
      <c r="H1162" s="13" t="str">
        <f>SUBSTITUTE(Github!L$1188, ";", ", ")</f>
        <v>Array, Binary Search, Dynamic Programming, </v>
      </c>
      <c r="I1162" s="10" t="str">
        <f>Github!E$1188</f>
        <v>Hard</v>
      </c>
      <c r="J1162" s="10" t="str">
        <f>IF(TRIM(Github!D$1188)="TRUE","FALSE","TRUE")</f>
        <v>TRUE</v>
      </c>
      <c r="K1162" s="10" t="b">
        <f>Github!M$1188</f>
        <v>0</v>
      </c>
      <c r="L1162" s="10" t="b">
        <f>Github!N$1188</f>
        <v>0</v>
      </c>
      <c r="M1162" s="10" t="str">
        <f>ROUND(Github!O$1188, 2)&amp;"%"</f>
        <v>44.52%</v>
      </c>
      <c r="N1162" s="10">
        <f>Github!P$1188</f>
        <v>11091</v>
      </c>
      <c r="O1162" s="10">
        <f>Github!Q$1188</f>
        <v>24910</v>
      </c>
    </row>
    <row r="1163">
      <c r="A1163" s="10">
        <f>Github!J$1580</f>
        <v>1579</v>
      </c>
      <c r="B1163" s="11" t="str">
        <f>HYPERLINK(CONCAT("http://leetcode.com/problems/",Github!C$1580), Github!B$1580)</f>
        <v>Remove Max Number of Edges to Keep Graph Fully Traversable</v>
      </c>
      <c r="C1163" s="10">
        <f>Github!F$1580</f>
        <v>577</v>
      </c>
      <c r="D1163" s="10">
        <f>Github!G$1580</f>
        <v>4</v>
      </c>
      <c r="E1163" s="10">
        <f>Github!F$1580+Github!G$1580</f>
        <v>581</v>
      </c>
      <c r="F1163" s="12">
        <f t="shared" si="1"/>
        <v>144.25</v>
      </c>
      <c r="G1163" s="10" t="str">
        <f>Github!H$1580</f>
        <v>Algorithms</v>
      </c>
      <c r="H1163" s="13" t="str">
        <f>SUBSTITUTE(Github!L$1580, ";", ", ")</f>
        <v>Union Find, Graph, </v>
      </c>
      <c r="I1163" s="10" t="str">
        <f>Github!E$1580</f>
        <v>Hard</v>
      </c>
      <c r="J1163" s="10" t="str">
        <f>IF(TRIM(Github!D$1580)="TRUE","FALSE","TRUE")</f>
        <v>TRUE</v>
      </c>
      <c r="K1163" s="10" t="b">
        <f>Github!M$1580</f>
        <v>0</v>
      </c>
      <c r="L1163" s="10" t="b">
        <f>Github!N$1580</f>
        <v>0</v>
      </c>
      <c r="M1163" s="10" t="str">
        <f>ROUND(Github!O$1580, 2)&amp;"%"</f>
        <v>50.28%</v>
      </c>
      <c r="N1163" s="10">
        <f>Github!P$1580</f>
        <v>11261</v>
      </c>
      <c r="O1163" s="10">
        <f>Github!Q$1580</f>
        <v>22398</v>
      </c>
    </row>
    <row r="1164">
      <c r="A1164" s="10">
        <f>Github!J$1633</f>
        <v>1632</v>
      </c>
      <c r="B1164" s="11" t="str">
        <f>HYPERLINK(CONCAT("http://leetcode.com/problems/",Github!C$1633), Github!B$1633)</f>
        <v>Rank Transform of a Matrix</v>
      </c>
      <c r="C1164" s="10">
        <f>Github!F$1633</f>
        <v>576</v>
      </c>
      <c r="D1164" s="10">
        <f>Github!G$1633</f>
        <v>36</v>
      </c>
      <c r="E1164" s="10">
        <f>Github!F$1633+Github!G$1633</f>
        <v>612</v>
      </c>
      <c r="F1164" s="12">
        <f t="shared" si="1"/>
        <v>16</v>
      </c>
      <c r="G1164" s="10" t="str">
        <f>Github!H$1633</f>
        <v>Algorithms</v>
      </c>
      <c r="H1164" s="13" t="str">
        <f>SUBSTITUTE(Github!L$1633, ";", ", ")</f>
        <v>Array, Greedy, Union Find, Graph, Topological Sort, Matrix, </v>
      </c>
      <c r="I1164" s="10" t="str">
        <f>Github!E$1633</f>
        <v>Hard</v>
      </c>
      <c r="J1164" s="10" t="str">
        <f>IF(TRIM(Github!D$1633)="TRUE","FALSE","TRUE")</f>
        <v>TRUE</v>
      </c>
      <c r="K1164" s="10" t="b">
        <f>Github!M$1633</f>
        <v>1</v>
      </c>
      <c r="L1164" s="10" t="b">
        <f>Github!N$1633</f>
        <v>0</v>
      </c>
      <c r="M1164" s="10" t="str">
        <f>ROUND(Github!O$1633, 2)&amp;"%"</f>
        <v>40.55%</v>
      </c>
      <c r="N1164" s="10">
        <f>Github!P$1633</f>
        <v>16318</v>
      </c>
      <c r="O1164" s="10">
        <f>Github!Q$1633</f>
        <v>40243</v>
      </c>
    </row>
    <row r="1165">
      <c r="A1165" s="10">
        <f>Github!J$775</f>
        <v>774</v>
      </c>
      <c r="B1165" s="11" t="str">
        <f>HYPERLINK(CONCAT("http://leetcode.com/problems/",Github!C$775), Github!B$775)</f>
        <v>Minimize Max Distance to Gas Station</v>
      </c>
      <c r="C1165" s="10">
        <f>Github!F$775</f>
        <v>572</v>
      </c>
      <c r="D1165" s="10">
        <f>Github!G$775</f>
        <v>82</v>
      </c>
      <c r="E1165" s="10">
        <f>Github!F$775+Github!G$775</f>
        <v>654</v>
      </c>
      <c r="F1165" s="12">
        <f t="shared" si="1"/>
        <v>6.98</v>
      </c>
      <c r="G1165" s="10" t="str">
        <f>Github!H$775</f>
        <v>Algorithms</v>
      </c>
      <c r="H1165" s="13" t="str">
        <f>SUBSTITUTE(Github!L$775, ";", ", ")</f>
        <v>Array, Binary Search, </v>
      </c>
      <c r="I1165" s="10" t="str">
        <f>Github!E$775</f>
        <v>Hard</v>
      </c>
      <c r="J1165" s="10" t="str">
        <f>IF(TRIM(Github!D$775)="TRUE","FALSE","TRUE")</f>
        <v>FALSE</v>
      </c>
      <c r="K1165" s="10" t="b">
        <f>Github!M$775</f>
        <v>1</v>
      </c>
      <c r="L1165" s="10" t="b">
        <f>Github!N$775</f>
        <v>0</v>
      </c>
      <c r="M1165" s="10" t="str">
        <f>ROUND(Github!O$775, 2)&amp;"%"</f>
        <v>50.22%</v>
      </c>
      <c r="N1165" s="10">
        <f>Github!P$775</f>
        <v>25045</v>
      </c>
      <c r="O1165" s="10">
        <f>Github!Q$775</f>
        <v>49873</v>
      </c>
    </row>
    <row r="1166">
      <c r="A1166" s="10">
        <f>Github!J$1107</f>
        <v>1106</v>
      </c>
      <c r="B1166" s="11" t="str">
        <f>HYPERLINK(CONCAT("http://leetcode.com/problems/",Github!C$1107), Github!B$1107)</f>
        <v>Parsing A Boolean Expression</v>
      </c>
      <c r="C1166" s="10">
        <f>Github!F$1107</f>
        <v>572</v>
      </c>
      <c r="D1166" s="10">
        <f>Github!G$1107</f>
        <v>32</v>
      </c>
      <c r="E1166" s="10">
        <f>Github!F$1107+Github!G$1107</f>
        <v>604</v>
      </c>
      <c r="F1166" s="12">
        <f t="shared" si="1"/>
        <v>17.88</v>
      </c>
      <c r="G1166" s="10" t="str">
        <f>Github!H$1107</f>
        <v>Algorithms</v>
      </c>
      <c r="H1166" s="13" t="str">
        <f>SUBSTITUTE(Github!L$1107, ";", ", ")</f>
        <v>String, Stack, Recursion, </v>
      </c>
      <c r="I1166" s="10" t="str">
        <f>Github!E$1107</f>
        <v>Hard</v>
      </c>
      <c r="J1166" s="10" t="str">
        <f>IF(TRIM(Github!D$1107)="TRUE","FALSE","TRUE")</f>
        <v>TRUE</v>
      </c>
      <c r="K1166" s="10" t="b">
        <f>Github!M$1107</f>
        <v>0</v>
      </c>
      <c r="L1166" s="10" t="b">
        <f>Github!N$1107</f>
        <v>0</v>
      </c>
      <c r="M1166" s="10" t="str">
        <f>ROUND(Github!O$1107, 2)&amp;"%"</f>
        <v>59.26%</v>
      </c>
      <c r="N1166" s="10">
        <f>Github!P$1107</f>
        <v>17761</v>
      </c>
      <c r="O1166" s="10">
        <f>Github!Q$1107</f>
        <v>29972</v>
      </c>
    </row>
    <row r="1167">
      <c r="A1167" s="10">
        <f>Github!J$1435</f>
        <v>1434</v>
      </c>
      <c r="B1167" s="11" t="str">
        <f>HYPERLINK(CONCAT("http://leetcode.com/problems/",Github!C$1435), Github!B$1435)</f>
        <v>Number of Ways to Wear Different Hats to Each Other</v>
      </c>
      <c r="C1167" s="10">
        <f>Github!F$1435</f>
        <v>572</v>
      </c>
      <c r="D1167" s="10">
        <f>Github!G$1435</f>
        <v>7</v>
      </c>
      <c r="E1167" s="10">
        <f>Github!F$1435+Github!G$1435</f>
        <v>579</v>
      </c>
      <c r="F1167" s="12">
        <f t="shared" si="1"/>
        <v>81.71</v>
      </c>
      <c r="G1167" s="10" t="str">
        <f>Github!H$1435</f>
        <v>Algorithms</v>
      </c>
      <c r="H1167" s="13" t="str">
        <f>SUBSTITUTE(Github!L$1435, ";", ", ")</f>
        <v>Array, Dynamic Programming, Bit Manipulation, Bitmask, </v>
      </c>
      <c r="I1167" s="10" t="str">
        <f>Github!E$1435</f>
        <v>Hard</v>
      </c>
      <c r="J1167" s="10" t="str">
        <f>IF(TRIM(Github!D$1435)="TRUE","FALSE","TRUE")</f>
        <v>TRUE</v>
      </c>
      <c r="K1167" s="10" t="b">
        <f>Github!M$1435</f>
        <v>0</v>
      </c>
      <c r="L1167" s="10" t="b">
        <f>Github!N$1435</f>
        <v>0</v>
      </c>
      <c r="M1167" s="10" t="str">
        <f>ROUND(Github!O$1435, 2)&amp;"%"</f>
        <v>41.74%</v>
      </c>
      <c r="N1167" s="10">
        <f>Github!P$1435</f>
        <v>8617</v>
      </c>
      <c r="O1167" s="10">
        <f>Github!Q$1435</f>
        <v>20643</v>
      </c>
    </row>
    <row r="1168">
      <c r="A1168" s="10">
        <f>Github!J$1560</f>
        <v>1559</v>
      </c>
      <c r="B1168" s="11" t="str">
        <f>HYPERLINK(CONCAT("http://leetcode.com/problems/",Github!C$1560), Github!B$1560)</f>
        <v>Detect Cycles in 2D Grid</v>
      </c>
      <c r="C1168" s="10">
        <f>Github!F$1560</f>
        <v>574</v>
      </c>
      <c r="D1168" s="10">
        <f>Github!G$1560</f>
        <v>21</v>
      </c>
      <c r="E1168" s="10">
        <f>Github!F$1560+Github!G$1560</f>
        <v>595</v>
      </c>
      <c r="F1168" s="12">
        <f t="shared" si="1"/>
        <v>27.33</v>
      </c>
      <c r="G1168" s="10" t="str">
        <f>Github!H$1560</f>
        <v>Algorithms</v>
      </c>
      <c r="H1168" s="13" t="str">
        <f>SUBSTITUTE(Github!L$1560, ";", ", ")</f>
        <v>Array, Depth-First Search, Breadth-First Search, Union Find, Matrix, </v>
      </c>
      <c r="I1168" s="10" t="str">
        <f>Github!E$1560</f>
        <v>Medium</v>
      </c>
      <c r="J1168" s="10" t="str">
        <f>IF(TRIM(Github!D$1560)="TRUE","FALSE","TRUE")</f>
        <v>TRUE</v>
      </c>
      <c r="K1168" s="10" t="b">
        <f>Github!M$1560</f>
        <v>0</v>
      </c>
      <c r="L1168" s="10" t="b">
        <f>Github!N$1560</f>
        <v>0</v>
      </c>
      <c r="M1168" s="10" t="str">
        <f>ROUND(Github!O$1560, 2)&amp;"%"</f>
        <v>47.83%</v>
      </c>
      <c r="N1168" s="10">
        <f>Github!P$1560</f>
        <v>21871</v>
      </c>
      <c r="O1168" s="10">
        <f>Github!Q$1560</f>
        <v>45726</v>
      </c>
    </row>
    <row r="1169">
      <c r="A1169" s="10">
        <f>Github!J$1878</f>
        <v>1877</v>
      </c>
      <c r="B1169" s="11" t="str">
        <f>HYPERLINK(CONCAT("http://leetcode.com/problems/",Github!C$1878), Github!B$1878)</f>
        <v>Minimize Maximum Pair Sum in Array</v>
      </c>
      <c r="C1169" s="10">
        <f>Github!F$1878</f>
        <v>572</v>
      </c>
      <c r="D1169" s="10">
        <f>Github!G$1878</f>
        <v>148</v>
      </c>
      <c r="E1169" s="10">
        <f>Github!F$1878+Github!G$1878</f>
        <v>720</v>
      </c>
      <c r="F1169" s="12">
        <f t="shared" si="1"/>
        <v>3.86</v>
      </c>
      <c r="G1169" s="10" t="str">
        <f>Github!H$1878</f>
        <v>Algorithms</v>
      </c>
      <c r="H1169" s="13" t="str">
        <f>SUBSTITUTE(Github!L$1878, ";", ", ")</f>
        <v>Array, Two Pointers, Greedy, Sorting, </v>
      </c>
      <c r="I1169" s="10" t="str">
        <f>Github!E$1878</f>
        <v>Medium</v>
      </c>
      <c r="J1169" s="10" t="str">
        <f>IF(TRIM(Github!D$1878)="TRUE","FALSE","TRUE")</f>
        <v>TRUE</v>
      </c>
      <c r="K1169" s="10" t="b">
        <f>Github!M$1878</f>
        <v>0</v>
      </c>
      <c r="L1169" s="10" t="b">
        <f>Github!N$1878</f>
        <v>0</v>
      </c>
      <c r="M1169" s="10" t="str">
        <f>ROUND(Github!O$1878, 2)&amp;"%"</f>
        <v>80.61%</v>
      </c>
      <c r="N1169" s="10">
        <f>Github!P$1878</f>
        <v>44592</v>
      </c>
      <c r="O1169" s="10">
        <f>Github!Q$1878</f>
        <v>55319</v>
      </c>
    </row>
    <row r="1170">
      <c r="A1170" s="10">
        <f>Github!J$1234</f>
        <v>1233</v>
      </c>
      <c r="B1170" s="11" t="str">
        <f>HYPERLINK(CONCAT("http://leetcode.com/problems/",Github!C$1234), Github!B$1234)</f>
        <v>Remove Sub-Folders from the Filesystem</v>
      </c>
      <c r="C1170" s="10">
        <f>Github!F$1234</f>
        <v>569</v>
      </c>
      <c r="D1170" s="10">
        <f>Github!G$1234</f>
        <v>75</v>
      </c>
      <c r="E1170" s="10">
        <f>Github!F$1234+Github!G$1234</f>
        <v>644</v>
      </c>
      <c r="F1170" s="12">
        <f t="shared" si="1"/>
        <v>7.59</v>
      </c>
      <c r="G1170" s="10" t="str">
        <f>Github!H$1234</f>
        <v>Algorithms</v>
      </c>
      <c r="H1170" s="13" t="str">
        <f>SUBSTITUTE(Github!L$1234, ";", ", ")</f>
        <v>Array, String, Trie, </v>
      </c>
      <c r="I1170" s="10" t="str">
        <f>Github!E$1234</f>
        <v>Medium</v>
      </c>
      <c r="J1170" s="10" t="str">
        <f>IF(TRIM(Github!D$1234)="TRUE","FALSE","TRUE")</f>
        <v>TRUE</v>
      </c>
      <c r="K1170" s="10" t="b">
        <f>Github!M$1234</f>
        <v>0</v>
      </c>
      <c r="L1170" s="10" t="b">
        <f>Github!N$1234</f>
        <v>0</v>
      </c>
      <c r="M1170" s="10" t="str">
        <f>ROUND(Github!O$1234, 2)&amp;"%"</f>
        <v>64.97%</v>
      </c>
      <c r="N1170" s="10">
        <f>Github!P$1234</f>
        <v>40968</v>
      </c>
      <c r="O1170" s="10">
        <f>Github!Q$1234</f>
        <v>63058</v>
      </c>
    </row>
    <row r="1171">
      <c r="A1171" s="10">
        <f>Github!J$1495</f>
        <v>1494</v>
      </c>
      <c r="B1171" s="11" t="str">
        <f>HYPERLINK(CONCAT("http://leetcode.com/problems/",Github!C$1495), Github!B$1495)</f>
        <v>Parallel Courses II</v>
      </c>
      <c r="C1171" s="10">
        <f>Github!F$1495</f>
        <v>570</v>
      </c>
      <c r="D1171" s="10">
        <f>Github!G$1495</f>
        <v>44</v>
      </c>
      <c r="E1171" s="10">
        <f>Github!F$1495+Github!G$1495</f>
        <v>614</v>
      </c>
      <c r="F1171" s="12">
        <f t="shared" si="1"/>
        <v>12.95</v>
      </c>
      <c r="G1171" s="10" t="str">
        <f>Github!H$1495</f>
        <v>Algorithms</v>
      </c>
      <c r="H1171" s="13" t="str">
        <f>SUBSTITUTE(Github!L$1495, ";", ", ")</f>
        <v>Dynamic Programming, Bit Manipulation, Graph, Bitmask, </v>
      </c>
      <c r="I1171" s="10" t="str">
        <f>Github!E$1495</f>
        <v>Hard</v>
      </c>
      <c r="J1171" s="10" t="str">
        <f>IF(TRIM(Github!D$1495)="TRUE","FALSE","TRUE")</f>
        <v>TRUE</v>
      </c>
      <c r="K1171" s="10" t="b">
        <f>Github!M$1495</f>
        <v>0</v>
      </c>
      <c r="L1171" s="10" t="b">
        <f>Github!N$1495</f>
        <v>0</v>
      </c>
      <c r="M1171" s="10" t="str">
        <f>ROUND(Github!O$1495, 2)&amp;"%"</f>
        <v>31.75%</v>
      </c>
      <c r="N1171" s="10">
        <f>Github!P$1495</f>
        <v>10253</v>
      </c>
      <c r="O1171" s="10">
        <f>Github!Q$1495</f>
        <v>32297</v>
      </c>
    </row>
    <row r="1172">
      <c r="A1172" s="10">
        <f>Github!J$522</f>
        <v>521</v>
      </c>
      <c r="B1172" s="11" t="str">
        <f>HYPERLINK(CONCAT("http://leetcode.com/problems/",Github!C$522), Github!B$522)</f>
        <v>Longest Uncommon Subsequence I</v>
      </c>
      <c r="C1172" s="10">
        <f>Github!F$522</f>
        <v>567</v>
      </c>
      <c r="D1172" s="10">
        <f>Github!G$522</f>
        <v>5499</v>
      </c>
      <c r="E1172" s="10">
        <f>Github!F$522+Github!G$522</f>
        <v>6066</v>
      </c>
      <c r="F1172" s="12">
        <f t="shared" si="1"/>
        <v>0.1</v>
      </c>
      <c r="G1172" s="10" t="str">
        <f>Github!H$522</f>
        <v>Algorithms</v>
      </c>
      <c r="H1172" s="13" t="str">
        <f>SUBSTITUTE(Github!L$522, ";", ", ")</f>
        <v>String, </v>
      </c>
      <c r="I1172" s="10" t="str">
        <f>Github!E$522</f>
        <v>Easy</v>
      </c>
      <c r="J1172" s="10" t="str">
        <f>IF(TRIM(Github!D$522)="TRUE","FALSE","TRUE")</f>
        <v>TRUE</v>
      </c>
      <c r="K1172" s="10" t="b">
        <f>Github!M$522</f>
        <v>1</v>
      </c>
      <c r="L1172" s="10" t="b">
        <f>Github!N$522</f>
        <v>0</v>
      </c>
      <c r="M1172" s="10" t="str">
        <f>ROUND(Github!O$522, 2)&amp;"%"</f>
        <v>60.03%</v>
      </c>
      <c r="N1172" s="10">
        <f>Github!P$522</f>
        <v>82437</v>
      </c>
      <c r="O1172" s="10">
        <f>Github!Q$522</f>
        <v>137326</v>
      </c>
    </row>
    <row r="1173">
      <c r="A1173" s="10">
        <f>Github!J$1298</f>
        <v>1297</v>
      </c>
      <c r="B1173" s="11" t="str">
        <f>HYPERLINK(CONCAT("http://leetcode.com/problems/",Github!C$1298), Github!B$1298)</f>
        <v>Maximum Number of Occurrences of a Substring</v>
      </c>
      <c r="C1173" s="10">
        <f>Github!F$1298</f>
        <v>567</v>
      </c>
      <c r="D1173" s="10">
        <f>Github!G$1298</f>
        <v>286</v>
      </c>
      <c r="E1173" s="10">
        <f>Github!F$1298+Github!G$1298</f>
        <v>853</v>
      </c>
      <c r="F1173" s="12">
        <f t="shared" si="1"/>
        <v>1.98</v>
      </c>
      <c r="G1173" s="10" t="str">
        <f>Github!H$1298</f>
        <v>Algorithms</v>
      </c>
      <c r="H1173" s="13" t="str">
        <f>SUBSTITUTE(Github!L$1298, ";", ", ")</f>
        <v>Hash Table, String, Sliding Window, </v>
      </c>
      <c r="I1173" s="10" t="str">
        <f>Github!E$1298</f>
        <v>Medium</v>
      </c>
      <c r="J1173" s="10" t="str">
        <f>IF(TRIM(Github!D$1298)="TRUE","FALSE","TRUE")</f>
        <v>TRUE</v>
      </c>
      <c r="K1173" s="10" t="b">
        <f>Github!M$1298</f>
        <v>0</v>
      </c>
      <c r="L1173" s="10" t="b">
        <f>Github!N$1298</f>
        <v>0</v>
      </c>
      <c r="M1173" s="10" t="str">
        <f>ROUND(Github!O$1298, 2)&amp;"%"</f>
        <v>52.38%</v>
      </c>
      <c r="N1173" s="10">
        <f>Github!P$1298</f>
        <v>31339</v>
      </c>
      <c r="O1173" s="10">
        <f>Github!Q$1298</f>
        <v>59825</v>
      </c>
    </row>
    <row r="1174">
      <c r="A1174" s="10">
        <f>Github!J$751</f>
        <v>750</v>
      </c>
      <c r="B1174" s="11" t="str">
        <f>HYPERLINK(CONCAT("http://leetcode.com/problems/",Github!C$751), Github!B$751)</f>
        <v>Number Of Corner Rectangles</v>
      </c>
      <c r="C1174" s="10">
        <f>Github!F$751</f>
        <v>565</v>
      </c>
      <c r="D1174" s="10">
        <f>Github!G$751</f>
        <v>85</v>
      </c>
      <c r="E1174" s="10">
        <f>Github!F$751+Github!G$751</f>
        <v>650</v>
      </c>
      <c r="F1174" s="12">
        <f t="shared" si="1"/>
        <v>6.65</v>
      </c>
      <c r="G1174" s="10" t="str">
        <f>Github!H$751</f>
        <v>Algorithms</v>
      </c>
      <c r="H1174" s="13" t="str">
        <f>SUBSTITUTE(Github!L$751, ";", ", ")</f>
        <v>Array, Math, Dynamic Programming, Matrix, </v>
      </c>
      <c r="I1174" s="10" t="str">
        <f>Github!E$751</f>
        <v>Medium</v>
      </c>
      <c r="J1174" s="10" t="str">
        <f>IF(TRIM(Github!D$751)="TRUE","FALSE","TRUE")</f>
        <v>FALSE</v>
      </c>
      <c r="K1174" s="10" t="b">
        <f>Github!M$751</f>
        <v>1</v>
      </c>
      <c r="L1174" s="10" t="b">
        <f>Github!N$751</f>
        <v>0</v>
      </c>
      <c r="M1174" s="10" t="str">
        <f>ROUND(Github!O$751, 2)&amp;"%"</f>
        <v>67.52%</v>
      </c>
      <c r="N1174" s="10">
        <f>Github!P$751</f>
        <v>35349</v>
      </c>
      <c r="O1174" s="10">
        <f>Github!Q$751</f>
        <v>52352</v>
      </c>
    </row>
    <row r="1175">
      <c r="A1175" s="10">
        <f>Github!J$529</f>
        <v>528</v>
      </c>
      <c r="B1175" s="11" t="str">
        <f>HYPERLINK(CONCAT("http://leetcode.com/problems/",Github!C$529), Github!B$529)</f>
        <v>Random Pick with Weight</v>
      </c>
      <c r="C1175" s="10">
        <f>Github!F$529</f>
        <v>565</v>
      </c>
      <c r="D1175" s="10">
        <f>Github!G$529</f>
        <v>181</v>
      </c>
      <c r="E1175" s="10">
        <f>Github!F$529+Github!G$529</f>
        <v>746</v>
      </c>
      <c r="F1175" s="12">
        <f t="shared" si="1"/>
        <v>3.12</v>
      </c>
      <c r="G1175" s="10" t="str">
        <f>Github!H$529</f>
        <v>Algorithms</v>
      </c>
      <c r="H1175" s="13" t="str">
        <f>SUBSTITUTE(Github!L$529, ";", ", ")</f>
        <v>Math, Binary Search, Prefix Sum, Randomized, </v>
      </c>
      <c r="I1175" s="10" t="str">
        <f>Github!E$529</f>
        <v>Medium</v>
      </c>
      <c r="J1175" s="10" t="str">
        <f>IF(TRIM(Github!D$529)="TRUE","FALSE","TRUE")</f>
        <v>TRUE</v>
      </c>
      <c r="K1175" s="10" t="b">
        <f>Github!M$529</f>
        <v>1</v>
      </c>
      <c r="L1175" s="10" t="b">
        <f>Github!N$529</f>
        <v>0</v>
      </c>
      <c r="M1175" s="10" t="str">
        <f>ROUND(Github!O$529, 2)&amp;"%"</f>
        <v>46%</v>
      </c>
      <c r="N1175" s="10">
        <f>Github!P$529</f>
        <v>271567</v>
      </c>
      <c r="O1175" s="10">
        <f>Github!Q$529</f>
        <v>590341</v>
      </c>
    </row>
    <row r="1176">
      <c r="A1176" s="10">
        <f>Github!J$1262</f>
        <v>1261</v>
      </c>
      <c r="B1176" s="11" t="str">
        <f>HYPERLINK(CONCAT("http://leetcode.com/problems/",Github!C$1262), Github!B$1262)</f>
        <v>Find Elements in a Contaminated Binary Tree</v>
      </c>
      <c r="C1176" s="10">
        <f>Github!F$1262</f>
        <v>564</v>
      </c>
      <c r="D1176" s="10">
        <f>Github!G$1262</f>
        <v>76</v>
      </c>
      <c r="E1176" s="10">
        <f>Github!F$1262+Github!G$1262</f>
        <v>640</v>
      </c>
      <c r="F1176" s="12">
        <f t="shared" si="1"/>
        <v>7.42</v>
      </c>
      <c r="G1176" s="10" t="str">
        <f>Github!H$1262</f>
        <v>Algorithms</v>
      </c>
      <c r="H1176" s="13" t="str">
        <f>SUBSTITUTE(Github!L$1262, ";", ", ")</f>
        <v>Hash Table, Tree, Depth-First Search, Breadth-First Search, Design, Binary Tree, </v>
      </c>
      <c r="I1176" s="10" t="str">
        <f>Github!E$1262</f>
        <v>Medium</v>
      </c>
      <c r="J1176" s="10" t="str">
        <f>IF(TRIM(Github!D$1262)="TRUE","FALSE","TRUE")</f>
        <v>TRUE</v>
      </c>
      <c r="K1176" s="10" t="b">
        <f>Github!M$1262</f>
        <v>0</v>
      </c>
      <c r="L1176" s="10" t="b">
        <f>Github!N$1262</f>
        <v>0</v>
      </c>
      <c r="M1176" s="10" t="str">
        <f>ROUND(Github!O$1262, 2)&amp;"%"</f>
        <v>75.68%</v>
      </c>
      <c r="N1176" s="10">
        <f>Github!P$1262</f>
        <v>42016</v>
      </c>
      <c r="O1176" s="10">
        <f>Github!Q$1262</f>
        <v>55520</v>
      </c>
    </row>
    <row r="1177">
      <c r="A1177" s="10">
        <f>Github!J$1204</f>
        <v>1203</v>
      </c>
      <c r="B1177" s="11" t="str">
        <f>HYPERLINK(CONCAT("http://leetcode.com/problems/",Github!C$1204), Github!B$1204)</f>
        <v>Sort Items by Groups Respecting Dependencies</v>
      </c>
      <c r="C1177" s="10">
        <f>Github!F$1204</f>
        <v>560</v>
      </c>
      <c r="D1177" s="10">
        <f>Github!G$1204</f>
        <v>83</v>
      </c>
      <c r="E1177" s="10">
        <f>Github!F$1204+Github!G$1204</f>
        <v>643</v>
      </c>
      <c r="F1177" s="12">
        <f t="shared" si="1"/>
        <v>6.75</v>
      </c>
      <c r="G1177" s="10" t="str">
        <f>Github!H$1204</f>
        <v>Algorithms</v>
      </c>
      <c r="H1177" s="13" t="str">
        <f>SUBSTITUTE(Github!L$1204, ";", ", ")</f>
        <v>Depth-First Search, Breadth-First Search, Graph, Topological Sort, </v>
      </c>
      <c r="I1177" s="10" t="str">
        <f>Github!E$1204</f>
        <v>Hard</v>
      </c>
      <c r="J1177" s="10" t="str">
        <f>IF(TRIM(Github!D$1204)="TRUE","FALSE","TRUE")</f>
        <v>TRUE</v>
      </c>
      <c r="K1177" s="10" t="b">
        <f>Github!M$1204</f>
        <v>0</v>
      </c>
      <c r="L1177" s="10" t="b">
        <f>Github!N$1204</f>
        <v>0</v>
      </c>
      <c r="M1177" s="10" t="str">
        <f>ROUND(Github!O$1204, 2)&amp;"%"</f>
        <v>49.23%</v>
      </c>
      <c r="N1177" s="10">
        <f>Github!P$1204</f>
        <v>11499</v>
      </c>
      <c r="O1177" s="10">
        <f>Github!Q$1204</f>
        <v>23356</v>
      </c>
    </row>
    <row r="1178">
      <c r="A1178" s="10">
        <f>Github!J$1664</f>
        <v>1663</v>
      </c>
      <c r="B1178" s="11" t="str">
        <f>HYPERLINK(CONCAT("http://leetcode.com/problems/",Github!C$1664), Github!B$1664)</f>
        <v>Smallest String With A Given Numeric Value</v>
      </c>
      <c r="C1178" s="10">
        <f>Github!F$1664</f>
        <v>561</v>
      </c>
      <c r="D1178" s="10">
        <f>Github!G$1664</f>
        <v>19</v>
      </c>
      <c r="E1178" s="10">
        <f>Github!F$1664+Github!G$1664</f>
        <v>580</v>
      </c>
      <c r="F1178" s="12">
        <f t="shared" si="1"/>
        <v>29.53</v>
      </c>
      <c r="G1178" s="10" t="str">
        <f>Github!H$1664</f>
        <v>Algorithms</v>
      </c>
      <c r="H1178" s="13" t="str">
        <f>SUBSTITUTE(Github!L$1664, ";", ", ")</f>
        <v>String, Greedy, </v>
      </c>
      <c r="I1178" s="10" t="str">
        <f>Github!E$1664</f>
        <v>Medium</v>
      </c>
      <c r="J1178" s="10" t="str">
        <f>IF(TRIM(Github!D$1664)="TRUE","FALSE","TRUE")</f>
        <v>TRUE</v>
      </c>
      <c r="K1178" s="10" t="b">
        <f>Github!M$1664</f>
        <v>1</v>
      </c>
      <c r="L1178" s="10" t="b">
        <f>Github!N$1664</f>
        <v>0</v>
      </c>
      <c r="M1178" s="10" t="str">
        <f>ROUND(Github!O$1664, 2)&amp;"%"</f>
        <v>64.07%</v>
      </c>
      <c r="N1178" s="10">
        <f>Github!P$1664</f>
        <v>36890</v>
      </c>
      <c r="O1178" s="10">
        <f>Github!Q$1664</f>
        <v>57577</v>
      </c>
    </row>
    <row r="1179">
      <c r="A1179" s="10">
        <f>Github!J$789</f>
        <v>788</v>
      </c>
      <c r="B1179" s="11" t="str">
        <f>HYPERLINK(CONCAT("http://leetcode.com/problems/",Github!C$789), Github!B$789)</f>
        <v>Rotated Digits</v>
      </c>
      <c r="C1179" s="10">
        <f>Github!F$789</f>
        <v>561</v>
      </c>
      <c r="D1179" s="10">
        <f>Github!G$789</f>
        <v>1702</v>
      </c>
      <c r="E1179" s="10">
        <f>Github!F$789+Github!G$789</f>
        <v>2263</v>
      </c>
      <c r="F1179" s="12">
        <f t="shared" si="1"/>
        <v>0.33</v>
      </c>
      <c r="G1179" s="10" t="str">
        <f>Github!H$789</f>
        <v>Algorithms</v>
      </c>
      <c r="H1179" s="13" t="str">
        <f>SUBSTITUTE(Github!L$789, ";", ", ")</f>
        <v>Math, Dynamic Programming, </v>
      </c>
      <c r="I1179" s="10" t="str">
        <f>Github!E$789</f>
        <v>Medium</v>
      </c>
      <c r="J1179" s="10" t="str">
        <f>IF(TRIM(Github!D$789)="TRUE","FALSE","TRUE")</f>
        <v>TRUE</v>
      </c>
      <c r="K1179" s="10" t="b">
        <f>Github!M$789</f>
        <v>0</v>
      </c>
      <c r="L1179" s="10" t="b">
        <f>Github!N$789</f>
        <v>0</v>
      </c>
      <c r="M1179" s="10" t="str">
        <f>ROUND(Github!O$789, 2)&amp;"%"</f>
        <v>57.27%</v>
      </c>
      <c r="N1179" s="10">
        <f>Github!P$789</f>
        <v>82797</v>
      </c>
      <c r="O1179" s="10">
        <f>Github!Q$789</f>
        <v>144583</v>
      </c>
    </row>
    <row r="1180">
      <c r="A1180" s="10">
        <f>Github!J$870</f>
        <v>869</v>
      </c>
      <c r="B1180" s="11" t="str">
        <f>HYPERLINK(CONCAT("http://leetcode.com/problems/",Github!C$870), Github!B$870)</f>
        <v>Reordered Power of 2</v>
      </c>
      <c r="C1180" s="10">
        <f>Github!F$870</f>
        <v>561</v>
      </c>
      <c r="D1180" s="10">
        <f>Github!G$870</f>
        <v>166</v>
      </c>
      <c r="E1180" s="10">
        <f>Github!F$870+Github!G$870</f>
        <v>727</v>
      </c>
      <c r="F1180" s="12">
        <f t="shared" si="1"/>
        <v>3.38</v>
      </c>
      <c r="G1180" s="10" t="str">
        <f>Github!H$870</f>
        <v>Algorithms</v>
      </c>
      <c r="H1180" s="13" t="str">
        <f>SUBSTITUTE(Github!L$870, ";", ", ")</f>
        <v>Math, Sorting, Counting, Enumeration, </v>
      </c>
      <c r="I1180" s="10" t="str">
        <f>Github!E$870</f>
        <v>Medium</v>
      </c>
      <c r="J1180" s="10" t="str">
        <f>IF(TRIM(Github!D$870)="TRUE","FALSE","TRUE")</f>
        <v>TRUE</v>
      </c>
      <c r="K1180" s="10" t="b">
        <f>Github!M$870</f>
        <v>1</v>
      </c>
      <c r="L1180" s="10" t="b">
        <f>Github!N$870</f>
        <v>0</v>
      </c>
      <c r="M1180" s="10" t="str">
        <f>ROUND(Github!O$870, 2)&amp;"%"</f>
        <v>61.31%</v>
      </c>
      <c r="N1180" s="10">
        <f>Github!P$870</f>
        <v>40370</v>
      </c>
      <c r="O1180" s="10">
        <f>Github!Q$870</f>
        <v>65850</v>
      </c>
    </row>
    <row r="1181">
      <c r="A1181" s="10">
        <f>Github!J$1997</f>
        <v>1996</v>
      </c>
      <c r="B1181" s="11" t="str">
        <f>HYPERLINK(CONCAT("http://leetcode.com/problems/",Github!C$1997), Github!B$1997)</f>
        <v>The Number of Weak Characters in the Game</v>
      </c>
      <c r="C1181" s="10">
        <f>Github!F$1997</f>
        <v>560</v>
      </c>
      <c r="D1181" s="10">
        <f>Github!G$1997</f>
        <v>20</v>
      </c>
      <c r="E1181" s="10">
        <f>Github!F$1997+Github!G$1997</f>
        <v>580</v>
      </c>
      <c r="F1181" s="12">
        <f t="shared" si="1"/>
        <v>28</v>
      </c>
      <c r="G1181" s="10" t="str">
        <f>Github!H$1997</f>
        <v>Algorithms</v>
      </c>
      <c r="H1181" s="13" t="str">
        <f>SUBSTITUTE(Github!L$1997, ";", ", ")</f>
        <v>Array, Stack, Greedy, Sorting, Monotonic Stack, </v>
      </c>
      <c r="I1181" s="10" t="str">
        <f>Github!E$1997</f>
        <v>Medium</v>
      </c>
      <c r="J1181" s="10" t="str">
        <f>IF(TRIM(Github!D$1997)="TRUE","FALSE","TRUE")</f>
        <v>TRUE</v>
      </c>
      <c r="K1181" s="10" t="b">
        <f>Github!M$1997</f>
        <v>0</v>
      </c>
      <c r="L1181" s="10" t="b">
        <f>Github!N$1997</f>
        <v>0</v>
      </c>
      <c r="M1181" s="10" t="str">
        <f>ROUND(Github!O$1997, 2)&amp;"%"</f>
        <v>32.45%</v>
      </c>
      <c r="N1181" s="10">
        <f>Github!P$1997</f>
        <v>15014</v>
      </c>
      <c r="O1181" s="10">
        <f>Github!Q$1997</f>
        <v>46261</v>
      </c>
    </row>
    <row r="1182">
      <c r="A1182" s="10">
        <f>Github!J$1631</f>
        <v>1630</v>
      </c>
      <c r="B1182" s="11" t="str">
        <f>HYPERLINK(CONCAT("http://leetcode.com/problems/",Github!C$1631), Github!B$1631)</f>
        <v>Arithmetic Subarrays</v>
      </c>
      <c r="C1182" s="10">
        <f>Github!F$1631</f>
        <v>556</v>
      </c>
      <c r="D1182" s="10">
        <f>Github!G$1631</f>
        <v>63</v>
      </c>
      <c r="E1182" s="10">
        <f>Github!F$1631+Github!G$1631</f>
        <v>619</v>
      </c>
      <c r="F1182" s="12">
        <f t="shared" si="1"/>
        <v>8.83</v>
      </c>
      <c r="G1182" s="10" t="str">
        <f>Github!H$1631</f>
        <v>Algorithms</v>
      </c>
      <c r="H1182" s="13" t="str">
        <f>SUBSTITUTE(Github!L$1631, ";", ", ")</f>
        <v>Array, Sorting, </v>
      </c>
      <c r="I1182" s="10" t="str">
        <f>Github!E$1631</f>
        <v>Medium</v>
      </c>
      <c r="J1182" s="10" t="str">
        <f>IF(TRIM(Github!D$1631)="TRUE","FALSE","TRUE")</f>
        <v>TRUE</v>
      </c>
      <c r="K1182" s="10" t="b">
        <f>Github!M$1631</f>
        <v>0</v>
      </c>
      <c r="L1182" s="10" t="b">
        <f>Github!N$1631</f>
        <v>0</v>
      </c>
      <c r="M1182" s="10" t="str">
        <f>ROUND(Github!O$1631, 2)&amp;"%"</f>
        <v>78.38%</v>
      </c>
      <c r="N1182" s="10">
        <f>Github!P$1631</f>
        <v>29698</v>
      </c>
      <c r="O1182" s="10">
        <f>Github!Q$1631</f>
        <v>37891</v>
      </c>
    </row>
    <row r="1183">
      <c r="A1183" s="10">
        <f>Github!J$910</f>
        <v>909</v>
      </c>
      <c r="B1183" s="11" t="str">
        <f>HYPERLINK(CONCAT("http://leetcode.com/problems/",Github!C$910), Github!B$910)</f>
        <v>Snakes and Ladders</v>
      </c>
      <c r="C1183" s="10">
        <f>Github!F$910</f>
        <v>554</v>
      </c>
      <c r="D1183" s="10">
        <f>Github!G$910</f>
        <v>128</v>
      </c>
      <c r="E1183" s="10">
        <f>Github!F$910+Github!G$910</f>
        <v>682</v>
      </c>
      <c r="F1183" s="12">
        <f t="shared" si="1"/>
        <v>4.33</v>
      </c>
      <c r="G1183" s="10" t="str">
        <f>Github!H$910</f>
        <v>Algorithms</v>
      </c>
      <c r="H1183" s="13" t="str">
        <f>SUBSTITUTE(Github!L$910, ";", ", ")</f>
        <v>Array, Breadth-First Search, Matrix, </v>
      </c>
      <c r="I1183" s="10" t="str">
        <f>Github!E$910</f>
        <v>Medium</v>
      </c>
      <c r="J1183" s="10" t="str">
        <f>IF(TRIM(Github!D$910)="TRUE","FALSE","TRUE")</f>
        <v>TRUE</v>
      </c>
      <c r="K1183" s="10" t="b">
        <f>Github!M$910</f>
        <v>0</v>
      </c>
      <c r="L1183" s="10" t="b">
        <f>Github!N$910</f>
        <v>0</v>
      </c>
      <c r="M1183" s="10" t="str">
        <f>ROUND(Github!O$910, 2)&amp;"%"</f>
        <v>40.34%</v>
      </c>
      <c r="N1183" s="10">
        <f>Github!P$910</f>
        <v>70499</v>
      </c>
      <c r="O1183" s="10">
        <f>Github!Q$910</f>
        <v>174743</v>
      </c>
    </row>
    <row r="1184">
      <c r="A1184" s="10">
        <f>Github!J$1004</f>
        <v>1003</v>
      </c>
      <c r="B1184" s="11" t="str">
        <f>HYPERLINK(CONCAT("http://leetcode.com/problems/",Github!C$1004), Github!B$1004)</f>
        <v>Check If Word Is Valid After Substitutions</v>
      </c>
      <c r="C1184" s="10">
        <f>Github!F$1004</f>
        <v>553</v>
      </c>
      <c r="D1184" s="10">
        <f>Github!G$1004</f>
        <v>430</v>
      </c>
      <c r="E1184" s="10">
        <f>Github!F$1004+Github!G$1004</f>
        <v>983</v>
      </c>
      <c r="F1184" s="12">
        <f t="shared" si="1"/>
        <v>1.29</v>
      </c>
      <c r="G1184" s="10" t="str">
        <f>Github!H$1004</f>
        <v>Algorithms</v>
      </c>
      <c r="H1184" s="13" t="str">
        <f>SUBSTITUTE(Github!L$1004, ";", ", ")</f>
        <v>String, Stack, </v>
      </c>
      <c r="I1184" s="10" t="str">
        <f>Github!E$1004</f>
        <v>Medium</v>
      </c>
      <c r="J1184" s="10" t="str">
        <f>IF(TRIM(Github!D$1004)="TRUE","FALSE","TRUE")</f>
        <v>TRUE</v>
      </c>
      <c r="K1184" s="10" t="b">
        <f>Github!M$1004</f>
        <v>0</v>
      </c>
      <c r="L1184" s="10" t="b">
        <f>Github!N$1004</f>
        <v>0</v>
      </c>
      <c r="M1184" s="10" t="str">
        <f>ROUND(Github!O$1004, 2)&amp;"%"</f>
        <v>57.68%</v>
      </c>
      <c r="N1184" s="10">
        <f>Github!P$1004</f>
        <v>39589</v>
      </c>
      <c r="O1184" s="10">
        <f>Github!Q$1004</f>
        <v>68634</v>
      </c>
    </row>
    <row r="1185">
      <c r="A1185" s="10">
        <f>Github!J$1459</f>
        <v>1458</v>
      </c>
      <c r="B1185" s="11" t="str">
        <f>HYPERLINK(CONCAT("http://leetcode.com/problems/",Github!C$1459), Github!B$1459)</f>
        <v>Max Dot Product of Two Subsequences</v>
      </c>
      <c r="C1185" s="10">
        <f>Github!F$1459</f>
        <v>552</v>
      </c>
      <c r="D1185" s="10">
        <f>Github!G$1459</f>
        <v>11</v>
      </c>
      <c r="E1185" s="10">
        <f>Github!F$1459+Github!G$1459</f>
        <v>563</v>
      </c>
      <c r="F1185" s="12">
        <f t="shared" si="1"/>
        <v>50.18</v>
      </c>
      <c r="G1185" s="10" t="str">
        <f>Github!H$1459</f>
        <v>Algorithms</v>
      </c>
      <c r="H1185" s="13" t="str">
        <f>SUBSTITUTE(Github!L$1459, ";", ", ")</f>
        <v>Array, Dynamic Programming, </v>
      </c>
      <c r="I1185" s="10" t="str">
        <f>Github!E$1459</f>
        <v>Hard</v>
      </c>
      <c r="J1185" s="10" t="str">
        <f>IF(TRIM(Github!D$1459)="TRUE","FALSE","TRUE")</f>
        <v>TRUE</v>
      </c>
      <c r="K1185" s="10" t="b">
        <f>Github!M$1459</f>
        <v>0</v>
      </c>
      <c r="L1185" s="10" t="b">
        <f>Github!N$1459</f>
        <v>0</v>
      </c>
      <c r="M1185" s="10" t="str">
        <f>ROUND(Github!O$1459, 2)&amp;"%"</f>
        <v>45.02%</v>
      </c>
      <c r="N1185" s="10">
        <f>Github!P$1459</f>
        <v>15994</v>
      </c>
      <c r="O1185" s="10">
        <f>Github!Q$1459</f>
        <v>35527</v>
      </c>
    </row>
    <row r="1186">
      <c r="A1186" s="10">
        <f>Github!J$1538</f>
        <v>1537</v>
      </c>
      <c r="B1186" s="11" t="str">
        <f>HYPERLINK(CONCAT("http://leetcode.com/problems/",Github!C$1538), Github!B$1538)</f>
        <v>Get the Maximum Score</v>
      </c>
      <c r="C1186" s="10">
        <f>Github!F$1538</f>
        <v>552</v>
      </c>
      <c r="D1186" s="10">
        <f>Github!G$1538</f>
        <v>32</v>
      </c>
      <c r="E1186" s="10">
        <f>Github!F$1538+Github!G$1538</f>
        <v>584</v>
      </c>
      <c r="F1186" s="12">
        <f t="shared" si="1"/>
        <v>17.25</v>
      </c>
      <c r="G1186" s="10" t="str">
        <f>Github!H$1538</f>
        <v>Algorithms</v>
      </c>
      <c r="H1186" s="13" t="str">
        <f>SUBSTITUTE(Github!L$1538, ";", ", ")</f>
        <v>Array, Two Pointers, Dynamic Programming, Greedy, </v>
      </c>
      <c r="I1186" s="10" t="str">
        <f>Github!E$1538</f>
        <v>Hard</v>
      </c>
      <c r="J1186" s="10" t="str">
        <f>IF(TRIM(Github!D$1538)="TRUE","FALSE","TRUE")</f>
        <v>TRUE</v>
      </c>
      <c r="K1186" s="10" t="b">
        <f>Github!M$1538</f>
        <v>0</v>
      </c>
      <c r="L1186" s="10" t="b">
        <f>Github!N$1538</f>
        <v>0</v>
      </c>
      <c r="M1186" s="10" t="str">
        <f>ROUND(Github!O$1538, 2)&amp;"%"</f>
        <v>38.96%</v>
      </c>
      <c r="N1186" s="10">
        <f>Github!P$1538</f>
        <v>15883</v>
      </c>
      <c r="O1186" s="10">
        <f>Github!Q$1538</f>
        <v>40764</v>
      </c>
    </row>
    <row r="1187">
      <c r="A1187" s="10">
        <f>Github!J$1777</f>
        <v>1776</v>
      </c>
      <c r="B1187" s="11" t="str">
        <f>HYPERLINK(CONCAT("http://leetcode.com/problems/",Github!C$1777), Github!B$1777)</f>
        <v>Car Fleet II</v>
      </c>
      <c r="C1187" s="10">
        <f>Github!F$1777</f>
        <v>552</v>
      </c>
      <c r="D1187" s="10">
        <f>Github!G$1777</f>
        <v>15</v>
      </c>
      <c r="E1187" s="10">
        <f>Github!F$1777+Github!G$1777</f>
        <v>567</v>
      </c>
      <c r="F1187" s="12">
        <f t="shared" si="1"/>
        <v>36.8</v>
      </c>
      <c r="G1187" s="10" t="str">
        <f>Github!H$1777</f>
        <v>Algorithms</v>
      </c>
      <c r="H1187" s="13" t="str">
        <f>SUBSTITUTE(Github!L$1777, ";", ", ")</f>
        <v>Array, Math, Stack, Heap (Priority Queue), Monotonic Stack, </v>
      </c>
      <c r="I1187" s="10" t="str">
        <f>Github!E$1777</f>
        <v>Hard</v>
      </c>
      <c r="J1187" s="10" t="str">
        <f>IF(TRIM(Github!D$1777)="TRUE","FALSE","TRUE")</f>
        <v>TRUE</v>
      </c>
      <c r="K1187" s="10" t="b">
        <f>Github!M$1777</f>
        <v>0</v>
      </c>
      <c r="L1187" s="10" t="b">
        <f>Github!N$1777</f>
        <v>0</v>
      </c>
      <c r="M1187" s="10" t="str">
        <f>ROUND(Github!O$1777, 2)&amp;"%"</f>
        <v>52.63%</v>
      </c>
      <c r="N1187" s="10">
        <f>Github!P$1777</f>
        <v>17686</v>
      </c>
      <c r="O1187" s="10">
        <f>Github!Q$1777</f>
        <v>33605</v>
      </c>
    </row>
    <row r="1188">
      <c r="A1188" s="10">
        <f>Github!J$1689</f>
        <v>1688</v>
      </c>
      <c r="B1188" s="11" t="str">
        <f>HYPERLINK(CONCAT("http://leetcode.com/problems/",Github!C$1689), Github!B$1689)</f>
        <v>Count of Matches in Tournament</v>
      </c>
      <c r="C1188" s="10">
        <f>Github!F$1689</f>
        <v>551</v>
      </c>
      <c r="D1188" s="10">
        <f>Github!G$1689</f>
        <v>104</v>
      </c>
      <c r="E1188" s="10">
        <f>Github!F$1689+Github!G$1689</f>
        <v>655</v>
      </c>
      <c r="F1188" s="12">
        <f t="shared" si="1"/>
        <v>5.3</v>
      </c>
      <c r="G1188" s="10" t="str">
        <f>Github!H$1689</f>
        <v>Algorithms</v>
      </c>
      <c r="H1188" s="13" t="str">
        <f>SUBSTITUTE(Github!L$1689, ";", ", ")</f>
        <v>Math, Simulation, </v>
      </c>
      <c r="I1188" s="10" t="str">
        <f>Github!E$1689</f>
        <v>Easy</v>
      </c>
      <c r="J1188" s="10" t="str">
        <f>IF(TRIM(Github!D$1689)="TRUE","FALSE","TRUE")</f>
        <v>TRUE</v>
      </c>
      <c r="K1188" s="10" t="b">
        <f>Github!M$1689</f>
        <v>0</v>
      </c>
      <c r="L1188" s="10" t="b">
        <f>Github!N$1689</f>
        <v>0</v>
      </c>
      <c r="M1188" s="10" t="str">
        <f>ROUND(Github!O$1689, 2)&amp;"%"</f>
        <v>82.6%</v>
      </c>
      <c r="N1188" s="10">
        <f>Github!P$1689</f>
        <v>63652</v>
      </c>
      <c r="O1188" s="10">
        <f>Github!Q$1689</f>
        <v>77059</v>
      </c>
    </row>
    <row r="1189">
      <c r="A1189" s="10">
        <f>Github!J$252</f>
        <v>251</v>
      </c>
      <c r="B1189" s="11" t="str">
        <f>HYPERLINK(CONCAT("http://leetcode.com/problems/",Github!C$252), Github!B$252)</f>
        <v>Flatten 2D Vector</v>
      </c>
      <c r="C1189" s="10">
        <f>Github!F$252</f>
        <v>551</v>
      </c>
      <c r="D1189" s="10">
        <f>Github!G$252</f>
        <v>304</v>
      </c>
      <c r="E1189" s="10">
        <f>Github!F$252+Github!G$252</f>
        <v>855</v>
      </c>
      <c r="F1189" s="12">
        <f t="shared" si="1"/>
        <v>1.81</v>
      </c>
      <c r="G1189" s="10" t="str">
        <f>Github!H$252</f>
        <v>Algorithms</v>
      </c>
      <c r="H1189" s="13" t="str">
        <f>SUBSTITUTE(Github!L$252, ";", ", ")</f>
        <v>Array, Two Pointers, Design, Iterator, </v>
      </c>
      <c r="I1189" s="10" t="str">
        <f>Github!E$252</f>
        <v>Medium</v>
      </c>
      <c r="J1189" s="10" t="str">
        <f>IF(TRIM(Github!D$252)="TRUE","FALSE","TRUE")</f>
        <v>FALSE</v>
      </c>
      <c r="K1189" s="10" t="b">
        <f>Github!M$252</f>
        <v>1</v>
      </c>
      <c r="L1189" s="10" t="b">
        <f>Github!N$252</f>
        <v>0</v>
      </c>
      <c r="M1189" s="10" t="str">
        <f>ROUND(Github!O$252, 2)&amp;"%"</f>
        <v>47.74%</v>
      </c>
      <c r="N1189" s="10">
        <f>Github!P$252</f>
        <v>101083</v>
      </c>
      <c r="O1189" s="10">
        <f>Github!Q$252</f>
        <v>211755</v>
      </c>
    </row>
    <row r="1190">
      <c r="A1190" s="10">
        <f>Github!J$1285</f>
        <v>1284</v>
      </c>
      <c r="B1190" s="11" t="str">
        <f>HYPERLINK(CONCAT("http://leetcode.com/problems/",Github!C$1285), Github!B$1285)</f>
        <v>Minimum Number of Flips to Convert Binary Matrix to Zero Matrix</v>
      </c>
      <c r="C1190" s="10">
        <f>Github!F$1285</f>
        <v>550</v>
      </c>
      <c r="D1190" s="10">
        <f>Github!G$1285</f>
        <v>56</v>
      </c>
      <c r="E1190" s="10">
        <f>Github!F$1285+Github!G$1285</f>
        <v>606</v>
      </c>
      <c r="F1190" s="12">
        <f t="shared" si="1"/>
        <v>9.82</v>
      </c>
      <c r="G1190" s="10" t="str">
        <f>Github!H$1285</f>
        <v>Algorithms</v>
      </c>
      <c r="H1190" s="13" t="str">
        <f>SUBSTITUTE(Github!L$1285, ";", ", ")</f>
        <v>Array, Bit Manipulation, Breadth-First Search, Matrix, </v>
      </c>
      <c r="I1190" s="10" t="str">
        <f>Github!E$1285</f>
        <v>Hard</v>
      </c>
      <c r="J1190" s="10" t="str">
        <f>IF(TRIM(Github!D$1285)="TRUE","FALSE","TRUE")</f>
        <v>TRUE</v>
      </c>
      <c r="K1190" s="10" t="b">
        <f>Github!M$1285</f>
        <v>0</v>
      </c>
      <c r="L1190" s="10" t="b">
        <f>Github!N$1285</f>
        <v>0</v>
      </c>
      <c r="M1190" s="10" t="str">
        <f>ROUND(Github!O$1285, 2)&amp;"%"</f>
        <v>71.54%</v>
      </c>
      <c r="N1190" s="10">
        <f>Github!P$1285</f>
        <v>18974</v>
      </c>
      <c r="O1190" s="10">
        <f>Github!Q$1285</f>
        <v>26524</v>
      </c>
    </row>
    <row r="1191">
      <c r="A1191" s="10">
        <f>Github!J$1794</f>
        <v>1793</v>
      </c>
      <c r="B1191" s="11" t="str">
        <f>HYPERLINK(CONCAT("http://leetcode.com/problems/",Github!C$1794), Github!B$1794)</f>
        <v>Maximum Score of a Good Subarray</v>
      </c>
      <c r="C1191" s="10">
        <f>Github!F$1794</f>
        <v>550</v>
      </c>
      <c r="D1191" s="10">
        <f>Github!G$1794</f>
        <v>24</v>
      </c>
      <c r="E1191" s="10">
        <f>Github!F$1794+Github!G$1794</f>
        <v>574</v>
      </c>
      <c r="F1191" s="12">
        <f t="shared" si="1"/>
        <v>22.92</v>
      </c>
      <c r="G1191" s="10" t="str">
        <f>Github!H$1794</f>
        <v>Algorithms</v>
      </c>
      <c r="H1191" s="13" t="str">
        <f>SUBSTITUTE(Github!L$1794, ";", ", ")</f>
        <v>Array, Two Pointers, Binary Search, Stack, Monotonic Stack, </v>
      </c>
      <c r="I1191" s="10" t="str">
        <f>Github!E$1794</f>
        <v>Hard</v>
      </c>
      <c r="J1191" s="10" t="str">
        <f>IF(TRIM(Github!D$1794)="TRUE","FALSE","TRUE")</f>
        <v>TRUE</v>
      </c>
      <c r="K1191" s="10" t="b">
        <f>Github!M$1794</f>
        <v>0</v>
      </c>
      <c r="L1191" s="10" t="b">
        <f>Github!N$1794</f>
        <v>0</v>
      </c>
      <c r="M1191" s="10" t="str">
        <f>ROUND(Github!O$1794, 2)&amp;"%"</f>
        <v>51.33%</v>
      </c>
      <c r="N1191" s="10">
        <f>Github!P$1794</f>
        <v>12709</v>
      </c>
      <c r="O1191" s="10">
        <f>Github!Q$1794</f>
        <v>24757</v>
      </c>
    </row>
    <row r="1192">
      <c r="A1192" s="10">
        <f>Github!J$900</f>
        <v>899</v>
      </c>
      <c r="B1192" s="11" t="str">
        <f>HYPERLINK(CONCAT("http://leetcode.com/problems/",Github!C$900), Github!B$900)</f>
        <v>Orderly Queue</v>
      </c>
      <c r="C1192" s="10">
        <f>Github!F$900</f>
        <v>548</v>
      </c>
      <c r="D1192" s="10">
        <f>Github!G$900</f>
        <v>354</v>
      </c>
      <c r="E1192" s="10">
        <f>Github!F$900+Github!G$900</f>
        <v>902</v>
      </c>
      <c r="F1192" s="12">
        <f t="shared" si="1"/>
        <v>1.55</v>
      </c>
      <c r="G1192" s="10" t="str">
        <f>Github!H$900</f>
        <v>Algorithms</v>
      </c>
      <c r="H1192" s="13" t="str">
        <f>SUBSTITUTE(Github!L$900, ";", ", ")</f>
        <v>Math, String, Sorting, </v>
      </c>
      <c r="I1192" s="10" t="str">
        <f>Github!E$900</f>
        <v>Hard</v>
      </c>
      <c r="J1192" s="10" t="str">
        <f>IF(TRIM(Github!D$900)="TRUE","FALSE","TRUE")</f>
        <v>TRUE</v>
      </c>
      <c r="K1192" s="10" t="b">
        <f>Github!M$900</f>
        <v>1</v>
      </c>
      <c r="L1192" s="10" t="b">
        <f>Github!N$900</f>
        <v>0</v>
      </c>
      <c r="M1192" s="10" t="str">
        <f>ROUND(Github!O$900, 2)&amp;"%"</f>
        <v>58.5%</v>
      </c>
      <c r="N1192" s="10">
        <f>Github!P$900</f>
        <v>25408</v>
      </c>
      <c r="O1192" s="10">
        <f>Github!Q$900</f>
        <v>43430</v>
      </c>
    </row>
    <row r="1193">
      <c r="A1193" s="10">
        <f>Github!J$472</f>
        <v>471</v>
      </c>
      <c r="B1193" s="11" t="str">
        <f>HYPERLINK(CONCAT("http://leetcode.com/problems/",Github!C$472), Github!B$472)</f>
        <v>Encode String with Shortest Length</v>
      </c>
      <c r="C1193" s="10">
        <f>Github!F$472</f>
        <v>547</v>
      </c>
      <c r="D1193" s="10">
        <f>Github!G$472</f>
        <v>33</v>
      </c>
      <c r="E1193" s="10">
        <f>Github!F$472+Github!G$472</f>
        <v>580</v>
      </c>
      <c r="F1193" s="12">
        <f t="shared" si="1"/>
        <v>16.58</v>
      </c>
      <c r="G1193" s="10" t="str">
        <f>Github!H$472</f>
        <v>Algorithms</v>
      </c>
      <c r="H1193" s="13" t="str">
        <f>SUBSTITUTE(Github!L$472, ";", ", ")</f>
        <v>String, Dynamic Programming, </v>
      </c>
      <c r="I1193" s="10" t="str">
        <f>Github!E$472</f>
        <v>Hard</v>
      </c>
      <c r="J1193" s="10" t="str">
        <f>IF(TRIM(Github!D$472)="TRUE","FALSE","TRUE")</f>
        <v>FALSE</v>
      </c>
      <c r="K1193" s="10" t="b">
        <f>Github!M$472</f>
        <v>0</v>
      </c>
      <c r="L1193" s="10" t="b">
        <f>Github!N$472</f>
        <v>0</v>
      </c>
      <c r="M1193" s="10" t="str">
        <f>ROUND(Github!O$472, 2)&amp;"%"</f>
        <v>50.65%</v>
      </c>
      <c r="N1193" s="10">
        <f>Github!P$472</f>
        <v>27337</v>
      </c>
      <c r="O1193" s="10">
        <f>Github!Q$472</f>
        <v>53971</v>
      </c>
    </row>
    <row r="1194">
      <c r="A1194" s="10">
        <f>Github!J$282</f>
        <v>281</v>
      </c>
      <c r="B1194" s="11" t="str">
        <f>HYPERLINK(CONCAT("http://leetcode.com/problems/",Github!C$282), Github!B$282)</f>
        <v>Zigzag Iterator</v>
      </c>
      <c r="C1194" s="10">
        <f>Github!F$282</f>
        <v>546</v>
      </c>
      <c r="D1194" s="10">
        <f>Github!G$282</f>
        <v>30</v>
      </c>
      <c r="E1194" s="10">
        <f>Github!F$282+Github!G$282</f>
        <v>576</v>
      </c>
      <c r="F1194" s="12">
        <f t="shared" si="1"/>
        <v>18.2</v>
      </c>
      <c r="G1194" s="10" t="str">
        <f>Github!H$282</f>
        <v>Algorithms</v>
      </c>
      <c r="H1194" s="13" t="str">
        <f>SUBSTITUTE(Github!L$282, ";", ", ")</f>
        <v>Array, Design, Queue, Iterator, </v>
      </c>
      <c r="I1194" s="10" t="str">
        <f>Github!E$282</f>
        <v>Medium</v>
      </c>
      <c r="J1194" s="10" t="str">
        <f>IF(TRIM(Github!D$282)="TRUE","FALSE","TRUE")</f>
        <v>FALSE</v>
      </c>
      <c r="K1194" s="10" t="b">
        <f>Github!M$282</f>
        <v>1</v>
      </c>
      <c r="L1194" s="10" t="b">
        <f>Github!N$282</f>
        <v>0</v>
      </c>
      <c r="M1194" s="10" t="str">
        <f>ROUND(Github!O$282, 2)&amp;"%"</f>
        <v>61.25%</v>
      </c>
      <c r="N1194" s="10">
        <f>Github!P$282</f>
        <v>78668</v>
      </c>
      <c r="O1194" s="10">
        <f>Github!Q$282</f>
        <v>128442</v>
      </c>
    </row>
    <row r="1195">
      <c r="A1195" s="10">
        <f>Github!J$723</f>
        <v>722</v>
      </c>
      <c r="B1195" s="11" t="str">
        <f>HYPERLINK(CONCAT("http://leetcode.com/problems/",Github!C$723), Github!B$723)</f>
        <v>Remove Comments</v>
      </c>
      <c r="C1195" s="10">
        <f>Github!F$723</f>
        <v>546</v>
      </c>
      <c r="D1195" s="10">
        <f>Github!G$723</f>
        <v>1468</v>
      </c>
      <c r="E1195" s="10">
        <f>Github!F$723+Github!G$723</f>
        <v>2014</v>
      </c>
      <c r="F1195" s="12">
        <f t="shared" si="1"/>
        <v>0.37</v>
      </c>
      <c r="G1195" s="10" t="str">
        <f>Github!H$723</f>
        <v>Algorithms</v>
      </c>
      <c r="H1195" s="13" t="str">
        <f>SUBSTITUTE(Github!L$723, ";", ", ")</f>
        <v>Array, String, </v>
      </c>
      <c r="I1195" s="10" t="str">
        <f>Github!E$723</f>
        <v>Medium</v>
      </c>
      <c r="J1195" s="10" t="str">
        <f>IF(TRIM(Github!D$723)="TRUE","FALSE","TRUE")</f>
        <v>TRUE</v>
      </c>
      <c r="K1195" s="10" t="b">
        <f>Github!M$723</f>
        <v>0</v>
      </c>
      <c r="L1195" s="10" t="b">
        <f>Github!N$723</f>
        <v>0</v>
      </c>
      <c r="M1195" s="10" t="str">
        <f>ROUND(Github!O$723, 2)&amp;"%"</f>
        <v>37.28%</v>
      </c>
      <c r="N1195" s="10">
        <f>Github!P$723</f>
        <v>52457</v>
      </c>
      <c r="O1195" s="10">
        <f>Github!Q$723</f>
        <v>140709</v>
      </c>
    </row>
    <row r="1196">
      <c r="A1196" s="10">
        <f>Github!J$588</f>
        <v>587</v>
      </c>
      <c r="B1196" s="11" t="str">
        <f>HYPERLINK(CONCAT("http://leetcode.com/problems/",Github!C$588), Github!B$588)</f>
        <v>Erect the Fence</v>
      </c>
      <c r="C1196" s="10">
        <f>Github!F$588</f>
        <v>545</v>
      </c>
      <c r="D1196" s="10">
        <f>Github!G$588</f>
        <v>337</v>
      </c>
      <c r="E1196" s="10">
        <f>Github!F$588+Github!G$588</f>
        <v>882</v>
      </c>
      <c r="F1196" s="12">
        <f t="shared" si="1"/>
        <v>1.62</v>
      </c>
      <c r="G1196" s="10" t="str">
        <f>Github!H$588</f>
        <v>Algorithms</v>
      </c>
      <c r="H1196" s="13" t="str">
        <f>SUBSTITUTE(Github!L$588, ";", ", ")</f>
        <v>Array, Math, Geometry, </v>
      </c>
      <c r="I1196" s="10" t="str">
        <f>Github!E$588</f>
        <v>Hard</v>
      </c>
      <c r="J1196" s="10" t="str">
        <f>IF(TRIM(Github!D$588)="TRUE","FALSE","TRUE")</f>
        <v>TRUE</v>
      </c>
      <c r="K1196" s="10" t="b">
        <f>Github!M$588</f>
        <v>1</v>
      </c>
      <c r="L1196" s="10" t="b">
        <f>Github!N$588</f>
        <v>0</v>
      </c>
      <c r="M1196" s="10" t="str">
        <f>ROUND(Github!O$588, 2)&amp;"%"</f>
        <v>43.24%</v>
      </c>
      <c r="N1196" s="10">
        <f>Github!P$588</f>
        <v>23917</v>
      </c>
      <c r="O1196" s="10">
        <f>Github!Q$588</f>
        <v>55314</v>
      </c>
    </row>
    <row r="1197">
      <c r="A1197" s="10">
        <f>Github!J$1787</f>
        <v>1786</v>
      </c>
      <c r="B1197" s="11" t="str">
        <f>HYPERLINK(CONCAT("http://leetcode.com/problems/",Github!C$1787), Github!B$1787)</f>
        <v>Number of Restricted Paths From First to Last Node</v>
      </c>
      <c r="C1197" s="10">
        <f>Github!F$1787</f>
        <v>545</v>
      </c>
      <c r="D1197" s="10">
        <f>Github!G$1787</f>
        <v>97</v>
      </c>
      <c r="E1197" s="10">
        <f>Github!F$1787+Github!G$1787</f>
        <v>642</v>
      </c>
      <c r="F1197" s="12">
        <f t="shared" si="1"/>
        <v>5.62</v>
      </c>
      <c r="G1197" s="10" t="str">
        <f>Github!H$1787</f>
        <v>Algorithms</v>
      </c>
      <c r="H1197" s="13" t="str">
        <f>SUBSTITUTE(Github!L$1787, ";", ", ")</f>
        <v>Dynamic Programming, Graph, Topological Sort, Heap (Priority Queue), Shortest Path, </v>
      </c>
      <c r="I1197" s="10" t="str">
        <f>Github!E$1787</f>
        <v>Medium</v>
      </c>
      <c r="J1197" s="10" t="str">
        <f>IF(TRIM(Github!D$1787)="TRUE","FALSE","TRUE")</f>
        <v>TRUE</v>
      </c>
      <c r="K1197" s="10" t="b">
        <f>Github!M$1787</f>
        <v>0</v>
      </c>
      <c r="L1197" s="10" t="b">
        <f>Github!N$1787</f>
        <v>0</v>
      </c>
      <c r="M1197" s="10" t="str">
        <f>ROUND(Github!O$1787, 2)&amp;"%"</f>
        <v>38.07%</v>
      </c>
      <c r="N1197" s="10">
        <f>Github!P$1787</f>
        <v>11728</v>
      </c>
      <c r="O1197" s="10">
        <f>Github!Q$1787</f>
        <v>30805</v>
      </c>
    </row>
    <row r="1198">
      <c r="A1198" s="10">
        <f>Github!J$1451</f>
        <v>1450</v>
      </c>
      <c r="B1198" s="11" t="str">
        <f>HYPERLINK(CONCAT("http://leetcode.com/problems/",Github!C$1451), Github!B$1451)</f>
        <v>Number of Students Doing Homework at a Given Time</v>
      </c>
      <c r="C1198" s="10">
        <f>Github!F$1451</f>
        <v>543</v>
      </c>
      <c r="D1198" s="10">
        <f>Github!G$1451</f>
        <v>127</v>
      </c>
      <c r="E1198" s="10">
        <f>Github!F$1451+Github!G$1451</f>
        <v>670</v>
      </c>
      <c r="F1198" s="12">
        <f t="shared" si="1"/>
        <v>4.28</v>
      </c>
      <c r="G1198" s="10" t="str">
        <f>Github!H$1451</f>
        <v>Algorithms</v>
      </c>
      <c r="H1198" s="13" t="str">
        <f>SUBSTITUTE(Github!L$1451, ";", ", ")</f>
        <v>Array, </v>
      </c>
      <c r="I1198" s="10" t="str">
        <f>Github!E$1451</f>
        <v>Easy</v>
      </c>
      <c r="J1198" s="10" t="str">
        <f>IF(TRIM(Github!D$1451)="TRUE","FALSE","TRUE")</f>
        <v>TRUE</v>
      </c>
      <c r="K1198" s="10" t="b">
        <f>Github!M$1451</f>
        <v>0</v>
      </c>
      <c r="L1198" s="10" t="b">
        <f>Github!N$1451</f>
        <v>0</v>
      </c>
      <c r="M1198" s="10" t="str">
        <f>ROUND(Github!O$1451, 2)&amp;"%"</f>
        <v>76.48%</v>
      </c>
      <c r="N1198" s="10">
        <f>Github!P$1451</f>
        <v>81006</v>
      </c>
      <c r="O1198" s="10">
        <f>Github!Q$1451</f>
        <v>105912</v>
      </c>
    </row>
    <row r="1199">
      <c r="A1199" s="10">
        <f>Github!J$1350</f>
        <v>1349</v>
      </c>
      <c r="B1199" s="11" t="str">
        <f>HYPERLINK(CONCAT("http://leetcode.com/problems/",Github!C$1350), Github!B$1350)</f>
        <v>Maximum Students Taking Exam</v>
      </c>
      <c r="C1199" s="10">
        <f>Github!F$1350</f>
        <v>542</v>
      </c>
      <c r="D1199" s="10">
        <f>Github!G$1350</f>
        <v>10</v>
      </c>
      <c r="E1199" s="10">
        <f>Github!F$1350+Github!G$1350</f>
        <v>552</v>
      </c>
      <c r="F1199" s="12">
        <f t="shared" si="1"/>
        <v>54.2</v>
      </c>
      <c r="G1199" s="10" t="str">
        <f>Github!H$1350</f>
        <v>Algorithms</v>
      </c>
      <c r="H1199" s="13" t="str">
        <f>SUBSTITUTE(Github!L$1350, ";", ", ")</f>
        <v>Array, Dynamic Programming, Bit Manipulation, Matrix, Bitmask, </v>
      </c>
      <c r="I1199" s="10" t="str">
        <f>Github!E$1350</f>
        <v>Hard</v>
      </c>
      <c r="J1199" s="10" t="str">
        <f>IF(TRIM(Github!D$1350)="TRUE","FALSE","TRUE")</f>
        <v>TRUE</v>
      </c>
      <c r="K1199" s="10" t="b">
        <f>Github!M$1350</f>
        <v>0</v>
      </c>
      <c r="L1199" s="10" t="b">
        <f>Github!N$1350</f>
        <v>0</v>
      </c>
      <c r="M1199" s="10" t="str">
        <f>ROUND(Github!O$1350, 2)&amp;"%"</f>
        <v>46.61%</v>
      </c>
      <c r="N1199" s="10">
        <f>Github!P$1350</f>
        <v>9680</v>
      </c>
      <c r="O1199" s="10">
        <f>Github!Q$1350</f>
        <v>20769</v>
      </c>
    </row>
    <row r="1200">
      <c r="A1200" s="10">
        <f>Github!J$1344</f>
        <v>1343</v>
      </c>
      <c r="B1200" s="11" t="str">
        <f>HYPERLINK(CONCAT("http://leetcode.com/problems/",Github!C$1344), Github!B$1344)</f>
        <v>Number of Sub-arrays of Size K and Average Greater than or Equal to Threshold</v>
      </c>
      <c r="C1200" s="10">
        <f>Github!F$1344</f>
        <v>540</v>
      </c>
      <c r="D1200" s="10">
        <f>Github!G$1344</f>
        <v>56</v>
      </c>
      <c r="E1200" s="10">
        <f>Github!F$1344+Github!G$1344</f>
        <v>596</v>
      </c>
      <c r="F1200" s="12">
        <f t="shared" si="1"/>
        <v>9.64</v>
      </c>
      <c r="G1200" s="10" t="str">
        <f>Github!H$1344</f>
        <v>Algorithms</v>
      </c>
      <c r="H1200" s="13" t="str">
        <f>SUBSTITUTE(Github!L$1344, ";", ", ")</f>
        <v>Array, Sliding Window, </v>
      </c>
      <c r="I1200" s="10" t="str">
        <f>Github!E$1344</f>
        <v>Medium</v>
      </c>
      <c r="J1200" s="10" t="str">
        <f>IF(TRIM(Github!D$1344)="TRUE","FALSE","TRUE")</f>
        <v>TRUE</v>
      </c>
      <c r="K1200" s="10" t="b">
        <f>Github!M$1344</f>
        <v>0</v>
      </c>
      <c r="L1200" s="10" t="b">
        <f>Github!N$1344</f>
        <v>0</v>
      </c>
      <c r="M1200" s="10" t="str">
        <f>ROUND(Github!O$1344, 2)&amp;"%"</f>
        <v>67.86%</v>
      </c>
      <c r="N1200" s="10">
        <f>Github!P$1344</f>
        <v>30751</v>
      </c>
      <c r="O1200" s="10">
        <f>Github!Q$1344</f>
        <v>45311</v>
      </c>
    </row>
    <row r="1201">
      <c r="A1201" s="10">
        <f>Github!J$1474</f>
        <v>1473</v>
      </c>
      <c r="B1201" s="11" t="str">
        <f>HYPERLINK(CONCAT("http://leetcode.com/problems/",Github!C$1474), Github!B$1474)</f>
        <v>Paint House III</v>
      </c>
      <c r="C1201" s="10">
        <f>Github!F$1474</f>
        <v>539</v>
      </c>
      <c r="D1201" s="10">
        <f>Github!G$1474</f>
        <v>28</v>
      </c>
      <c r="E1201" s="10">
        <f>Github!F$1474+Github!G$1474</f>
        <v>567</v>
      </c>
      <c r="F1201" s="12">
        <f t="shared" si="1"/>
        <v>19.25</v>
      </c>
      <c r="G1201" s="10" t="str">
        <f>Github!H$1474</f>
        <v>Algorithms</v>
      </c>
      <c r="H1201" s="13" t="str">
        <f>SUBSTITUTE(Github!L$1474, ";", ", ")</f>
        <v>Array, Dynamic Programming, </v>
      </c>
      <c r="I1201" s="10" t="str">
        <f>Github!E$1474</f>
        <v>Hard</v>
      </c>
      <c r="J1201" s="10" t="str">
        <f>IF(TRIM(Github!D$1474)="TRUE","FALSE","TRUE")</f>
        <v>TRUE</v>
      </c>
      <c r="K1201" s="10" t="b">
        <f>Github!M$1474</f>
        <v>1</v>
      </c>
      <c r="L1201" s="10" t="b">
        <f>Github!N$1474</f>
        <v>0</v>
      </c>
      <c r="M1201" s="10" t="str">
        <f>ROUND(Github!O$1474, 2)&amp;"%"</f>
        <v>50.59%</v>
      </c>
      <c r="N1201" s="10">
        <f>Github!P$1474</f>
        <v>14689</v>
      </c>
      <c r="O1201" s="10">
        <f>Github!Q$1474</f>
        <v>29038</v>
      </c>
    </row>
    <row r="1202">
      <c r="A1202" s="10">
        <f>Github!J$1825</f>
        <v>1824</v>
      </c>
      <c r="B1202" s="11" t="str">
        <f>HYPERLINK(CONCAT("http://leetcode.com/problems/",Github!C$1825), Github!B$1825)</f>
        <v>Minimum Sideway Jumps</v>
      </c>
      <c r="C1202" s="10">
        <f>Github!F$1825</f>
        <v>536</v>
      </c>
      <c r="D1202" s="10">
        <f>Github!G$1825</f>
        <v>26</v>
      </c>
      <c r="E1202" s="10">
        <f>Github!F$1825+Github!G$1825</f>
        <v>562</v>
      </c>
      <c r="F1202" s="12">
        <f t="shared" si="1"/>
        <v>20.62</v>
      </c>
      <c r="G1202" s="10" t="str">
        <f>Github!H$1825</f>
        <v>Algorithms</v>
      </c>
      <c r="H1202" s="13" t="str">
        <f>SUBSTITUTE(Github!L$1825, ";", ", ")</f>
        <v>Array, Dynamic Programming, Greedy, </v>
      </c>
      <c r="I1202" s="10" t="str">
        <f>Github!E$1825</f>
        <v>Medium</v>
      </c>
      <c r="J1202" s="10" t="str">
        <f>IF(TRIM(Github!D$1825)="TRUE","FALSE","TRUE")</f>
        <v>TRUE</v>
      </c>
      <c r="K1202" s="10" t="b">
        <f>Github!M$1825</f>
        <v>0</v>
      </c>
      <c r="L1202" s="10" t="b">
        <f>Github!N$1825</f>
        <v>0</v>
      </c>
      <c r="M1202" s="10" t="str">
        <f>ROUND(Github!O$1825, 2)&amp;"%"</f>
        <v>49.22%</v>
      </c>
      <c r="N1202" s="10">
        <f>Github!P$1825</f>
        <v>15541</v>
      </c>
      <c r="O1202" s="10">
        <f>Github!Q$1825</f>
        <v>31574</v>
      </c>
    </row>
    <row r="1203">
      <c r="A1203" s="10">
        <f>Github!J$361</f>
        <v>360</v>
      </c>
      <c r="B1203" s="11" t="str">
        <f>HYPERLINK(CONCAT("http://leetcode.com/problems/",Github!C$361), Github!B$361)</f>
        <v>Sort Transformed Array</v>
      </c>
      <c r="C1203" s="10">
        <f>Github!F$361</f>
        <v>534</v>
      </c>
      <c r="D1203" s="10">
        <f>Github!G$361</f>
        <v>155</v>
      </c>
      <c r="E1203" s="10">
        <f>Github!F$361+Github!G$361</f>
        <v>689</v>
      </c>
      <c r="F1203" s="12">
        <f t="shared" si="1"/>
        <v>3.45</v>
      </c>
      <c r="G1203" s="10" t="str">
        <f>Github!H$361</f>
        <v>Algorithms</v>
      </c>
      <c r="H1203" s="13" t="str">
        <f>SUBSTITUTE(Github!L$361, ";", ", ")</f>
        <v>Array, Math, Two Pointers, Sorting, </v>
      </c>
      <c r="I1203" s="10" t="str">
        <f>Github!E$361</f>
        <v>Medium</v>
      </c>
      <c r="J1203" s="10" t="str">
        <f>IF(TRIM(Github!D$361)="TRUE","FALSE","TRUE")</f>
        <v>FALSE</v>
      </c>
      <c r="K1203" s="10" t="b">
        <f>Github!M$361</f>
        <v>0</v>
      </c>
      <c r="L1203" s="10" t="b">
        <f>Github!N$361</f>
        <v>0</v>
      </c>
      <c r="M1203" s="10" t="str">
        <f>ROUND(Github!O$361, 2)&amp;"%"</f>
        <v>52.98%</v>
      </c>
      <c r="N1203" s="10">
        <f>Github!P$361</f>
        <v>51477</v>
      </c>
      <c r="O1203" s="10">
        <f>Github!Q$361</f>
        <v>97167</v>
      </c>
    </row>
    <row r="1204">
      <c r="A1204" s="10">
        <f>Github!J$1594</f>
        <v>1593</v>
      </c>
      <c r="B1204" s="11" t="str">
        <f>HYPERLINK(CONCAT("http://leetcode.com/problems/",Github!C$1594), Github!B$1594)</f>
        <v>Split a String Into the Max Number of Unique Substrings</v>
      </c>
      <c r="C1204" s="10">
        <f>Github!F$1594</f>
        <v>534</v>
      </c>
      <c r="D1204" s="10">
        <f>Github!G$1594</f>
        <v>23</v>
      </c>
      <c r="E1204" s="10">
        <f>Github!F$1594+Github!G$1594</f>
        <v>557</v>
      </c>
      <c r="F1204" s="12">
        <f t="shared" si="1"/>
        <v>23.22</v>
      </c>
      <c r="G1204" s="10" t="str">
        <f>Github!H$1594</f>
        <v>Algorithms</v>
      </c>
      <c r="H1204" s="13" t="str">
        <f>SUBSTITUTE(Github!L$1594, ";", ", ")</f>
        <v>Hash Table, String, Backtracking, </v>
      </c>
      <c r="I1204" s="10" t="str">
        <f>Github!E$1594</f>
        <v>Medium</v>
      </c>
      <c r="J1204" s="10" t="str">
        <f>IF(TRIM(Github!D$1594)="TRUE","FALSE","TRUE")</f>
        <v>TRUE</v>
      </c>
      <c r="K1204" s="10" t="b">
        <f>Github!M$1594</f>
        <v>0</v>
      </c>
      <c r="L1204" s="10" t="b">
        <f>Github!N$1594</f>
        <v>0</v>
      </c>
      <c r="M1204" s="10" t="str">
        <f>ROUND(Github!O$1594, 2)&amp;"%"</f>
        <v>54.02%</v>
      </c>
      <c r="N1204" s="10">
        <f>Github!P$1594</f>
        <v>19550</v>
      </c>
      <c r="O1204" s="10">
        <f>Github!Q$1594</f>
        <v>36189</v>
      </c>
    </row>
    <row r="1205">
      <c r="A1205" s="10">
        <f>Github!J$441</f>
        <v>440</v>
      </c>
      <c r="B1205" s="11" t="str">
        <f>HYPERLINK(CONCAT("http://leetcode.com/problems/",Github!C$441), Github!B$441)</f>
        <v>K-th Smallest in Lexicographical Order</v>
      </c>
      <c r="C1205" s="10">
        <f>Github!F$441</f>
        <v>533</v>
      </c>
      <c r="D1205" s="10">
        <f>Github!G$441</f>
        <v>72</v>
      </c>
      <c r="E1205" s="10">
        <f>Github!F$441+Github!G$441</f>
        <v>605</v>
      </c>
      <c r="F1205" s="12">
        <f t="shared" si="1"/>
        <v>7.4</v>
      </c>
      <c r="G1205" s="10" t="str">
        <f>Github!H$441</f>
        <v>Algorithms</v>
      </c>
      <c r="H1205" s="13" t="str">
        <f>SUBSTITUTE(Github!L$441, ";", ", ")</f>
        <v>Trie, </v>
      </c>
      <c r="I1205" s="10" t="str">
        <f>Github!E$441</f>
        <v>Hard</v>
      </c>
      <c r="J1205" s="10" t="str">
        <f>IF(TRIM(Github!D$441)="TRUE","FALSE","TRUE")</f>
        <v>TRUE</v>
      </c>
      <c r="K1205" s="10" t="b">
        <f>Github!M$441</f>
        <v>0</v>
      </c>
      <c r="L1205" s="10" t="b">
        <f>Github!N$441</f>
        <v>0</v>
      </c>
      <c r="M1205" s="10" t="str">
        <f>ROUND(Github!O$441, 2)&amp;"%"</f>
        <v>30.45%</v>
      </c>
      <c r="N1205" s="10">
        <f>Github!P$441</f>
        <v>17099</v>
      </c>
      <c r="O1205" s="10">
        <f>Github!Q$441</f>
        <v>56160</v>
      </c>
    </row>
    <row r="1206">
      <c r="A1206" s="10">
        <f>Github!J$950</f>
        <v>949</v>
      </c>
      <c r="B1206" s="11" t="str">
        <f>HYPERLINK(CONCAT("http://leetcode.com/problems/",Github!C$950), Github!B$950)</f>
        <v>Largest Time for Given Digits</v>
      </c>
      <c r="C1206" s="10">
        <f>Github!F$950</f>
        <v>533</v>
      </c>
      <c r="D1206" s="10">
        <f>Github!G$950</f>
        <v>892</v>
      </c>
      <c r="E1206" s="10">
        <f>Github!F$950+Github!G$950</f>
        <v>1425</v>
      </c>
      <c r="F1206" s="12">
        <f t="shared" si="1"/>
        <v>0.6</v>
      </c>
      <c r="G1206" s="10" t="str">
        <f>Github!H$950</f>
        <v>Algorithms</v>
      </c>
      <c r="H1206" s="13" t="str">
        <f>SUBSTITUTE(Github!L$950, ";", ", ")</f>
        <v>String, Enumeration, </v>
      </c>
      <c r="I1206" s="10" t="str">
        <f>Github!E$950</f>
        <v>Medium</v>
      </c>
      <c r="J1206" s="10" t="str">
        <f>IF(TRIM(Github!D$950)="TRUE","FALSE","TRUE")</f>
        <v>TRUE</v>
      </c>
      <c r="K1206" s="10" t="b">
        <f>Github!M$950</f>
        <v>1</v>
      </c>
      <c r="L1206" s="10" t="b">
        <f>Github!N$950</f>
        <v>0</v>
      </c>
      <c r="M1206" s="10" t="str">
        <f>ROUND(Github!O$950, 2)&amp;"%"</f>
        <v>35.5%</v>
      </c>
      <c r="N1206" s="10">
        <f>Github!P$950</f>
        <v>69565</v>
      </c>
      <c r="O1206" s="10">
        <f>Github!Q$950</f>
        <v>195962</v>
      </c>
    </row>
    <row r="1207">
      <c r="A1207" s="10">
        <f>Github!J$1723</f>
        <v>1722</v>
      </c>
      <c r="B1207" s="11" t="str">
        <f>HYPERLINK(CONCAT("http://leetcode.com/problems/",Github!C$1723), Github!B$1723)</f>
        <v>Minimize Hamming Distance After Swap Operations</v>
      </c>
      <c r="C1207" s="10">
        <f>Github!F$1723</f>
        <v>533</v>
      </c>
      <c r="D1207" s="10">
        <f>Github!G$1723</f>
        <v>16</v>
      </c>
      <c r="E1207" s="10">
        <f>Github!F$1723+Github!G$1723</f>
        <v>549</v>
      </c>
      <c r="F1207" s="12">
        <f t="shared" si="1"/>
        <v>33.31</v>
      </c>
      <c r="G1207" s="10" t="str">
        <f>Github!H$1723</f>
        <v>Algorithms</v>
      </c>
      <c r="H1207" s="13" t="str">
        <f>SUBSTITUTE(Github!L$1723, ";", ", ")</f>
        <v>Array, Depth-First Search, Union Find, </v>
      </c>
      <c r="I1207" s="10" t="str">
        <f>Github!E$1723</f>
        <v>Medium</v>
      </c>
      <c r="J1207" s="10" t="str">
        <f>IF(TRIM(Github!D$1723)="TRUE","FALSE","TRUE")</f>
        <v>TRUE</v>
      </c>
      <c r="K1207" s="10" t="b">
        <f>Github!M$1723</f>
        <v>0</v>
      </c>
      <c r="L1207" s="10" t="b">
        <f>Github!N$1723</f>
        <v>0</v>
      </c>
      <c r="M1207" s="10" t="str">
        <f>ROUND(Github!O$1723, 2)&amp;"%"</f>
        <v>47.34%</v>
      </c>
      <c r="N1207" s="10">
        <f>Github!P$1723</f>
        <v>11394</v>
      </c>
      <c r="O1207" s="10">
        <f>Github!Q$1723</f>
        <v>24070</v>
      </c>
    </row>
    <row r="1208">
      <c r="A1208" s="10">
        <f>Github!J$1883</f>
        <v>1882</v>
      </c>
      <c r="B1208" s="11" t="str">
        <f>HYPERLINK(CONCAT("http://leetcode.com/problems/",Github!C$1883), Github!B$1883)</f>
        <v>Process Tasks Using Servers</v>
      </c>
      <c r="C1208" s="10">
        <f>Github!F$1883</f>
        <v>533</v>
      </c>
      <c r="D1208" s="10">
        <f>Github!G$1883</f>
        <v>155</v>
      </c>
      <c r="E1208" s="10">
        <f>Github!F$1883+Github!G$1883</f>
        <v>688</v>
      </c>
      <c r="F1208" s="12">
        <f t="shared" si="1"/>
        <v>3.44</v>
      </c>
      <c r="G1208" s="10" t="str">
        <f>Github!H$1883</f>
        <v>Algorithms</v>
      </c>
      <c r="H1208" s="13" t="str">
        <f>SUBSTITUTE(Github!L$1883, ";", ", ")</f>
        <v>Array, Heap (Priority Queue), </v>
      </c>
      <c r="I1208" s="10" t="str">
        <f>Github!E$1883</f>
        <v>Medium</v>
      </c>
      <c r="J1208" s="10" t="str">
        <f>IF(TRIM(Github!D$1883)="TRUE","FALSE","TRUE")</f>
        <v>TRUE</v>
      </c>
      <c r="K1208" s="10" t="b">
        <f>Github!M$1883</f>
        <v>0</v>
      </c>
      <c r="L1208" s="10" t="b">
        <f>Github!N$1883</f>
        <v>0</v>
      </c>
      <c r="M1208" s="10" t="str">
        <f>ROUND(Github!O$1883, 2)&amp;"%"</f>
        <v>36.95%</v>
      </c>
      <c r="N1208" s="10">
        <f>Github!P$1883</f>
        <v>15690</v>
      </c>
      <c r="O1208" s="10">
        <f>Github!Q$1883</f>
        <v>42464</v>
      </c>
    </row>
    <row r="1209">
      <c r="A1209" s="10">
        <f>Github!J$1862</f>
        <v>1861</v>
      </c>
      <c r="B1209" s="11" t="str">
        <f>HYPERLINK(CONCAT("http://leetcode.com/problems/",Github!C$1862), Github!B$1862)</f>
        <v>Rotating the Box</v>
      </c>
      <c r="C1209" s="10">
        <f>Github!F$1862</f>
        <v>531</v>
      </c>
      <c r="D1209" s="10">
        <f>Github!G$1862</f>
        <v>29</v>
      </c>
      <c r="E1209" s="10">
        <f>Github!F$1862+Github!G$1862</f>
        <v>560</v>
      </c>
      <c r="F1209" s="12">
        <f t="shared" si="1"/>
        <v>18.31</v>
      </c>
      <c r="G1209" s="10" t="str">
        <f>Github!H$1862</f>
        <v>Algorithms</v>
      </c>
      <c r="H1209" s="13" t="str">
        <f>SUBSTITUTE(Github!L$1862, ";", ", ")</f>
        <v>Array, Two Pointers, Matrix, </v>
      </c>
      <c r="I1209" s="10" t="str">
        <f>Github!E$1862</f>
        <v>Medium</v>
      </c>
      <c r="J1209" s="10" t="str">
        <f>IF(TRIM(Github!D$1862)="TRUE","FALSE","TRUE")</f>
        <v>TRUE</v>
      </c>
      <c r="K1209" s="10" t="b">
        <f>Github!M$1862</f>
        <v>0</v>
      </c>
      <c r="L1209" s="10" t="b">
        <f>Github!N$1862</f>
        <v>0</v>
      </c>
      <c r="M1209" s="10" t="str">
        <f>ROUND(Github!O$1862, 2)&amp;"%"</f>
        <v>64.25%</v>
      </c>
      <c r="N1209" s="10">
        <f>Github!P$1862</f>
        <v>23825</v>
      </c>
      <c r="O1209" s="10">
        <f>Github!Q$1862</f>
        <v>37084</v>
      </c>
    </row>
    <row r="1210">
      <c r="A1210" s="10">
        <f>Github!J$508</f>
        <v>507</v>
      </c>
      <c r="B1210" s="11" t="str">
        <f>HYPERLINK(CONCAT("http://leetcode.com/problems/",Github!C$508), Github!B$508)</f>
        <v>Perfect Number</v>
      </c>
      <c r="C1210" s="10">
        <f>Github!F$508</f>
        <v>529</v>
      </c>
      <c r="D1210" s="10">
        <f>Github!G$508</f>
        <v>824</v>
      </c>
      <c r="E1210" s="10">
        <f>Github!F$508+Github!G$508</f>
        <v>1353</v>
      </c>
      <c r="F1210" s="12">
        <f t="shared" si="1"/>
        <v>0.64</v>
      </c>
      <c r="G1210" s="10" t="str">
        <f>Github!H$508</f>
        <v>Algorithms</v>
      </c>
      <c r="H1210" s="13" t="str">
        <f>SUBSTITUTE(Github!L$508, ";", ", ")</f>
        <v>Math, </v>
      </c>
      <c r="I1210" s="10" t="str">
        <f>Github!E$508</f>
        <v>Easy</v>
      </c>
      <c r="J1210" s="10" t="str">
        <f>IF(TRIM(Github!D$508)="TRUE","FALSE","TRUE")</f>
        <v>TRUE</v>
      </c>
      <c r="K1210" s="10" t="b">
        <f>Github!M$508</f>
        <v>1</v>
      </c>
      <c r="L1210" s="10" t="b">
        <f>Github!N$508</f>
        <v>0</v>
      </c>
      <c r="M1210" s="10" t="str">
        <f>ROUND(Github!O$508, 2)&amp;"%"</f>
        <v>37.53%</v>
      </c>
      <c r="N1210" s="10">
        <f>Github!P$508</f>
        <v>99028</v>
      </c>
      <c r="O1210" s="10">
        <f>Github!Q$508</f>
        <v>263863</v>
      </c>
    </row>
    <row r="1211">
      <c r="A1211" s="10">
        <f>Github!J$1392</f>
        <v>1391</v>
      </c>
      <c r="B1211" s="11" t="str">
        <f>HYPERLINK(CONCAT("http://leetcode.com/problems/",Github!C$1392), Github!B$1392)</f>
        <v>Check if There is a Valid Path in a Grid</v>
      </c>
      <c r="C1211" s="10">
        <f>Github!F$1392</f>
        <v>528</v>
      </c>
      <c r="D1211" s="10">
        <f>Github!G$1392</f>
        <v>237</v>
      </c>
      <c r="E1211" s="10">
        <f>Github!F$1392+Github!G$1392</f>
        <v>765</v>
      </c>
      <c r="F1211" s="12">
        <f t="shared" si="1"/>
        <v>2.23</v>
      </c>
      <c r="G1211" s="10" t="str">
        <f>Github!H$1392</f>
        <v>Algorithms</v>
      </c>
      <c r="H1211" s="13" t="str">
        <f>SUBSTITUTE(Github!L$1392, ";", ", ")</f>
        <v>Array, Depth-First Search, Breadth-First Search, Union Find, Matrix, </v>
      </c>
      <c r="I1211" s="10" t="str">
        <f>Github!E$1392</f>
        <v>Medium</v>
      </c>
      <c r="J1211" s="10" t="str">
        <f>IF(TRIM(Github!D$1392)="TRUE","FALSE","TRUE")</f>
        <v>TRUE</v>
      </c>
      <c r="K1211" s="10" t="b">
        <f>Github!M$1392</f>
        <v>0</v>
      </c>
      <c r="L1211" s="10" t="b">
        <f>Github!N$1392</f>
        <v>0</v>
      </c>
      <c r="M1211" s="10" t="str">
        <f>ROUND(Github!O$1392, 2)&amp;"%"</f>
        <v>46.48%</v>
      </c>
      <c r="N1211" s="10">
        <f>Github!P$1392</f>
        <v>20138</v>
      </c>
      <c r="O1211" s="10">
        <f>Github!Q$1392</f>
        <v>43323</v>
      </c>
    </row>
    <row r="1212">
      <c r="A1212" s="10">
        <f>Github!J$645</f>
        <v>644</v>
      </c>
      <c r="B1212" s="11" t="str">
        <f>HYPERLINK(CONCAT("http://leetcode.com/problems/",Github!C$645), Github!B$645)</f>
        <v>Maximum Average Subarray II</v>
      </c>
      <c r="C1212" s="10">
        <f>Github!F$645</f>
        <v>526</v>
      </c>
      <c r="D1212" s="10">
        <f>Github!G$645</f>
        <v>57</v>
      </c>
      <c r="E1212" s="10">
        <f>Github!F$645+Github!G$645</f>
        <v>583</v>
      </c>
      <c r="F1212" s="12">
        <f t="shared" si="1"/>
        <v>9.23</v>
      </c>
      <c r="G1212" s="10" t="str">
        <f>Github!H$645</f>
        <v>Algorithms</v>
      </c>
      <c r="H1212" s="13" t="str">
        <f>SUBSTITUTE(Github!L$645, ";", ", ")</f>
        <v>Array, Binary Search, </v>
      </c>
      <c r="I1212" s="10" t="str">
        <f>Github!E$645</f>
        <v>Hard</v>
      </c>
      <c r="J1212" s="10" t="str">
        <f>IF(TRIM(Github!D$645)="TRUE","FALSE","TRUE")</f>
        <v>FALSE</v>
      </c>
      <c r="K1212" s="10" t="b">
        <f>Github!M$645</f>
        <v>1</v>
      </c>
      <c r="L1212" s="10" t="b">
        <f>Github!N$645</f>
        <v>1</v>
      </c>
      <c r="M1212" s="10" t="str">
        <f>ROUND(Github!O$645, 2)&amp;"%"</f>
        <v>35.13%</v>
      </c>
      <c r="N1212" s="10">
        <f>Github!P$645</f>
        <v>17041</v>
      </c>
      <c r="O1212" s="10">
        <f>Github!Q$645</f>
        <v>48504</v>
      </c>
    </row>
    <row r="1213">
      <c r="A1213" s="10">
        <f>Github!J$1509</f>
        <v>1508</v>
      </c>
      <c r="B1213" s="11" t="str">
        <f>HYPERLINK(CONCAT("http://leetcode.com/problems/",Github!C$1509), Github!B$1509)</f>
        <v>Range Sum of Sorted Subarray Sums</v>
      </c>
      <c r="C1213" s="10">
        <f>Github!F$1509</f>
        <v>528</v>
      </c>
      <c r="D1213" s="10">
        <f>Github!G$1509</f>
        <v>99</v>
      </c>
      <c r="E1213" s="10">
        <f>Github!F$1509+Github!G$1509</f>
        <v>627</v>
      </c>
      <c r="F1213" s="12">
        <f t="shared" si="1"/>
        <v>5.33</v>
      </c>
      <c r="G1213" s="10" t="str">
        <f>Github!H$1509</f>
        <v>Algorithms</v>
      </c>
      <c r="H1213" s="13" t="str">
        <f>SUBSTITUTE(Github!L$1509, ";", ", ")</f>
        <v>Array, Two Pointers, Binary Search, Sorting, </v>
      </c>
      <c r="I1213" s="10" t="str">
        <f>Github!E$1509</f>
        <v>Medium</v>
      </c>
      <c r="J1213" s="10" t="str">
        <f>IF(TRIM(Github!D$1509)="TRUE","FALSE","TRUE")</f>
        <v>TRUE</v>
      </c>
      <c r="K1213" s="10" t="b">
        <f>Github!M$1509</f>
        <v>0</v>
      </c>
      <c r="L1213" s="10" t="b">
        <f>Github!N$1509</f>
        <v>0</v>
      </c>
      <c r="M1213" s="10" t="str">
        <f>ROUND(Github!O$1509, 2)&amp;"%"</f>
        <v>59.05%</v>
      </c>
      <c r="N1213" s="10">
        <f>Github!P$1509</f>
        <v>23544</v>
      </c>
      <c r="O1213" s="10">
        <f>Github!Q$1509</f>
        <v>39874</v>
      </c>
    </row>
    <row r="1214">
      <c r="A1214" s="10">
        <f>Github!J$1492</f>
        <v>1491</v>
      </c>
      <c r="B1214" s="11" t="str">
        <f>HYPERLINK(CONCAT("http://leetcode.com/problems/",Github!C$1492), Github!B$1492)</f>
        <v>Average Salary Excluding the Minimum and Maximum Salary</v>
      </c>
      <c r="C1214" s="10">
        <f>Github!F$1492</f>
        <v>527</v>
      </c>
      <c r="D1214" s="10">
        <f>Github!G$1492</f>
        <v>80</v>
      </c>
      <c r="E1214" s="10">
        <f>Github!F$1492+Github!G$1492</f>
        <v>607</v>
      </c>
      <c r="F1214" s="12">
        <f t="shared" si="1"/>
        <v>6.59</v>
      </c>
      <c r="G1214" s="10" t="str">
        <f>Github!H$1492</f>
        <v>Algorithms</v>
      </c>
      <c r="H1214" s="13" t="str">
        <f>SUBSTITUTE(Github!L$1492, ";", ", ")</f>
        <v>Array, Sorting, </v>
      </c>
      <c r="I1214" s="10" t="str">
        <f>Github!E$1492</f>
        <v>Easy</v>
      </c>
      <c r="J1214" s="10" t="str">
        <f>IF(TRIM(Github!D$1492)="TRUE","FALSE","TRUE")</f>
        <v>TRUE</v>
      </c>
      <c r="K1214" s="10" t="b">
        <f>Github!M$1492</f>
        <v>0</v>
      </c>
      <c r="L1214" s="10" t="b">
        <f>Github!N$1492</f>
        <v>0</v>
      </c>
      <c r="M1214" s="10" t="str">
        <f>ROUND(Github!O$1492, 2)&amp;"%"</f>
        <v>66.41%</v>
      </c>
      <c r="N1214" s="10">
        <f>Github!P$1492</f>
        <v>72311</v>
      </c>
      <c r="O1214" s="10">
        <f>Github!Q$1492</f>
        <v>108893</v>
      </c>
    </row>
    <row r="1215">
      <c r="A1215" s="10">
        <f>Github!J$518</f>
        <v>517</v>
      </c>
      <c r="B1215" s="11" t="str">
        <f>HYPERLINK(CONCAT("http://leetcode.com/problems/",Github!C$518), Github!B$518)</f>
        <v>Super Washing Machines</v>
      </c>
      <c r="C1215" s="10">
        <f>Github!F$518</f>
        <v>524</v>
      </c>
      <c r="D1215" s="10">
        <f>Github!G$518</f>
        <v>176</v>
      </c>
      <c r="E1215" s="10">
        <f>Github!F$518+Github!G$518</f>
        <v>700</v>
      </c>
      <c r="F1215" s="12">
        <f t="shared" si="1"/>
        <v>2.98</v>
      </c>
      <c r="G1215" s="10" t="str">
        <f>Github!H$518</f>
        <v>Algorithms</v>
      </c>
      <c r="H1215" s="13" t="str">
        <f>SUBSTITUTE(Github!L$518, ";", ", ")</f>
        <v>Array, Greedy, </v>
      </c>
      <c r="I1215" s="10" t="str">
        <f>Github!E$518</f>
        <v>Hard</v>
      </c>
      <c r="J1215" s="10" t="str">
        <f>IF(TRIM(Github!D$518)="TRUE","FALSE","TRUE")</f>
        <v>TRUE</v>
      </c>
      <c r="K1215" s="10" t="b">
        <f>Github!M$518</f>
        <v>0</v>
      </c>
      <c r="L1215" s="10" t="b">
        <f>Github!N$518</f>
        <v>0</v>
      </c>
      <c r="M1215" s="10" t="str">
        <f>ROUND(Github!O$518, 2)&amp;"%"</f>
        <v>39.28%</v>
      </c>
      <c r="N1215" s="10">
        <f>Github!P$518</f>
        <v>21463</v>
      </c>
      <c r="O1215" s="10">
        <f>Github!Q$518</f>
        <v>54635</v>
      </c>
    </row>
    <row r="1216">
      <c r="A1216" s="10">
        <f>Github!J$826</f>
        <v>825</v>
      </c>
      <c r="B1216" s="11" t="str">
        <f>HYPERLINK(CONCAT("http://leetcode.com/problems/",Github!C$826), Github!B$826)</f>
        <v>Friends Of Appropriate Ages</v>
      </c>
      <c r="C1216" s="10">
        <f>Github!F$826</f>
        <v>525</v>
      </c>
      <c r="D1216" s="10">
        <f>Github!G$826</f>
        <v>1010</v>
      </c>
      <c r="E1216" s="10">
        <f>Github!F$826+Github!G$826</f>
        <v>1535</v>
      </c>
      <c r="F1216" s="12">
        <f t="shared" si="1"/>
        <v>0.52</v>
      </c>
      <c r="G1216" s="10" t="str">
        <f>Github!H$826</f>
        <v>Algorithms</v>
      </c>
      <c r="H1216" s="13" t="str">
        <f>SUBSTITUTE(Github!L$826, ";", ", ")</f>
        <v>Array, Two Pointers, Binary Search, Sorting, </v>
      </c>
      <c r="I1216" s="10" t="str">
        <f>Github!E$826</f>
        <v>Medium</v>
      </c>
      <c r="J1216" s="10" t="str">
        <f>IF(TRIM(Github!D$826)="TRUE","FALSE","TRUE")</f>
        <v>TRUE</v>
      </c>
      <c r="K1216" s="10" t="b">
        <f>Github!M$826</f>
        <v>0</v>
      </c>
      <c r="L1216" s="10" t="b">
        <f>Github!N$826</f>
        <v>0</v>
      </c>
      <c r="M1216" s="10" t="str">
        <f>ROUND(Github!O$826, 2)&amp;"%"</f>
        <v>45.71%</v>
      </c>
      <c r="N1216" s="10">
        <f>Github!P$826</f>
        <v>61220</v>
      </c>
      <c r="O1216" s="10">
        <f>Github!Q$826</f>
        <v>133920</v>
      </c>
    </row>
    <row r="1217">
      <c r="A1217" s="10">
        <f>Github!J$1024</f>
        <v>1023</v>
      </c>
      <c r="B1217" s="11" t="str">
        <f>HYPERLINK(CONCAT("http://leetcode.com/problems/",Github!C$1024), Github!B$1024)</f>
        <v>Camelcase Matching</v>
      </c>
      <c r="C1217" s="10">
        <f>Github!F$1024</f>
        <v>522</v>
      </c>
      <c r="D1217" s="10">
        <f>Github!G$1024</f>
        <v>217</v>
      </c>
      <c r="E1217" s="10">
        <f>Github!F$1024+Github!G$1024</f>
        <v>739</v>
      </c>
      <c r="F1217" s="12">
        <f t="shared" si="1"/>
        <v>2.41</v>
      </c>
      <c r="G1217" s="10" t="str">
        <f>Github!H$1024</f>
        <v>Algorithms</v>
      </c>
      <c r="H1217" s="13" t="str">
        <f>SUBSTITUTE(Github!L$1024, ";", ", ")</f>
        <v>Two Pointers, String, Trie, String Matching, </v>
      </c>
      <c r="I1217" s="10" t="str">
        <f>Github!E$1024</f>
        <v>Medium</v>
      </c>
      <c r="J1217" s="10" t="str">
        <f>IF(TRIM(Github!D$1024)="TRUE","FALSE","TRUE")</f>
        <v>TRUE</v>
      </c>
      <c r="K1217" s="10" t="b">
        <f>Github!M$1024</f>
        <v>0</v>
      </c>
      <c r="L1217" s="10" t="b">
        <f>Github!N$1024</f>
        <v>0</v>
      </c>
      <c r="M1217" s="10" t="str">
        <f>ROUND(Github!O$1024, 2)&amp;"%"</f>
        <v>58.93%</v>
      </c>
      <c r="N1217" s="10">
        <f>Github!P$1024</f>
        <v>30293</v>
      </c>
      <c r="O1217" s="10">
        <f>Github!Q$1024</f>
        <v>51403</v>
      </c>
    </row>
    <row r="1218">
      <c r="A1218" s="10">
        <f>Github!J$2007</f>
        <v>2006</v>
      </c>
      <c r="B1218" s="11" t="str">
        <f>HYPERLINK(CONCAT("http://leetcode.com/problems/",Github!C$2007), Github!B$2007)</f>
        <v>Count Number of Pairs With Absolute Difference K</v>
      </c>
      <c r="C1218" s="10">
        <f>Github!F$2007</f>
        <v>523</v>
      </c>
      <c r="D1218" s="10">
        <f>Github!G$2007</f>
        <v>13</v>
      </c>
      <c r="E1218" s="10">
        <f>Github!F$2007+Github!G$2007</f>
        <v>536</v>
      </c>
      <c r="F1218" s="12">
        <f t="shared" si="1"/>
        <v>40.23</v>
      </c>
      <c r="G1218" s="10" t="str">
        <f>Github!H$2007</f>
        <v>Algorithms</v>
      </c>
      <c r="H1218" s="13" t="str">
        <f>SUBSTITUTE(Github!L$2007, ";", ", ")</f>
        <v>Array, Hash Table, Counting, </v>
      </c>
      <c r="I1218" s="10" t="str">
        <f>Github!E$2007</f>
        <v>Easy</v>
      </c>
      <c r="J1218" s="10" t="str">
        <f>IF(TRIM(Github!D$2007)="TRUE","FALSE","TRUE")</f>
        <v>TRUE</v>
      </c>
      <c r="K1218" s="10" t="b">
        <f>Github!M$2007</f>
        <v>0</v>
      </c>
      <c r="L1218" s="10" t="b">
        <f>Github!N$2007</f>
        <v>0</v>
      </c>
      <c r="M1218" s="10" t="str">
        <f>ROUND(Github!O$2007, 2)&amp;"%"</f>
        <v>83.14%</v>
      </c>
      <c r="N1218" s="10">
        <f>Github!P$2007</f>
        <v>40587</v>
      </c>
      <c r="O1218" s="10">
        <f>Github!Q$2007</f>
        <v>48818</v>
      </c>
    </row>
    <row r="1219">
      <c r="A1219" s="10">
        <f>Github!J$1764</f>
        <v>1763</v>
      </c>
      <c r="B1219" s="11" t="str">
        <f>HYPERLINK(CONCAT("http://leetcode.com/problems/",Github!C$1764), Github!B$1764)</f>
        <v>Longest Nice Substring</v>
      </c>
      <c r="C1219" s="10">
        <f>Github!F$1764</f>
        <v>522</v>
      </c>
      <c r="D1219" s="10">
        <f>Github!G$1764</f>
        <v>394</v>
      </c>
      <c r="E1219" s="10">
        <f>Github!F$1764+Github!G$1764</f>
        <v>916</v>
      </c>
      <c r="F1219" s="12">
        <f t="shared" si="1"/>
        <v>1.32</v>
      </c>
      <c r="G1219" s="10" t="str">
        <f>Github!H$1764</f>
        <v>Algorithms</v>
      </c>
      <c r="H1219" s="13" t="str">
        <f>SUBSTITUTE(Github!L$1764, ";", ", ")</f>
        <v>Hash Table, String, Bit Manipulation, Sliding Window, </v>
      </c>
      <c r="I1219" s="10" t="str">
        <f>Github!E$1764</f>
        <v>Easy</v>
      </c>
      <c r="J1219" s="10" t="str">
        <f>IF(TRIM(Github!D$1764)="TRUE","FALSE","TRUE")</f>
        <v>TRUE</v>
      </c>
      <c r="K1219" s="10" t="b">
        <f>Github!M$1764</f>
        <v>0</v>
      </c>
      <c r="L1219" s="10" t="b">
        <f>Github!N$1764</f>
        <v>0</v>
      </c>
      <c r="M1219" s="10" t="str">
        <f>ROUND(Github!O$1764, 2)&amp;"%"</f>
        <v>62.02%</v>
      </c>
      <c r="N1219" s="10">
        <f>Github!P$1764</f>
        <v>20931</v>
      </c>
      <c r="O1219" s="10">
        <f>Github!Q$1764</f>
        <v>33750</v>
      </c>
    </row>
    <row r="1220">
      <c r="A1220" s="10">
        <f>Github!J$762</f>
        <v>761</v>
      </c>
      <c r="B1220" s="11" t="str">
        <f>HYPERLINK(CONCAT("http://leetcode.com/problems/",Github!C$762), Github!B$762)</f>
        <v>Special Binary String</v>
      </c>
      <c r="C1220" s="10">
        <f>Github!F$762</f>
        <v>519</v>
      </c>
      <c r="D1220" s="10">
        <f>Github!G$762</f>
        <v>167</v>
      </c>
      <c r="E1220" s="10">
        <f>Github!F$762+Github!G$762</f>
        <v>686</v>
      </c>
      <c r="F1220" s="12">
        <f t="shared" si="1"/>
        <v>3.11</v>
      </c>
      <c r="G1220" s="10" t="str">
        <f>Github!H$762</f>
        <v>Algorithms</v>
      </c>
      <c r="H1220" s="13" t="str">
        <f>SUBSTITUTE(Github!L$762, ";", ", ")</f>
        <v>String, Recursion, </v>
      </c>
      <c r="I1220" s="10" t="str">
        <f>Github!E$762</f>
        <v>Hard</v>
      </c>
      <c r="J1220" s="10" t="str">
        <f>IF(TRIM(Github!D$762)="TRUE","FALSE","TRUE")</f>
        <v>TRUE</v>
      </c>
      <c r="K1220" s="10" t="b">
        <f>Github!M$762</f>
        <v>1</v>
      </c>
      <c r="L1220" s="10" t="b">
        <f>Github!N$762</f>
        <v>0</v>
      </c>
      <c r="M1220" s="10" t="str">
        <f>ROUND(Github!O$762, 2)&amp;"%"</f>
        <v>59.78%</v>
      </c>
      <c r="N1220" s="10">
        <f>Github!P$762</f>
        <v>13101</v>
      </c>
      <c r="O1220" s="10">
        <f>Github!Q$762</f>
        <v>21914</v>
      </c>
    </row>
    <row r="1221">
      <c r="A1221" s="10">
        <f>Github!J$937</f>
        <v>936</v>
      </c>
      <c r="B1221" s="11" t="str">
        <f>HYPERLINK(CONCAT("http://leetcode.com/problems/",Github!C$937), Github!B$937)</f>
        <v>Stamping The Sequence</v>
      </c>
      <c r="C1221" s="10">
        <f>Github!F$937</f>
        <v>519</v>
      </c>
      <c r="D1221" s="10">
        <f>Github!G$937</f>
        <v>123</v>
      </c>
      <c r="E1221" s="10">
        <f>Github!F$937+Github!G$937</f>
        <v>642</v>
      </c>
      <c r="F1221" s="12">
        <f t="shared" si="1"/>
        <v>4.22</v>
      </c>
      <c r="G1221" s="10" t="str">
        <f>Github!H$937</f>
        <v>Algorithms</v>
      </c>
      <c r="H1221" s="13" t="str">
        <f>SUBSTITUTE(Github!L$937, ";", ", ")</f>
        <v>String, Stack, Greedy, Queue, </v>
      </c>
      <c r="I1221" s="10" t="str">
        <f>Github!E$937</f>
        <v>Hard</v>
      </c>
      <c r="J1221" s="10" t="str">
        <f>IF(TRIM(Github!D$937)="TRUE","FALSE","TRUE")</f>
        <v>TRUE</v>
      </c>
      <c r="K1221" s="10" t="b">
        <f>Github!M$937</f>
        <v>1</v>
      </c>
      <c r="L1221" s="10" t="b">
        <f>Github!N$937</f>
        <v>0</v>
      </c>
      <c r="M1221" s="10" t="str">
        <f>ROUND(Github!O$937, 2)&amp;"%"</f>
        <v>53.5%</v>
      </c>
      <c r="N1221" s="10">
        <f>Github!P$937</f>
        <v>23734</v>
      </c>
      <c r="O1221" s="10">
        <f>Github!Q$937</f>
        <v>44366</v>
      </c>
    </row>
    <row r="1222">
      <c r="A1222" s="10">
        <f>Github!J$1178</f>
        <v>1177</v>
      </c>
      <c r="B1222" s="11" t="str">
        <f>HYPERLINK(CONCAT("http://leetcode.com/problems/",Github!C$1178), Github!B$1178)</f>
        <v>Can Make Palindrome from Substring</v>
      </c>
      <c r="C1222" s="10">
        <f>Github!F$1178</f>
        <v>518</v>
      </c>
      <c r="D1222" s="10">
        <f>Github!G$1178</f>
        <v>222</v>
      </c>
      <c r="E1222" s="10">
        <f>Github!F$1178+Github!G$1178</f>
        <v>740</v>
      </c>
      <c r="F1222" s="12">
        <f t="shared" si="1"/>
        <v>2.33</v>
      </c>
      <c r="G1222" s="10" t="str">
        <f>Github!H$1178</f>
        <v>Algorithms</v>
      </c>
      <c r="H1222" s="13" t="str">
        <f>SUBSTITUTE(Github!L$1178, ";", ", ")</f>
        <v>Hash Table, String, Bit Manipulation, Prefix Sum, </v>
      </c>
      <c r="I1222" s="10" t="str">
        <f>Github!E$1178</f>
        <v>Medium</v>
      </c>
      <c r="J1222" s="10" t="str">
        <f>IF(TRIM(Github!D$1178)="TRUE","FALSE","TRUE")</f>
        <v>TRUE</v>
      </c>
      <c r="K1222" s="10" t="b">
        <f>Github!M$1178</f>
        <v>0</v>
      </c>
      <c r="L1222" s="10" t="b">
        <f>Github!N$1178</f>
        <v>0</v>
      </c>
      <c r="M1222" s="10" t="str">
        <f>ROUND(Github!O$1178, 2)&amp;"%"</f>
        <v>37.24%</v>
      </c>
      <c r="N1222" s="10">
        <f>Github!P$1178</f>
        <v>19591</v>
      </c>
      <c r="O1222" s="10">
        <f>Github!Q$1178</f>
        <v>52608</v>
      </c>
    </row>
    <row r="1223">
      <c r="A1223" s="10">
        <f>Github!J$295</f>
        <v>294</v>
      </c>
      <c r="B1223" s="11" t="str">
        <f>HYPERLINK(CONCAT("http://leetcode.com/problems/",Github!C$295), Github!B$295)</f>
        <v>Flip Game II</v>
      </c>
      <c r="C1223" s="10">
        <f>Github!F$295</f>
        <v>516</v>
      </c>
      <c r="D1223" s="10">
        <f>Github!G$295</f>
        <v>49</v>
      </c>
      <c r="E1223" s="10">
        <f>Github!F$295+Github!G$295</f>
        <v>565</v>
      </c>
      <c r="F1223" s="12">
        <f t="shared" si="1"/>
        <v>10.53</v>
      </c>
      <c r="G1223" s="10" t="str">
        <f>Github!H$295</f>
        <v>Algorithms</v>
      </c>
      <c r="H1223" s="13" t="str">
        <f>SUBSTITUTE(Github!L$295, ";", ", ")</f>
        <v>Math, Dynamic Programming, Backtracking, Memoization, Game Theory, </v>
      </c>
      <c r="I1223" s="10" t="str">
        <f>Github!E$295</f>
        <v>Medium</v>
      </c>
      <c r="J1223" s="10" t="str">
        <f>IF(TRIM(Github!D$295)="TRUE","FALSE","TRUE")</f>
        <v>FALSE</v>
      </c>
      <c r="K1223" s="10" t="b">
        <f>Github!M$295</f>
        <v>0</v>
      </c>
      <c r="L1223" s="10" t="b">
        <f>Github!N$295</f>
        <v>0</v>
      </c>
      <c r="M1223" s="10" t="str">
        <f>ROUND(Github!O$295, 2)&amp;"%"</f>
        <v>51.41%</v>
      </c>
      <c r="N1223" s="10">
        <f>Github!P$295</f>
        <v>62800</v>
      </c>
      <c r="O1223" s="10">
        <f>Github!Q$295</f>
        <v>122161</v>
      </c>
    </row>
    <row r="1224">
      <c r="A1224" s="10">
        <f>Github!J$1911</f>
        <v>1910</v>
      </c>
      <c r="B1224" s="11" t="str">
        <f>HYPERLINK(CONCAT("http://leetcode.com/problems/",Github!C$1911), Github!B$1911)</f>
        <v>Remove All Occurrences of a Substring</v>
      </c>
      <c r="C1224" s="10">
        <f>Github!F$1911</f>
        <v>515</v>
      </c>
      <c r="D1224" s="10">
        <f>Github!G$1911</f>
        <v>30</v>
      </c>
      <c r="E1224" s="10">
        <f>Github!F$1911+Github!G$1911</f>
        <v>545</v>
      </c>
      <c r="F1224" s="12">
        <f t="shared" si="1"/>
        <v>17.17</v>
      </c>
      <c r="G1224" s="10" t="str">
        <f>Github!H$1911</f>
        <v>Algorithms</v>
      </c>
      <c r="H1224" s="13" t="str">
        <f>SUBSTITUTE(Github!L$1911, ";", ", ")</f>
        <v>String, </v>
      </c>
      <c r="I1224" s="10" t="str">
        <f>Github!E$1911</f>
        <v>Medium</v>
      </c>
      <c r="J1224" s="10" t="str">
        <f>IF(TRIM(Github!D$1911)="TRUE","FALSE","TRUE")</f>
        <v>TRUE</v>
      </c>
      <c r="K1224" s="10" t="b">
        <f>Github!M$1911</f>
        <v>0</v>
      </c>
      <c r="L1224" s="10" t="b">
        <f>Github!N$1911</f>
        <v>0</v>
      </c>
      <c r="M1224" s="10" t="str">
        <f>ROUND(Github!O$1911, 2)&amp;"%"</f>
        <v>71.85%</v>
      </c>
      <c r="N1224" s="10">
        <f>Github!P$1911</f>
        <v>23955</v>
      </c>
      <c r="O1224" s="10">
        <f>Github!Q$1911</f>
        <v>33339</v>
      </c>
    </row>
    <row r="1225">
      <c r="A1225" s="10">
        <f>Github!J$2008</f>
        <v>2007</v>
      </c>
      <c r="B1225" s="11" t="str">
        <f>HYPERLINK(CONCAT("http://leetcode.com/problems/",Github!C$2008), Github!B$2008)</f>
        <v>Find Original Array From Doubled Array</v>
      </c>
      <c r="C1225" s="10">
        <f>Github!F$2008</f>
        <v>517</v>
      </c>
      <c r="D1225" s="10">
        <f>Github!G$2008</f>
        <v>40</v>
      </c>
      <c r="E1225" s="10">
        <f>Github!F$2008+Github!G$2008</f>
        <v>557</v>
      </c>
      <c r="F1225" s="12">
        <f t="shared" si="1"/>
        <v>12.93</v>
      </c>
      <c r="G1225" s="10" t="str">
        <f>Github!H$2008</f>
        <v>Algorithms</v>
      </c>
      <c r="H1225" s="13" t="str">
        <f>SUBSTITUTE(Github!L$2008, ";", ", ")</f>
        <v>Array, Hash Table, Greedy, Sorting, </v>
      </c>
      <c r="I1225" s="10" t="str">
        <f>Github!E$2008</f>
        <v>Medium</v>
      </c>
      <c r="J1225" s="10" t="str">
        <f>IF(TRIM(Github!D$2008)="TRUE","FALSE","TRUE")</f>
        <v>TRUE</v>
      </c>
      <c r="K1225" s="10" t="b">
        <f>Github!M$2008</f>
        <v>0</v>
      </c>
      <c r="L1225" s="10" t="b">
        <f>Github!N$2008</f>
        <v>0</v>
      </c>
      <c r="M1225" s="10" t="str">
        <f>ROUND(Github!O$2008, 2)&amp;"%"</f>
        <v>37.43%</v>
      </c>
      <c r="N1225" s="10">
        <f>Github!P$2008</f>
        <v>35159</v>
      </c>
      <c r="O1225" s="10">
        <f>Github!Q$2008</f>
        <v>93923</v>
      </c>
    </row>
    <row r="1226">
      <c r="A1226" s="10">
        <f>Github!J$171</f>
        <v>170</v>
      </c>
      <c r="B1226" s="11" t="str">
        <f>HYPERLINK(CONCAT("http://leetcode.com/problems/",Github!C$171), Github!B$171)</f>
        <v>Two Sum III - Data structure design</v>
      </c>
      <c r="C1226" s="10">
        <f>Github!F$171</f>
        <v>514</v>
      </c>
      <c r="D1226" s="10">
        <f>Github!G$171</f>
        <v>361</v>
      </c>
      <c r="E1226" s="10">
        <f>Github!F$171+Github!G$171</f>
        <v>875</v>
      </c>
      <c r="F1226" s="12">
        <f t="shared" si="1"/>
        <v>1.42</v>
      </c>
      <c r="G1226" s="10" t="str">
        <f>Github!H$171</f>
        <v>Algorithms</v>
      </c>
      <c r="H1226" s="13" t="str">
        <f>SUBSTITUTE(Github!L$171, ";", ", ")</f>
        <v>Array, Hash Table, Two Pointers, Design, Data Stream, </v>
      </c>
      <c r="I1226" s="10" t="str">
        <f>Github!E$171</f>
        <v>Easy</v>
      </c>
      <c r="J1226" s="10" t="str">
        <f>IF(TRIM(Github!D$171)="TRUE","FALSE","TRUE")</f>
        <v>FALSE</v>
      </c>
      <c r="K1226" s="10" t="b">
        <f>Github!M$171</f>
        <v>1</v>
      </c>
      <c r="L1226" s="10" t="b">
        <f>Github!N$171</f>
        <v>0</v>
      </c>
      <c r="M1226" s="10" t="str">
        <f>ROUND(Github!O$171, 2)&amp;"%"</f>
        <v>36.56%</v>
      </c>
      <c r="N1226" s="10">
        <f>Github!P$171</f>
        <v>120786</v>
      </c>
      <c r="O1226" s="10">
        <f>Github!Q$171</f>
        <v>330411</v>
      </c>
    </row>
    <row r="1227">
      <c r="A1227" s="10">
        <f>Github!J$1828</f>
        <v>1827</v>
      </c>
      <c r="B1227" s="11" t="str">
        <f>HYPERLINK(CONCAT("http://leetcode.com/problems/",Github!C$1828), Github!B$1828)</f>
        <v>Minimum Operations to Make the Array Increasing</v>
      </c>
      <c r="C1227" s="10">
        <f>Github!F$1828</f>
        <v>516</v>
      </c>
      <c r="D1227" s="10">
        <f>Github!G$1828</f>
        <v>27</v>
      </c>
      <c r="E1227" s="10">
        <f>Github!F$1828+Github!G$1828</f>
        <v>543</v>
      </c>
      <c r="F1227" s="12">
        <f t="shared" si="1"/>
        <v>19.11</v>
      </c>
      <c r="G1227" s="10" t="str">
        <f>Github!H$1828</f>
        <v>Algorithms</v>
      </c>
      <c r="H1227" s="13" t="str">
        <f>SUBSTITUTE(Github!L$1828, ";", ", ")</f>
        <v>Array, Greedy, </v>
      </c>
      <c r="I1227" s="10" t="str">
        <f>Github!E$1828</f>
        <v>Easy</v>
      </c>
      <c r="J1227" s="10" t="str">
        <f>IF(TRIM(Github!D$1828)="TRUE","FALSE","TRUE")</f>
        <v>TRUE</v>
      </c>
      <c r="K1227" s="10" t="b">
        <f>Github!M$1828</f>
        <v>0</v>
      </c>
      <c r="L1227" s="10" t="b">
        <f>Github!N$1828</f>
        <v>0</v>
      </c>
      <c r="M1227" s="10" t="str">
        <f>ROUND(Github!O$1828, 2)&amp;"%"</f>
        <v>78.22%</v>
      </c>
      <c r="N1227" s="10">
        <f>Github!P$1828</f>
        <v>38697</v>
      </c>
      <c r="O1227" s="10">
        <f>Github!Q$1828</f>
        <v>49475</v>
      </c>
    </row>
    <row r="1228">
      <c r="A1228" s="10">
        <f>Github!J$1877</f>
        <v>1876</v>
      </c>
      <c r="B1228" s="11" t="str">
        <f>HYPERLINK(CONCAT("http://leetcode.com/problems/",Github!C$1877), Github!B$1877)</f>
        <v>Substrings of Size Three with Distinct Characters</v>
      </c>
      <c r="C1228" s="10">
        <f>Github!F$1877</f>
        <v>514</v>
      </c>
      <c r="D1228" s="10">
        <f>Github!G$1877</f>
        <v>17</v>
      </c>
      <c r="E1228" s="10">
        <f>Github!F$1877+Github!G$1877</f>
        <v>531</v>
      </c>
      <c r="F1228" s="12">
        <f t="shared" si="1"/>
        <v>30.24</v>
      </c>
      <c r="G1228" s="10" t="str">
        <f>Github!H$1877</f>
        <v>Algorithms</v>
      </c>
      <c r="H1228" s="13" t="str">
        <f>SUBSTITUTE(Github!L$1877, ";", ", ")</f>
        <v>Hash Table, String, Sliding Window, Counting, </v>
      </c>
      <c r="I1228" s="10" t="str">
        <f>Github!E$1877</f>
        <v>Easy</v>
      </c>
      <c r="J1228" s="10" t="str">
        <f>IF(TRIM(Github!D$1877)="TRUE","FALSE","TRUE")</f>
        <v>TRUE</v>
      </c>
      <c r="K1228" s="10" t="b">
        <f>Github!M$1877</f>
        <v>0</v>
      </c>
      <c r="L1228" s="10" t="b">
        <f>Github!N$1877</f>
        <v>0</v>
      </c>
      <c r="M1228" s="10" t="str">
        <f>ROUND(Github!O$1877, 2)&amp;"%"</f>
        <v>69.5%</v>
      </c>
      <c r="N1228" s="10">
        <f>Github!P$1877</f>
        <v>36791</v>
      </c>
      <c r="O1228" s="10">
        <f>Github!Q$1877</f>
        <v>52937</v>
      </c>
    </row>
    <row r="1229">
      <c r="A1229" s="10">
        <f>Github!J$1389</f>
        <v>1388</v>
      </c>
      <c r="B1229" s="11" t="str">
        <f>HYPERLINK(CONCAT("http://leetcode.com/problems/",Github!C$1389), Github!B$1389)</f>
        <v>Pizza With 3n Slices</v>
      </c>
      <c r="C1229" s="10">
        <f>Github!F$1389</f>
        <v>511</v>
      </c>
      <c r="D1229" s="10">
        <f>Github!G$1389</f>
        <v>9</v>
      </c>
      <c r="E1229" s="10">
        <f>Github!F$1389+Github!G$1389</f>
        <v>520</v>
      </c>
      <c r="F1229" s="12">
        <f t="shared" si="1"/>
        <v>56.78</v>
      </c>
      <c r="G1229" s="10" t="str">
        <f>Github!H$1389</f>
        <v>Algorithms</v>
      </c>
      <c r="H1229" s="13" t="str">
        <f>SUBSTITUTE(Github!L$1389, ";", ", ")</f>
        <v>Array, Dynamic Programming, Greedy, Heap (Priority Queue), </v>
      </c>
      <c r="I1229" s="10" t="str">
        <f>Github!E$1389</f>
        <v>Hard</v>
      </c>
      <c r="J1229" s="10" t="str">
        <f>IF(TRIM(Github!D$1389)="TRUE","FALSE","TRUE")</f>
        <v>TRUE</v>
      </c>
      <c r="K1229" s="10" t="b">
        <f>Github!M$1389</f>
        <v>0</v>
      </c>
      <c r="L1229" s="10" t="b">
        <f>Github!N$1389</f>
        <v>0</v>
      </c>
      <c r="M1229" s="10" t="str">
        <f>ROUND(Github!O$1389, 2)&amp;"%"</f>
        <v>48.39%</v>
      </c>
      <c r="N1229" s="10">
        <f>Github!P$1389</f>
        <v>7726</v>
      </c>
      <c r="O1229" s="10">
        <f>Github!Q$1389</f>
        <v>15965</v>
      </c>
    </row>
    <row r="1230">
      <c r="A1230" s="10">
        <f>Github!J$1270</f>
        <v>1269</v>
      </c>
      <c r="B1230" s="11" t="str">
        <f>HYPERLINK(CONCAT("http://leetcode.com/problems/",Github!C$1270), Github!B$1270)</f>
        <v>Number of Ways to Stay in the Same Place After Some Steps</v>
      </c>
      <c r="C1230" s="10">
        <f>Github!F$1270</f>
        <v>509</v>
      </c>
      <c r="D1230" s="10">
        <f>Github!G$1270</f>
        <v>29</v>
      </c>
      <c r="E1230" s="10">
        <f>Github!F$1270+Github!G$1270</f>
        <v>538</v>
      </c>
      <c r="F1230" s="12">
        <f t="shared" si="1"/>
        <v>17.55</v>
      </c>
      <c r="G1230" s="10" t="str">
        <f>Github!H$1270</f>
        <v>Algorithms</v>
      </c>
      <c r="H1230" s="13" t="str">
        <f>SUBSTITUTE(Github!L$1270, ";", ", ")</f>
        <v>Dynamic Programming, </v>
      </c>
      <c r="I1230" s="10" t="str">
        <f>Github!E$1270</f>
        <v>Hard</v>
      </c>
      <c r="J1230" s="10" t="str">
        <f>IF(TRIM(Github!D$1270)="TRUE","FALSE","TRUE")</f>
        <v>TRUE</v>
      </c>
      <c r="K1230" s="10" t="b">
        <f>Github!M$1270</f>
        <v>0</v>
      </c>
      <c r="L1230" s="10" t="b">
        <f>Github!N$1270</f>
        <v>0</v>
      </c>
      <c r="M1230" s="10" t="str">
        <f>ROUND(Github!O$1270, 2)&amp;"%"</f>
        <v>43.37%</v>
      </c>
      <c r="N1230" s="10">
        <f>Github!P$1270</f>
        <v>26666</v>
      </c>
      <c r="O1230" s="10">
        <f>Github!Q$1270</f>
        <v>61485</v>
      </c>
    </row>
    <row r="1231">
      <c r="A1231" s="10">
        <f>Github!J$901</f>
        <v>900</v>
      </c>
      <c r="B1231" s="11" t="str">
        <f>HYPERLINK(CONCAT("http://leetcode.com/problems/",Github!C$901), Github!B$901)</f>
        <v>RLE Iterator</v>
      </c>
      <c r="C1231" s="10">
        <f>Github!F$901</f>
        <v>508</v>
      </c>
      <c r="D1231" s="10">
        <f>Github!G$901</f>
        <v>141</v>
      </c>
      <c r="E1231" s="10">
        <f>Github!F$901+Github!G$901</f>
        <v>649</v>
      </c>
      <c r="F1231" s="12">
        <f t="shared" si="1"/>
        <v>3.6</v>
      </c>
      <c r="G1231" s="10" t="str">
        <f>Github!H$901</f>
        <v>Algorithms</v>
      </c>
      <c r="H1231" s="13" t="str">
        <f>SUBSTITUTE(Github!L$901, ";", ", ")</f>
        <v>Array, Design, Counting, Iterator, </v>
      </c>
      <c r="I1231" s="10" t="str">
        <f>Github!E$901</f>
        <v>Medium</v>
      </c>
      <c r="J1231" s="10" t="str">
        <f>IF(TRIM(Github!D$901)="TRUE","FALSE","TRUE")</f>
        <v>TRUE</v>
      </c>
      <c r="K1231" s="10" t="b">
        <f>Github!M$901</f>
        <v>0</v>
      </c>
      <c r="L1231" s="10" t="b">
        <f>Github!N$901</f>
        <v>0</v>
      </c>
      <c r="M1231" s="10" t="str">
        <f>ROUND(Github!O$901, 2)&amp;"%"</f>
        <v>58.49%</v>
      </c>
      <c r="N1231" s="10">
        <f>Github!P$901</f>
        <v>49698</v>
      </c>
      <c r="O1231" s="10">
        <f>Github!Q$901</f>
        <v>84969</v>
      </c>
    </row>
    <row r="1232">
      <c r="A1232" s="10">
        <f>Github!J$1753</f>
        <v>1752</v>
      </c>
      <c r="B1232" s="11" t="str">
        <f>HYPERLINK(CONCAT("http://leetcode.com/problems/",Github!C$1753), Github!B$1753)</f>
        <v>Check if Array Is Sorted and Rotated</v>
      </c>
      <c r="C1232" s="10">
        <f>Github!F$1753</f>
        <v>507</v>
      </c>
      <c r="D1232" s="10">
        <f>Github!G$1753</f>
        <v>47</v>
      </c>
      <c r="E1232" s="10">
        <f>Github!F$1753+Github!G$1753</f>
        <v>554</v>
      </c>
      <c r="F1232" s="12">
        <f t="shared" si="1"/>
        <v>10.79</v>
      </c>
      <c r="G1232" s="10" t="str">
        <f>Github!H$1753</f>
        <v>Algorithms</v>
      </c>
      <c r="H1232" s="13" t="str">
        <f>SUBSTITUTE(Github!L$1753, ";", ", ")</f>
        <v>Array, </v>
      </c>
      <c r="I1232" s="10" t="str">
        <f>Github!E$1753</f>
        <v>Easy</v>
      </c>
      <c r="J1232" s="10" t="str">
        <f>IF(TRIM(Github!D$1753)="TRUE","FALSE","TRUE")</f>
        <v>TRUE</v>
      </c>
      <c r="K1232" s="10" t="b">
        <f>Github!M$1753</f>
        <v>0</v>
      </c>
      <c r="L1232" s="10" t="b">
        <f>Github!N$1753</f>
        <v>0</v>
      </c>
      <c r="M1232" s="10" t="str">
        <f>ROUND(Github!O$1753, 2)&amp;"%"</f>
        <v>47.41%</v>
      </c>
      <c r="N1232" s="10">
        <f>Github!P$1753</f>
        <v>31213</v>
      </c>
      <c r="O1232" s="10">
        <f>Github!Q$1753</f>
        <v>65830</v>
      </c>
    </row>
    <row r="1233">
      <c r="A1233" s="10">
        <f>Github!J$2135</f>
        <v>2134</v>
      </c>
      <c r="B1233" s="11" t="str">
        <f>HYPERLINK(CONCAT("http://leetcode.com/problems/",Github!C$2135), Github!B$2135)</f>
        <v>Minimum Swaps to Group All 1's Together II</v>
      </c>
      <c r="C1233" s="10">
        <f>Github!F$2135</f>
        <v>506</v>
      </c>
      <c r="D1233" s="10">
        <f>Github!G$2135</f>
        <v>5</v>
      </c>
      <c r="E1233" s="10">
        <f>Github!F$2135+Github!G$2135</f>
        <v>511</v>
      </c>
      <c r="F1233" s="12">
        <f t="shared" si="1"/>
        <v>101.2</v>
      </c>
      <c r="G1233" s="10" t="str">
        <f>Github!H$2135</f>
        <v>Algorithms</v>
      </c>
      <c r="H1233" s="13" t="str">
        <f>SUBSTITUTE(Github!L$2135, ";", ", ")</f>
        <v>Array, Sliding Window, </v>
      </c>
      <c r="I1233" s="10" t="str">
        <f>Github!E$2135</f>
        <v>Medium</v>
      </c>
      <c r="J1233" s="10" t="str">
        <f>IF(TRIM(Github!D$2135)="TRUE","FALSE","TRUE")</f>
        <v>TRUE</v>
      </c>
      <c r="K1233" s="10" t="b">
        <f>Github!M$2135</f>
        <v>0</v>
      </c>
      <c r="L1233" s="10" t="b">
        <f>Github!N$2135</f>
        <v>0</v>
      </c>
      <c r="M1233" s="10" t="str">
        <f>ROUND(Github!O$2135, 2)&amp;"%"</f>
        <v>46.96%</v>
      </c>
      <c r="N1233" s="10">
        <f>Github!P$2135</f>
        <v>12262</v>
      </c>
      <c r="O1233" s="10">
        <f>Github!Q$2135</f>
        <v>26111</v>
      </c>
    </row>
    <row r="1234">
      <c r="A1234" s="10">
        <f>Github!J$1899</f>
        <v>1898</v>
      </c>
      <c r="B1234" s="11" t="str">
        <f>HYPERLINK(CONCAT("http://leetcode.com/problems/",Github!C$1899), Github!B$1899)</f>
        <v>Maximum Number of Removable Characters</v>
      </c>
      <c r="C1234" s="10">
        <f>Github!F$1899</f>
        <v>504</v>
      </c>
      <c r="D1234" s="10">
        <f>Github!G$1899</f>
        <v>61</v>
      </c>
      <c r="E1234" s="10">
        <f>Github!F$1899+Github!G$1899</f>
        <v>565</v>
      </c>
      <c r="F1234" s="12">
        <f t="shared" si="1"/>
        <v>8.26</v>
      </c>
      <c r="G1234" s="10" t="str">
        <f>Github!H$1899</f>
        <v>Algorithms</v>
      </c>
      <c r="H1234" s="13" t="str">
        <f>SUBSTITUTE(Github!L$1899, ";", ", ")</f>
        <v>Array, String, Binary Search, </v>
      </c>
      <c r="I1234" s="10" t="str">
        <f>Github!E$1899</f>
        <v>Medium</v>
      </c>
      <c r="J1234" s="10" t="str">
        <f>IF(TRIM(Github!D$1899)="TRUE","FALSE","TRUE")</f>
        <v>TRUE</v>
      </c>
      <c r="K1234" s="10" t="b">
        <f>Github!M$1899</f>
        <v>0</v>
      </c>
      <c r="L1234" s="10" t="b">
        <f>Github!N$1899</f>
        <v>0</v>
      </c>
      <c r="M1234" s="10" t="str">
        <f>ROUND(Github!O$1899, 2)&amp;"%"</f>
        <v>35.14%</v>
      </c>
      <c r="N1234" s="10">
        <f>Github!P$1899</f>
        <v>11713</v>
      </c>
      <c r="O1234" s="10">
        <f>Github!Q$1899</f>
        <v>33329</v>
      </c>
    </row>
    <row r="1235">
      <c r="A1235" s="10">
        <f>Github!J$1073</f>
        <v>1072</v>
      </c>
      <c r="B1235" s="11" t="str">
        <f>HYPERLINK(CONCAT("http://leetcode.com/problems/",Github!C$1073), Github!B$1073)</f>
        <v>Flip Columns For Maximum Number of Equal Rows</v>
      </c>
      <c r="C1235" s="10">
        <f>Github!F$1073</f>
        <v>504</v>
      </c>
      <c r="D1235" s="10">
        <f>Github!G$1073</f>
        <v>36</v>
      </c>
      <c r="E1235" s="10">
        <f>Github!F$1073+Github!G$1073</f>
        <v>540</v>
      </c>
      <c r="F1235" s="12">
        <f t="shared" si="1"/>
        <v>14</v>
      </c>
      <c r="G1235" s="10" t="str">
        <f>Github!H$1073</f>
        <v>Algorithms</v>
      </c>
      <c r="H1235" s="13" t="str">
        <f>SUBSTITUTE(Github!L$1073, ";", ", ")</f>
        <v>Array, Hash Table, Matrix, </v>
      </c>
      <c r="I1235" s="10" t="str">
        <f>Github!E$1073</f>
        <v>Medium</v>
      </c>
      <c r="J1235" s="10" t="str">
        <f>IF(TRIM(Github!D$1073)="TRUE","FALSE","TRUE")</f>
        <v>TRUE</v>
      </c>
      <c r="K1235" s="10" t="b">
        <f>Github!M$1073</f>
        <v>0</v>
      </c>
      <c r="L1235" s="10" t="b">
        <f>Github!N$1073</f>
        <v>0</v>
      </c>
      <c r="M1235" s="10" t="str">
        <f>ROUND(Github!O$1073, 2)&amp;"%"</f>
        <v>62.94%</v>
      </c>
      <c r="N1235" s="10">
        <f>Github!P$1073</f>
        <v>16343</v>
      </c>
      <c r="O1235" s="10">
        <f>Github!Q$1073</f>
        <v>25967</v>
      </c>
    </row>
    <row r="1236">
      <c r="A1236" s="10">
        <f>Github!J$1887</f>
        <v>1886</v>
      </c>
      <c r="B1236" s="11" t="str">
        <f>HYPERLINK(CONCAT("http://leetcode.com/problems/",Github!C$1887), Github!B$1887)</f>
        <v>Determine Whether Matrix Can Be Obtained By Rotation</v>
      </c>
      <c r="C1236" s="10">
        <f>Github!F$1887</f>
        <v>505</v>
      </c>
      <c r="D1236" s="10">
        <f>Github!G$1887</f>
        <v>46</v>
      </c>
      <c r="E1236" s="10">
        <f>Github!F$1887+Github!G$1887</f>
        <v>551</v>
      </c>
      <c r="F1236" s="12">
        <f t="shared" si="1"/>
        <v>10.98</v>
      </c>
      <c r="G1236" s="10" t="str">
        <f>Github!H$1887</f>
        <v>Algorithms</v>
      </c>
      <c r="H1236" s="13" t="str">
        <f>SUBSTITUTE(Github!L$1887, ";", ", ")</f>
        <v>Array, Matrix, </v>
      </c>
      <c r="I1236" s="10" t="str">
        <f>Github!E$1887</f>
        <v>Easy</v>
      </c>
      <c r="J1236" s="10" t="str">
        <f>IF(TRIM(Github!D$1887)="TRUE","FALSE","TRUE")</f>
        <v>TRUE</v>
      </c>
      <c r="K1236" s="10" t="b">
        <f>Github!M$1887</f>
        <v>0</v>
      </c>
      <c r="L1236" s="10" t="b">
        <f>Github!N$1887</f>
        <v>0</v>
      </c>
      <c r="M1236" s="10" t="str">
        <f>ROUND(Github!O$1887, 2)&amp;"%"</f>
        <v>54.69%</v>
      </c>
      <c r="N1236" s="10">
        <f>Github!P$1887</f>
        <v>25995</v>
      </c>
      <c r="O1236" s="10">
        <f>Github!Q$1887</f>
        <v>47535</v>
      </c>
    </row>
    <row r="1237">
      <c r="A1237" s="10">
        <f>Github!J$2009</f>
        <v>2008</v>
      </c>
      <c r="B1237" s="11" t="str">
        <f>HYPERLINK(CONCAT("http://leetcode.com/problems/",Github!C$2009), Github!B$2009)</f>
        <v>Maximum Earnings From Taxi</v>
      </c>
      <c r="C1237" s="10">
        <f>Github!F$2009</f>
        <v>503</v>
      </c>
      <c r="D1237" s="10">
        <f>Github!G$2009</f>
        <v>11</v>
      </c>
      <c r="E1237" s="10">
        <f>Github!F$2009+Github!G$2009</f>
        <v>514</v>
      </c>
      <c r="F1237" s="12">
        <f t="shared" si="1"/>
        <v>45.73</v>
      </c>
      <c r="G1237" s="10" t="str">
        <f>Github!H$2009</f>
        <v>Algorithms</v>
      </c>
      <c r="H1237" s="13" t="str">
        <f>SUBSTITUTE(Github!L$2009, ";", ", ")</f>
        <v>Array, Binary Search, Dynamic Programming, Sorting, </v>
      </c>
      <c r="I1237" s="10" t="str">
        <f>Github!E$2009</f>
        <v>Medium</v>
      </c>
      <c r="J1237" s="10" t="str">
        <f>IF(TRIM(Github!D$2009)="TRUE","FALSE","TRUE")</f>
        <v>TRUE</v>
      </c>
      <c r="K1237" s="10" t="b">
        <f>Github!M$2009</f>
        <v>0</v>
      </c>
      <c r="L1237" s="10" t="b">
        <f>Github!N$2009</f>
        <v>0</v>
      </c>
      <c r="M1237" s="10" t="str">
        <f>ROUND(Github!O$2009, 2)&amp;"%"</f>
        <v>42.56%</v>
      </c>
      <c r="N1237" s="10">
        <f>Github!P$2009</f>
        <v>10991</v>
      </c>
      <c r="O1237" s="10">
        <f>Github!Q$2009</f>
        <v>25828</v>
      </c>
    </row>
    <row r="1238">
      <c r="A1238" s="10">
        <f>Github!J$2105</f>
        <v>2104</v>
      </c>
      <c r="B1238" s="11" t="str">
        <f>HYPERLINK(CONCAT("http://leetcode.com/problems/",Github!C$2105), Github!B$2105)</f>
        <v>Sum of Subarray Ranges</v>
      </c>
      <c r="C1238" s="10">
        <f>Github!F$2105</f>
        <v>505</v>
      </c>
      <c r="D1238" s="10">
        <f>Github!G$2105</f>
        <v>19</v>
      </c>
      <c r="E1238" s="10">
        <f>Github!F$2105+Github!G$2105</f>
        <v>524</v>
      </c>
      <c r="F1238" s="12">
        <f t="shared" si="1"/>
        <v>26.58</v>
      </c>
      <c r="G1238" s="10" t="str">
        <f>Github!H$2105</f>
        <v>Algorithms</v>
      </c>
      <c r="H1238" s="13" t="str">
        <f>SUBSTITUTE(Github!L$2105, ";", ", ")</f>
        <v>Array, Stack, Monotonic Stack, </v>
      </c>
      <c r="I1238" s="10" t="str">
        <f>Github!E$2105</f>
        <v>Medium</v>
      </c>
      <c r="J1238" s="10" t="str">
        <f>IF(TRIM(Github!D$2105)="TRUE","FALSE","TRUE")</f>
        <v>TRUE</v>
      </c>
      <c r="K1238" s="10" t="b">
        <f>Github!M$2105</f>
        <v>0</v>
      </c>
      <c r="L1238" s="10" t="b">
        <f>Github!N$2105</f>
        <v>0</v>
      </c>
      <c r="M1238" s="10" t="str">
        <f>ROUND(Github!O$2105, 2)&amp;"%"</f>
        <v>59.92%</v>
      </c>
      <c r="N1238" s="10">
        <f>Github!P$2105</f>
        <v>18245</v>
      </c>
      <c r="O1238" s="10">
        <f>Github!Q$2105</f>
        <v>30449</v>
      </c>
    </row>
    <row r="1239">
      <c r="A1239" s="10">
        <f>Github!J$883</f>
        <v>882</v>
      </c>
      <c r="B1239" s="11" t="str">
        <f>HYPERLINK(CONCAT("http://leetcode.com/problems/",Github!C$883), Github!B$883)</f>
        <v>Reachable Nodes In Subdivided Graph</v>
      </c>
      <c r="C1239" s="10">
        <f>Github!F$883</f>
        <v>502</v>
      </c>
      <c r="D1239" s="10">
        <f>Github!G$883</f>
        <v>197</v>
      </c>
      <c r="E1239" s="10">
        <f>Github!F$883+Github!G$883</f>
        <v>699</v>
      </c>
      <c r="F1239" s="12">
        <f t="shared" si="1"/>
        <v>2.55</v>
      </c>
      <c r="G1239" s="10" t="str">
        <f>Github!H$883</f>
        <v>Algorithms</v>
      </c>
      <c r="H1239" s="13" t="str">
        <f>SUBSTITUTE(Github!L$883, ";", ", ")</f>
        <v>Graph, Heap (Priority Queue), Shortest Path, </v>
      </c>
      <c r="I1239" s="10" t="str">
        <f>Github!E$883</f>
        <v>Hard</v>
      </c>
      <c r="J1239" s="10" t="str">
        <f>IF(TRIM(Github!D$883)="TRUE","FALSE","TRUE")</f>
        <v>TRUE</v>
      </c>
      <c r="K1239" s="10" t="b">
        <f>Github!M$883</f>
        <v>1</v>
      </c>
      <c r="L1239" s="10" t="b">
        <f>Github!N$883</f>
        <v>0</v>
      </c>
      <c r="M1239" s="10" t="str">
        <f>ROUND(Github!O$883, 2)&amp;"%"</f>
        <v>49.68%</v>
      </c>
      <c r="N1239" s="10">
        <f>Github!P$883</f>
        <v>19526</v>
      </c>
      <c r="O1239" s="10">
        <f>Github!Q$883</f>
        <v>39304</v>
      </c>
    </row>
    <row r="1240">
      <c r="A1240" s="10">
        <f>Github!J$1185</f>
        <v>1184</v>
      </c>
      <c r="B1240" s="11" t="str">
        <f>HYPERLINK(CONCAT("http://leetcode.com/problems/",Github!C$1185), Github!B$1185)</f>
        <v>Distance Between Bus Stops</v>
      </c>
      <c r="C1240" s="10">
        <f>Github!F$1185</f>
        <v>502</v>
      </c>
      <c r="D1240" s="10">
        <f>Github!G$1185</f>
        <v>58</v>
      </c>
      <c r="E1240" s="10">
        <f>Github!F$1185+Github!G$1185</f>
        <v>560</v>
      </c>
      <c r="F1240" s="12">
        <f t="shared" si="1"/>
        <v>8.66</v>
      </c>
      <c r="G1240" s="10" t="str">
        <f>Github!H$1185</f>
        <v>Algorithms</v>
      </c>
      <c r="H1240" s="13" t="str">
        <f>SUBSTITUTE(Github!L$1185, ";", ", ")</f>
        <v>Array, </v>
      </c>
      <c r="I1240" s="10" t="str">
        <f>Github!E$1185</f>
        <v>Easy</v>
      </c>
      <c r="J1240" s="10" t="str">
        <f>IF(TRIM(Github!D$1185)="TRUE","FALSE","TRUE")</f>
        <v>TRUE</v>
      </c>
      <c r="K1240" s="10" t="b">
        <f>Github!M$1185</f>
        <v>0</v>
      </c>
      <c r="L1240" s="10" t="b">
        <f>Github!N$1185</f>
        <v>0</v>
      </c>
      <c r="M1240" s="10" t="str">
        <f>ROUND(Github!O$1185, 2)&amp;"%"</f>
        <v>54.07%</v>
      </c>
      <c r="N1240" s="10">
        <f>Github!P$1185</f>
        <v>40256</v>
      </c>
      <c r="O1240" s="10">
        <f>Github!Q$1185</f>
        <v>74445</v>
      </c>
    </row>
    <row r="1241">
      <c r="A1241" s="10">
        <f>Github!J$66</f>
        <v>65</v>
      </c>
      <c r="B1241" s="11" t="str">
        <f>HYPERLINK(CONCAT("http://leetcode.com/problems/",Github!C$66), Github!B$66)</f>
        <v>Valid Number</v>
      </c>
      <c r="C1241" s="10">
        <f>Github!F$66</f>
        <v>501</v>
      </c>
      <c r="D1241" s="10">
        <f>Github!G$66</f>
        <v>900</v>
      </c>
      <c r="E1241" s="10">
        <f>Github!F$66+Github!G$66</f>
        <v>1401</v>
      </c>
      <c r="F1241" s="12">
        <f t="shared" si="1"/>
        <v>0.56</v>
      </c>
      <c r="G1241" s="10" t="str">
        <f>Github!H$66</f>
        <v>Algorithms</v>
      </c>
      <c r="H1241" s="13" t="str">
        <f>SUBSTITUTE(Github!L$66, ";", ", ")</f>
        <v>String, </v>
      </c>
      <c r="I1241" s="10" t="str">
        <f>Github!E$66</f>
        <v>Hard</v>
      </c>
      <c r="J1241" s="10" t="str">
        <f>IF(TRIM(Github!D$66)="TRUE","FALSE","TRUE")</f>
        <v>TRUE</v>
      </c>
      <c r="K1241" s="10" t="b">
        <f>Github!M$66</f>
        <v>1</v>
      </c>
      <c r="L1241" s="10" t="b">
        <f>Github!N$66</f>
        <v>0</v>
      </c>
      <c r="M1241" s="10" t="str">
        <f>ROUND(Github!O$66, 2)&amp;"%"</f>
        <v>17.91%</v>
      </c>
      <c r="N1241" s="10">
        <f>Github!P$66</f>
        <v>261209</v>
      </c>
      <c r="O1241" s="10">
        <f>Github!Q$66</f>
        <v>1458178</v>
      </c>
    </row>
    <row r="1242">
      <c r="A1242" s="10">
        <f>Github!J$1630</f>
        <v>1629</v>
      </c>
      <c r="B1242" s="11" t="str">
        <f>HYPERLINK(CONCAT("http://leetcode.com/problems/",Github!C$1630), Github!B$1630)</f>
        <v>Slowest Key</v>
      </c>
      <c r="C1242" s="10">
        <f>Github!F$1630</f>
        <v>500</v>
      </c>
      <c r="D1242" s="10">
        <f>Github!G$1630</f>
        <v>83</v>
      </c>
      <c r="E1242" s="10">
        <f>Github!F$1630+Github!G$1630</f>
        <v>583</v>
      </c>
      <c r="F1242" s="12">
        <f t="shared" si="1"/>
        <v>6.02</v>
      </c>
      <c r="G1242" s="10" t="str">
        <f>Github!H$1630</f>
        <v>Algorithms</v>
      </c>
      <c r="H1242" s="13" t="str">
        <f>SUBSTITUTE(Github!L$1630, ";", ", ")</f>
        <v>Array, String, </v>
      </c>
      <c r="I1242" s="10" t="str">
        <f>Github!E$1630</f>
        <v>Easy</v>
      </c>
      <c r="J1242" s="10" t="str">
        <f>IF(TRIM(Github!D$1630)="TRUE","FALSE","TRUE")</f>
        <v>TRUE</v>
      </c>
      <c r="K1242" s="10" t="b">
        <f>Github!M$1630</f>
        <v>1</v>
      </c>
      <c r="L1242" s="10" t="b">
        <f>Github!N$1630</f>
        <v>0</v>
      </c>
      <c r="M1242" s="10" t="str">
        <f>ROUND(Github!O$1630, 2)&amp;"%"</f>
        <v>59.67%</v>
      </c>
      <c r="N1242" s="10">
        <f>Github!P$1630</f>
        <v>73770</v>
      </c>
      <c r="O1242" s="10">
        <f>Github!Q$1630</f>
        <v>123622</v>
      </c>
    </row>
    <row r="1243">
      <c r="A1243" s="10">
        <f>Github!J$1595</f>
        <v>1594</v>
      </c>
      <c r="B1243" s="11" t="str">
        <f>HYPERLINK(CONCAT("http://leetcode.com/problems/",Github!C$1595), Github!B$1595)</f>
        <v>Maximum Non Negative Product in a Matrix</v>
      </c>
      <c r="C1243" s="10">
        <f>Github!F$1595</f>
        <v>499</v>
      </c>
      <c r="D1243" s="10">
        <f>Github!G$1595</f>
        <v>22</v>
      </c>
      <c r="E1243" s="10">
        <f>Github!F$1595+Github!G$1595</f>
        <v>521</v>
      </c>
      <c r="F1243" s="12">
        <f t="shared" si="1"/>
        <v>22.68</v>
      </c>
      <c r="G1243" s="10" t="str">
        <f>Github!H$1595</f>
        <v>Algorithms</v>
      </c>
      <c r="H1243" s="13" t="str">
        <f>SUBSTITUTE(Github!L$1595, ";", ", ")</f>
        <v>Array, Dynamic Programming, Matrix, </v>
      </c>
      <c r="I1243" s="10" t="str">
        <f>Github!E$1595</f>
        <v>Medium</v>
      </c>
      <c r="J1243" s="10" t="str">
        <f>IF(TRIM(Github!D$1595)="TRUE","FALSE","TRUE")</f>
        <v>TRUE</v>
      </c>
      <c r="K1243" s="10" t="b">
        <f>Github!M$1595</f>
        <v>0</v>
      </c>
      <c r="L1243" s="10" t="b">
        <f>Github!N$1595</f>
        <v>0</v>
      </c>
      <c r="M1243" s="10" t="str">
        <f>ROUND(Github!O$1595, 2)&amp;"%"</f>
        <v>33.01%</v>
      </c>
      <c r="N1243" s="10">
        <f>Github!P$1595</f>
        <v>15825</v>
      </c>
      <c r="O1243" s="10">
        <f>Github!Q$1595</f>
        <v>47946</v>
      </c>
    </row>
    <row r="1244">
      <c r="A1244" s="10">
        <f>Github!J$1712</f>
        <v>1711</v>
      </c>
      <c r="B1244" s="11" t="str">
        <f>HYPERLINK(CONCAT("http://leetcode.com/problems/",Github!C$1712), Github!B$1712)</f>
        <v>Count Good Meals</v>
      </c>
      <c r="C1244" s="10">
        <f>Github!F$1712</f>
        <v>498</v>
      </c>
      <c r="D1244" s="10">
        <f>Github!G$1712</f>
        <v>185</v>
      </c>
      <c r="E1244" s="10">
        <f>Github!F$1712+Github!G$1712</f>
        <v>683</v>
      </c>
      <c r="F1244" s="12">
        <f t="shared" si="1"/>
        <v>2.69</v>
      </c>
      <c r="G1244" s="10" t="str">
        <f>Github!H$1712</f>
        <v>Algorithms</v>
      </c>
      <c r="H1244" s="13" t="str">
        <f>SUBSTITUTE(Github!L$1712, ";", ", ")</f>
        <v>Array, Hash Table, </v>
      </c>
      <c r="I1244" s="10" t="str">
        <f>Github!E$1712</f>
        <v>Medium</v>
      </c>
      <c r="J1244" s="10" t="str">
        <f>IF(TRIM(Github!D$1712)="TRUE","FALSE","TRUE")</f>
        <v>TRUE</v>
      </c>
      <c r="K1244" s="10" t="b">
        <f>Github!M$1712</f>
        <v>0</v>
      </c>
      <c r="L1244" s="10" t="b">
        <f>Github!N$1712</f>
        <v>0</v>
      </c>
      <c r="M1244" s="10" t="str">
        <f>ROUND(Github!O$1712, 2)&amp;"%"</f>
        <v>28.18%</v>
      </c>
      <c r="N1244" s="10">
        <f>Github!P$1712</f>
        <v>22667</v>
      </c>
      <c r="O1244" s="10">
        <f>Github!Q$1712</f>
        <v>80427</v>
      </c>
    </row>
    <row r="1245">
      <c r="A1245" s="10">
        <f>Github!J$1019</f>
        <v>1018</v>
      </c>
      <c r="B1245" s="11" t="str">
        <f>HYPERLINK(CONCAT("http://leetcode.com/problems/",Github!C$1019), Github!B$1019)</f>
        <v>Binary Prefix Divisible By 5</v>
      </c>
      <c r="C1245" s="10">
        <f>Github!F$1019</f>
        <v>497</v>
      </c>
      <c r="D1245" s="10">
        <f>Github!G$1019</f>
        <v>135</v>
      </c>
      <c r="E1245" s="10">
        <f>Github!F$1019+Github!G$1019</f>
        <v>632</v>
      </c>
      <c r="F1245" s="12">
        <f t="shared" si="1"/>
        <v>3.68</v>
      </c>
      <c r="G1245" s="10" t="str">
        <f>Github!H$1019</f>
        <v>Algorithms</v>
      </c>
      <c r="H1245" s="13" t="str">
        <f>SUBSTITUTE(Github!L$1019, ";", ", ")</f>
        <v>Array, </v>
      </c>
      <c r="I1245" s="10" t="str">
        <f>Github!E$1019</f>
        <v>Easy</v>
      </c>
      <c r="J1245" s="10" t="str">
        <f>IF(TRIM(Github!D$1019)="TRUE","FALSE","TRUE")</f>
        <v>TRUE</v>
      </c>
      <c r="K1245" s="10" t="b">
        <f>Github!M$1019</f>
        <v>0</v>
      </c>
      <c r="L1245" s="10" t="b">
        <f>Github!N$1019</f>
        <v>0</v>
      </c>
      <c r="M1245" s="10" t="str">
        <f>ROUND(Github!O$1019, 2)&amp;"%"</f>
        <v>47.54%</v>
      </c>
      <c r="N1245" s="10">
        <f>Github!P$1019</f>
        <v>37789</v>
      </c>
      <c r="O1245" s="10">
        <f>Github!Q$1019</f>
        <v>79483</v>
      </c>
    </row>
    <row r="1246">
      <c r="A1246" s="10">
        <f>Github!J$1855</f>
        <v>1854</v>
      </c>
      <c r="B1246" s="11" t="str">
        <f>HYPERLINK(CONCAT("http://leetcode.com/problems/",Github!C$1855), Github!B$1855)</f>
        <v>Maximum Population Year</v>
      </c>
      <c r="C1246" s="10">
        <f>Github!F$1855</f>
        <v>497</v>
      </c>
      <c r="D1246" s="10">
        <f>Github!G$1855</f>
        <v>74</v>
      </c>
      <c r="E1246" s="10">
        <f>Github!F$1855+Github!G$1855</f>
        <v>571</v>
      </c>
      <c r="F1246" s="12">
        <f t="shared" si="1"/>
        <v>6.72</v>
      </c>
      <c r="G1246" s="10" t="str">
        <f>Github!H$1855</f>
        <v>Algorithms</v>
      </c>
      <c r="H1246" s="13" t="str">
        <f>SUBSTITUTE(Github!L$1855, ";", ", ")</f>
        <v>Array, Counting, </v>
      </c>
      <c r="I1246" s="10" t="str">
        <f>Github!E$1855</f>
        <v>Easy</v>
      </c>
      <c r="J1246" s="10" t="str">
        <f>IF(TRIM(Github!D$1855)="TRUE","FALSE","TRUE")</f>
        <v>TRUE</v>
      </c>
      <c r="K1246" s="10" t="b">
        <f>Github!M$1855</f>
        <v>0</v>
      </c>
      <c r="L1246" s="10" t="b">
        <f>Github!N$1855</f>
        <v>0</v>
      </c>
      <c r="M1246" s="10" t="str">
        <f>ROUND(Github!O$1855, 2)&amp;"%"</f>
        <v>58.62%</v>
      </c>
      <c r="N1246" s="10">
        <f>Github!P$1855</f>
        <v>27072</v>
      </c>
      <c r="O1246" s="10">
        <f>Github!Q$1855</f>
        <v>46186</v>
      </c>
    </row>
    <row r="1247">
      <c r="A1247" s="10">
        <f>Github!J$569</f>
        <v>568</v>
      </c>
      <c r="B1247" s="11" t="str">
        <f>HYPERLINK(CONCAT("http://leetcode.com/problems/",Github!C$569), Github!B$569)</f>
        <v>Maximum Vacation Days</v>
      </c>
      <c r="C1247" s="10">
        <f>Github!F$569</f>
        <v>496</v>
      </c>
      <c r="D1247" s="10">
        <f>Github!G$569</f>
        <v>91</v>
      </c>
      <c r="E1247" s="10">
        <f>Github!F$569+Github!G$569</f>
        <v>587</v>
      </c>
      <c r="F1247" s="12">
        <f t="shared" si="1"/>
        <v>5.45</v>
      </c>
      <c r="G1247" s="10" t="str">
        <f>Github!H$569</f>
        <v>Algorithms</v>
      </c>
      <c r="H1247" s="13" t="str">
        <f>SUBSTITUTE(Github!L$569, ";", ", ")</f>
        <v>Array, Dynamic Programming, Matrix, </v>
      </c>
      <c r="I1247" s="10" t="str">
        <f>Github!E$569</f>
        <v>Hard</v>
      </c>
      <c r="J1247" s="10" t="str">
        <f>IF(TRIM(Github!D$569)="TRUE","FALSE","TRUE")</f>
        <v>FALSE</v>
      </c>
      <c r="K1247" s="10" t="b">
        <f>Github!M$569</f>
        <v>1</v>
      </c>
      <c r="L1247" s="10" t="b">
        <f>Github!N$569</f>
        <v>0</v>
      </c>
      <c r="M1247" s="10" t="str">
        <f>ROUND(Github!O$569, 2)&amp;"%"</f>
        <v>44.23%</v>
      </c>
      <c r="N1247" s="10">
        <f>Github!P$569</f>
        <v>33315</v>
      </c>
      <c r="O1247" s="10">
        <f>Github!Q$569</f>
        <v>75327</v>
      </c>
    </row>
    <row r="1248">
      <c r="A1248" s="10">
        <f>Github!J$2141</f>
        <v>2140</v>
      </c>
      <c r="B1248" s="11" t="str">
        <f>HYPERLINK(CONCAT("http://leetcode.com/problems/",Github!C$2141), Github!B$2141)</f>
        <v>Solving Questions With Brainpower</v>
      </c>
      <c r="C1248" s="10">
        <f>Github!F$2141</f>
        <v>496</v>
      </c>
      <c r="D1248" s="10">
        <f>Github!G$2141</f>
        <v>7</v>
      </c>
      <c r="E1248" s="10">
        <f>Github!F$2141+Github!G$2141</f>
        <v>503</v>
      </c>
      <c r="F1248" s="12">
        <f t="shared" si="1"/>
        <v>70.86</v>
      </c>
      <c r="G1248" s="10" t="str">
        <f>Github!H$2141</f>
        <v>Algorithms</v>
      </c>
      <c r="H1248" s="13" t="str">
        <f>SUBSTITUTE(Github!L$2141, ";", ", ")</f>
        <v>Array, Dynamic Programming, </v>
      </c>
      <c r="I1248" s="10" t="str">
        <f>Github!E$2141</f>
        <v>Medium</v>
      </c>
      <c r="J1248" s="10" t="str">
        <f>IF(TRIM(Github!D$2141)="TRUE","FALSE","TRUE")</f>
        <v>TRUE</v>
      </c>
      <c r="K1248" s="10" t="b">
        <f>Github!M$2141</f>
        <v>0</v>
      </c>
      <c r="L1248" s="10" t="b">
        <f>Github!N$2141</f>
        <v>0</v>
      </c>
      <c r="M1248" s="10" t="str">
        <f>ROUND(Github!O$2141, 2)&amp;"%"</f>
        <v>43.98%</v>
      </c>
      <c r="N1248" s="10">
        <f>Github!P$2141</f>
        <v>16780</v>
      </c>
      <c r="O1248" s="10">
        <f>Github!Q$2141</f>
        <v>38155</v>
      </c>
    </row>
    <row r="1249">
      <c r="A1249" s="10">
        <f>Github!J$1543</f>
        <v>1542</v>
      </c>
      <c r="B1249" s="11" t="str">
        <f>HYPERLINK(CONCAT("http://leetcode.com/problems/",Github!C$1543), Github!B$1543)</f>
        <v>Find Longest Awesome Substring</v>
      </c>
      <c r="C1249" s="10">
        <f>Github!F$1543</f>
        <v>495</v>
      </c>
      <c r="D1249" s="10">
        <f>Github!G$1543</f>
        <v>11</v>
      </c>
      <c r="E1249" s="10">
        <f>Github!F$1543+Github!G$1543</f>
        <v>506</v>
      </c>
      <c r="F1249" s="12">
        <f t="shared" si="1"/>
        <v>45</v>
      </c>
      <c r="G1249" s="10" t="str">
        <f>Github!H$1543</f>
        <v>Algorithms</v>
      </c>
      <c r="H1249" s="13" t="str">
        <f>SUBSTITUTE(Github!L$1543, ";", ", ")</f>
        <v>Hash Table, String, Bit Manipulation, </v>
      </c>
      <c r="I1249" s="10" t="str">
        <f>Github!E$1543</f>
        <v>Hard</v>
      </c>
      <c r="J1249" s="10" t="str">
        <f>IF(TRIM(Github!D$1543)="TRUE","FALSE","TRUE")</f>
        <v>TRUE</v>
      </c>
      <c r="K1249" s="10" t="b">
        <f>Github!M$1543</f>
        <v>0</v>
      </c>
      <c r="L1249" s="10" t="b">
        <f>Github!N$1543</f>
        <v>0</v>
      </c>
      <c r="M1249" s="10" t="str">
        <f>ROUND(Github!O$1543, 2)&amp;"%"</f>
        <v>40.36%</v>
      </c>
      <c r="N1249" s="10">
        <f>Github!P$1543</f>
        <v>8543</v>
      </c>
      <c r="O1249" s="10">
        <f>Github!Q$1543</f>
        <v>21165</v>
      </c>
    </row>
    <row r="1250">
      <c r="A1250" s="10">
        <f>Github!J$652</f>
        <v>651</v>
      </c>
      <c r="B1250" s="11" t="str">
        <f>HYPERLINK(CONCAT("http://leetcode.com/problems/",Github!C$652), Github!B$652)</f>
        <v>4 Keys Keyboard</v>
      </c>
      <c r="C1250" s="10">
        <f>Github!F$652</f>
        <v>492</v>
      </c>
      <c r="D1250" s="10">
        <f>Github!G$652</f>
        <v>70</v>
      </c>
      <c r="E1250" s="10">
        <f>Github!F$652+Github!G$652</f>
        <v>562</v>
      </c>
      <c r="F1250" s="12">
        <f t="shared" si="1"/>
        <v>7.03</v>
      </c>
      <c r="G1250" s="10" t="str">
        <f>Github!H$652</f>
        <v>Algorithms</v>
      </c>
      <c r="H1250" s="13" t="str">
        <f>SUBSTITUTE(Github!L$652, ";", ", ")</f>
        <v>Math, Dynamic Programming, </v>
      </c>
      <c r="I1250" s="10" t="str">
        <f>Github!E$652</f>
        <v>Medium</v>
      </c>
      <c r="J1250" s="10" t="str">
        <f>IF(TRIM(Github!D$652)="TRUE","FALSE","TRUE")</f>
        <v>FALSE</v>
      </c>
      <c r="K1250" s="10" t="b">
        <f>Github!M$652</f>
        <v>0</v>
      </c>
      <c r="L1250" s="10" t="b">
        <f>Github!N$652</f>
        <v>0</v>
      </c>
      <c r="M1250" s="10" t="str">
        <f>ROUND(Github!O$652, 2)&amp;"%"</f>
        <v>54.04%</v>
      </c>
      <c r="N1250" s="10">
        <f>Github!P$652</f>
        <v>21227</v>
      </c>
      <c r="O1250" s="10">
        <f>Github!Q$652</f>
        <v>39282</v>
      </c>
    </row>
    <row r="1251">
      <c r="A1251" s="10">
        <f>Github!J$1514</f>
        <v>1513</v>
      </c>
      <c r="B1251" s="11" t="str">
        <f>HYPERLINK(CONCAT("http://leetcode.com/problems/",Github!C$1514), Github!B$1514)</f>
        <v>Number of Substrings With Only 1s</v>
      </c>
      <c r="C1251" s="10">
        <f>Github!F$1514</f>
        <v>491</v>
      </c>
      <c r="D1251" s="10">
        <f>Github!G$1514</f>
        <v>22</v>
      </c>
      <c r="E1251" s="10">
        <f>Github!F$1514+Github!G$1514</f>
        <v>513</v>
      </c>
      <c r="F1251" s="12">
        <f t="shared" si="1"/>
        <v>22.32</v>
      </c>
      <c r="G1251" s="10" t="str">
        <f>Github!H$1514</f>
        <v>Algorithms</v>
      </c>
      <c r="H1251" s="13" t="str">
        <f>SUBSTITUTE(Github!L$1514, ";", ", ")</f>
        <v>Math, String, </v>
      </c>
      <c r="I1251" s="10" t="str">
        <f>Github!E$1514</f>
        <v>Medium</v>
      </c>
      <c r="J1251" s="10" t="str">
        <f>IF(TRIM(Github!D$1514)="TRUE","FALSE","TRUE")</f>
        <v>TRUE</v>
      </c>
      <c r="K1251" s="10" t="b">
        <f>Github!M$1514</f>
        <v>0</v>
      </c>
      <c r="L1251" s="10" t="b">
        <f>Github!N$1514</f>
        <v>0</v>
      </c>
      <c r="M1251" s="10" t="str">
        <f>ROUND(Github!O$1514, 2)&amp;"%"</f>
        <v>44.03%</v>
      </c>
      <c r="N1251" s="10">
        <f>Github!P$1514</f>
        <v>28322</v>
      </c>
      <c r="O1251" s="10">
        <f>Github!Q$1514</f>
        <v>64321</v>
      </c>
    </row>
    <row r="1252">
      <c r="A1252" s="10">
        <f>Github!J$1371</f>
        <v>1370</v>
      </c>
      <c r="B1252" s="11" t="str">
        <f>HYPERLINK(CONCAT("http://leetcode.com/problems/",Github!C$1371), Github!B$1371)</f>
        <v>Increasing Decreasing String</v>
      </c>
      <c r="C1252" s="10">
        <f>Github!F$1371</f>
        <v>489</v>
      </c>
      <c r="D1252" s="10">
        <f>Github!G$1371</f>
        <v>585</v>
      </c>
      <c r="E1252" s="10">
        <f>Github!F$1371+Github!G$1371</f>
        <v>1074</v>
      </c>
      <c r="F1252" s="12">
        <f t="shared" si="1"/>
        <v>0.84</v>
      </c>
      <c r="G1252" s="10" t="str">
        <f>Github!H$1371</f>
        <v>Algorithms</v>
      </c>
      <c r="H1252" s="13" t="str">
        <f>SUBSTITUTE(Github!L$1371, ";", ", ")</f>
        <v>Hash Table, String, Counting, </v>
      </c>
      <c r="I1252" s="10" t="str">
        <f>Github!E$1371</f>
        <v>Easy</v>
      </c>
      <c r="J1252" s="10" t="str">
        <f>IF(TRIM(Github!D$1371)="TRUE","FALSE","TRUE")</f>
        <v>TRUE</v>
      </c>
      <c r="K1252" s="10" t="b">
        <f>Github!M$1371</f>
        <v>0</v>
      </c>
      <c r="L1252" s="10" t="b">
        <f>Github!N$1371</f>
        <v>0</v>
      </c>
      <c r="M1252" s="10" t="str">
        <f>ROUND(Github!O$1371, 2)&amp;"%"</f>
        <v>77.74%</v>
      </c>
      <c r="N1252" s="10">
        <f>Github!P$1371</f>
        <v>52482</v>
      </c>
      <c r="O1252" s="10">
        <f>Github!Q$1371</f>
        <v>67513</v>
      </c>
    </row>
    <row r="1253">
      <c r="A1253" s="10">
        <f>Github!J$1769</f>
        <v>1768</v>
      </c>
      <c r="B1253" s="11" t="str">
        <f>HYPERLINK(CONCAT("http://leetcode.com/problems/",Github!C$1769), Github!B$1769)</f>
        <v>Merge Strings Alternately</v>
      </c>
      <c r="C1253" s="10">
        <f>Github!F$1769</f>
        <v>489</v>
      </c>
      <c r="D1253" s="10">
        <f>Github!G$1769</f>
        <v>8</v>
      </c>
      <c r="E1253" s="10">
        <f>Github!F$1769+Github!G$1769</f>
        <v>497</v>
      </c>
      <c r="F1253" s="12">
        <f t="shared" si="1"/>
        <v>61.13</v>
      </c>
      <c r="G1253" s="10" t="str">
        <f>Github!H$1769</f>
        <v>Algorithms</v>
      </c>
      <c r="H1253" s="13" t="str">
        <f>SUBSTITUTE(Github!L$1769, ";", ", ")</f>
        <v>Two Pointers, String, </v>
      </c>
      <c r="I1253" s="10" t="str">
        <f>Github!E$1769</f>
        <v>Easy</v>
      </c>
      <c r="J1253" s="10" t="str">
        <f>IF(TRIM(Github!D$1769)="TRUE","FALSE","TRUE")</f>
        <v>TRUE</v>
      </c>
      <c r="K1253" s="10" t="b">
        <f>Github!M$1769</f>
        <v>0</v>
      </c>
      <c r="L1253" s="10" t="b">
        <f>Github!N$1769</f>
        <v>0</v>
      </c>
      <c r="M1253" s="10" t="str">
        <f>ROUND(Github!O$1769, 2)&amp;"%"</f>
        <v>75.24%</v>
      </c>
      <c r="N1253" s="10">
        <f>Github!P$1769</f>
        <v>47699</v>
      </c>
      <c r="O1253" s="10">
        <f>Github!Q$1769</f>
        <v>63399</v>
      </c>
    </row>
    <row r="1254">
      <c r="A1254" s="10">
        <f>Github!J$2116</f>
        <v>2115</v>
      </c>
      <c r="B1254" s="11" t="str">
        <f>HYPERLINK(CONCAT("http://leetcode.com/problems/",Github!C$2116), Github!B$2116)</f>
        <v>Find All Possible Recipes from Given Supplies</v>
      </c>
      <c r="C1254" s="10">
        <f>Github!F$2116</f>
        <v>489</v>
      </c>
      <c r="D1254" s="10">
        <f>Github!G$2116</f>
        <v>38</v>
      </c>
      <c r="E1254" s="10">
        <f>Github!F$2116+Github!G$2116</f>
        <v>527</v>
      </c>
      <c r="F1254" s="12">
        <f t="shared" si="1"/>
        <v>12.87</v>
      </c>
      <c r="G1254" s="10" t="str">
        <f>Github!H$2116</f>
        <v>Algorithms</v>
      </c>
      <c r="H1254" s="13" t="str">
        <f>SUBSTITUTE(Github!L$2116, ";", ", ")</f>
        <v>Array, Hash Table, String, Graph, Topological Sort, </v>
      </c>
      <c r="I1254" s="10" t="str">
        <f>Github!E$2116</f>
        <v>Medium</v>
      </c>
      <c r="J1254" s="10" t="str">
        <f>IF(TRIM(Github!D$2116)="TRUE","FALSE","TRUE")</f>
        <v>TRUE</v>
      </c>
      <c r="K1254" s="10" t="b">
        <f>Github!M$2116</f>
        <v>0</v>
      </c>
      <c r="L1254" s="10" t="b">
        <f>Github!N$2116</f>
        <v>0</v>
      </c>
      <c r="M1254" s="10" t="str">
        <f>ROUND(Github!O$2116, 2)&amp;"%"</f>
        <v>39.4%</v>
      </c>
      <c r="N1254" s="10">
        <f>Github!P$2116</f>
        <v>15267</v>
      </c>
      <c r="O1254" s="10">
        <f>Github!Q$2116</f>
        <v>38750</v>
      </c>
    </row>
    <row r="1255">
      <c r="A1255" s="10">
        <f>Github!J$1705</f>
        <v>1704</v>
      </c>
      <c r="B1255" s="11" t="str">
        <f>HYPERLINK(CONCAT("http://leetcode.com/problems/",Github!C$1705), Github!B$1705)</f>
        <v>Determine if String Halves Are Alike</v>
      </c>
      <c r="C1255" s="10">
        <f>Github!F$1705</f>
        <v>487</v>
      </c>
      <c r="D1255" s="10">
        <f>Github!G$1705</f>
        <v>35</v>
      </c>
      <c r="E1255" s="10">
        <f>Github!F$1705+Github!G$1705</f>
        <v>522</v>
      </c>
      <c r="F1255" s="12">
        <f t="shared" si="1"/>
        <v>13.91</v>
      </c>
      <c r="G1255" s="10" t="str">
        <f>Github!H$1705</f>
        <v>Algorithms</v>
      </c>
      <c r="H1255" s="13" t="str">
        <f>SUBSTITUTE(Github!L$1705, ";", ", ")</f>
        <v>String, Counting, </v>
      </c>
      <c r="I1255" s="10" t="str">
        <f>Github!E$1705</f>
        <v>Easy</v>
      </c>
      <c r="J1255" s="10" t="str">
        <f>IF(TRIM(Github!D$1705)="TRUE","FALSE","TRUE")</f>
        <v>TRUE</v>
      </c>
      <c r="K1255" s="10" t="b">
        <f>Github!M$1705</f>
        <v>1</v>
      </c>
      <c r="L1255" s="10" t="b">
        <f>Github!N$1705</f>
        <v>0</v>
      </c>
      <c r="M1255" s="10" t="str">
        <f>ROUND(Github!O$1705, 2)&amp;"%"</f>
        <v>78.12%</v>
      </c>
      <c r="N1255" s="10">
        <f>Github!P$1705</f>
        <v>81121</v>
      </c>
      <c r="O1255" s="10">
        <f>Github!Q$1705</f>
        <v>103846</v>
      </c>
    </row>
    <row r="1256">
      <c r="A1256" s="10">
        <f>Github!J$158</f>
        <v>157</v>
      </c>
      <c r="B1256" s="11" t="str">
        <f>HYPERLINK(CONCAT("http://leetcode.com/problems/",Github!C$158), Github!B$158)</f>
        <v>Read N Characters Given Read4</v>
      </c>
      <c r="C1256" s="10">
        <f>Github!F$158</f>
        <v>486</v>
      </c>
      <c r="D1256" s="10">
        <f>Github!G$158</f>
        <v>2918</v>
      </c>
      <c r="E1256" s="10">
        <f>Github!F$158+Github!G$158</f>
        <v>3404</v>
      </c>
      <c r="F1256" s="12">
        <f t="shared" si="1"/>
        <v>0.17</v>
      </c>
      <c r="G1256" s="10" t="str">
        <f>Github!H$158</f>
        <v>Algorithms</v>
      </c>
      <c r="H1256" s="13" t="str">
        <f>SUBSTITUTE(Github!L$158, ";", ", ")</f>
        <v>String, Simulation, Interactive, </v>
      </c>
      <c r="I1256" s="10" t="str">
        <f>Github!E$158</f>
        <v>Easy</v>
      </c>
      <c r="J1256" s="10" t="str">
        <f>IF(TRIM(Github!D$158)="TRUE","FALSE","TRUE")</f>
        <v>FALSE</v>
      </c>
      <c r="K1256" s="10" t="b">
        <f>Github!M$158</f>
        <v>1</v>
      </c>
      <c r="L1256" s="10" t="b">
        <f>Github!N$158</f>
        <v>0</v>
      </c>
      <c r="M1256" s="10" t="str">
        <f>ROUND(Github!O$158, 2)&amp;"%"</f>
        <v>40.13%</v>
      </c>
      <c r="N1256" s="10">
        <f>Github!P$158</f>
        <v>165364</v>
      </c>
      <c r="O1256" s="10">
        <f>Github!Q$158</f>
        <v>412070</v>
      </c>
    </row>
    <row r="1257">
      <c r="A1257" s="10">
        <f>Github!J$538</f>
        <v>537</v>
      </c>
      <c r="B1257" s="11" t="str">
        <f>HYPERLINK(CONCAT("http://leetcode.com/problems/",Github!C$538), Github!B$538)</f>
        <v>Complex Number Multiplication</v>
      </c>
      <c r="C1257" s="10">
        <f>Github!F$538</f>
        <v>486</v>
      </c>
      <c r="D1257" s="10">
        <f>Github!G$538</f>
        <v>1109</v>
      </c>
      <c r="E1257" s="10">
        <f>Github!F$538+Github!G$538</f>
        <v>1595</v>
      </c>
      <c r="F1257" s="12">
        <f t="shared" si="1"/>
        <v>0.44</v>
      </c>
      <c r="G1257" s="10" t="str">
        <f>Github!H$538</f>
        <v>Algorithms</v>
      </c>
      <c r="H1257" s="13" t="str">
        <f>SUBSTITUTE(Github!L$538, ";", ", ")</f>
        <v>Math, String, Simulation, </v>
      </c>
      <c r="I1257" s="10" t="str">
        <f>Github!E$538</f>
        <v>Medium</v>
      </c>
      <c r="J1257" s="10" t="str">
        <f>IF(TRIM(Github!D$538)="TRUE","FALSE","TRUE")</f>
        <v>TRUE</v>
      </c>
      <c r="K1257" s="10" t="b">
        <f>Github!M$538</f>
        <v>1</v>
      </c>
      <c r="L1257" s="10" t="b">
        <f>Github!N$538</f>
        <v>0</v>
      </c>
      <c r="M1257" s="10" t="str">
        <f>ROUND(Github!O$538, 2)&amp;"%"</f>
        <v>71.08%</v>
      </c>
      <c r="N1257" s="10">
        <f>Github!P$538</f>
        <v>79913</v>
      </c>
      <c r="O1257" s="10">
        <f>Github!Q$538</f>
        <v>112427</v>
      </c>
    </row>
    <row r="1258">
      <c r="A1258" s="10">
        <f>Github!J$1409</f>
        <v>1408</v>
      </c>
      <c r="B1258" s="11" t="str">
        <f>HYPERLINK(CONCAT("http://leetcode.com/problems/",Github!C$1409), Github!B$1409)</f>
        <v>String Matching in an Array</v>
      </c>
      <c r="C1258" s="10">
        <f>Github!F$1409</f>
        <v>486</v>
      </c>
      <c r="D1258" s="10">
        <f>Github!G$1409</f>
        <v>70</v>
      </c>
      <c r="E1258" s="10">
        <f>Github!F$1409+Github!G$1409</f>
        <v>556</v>
      </c>
      <c r="F1258" s="12">
        <f t="shared" si="1"/>
        <v>6.94</v>
      </c>
      <c r="G1258" s="10" t="str">
        <f>Github!H$1409</f>
        <v>Algorithms</v>
      </c>
      <c r="H1258" s="13" t="str">
        <f>SUBSTITUTE(Github!L$1409, ";", ", ")</f>
        <v>String, String Matching, </v>
      </c>
      <c r="I1258" s="10" t="str">
        <f>Github!E$1409</f>
        <v>Easy</v>
      </c>
      <c r="J1258" s="10" t="str">
        <f>IF(TRIM(Github!D$1409)="TRUE","FALSE","TRUE")</f>
        <v>TRUE</v>
      </c>
      <c r="K1258" s="10" t="b">
        <f>Github!M$1409</f>
        <v>0</v>
      </c>
      <c r="L1258" s="10" t="b">
        <f>Github!N$1409</f>
        <v>0</v>
      </c>
      <c r="M1258" s="10" t="str">
        <f>ROUND(Github!O$1409, 2)&amp;"%"</f>
        <v>63.82%</v>
      </c>
      <c r="N1258" s="10">
        <f>Github!P$1409</f>
        <v>52694</v>
      </c>
      <c r="O1258" s="10">
        <f>Github!Q$1409</f>
        <v>82561</v>
      </c>
    </row>
    <row r="1259">
      <c r="A1259" s="10">
        <f>Github!J$1829</f>
        <v>1828</v>
      </c>
      <c r="B1259" s="11" t="str">
        <f>HYPERLINK(CONCAT("http://leetcode.com/problems/",Github!C$1829), Github!B$1829)</f>
        <v>Queries on Number of Points Inside a Circle</v>
      </c>
      <c r="C1259" s="10">
        <f>Github!F$1829</f>
        <v>487</v>
      </c>
      <c r="D1259" s="10">
        <f>Github!G$1829</f>
        <v>52</v>
      </c>
      <c r="E1259" s="10">
        <f>Github!F$1829+Github!G$1829</f>
        <v>539</v>
      </c>
      <c r="F1259" s="12">
        <f t="shared" si="1"/>
        <v>9.37</v>
      </c>
      <c r="G1259" s="10" t="str">
        <f>Github!H$1829</f>
        <v>Algorithms</v>
      </c>
      <c r="H1259" s="13" t="str">
        <f>SUBSTITUTE(Github!L$1829, ";", ", ")</f>
        <v>Array, Math, Geometry, </v>
      </c>
      <c r="I1259" s="10" t="str">
        <f>Github!E$1829</f>
        <v>Medium</v>
      </c>
      <c r="J1259" s="10" t="str">
        <f>IF(TRIM(Github!D$1829)="TRUE","FALSE","TRUE")</f>
        <v>TRUE</v>
      </c>
      <c r="K1259" s="10" t="b">
        <f>Github!M$1829</f>
        <v>0</v>
      </c>
      <c r="L1259" s="10" t="b">
        <f>Github!N$1829</f>
        <v>0</v>
      </c>
      <c r="M1259" s="10" t="str">
        <f>ROUND(Github!O$1829, 2)&amp;"%"</f>
        <v>86.64%</v>
      </c>
      <c r="N1259" s="10">
        <f>Github!P$1829</f>
        <v>35645</v>
      </c>
      <c r="O1259" s="10">
        <f>Github!Q$1829</f>
        <v>41143</v>
      </c>
    </row>
    <row r="1260">
      <c r="A1260" s="10">
        <f>Github!J$1781</f>
        <v>1780</v>
      </c>
      <c r="B1260" s="11" t="str">
        <f>HYPERLINK(CONCAT("http://leetcode.com/problems/",Github!C$1781), Github!B$1781)</f>
        <v>Check if Number is a Sum of Powers of Three</v>
      </c>
      <c r="C1260" s="10">
        <f>Github!F$1781</f>
        <v>486</v>
      </c>
      <c r="D1260" s="10">
        <f>Github!G$1781</f>
        <v>17</v>
      </c>
      <c r="E1260" s="10">
        <f>Github!F$1781+Github!G$1781</f>
        <v>503</v>
      </c>
      <c r="F1260" s="12">
        <f t="shared" si="1"/>
        <v>28.59</v>
      </c>
      <c r="G1260" s="10" t="str">
        <f>Github!H$1781</f>
        <v>Algorithms</v>
      </c>
      <c r="H1260" s="13" t="str">
        <f>SUBSTITUTE(Github!L$1781, ";", ", ")</f>
        <v>Math, </v>
      </c>
      <c r="I1260" s="10" t="str">
        <f>Github!E$1781</f>
        <v>Medium</v>
      </c>
      <c r="J1260" s="10" t="str">
        <f>IF(TRIM(Github!D$1781)="TRUE","FALSE","TRUE")</f>
        <v>TRUE</v>
      </c>
      <c r="K1260" s="10" t="b">
        <f>Github!M$1781</f>
        <v>0</v>
      </c>
      <c r="L1260" s="10" t="b">
        <f>Github!N$1781</f>
        <v>0</v>
      </c>
      <c r="M1260" s="10" t="str">
        <f>ROUND(Github!O$1781, 2)&amp;"%"</f>
        <v>64.76%</v>
      </c>
      <c r="N1260" s="10">
        <f>Github!P$1781</f>
        <v>20326</v>
      </c>
      <c r="O1260" s="10">
        <f>Github!Q$1781</f>
        <v>31386</v>
      </c>
    </row>
    <row r="1261">
      <c r="A1261" s="10">
        <f>Github!J$1171</f>
        <v>1170</v>
      </c>
      <c r="B1261" s="11" t="str">
        <f>HYPERLINK(CONCAT("http://leetcode.com/problems/",Github!C$1171), Github!B$1171)</f>
        <v>Compare Strings by Frequency of the Smallest Character</v>
      </c>
      <c r="C1261" s="10">
        <f>Github!F$1171</f>
        <v>484</v>
      </c>
      <c r="D1261" s="10">
        <f>Github!G$1171</f>
        <v>882</v>
      </c>
      <c r="E1261" s="10">
        <f>Github!F$1171+Github!G$1171</f>
        <v>1366</v>
      </c>
      <c r="F1261" s="12">
        <f t="shared" si="1"/>
        <v>0.55</v>
      </c>
      <c r="G1261" s="10" t="str">
        <f>Github!H$1171</f>
        <v>Algorithms</v>
      </c>
      <c r="H1261" s="13" t="str">
        <f>SUBSTITUTE(Github!L$1171, ";", ", ")</f>
        <v>Array, Hash Table, String, Binary Search, Sorting, </v>
      </c>
      <c r="I1261" s="10" t="str">
        <f>Github!E$1171</f>
        <v>Medium</v>
      </c>
      <c r="J1261" s="10" t="str">
        <f>IF(TRIM(Github!D$1171)="TRUE","FALSE","TRUE")</f>
        <v>TRUE</v>
      </c>
      <c r="K1261" s="10" t="b">
        <f>Github!M$1171</f>
        <v>0</v>
      </c>
      <c r="L1261" s="10" t="b">
        <f>Github!N$1171</f>
        <v>0</v>
      </c>
      <c r="M1261" s="10" t="str">
        <f>ROUND(Github!O$1171, 2)&amp;"%"</f>
        <v>61.04%</v>
      </c>
      <c r="N1261" s="10">
        <f>Github!P$1171</f>
        <v>64290</v>
      </c>
      <c r="O1261" s="10">
        <f>Github!Q$1171</f>
        <v>105329</v>
      </c>
    </row>
    <row r="1262">
      <c r="A1262" s="10">
        <f>Github!J$1063</f>
        <v>1062</v>
      </c>
      <c r="B1262" s="11" t="str">
        <f>HYPERLINK(CONCAT("http://leetcode.com/problems/",Github!C$1063), Github!B$1063)</f>
        <v>Longest Repeating Substring</v>
      </c>
      <c r="C1262" s="10">
        <f>Github!F$1063</f>
        <v>481</v>
      </c>
      <c r="D1262" s="10">
        <f>Github!G$1063</f>
        <v>30</v>
      </c>
      <c r="E1262" s="10">
        <f>Github!F$1063+Github!G$1063</f>
        <v>511</v>
      </c>
      <c r="F1262" s="12">
        <f t="shared" si="1"/>
        <v>16.03</v>
      </c>
      <c r="G1262" s="10" t="str">
        <f>Github!H$1063</f>
        <v>Algorithms</v>
      </c>
      <c r="H1262" s="13" t="str">
        <f>SUBSTITUTE(Github!L$1063, ";", ", ")</f>
        <v>String, Binary Search, Dynamic Programming, Rolling Hash, Suffix Array, Hash Function, </v>
      </c>
      <c r="I1262" s="10" t="str">
        <f>Github!E$1063</f>
        <v>Medium</v>
      </c>
      <c r="J1262" s="10" t="str">
        <f>IF(TRIM(Github!D$1063)="TRUE","FALSE","TRUE")</f>
        <v>FALSE</v>
      </c>
      <c r="K1262" s="10" t="b">
        <f>Github!M$1063</f>
        <v>1</v>
      </c>
      <c r="L1262" s="10" t="b">
        <f>Github!N$1063</f>
        <v>0</v>
      </c>
      <c r="M1262" s="10" t="str">
        <f>ROUND(Github!O$1063, 2)&amp;"%"</f>
        <v>59.2%</v>
      </c>
      <c r="N1262" s="10">
        <f>Github!P$1063</f>
        <v>24951</v>
      </c>
      <c r="O1262" s="10">
        <f>Github!Q$1063</f>
        <v>42152</v>
      </c>
    </row>
    <row r="1263">
      <c r="A1263" s="10">
        <f>Github!J$1434</f>
        <v>1433</v>
      </c>
      <c r="B1263" s="11" t="str">
        <f>HYPERLINK(CONCAT("http://leetcode.com/problems/",Github!C$1434), Github!B$1434)</f>
        <v>Check If a String Can Break Another String</v>
      </c>
      <c r="C1263" s="10">
        <f>Github!F$1434</f>
        <v>481</v>
      </c>
      <c r="D1263" s="10">
        <f>Github!G$1434</f>
        <v>108</v>
      </c>
      <c r="E1263" s="10">
        <f>Github!F$1434+Github!G$1434</f>
        <v>589</v>
      </c>
      <c r="F1263" s="12">
        <f t="shared" si="1"/>
        <v>4.45</v>
      </c>
      <c r="G1263" s="10" t="str">
        <f>Github!H$1434</f>
        <v>Algorithms</v>
      </c>
      <c r="H1263" s="13" t="str">
        <f>SUBSTITUTE(Github!L$1434, ";", ", ")</f>
        <v>String, Greedy, Sorting, </v>
      </c>
      <c r="I1263" s="10" t="str">
        <f>Github!E$1434</f>
        <v>Medium</v>
      </c>
      <c r="J1263" s="10" t="str">
        <f>IF(TRIM(Github!D$1434)="TRUE","FALSE","TRUE")</f>
        <v>TRUE</v>
      </c>
      <c r="K1263" s="10" t="b">
        <f>Github!M$1434</f>
        <v>0</v>
      </c>
      <c r="L1263" s="10" t="b">
        <f>Github!N$1434</f>
        <v>0</v>
      </c>
      <c r="M1263" s="10" t="str">
        <f>ROUND(Github!O$1434, 2)&amp;"%"</f>
        <v>68.36%</v>
      </c>
      <c r="N1263" s="10">
        <f>Github!P$1434</f>
        <v>28589</v>
      </c>
      <c r="O1263" s="10">
        <f>Github!Q$1434</f>
        <v>41823</v>
      </c>
    </row>
    <row r="1264">
      <c r="A1264" s="10">
        <f>Github!J$485</f>
        <v>484</v>
      </c>
      <c r="B1264" s="11" t="str">
        <f>HYPERLINK(CONCAT("http://leetcode.com/problems/",Github!C$485), Github!B$485)</f>
        <v>Find Permutation</v>
      </c>
      <c r="C1264" s="10">
        <f>Github!F$485</f>
        <v>480</v>
      </c>
      <c r="D1264" s="10">
        <f>Github!G$485</f>
        <v>79</v>
      </c>
      <c r="E1264" s="10">
        <f>Github!F$485+Github!G$485</f>
        <v>559</v>
      </c>
      <c r="F1264" s="12">
        <f t="shared" si="1"/>
        <v>6.08</v>
      </c>
      <c r="G1264" s="10" t="str">
        <f>Github!H$485</f>
        <v>Algorithms</v>
      </c>
      <c r="H1264" s="13" t="str">
        <f>SUBSTITUTE(Github!L$485, ";", ", ")</f>
        <v>Array, Stack, Greedy, </v>
      </c>
      <c r="I1264" s="10" t="str">
        <f>Github!E$485</f>
        <v>Medium</v>
      </c>
      <c r="J1264" s="10" t="str">
        <f>IF(TRIM(Github!D$485)="TRUE","FALSE","TRUE")</f>
        <v>FALSE</v>
      </c>
      <c r="K1264" s="10" t="b">
        <f>Github!M$485</f>
        <v>1</v>
      </c>
      <c r="L1264" s="10" t="b">
        <f>Github!N$485</f>
        <v>0</v>
      </c>
      <c r="M1264" s="10" t="str">
        <f>ROUND(Github!O$485, 2)&amp;"%"</f>
        <v>64.3%</v>
      </c>
      <c r="N1264" s="10">
        <f>Github!P$485</f>
        <v>26968</v>
      </c>
      <c r="O1264" s="10">
        <f>Github!Q$485</f>
        <v>41940</v>
      </c>
    </row>
    <row r="1265">
      <c r="A1265" s="10">
        <f>Github!J$1856</f>
        <v>1855</v>
      </c>
      <c r="B1265" s="11" t="str">
        <f>HYPERLINK(CONCAT("http://leetcode.com/problems/",Github!C$1856), Github!B$1856)</f>
        <v>Maximum Distance Between a Pair of Values</v>
      </c>
      <c r="C1265" s="10">
        <f>Github!F$1856</f>
        <v>481</v>
      </c>
      <c r="D1265" s="10">
        <f>Github!G$1856</f>
        <v>9</v>
      </c>
      <c r="E1265" s="10">
        <f>Github!F$1856+Github!G$1856</f>
        <v>490</v>
      </c>
      <c r="F1265" s="12">
        <f t="shared" si="1"/>
        <v>53.44</v>
      </c>
      <c r="G1265" s="10" t="str">
        <f>Github!H$1856</f>
        <v>Algorithms</v>
      </c>
      <c r="H1265" s="13" t="str">
        <f>SUBSTITUTE(Github!L$1856, ";", ", ")</f>
        <v>Array, Two Pointers, Binary Search, Greedy, </v>
      </c>
      <c r="I1265" s="10" t="str">
        <f>Github!E$1856</f>
        <v>Medium</v>
      </c>
      <c r="J1265" s="10" t="str">
        <f>IF(TRIM(Github!D$1856)="TRUE","FALSE","TRUE")</f>
        <v>TRUE</v>
      </c>
      <c r="K1265" s="10" t="b">
        <f>Github!M$1856</f>
        <v>0</v>
      </c>
      <c r="L1265" s="10" t="b">
        <f>Github!N$1856</f>
        <v>0</v>
      </c>
      <c r="M1265" s="10" t="str">
        <f>ROUND(Github!O$1856, 2)&amp;"%"</f>
        <v>48.95%</v>
      </c>
      <c r="N1265" s="10">
        <f>Github!P$1856</f>
        <v>19057</v>
      </c>
      <c r="O1265" s="10">
        <f>Github!Q$1856</f>
        <v>38929</v>
      </c>
    </row>
    <row r="1266">
      <c r="A1266" s="10">
        <f>Github!J$761</f>
        <v>760</v>
      </c>
      <c r="B1266" s="11" t="str">
        <f>HYPERLINK(CONCAT("http://leetcode.com/problems/",Github!C$761), Github!B$761)</f>
        <v>Find Anagram Mappings</v>
      </c>
      <c r="C1266" s="10">
        <f>Github!F$761</f>
        <v>478</v>
      </c>
      <c r="D1266" s="10">
        <f>Github!G$761</f>
        <v>193</v>
      </c>
      <c r="E1266" s="10">
        <f>Github!F$761+Github!G$761</f>
        <v>671</v>
      </c>
      <c r="F1266" s="12">
        <f t="shared" si="1"/>
        <v>2.48</v>
      </c>
      <c r="G1266" s="10" t="str">
        <f>Github!H$761</f>
        <v>Algorithms</v>
      </c>
      <c r="H1266" s="13" t="str">
        <f>SUBSTITUTE(Github!L$761, ";", ", ")</f>
        <v>Array, Hash Table, </v>
      </c>
      <c r="I1266" s="10" t="str">
        <f>Github!E$761</f>
        <v>Easy</v>
      </c>
      <c r="J1266" s="10" t="str">
        <f>IF(TRIM(Github!D$761)="TRUE","FALSE","TRUE")</f>
        <v>FALSE</v>
      </c>
      <c r="K1266" s="10" t="b">
        <f>Github!M$761</f>
        <v>1</v>
      </c>
      <c r="L1266" s="10" t="b">
        <f>Github!N$761</f>
        <v>0</v>
      </c>
      <c r="M1266" s="10" t="str">
        <f>ROUND(Github!O$761, 2)&amp;"%"</f>
        <v>82.61%</v>
      </c>
      <c r="N1266" s="10">
        <f>Github!P$761</f>
        <v>79602</v>
      </c>
      <c r="O1266" s="10">
        <f>Github!Q$761</f>
        <v>96354</v>
      </c>
    </row>
    <row r="1267">
      <c r="A1267" s="10">
        <f>Github!J$1450</f>
        <v>1449</v>
      </c>
      <c r="B1267" s="11" t="str">
        <f>HYPERLINK(CONCAT("http://leetcode.com/problems/",Github!C$1450), Github!B$1450)</f>
        <v>Form Largest Integer With Digits That Add up to Target</v>
      </c>
      <c r="C1267" s="10">
        <f>Github!F$1450</f>
        <v>478</v>
      </c>
      <c r="D1267" s="10">
        <f>Github!G$1450</f>
        <v>8</v>
      </c>
      <c r="E1267" s="10">
        <f>Github!F$1450+Github!G$1450</f>
        <v>486</v>
      </c>
      <c r="F1267" s="12">
        <f t="shared" si="1"/>
        <v>59.75</v>
      </c>
      <c r="G1267" s="10" t="str">
        <f>Github!H$1450</f>
        <v>Algorithms</v>
      </c>
      <c r="H1267" s="13" t="str">
        <f>SUBSTITUTE(Github!L$1450, ";", ", ")</f>
        <v>Array, Dynamic Programming, </v>
      </c>
      <c r="I1267" s="10" t="str">
        <f>Github!E$1450</f>
        <v>Hard</v>
      </c>
      <c r="J1267" s="10" t="str">
        <f>IF(TRIM(Github!D$1450)="TRUE","FALSE","TRUE")</f>
        <v>TRUE</v>
      </c>
      <c r="K1267" s="10" t="b">
        <f>Github!M$1450</f>
        <v>0</v>
      </c>
      <c r="L1267" s="10" t="b">
        <f>Github!N$1450</f>
        <v>0</v>
      </c>
      <c r="M1267" s="10" t="str">
        <f>ROUND(Github!O$1450, 2)&amp;"%"</f>
        <v>46.21%</v>
      </c>
      <c r="N1267" s="10">
        <f>Github!P$1450</f>
        <v>11712</v>
      </c>
      <c r="O1267" s="10">
        <f>Github!Q$1450</f>
        <v>25347</v>
      </c>
    </row>
    <row r="1268">
      <c r="A1268" s="10">
        <f>Github!J$886</f>
        <v>885</v>
      </c>
      <c r="B1268" s="11" t="str">
        <f>HYPERLINK(CONCAT("http://leetcode.com/problems/",Github!C$886), Github!B$886)</f>
        <v>Spiral Matrix III</v>
      </c>
      <c r="C1268" s="10">
        <f>Github!F$886</f>
        <v>480</v>
      </c>
      <c r="D1268" s="10">
        <f>Github!G$886</f>
        <v>515</v>
      </c>
      <c r="E1268" s="10">
        <f>Github!F$886+Github!G$886</f>
        <v>995</v>
      </c>
      <c r="F1268" s="12">
        <f t="shared" si="1"/>
        <v>0.93</v>
      </c>
      <c r="G1268" s="10" t="str">
        <f>Github!H$886</f>
        <v>Algorithms</v>
      </c>
      <c r="H1268" s="13" t="str">
        <f>SUBSTITUTE(Github!L$886, ";", ", ")</f>
        <v>Array, Matrix, Simulation, </v>
      </c>
      <c r="I1268" s="10" t="str">
        <f>Github!E$886</f>
        <v>Medium</v>
      </c>
      <c r="J1268" s="10" t="str">
        <f>IF(TRIM(Github!D$886)="TRUE","FALSE","TRUE")</f>
        <v>TRUE</v>
      </c>
      <c r="K1268" s="10" t="b">
        <f>Github!M$886</f>
        <v>1</v>
      </c>
      <c r="L1268" s="10" t="b">
        <f>Github!N$886</f>
        <v>0</v>
      </c>
      <c r="M1268" s="10" t="str">
        <f>ROUND(Github!O$886, 2)&amp;"%"</f>
        <v>72.21%</v>
      </c>
      <c r="N1268" s="10">
        <f>Github!P$886</f>
        <v>32825</v>
      </c>
      <c r="O1268" s="10">
        <f>Github!Q$886</f>
        <v>45456</v>
      </c>
    </row>
    <row r="1269">
      <c r="A1269" s="10">
        <f>Github!J$2090</f>
        <v>2089</v>
      </c>
      <c r="B1269" s="11" t="str">
        <f>HYPERLINK(CONCAT("http://leetcode.com/problems/",Github!C$2090), Github!B$2090)</f>
        <v>Find Target Indices After Sorting Array</v>
      </c>
      <c r="C1269" s="10">
        <f>Github!F$2090</f>
        <v>478</v>
      </c>
      <c r="D1269" s="10">
        <f>Github!G$2090</f>
        <v>23</v>
      </c>
      <c r="E1269" s="10">
        <f>Github!F$2090+Github!G$2090</f>
        <v>501</v>
      </c>
      <c r="F1269" s="12">
        <f t="shared" si="1"/>
        <v>20.78</v>
      </c>
      <c r="G1269" s="10" t="str">
        <f>Github!H$2090</f>
        <v>Algorithms</v>
      </c>
      <c r="H1269" s="13" t="str">
        <f>SUBSTITUTE(Github!L$2090, ";", ", ")</f>
        <v>Array, Binary Search, Sorting, </v>
      </c>
      <c r="I1269" s="10" t="str">
        <f>Github!E$2090</f>
        <v>Easy</v>
      </c>
      <c r="J1269" s="10" t="str">
        <f>IF(TRIM(Github!D$2090)="TRUE","FALSE","TRUE")</f>
        <v>TRUE</v>
      </c>
      <c r="K1269" s="10" t="b">
        <f>Github!M$2090</f>
        <v>0</v>
      </c>
      <c r="L1269" s="10" t="b">
        <f>Github!N$2090</f>
        <v>0</v>
      </c>
      <c r="M1269" s="10" t="str">
        <f>ROUND(Github!O$2090, 2)&amp;"%"</f>
        <v>80.22%</v>
      </c>
      <c r="N1269" s="10">
        <f>Github!P$2090</f>
        <v>43006</v>
      </c>
      <c r="O1269" s="10">
        <f>Github!Q$2090</f>
        <v>53611</v>
      </c>
    </row>
    <row r="1270">
      <c r="A1270" s="10">
        <f>Github!J$1140</f>
        <v>1139</v>
      </c>
      <c r="B1270" s="11" t="str">
        <f>HYPERLINK(CONCAT("http://leetcode.com/problems/",Github!C$1140), Github!B$1140)</f>
        <v>Largest 1-Bordered Square</v>
      </c>
      <c r="C1270" s="10">
        <f>Github!F$1140</f>
        <v>477</v>
      </c>
      <c r="D1270" s="10">
        <f>Github!G$1140</f>
        <v>80</v>
      </c>
      <c r="E1270" s="10">
        <f>Github!F$1140+Github!G$1140</f>
        <v>557</v>
      </c>
      <c r="F1270" s="12">
        <f t="shared" si="1"/>
        <v>5.96</v>
      </c>
      <c r="G1270" s="10" t="str">
        <f>Github!H$1140</f>
        <v>Algorithms</v>
      </c>
      <c r="H1270" s="13" t="str">
        <f>SUBSTITUTE(Github!L$1140, ";", ", ")</f>
        <v>Array, Dynamic Programming, Matrix, </v>
      </c>
      <c r="I1270" s="10" t="str">
        <f>Github!E$1140</f>
        <v>Medium</v>
      </c>
      <c r="J1270" s="10" t="str">
        <f>IF(TRIM(Github!D$1140)="TRUE","FALSE","TRUE")</f>
        <v>TRUE</v>
      </c>
      <c r="K1270" s="10" t="b">
        <f>Github!M$1140</f>
        <v>0</v>
      </c>
      <c r="L1270" s="10" t="b">
        <f>Github!N$1140</f>
        <v>0</v>
      </c>
      <c r="M1270" s="10" t="str">
        <f>ROUND(Github!O$1140, 2)&amp;"%"</f>
        <v>49.25%</v>
      </c>
      <c r="N1270" s="10">
        <f>Github!P$1140</f>
        <v>17696</v>
      </c>
      <c r="O1270" s="10">
        <f>Github!Q$1140</f>
        <v>35932</v>
      </c>
    </row>
    <row r="1271">
      <c r="A1271" s="10">
        <f>Github!J$892</f>
        <v>891</v>
      </c>
      <c r="B1271" s="11" t="str">
        <f>HYPERLINK(CONCAT("http://leetcode.com/problems/",Github!C$892), Github!B$892)</f>
        <v>Sum of Subsequence Widths</v>
      </c>
      <c r="C1271" s="10">
        <f>Github!F$892</f>
        <v>475</v>
      </c>
      <c r="D1271" s="10">
        <f>Github!G$892</f>
        <v>137</v>
      </c>
      <c r="E1271" s="10">
        <f>Github!F$892+Github!G$892</f>
        <v>612</v>
      </c>
      <c r="F1271" s="12">
        <f t="shared" si="1"/>
        <v>3.47</v>
      </c>
      <c r="G1271" s="10" t="str">
        <f>Github!H$892</f>
        <v>Algorithms</v>
      </c>
      <c r="H1271" s="13" t="str">
        <f>SUBSTITUTE(Github!L$892, ";", ", ")</f>
        <v>Array, Math, Sorting, </v>
      </c>
      <c r="I1271" s="10" t="str">
        <f>Github!E$892</f>
        <v>Hard</v>
      </c>
      <c r="J1271" s="10" t="str">
        <f>IF(TRIM(Github!D$892)="TRUE","FALSE","TRUE")</f>
        <v>TRUE</v>
      </c>
      <c r="K1271" s="10" t="b">
        <f>Github!M$892</f>
        <v>1</v>
      </c>
      <c r="L1271" s="10" t="b">
        <f>Github!N$892</f>
        <v>0</v>
      </c>
      <c r="M1271" s="10" t="str">
        <f>ROUND(Github!O$892, 2)&amp;"%"</f>
        <v>35.14%</v>
      </c>
      <c r="N1271" s="10">
        <f>Github!P$892</f>
        <v>14489</v>
      </c>
      <c r="O1271" s="10">
        <f>Github!Q$892</f>
        <v>41229</v>
      </c>
    </row>
    <row r="1272">
      <c r="A1272" s="10">
        <f>Github!J$1706</f>
        <v>1705</v>
      </c>
      <c r="B1272" s="11" t="str">
        <f>HYPERLINK(CONCAT("http://leetcode.com/problems/",Github!C$1706), Github!B$1706)</f>
        <v>Maximum Number of Eaten Apples</v>
      </c>
      <c r="C1272" s="10">
        <f>Github!F$1706</f>
        <v>474</v>
      </c>
      <c r="D1272" s="10">
        <f>Github!G$1706</f>
        <v>142</v>
      </c>
      <c r="E1272" s="10">
        <f>Github!F$1706+Github!G$1706</f>
        <v>616</v>
      </c>
      <c r="F1272" s="12">
        <f t="shared" si="1"/>
        <v>3.34</v>
      </c>
      <c r="G1272" s="10" t="str">
        <f>Github!H$1706</f>
        <v>Algorithms</v>
      </c>
      <c r="H1272" s="13" t="str">
        <f>SUBSTITUTE(Github!L$1706, ";", ", ")</f>
        <v>Array, Greedy, Heap (Priority Queue), </v>
      </c>
      <c r="I1272" s="10" t="str">
        <f>Github!E$1706</f>
        <v>Medium</v>
      </c>
      <c r="J1272" s="10" t="str">
        <f>IF(TRIM(Github!D$1706)="TRUE","FALSE","TRUE")</f>
        <v>TRUE</v>
      </c>
      <c r="K1272" s="10" t="b">
        <f>Github!M$1706</f>
        <v>0</v>
      </c>
      <c r="L1272" s="10" t="b">
        <f>Github!N$1706</f>
        <v>0</v>
      </c>
      <c r="M1272" s="10" t="str">
        <f>ROUND(Github!O$1706, 2)&amp;"%"</f>
        <v>36.08%</v>
      </c>
      <c r="N1272" s="10">
        <f>Github!P$1706</f>
        <v>13697</v>
      </c>
      <c r="O1272" s="10">
        <f>Github!Q$1706</f>
        <v>37958</v>
      </c>
    </row>
    <row r="1273">
      <c r="A1273" s="10">
        <f>Github!J$1792</f>
        <v>1791</v>
      </c>
      <c r="B1273" s="11" t="str">
        <f>HYPERLINK(CONCAT("http://leetcode.com/problems/",Github!C$1792), Github!B$1792)</f>
        <v>Find Center of Star Graph</v>
      </c>
      <c r="C1273" s="10">
        <f>Github!F$1792</f>
        <v>474</v>
      </c>
      <c r="D1273" s="10">
        <f>Github!G$1792</f>
        <v>65</v>
      </c>
      <c r="E1273" s="10">
        <f>Github!F$1792+Github!G$1792</f>
        <v>539</v>
      </c>
      <c r="F1273" s="12">
        <f t="shared" si="1"/>
        <v>7.29</v>
      </c>
      <c r="G1273" s="10" t="str">
        <f>Github!H$1792</f>
        <v>Algorithms</v>
      </c>
      <c r="H1273" s="13" t="str">
        <f>SUBSTITUTE(Github!L$1792, ";", ", ")</f>
        <v>Graph, </v>
      </c>
      <c r="I1273" s="10" t="str">
        <f>Github!E$1792</f>
        <v>Easy</v>
      </c>
      <c r="J1273" s="10" t="str">
        <f>IF(TRIM(Github!D$1792)="TRUE","FALSE","TRUE")</f>
        <v>TRUE</v>
      </c>
      <c r="K1273" s="10" t="b">
        <f>Github!M$1792</f>
        <v>0</v>
      </c>
      <c r="L1273" s="10" t="b">
        <f>Github!N$1792</f>
        <v>0</v>
      </c>
      <c r="M1273" s="10" t="str">
        <f>ROUND(Github!O$1792, 2)&amp;"%"</f>
        <v>83.74%</v>
      </c>
      <c r="N1273" s="10">
        <f>Github!P$1792</f>
        <v>72976</v>
      </c>
      <c r="O1273" s="10">
        <f>Github!Q$1792</f>
        <v>87151</v>
      </c>
    </row>
    <row r="1274">
      <c r="A1274" s="10">
        <f>Github!J$1456</f>
        <v>1455</v>
      </c>
      <c r="B1274" s="11" t="str">
        <f>HYPERLINK(CONCAT("http://leetcode.com/problems/",Github!C$1456), Github!B$1456)</f>
        <v>Check If a Word Occurs As a Prefix of Any Word in a Sentence</v>
      </c>
      <c r="C1274" s="10">
        <f>Github!F$1456</f>
        <v>473</v>
      </c>
      <c r="D1274" s="10">
        <f>Github!G$1456</f>
        <v>23</v>
      </c>
      <c r="E1274" s="10">
        <f>Github!F$1456+Github!G$1456</f>
        <v>496</v>
      </c>
      <c r="F1274" s="12">
        <f t="shared" si="1"/>
        <v>20.57</v>
      </c>
      <c r="G1274" s="10" t="str">
        <f>Github!H$1456</f>
        <v>Algorithms</v>
      </c>
      <c r="H1274" s="13" t="str">
        <f>SUBSTITUTE(Github!L$1456, ";", ", ")</f>
        <v>String, String Matching, </v>
      </c>
      <c r="I1274" s="10" t="str">
        <f>Github!E$1456</f>
        <v>Easy</v>
      </c>
      <c r="J1274" s="10" t="str">
        <f>IF(TRIM(Github!D$1456)="TRUE","FALSE","TRUE")</f>
        <v>TRUE</v>
      </c>
      <c r="K1274" s="10" t="b">
        <f>Github!M$1456</f>
        <v>0</v>
      </c>
      <c r="L1274" s="10" t="b">
        <f>Github!N$1456</f>
        <v>0</v>
      </c>
      <c r="M1274" s="10" t="str">
        <f>ROUND(Github!O$1456, 2)&amp;"%"</f>
        <v>64.56%</v>
      </c>
      <c r="N1274" s="10">
        <f>Github!P$1456</f>
        <v>47335</v>
      </c>
      <c r="O1274" s="10">
        <f>Github!Q$1456</f>
        <v>73319</v>
      </c>
    </row>
    <row r="1275">
      <c r="A1275" s="10">
        <f>Github!J$1590</f>
        <v>1589</v>
      </c>
      <c r="B1275" s="11" t="str">
        <f>HYPERLINK(CONCAT("http://leetcode.com/problems/",Github!C$1590), Github!B$1590)</f>
        <v>Maximum Sum Obtained of Any Permutation</v>
      </c>
      <c r="C1275" s="10">
        <f>Github!F$1590</f>
        <v>472</v>
      </c>
      <c r="D1275" s="10">
        <f>Github!G$1590</f>
        <v>25</v>
      </c>
      <c r="E1275" s="10">
        <f>Github!F$1590+Github!G$1590</f>
        <v>497</v>
      </c>
      <c r="F1275" s="12">
        <f t="shared" si="1"/>
        <v>18.88</v>
      </c>
      <c r="G1275" s="10" t="str">
        <f>Github!H$1590</f>
        <v>Algorithms</v>
      </c>
      <c r="H1275" s="13" t="str">
        <f>SUBSTITUTE(Github!L$1590, ";", ", ")</f>
        <v>Array, Greedy, Sorting, Prefix Sum, </v>
      </c>
      <c r="I1275" s="10" t="str">
        <f>Github!E$1590</f>
        <v>Medium</v>
      </c>
      <c r="J1275" s="10" t="str">
        <f>IF(TRIM(Github!D$1590)="TRUE","FALSE","TRUE")</f>
        <v>TRUE</v>
      </c>
      <c r="K1275" s="10" t="b">
        <f>Github!M$1590</f>
        <v>0</v>
      </c>
      <c r="L1275" s="10" t="b">
        <f>Github!N$1590</f>
        <v>0</v>
      </c>
      <c r="M1275" s="10" t="str">
        <f>ROUND(Github!O$1590, 2)&amp;"%"</f>
        <v>36.22%</v>
      </c>
      <c r="N1275" s="10">
        <f>Github!P$1590</f>
        <v>11777</v>
      </c>
      <c r="O1275" s="10">
        <f>Github!Q$1590</f>
        <v>32517</v>
      </c>
    </row>
    <row r="1276">
      <c r="A1276" s="10">
        <f>Github!J$1803</f>
        <v>1802</v>
      </c>
      <c r="B1276" s="11" t="str">
        <f>HYPERLINK(CONCAT("http://leetcode.com/problems/",Github!C$1803), Github!B$1803)</f>
        <v>Maximum Value at a Given Index in a Bounded Array</v>
      </c>
      <c r="C1276" s="10">
        <f>Github!F$1803</f>
        <v>472</v>
      </c>
      <c r="D1276" s="10">
        <f>Github!G$1803</f>
        <v>66</v>
      </c>
      <c r="E1276" s="10">
        <f>Github!F$1803+Github!G$1803</f>
        <v>538</v>
      </c>
      <c r="F1276" s="12">
        <f t="shared" si="1"/>
        <v>7.15</v>
      </c>
      <c r="G1276" s="10" t="str">
        <f>Github!H$1803</f>
        <v>Algorithms</v>
      </c>
      <c r="H1276" s="13" t="str">
        <f>SUBSTITUTE(Github!L$1803, ";", ", ")</f>
        <v>Binary Search, Greedy, </v>
      </c>
      <c r="I1276" s="10" t="str">
        <f>Github!E$1803</f>
        <v>Medium</v>
      </c>
      <c r="J1276" s="10" t="str">
        <f>IF(TRIM(Github!D$1803)="TRUE","FALSE","TRUE")</f>
        <v>TRUE</v>
      </c>
      <c r="K1276" s="10" t="b">
        <f>Github!M$1803</f>
        <v>0</v>
      </c>
      <c r="L1276" s="10" t="b">
        <f>Github!N$1803</f>
        <v>0</v>
      </c>
      <c r="M1276" s="10" t="str">
        <f>ROUND(Github!O$1803, 2)&amp;"%"</f>
        <v>29.66%</v>
      </c>
      <c r="N1276" s="10">
        <f>Github!P$1803</f>
        <v>9519</v>
      </c>
      <c r="O1276" s="10">
        <f>Github!Q$1803</f>
        <v>32095</v>
      </c>
    </row>
    <row r="1277">
      <c r="A1277" s="10">
        <f>Github!J$1423</f>
        <v>1422</v>
      </c>
      <c r="B1277" s="11" t="str">
        <f>HYPERLINK(CONCAT("http://leetcode.com/problems/",Github!C$1423), Github!B$1423)</f>
        <v>Maximum Score After Splitting a String</v>
      </c>
      <c r="C1277" s="10">
        <f>Github!F$1423</f>
        <v>472</v>
      </c>
      <c r="D1277" s="10">
        <f>Github!G$1423</f>
        <v>24</v>
      </c>
      <c r="E1277" s="10">
        <f>Github!F$1423+Github!G$1423</f>
        <v>496</v>
      </c>
      <c r="F1277" s="12">
        <f t="shared" si="1"/>
        <v>19.67</v>
      </c>
      <c r="G1277" s="10" t="str">
        <f>Github!H$1423</f>
        <v>Algorithms</v>
      </c>
      <c r="H1277" s="13" t="str">
        <f>SUBSTITUTE(Github!L$1423, ";", ", ")</f>
        <v>String, </v>
      </c>
      <c r="I1277" s="10" t="str">
        <f>Github!E$1423</f>
        <v>Easy</v>
      </c>
      <c r="J1277" s="10" t="str">
        <f>IF(TRIM(Github!D$1423)="TRUE","FALSE","TRUE")</f>
        <v>TRUE</v>
      </c>
      <c r="K1277" s="10" t="b">
        <f>Github!M$1423</f>
        <v>0</v>
      </c>
      <c r="L1277" s="10" t="b">
        <f>Github!N$1423</f>
        <v>0</v>
      </c>
      <c r="M1277" s="10" t="str">
        <f>ROUND(Github!O$1423, 2)&amp;"%"</f>
        <v>57.75%</v>
      </c>
      <c r="N1277" s="10">
        <f>Github!P$1423</f>
        <v>37488</v>
      </c>
      <c r="O1277" s="10">
        <f>Github!Q$1423</f>
        <v>64919</v>
      </c>
    </row>
    <row r="1278">
      <c r="A1278" s="10">
        <f>Github!J$1746</f>
        <v>1745</v>
      </c>
      <c r="B1278" s="11" t="str">
        <f>HYPERLINK(CONCAT("http://leetcode.com/problems/",Github!C$1746), Github!B$1746)</f>
        <v>Palindrome Partitioning IV</v>
      </c>
      <c r="C1278" s="10">
        <f>Github!F$1746</f>
        <v>470</v>
      </c>
      <c r="D1278" s="10">
        <f>Github!G$1746</f>
        <v>14</v>
      </c>
      <c r="E1278" s="10">
        <f>Github!F$1746+Github!G$1746</f>
        <v>484</v>
      </c>
      <c r="F1278" s="12">
        <f t="shared" si="1"/>
        <v>33.57</v>
      </c>
      <c r="G1278" s="10" t="str">
        <f>Github!H$1746</f>
        <v>Algorithms</v>
      </c>
      <c r="H1278" s="13" t="str">
        <f>SUBSTITUTE(Github!L$1746, ";", ", ")</f>
        <v>String, Dynamic Programming, </v>
      </c>
      <c r="I1278" s="10" t="str">
        <f>Github!E$1746</f>
        <v>Hard</v>
      </c>
      <c r="J1278" s="10" t="str">
        <f>IF(TRIM(Github!D$1746)="TRUE","FALSE","TRUE")</f>
        <v>TRUE</v>
      </c>
      <c r="K1278" s="10" t="b">
        <f>Github!M$1746</f>
        <v>0</v>
      </c>
      <c r="L1278" s="10" t="b">
        <f>Github!N$1746</f>
        <v>0</v>
      </c>
      <c r="M1278" s="10" t="str">
        <f>ROUND(Github!O$1746, 2)&amp;"%"</f>
        <v>49.26%</v>
      </c>
      <c r="N1278" s="10">
        <f>Github!P$1746</f>
        <v>14036</v>
      </c>
      <c r="O1278" s="10">
        <f>Github!Q$1746</f>
        <v>28494</v>
      </c>
    </row>
    <row r="1279">
      <c r="A1279" s="10">
        <f>Github!J$1776</f>
        <v>1775</v>
      </c>
      <c r="B1279" s="11" t="str">
        <f>HYPERLINK(CONCAT("http://leetcode.com/problems/",Github!C$1776), Github!B$1776)</f>
        <v>Equal Sum Arrays With Minimum Number of Operations</v>
      </c>
      <c r="C1279" s="10">
        <f>Github!F$1776</f>
        <v>470</v>
      </c>
      <c r="D1279" s="10">
        <f>Github!G$1776</f>
        <v>13</v>
      </c>
      <c r="E1279" s="10">
        <f>Github!F$1776+Github!G$1776</f>
        <v>483</v>
      </c>
      <c r="F1279" s="12">
        <f t="shared" si="1"/>
        <v>36.15</v>
      </c>
      <c r="G1279" s="10" t="str">
        <f>Github!H$1776</f>
        <v>Algorithms</v>
      </c>
      <c r="H1279" s="13" t="str">
        <f>SUBSTITUTE(Github!L$1776, ";", ", ")</f>
        <v>Array, Hash Table, Greedy, Counting, </v>
      </c>
      <c r="I1279" s="10" t="str">
        <f>Github!E$1776</f>
        <v>Medium</v>
      </c>
      <c r="J1279" s="10" t="str">
        <f>IF(TRIM(Github!D$1776)="TRUE","FALSE","TRUE")</f>
        <v>TRUE</v>
      </c>
      <c r="K1279" s="10" t="b">
        <f>Github!M$1776</f>
        <v>0</v>
      </c>
      <c r="L1279" s="10" t="b">
        <f>Github!N$1776</f>
        <v>0</v>
      </c>
      <c r="M1279" s="10" t="str">
        <f>ROUND(Github!O$1776, 2)&amp;"%"</f>
        <v>51.28%</v>
      </c>
      <c r="N1279" s="10">
        <f>Github!P$1776</f>
        <v>13985</v>
      </c>
      <c r="O1279" s="10">
        <f>Github!Q$1776</f>
        <v>27273</v>
      </c>
    </row>
    <row r="1280">
      <c r="A1280" s="10">
        <f>Github!J$985</f>
        <v>984</v>
      </c>
      <c r="B1280" s="11" t="str">
        <f>HYPERLINK(CONCAT("http://leetcode.com/problems/",Github!C$985), Github!B$985)</f>
        <v>String Without AAA or BBB</v>
      </c>
      <c r="C1280" s="10">
        <f>Github!F$985</f>
        <v>467</v>
      </c>
      <c r="D1280" s="10">
        <f>Github!G$985</f>
        <v>327</v>
      </c>
      <c r="E1280" s="10">
        <f>Github!F$985+Github!G$985</f>
        <v>794</v>
      </c>
      <c r="F1280" s="12">
        <f t="shared" si="1"/>
        <v>1.43</v>
      </c>
      <c r="G1280" s="10" t="str">
        <f>Github!H$985</f>
        <v>Algorithms</v>
      </c>
      <c r="H1280" s="13" t="str">
        <f>SUBSTITUTE(Github!L$985, ";", ", ")</f>
        <v>String, Greedy, </v>
      </c>
      <c r="I1280" s="10" t="str">
        <f>Github!E$985</f>
        <v>Medium</v>
      </c>
      <c r="J1280" s="10" t="str">
        <f>IF(TRIM(Github!D$985)="TRUE","FALSE","TRUE")</f>
        <v>TRUE</v>
      </c>
      <c r="K1280" s="10" t="b">
        <f>Github!M$985</f>
        <v>1</v>
      </c>
      <c r="L1280" s="10" t="b">
        <f>Github!N$985</f>
        <v>0</v>
      </c>
      <c r="M1280" s="10" t="str">
        <f>ROUND(Github!O$985, 2)&amp;"%"</f>
        <v>41.82%</v>
      </c>
      <c r="N1280" s="10">
        <f>Github!P$985</f>
        <v>31962</v>
      </c>
      <c r="O1280" s="10">
        <f>Github!Q$985</f>
        <v>76436</v>
      </c>
    </row>
    <row r="1281">
      <c r="A1281" s="10">
        <f>Github!J$1724</f>
        <v>1723</v>
      </c>
      <c r="B1281" s="11" t="str">
        <f>HYPERLINK(CONCAT("http://leetcode.com/problems/",Github!C$1724), Github!B$1724)</f>
        <v>Find Minimum Time to Finish All Jobs</v>
      </c>
      <c r="C1281" s="10">
        <f>Github!F$1724</f>
        <v>467</v>
      </c>
      <c r="D1281" s="10">
        <f>Github!G$1724</f>
        <v>14</v>
      </c>
      <c r="E1281" s="10">
        <f>Github!F$1724+Github!G$1724</f>
        <v>481</v>
      </c>
      <c r="F1281" s="12">
        <f t="shared" si="1"/>
        <v>33.36</v>
      </c>
      <c r="G1281" s="10" t="str">
        <f>Github!H$1724</f>
        <v>Algorithms</v>
      </c>
      <c r="H1281" s="13" t="str">
        <f>SUBSTITUTE(Github!L$1724, ";", ", ")</f>
        <v>Array, Dynamic Programming, Backtracking, Bit Manipulation, Bitmask, </v>
      </c>
      <c r="I1281" s="10" t="str">
        <f>Github!E$1724</f>
        <v>Hard</v>
      </c>
      <c r="J1281" s="10" t="str">
        <f>IF(TRIM(Github!D$1724)="TRUE","FALSE","TRUE")</f>
        <v>TRUE</v>
      </c>
      <c r="K1281" s="10" t="b">
        <f>Github!M$1724</f>
        <v>0</v>
      </c>
      <c r="L1281" s="10" t="b">
        <f>Github!N$1724</f>
        <v>0</v>
      </c>
      <c r="M1281" s="10" t="str">
        <f>ROUND(Github!O$1724, 2)&amp;"%"</f>
        <v>42.82%</v>
      </c>
      <c r="N1281" s="10">
        <f>Github!P$1724</f>
        <v>13078</v>
      </c>
      <c r="O1281" s="10">
        <f>Github!Q$1724</f>
        <v>30543</v>
      </c>
    </row>
    <row r="1282">
      <c r="A1282" s="10">
        <f>Github!J$1766</f>
        <v>1765</v>
      </c>
      <c r="B1282" s="11" t="str">
        <f>HYPERLINK(CONCAT("http://leetcode.com/problems/",Github!C$1766), Github!B$1766)</f>
        <v>Map of Highest Peak</v>
      </c>
      <c r="C1282" s="10">
        <f>Github!F$1766</f>
        <v>466</v>
      </c>
      <c r="D1282" s="10">
        <f>Github!G$1766</f>
        <v>30</v>
      </c>
      <c r="E1282" s="10">
        <f>Github!F$1766+Github!G$1766</f>
        <v>496</v>
      </c>
      <c r="F1282" s="12">
        <f t="shared" si="1"/>
        <v>15.53</v>
      </c>
      <c r="G1282" s="10" t="str">
        <f>Github!H$1766</f>
        <v>Algorithms</v>
      </c>
      <c r="H1282" s="13" t="str">
        <f>SUBSTITUTE(Github!L$1766, ";", ", ")</f>
        <v>Array, Breadth-First Search, Matrix, </v>
      </c>
      <c r="I1282" s="10" t="str">
        <f>Github!E$1766</f>
        <v>Medium</v>
      </c>
      <c r="J1282" s="10" t="str">
        <f>IF(TRIM(Github!D$1766)="TRUE","FALSE","TRUE")</f>
        <v>TRUE</v>
      </c>
      <c r="K1282" s="10" t="b">
        <f>Github!M$1766</f>
        <v>0</v>
      </c>
      <c r="L1282" s="10" t="b">
        <f>Github!N$1766</f>
        <v>0</v>
      </c>
      <c r="M1282" s="10" t="str">
        <f>ROUND(Github!O$1766, 2)&amp;"%"</f>
        <v>59.51%</v>
      </c>
      <c r="N1282" s="10">
        <f>Github!P$1766</f>
        <v>15430</v>
      </c>
      <c r="O1282" s="10">
        <f>Github!Q$1766</f>
        <v>25931</v>
      </c>
    </row>
    <row r="1283">
      <c r="A1283" s="10">
        <f>Github!J$1060</f>
        <v>1059</v>
      </c>
      <c r="B1283" s="11" t="str">
        <f>HYPERLINK(CONCAT("http://leetcode.com/problems/",Github!C$1060), Github!B$1060)</f>
        <v>All Paths from Source Lead to Destination</v>
      </c>
      <c r="C1283" s="10">
        <f>Github!F$1060</f>
        <v>466</v>
      </c>
      <c r="D1283" s="10">
        <f>Github!G$1060</f>
        <v>101</v>
      </c>
      <c r="E1283" s="10">
        <f>Github!F$1060+Github!G$1060</f>
        <v>567</v>
      </c>
      <c r="F1283" s="12">
        <f t="shared" si="1"/>
        <v>4.61</v>
      </c>
      <c r="G1283" s="10" t="str">
        <f>Github!H$1060</f>
        <v>Algorithms</v>
      </c>
      <c r="H1283" s="13" t="str">
        <f>SUBSTITUTE(Github!L$1060, ";", ", ")</f>
        <v>Depth-First Search, Graph, </v>
      </c>
      <c r="I1283" s="10" t="str">
        <f>Github!E$1060</f>
        <v>Medium</v>
      </c>
      <c r="J1283" s="10" t="str">
        <f>IF(TRIM(Github!D$1060)="TRUE","FALSE","TRUE")</f>
        <v>FALSE</v>
      </c>
      <c r="K1283" s="10" t="b">
        <f>Github!M$1060</f>
        <v>1</v>
      </c>
      <c r="L1283" s="10" t="b">
        <f>Github!N$1060</f>
        <v>0</v>
      </c>
      <c r="M1283" s="10" t="str">
        <f>ROUND(Github!O$1060, 2)&amp;"%"</f>
        <v>42.23%</v>
      </c>
      <c r="N1283" s="10">
        <f>Github!P$1060</f>
        <v>34214</v>
      </c>
      <c r="O1283" s="10">
        <f>Github!Q$1060</f>
        <v>81007</v>
      </c>
    </row>
    <row r="1284">
      <c r="A1284" s="10">
        <f>Github!J$1617</f>
        <v>1616</v>
      </c>
      <c r="B1284" s="11" t="str">
        <f>HYPERLINK(CONCAT("http://leetcode.com/problems/",Github!C$1617), Github!B$1617)</f>
        <v>Split Two Strings to Make Palindrome</v>
      </c>
      <c r="C1284" s="10">
        <f>Github!F$1617</f>
        <v>466</v>
      </c>
      <c r="D1284" s="10">
        <f>Github!G$1617</f>
        <v>197</v>
      </c>
      <c r="E1284" s="10">
        <f>Github!F$1617+Github!G$1617</f>
        <v>663</v>
      </c>
      <c r="F1284" s="12">
        <f t="shared" si="1"/>
        <v>2.37</v>
      </c>
      <c r="G1284" s="10" t="str">
        <f>Github!H$1617</f>
        <v>Algorithms</v>
      </c>
      <c r="H1284" s="13" t="str">
        <f>SUBSTITUTE(Github!L$1617, ";", ", ")</f>
        <v>Two Pointers, String, Greedy, </v>
      </c>
      <c r="I1284" s="10" t="str">
        <f>Github!E$1617</f>
        <v>Medium</v>
      </c>
      <c r="J1284" s="10" t="str">
        <f>IF(TRIM(Github!D$1617)="TRUE","FALSE","TRUE")</f>
        <v>TRUE</v>
      </c>
      <c r="K1284" s="10" t="b">
        <f>Github!M$1617</f>
        <v>0</v>
      </c>
      <c r="L1284" s="10" t="b">
        <f>Github!N$1617</f>
        <v>0</v>
      </c>
      <c r="M1284" s="10" t="str">
        <f>ROUND(Github!O$1617, 2)&amp;"%"</f>
        <v>31.43%</v>
      </c>
      <c r="N1284" s="10">
        <f>Github!P$1617</f>
        <v>16081</v>
      </c>
      <c r="O1284" s="10">
        <f>Github!Q$1617</f>
        <v>51162</v>
      </c>
    </row>
    <row r="1285">
      <c r="A1285" s="10">
        <f>Github!J$1735</f>
        <v>1734</v>
      </c>
      <c r="B1285" s="11" t="str">
        <f>HYPERLINK(CONCAT("http://leetcode.com/problems/",Github!C$1735), Github!B$1735)</f>
        <v>Decode XORed Permutation</v>
      </c>
      <c r="C1285" s="10">
        <f>Github!F$1735</f>
        <v>465</v>
      </c>
      <c r="D1285" s="10">
        <f>Github!G$1735</f>
        <v>18</v>
      </c>
      <c r="E1285" s="10">
        <f>Github!F$1735+Github!G$1735</f>
        <v>483</v>
      </c>
      <c r="F1285" s="12">
        <f t="shared" si="1"/>
        <v>25.83</v>
      </c>
      <c r="G1285" s="10" t="str">
        <f>Github!H$1735</f>
        <v>Algorithms</v>
      </c>
      <c r="H1285" s="13" t="str">
        <f>SUBSTITUTE(Github!L$1735, ";", ", ")</f>
        <v>Array, Bit Manipulation, </v>
      </c>
      <c r="I1285" s="10" t="str">
        <f>Github!E$1735</f>
        <v>Medium</v>
      </c>
      <c r="J1285" s="10" t="str">
        <f>IF(TRIM(Github!D$1735)="TRUE","FALSE","TRUE")</f>
        <v>TRUE</v>
      </c>
      <c r="K1285" s="10" t="b">
        <f>Github!M$1735</f>
        <v>0</v>
      </c>
      <c r="L1285" s="10" t="b">
        <f>Github!N$1735</f>
        <v>0</v>
      </c>
      <c r="M1285" s="10" t="str">
        <f>ROUND(Github!O$1735, 2)&amp;"%"</f>
        <v>60.21%</v>
      </c>
      <c r="N1285" s="10">
        <f>Github!P$1735</f>
        <v>8747</v>
      </c>
      <c r="O1285" s="10">
        <f>Github!Q$1735</f>
        <v>14528</v>
      </c>
    </row>
    <row r="1286">
      <c r="A1286" s="10">
        <f>Github!J$2036</f>
        <v>2035</v>
      </c>
      <c r="B1286" s="11" t="str">
        <f>HYPERLINK(CONCAT("http://leetcode.com/problems/",Github!C$2036), Github!B$2036)</f>
        <v>Partition Array Into Two Arrays to Minimize Sum Difference</v>
      </c>
      <c r="C1286" s="10">
        <f>Github!F$2036</f>
        <v>468</v>
      </c>
      <c r="D1286" s="10">
        <f>Github!G$2036</f>
        <v>27</v>
      </c>
      <c r="E1286" s="10">
        <f>Github!F$2036+Github!G$2036</f>
        <v>495</v>
      </c>
      <c r="F1286" s="12">
        <f t="shared" si="1"/>
        <v>17.33</v>
      </c>
      <c r="G1286" s="10" t="str">
        <f>Github!H$2036</f>
        <v>Algorithms</v>
      </c>
      <c r="H1286" s="13" t="str">
        <f>SUBSTITUTE(Github!L$2036, ";", ", ")</f>
        <v>Array, Two Pointers, Binary Search, Dynamic Programming, Bit Manipulation, Ordered Set, Bitmask, </v>
      </c>
      <c r="I1286" s="10" t="str">
        <f>Github!E$2036</f>
        <v>Hard</v>
      </c>
      <c r="J1286" s="10" t="str">
        <f>IF(TRIM(Github!D$2036)="TRUE","FALSE","TRUE")</f>
        <v>TRUE</v>
      </c>
      <c r="K1286" s="10" t="b">
        <f>Github!M$2036</f>
        <v>0</v>
      </c>
      <c r="L1286" s="10" t="b">
        <f>Github!N$2036</f>
        <v>0</v>
      </c>
      <c r="M1286" s="10" t="str">
        <f>ROUND(Github!O$2036, 2)&amp;"%"</f>
        <v>22.81%</v>
      </c>
      <c r="N1286" s="10">
        <f>Github!P$2036</f>
        <v>4748</v>
      </c>
      <c r="O1286" s="10">
        <f>Github!Q$2036</f>
        <v>20819</v>
      </c>
    </row>
    <row r="1287">
      <c r="A1287" s="10">
        <f>Github!J$1987</f>
        <v>1986</v>
      </c>
      <c r="B1287" s="11" t="str">
        <f>HYPERLINK(CONCAT("http://leetcode.com/problems/",Github!C$1987), Github!B$1987)</f>
        <v>Minimum Number of Work Sessions to Finish the Tasks</v>
      </c>
      <c r="C1287" s="10">
        <f>Github!F$1987</f>
        <v>464</v>
      </c>
      <c r="D1287" s="10">
        <f>Github!G$1987</f>
        <v>27</v>
      </c>
      <c r="E1287" s="10">
        <f>Github!F$1987+Github!G$1987</f>
        <v>491</v>
      </c>
      <c r="F1287" s="12">
        <f t="shared" si="1"/>
        <v>17.19</v>
      </c>
      <c r="G1287" s="10" t="str">
        <f>Github!H$1987</f>
        <v>Algorithms</v>
      </c>
      <c r="H1287" s="13" t="str">
        <f>SUBSTITUTE(Github!L$1987, ";", ", ")</f>
        <v>Array, Dynamic Programming, Backtracking, Bit Manipulation, Bitmask, </v>
      </c>
      <c r="I1287" s="10" t="str">
        <f>Github!E$1987</f>
        <v>Medium</v>
      </c>
      <c r="J1287" s="10" t="str">
        <f>IF(TRIM(Github!D$1987)="TRUE","FALSE","TRUE")</f>
        <v>TRUE</v>
      </c>
      <c r="K1287" s="10" t="b">
        <f>Github!M$1987</f>
        <v>0</v>
      </c>
      <c r="L1287" s="10" t="b">
        <f>Github!N$1987</f>
        <v>0</v>
      </c>
      <c r="M1287" s="10" t="str">
        <f>ROUND(Github!O$1987, 2)&amp;"%"</f>
        <v>31.55%</v>
      </c>
      <c r="N1287" s="10">
        <f>Github!P$1987</f>
        <v>10758</v>
      </c>
      <c r="O1287" s="10">
        <f>Github!Q$1987</f>
        <v>34100</v>
      </c>
    </row>
    <row r="1288">
      <c r="A1288" s="10">
        <f>Github!J$621</f>
        <v>620</v>
      </c>
      <c r="B1288" s="11" t="str">
        <f>HYPERLINK(CONCAT("http://leetcode.com/problems/",Github!C$621), Github!B$621)</f>
        <v>Not Boring Movies</v>
      </c>
      <c r="C1288" s="10">
        <f>Github!F$621</f>
        <v>462</v>
      </c>
      <c r="D1288" s="10">
        <f>Github!G$621</f>
        <v>359</v>
      </c>
      <c r="E1288" s="10">
        <f>Github!F$621+Github!G$621</f>
        <v>821</v>
      </c>
      <c r="F1288" s="12">
        <f t="shared" si="1"/>
        <v>1.29</v>
      </c>
      <c r="G1288" s="10" t="str">
        <f>Github!H$621</f>
        <v>Database</v>
      </c>
      <c r="H1288" s="13" t="str">
        <f>SUBSTITUTE(Github!L$621, ";", ", ")</f>
        <v>Database, </v>
      </c>
      <c r="I1288" s="10" t="str">
        <f>Github!E$621</f>
        <v>Easy</v>
      </c>
      <c r="J1288" s="10" t="str">
        <f>IF(TRIM(Github!D$621)="TRUE","FALSE","TRUE")</f>
        <v>TRUE</v>
      </c>
      <c r="K1288" s="10" t="b">
        <f>Github!M$621</f>
        <v>1</v>
      </c>
      <c r="L1288" s="10" t="b">
        <f>Github!N$621</f>
        <v>0</v>
      </c>
      <c r="M1288" s="10" t="str">
        <f>ROUND(Github!O$621, 2)&amp;"%"</f>
        <v>72.35%</v>
      </c>
      <c r="N1288" s="10">
        <f>Github!P$621</f>
        <v>177823</v>
      </c>
      <c r="O1288" s="10">
        <f>Github!Q$621</f>
        <v>245766</v>
      </c>
    </row>
    <row r="1289">
      <c r="A1289" s="10">
        <f>Github!J$1102</f>
        <v>1101</v>
      </c>
      <c r="B1289" s="11" t="str">
        <f>HYPERLINK(CONCAT("http://leetcode.com/problems/",Github!C$1102), Github!B$1102)</f>
        <v>The Earliest Moment When Everyone Become Friends</v>
      </c>
      <c r="C1289" s="10">
        <f>Github!F$1102</f>
        <v>462</v>
      </c>
      <c r="D1289" s="10">
        <f>Github!G$1102</f>
        <v>12</v>
      </c>
      <c r="E1289" s="10">
        <f>Github!F$1102+Github!G$1102</f>
        <v>474</v>
      </c>
      <c r="F1289" s="12">
        <f t="shared" si="1"/>
        <v>38.5</v>
      </c>
      <c r="G1289" s="10" t="str">
        <f>Github!H$1102</f>
        <v>Algorithms</v>
      </c>
      <c r="H1289" s="13" t="str">
        <f>SUBSTITUTE(Github!L$1102, ";", ", ")</f>
        <v>Array, Union Find, </v>
      </c>
      <c r="I1289" s="10" t="str">
        <f>Github!E$1102</f>
        <v>Medium</v>
      </c>
      <c r="J1289" s="10" t="str">
        <f>IF(TRIM(Github!D$1102)="TRUE","FALSE","TRUE")</f>
        <v>FALSE</v>
      </c>
      <c r="K1289" s="10" t="b">
        <f>Github!M$1102</f>
        <v>1</v>
      </c>
      <c r="L1289" s="10" t="b">
        <f>Github!N$1102</f>
        <v>0</v>
      </c>
      <c r="M1289" s="10" t="str">
        <f>ROUND(Github!O$1102, 2)&amp;"%"</f>
        <v>64.58%</v>
      </c>
      <c r="N1289" s="10">
        <f>Github!P$1102</f>
        <v>30477</v>
      </c>
      <c r="O1289" s="10">
        <f>Github!Q$1102</f>
        <v>47190</v>
      </c>
    </row>
    <row r="1290">
      <c r="A1290" s="10">
        <f>Github!J$565</f>
        <v>564</v>
      </c>
      <c r="B1290" s="11" t="str">
        <f>HYPERLINK(CONCAT("http://leetcode.com/problems/",Github!C$565), Github!B$565)</f>
        <v>Find the Closest Palindrome</v>
      </c>
      <c r="C1290" s="10">
        <f>Github!F$565</f>
        <v>461</v>
      </c>
      <c r="D1290" s="10">
        <f>Github!G$565</f>
        <v>1096</v>
      </c>
      <c r="E1290" s="10">
        <f>Github!F$565+Github!G$565</f>
        <v>1557</v>
      </c>
      <c r="F1290" s="12">
        <f t="shared" si="1"/>
        <v>0.42</v>
      </c>
      <c r="G1290" s="10" t="str">
        <f>Github!H$565</f>
        <v>Algorithms</v>
      </c>
      <c r="H1290" s="13" t="str">
        <f>SUBSTITUTE(Github!L$565, ";", ", ")</f>
        <v>Math, String, </v>
      </c>
      <c r="I1290" s="10" t="str">
        <f>Github!E$565</f>
        <v>Hard</v>
      </c>
      <c r="J1290" s="10" t="str">
        <f>IF(TRIM(Github!D$565)="TRUE","FALSE","TRUE")</f>
        <v>TRUE</v>
      </c>
      <c r="K1290" s="10" t="b">
        <f>Github!M$565</f>
        <v>0</v>
      </c>
      <c r="L1290" s="10" t="b">
        <f>Github!N$565</f>
        <v>0</v>
      </c>
      <c r="M1290" s="10" t="str">
        <f>ROUND(Github!O$565, 2)&amp;"%"</f>
        <v>21.12%</v>
      </c>
      <c r="N1290" s="10">
        <f>Github!P$565</f>
        <v>30303</v>
      </c>
      <c r="O1290" s="10">
        <f>Github!Q$565</f>
        <v>143513</v>
      </c>
    </row>
    <row r="1291">
      <c r="A1291" s="10">
        <f>Github!J$1793</f>
        <v>1792</v>
      </c>
      <c r="B1291" s="11" t="str">
        <f>HYPERLINK(CONCAT("http://leetcode.com/problems/",Github!C$1793), Github!B$1793)</f>
        <v>Maximum Average Pass Ratio</v>
      </c>
      <c r="C1291" s="10">
        <f>Github!F$1793</f>
        <v>461</v>
      </c>
      <c r="D1291" s="10">
        <f>Github!G$1793</f>
        <v>57</v>
      </c>
      <c r="E1291" s="10">
        <f>Github!F$1793+Github!G$1793</f>
        <v>518</v>
      </c>
      <c r="F1291" s="12">
        <f t="shared" si="1"/>
        <v>8.09</v>
      </c>
      <c r="G1291" s="10" t="str">
        <f>Github!H$1793</f>
        <v>Algorithms</v>
      </c>
      <c r="H1291" s="13" t="str">
        <f>SUBSTITUTE(Github!L$1793, ";", ", ")</f>
        <v>Array, Greedy, Heap (Priority Queue), </v>
      </c>
      <c r="I1291" s="10" t="str">
        <f>Github!E$1793</f>
        <v>Medium</v>
      </c>
      <c r="J1291" s="10" t="str">
        <f>IF(TRIM(Github!D$1793)="TRUE","FALSE","TRUE")</f>
        <v>TRUE</v>
      </c>
      <c r="K1291" s="10" t="b">
        <f>Github!M$1793</f>
        <v>0</v>
      </c>
      <c r="L1291" s="10" t="b">
        <f>Github!N$1793</f>
        <v>0</v>
      </c>
      <c r="M1291" s="10" t="str">
        <f>ROUND(Github!O$1793, 2)&amp;"%"</f>
        <v>50.36%</v>
      </c>
      <c r="N1291" s="10">
        <f>Github!P$1793</f>
        <v>14117</v>
      </c>
      <c r="O1291" s="10">
        <f>Github!Q$1793</f>
        <v>28030</v>
      </c>
    </row>
    <row r="1292">
      <c r="A1292" s="10">
        <f>Github!J$1497</f>
        <v>1496</v>
      </c>
      <c r="B1292" s="11" t="str">
        <f>HYPERLINK(CONCAT("http://leetcode.com/problems/",Github!C$1497), Github!B$1497)</f>
        <v>Path Crossing</v>
      </c>
      <c r="C1292" s="10">
        <f>Github!F$1497</f>
        <v>460</v>
      </c>
      <c r="D1292" s="10">
        <f>Github!G$1497</f>
        <v>8</v>
      </c>
      <c r="E1292" s="10">
        <f>Github!F$1497+Github!G$1497</f>
        <v>468</v>
      </c>
      <c r="F1292" s="12">
        <f t="shared" si="1"/>
        <v>57.5</v>
      </c>
      <c r="G1292" s="10" t="str">
        <f>Github!H$1497</f>
        <v>Algorithms</v>
      </c>
      <c r="H1292" s="13" t="str">
        <f>SUBSTITUTE(Github!L$1497, ";", ", ")</f>
        <v>Hash Table, String, </v>
      </c>
      <c r="I1292" s="10" t="str">
        <f>Github!E$1497</f>
        <v>Easy</v>
      </c>
      <c r="J1292" s="10" t="str">
        <f>IF(TRIM(Github!D$1497)="TRUE","FALSE","TRUE")</f>
        <v>TRUE</v>
      </c>
      <c r="K1292" s="10" t="b">
        <f>Github!M$1497</f>
        <v>0</v>
      </c>
      <c r="L1292" s="10" t="b">
        <f>Github!N$1497</f>
        <v>0</v>
      </c>
      <c r="M1292" s="10" t="str">
        <f>ROUND(Github!O$1497, 2)&amp;"%"</f>
        <v>55.71%</v>
      </c>
      <c r="N1292" s="10">
        <f>Github!P$1497</f>
        <v>34241</v>
      </c>
      <c r="O1292" s="10">
        <f>Github!Q$1497</f>
        <v>61468</v>
      </c>
    </row>
    <row r="1293">
      <c r="A1293" s="10">
        <f>Github!J$428</f>
        <v>427</v>
      </c>
      <c r="B1293" s="11" t="str">
        <f>HYPERLINK(CONCAT("http://leetcode.com/problems/",Github!C$428), Github!B$428)</f>
        <v>Construct Quad Tree</v>
      </c>
      <c r="C1293" s="10">
        <f>Github!F$428</f>
        <v>459</v>
      </c>
      <c r="D1293" s="10">
        <f>Github!G$428</f>
        <v>644</v>
      </c>
      <c r="E1293" s="10">
        <f>Github!F$428+Github!G$428</f>
        <v>1103</v>
      </c>
      <c r="F1293" s="12">
        <f t="shared" si="1"/>
        <v>0.71</v>
      </c>
      <c r="G1293" s="10" t="str">
        <f>Github!H$428</f>
        <v>Algorithms</v>
      </c>
      <c r="H1293" s="13" t="str">
        <f>SUBSTITUTE(Github!L$428, ";", ", ")</f>
        <v>Array, Divide and Conquer, Tree, Matrix, </v>
      </c>
      <c r="I1293" s="10" t="str">
        <f>Github!E$428</f>
        <v>Medium</v>
      </c>
      <c r="J1293" s="10" t="str">
        <f>IF(TRIM(Github!D$428)="TRUE","FALSE","TRUE")</f>
        <v>TRUE</v>
      </c>
      <c r="K1293" s="10" t="b">
        <f>Github!M$428</f>
        <v>0</v>
      </c>
      <c r="L1293" s="10" t="b">
        <f>Github!N$428</f>
        <v>0</v>
      </c>
      <c r="M1293" s="10" t="str">
        <f>ROUND(Github!O$428, 2)&amp;"%"</f>
        <v>64.95%</v>
      </c>
      <c r="N1293" s="10">
        <f>Github!P$428</f>
        <v>39373</v>
      </c>
      <c r="O1293" s="10">
        <f>Github!Q$428</f>
        <v>60623</v>
      </c>
    </row>
    <row r="1294">
      <c r="A1294" s="10">
        <f>Github!J$1031</f>
        <v>1030</v>
      </c>
      <c r="B1294" s="11" t="str">
        <f>HYPERLINK(CONCAT("http://leetcode.com/problems/",Github!C$1031), Github!B$1031)</f>
        <v>Matrix Cells in Distance Order</v>
      </c>
      <c r="C1294" s="10">
        <f>Github!F$1031</f>
        <v>459</v>
      </c>
      <c r="D1294" s="10">
        <f>Github!G$1031</f>
        <v>214</v>
      </c>
      <c r="E1294" s="10">
        <f>Github!F$1031+Github!G$1031</f>
        <v>673</v>
      </c>
      <c r="F1294" s="12">
        <f t="shared" si="1"/>
        <v>2.14</v>
      </c>
      <c r="G1294" s="10" t="str">
        <f>Github!H$1031</f>
        <v>Algorithms</v>
      </c>
      <c r="H1294" s="13" t="str">
        <f>SUBSTITUTE(Github!L$1031, ";", ", ")</f>
        <v>Array, Math, Geometry, Sorting, Matrix, </v>
      </c>
      <c r="I1294" s="10" t="str">
        <f>Github!E$1031</f>
        <v>Easy</v>
      </c>
      <c r="J1294" s="10" t="str">
        <f>IF(TRIM(Github!D$1031)="TRUE","FALSE","TRUE")</f>
        <v>TRUE</v>
      </c>
      <c r="K1294" s="10" t="b">
        <f>Github!M$1031</f>
        <v>0</v>
      </c>
      <c r="L1294" s="10" t="b">
        <f>Github!N$1031</f>
        <v>0</v>
      </c>
      <c r="M1294" s="10" t="str">
        <f>ROUND(Github!O$1031, 2)&amp;"%"</f>
        <v>68.93%</v>
      </c>
      <c r="N1294" s="10">
        <f>Github!P$1031</f>
        <v>40620</v>
      </c>
      <c r="O1294" s="10">
        <f>Github!Q$1031</f>
        <v>58930</v>
      </c>
    </row>
    <row r="1295">
      <c r="A1295" s="10">
        <f>Github!J$1116</f>
        <v>1115</v>
      </c>
      <c r="B1295" s="11" t="str">
        <f>HYPERLINK(CONCAT("http://leetcode.com/problems/",Github!C$1116), Github!B$1116)</f>
        <v>Print FooBar Alternately</v>
      </c>
      <c r="C1295" s="10">
        <f>Github!F$1116</f>
        <v>458</v>
      </c>
      <c r="D1295" s="10">
        <f>Github!G$1116</f>
        <v>37</v>
      </c>
      <c r="E1295" s="10">
        <f>Github!F$1116+Github!G$1116</f>
        <v>495</v>
      </c>
      <c r="F1295" s="12">
        <f t="shared" si="1"/>
        <v>12.38</v>
      </c>
      <c r="G1295" s="10" t="str">
        <f>Github!H$1116</f>
        <v>Concurrency</v>
      </c>
      <c r="H1295" s="13" t="str">
        <f>SUBSTITUTE(Github!L$1116, ";", ", ")</f>
        <v>Concurrency, </v>
      </c>
      <c r="I1295" s="10" t="str">
        <f>Github!E$1116</f>
        <v>Medium</v>
      </c>
      <c r="J1295" s="10" t="str">
        <f>IF(TRIM(Github!D$1116)="TRUE","FALSE","TRUE")</f>
        <v>TRUE</v>
      </c>
      <c r="K1295" s="10" t="b">
        <f>Github!M$1116</f>
        <v>0</v>
      </c>
      <c r="L1295" s="10" t="b">
        <f>Github!N$1116</f>
        <v>0</v>
      </c>
      <c r="M1295" s="10" t="str">
        <f>ROUND(Github!O$1116, 2)&amp;"%"</f>
        <v>60.35%</v>
      </c>
      <c r="N1295" s="10">
        <f>Github!P$1116</f>
        <v>50323</v>
      </c>
      <c r="O1295" s="10">
        <f>Github!Q$1116</f>
        <v>83382</v>
      </c>
    </row>
    <row r="1296">
      <c r="A1296" s="10">
        <f>Github!J$1754</f>
        <v>1753</v>
      </c>
      <c r="B1296" s="11" t="str">
        <f>HYPERLINK(CONCAT("http://leetcode.com/problems/",Github!C$1754), Github!B$1754)</f>
        <v>Maximum Score From Removing Stones</v>
      </c>
      <c r="C1296" s="10">
        <f>Github!F$1754</f>
        <v>458</v>
      </c>
      <c r="D1296" s="10">
        <f>Github!G$1754</f>
        <v>33</v>
      </c>
      <c r="E1296" s="10">
        <f>Github!F$1754+Github!G$1754</f>
        <v>491</v>
      </c>
      <c r="F1296" s="12">
        <f t="shared" si="1"/>
        <v>13.88</v>
      </c>
      <c r="G1296" s="10" t="str">
        <f>Github!H$1754</f>
        <v>Algorithms</v>
      </c>
      <c r="H1296" s="13" t="str">
        <f>SUBSTITUTE(Github!L$1754, ";", ", ")</f>
        <v>Math, Greedy, Heap (Priority Queue), </v>
      </c>
      <c r="I1296" s="10" t="str">
        <f>Github!E$1754</f>
        <v>Medium</v>
      </c>
      <c r="J1296" s="10" t="str">
        <f>IF(TRIM(Github!D$1754)="TRUE","FALSE","TRUE")</f>
        <v>TRUE</v>
      </c>
      <c r="K1296" s="10" t="b">
        <f>Github!M$1754</f>
        <v>0</v>
      </c>
      <c r="L1296" s="10" t="b">
        <f>Github!N$1754</f>
        <v>0</v>
      </c>
      <c r="M1296" s="10" t="str">
        <f>ROUND(Github!O$1754, 2)&amp;"%"</f>
        <v>64.86%</v>
      </c>
      <c r="N1296" s="10">
        <f>Github!P$1754</f>
        <v>20088</v>
      </c>
      <c r="O1296" s="10">
        <f>Github!Q$1754</f>
        <v>30970</v>
      </c>
    </row>
    <row r="1297">
      <c r="A1297" s="10">
        <f>Github!J$1129</f>
        <v>1128</v>
      </c>
      <c r="B1297" s="11" t="str">
        <f>HYPERLINK(CONCAT("http://leetcode.com/problems/",Github!C$1129), Github!B$1129)</f>
        <v>Number of Equivalent Domino Pairs</v>
      </c>
      <c r="C1297" s="10">
        <f>Github!F$1129</f>
        <v>457</v>
      </c>
      <c r="D1297" s="10">
        <f>Github!G$1129</f>
        <v>226</v>
      </c>
      <c r="E1297" s="10">
        <f>Github!F$1129+Github!G$1129</f>
        <v>683</v>
      </c>
      <c r="F1297" s="12">
        <f t="shared" si="1"/>
        <v>2.02</v>
      </c>
      <c r="G1297" s="10" t="str">
        <f>Github!H$1129</f>
        <v>Algorithms</v>
      </c>
      <c r="H1297" s="13" t="str">
        <f>SUBSTITUTE(Github!L$1129, ";", ", ")</f>
        <v>Array, Hash Table, Counting, </v>
      </c>
      <c r="I1297" s="10" t="str">
        <f>Github!E$1129</f>
        <v>Easy</v>
      </c>
      <c r="J1297" s="10" t="str">
        <f>IF(TRIM(Github!D$1129)="TRUE","FALSE","TRUE")</f>
        <v>TRUE</v>
      </c>
      <c r="K1297" s="10" t="b">
        <f>Github!M$1129</f>
        <v>0</v>
      </c>
      <c r="L1297" s="10" t="b">
        <f>Github!N$1129</f>
        <v>0</v>
      </c>
      <c r="M1297" s="10" t="str">
        <f>ROUND(Github!O$1129, 2)&amp;"%"</f>
        <v>46.26%</v>
      </c>
      <c r="N1297" s="10">
        <f>Github!P$1129</f>
        <v>45475</v>
      </c>
      <c r="O1297" s="10">
        <f>Github!Q$1129</f>
        <v>98294</v>
      </c>
    </row>
    <row r="1298">
      <c r="A1298" s="10">
        <f>Github!J$1452</f>
        <v>1451</v>
      </c>
      <c r="B1298" s="11" t="str">
        <f>HYPERLINK(CONCAT("http://leetcode.com/problems/",Github!C$1452), Github!B$1452)</f>
        <v>Rearrange Words in a Sentence</v>
      </c>
      <c r="C1298" s="10">
        <f>Github!F$1452</f>
        <v>457</v>
      </c>
      <c r="D1298" s="10">
        <f>Github!G$1452</f>
        <v>63</v>
      </c>
      <c r="E1298" s="10">
        <f>Github!F$1452+Github!G$1452</f>
        <v>520</v>
      </c>
      <c r="F1298" s="12">
        <f t="shared" si="1"/>
        <v>7.25</v>
      </c>
      <c r="G1298" s="10" t="str">
        <f>Github!H$1452</f>
        <v>Algorithms</v>
      </c>
      <c r="H1298" s="13" t="str">
        <f>SUBSTITUTE(Github!L$1452, ";", ", ")</f>
        <v>String, Sorting, </v>
      </c>
      <c r="I1298" s="10" t="str">
        <f>Github!E$1452</f>
        <v>Medium</v>
      </c>
      <c r="J1298" s="10" t="str">
        <f>IF(TRIM(Github!D$1452)="TRUE","FALSE","TRUE")</f>
        <v>TRUE</v>
      </c>
      <c r="K1298" s="10" t="b">
        <f>Github!M$1452</f>
        <v>0</v>
      </c>
      <c r="L1298" s="10" t="b">
        <f>Github!N$1452</f>
        <v>0</v>
      </c>
      <c r="M1298" s="10" t="str">
        <f>ROUND(Github!O$1452, 2)&amp;"%"</f>
        <v>61.74%</v>
      </c>
      <c r="N1298" s="10">
        <f>Github!P$1452</f>
        <v>36341</v>
      </c>
      <c r="O1298" s="10">
        <f>Github!Q$1452</f>
        <v>58860</v>
      </c>
    </row>
    <row r="1299">
      <c r="A1299" s="10">
        <f>Github!J$1708</f>
        <v>1707</v>
      </c>
      <c r="B1299" s="11" t="str">
        <f>HYPERLINK(CONCAT("http://leetcode.com/problems/",Github!C$1708), Github!B$1708)</f>
        <v>Maximum XOR With an Element From Array</v>
      </c>
      <c r="C1299" s="10">
        <f>Github!F$1708</f>
        <v>457</v>
      </c>
      <c r="D1299" s="10">
        <f>Github!G$1708</f>
        <v>15</v>
      </c>
      <c r="E1299" s="10">
        <f>Github!F$1708+Github!G$1708</f>
        <v>472</v>
      </c>
      <c r="F1299" s="12">
        <f t="shared" si="1"/>
        <v>30.47</v>
      </c>
      <c r="G1299" s="10" t="str">
        <f>Github!H$1708</f>
        <v>Algorithms</v>
      </c>
      <c r="H1299" s="13" t="str">
        <f>SUBSTITUTE(Github!L$1708, ";", ", ")</f>
        <v>Array, Bit Manipulation, Trie, </v>
      </c>
      <c r="I1299" s="10" t="str">
        <f>Github!E$1708</f>
        <v>Hard</v>
      </c>
      <c r="J1299" s="10" t="str">
        <f>IF(TRIM(Github!D$1708)="TRUE","FALSE","TRUE")</f>
        <v>TRUE</v>
      </c>
      <c r="K1299" s="10" t="b">
        <f>Github!M$1708</f>
        <v>0</v>
      </c>
      <c r="L1299" s="10" t="b">
        <f>Github!N$1708</f>
        <v>0</v>
      </c>
      <c r="M1299" s="10" t="str">
        <f>ROUND(Github!O$1708, 2)&amp;"%"</f>
        <v>43.12%</v>
      </c>
      <c r="N1299" s="10">
        <f>Github!P$1708</f>
        <v>8158</v>
      </c>
      <c r="O1299" s="10">
        <f>Github!Q$1708</f>
        <v>18918</v>
      </c>
    </row>
    <row r="1300">
      <c r="A1300" s="10">
        <f>Github!J$1819</f>
        <v>1818</v>
      </c>
      <c r="B1300" s="11" t="str">
        <f>HYPERLINK(CONCAT("http://leetcode.com/problems/",Github!C$1819), Github!B$1819)</f>
        <v>Minimum Absolute Sum Difference</v>
      </c>
      <c r="C1300" s="10">
        <f>Github!F$1819</f>
        <v>459</v>
      </c>
      <c r="D1300" s="10">
        <f>Github!G$1819</f>
        <v>45</v>
      </c>
      <c r="E1300" s="10">
        <f>Github!F$1819+Github!G$1819</f>
        <v>504</v>
      </c>
      <c r="F1300" s="12">
        <f t="shared" si="1"/>
        <v>10.2</v>
      </c>
      <c r="G1300" s="10" t="str">
        <f>Github!H$1819</f>
        <v>Algorithms</v>
      </c>
      <c r="H1300" s="13" t="str">
        <f>SUBSTITUTE(Github!L$1819, ";", ", ")</f>
        <v>Array, Binary Search, Sorting, Ordered Set, </v>
      </c>
      <c r="I1300" s="10" t="str">
        <f>Github!E$1819</f>
        <v>Medium</v>
      </c>
      <c r="J1300" s="10" t="str">
        <f>IF(TRIM(Github!D$1819)="TRUE","FALSE","TRUE")</f>
        <v>TRUE</v>
      </c>
      <c r="K1300" s="10" t="b">
        <f>Github!M$1819</f>
        <v>0</v>
      </c>
      <c r="L1300" s="10" t="b">
        <f>Github!N$1819</f>
        <v>0</v>
      </c>
      <c r="M1300" s="10" t="str">
        <f>ROUND(Github!O$1819, 2)&amp;"%"</f>
        <v>28.73%</v>
      </c>
      <c r="N1300" s="10">
        <f>Github!P$1819</f>
        <v>12814</v>
      </c>
      <c r="O1300" s="10">
        <f>Github!Q$1819</f>
        <v>44596</v>
      </c>
    </row>
    <row r="1301">
      <c r="A1301" s="10">
        <f>Github!J$421</f>
        <v>420</v>
      </c>
      <c r="B1301" s="11" t="str">
        <f>HYPERLINK(CONCAT("http://leetcode.com/problems/",Github!C$421), Github!B$421)</f>
        <v>Strong Password Checker</v>
      </c>
      <c r="C1301" s="10">
        <f>Github!F$421</f>
        <v>453</v>
      </c>
      <c r="D1301" s="10">
        <f>Github!G$421</f>
        <v>1224</v>
      </c>
      <c r="E1301" s="10">
        <f>Github!F$421+Github!G$421</f>
        <v>1677</v>
      </c>
      <c r="F1301" s="12">
        <f t="shared" si="1"/>
        <v>0.37</v>
      </c>
      <c r="G1301" s="10" t="str">
        <f>Github!H$421</f>
        <v>Algorithms</v>
      </c>
      <c r="H1301" s="13" t="str">
        <f>SUBSTITUTE(Github!L$421, ";", ", ")</f>
        <v>String, Greedy, Heap (Priority Queue), </v>
      </c>
      <c r="I1301" s="10" t="str">
        <f>Github!E$421</f>
        <v>Hard</v>
      </c>
      <c r="J1301" s="10" t="str">
        <f>IF(TRIM(Github!D$421)="TRUE","FALSE","TRUE")</f>
        <v>TRUE</v>
      </c>
      <c r="K1301" s="10" t="b">
        <f>Github!M$421</f>
        <v>0</v>
      </c>
      <c r="L1301" s="10" t="b">
        <f>Github!N$421</f>
        <v>0</v>
      </c>
      <c r="M1301" s="10" t="str">
        <f>ROUND(Github!O$421, 2)&amp;"%"</f>
        <v>14.1%</v>
      </c>
      <c r="N1301" s="10">
        <f>Github!P$421</f>
        <v>23334</v>
      </c>
      <c r="O1301" s="10">
        <f>Github!Q$421</f>
        <v>165512</v>
      </c>
    </row>
    <row r="1302">
      <c r="A1302" s="10">
        <f>Github!J$1692</f>
        <v>1691</v>
      </c>
      <c r="B1302" s="11" t="str">
        <f>HYPERLINK(CONCAT("http://leetcode.com/problems/",Github!C$1692), Github!B$1692)</f>
        <v>Maximum Height by Stacking Cuboids </v>
      </c>
      <c r="C1302" s="10">
        <f>Github!F$1692</f>
        <v>453</v>
      </c>
      <c r="D1302" s="10">
        <f>Github!G$1692</f>
        <v>14</v>
      </c>
      <c r="E1302" s="10">
        <f>Github!F$1692+Github!G$1692</f>
        <v>467</v>
      </c>
      <c r="F1302" s="12">
        <f t="shared" si="1"/>
        <v>32.36</v>
      </c>
      <c r="G1302" s="10" t="str">
        <f>Github!H$1692</f>
        <v>Algorithms</v>
      </c>
      <c r="H1302" s="13" t="str">
        <f>SUBSTITUTE(Github!L$1692, ";", ", ")</f>
        <v>Array, Dynamic Programming, Sorting, </v>
      </c>
      <c r="I1302" s="10" t="str">
        <f>Github!E$1692</f>
        <v>Hard</v>
      </c>
      <c r="J1302" s="10" t="str">
        <f>IF(TRIM(Github!D$1692)="TRUE","FALSE","TRUE")</f>
        <v>TRUE</v>
      </c>
      <c r="K1302" s="10" t="b">
        <f>Github!M$1692</f>
        <v>0</v>
      </c>
      <c r="L1302" s="10" t="b">
        <f>Github!N$1692</f>
        <v>0</v>
      </c>
      <c r="M1302" s="10" t="str">
        <f>ROUND(Github!O$1692, 2)&amp;"%"</f>
        <v>53.56%</v>
      </c>
      <c r="N1302" s="10">
        <f>Github!P$1692</f>
        <v>10331</v>
      </c>
      <c r="O1302" s="10">
        <f>Github!Q$1692</f>
        <v>19290</v>
      </c>
    </row>
    <row r="1303">
      <c r="A1303" s="10">
        <f>Github!J$1245</f>
        <v>1244</v>
      </c>
      <c r="B1303" s="11" t="str">
        <f>HYPERLINK(CONCAT("http://leetcode.com/problems/",Github!C$1245), Github!B$1245)</f>
        <v>Design A Leaderboard</v>
      </c>
      <c r="C1303" s="10">
        <f>Github!F$1245</f>
        <v>452</v>
      </c>
      <c r="D1303" s="10">
        <f>Github!G$1245</f>
        <v>73</v>
      </c>
      <c r="E1303" s="10">
        <f>Github!F$1245+Github!G$1245</f>
        <v>525</v>
      </c>
      <c r="F1303" s="12">
        <f t="shared" si="1"/>
        <v>6.19</v>
      </c>
      <c r="G1303" s="10" t="str">
        <f>Github!H$1245</f>
        <v>Algorithms</v>
      </c>
      <c r="H1303" s="13" t="str">
        <f>SUBSTITUTE(Github!L$1245, ";", ", ")</f>
        <v>Hash Table, Design, Sorting, </v>
      </c>
      <c r="I1303" s="10" t="str">
        <f>Github!E$1245</f>
        <v>Medium</v>
      </c>
      <c r="J1303" s="10" t="str">
        <f>IF(TRIM(Github!D$1245)="TRUE","FALSE","TRUE")</f>
        <v>FALSE</v>
      </c>
      <c r="K1303" s="10" t="b">
        <f>Github!M$1245</f>
        <v>1</v>
      </c>
      <c r="L1303" s="10" t="b">
        <f>Github!N$1245</f>
        <v>0</v>
      </c>
      <c r="M1303" s="10" t="str">
        <f>ROUND(Github!O$1245, 2)&amp;"%"</f>
        <v>68%</v>
      </c>
      <c r="N1303" s="10">
        <f>Github!P$1245</f>
        <v>37504</v>
      </c>
      <c r="O1303" s="10">
        <f>Github!Q$1245</f>
        <v>55152</v>
      </c>
    </row>
    <row r="1304">
      <c r="A1304" s="10">
        <f>Github!J$1261</f>
        <v>1260</v>
      </c>
      <c r="B1304" s="11" t="str">
        <f>HYPERLINK(CONCAT("http://leetcode.com/problems/",Github!C$1261), Github!B$1261)</f>
        <v>Shift 2D Grid</v>
      </c>
      <c r="C1304" s="10">
        <f>Github!F$1261</f>
        <v>453</v>
      </c>
      <c r="D1304" s="10">
        <f>Github!G$1261</f>
        <v>138</v>
      </c>
      <c r="E1304" s="10">
        <f>Github!F$1261+Github!G$1261</f>
        <v>591</v>
      </c>
      <c r="F1304" s="12">
        <f t="shared" si="1"/>
        <v>3.28</v>
      </c>
      <c r="G1304" s="10" t="str">
        <f>Github!H$1261</f>
        <v>Algorithms</v>
      </c>
      <c r="H1304" s="13" t="str">
        <f>SUBSTITUTE(Github!L$1261, ";", ", ")</f>
        <v>Array, Matrix, Simulation, </v>
      </c>
      <c r="I1304" s="10" t="str">
        <f>Github!E$1261</f>
        <v>Easy</v>
      </c>
      <c r="J1304" s="10" t="str">
        <f>IF(TRIM(Github!D$1261)="TRUE","FALSE","TRUE")</f>
        <v>TRUE</v>
      </c>
      <c r="K1304" s="10" t="b">
        <f>Github!M$1261</f>
        <v>1</v>
      </c>
      <c r="L1304" s="10" t="b">
        <f>Github!N$1261</f>
        <v>0</v>
      </c>
      <c r="M1304" s="10" t="str">
        <f>ROUND(Github!O$1261, 2)&amp;"%"</f>
        <v>62.55%</v>
      </c>
      <c r="N1304" s="10">
        <f>Github!P$1261</f>
        <v>33161</v>
      </c>
      <c r="O1304" s="10">
        <f>Github!Q$1261</f>
        <v>53014</v>
      </c>
    </row>
    <row r="1305">
      <c r="A1305" s="10">
        <f>Github!J$1521</f>
        <v>1520</v>
      </c>
      <c r="B1305" s="11" t="str">
        <f>HYPERLINK(CONCAT("http://leetcode.com/problems/",Github!C$1521), Github!B$1521)</f>
        <v>Maximum Number of Non-Overlapping Substrings</v>
      </c>
      <c r="C1305" s="10">
        <f>Github!F$1521</f>
        <v>453</v>
      </c>
      <c r="D1305" s="10">
        <f>Github!G$1521</f>
        <v>55</v>
      </c>
      <c r="E1305" s="10">
        <f>Github!F$1521+Github!G$1521</f>
        <v>508</v>
      </c>
      <c r="F1305" s="12">
        <f t="shared" si="1"/>
        <v>8.24</v>
      </c>
      <c r="G1305" s="10" t="str">
        <f>Github!H$1521</f>
        <v>Algorithms</v>
      </c>
      <c r="H1305" s="13" t="str">
        <f>SUBSTITUTE(Github!L$1521, ";", ", ")</f>
        <v>String, Greedy, </v>
      </c>
      <c r="I1305" s="10" t="str">
        <f>Github!E$1521</f>
        <v>Hard</v>
      </c>
      <c r="J1305" s="10" t="str">
        <f>IF(TRIM(Github!D$1521)="TRUE","FALSE","TRUE")</f>
        <v>TRUE</v>
      </c>
      <c r="K1305" s="10" t="b">
        <f>Github!M$1521</f>
        <v>0</v>
      </c>
      <c r="L1305" s="10" t="b">
        <f>Github!N$1521</f>
        <v>0</v>
      </c>
      <c r="M1305" s="10" t="str">
        <f>ROUND(Github!O$1521, 2)&amp;"%"</f>
        <v>37.41%</v>
      </c>
      <c r="N1305" s="10">
        <f>Github!P$1521</f>
        <v>10481</v>
      </c>
      <c r="O1305" s="10">
        <f>Github!Q$1521</f>
        <v>28014</v>
      </c>
    </row>
    <row r="1306">
      <c r="A1306" s="10">
        <f>Github!J$1599</f>
        <v>1598</v>
      </c>
      <c r="B1306" s="11" t="str">
        <f>HYPERLINK(CONCAT("http://leetcode.com/problems/",Github!C$1599), Github!B$1599)</f>
        <v>Crawler Log Folder</v>
      </c>
      <c r="C1306" s="10">
        <f>Github!F$1599</f>
        <v>452</v>
      </c>
      <c r="D1306" s="10">
        <f>Github!G$1599</f>
        <v>34</v>
      </c>
      <c r="E1306" s="10">
        <f>Github!F$1599+Github!G$1599</f>
        <v>486</v>
      </c>
      <c r="F1306" s="12">
        <f t="shared" si="1"/>
        <v>13.29</v>
      </c>
      <c r="G1306" s="10" t="str">
        <f>Github!H$1599</f>
        <v>Algorithms</v>
      </c>
      <c r="H1306" s="13" t="str">
        <f>SUBSTITUTE(Github!L$1599, ";", ", ")</f>
        <v>Array, String, Stack, </v>
      </c>
      <c r="I1306" s="10" t="str">
        <f>Github!E$1599</f>
        <v>Easy</v>
      </c>
      <c r="J1306" s="10" t="str">
        <f>IF(TRIM(Github!D$1599)="TRUE","FALSE","TRUE")</f>
        <v>TRUE</v>
      </c>
      <c r="K1306" s="10" t="b">
        <f>Github!M$1599</f>
        <v>0</v>
      </c>
      <c r="L1306" s="10" t="b">
        <f>Github!N$1599</f>
        <v>0</v>
      </c>
      <c r="M1306" s="10" t="str">
        <f>ROUND(Github!O$1599, 2)&amp;"%"</f>
        <v>64.18%</v>
      </c>
      <c r="N1306" s="10">
        <f>Github!P$1599</f>
        <v>37177</v>
      </c>
      <c r="O1306" s="10">
        <f>Github!Q$1599</f>
        <v>57922</v>
      </c>
    </row>
    <row r="1307">
      <c r="A1307" s="10">
        <f>Github!J$2112</f>
        <v>2111</v>
      </c>
      <c r="B1307" s="11" t="str">
        <f>HYPERLINK(CONCAT("http://leetcode.com/problems/",Github!C$2112), Github!B$2112)</f>
        <v>Minimum Operations to Make the Array K-Increasing</v>
      </c>
      <c r="C1307" s="10">
        <f>Github!F$2112</f>
        <v>452</v>
      </c>
      <c r="D1307" s="10">
        <f>Github!G$2112</f>
        <v>8</v>
      </c>
      <c r="E1307" s="10">
        <f>Github!F$2112+Github!G$2112</f>
        <v>460</v>
      </c>
      <c r="F1307" s="12">
        <f t="shared" si="1"/>
        <v>56.5</v>
      </c>
      <c r="G1307" s="10" t="str">
        <f>Github!H$2112</f>
        <v>Algorithms</v>
      </c>
      <c r="H1307" s="13" t="str">
        <f>SUBSTITUTE(Github!L$2112, ";", ", ")</f>
        <v>Array, Binary Search, </v>
      </c>
      <c r="I1307" s="10" t="str">
        <f>Github!E$2112</f>
        <v>Hard</v>
      </c>
      <c r="J1307" s="10" t="str">
        <f>IF(TRIM(Github!D$2112)="TRUE","FALSE","TRUE")</f>
        <v>TRUE</v>
      </c>
      <c r="K1307" s="10" t="b">
        <f>Github!M$2112</f>
        <v>0</v>
      </c>
      <c r="L1307" s="10" t="b">
        <f>Github!N$2112</f>
        <v>0</v>
      </c>
      <c r="M1307" s="10" t="str">
        <f>ROUND(Github!O$2112, 2)&amp;"%"</f>
        <v>35.94%</v>
      </c>
      <c r="N1307" s="10">
        <f>Github!P$2112</f>
        <v>8013</v>
      </c>
      <c r="O1307" s="10">
        <f>Github!Q$2112</f>
        <v>22298</v>
      </c>
    </row>
    <row r="1308">
      <c r="A1308" s="10">
        <f>Github!J$1567</f>
        <v>1566</v>
      </c>
      <c r="B1308" s="11" t="str">
        <f>HYPERLINK(CONCAT("http://leetcode.com/problems/",Github!C$1567), Github!B$1567)</f>
        <v>Detect Pattern of Length M Repeated K or More Times</v>
      </c>
      <c r="C1308" s="10">
        <f>Github!F$1567</f>
        <v>451</v>
      </c>
      <c r="D1308" s="10">
        <f>Github!G$1567</f>
        <v>79</v>
      </c>
      <c r="E1308" s="10">
        <f>Github!F$1567+Github!G$1567</f>
        <v>530</v>
      </c>
      <c r="F1308" s="12">
        <f t="shared" si="1"/>
        <v>5.71</v>
      </c>
      <c r="G1308" s="10" t="str">
        <f>Github!H$1567</f>
        <v>Algorithms</v>
      </c>
      <c r="H1308" s="13" t="str">
        <f>SUBSTITUTE(Github!L$1567, ";", ", ")</f>
        <v>Array, Enumeration, </v>
      </c>
      <c r="I1308" s="10" t="str">
        <f>Github!E$1567</f>
        <v>Easy</v>
      </c>
      <c r="J1308" s="10" t="str">
        <f>IF(TRIM(Github!D$1567)="TRUE","FALSE","TRUE")</f>
        <v>TRUE</v>
      </c>
      <c r="K1308" s="10" t="b">
        <f>Github!M$1567</f>
        <v>0</v>
      </c>
      <c r="L1308" s="10" t="b">
        <f>Github!N$1567</f>
        <v>0</v>
      </c>
      <c r="M1308" s="10" t="str">
        <f>ROUND(Github!O$1567, 2)&amp;"%"</f>
        <v>43.6%</v>
      </c>
      <c r="N1308" s="10">
        <f>Github!P$1567</f>
        <v>23363</v>
      </c>
      <c r="O1308" s="10">
        <f>Github!Q$1567</f>
        <v>53580</v>
      </c>
    </row>
    <row r="1309">
      <c r="A1309" s="10">
        <f>Github!J$1981</f>
        <v>1980</v>
      </c>
      <c r="B1309" s="11" t="str">
        <f>HYPERLINK(CONCAT("http://leetcode.com/problems/",Github!C$1981), Github!B$1981)</f>
        <v>Find Unique Binary String</v>
      </c>
      <c r="C1309" s="10">
        <f>Github!F$1981</f>
        <v>454</v>
      </c>
      <c r="D1309" s="10">
        <f>Github!G$1981</f>
        <v>23</v>
      </c>
      <c r="E1309" s="10">
        <f>Github!F$1981+Github!G$1981</f>
        <v>477</v>
      </c>
      <c r="F1309" s="12">
        <f t="shared" si="1"/>
        <v>19.74</v>
      </c>
      <c r="G1309" s="10" t="str">
        <f>Github!H$1981</f>
        <v>Algorithms</v>
      </c>
      <c r="H1309" s="13" t="str">
        <f>SUBSTITUTE(Github!L$1981, ";", ", ")</f>
        <v>Array, String, Backtracking, </v>
      </c>
      <c r="I1309" s="10" t="str">
        <f>Github!E$1981</f>
        <v>Medium</v>
      </c>
      <c r="J1309" s="10" t="str">
        <f>IF(TRIM(Github!D$1981)="TRUE","FALSE","TRUE")</f>
        <v>TRUE</v>
      </c>
      <c r="K1309" s="10" t="b">
        <f>Github!M$1981</f>
        <v>0</v>
      </c>
      <c r="L1309" s="10" t="b">
        <f>Github!N$1981</f>
        <v>0</v>
      </c>
      <c r="M1309" s="10" t="str">
        <f>ROUND(Github!O$1981, 2)&amp;"%"</f>
        <v>62.92%</v>
      </c>
      <c r="N1309" s="10">
        <f>Github!P$1981</f>
        <v>20666</v>
      </c>
      <c r="O1309" s="10">
        <f>Github!Q$1981</f>
        <v>32844</v>
      </c>
    </row>
    <row r="1310">
      <c r="A1310" s="10">
        <f>Github!J$1405</f>
        <v>1404</v>
      </c>
      <c r="B1310" s="11" t="str">
        <f>HYPERLINK(CONCAT("http://leetcode.com/problems/",Github!C$1405), Github!B$1405)</f>
        <v>Number of Steps to Reduce a Number in Binary Representation to One</v>
      </c>
      <c r="C1310" s="10">
        <f>Github!F$1405</f>
        <v>448</v>
      </c>
      <c r="D1310" s="10">
        <f>Github!G$1405</f>
        <v>41</v>
      </c>
      <c r="E1310" s="10">
        <f>Github!F$1405+Github!G$1405</f>
        <v>489</v>
      </c>
      <c r="F1310" s="12">
        <f t="shared" si="1"/>
        <v>10.93</v>
      </c>
      <c r="G1310" s="10" t="str">
        <f>Github!H$1405</f>
        <v>Algorithms</v>
      </c>
      <c r="H1310" s="13" t="str">
        <f>SUBSTITUTE(Github!L$1405, ";", ", ")</f>
        <v>String, Bit Manipulation, </v>
      </c>
      <c r="I1310" s="10" t="str">
        <f>Github!E$1405</f>
        <v>Medium</v>
      </c>
      <c r="J1310" s="10" t="str">
        <f>IF(TRIM(Github!D$1405)="TRUE","FALSE","TRUE")</f>
        <v>TRUE</v>
      </c>
      <c r="K1310" s="10" t="b">
        <f>Github!M$1405</f>
        <v>0</v>
      </c>
      <c r="L1310" s="10" t="b">
        <f>Github!N$1405</f>
        <v>0</v>
      </c>
      <c r="M1310" s="10" t="str">
        <f>ROUND(Github!O$1405, 2)&amp;"%"</f>
        <v>50.71%</v>
      </c>
      <c r="N1310" s="10">
        <f>Github!P$1405</f>
        <v>22562</v>
      </c>
      <c r="O1310" s="10">
        <f>Github!Q$1405</f>
        <v>44489</v>
      </c>
    </row>
    <row r="1311">
      <c r="A1311" s="10">
        <f>Github!J$1524</f>
        <v>1523</v>
      </c>
      <c r="B1311" s="11" t="str">
        <f>HYPERLINK(CONCAT("http://leetcode.com/problems/",Github!C$1524), Github!B$1524)</f>
        <v>Count Odd Numbers in an Interval Range</v>
      </c>
      <c r="C1311" s="10">
        <f>Github!F$1524</f>
        <v>449</v>
      </c>
      <c r="D1311" s="10">
        <f>Github!G$1524</f>
        <v>41</v>
      </c>
      <c r="E1311" s="10">
        <f>Github!F$1524+Github!G$1524</f>
        <v>490</v>
      </c>
      <c r="F1311" s="12">
        <f t="shared" si="1"/>
        <v>10.95</v>
      </c>
      <c r="G1311" s="10" t="str">
        <f>Github!H$1524</f>
        <v>Algorithms</v>
      </c>
      <c r="H1311" s="13" t="str">
        <f>SUBSTITUTE(Github!L$1524, ";", ", ")</f>
        <v>Math, </v>
      </c>
      <c r="I1311" s="10" t="str">
        <f>Github!E$1524</f>
        <v>Easy</v>
      </c>
      <c r="J1311" s="10" t="str">
        <f>IF(TRIM(Github!D$1524)="TRUE","FALSE","TRUE")</f>
        <v>TRUE</v>
      </c>
      <c r="K1311" s="10" t="b">
        <f>Github!M$1524</f>
        <v>0</v>
      </c>
      <c r="L1311" s="10" t="b">
        <f>Github!N$1524</f>
        <v>0</v>
      </c>
      <c r="M1311" s="10" t="str">
        <f>ROUND(Github!O$1524, 2)&amp;"%"</f>
        <v>50.62%</v>
      </c>
      <c r="N1311" s="10">
        <f>Github!P$1524</f>
        <v>46207</v>
      </c>
      <c r="O1311" s="10">
        <f>Github!Q$1524</f>
        <v>91274</v>
      </c>
    </row>
    <row r="1312">
      <c r="A1312" s="10">
        <f>Github!J$1546</f>
        <v>1545</v>
      </c>
      <c r="B1312" s="11" t="str">
        <f>HYPERLINK(CONCAT("http://leetcode.com/problems/",Github!C$1546), Github!B$1546)</f>
        <v>Find Kth Bit in Nth Binary String</v>
      </c>
      <c r="C1312" s="10">
        <f>Github!F$1546</f>
        <v>447</v>
      </c>
      <c r="D1312" s="10">
        <f>Github!G$1546</f>
        <v>38</v>
      </c>
      <c r="E1312" s="10">
        <f>Github!F$1546+Github!G$1546</f>
        <v>485</v>
      </c>
      <c r="F1312" s="12">
        <f t="shared" si="1"/>
        <v>11.76</v>
      </c>
      <c r="G1312" s="10" t="str">
        <f>Github!H$1546</f>
        <v>Algorithms</v>
      </c>
      <c r="H1312" s="13" t="str">
        <f>SUBSTITUTE(Github!L$1546, ";", ", ")</f>
        <v>String, Recursion, </v>
      </c>
      <c r="I1312" s="10" t="str">
        <f>Github!E$1546</f>
        <v>Medium</v>
      </c>
      <c r="J1312" s="10" t="str">
        <f>IF(TRIM(Github!D$1546)="TRUE","FALSE","TRUE")</f>
        <v>TRUE</v>
      </c>
      <c r="K1312" s="10" t="b">
        <f>Github!M$1546</f>
        <v>0</v>
      </c>
      <c r="L1312" s="10" t="b">
        <f>Github!N$1546</f>
        <v>0</v>
      </c>
      <c r="M1312" s="10" t="str">
        <f>ROUND(Github!O$1546, 2)&amp;"%"</f>
        <v>58.03%</v>
      </c>
      <c r="N1312" s="10">
        <f>Github!P$1546</f>
        <v>22560</v>
      </c>
      <c r="O1312" s="10">
        <f>Github!Q$1546</f>
        <v>38875</v>
      </c>
    </row>
    <row r="1313">
      <c r="A1313" s="10">
        <f>Github!J$1823</f>
        <v>1822</v>
      </c>
      <c r="B1313" s="11" t="str">
        <f>HYPERLINK(CONCAT("http://leetcode.com/problems/",Github!C$1823), Github!B$1823)</f>
        <v>Sign of the Product of an Array</v>
      </c>
      <c r="C1313" s="10">
        <f>Github!F$1823</f>
        <v>447</v>
      </c>
      <c r="D1313" s="10">
        <f>Github!G$1823</f>
        <v>65</v>
      </c>
      <c r="E1313" s="10">
        <f>Github!F$1823+Github!G$1823</f>
        <v>512</v>
      </c>
      <c r="F1313" s="12">
        <f t="shared" si="1"/>
        <v>6.88</v>
      </c>
      <c r="G1313" s="10" t="str">
        <f>Github!H$1823</f>
        <v>Algorithms</v>
      </c>
      <c r="H1313" s="13" t="str">
        <f>SUBSTITUTE(Github!L$1823, ";", ", ")</f>
        <v>Array, Math, </v>
      </c>
      <c r="I1313" s="10" t="str">
        <f>Github!E$1823</f>
        <v>Easy</v>
      </c>
      <c r="J1313" s="10" t="str">
        <f>IF(TRIM(Github!D$1823)="TRUE","FALSE","TRUE")</f>
        <v>TRUE</v>
      </c>
      <c r="K1313" s="10" t="b">
        <f>Github!M$1823</f>
        <v>0</v>
      </c>
      <c r="L1313" s="10" t="b">
        <f>Github!N$1823</f>
        <v>0</v>
      </c>
      <c r="M1313" s="10" t="str">
        <f>ROUND(Github!O$1823, 2)&amp;"%"</f>
        <v>67.31%</v>
      </c>
      <c r="N1313" s="10">
        <f>Github!P$1823</f>
        <v>75016</v>
      </c>
      <c r="O1313" s="10">
        <f>Github!Q$1823</f>
        <v>111451</v>
      </c>
    </row>
    <row r="1314">
      <c r="A1314" s="10">
        <f>Github!J$1982</f>
        <v>1981</v>
      </c>
      <c r="B1314" s="11" t="str">
        <f>HYPERLINK(CONCAT("http://leetcode.com/problems/",Github!C$1982), Github!B$1982)</f>
        <v>Minimize the Difference Between Target and Chosen Elements</v>
      </c>
      <c r="C1314" s="10">
        <f>Github!F$1982</f>
        <v>446</v>
      </c>
      <c r="D1314" s="10">
        <f>Github!G$1982</f>
        <v>81</v>
      </c>
      <c r="E1314" s="10">
        <f>Github!F$1982+Github!G$1982</f>
        <v>527</v>
      </c>
      <c r="F1314" s="12">
        <f t="shared" si="1"/>
        <v>5.51</v>
      </c>
      <c r="G1314" s="10" t="str">
        <f>Github!H$1982</f>
        <v>Algorithms</v>
      </c>
      <c r="H1314" s="13" t="str">
        <f>SUBSTITUTE(Github!L$1982, ";", ", ")</f>
        <v>Array, Dynamic Programming, Matrix, </v>
      </c>
      <c r="I1314" s="10" t="str">
        <f>Github!E$1982</f>
        <v>Medium</v>
      </c>
      <c r="J1314" s="10" t="str">
        <f>IF(TRIM(Github!D$1982)="TRUE","FALSE","TRUE")</f>
        <v>TRUE</v>
      </c>
      <c r="K1314" s="10" t="b">
        <f>Github!M$1982</f>
        <v>0</v>
      </c>
      <c r="L1314" s="10" t="b">
        <f>Github!N$1982</f>
        <v>0</v>
      </c>
      <c r="M1314" s="10" t="str">
        <f>ROUND(Github!O$1982, 2)&amp;"%"</f>
        <v>32.76%</v>
      </c>
      <c r="N1314" s="10">
        <f>Github!P$1982</f>
        <v>14068</v>
      </c>
      <c r="O1314" s="10">
        <f>Github!Q$1982</f>
        <v>42948</v>
      </c>
    </row>
    <row r="1315">
      <c r="A1315" s="10">
        <f>Github!J$373</f>
        <v>372</v>
      </c>
      <c r="B1315" s="11" t="str">
        <f>HYPERLINK(CONCAT("http://leetcode.com/problems/",Github!C$373), Github!B$373)</f>
        <v>Super Pow</v>
      </c>
      <c r="C1315" s="10">
        <f>Github!F$373</f>
        <v>445</v>
      </c>
      <c r="D1315" s="10">
        <f>Github!G$373</f>
        <v>1065</v>
      </c>
      <c r="E1315" s="10">
        <f>Github!F$373+Github!G$373</f>
        <v>1510</v>
      </c>
      <c r="F1315" s="12">
        <f t="shared" si="1"/>
        <v>0.42</v>
      </c>
      <c r="G1315" s="10" t="str">
        <f>Github!H$373</f>
        <v>Algorithms</v>
      </c>
      <c r="H1315" s="13" t="str">
        <f>SUBSTITUTE(Github!L$373, ";", ", ")</f>
        <v>Math, Divide and Conquer, </v>
      </c>
      <c r="I1315" s="10" t="str">
        <f>Github!E$373</f>
        <v>Medium</v>
      </c>
      <c r="J1315" s="10" t="str">
        <f>IF(TRIM(Github!D$373)="TRUE","FALSE","TRUE")</f>
        <v>TRUE</v>
      </c>
      <c r="K1315" s="10" t="b">
        <f>Github!M$373</f>
        <v>0</v>
      </c>
      <c r="L1315" s="10" t="b">
        <f>Github!N$373</f>
        <v>0</v>
      </c>
      <c r="M1315" s="10" t="str">
        <f>ROUND(Github!O$373, 2)&amp;"%"</f>
        <v>37.58%</v>
      </c>
      <c r="N1315" s="10">
        <f>Github!P$373</f>
        <v>47582</v>
      </c>
      <c r="O1315" s="10">
        <f>Github!Q$373</f>
        <v>126600</v>
      </c>
    </row>
    <row r="1316">
      <c r="A1316" s="10">
        <f>Github!J$505</f>
        <v>504</v>
      </c>
      <c r="B1316" s="11" t="str">
        <f>HYPERLINK(CONCAT("http://leetcode.com/problems/",Github!C$505), Github!B$505)</f>
        <v>Base 7</v>
      </c>
      <c r="C1316" s="10">
        <f>Github!F$505</f>
        <v>446</v>
      </c>
      <c r="D1316" s="10">
        <f>Github!G$505</f>
        <v>189</v>
      </c>
      <c r="E1316" s="10">
        <f>Github!F$505+Github!G$505</f>
        <v>635</v>
      </c>
      <c r="F1316" s="12">
        <f t="shared" si="1"/>
        <v>2.36</v>
      </c>
      <c r="G1316" s="10" t="str">
        <f>Github!H$505</f>
        <v>Algorithms</v>
      </c>
      <c r="H1316" s="13" t="str">
        <f>SUBSTITUTE(Github!L$505, ";", ", ")</f>
        <v>Math, </v>
      </c>
      <c r="I1316" s="10" t="str">
        <f>Github!E$505</f>
        <v>Easy</v>
      </c>
      <c r="J1316" s="10" t="str">
        <f>IF(TRIM(Github!D$505)="TRUE","FALSE","TRUE")</f>
        <v>TRUE</v>
      </c>
      <c r="K1316" s="10" t="b">
        <f>Github!M$505</f>
        <v>0</v>
      </c>
      <c r="L1316" s="10" t="b">
        <f>Github!N$505</f>
        <v>0</v>
      </c>
      <c r="M1316" s="10" t="str">
        <f>ROUND(Github!O$505, 2)&amp;"%"</f>
        <v>47.35%</v>
      </c>
      <c r="N1316" s="10">
        <f>Github!P$505</f>
        <v>82986</v>
      </c>
      <c r="O1316" s="10">
        <f>Github!Q$505</f>
        <v>175253</v>
      </c>
    </row>
    <row r="1317">
      <c r="A1317" s="10">
        <f>Github!J$1799</f>
        <v>1798</v>
      </c>
      <c r="B1317" s="11" t="str">
        <f>HYPERLINK(CONCAT("http://leetcode.com/problems/",Github!C$1799), Github!B$1799)</f>
        <v>Maximum Number of Consecutive Values You Can Make</v>
      </c>
      <c r="C1317" s="10">
        <f>Github!F$1799</f>
        <v>444</v>
      </c>
      <c r="D1317" s="10">
        <f>Github!G$1799</f>
        <v>33</v>
      </c>
      <c r="E1317" s="10">
        <f>Github!F$1799+Github!G$1799</f>
        <v>477</v>
      </c>
      <c r="F1317" s="12">
        <f t="shared" si="1"/>
        <v>13.45</v>
      </c>
      <c r="G1317" s="10" t="str">
        <f>Github!H$1799</f>
        <v>Algorithms</v>
      </c>
      <c r="H1317" s="13" t="str">
        <f>SUBSTITUTE(Github!L$1799, ";", ", ")</f>
        <v>Array, Greedy, </v>
      </c>
      <c r="I1317" s="10" t="str">
        <f>Github!E$1799</f>
        <v>Medium</v>
      </c>
      <c r="J1317" s="10" t="str">
        <f>IF(TRIM(Github!D$1799)="TRUE","FALSE","TRUE")</f>
        <v>TRUE</v>
      </c>
      <c r="K1317" s="10" t="b">
        <f>Github!M$1799</f>
        <v>0</v>
      </c>
      <c r="L1317" s="10" t="b">
        <f>Github!N$1799</f>
        <v>0</v>
      </c>
      <c r="M1317" s="10" t="str">
        <f>ROUND(Github!O$1799, 2)&amp;"%"</f>
        <v>51%</v>
      </c>
      <c r="N1317" s="10">
        <f>Github!P$1799</f>
        <v>9177</v>
      </c>
      <c r="O1317" s="10">
        <f>Github!Q$1799</f>
        <v>17993</v>
      </c>
    </row>
    <row r="1318">
      <c r="A1318" s="10">
        <f>Github!J$1687</f>
        <v>1686</v>
      </c>
      <c r="B1318" s="11" t="str">
        <f>HYPERLINK(CONCAT("http://leetcode.com/problems/",Github!C$1687), Github!B$1687)</f>
        <v>Stone Game VI</v>
      </c>
      <c r="C1318" s="10">
        <f>Github!F$1687</f>
        <v>443</v>
      </c>
      <c r="D1318" s="10">
        <f>Github!G$1687</f>
        <v>37</v>
      </c>
      <c r="E1318" s="10">
        <f>Github!F$1687+Github!G$1687</f>
        <v>480</v>
      </c>
      <c r="F1318" s="12">
        <f t="shared" si="1"/>
        <v>11.97</v>
      </c>
      <c r="G1318" s="10" t="str">
        <f>Github!H$1687</f>
        <v>Algorithms</v>
      </c>
      <c r="H1318" s="13" t="str">
        <f>SUBSTITUTE(Github!L$1687, ";", ", ")</f>
        <v>Array, Math, Greedy, Sorting, Heap (Priority Queue), Game Theory, </v>
      </c>
      <c r="I1318" s="10" t="str">
        <f>Github!E$1687</f>
        <v>Medium</v>
      </c>
      <c r="J1318" s="10" t="str">
        <f>IF(TRIM(Github!D$1687)="TRUE","FALSE","TRUE")</f>
        <v>TRUE</v>
      </c>
      <c r="K1318" s="10" t="b">
        <f>Github!M$1687</f>
        <v>0</v>
      </c>
      <c r="L1318" s="10" t="b">
        <f>Github!N$1687</f>
        <v>0</v>
      </c>
      <c r="M1318" s="10" t="str">
        <f>ROUND(Github!O$1687, 2)&amp;"%"</f>
        <v>53.49%</v>
      </c>
      <c r="N1318" s="10">
        <f>Github!P$1687</f>
        <v>10352</v>
      </c>
      <c r="O1318" s="10">
        <f>Github!Q$1687</f>
        <v>19352</v>
      </c>
    </row>
    <row r="1319">
      <c r="A1319" s="10">
        <f>Github!J$2122</f>
        <v>2121</v>
      </c>
      <c r="B1319" s="11" t="str">
        <f>HYPERLINK(CONCAT("http://leetcode.com/problems/",Github!C$2122), Github!B$2122)</f>
        <v>Intervals Between Identical Elements</v>
      </c>
      <c r="C1319" s="10">
        <f>Github!F$2122</f>
        <v>443</v>
      </c>
      <c r="D1319" s="10">
        <f>Github!G$2122</f>
        <v>19</v>
      </c>
      <c r="E1319" s="10">
        <f>Github!F$2122+Github!G$2122</f>
        <v>462</v>
      </c>
      <c r="F1319" s="12">
        <f t="shared" si="1"/>
        <v>23.32</v>
      </c>
      <c r="G1319" s="10" t="str">
        <f>Github!H$2122</f>
        <v>Algorithms</v>
      </c>
      <c r="H1319" s="13" t="str">
        <f>SUBSTITUTE(Github!L$2122, ";", ", ")</f>
        <v>Array, Hash Table, Prefix Sum, </v>
      </c>
      <c r="I1319" s="10" t="str">
        <f>Github!E$2122</f>
        <v>Medium</v>
      </c>
      <c r="J1319" s="10" t="str">
        <f>IF(TRIM(Github!D$2122)="TRUE","FALSE","TRUE")</f>
        <v>TRUE</v>
      </c>
      <c r="K1319" s="10" t="b">
        <f>Github!M$2122</f>
        <v>0</v>
      </c>
      <c r="L1319" s="10" t="b">
        <f>Github!N$2122</f>
        <v>0</v>
      </c>
      <c r="M1319" s="10" t="str">
        <f>ROUND(Github!O$2122, 2)&amp;"%"</f>
        <v>41.82%</v>
      </c>
      <c r="N1319" s="10">
        <f>Github!P$2122</f>
        <v>10349</v>
      </c>
      <c r="O1319" s="10">
        <f>Github!Q$2122</f>
        <v>24750</v>
      </c>
    </row>
    <row r="1320">
      <c r="A1320" s="10">
        <f>Github!J$757</f>
        <v>756</v>
      </c>
      <c r="B1320" s="11" t="str">
        <f>HYPERLINK(CONCAT("http://leetcode.com/problems/",Github!C$757), Github!B$757)</f>
        <v>Pyramid Transition Matrix</v>
      </c>
      <c r="C1320" s="10">
        <f>Github!F$757</f>
        <v>443</v>
      </c>
      <c r="D1320" s="10">
        <f>Github!G$757</f>
        <v>421</v>
      </c>
      <c r="E1320" s="10">
        <f>Github!F$757+Github!G$757</f>
        <v>864</v>
      </c>
      <c r="F1320" s="12">
        <f t="shared" si="1"/>
        <v>1.05</v>
      </c>
      <c r="G1320" s="10" t="str">
        <f>Github!H$757</f>
        <v>Algorithms</v>
      </c>
      <c r="H1320" s="13" t="str">
        <f>SUBSTITUTE(Github!L$757, ";", ", ")</f>
        <v>Bit Manipulation, Depth-First Search, Breadth-First Search, </v>
      </c>
      <c r="I1320" s="10" t="str">
        <f>Github!E$757</f>
        <v>Medium</v>
      </c>
      <c r="J1320" s="10" t="str">
        <f>IF(TRIM(Github!D$757)="TRUE","FALSE","TRUE")</f>
        <v>TRUE</v>
      </c>
      <c r="K1320" s="10" t="b">
        <f>Github!M$757</f>
        <v>0</v>
      </c>
      <c r="L1320" s="10" t="b">
        <f>Github!N$757</f>
        <v>0</v>
      </c>
      <c r="M1320" s="10" t="str">
        <f>ROUND(Github!O$757, 2)&amp;"%"</f>
        <v>54.75%</v>
      </c>
      <c r="N1320" s="10">
        <f>Github!P$757</f>
        <v>26787</v>
      </c>
      <c r="O1320" s="10">
        <f>Github!Q$757</f>
        <v>48927</v>
      </c>
    </row>
    <row r="1321">
      <c r="A1321" s="10">
        <f>Github!J$763</f>
        <v>762</v>
      </c>
      <c r="B1321" s="11" t="str">
        <f>HYPERLINK(CONCAT("http://leetcode.com/problems/",Github!C$763), Github!B$763)</f>
        <v>Prime Number of Set Bits in Binary Representation</v>
      </c>
      <c r="C1321" s="10">
        <f>Github!F$763</f>
        <v>444</v>
      </c>
      <c r="D1321" s="10">
        <f>Github!G$763</f>
        <v>450</v>
      </c>
      <c r="E1321" s="10">
        <f>Github!F$763+Github!G$763</f>
        <v>894</v>
      </c>
      <c r="F1321" s="12">
        <f t="shared" si="1"/>
        <v>0.99</v>
      </c>
      <c r="G1321" s="10" t="str">
        <f>Github!H$763</f>
        <v>Algorithms</v>
      </c>
      <c r="H1321" s="13" t="str">
        <f>SUBSTITUTE(Github!L$763, ";", ", ")</f>
        <v>Math, Bit Manipulation, </v>
      </c>
      <c r="I1321" s="10" t="str">
        <f>Github!E$763</f>
        <v>Easy</v>
      </c>
      <c r="J1321" s="10" t="str">
        <f>IF(TRIM(Github!D$763)="TRUE","FALSE","TRUE")</f>
        <v>TRUE</v>
      </c>
      <c r="K1321" s="10" t="b">
        <f>Github!M$763</f>
        <v>0</v>
      </c>
      <c r="L1321" s="10" t="b">
        <f>Github!N$763</f>
        <v>0</v>
      </c>
      <c r="M1321" s="10" t="str">
        <f>ROUND(Github!O$763, 2)&amp;"%"</f>
        <v>66.48%</v>
      </c>
      <c r="N1321" s="10">
        <f>Github!P$763</f>
        <v>66695</v>
      </c>
      <c r="O1321" s="10">
        <f>Github!Q$763</f>
        <v>100331</v>
      </c>
    </row>
    <row r="1322">
      <c r="A1322" s="10">
        <f>Github!J$445</f>
        <v>444</v>
      </c>
      <c r="B1322" s="11" t="str">
        <f>HYPERLINK(CONCAT("http://leetcode.com/problems/",Github!C$445), Github!B$445)</f>
        <v>Sequence Reconstruction</v>
      </c>
      <c r="C1322" s="10">
        <f>Github!F$445</f>
        <v>441</v>
      </c>
      <c r="D1322" s="10">
        <f>Github!G$445</f>
        <v>1374</v>
      </c>
      <c r="E1322" s="10">
        <f>Github!F$445+Github!G$445</f>
        <v>1815</v>
      </c>
      <c r="F1322" s="12">
        <f t="shared" si="1"/>
        <v>0.32</v>
      </c>
      <c r="G1322" s="10" t="str">
        <f>Github!H$445</f>
        <v>Algorithms</v>
      </c>
      <c r="H1322" s="13" t="str">
        <f>SUBSTITUTE(Github!L$445, ";", ", ")</f>
        <v>Array, Graph, Topological Sort, </v>
      </c>
      <c r="I1322" s="10" t="str">
        <f>Github!E$445</f>
        <v>Medium</v>
      </c>
      <c r="J1322" s="10" t="str">
        <f>IF(TRIM(Github!D$445)="TRUE","FALSE","TRUE")</f>
        <v>FALSE</v>
      </c>
      <c r="K1322" s="10" t="b">
        <f>Github!M$445</f>
        <v>0</v>
      </c>
      <c r="L1322" s="10" t="b">
        <f>Github!N$445</f>
        <v>0</v>
      </c>
      <c r="M1322" s="10" t="str">
        <f>ROUND(Github!O$445, 2)&amp;"%"</f>
        <v>24.68%</v>
      </c>
      <c r="N1322" s="10">
        <f>Github!P$445</f>
        <v>42907</v>
      </c>
      <c r="O1322" s="10">
        <f>Github!Q$445</f>
        <v>173877</v>
      </c>
    </row>
    <row r="1323">
      <c r="A1323" s="10">
        <f>Github!J$604</f>
        <v>603</v>
      </c>
      <c r="B1323" s="11" t="str">
        <f>HYPERLINK(CONCAT("http://leetcode.com/problems/",Github!C$604), Github!B$604)</f>
        <v>Consecutive Available Seats</v>
      </c>
      <c r="C1323" s="10">
        <f>Github!F$604</f>
        <v>441</v>
      </c>
      <c r="D1323" s="10">
        <f>Github!G$604</f>
        <v>39</v>
      </c>
      <c r="E1323" s="10">
        <f>Github!F$604+Github!G$604</f>
        <v>480</v>
      </c>
      <c r="F1323" s="12">
        <f t="shared" si="1"/>
        <v>11.31</v>
      </c>
      <c r="G1323" s="10" t="str">
        <f>Github!H$604</f>
        <v>Database</v>
      </c>
      <c r="H1323" s="13" t="str">
        <f>SUBSTITUTE(Github!L$604, ";", ", ")</f>
        <v>Database, </v>
      </c>
      <c r="I1323" s="10" t="str">
        <f>Github!E$604</f>
        <v>Easy</v>
      </c>
      <c r="J1323" s="10" t="str">
        <f>IF(TRIM(Github!D$604)="TRUE","FALSE","TRUE")</f>
        <v>FALSE</v>
      </c>
      <c r="K1323" s="10" t="b">
        <f>Github!M$604</f>
        <v>1</v>
      </c>
      <c r="L1323" s="10" t="b">
        <f>Github!N$604</f>
        <v>0</v>
      </c>
      <c r="M1323" s="10" t="str">
        <f>ROUND(Github!O$604, 2)&amp;"%"</f>
        <v>67.72%</v>
      </c>
      <c r="N1323" s="10">
        <f>Github!P$604</f>
        <v>52005</v>
      </c>
      <c r="O1323" s="10">
        <f>Github!Q$604</f>
        <v>76799</v>
      </c>
    </row>
    <row r="1324">
      <c r="A1324" s="10">
        <f>Github!J$1650</f>
        <v>1649</v>
      </c>
      <c r="B1324" s="11" t="str">
        <f>HYPERLINK(CONCAT("http://leetcode.com/problems/",Github!C$1650), Github!B$1650)</f>
        <v>Create Sorted Array through Instructions</v>
      </c>
      <c r="C1324" s="10">
        <f>Github!F$1650</f>
        <v>442</v>
      </c>
      <c r="D1324" s="10">
        <f>Github!G$1650</f>
        <v>60</v>
      </c>
      <c r="E1324" s="10">
        <f>Github!F$1650+Github!G$1650</f>
        <v>502</v>
      </c>
      <c r="F1324" s="12">
        <f t="shared" si="1"/>
        <v>7.37</v>
      </c>
      <c r="G1324" s="10" t="str">
        <f>Github!H$1650</f>
        <v>Algorithms</v>
      </c>
      <c r="H1324" s="13" t="str">
        <f>SUBSTITUTE(Github!L$1650, ";", ", ")</f>
        <v>Array, Binary Search, Divide and Conquer, Binary Indexed Tree, Segment Tree, Merge Sort, Ordered Set, </v>
      </c>
      <c r="I1324" s="10" t="str">
        <f>Github!E$1650</f>
        <v>Hard</v>
      </c>
      <c r="J1324" s="10" t="str">
        <f>IF(TRIM(Github!D$1650)="TRUE","FALSE","TRUE")</f>
        <v>TRUE</v>
      </c>
      <c r="K1324" s="10" t="b">
        <f>Github!M$1650</f>
        <v>1</v>
      </c>
      <c r="L1324" s="10" t="b">
        <f>Github!N$1650</f>
        <v>0</v>
      </c>
      <c r="M1324" s="10" t="str">
        <f>ROUND(Github!O$1650, 2)&amp;"%"</f>
        <v>37.12%</v>
      </c>
      <c r="N1324" s="10">
        <f>Github!P$1650</f>
        <v>19382</v>
      </c>
      <c r="O1324" s="10">
        <f>Github!Q$1650</f>
        <v>52214</v>
      </c>
    </row>
    <row r="1325">
      <c r="A1325" s="10">
        <f>Github!J$1817</f>
        <v>1816</v>
      </c>
      <c r="B1325" s="11" t="str">
        <f>HYPERLINK(CONCAT("http://leetcode.com/problems/",Github!C$1817), Github!B$1817)</f>
        <v>Truncate Sentence</v>
      </c>
      <c r="C1325" s="10">
        <f>Github!F$1817</f>
        <v>442</v>
      </c>
      <c r="D1325" s="10">
        <f>Github!G$1817</f>
        <v>15</v>
      </c>
      <c r="E1325" s="10">
        <f>Github!F$1817+Github!G$1817</f>
        <v>457</v>
      </c>
      <c r="F1325" s="12">
        <f t="shared" si="1"/>
        <v>29.47</v>
      </c>
      <c r="G1325" s="10" t="str">
        <f>Github!H$1817</f>
        <v>Algorithms</v>
      </c>
      <c r="H1325" s="13" t="str">
        <f>SUBSTITUTE(Github!L$1817, ";", ", ")</f>
        <v>Array, String, </v>
      </c>
      <c r="I1325" s="10" t="str">
        <f>Github!E$1817</f>
        <v>Easy</v>
      </c>
      <c r="J1325" s="10" t="str">
        <f>IF(TRIM(Github!D$1817)="TRUE","FALSE","TRUE")</f>
        <v>TRUE</v>
      </c>
      <c r="K1325" s="10" t="b">
        <f>Github!M$1817</f>
        <v>0</v>
      </c>
      <c r="L1325" s="10" t="b">
        <f>Github!N$1817</f>
        <v>0</v>
      </c>
      <c r="M1325" s="10" t="str">
        <f>ROUND(Github!O$1817, 2)&amp;"%"</f>
        <v>81.07%</v>
      </c>
      <c r="N1325" s="10">
        <f>Github!P$1817</f>
        <v>54833</v>
      </c>
      <c r="O1325" s="10">
        <f>Github!Q$1817</f>
        <v>67635</v>
      </c>
    </row>
    <row r="1326">
      <c r="A1326" s="10">
        <f>Github!J$1037</f>
        <v>1036</v>
      </c>
      <c r="B1326" s="11" t="str">
        <f>HYPERLINK(CONCAT("http://leetcode.com/problems/",Github!C$1037), Github!B$1037)</f>
        <v>Escape a Large Maze</v>
      </c>
      <c r="C1326" s="10">
        <f>Github!F$1037</f>
        <v>440</v>
      </c>
      <c r="D1326" s="10">
        <f>Github!G$1037</f>
        <v>138</v>
      </c>
      <c r="E1326" s="10">
        <f>Github!F$1037+Github!G$1037</f>
        <v>578</v>
      </c>
      <c r="F1326" s="12">
        <f t="shared" si="1"/>
        <v>3.19</v>
      </c>
      <c r="G1326" s="10" t="str">
        <f>Github!H$1037</f>
        <v>Algorithms</v>
      </c>
      <c r="H1326" s="13" t="str">
        <f>SUBSTITUTE(Github!L$1037, ";", ", ")</f>
        <v>Array, Hash Table, Depth-First Search, Breadth-First Search, </v>
      </c>
      <c r="I1326" s="10" t="str">
        <f>Github!E$1037</f>
        <v>Hard</v>
      </c>
      <c r="J1326" s="10" t="str">
        <f>IF(TRIM(Github!D$1037)="TRUE","FALSE","TRUE")</f>
        <v>TRUE</v>
      </c>
      <c r="K1326" s="10" t="b">
        <f>Github!M$1037</f>
        <v>0</v>
      </c>
      <c r="L1326" s="10" t="b">
        <f>Github!N$1037</f>
        <v>0</v>
      </c>
      <c r="M1326" s="10" t="str">
        <f>ROUND(Github!O$1037, 2)&amp;"%"</f>
        <v>34.29%</v>
      </c>
      <c r="N1326" s="10">
        <f>Github!P$1037</f>
        <v>15224</v>
      </c>
      <c r="O1326" s="10">
        <f>Github!Q$1037</f>
        <v>44401</v>
      </c>
    </row>
    <row r="1327">
      <c r="A1327" s="10">
        <f>Github!J$1536</f>
        <v>1535</v>
      </c>
      <c r="B1327" s="11" t="str">
        <f>HYPERLINK(CONCAT("http://leetcode.com/problems/",Github!C$1536), Github!B$1536)</f>
        <v>Find the Winner of an Array Game</v>
      </c>
      <c r="C1327" s="10">
        <f>Github!F$1536</f>
        <v>440</v>
      </c>
      <c r="D1327" s="10">
        <f>Github!G$1536</f>
        <v>25</v>
      </c>
      <c r="E1327" s="10">
        <f>Github!F$1536+Github!G$1536</f>
        <v>465</v>
      </c>
      <c r="F1327" s="12">
        <f t="shared" si="1"/>
        <v>17.6</v>
      </c>
      <c r="G1327" s="10" t="str">
        <f>Github!H$1536</f>
        <v>Algorithms</v>
      </c>
      <c r="H1327" s="13" t="str">
        <f>SUBSTITUTE(Github!L$1536, ";", ", ")</f>
        <v>Array, Simulation, </v>
      </c>
      <c r="I1327" s="10" t="str">
        <f>Github!E$1536</f>
        <v>Medium</v>
      </c>
      <c r="J1327" s="10" t="str">
        <f>IF(TRIM(Github!D$1536)="TRUE","FALSE","TRUE")</f>
        <v>TRUE</v>
      </c>
      <c r="K1327" s="10" t="b">
        <f>Github!M$1536</f>
        <v>0</v>
      </c>
      <c r="L1327" s="10" t="b">
        <f>Github!N$1536</f>
        <v>0</v>
      </c>
      <c r="M1327" s="10" t="str">
        <f>ROUND(Github!O$1536, 2)&amp;"%"</f>
        <v>48.79%</v>
      </c>
      <c r="N1327" s="10">
        <f>Github!P$1536</f>
        <v>23836</v>
      </c>
      <c r="O1327" s="10">
        <f>Github!Q$1536</f>
        <v>48853</v>
      </c>
    </row>
    <row r="1328">
      <c r="A1328" s="10">
        <f>Github!J$2128</f>
        <v>2127</v>
      </c>
      <c r="B1328" s="11" t="str">
        <f>HYPERLINK(CONCAT("http://leetcode.com/problems/",Github!C$2128), Github!B$2128)</f>
        <v>Maximum Employees to Be Invited to a Meeting</v>
      </c>
      <c r="C1328" s="10">
        <f>Github!F$2128</f>
        <v>440</v>
      </c>
      <c r="D1328" s="10">
        <f>Github!G$2128</f>
        <v>5</v>
      </c>
      <c r="E1328" s="10">
        <f>Github!F$2128+Github!G$2128</f>
        <v>445</v>
      </c>
      <c r="F1328" s="12">
        <f t="shared" si="1"/>
        <v>88</v>
      </c>
      <c r="G1328" s="10" t="str">
        <f>Github!H$2128</f>
        <v>Algorithms</v>
      </c>
      <c r="H1328" s="13" t="str">
        <f>SUBSTITUTE(Github!L$2128, ";", ", ")</f>
        <v>Depth-First Search, Graph, Topological Sort, </v>
      </c>
      <c r="I1328" s="10" t="str">
        <f>Github!E$2128</f>
        <v>Hard</v>
      </c>
      <c r="J1328" s="10" t="str">
        <f>IF(TRIM(Github!D$2128)="TRUE","FALSE","TRUE")</f>
        <v>TRUE</v>
      </c>
      <c r="K1328" s="10" t="b">
        <f>Github!M$2128</f>
        <v>0</v>
      </c>
      <c r="L1328" s="10" t="b">
        <f>Github!N$2128</f>
        <v>0</v>
      </c>
      <c r="M1328" s="10" t="str">
        <f>ROUND(Github!O$2128, 2)&amp;"%"</f>
        <v>29.57%</v>
      </c>
      <c r="N1328" s="10">
        <f>Github!P$2128</f>
        <v>4292</v>
      </c>
      <c r="O1328" s="10">
        <f>Github!Q$2128</f>
        <v>14517</v>
      </c>
    </row>
    <row r="1329">
      <c r="A1329" s="10">
        <f>Github!J$2168</f>
        <v>2167</v>
      </c>
      <c r="B1329" s="11" t="str">
        <f>HYPERLINK(CONCAT("http://leetcode.com/problems/",Github!C$2168), Github!B$2168)</f>
        <v>Minimum Time to Remove All Cars Containing Illegal Goods</v>
      </c>
      <c r="C1329" s="10">
        <f>Github!F$2168</f>
        <v>442</v>
      </c>
      <c r="D1329" s="10">
        <f>Github!G$2168</f>
        <v>7</v>
      </c>
      <c r="E1329" s="10">
        <f>Github!F$2168+Github!G$2168</f>
        <v>449</v>
      </c>
      <c r="F1329" s="12">
        <f t="shared" si="1"/>
        <v>63.14</v>
      </c>
      <c r="G1329" s="10" t="str">
        <f>Github!H$2168</f>
        <v>Algorithms</v>
      </c>
      <c r="H1329" s="13" t="str">
        <f>SUBSTITUTE(Github!L$2168, ";", ", ")</f>
        <v>String, Dynamic Programming, </v>
      </c>
      <c r="I1329" s="10" t="str">
        <f>Github!E$2168</f>
        <v>Hard</v>
      </c>
      <c r="J1329" s="10" t="str">
        <f>IF(TRIM(Github!D$2168)="TRUE","FALSE","TRUE")</f>
        <v>TRUE</v>
      </c>
      <c r="K1329" s="10" t="b">
        <f>Github!M$2168</f>
        <v>0</v>
      </c>
      <c r="L1329" s="10" t="b">
        <f>Github!N$2168</f>
        <v>0</v>
      </c>
      <c r="M1329" s="10" t="str">
        <f>ROUND(Github!O$2168, 2)&amp;"%"</f>
        <v>38.64%</v>
      </c>
      <c r="N1329" s="10">
        <f>Github!P$2168</f>
        <v>7323</v>
      </c>
      <c r="O1329" s="10">
        <f>Github!Q$2168</f>
        <v>18954</v>
      </c>
    </row>
    <row r="1330">
      <c r="A1330" s="10">
        <f>Github!J$1132</f>
        <v>1131</v>
      </c>
      <c r="B1330" s="11" t="str">
        <f>HYPERLINK(CONCAT("http://leetcode.com/problems/",Github!C$1132), Github!B$1132)</f>
        <v>Maximum of Absolute Value Expression</v>
      </c>
      <c r="C1330" s="10">
        <f>Github!F$1132</f>
        <v>439</v>
      </c>
      <c r="D1330" s="10">
        <f>Github!G$1132</f>
        <v>324</v>
      </c>
      <c r="E1330" s="10">
        <f>Github!F$1132+Github!G$1132</f>
        <v>763</v>
      </c>
      <c r="F1330" s="12">
        <f t="shared" si="1"/>
        <v>1.35</v>
      </c>
      <c r="G1330" s="10" t="str">
        <f>Github!H$1132</f>
        <v>Algorithms</v>
      </c>
      <c r="H1330" s="13" t="str">
        <f>SUBSTITUTE(Github!L$1132, ";", ", ")</f>
        <v>Array, Math, </v>
      </c>
      <c r="I1330" s="10" t="str">
        <f>Github!E$1132</f>
        <v>Medium</v>
      </c>
      <c r="J1330" s="10" t="str">
        <f>IF(TRIM(Github!D$1132)="TRUE","FALSE","TRUE")</f>
        <v>TRUE</v>
      </c>
      <c r="K1330" s="10" t="b">
        <f>Github!M$1132</f>
        <v>0</v>
      </c>
      <c r="L1330" s="10" t="b">
        <f>Github!N$1132</f>
        <v>0</v>
      </c>
      <c r="M1330" s="10" t="str">
        <f>ROUND(Github!O$1132, 2)&amp;"%"</f>
        <v>50.04%</v>
      </c>
      <c r="N1330" s="10">
        <f>Github!P$1132</f>
        <v>15589</v>
      </c>
      <c r="O1330" s="10">
        <f>Github!Q$1132</f>
        <v>31148</v>
      </c>
    </row>
    <row r="1331">
      <c r="A1331" s="10">
        <f>Github!J$1532</f>
        <v>1531</v>
      </c>
      <c r="B1331" s="11" t="str">
        <f>HYPERLINK(CONCAT("http://leetcode.com/problems/",Github!C$1532), Github!B$1532)</f>
        <v>String Compression II</v>
      </c>
      <c r="C1331" s="10">
        <f>Github!F$1532</f>
        <v>440</v>
      </c>
      <c r="D1331" s="10">
        <f>Github!G$1532</f>
        <v>47</v>
      </c>
      <c r="E1331" s="10">
        <f>Github!F$1532+Github!G$1532</f>
        <v>487</v>
      </c>
      <c r="F1331" s="12">
        <f t="shared" si="1"/>
        <v>9.36</v>
      </c>
      <c r="G1331" s="10" t="str">
        <f>Github!H$1532</f>
        <v>Algorithms</v>
      </c>
      <c r="H1331" s="13" t="str">
        <f>SUBSTITUTE(Github!L$1532, ";", ", ")</f>
        <v>String, Dynamic Programming, </v>
      </c>
      <c r="I1331" s="10" t="str">
        <f>Github!E$1532</f>
        <v>Hard</v>
      </c>
      <c r="J1331" s="10" t="str">
        <f>IF(TRIM(Github!D$1532)="TRUE","FALSE","TRUE")</f>
        <v>TRUE</v>
      </c>
      <c r="K1331" s="10" t="b">
        <f>Github!M$1532</f>
        <v>0</v>
      </c>
      <c r="L1331" s="10" t="b">
        <f>Github!N$1532</f>
        <v>0</v>
      </c>
      <c r="M1331" s="10" t="str">
        <f>ROUND(Github!O$1532, 2)&amp;"%"</f>
        <v>37.6%</v>
      </c>
      <c r="N1331" s="10">
        <f>Github!P$1532</f>
        <v>10453</v>
      </c>
      <c r="O1331" s="10">
        <f>Github!Q$1532</f>
        <v>27803</v>
      </c>
    </row>
    <row r="1332">
      <c r="A1332" s="10">
        <f>Github!J$1442</f>
        <v>1441</v>
      </c>
      <c r="B1332" s="11" t="str">
        <f>HYPERLINK(CONCAT("http://leetcode.com/problems/",Github!C$1442), Github!B$1442)</f>
        <v>Build an Array With Stack Operations</v>
      </c>
      <c r="C1332" s="10">
        <f>Github!F$1442</f>
        <v>438</v>
      </c>
      <c r="D1332" s="10">
        <f>Github!G$1442</f>
        <v>728</v>
      </c>
      <c r="E1332" s="10">
        <f>Github!F$1442+Github!G$1442</f>
        <v>1166</v>
      </c>
      <c r="F1332" s="12">
        <f t="shared" si="1"/>
        <v>0.6</v>
      </c>
      <c r="G1332" s="10" t="str">
        <f>Github!H$1442</f>
        <v>Algorithms</v>
      </c>
      <c r="H1332" s="13" t="str">
        <f>SUBSTITUTE(Github!L$1442, ";", ", ")</f>
        <v>Array, Stack, Simulation, </v>
      </c>
      <c r="I1332" s="10" t="str">
        <f>Github!E$1442</f>
        <v>Easy</v>
      </c>
      <c r="J1332" s="10" t="str">
        <f>IF(TRIM(Github!D$1442)="TRUE","FALSE","TRUE")</f>
        <v>TRUE</v>
      </c>
      <c r="K1332" s="10" t="b">
        <f>Github!M$1442</f>
        <v>0</v>
      </c>
      <c r="L1332" s="10" t="b">
        <f>Github!N$1442</f>
        <v>0</v>
      </c>
      <c r="M1332" s="10" t="str">
        <f>ROUND(Github!O$1442, 2)&amp;"%"</f>
        <v>70.85%</v>
      </c>
      <c r="N1332" s="10">
        <f>Github!P$1442</f>
        <v>56693</v>
      </c>
      <c r="O1332" s="10">
        <f>Github!Q$1442</f>
        <v>80018</v>
      </c>
    </row>
    <row r="1333">
      <c r="A1333" s="10">
        <f>Github!J$904</f>
        <v>903</v>
      </c>
      <c r="B1333" s="11" t="str">
        <f>HYPERLINK(CONCAT("http://leetcode.com/problems/",Github!C$904), Github!B$904)</f>
        <v>Valid Permutations for DI Sequence</v>
      </c>
      <c r="C1333" s="10">
        <f>Github!F$904</f>
        <v>437</v>
      </c>
      <c r="D1333" s="10">
        <f>Github!G$904</f>
        <v>35</v>
      </c>
      <c r="E1333" s="10">
        <f>Github!F$904+Github!G$904</f>
        <v>472</v>
      </c>
      <c r="F1333" s="12">
        <f t="shared" si="1"/>
        <v>12.49</v>
      </c>
      <c r="G1333" s="10" t="str">
        <f>Github!H$904</f>
        <v>Algorithms</v>
      </c>
      <c r="H1333" s="13" t="str">
        <f>SUBSTITUTE(Github!L$904, ";", ", ")</f>
        <v>Dynamic Programming, </v>
      </c>
      <c r="I1333" s="10" t="str">
        <f>Github!E$904</f>
        <v>Hard</v>
      </c>
      <c r="J1333" s="10" t="str">
        <f>IF(TRIM(Github!D$904)="TRUE","FALSE","TRUE")</f>
        <v>TRUE</v>
      </c>
      <c r="K1333" s="10" t="b">
        <f>Github!M$904</f>
        <v>0</v>
      </c>
      <c r="L1333" s="10" t="b">
        <f>Github!N$904</f>
        <v>0</v>
      </c>
      <c r="M1333" s="10" t="str">
        <f>ROUND(Github!O$904, 2)&amp;"%"</f>
        <v>57.01%</v>
      </c>
      <c r="N1333" s="10">
        <f>Github!P$904</f>
        <v>10465</v>
      </c>
      <c r="O1333" s="10">
        <f>Github!Q$904</f>
        <v>18358</v>
      </c>
    </row>
    <row r="1334">
      <c r="A1334" s="10">
        <f>Github!J$1241</f>
        <v>1240</v>
      </c>
      <c r="B1334" s="11" t="str">
        <f>HYPERLINK(CONCAT("http://leetcode.com/problems/",Github!C$1241), Github!B$1241)</f>
        <v>Tiling a Rectangle with the Fewest Squares</v>
      </c>
      <c r="C1334" s="10">
        <f>Github!F$1241</f>
        <v>437</v>
      </c>
      <c r="D1334" s="10">
        <f>Github!G$1241</f>
        <v>404</v>
      </c>
      <c r="E1334" s="10">
        <f>Github!F$1241+Github!G$1241</f>
        <v>841</v>
      </c>
      <c r="F1334" s="12">
        <f t="shared" si="1"/>
        <v>1.08</v>
      </c>
      <c r="G1334" s="10" t="str">
        <f>Github!H$1241</f>
        <v>Algorithms</v>
      </c>
      <c r="H1334" s="13" t="str">
        <f>SUBSTITUTE(Github!L$1241, ";", ", ")</f>
        <v>Dynamic Programming, Backtracking, </v>
      </c>
      <c r="I1334" s="10" t="str">
        <f>Github!E$1241</f>
        <v>Hard</v>
      </c>
      <c r="J1334" s="10" t="str">
        <f>IF(TRIM(Github!D$1241)="TRUE","FALSE","TRUE")</f>
        <v>TRUE</v>
      </c>
      <c r="K1334" s="10" t="b">
        <f>Github!M$1241</f>
        <v>0</v>
      </c>
      <c r="L1334" s="10" t="b">
        <f>Github!N$1241</f>
        <v>0</v>
      </c>
      <c r="M1334" s="10" t="str">
        <f>ROUND(Github!O$1241, 2)&amp;"%"</f>
        <v>52.83%</v>
      </c>
      <c r="N1334" s="10">
        <f>Github!P$1241</f>
        <v>15118</v>
      </c>
      <c r="O1334" s="10">
        <f>Github!Q$1241</f>
        <v>28615</v>
      </c>
    </row>
    <row r="1335">
      <c r="A1335" s="10">
        <f>Github!J$1752</f>
        <v>1751</v>
      </c>
      <c r="B1335" s="11" t="str">
        <f>HYPERLINK(CONCAT("http://leetcode.com/problems/",Github!C$1752), Github!B$1752)</f>
        <v>Maximum Number of Events That Can Be Attended II</v>
      </c>
      <c r="C1335" s="10">
        <f>Github!F$1752</f>
        <v>438</v>
      </c>
      <c r="D1335" s="10">
        <f>Github!G$1752</f>
        <v>8</v>
      </c>
      <c r="E1335" s="10">
        <f>Github!F$1752+Github!G$1752</f>
        <v>446</v>
      </c>
      <c r="F1335" s="12">
        <f t="shared" si="1"/>
        <v>54.75</v>
      </c>
      <c r="G1335" s="10" t="str">
        <f>Github!H$1752</f>
        <v>Algorithms</v>
      </c>
      <c r="H1335" s="13" t="str">
        <f>SUBSTITUTE(Github!L$1752, ";", ", ")</f>
        <v>Array, Binary Search, Dynamic Programming, </v>
      </c>
      <c r="I1335" s="10" t="str">
        <f>Github!E$1752</f>
        <v>Hard</v>
      </c>
      <c r="J1335" s="10" t="str">
        <f>IF(TRIM(Github!D$1752)="TRUE","FALSE","TRUE")</f>
        <v>TRUE</v>
      </c>
      <c r="K1335" s="10" t="b">
        <f>Github!M$1752</f>
        <v>0</v>
      </c>
      <c r="L1335" s="10" t="b">
        <f>Github!N$1752</f>
        <v>0</v>
      </c>
      <c r="M1335" s="10" t="str">
        <f>ROUND(Github!O$1752, 2)&amp;"%"</f>
        <v>54.57%</v>
      </c>
      <c r="N1335" s="10">
        <f>Github!P$1752</f>
        <v>13423</v>
      </c>
      <c r="O1335" s="10">
        <f>Github!Q$1752</f>
        <v>24597</v>
      </c>
    </row>
    <row r="1336">
      <c r="A1336" s="10">
        <f>Github!J$247</f>
        <v>246</v>
      </c>
      <c r="B1336" s="11" t="str">
        <f>HYPERLINK(CONCAT("http://leetcode.com/problems/",Github!C$247), Github!B$247)</f>
        <v>Strobogrammatic Number</v>
      </c>
      <c r="C1336" s="10">
        <f>Github!F$247</f>
        <v>436</v>
      </c>
      <c r="D1336" s="10">
        <f>Github!G$247</f>
        <v>719</v>
      </c>
      <c r="E1336" s="10">
        <f>Github!F$247+Github!G$247</f>
        <v>1155</v>
      </c>
      <c r="F1336" s="12">
        <f t="shared" si="1"/>
        <v>0.61</v>
      </c>
      <c r="G1336" s="10" t="str">
        <f>Github!H$247</f>
        <v>Algorithms</v>
      </c>
      <c r="H1336" s="13" t="str">
        <f>SUBSTITUTE(Github!L$247, ";", ", ")</f>
        <v>Hash Table, Two Pointers, String, </v>
      </c>
      <c r="I1336" s="10" t="str">
        <f>Github!E$247</f>
        <v>Easy</v>
      </c>
      <c r="J1336" s="10" t="str">
        <f>IF(TRIM(Github!D$247)="TRUE","FALSE","TRUE")</f>
        <v>FALSE</v>
      </c>
      <c r="K1336" s="10" t="b">
        <f>Github!M$247</f>
        <v>1</v>
      </c>
      <c r="L1336" s="10" t="b">
        <f>Github!N$247</f>
        <v>1</v>
      </c>
      <c r="M1336" s="10" t="str">
        <f>ROUND(Github!O$247, 2)&amp;"%"</f>
        <v>47.45%</v>
      </c>
      <c r="N1336" s="10">
        <f>Github!P$247</f>
        <v>131490</v>
      </c>
      <c r="O1336" s="10">
        <f>Github!Q$247</f>
        <v>277100</v>
      </c>
    </row>
    <row r="1337">
      <c r="A1337" s="10">
        <f>Github!J$700</f>
        <v>699</v>
      </c>
      <c r="B1337" s="11" t="str">
        <f>HYPERLINK(CONCAT("http://leetcode.com/problems/",Github!C$700), Github!B$700)</f>
        <v>Falling Squares</v>
      </c>
      <c r="C1337" s="10">
        <f>Github!F$700</f>
        <v>436</v>
      </c>
      <c r="D1337" s="10">
        <f>Github!G$700</f>
        <v>68</v>
      </c>
      <c r="E1337" s="10">
        <f>Github!F$700+Github!G$700</f>
        <v>504</v>
      </c>
      <c r="F1337" s="12">
        <f t="shared" si="1"/>
        <v>6.41</v>
      </c>
      <c r="G1337" s="10" t="str">
        <f>Github!H$700</f>
        <v>Algorithms</v>
      </c>
      <c r="H1337" s="13" t="str">
        <f>SUBSTITUTE(Github!L$700, ";", ", ")</f>
        <v>Array, Segment Tree, Ordered Set, </v>
      </c>
      <c r="I1337" s="10" t="str">
        <f>Github!E$700</f>
        <v>Hard</v>
      </c>
      <c r="J1337" s="10" t="str">
        <f>IF(TRIM(Github!D$700)="TRUE","FALSE","TRUE")</f>
        <v>TRUE</v>
      </c>
      <c r="K1337" s="10" t="b">
        <f>Github!M$700</f>
        <v>1</v>
      </c>
      <c r="L1337" s="10" t="b">
        <f>Github!N$700</f>
        <v>0</v>
      </c>
      <c r="M1337" s="10" t="str">
        <f>ROUND(Github!O$700, 2)&amp;"%"</f>
        <v>43.68%</v>
      </c>
      <c r="N1337" s="10">
        <f>Github!P$700</f>
        <v>19025</v>
      </c>
      <c r="O1337" s="10">
        <f>Github!Q$700</f>
        <v>43558</v>
      </c>
    </row>
    <row r="1338">
      <c r="A1338" s="10">
        <f>Github!J$1088</f>
        <v>1087</v>
      </c>
      <c r="B1338" s="11" t="str">
        <f>HYPERLINK(CONCAT("http://leetcode.com/problems/",Github!C$1088), Github!B$1088)</f>
        <v>Brace Expansion</v>
      </c>
      <c r="C1338" s="10">
        <f>Github!F$1088</f>
        <v>435</v>
      </c>
      <c r="D1338" s="10">
        <f>Github!G$1088</f>
        <v>39</v>
      </c>
      <c r="E1338" s="10">
        <f>Github!F$1088+Github!G$1088</f>
        <v>474</v>
      </c>
      <c r="F1338" s="12">
        <f t="shared" si="1"/>
        <v>11.15</v>
      </c>
      <c r="G1338" s="10" t="str">
        <f>Github!H$1088</f>
        <v>Algorithms</v>
      </c>
      <c r="H1338" s="13" t="str">
        <f>SUBSTITUTE(Github!L$1088, ";", ", ")</f>
        <v>String, Backtracking, Breadth-First Search, </v>
      </c>
      <c r="I1338" s="10" t="str">
        <f>Github!E$1088</f>
        <v>Medium</v>
      </c>
      <c r="J1338" s="10" t="str">
        <f>IF(TRIM(Github!D$1088)="TRUE","FALSE","TRUE")</f>
        <v>FALSE</v>
      </c>
      <c r="K1338" s="10" t="b">
        <f>Github!M$1088</f>
        <v>1</v>
      </c>
      <c r="L1338" s="10" t="b">
        <f>Github!N$1088</f>
        <v>0</v>
      </c>
      <c r="M1338" s="10" t="str">
        <f>ROUND(Github!O$1088, 2)&amp;"%"</f>
        <v>64.42%</v>
      </c>
      <c r="N1338" s="10">
        <f>Github!P$1088</f>
        <v>36560</v>
      </c>
      <c r="O1338" s="10">
        <f>Github!Q$1088</f>
        <v>56749</v>
      </c>
    </row>
    <row r="1339">
      <c r="A1339" s="10">
        <f>Github!J$956</f>
        <v>955</v>
      </c>
      <c r="B1339" s="11" t="str">
        <f>HYPERLINK(CONCAT("http://leetcode.com/problems/",Github!C$956), Github!B$956)</f>
        <v>Delete Columns to Make Sorted II</v>
      </c>
      <c r="C1339" s="10">
        <f>Github!F$956</f>
        <v>434</v>
      </c>
      <c r="D1339" s="10">
        <f>Github!G$956</f>
        <v>69</v>
      </c>
      <c r="E1339" s="10">
        <f>Github!F$956+Github!G$956</f>
        <v>503</v>
      </c>
      <c r="F1339" s="12">
        <f t="shared" si="1"/>
        <v>6.29</v>
      </c>
      <c r="G1339" s="10" t="str">
        <f>Github!H$956</f>
        <v>Algorithms</v>
      </c>
      <c r="H1339" s="13" t="str">
        <f>SUBSTITUTE(Github!L$956, ";", ", ")</f>
        <v>Array, String, Greedy, </v>
      </c>
      <c r="I1339" s="10" t="str">
        <f>Github!E$956</f>
        <v>Medium</v>
      </c>
      <c r="J1339" s="10" t="str">
        <f>IF(TRIM(Github!D$956)="TRUE","FALSE","TRUE")</f>
        <v>TRUE</v>
      </c>
      <c r="K1339" s="10" t="b">
        <f>Github!M$956</f>
        <v>0</v>
      </c>
      <c r="L1339" s="10" t="b">
        <f>Github!N$956</f>
        <v>0</v>
      </c>
      <c r="M1339" s="10" t="str">
        <f>ROUND(Github!O$956, 2)&amp;"%"</f>
        <v>34.13%</v>
      </c>
      <c r="N1339" s="10">
        <f>Github!P$956</f>
        <v>14966</v>
      </c>
      <c r="O1339" s="10">
        <f>Github!Q$956</f>
        <v>43844</v>
      </c>
    </row>
    <row r="1340">
      <c r="A1340" s="10">
        <f>Github!J$1217</f>
        <v>1216</v>
      </c>
      <c r="B1340" s="11" t="str">
        <f>HYPERLINK(CONCAT("http://leetcode.com/problems/",Github!C$1217), Github!B$1217)</f>
        <v>Valid Palindrome III</v>
      </c>
      <c r="C1340" s="10">
        <f>Github!F$1217</f>
        <v>434</v>
      </c>
      <c r="D1340" s="10">
        <f>Github!G$1217</f>
        <v>6</v>
      </c>
      <c r="E1340" s="10">
        <f>Github!F$1217+Github!G$1217</f>
        <v>440</v>
      </c>
      <c r="F1340" s="12">
        <f t="shared" si="1"/>
        <v>72.33</v>
      </c>
      <c r="G1340" s="10" t="str">
        <f>Github!H$1217</f>
        <v>Algorithms</v>
      </c>
      <c r="H1340" s="13" t="str">
        <f>SUBSTITUTE(Github!L$1217, ";", ", ")</f>
        <v>String, Dynamic Programming, </v>
      </c>
      <c r="I1340" s="10" t="str">
        <f>Github!E$1217</f>
        <v>Hard</v>
      </c>
      <c r="J1340" s="10" t="str">
        <f>IF(TRIM(Github!D$1217)="TRUE","FALSE","TRUE")</f>
        <v>FALSE</v>
      </c>
      <c r="K1340" s="10" t="b">
        <f>Github!M$1217</f>
        <v>1</v>
      </c>
      <c r="L1340" s="10" t="b">
        <f>Github!N$1217</f>
        <v>0</v>
      </c>
      <c r="M1340" s="10" t="str">
        <f>ROUND(Github!O$1217, 2)&amp;"%"</f>
        <v>51.26%</v>
      </c>
      <c r="N1340" s="10">
        <f>Github!P$1217</f>
        <v>30330</v>
      </c>
      <c r="O1340" s="10">
        <f>Github!Q$1217</f>
        <v>59164</v>
      </c>
    </row>
    <row r="1341">
      <c r="A1341" s="10">
        <f>Github!J$1910</f>
        <v>1909</v>
      </c>
      <c r="B1341" s="11" t="str">
        <f>HYPERLINK(CONCAT("http://leetcode.com/problems/",Github!C$1910), Github!B$1910)</f>
        <v>Remove One Element to Make the Array Strictly Increasing</v>
      </c>
      <c r="C1341" s="10">
        <f>Github!F$1910</f>
        <v>436</v>
      </c>
      <c r="D1341" s="10">
        <f>Github!G$1910</f>
        <v>191</v>
      </c>
      <c r="E1341" s="10">
        <f>Github!F$1910+Github!G$1910</f>
        <v>627</v>
      </c>
      <c r="F1341" s="12">
        <f t="shared" si="1"/>
        <v>2.28</v>
      </c>
      <c r="G1341" s="10" t="str">
        <f>Github!H$1910</f>
        <v>Algorithms</v>
      </c>
      <c r="H1341" s="13" t="str">
        <f>SUBSTITUTE(Github!L$1910, ";", ", ")</f>
        <v>Array, </v>
      </c>
      <c r="I1341" s="10" t="str">
        <f>Github!E$1910</f>
        <v>Easy</v>
      </c>
      <c r="J1341" s="10" t="str">
        <f>IF(TRIM(Github!D$1910)="TRUE","FALSE","TRUE")</f>
        <v>TRUE</v>
      </c>
      <c r="K1341" s="10" t="b">
        <f>Github!M$1910</f>
        <v>0</v>
      </c>
      <c r="L1341" s="10" t="b">
        <f>Github!N$1910</f>
        <v>0</v>
      </c>
      <c r="M1341" s="10" t="str">
        <f>ROUND(Github!O$1910, 2)&amp;"%"</f>
        <v>27.52%</v>
      </c>
      <c r="N1341" s="10">
        <f>Github!P$1910</f>
        <v>22939</v>
      </c>
      <c r="O1341" s="10">
        <f>Github!Q$1910</f>
        <v>83361</v>
      </c>
    </row>
    <row r="1342">
      <c r="A1342" s="10">
        <f>Github!J$758</f>
        <v>757</v>
      </c>
      <c r="B1342" s="11" t="str">
        <f>HYPERLINK(CONCAT("http://leetcode.com/problems/",Github!C$758), Github!B$758)</f>
        <v>Set Intersection Size At Least Two</v>
      </c>
      <c r="C1342" s="10">
        <f>Github!F$758</f>
        <v>432</v>
      </c>
      <c r="D1342" s="10">
        <f>Github!G$758</f>
        <v>57</v>
      </c>
      <c r="E1342" s="10">
        <f>Github!F$758+Github!G$758</f>
        <v>489</v>
      </c>
      <c r="F1342" s="12">
        <f t="shared" si="1"/>
        <v>7.58</v>
      </c>
      <c r="G1342" s="10" t="str">
        <f>Github!H$758</f>
        <v>Algorithms</v>
      </c>
      <c r="H1342" s="13" t="str">
        <f>SUBSTITUTE(Github!L$758, ";", ", ")</f>
        <v>Array, Greedy, Sorting, </v>
      </c>
      <c r="I1342" s="10" t="str">
        <f>Github!E$758</f>
        <v>Hard</v>
      </c>
      <c r="J1342" s="10" t="str">
        <f>IF(TRIM(Github!D$758)="TRUE","FALSE","TRUE")</f>
        <v>TRUE</v>
      </c>
      <c r="K1342" s="10" t="b">
        <f>Github!M$758</f>
        <v>0</v>
      </c>
      <c r="L1342" s="10" t="b">
        <f>Github!N$758</f>
        <v>0</v>
      </c>
      <c r="M1342" s="10" t="str">
        <f>ROUND(Github!O$758, 2)&amp;"%"</f>
        <v>43.02%</v>
      </c>
      <c r="N1342" s="10">
        <f>Github!P$758</f>
        <v>15164</v>
      </c>
      <c r="O1342" s="10">
        <f>Github!Q$758</f>
        <v>35250</v>
      </c>
    </row>
    <row r="1343">
      <c r="A1343" s="10">
        <f>Github!J$1000</f>
        <v>999</v>
      </c>
      <c r="B1343" s="11" t="str">
        <f>HYPERLINK(CONCAT("http://leetcode.com/problems/",Github!C$1000), Github!B$1000)</f>
        <v>Available Captures for Rook</v>
      </c>
      <c r="C1343" s="10">
        <f>Github!F$1000</f>
        <v>432</v>
      </c>
      <c r="D1343" s="10">
        <f>Github!G$1000</f>
        <v>557</v>
      </c>
      <c r="E1343" s="10">
        <f>Github!F$1000+Github!G$1000</f>
        <v>989</v>
      </c>
      <c r="F1343" s="12">
        <f t="shared" si="1"/>
        <v>0.78</v>
      </c>
      <c r="G1343" s="10" t="str">
        <f>Github!H$1000</f>
        <v>Algorithms</v>
      </c>
      <c r="H1343" s="13" t="str">
        <f>SUBSTITUTE(Github!L$1000, ";", ", ")</f>
        <v>Array, Matrix, Simulation, </v>
      </c>
      <c r="I1343" s="10" t="str">
        <f>Github!E$1000</f>
        <v>Easy</v>
      </c>
      <c r="J1343" s="10" t="str">
        <f>IF(TRIM(Github!D$1000)="TRUE","FALSE","TRUE")</f>
        <v>TRUE</v>
      </c>
      <c r="K1343" s="10" t="b">
        <f>Github!M$1000</f>
        <v>0</v>
      </c>
      <c r="L1343" s="10" t="b">
        <f>Github!N$1000</f>
        <v>0</v>
      </c>
      <c r="M1343" s="10" t="str">
        <f>ROUND(Github!O$1000, 2)&amp;"%"</f>
        <v>67.85%</v>
      </c>
      <c r="N1343" s="10">
        <f>Github!P$1000</f>
        <v>48697</v>
      </c>
      <c r="O1343" s="10">
        <f>Github!Q$1000</f>
        <v>71771</v>
      </c>
    </row>
    <row r="1344">
      <c r="A1344" s="10">
        <f>Github!J$1158</f>
        <v>1157</v>
      </c>
      <c r="B1344" s="11" t="str">
        <f>HYPERLINK(CONCAT("http://leetcode.com/problems/",Github!C$1158), Github!B$1158)</f>
        <v>Online Majority Element In Subarray</v>
      </c>
      <c r="C1344" s="10">
        <f>Github!F$1158</f>
        <v>432</v>
      </c>
      <c r="D1344" s="10">
        <f>Github!G$1158</f>
        <v>45</v>
      </c>
      <c r="E1344" s="10">
        <f>Github!F$1158+Github!G$1158</f>
        <v>477</v>
      </c>
      <c r="F1344" s="12">
        <f t="shared" si="1"/>
        <v>9.6</v>
      </c>
      <c r="G1344" s="10" t="str">
        <f>Github!H$1158</f>
        <v>Algorithms</v>
      </c>
      <c r="H1344" s="13" t="str">
        <f>SUBSTITUTE(Github!L$1158, ";", ", ")</f>
        <v>Array, Binary Search, Design, Binary Indexed Tree, Segment Tree, </v>
      </c>
      <c r="I1344" s="10" t="str">
        <f>Github!E$1158</f>
        <v>Hard</v>
      </c>
      <c r="J1344" s="10" t="str">
        <f>IF(TRIM(Github!D$1158)="TRUE","FALSE","TRUE")</f>
        <v>TRUE</v>
      </c>
      <c r="K1344" s="10" t="b">
        <f>Github!M$1158</f>
        <v>0</v>
      </c>
      <c r="L1344" s="10" t="b">
        <f>Github!N$1158</f>
        <v>0</v>
      </c>
      <c r="M1344" s="10" t="str">
        <f>ROUND(Github!O$1158, 2)&amp;"%"</f>
        <v>41.94%</v>
      </c>
      <c r="N1344" s="10">
        <f>Github!P$1158</f>
        <v>12346</v>
      </c>
      <c r="O1344" s="10">
        <f>Github!Q$1158</f>
        <v>29436</v>
      </c>
    </row>
    <row r="1345">
      <c r="A1345" s="10">
        <f>Github!J$2188</f>
        <v>2187</v>
      </c>
      <c r="B1345" s="11" t="str">
        <f>HYPERLINK(CONCAT("http://leetcode.com/problems/",Github!C$2188), Github!B$2188)</f>
        <v>Minimum Time to Complete Trips</v>
      </c>
      <c r="C1345" s="10">
        <f>Github!F$2188</f>
        <v>435</v>
      </c>
      <c r="D1345" s="10">
        <f>Github!G$2188</f>
        <v>23</v>
      </c>
      <c r="E1345" s="10">
        <f>Github!F$2188+Github!G$2188</f>
        <v>458</v>
      </c>
      <c r="F1345" s="12">
        <f t="shared" si="1"/>
        <v>18.91</v>
      </c>
      <c r="G1345" s="10" t="str">
        <f>Github!H$2188</f>
        <v>Algorithms</v>
      </c>
      <c r="H1345" s="13" t="str">
        <f>SUBSTITUTE(Github!L$2188, ";", ", ")</f>
        <v>Array, Binary Search, </v>
      </c>
      <c r="I1345" s="10" t="str">
        <f>Github!E$2188</f>
        <v>Medium</v>
      </c>
      <c r="J1345" s="10" t="str">
        <f>IF(TRIM(Github!D$2188)="TRUE","FALSE","TRUE")</f>
        <v>TRUE</v>
      </c>
      <c r="K1345" s="10" t="b">
        <f>Github!M$2188</f>
        <v>0</v>
      </c>
      <c r="L1345" s="10" t="b">
        <f>Github!N$2188</f>
        <v>0</v>
      </c>
      <c r="M1345" s="10" t="str">
        <f>ROUND(Github!O$2188, 2)&amp;"%"</f>
        <v>28.88%</v>
      </c>
      <c r="N1345" s="10">
        <f>Github!P$2188</f>
        <v>16592</v>
      </c>
      <c r="O1345" s="10">
        <f>Github!Q$2188</f>
        <v>57439</v>
      </c>
    </row>
    <row r="1346">
      <c r="A1346" s="10">
        <f>Github!J$1101</f>
        <v>1100</v>
      </c>
      <c r="B1346" s="11" t="str">
        <f>HYPERLINK(CONCAT("http://leetcode.com/problems/",Github!C$1101), Github!B$1101)</f>
        <v>Find K-Length Substrings With No Repeated Characters</v>
      </c>
      <c r="C1346" s="10">
        <f>Github!F$1101</f>
        <v>431</v>
      </c>
      <c r="D1346" s="10">
        <f>Github!G$1101</f>
        <v>10</v>
      </c>
      <c r="E1346" s="10">
        <f>Github!F$1101+Github!G$1101</f>
        <v>441</v>
      </c>
      <c r="F1346" s="12">
        <f t="shared" si="1"/>
        <v>43.1</v>
      </c>
      <c r="G1346" s="10" t="str">
        <f>Github!H$1101</f>
        <v>Algorithms</v>
      </c>
      <c r="H1346" s="13" t="str">
        <f>SUBSTITUTE(Github!L$1101, ";", ", ")</f>
        <v>Hash Table, String, Sliding Window, </v>
      </c>
      <c r="I1346" s="10" t="str">
        <f>Github!E$1101</f>
        <v>Medium</v>
      </c>
      <c r="J1346" s="10" t="str">
        <f>IF(TRIM(Github!D$1101)="TRUE","FALSE","TRUE")</f>
        <v>FALSE</v>
      </c>
      <c r="K1346" s="10" t="b">
        <f>Github!M$1101</f>
        <v>1</v>
      </c>
      <c r="L1346" s="10" t="b">
        <f>Github!N$1101</f>
        <v>0</v>
      </c>
      <c r="M1346" s="10" t="str">
        <f>ROUND(Github!O$1101, 2)&amp;"%"</f>
        <v>74.76%</v>
      </c>
      <c r="N1346" s="10">
        <f>Github!P$1101</f>
        <v>28855</v>
      </c>
      <c r="O1346" s="10">
        <f>Github!Q$1101</f>
        <v>38596</v>
      </c>
    </row>
    <row r="1347">
      <c r="A1347" s="10">
        <f>Github!J$1387</f>
        <v>1386</v>
      </c>
      <c r="B1347" s="11" t="str">
        <f>HYPERLINK(CONCAT("http://leetcode.com/problems/",Github!C$1387), Github!B$1387)</f>
        <v>Cinema Seat Allocation</v>
      </c>
      <c r="C1347" s="10">
        <f>Github!F$1387</f>
        <v>431</v>
      </c>
      <c r="D1347" s="10">
        <f>Github!G$1387</f>
        <v>235</v>
      </c>
      <c r="E1347" s="10">
        <f>Github!F$1387+Github!G$1387</f>
        <v>666</v>
      </c>
      <c r="F1347" s="12">
        <f t="shared" si="1"/>
        <v>1.83</v>
      </c>
      <c r="G1347" s="10" t="str">
        <f>Github!H$1387</f>
        <v>Algorithms</v>
      </c>
      <c r="H1347" s="13" t="str">
        <f>SUBSTITUTE(Github!L$1387, ";", ", ")</f>
        <v>Array, Hash Table, Greedy, Bit Manipulation, </v>
      </c>
      <c r="I1347" s="10" t="str">
        <f>Github!E$1387</f>
        <v>Medium</v>
      </c>
      <c r="J1347" s="10" t="str">
        <f>IF(TRIM(Github!D$1387)="TRUE","FALSE","TRUE")</f>
        <v>TRUE</v>
      </c>
      <c r="K1347" s="10" t="b">
        <f>Github!M$1387</f>
        <v>0</v>
      </c>
      <c r="L1347" s="10" t="b">
        <f>Github!N$1387</f>
        <v>0</v>
      </c>
      <c r="M1347" s="10" t="str">
        <f>ROUND(Github!O$1387, 2)&amp;"%"</f>
        <v>39.14%</v>
      </c>
      <c r="N1347" s="10">
        <f>Github!P$1387</f>
        <v>21115</v>
      </c>
      <c r="O1347" s="10">
        <f>Github!Q$1387</f>
        <v>53941</v>
      </c>
    </row>
    <row r="1348">
      <c r="A1348" s="10">
        <f>Github!J$1563</f>
        <v>1562</v>
      </c>
      <c r="B1348" s="11" t="str">
        <f>HYPERLINK(CONCAT("http://leetcode.com/problems/",Github!C$1563), Github!B$1563)</f>
        <v>Find Latest Group of Size M</v>
      </c>
      <c r="C1348" s="10">
        <f>Github!F$1563</f>
        <v>431</v>
      </c>
      <c r="D1348" s="10">
        <f>Github!G$1563</f>
        <v>90</v>
      </c>
      <c r="E1348" s="10">
        <f>Github!F$1563+Github!G$1563</f>
        <v>521</v>
      </c>
      <c r="F1348" s="12">
        <f t="shared" si="1"/>
        <v>4.79</v>
      </c>
      <c r="G1348" s="10" t="str">
        <f>Github!H$1563</f>
        <v>Algorithms</v>
      </c>
      <c r="H1348" s="13" t="str">
        <f>SUBSTITUTE(Github!L$1563, ";", ", ")</f>
        <v>Array, Binary Search, Simulation, </v>
      </c>
      <c r="I1348" s="10" t="str">
        <f>Github!E$1563</f>
        <v>Medium</v>
      </c>
      <c r="J1348" s="10" t="str">
        <f>IF(TRIM(Github!D$1563)="TRUE","FALSE","TRUE")</f>
        <v>TRUE</v>
      </c>
      <c r="K1348" s="10" t="b">
        <f>Github!M$1563</f>
        <v>0</v>
      </c>
      <c r="L1348" s="10" t="b">
        <f>Github!N$1563</f>
        <v>0</v>
      </c>
      <c r="M1348" s="10" t="str">
        <f>ROUND(Github!O$1563, 2)&amp;"%"</f>
        <v>40.71%</v>
      </c>
      <c r="N1348" s="10">
        <f>Github!P$1563</f>
        <v>12118</v>
      </c>
      <c r="O1348" s="10">
        <f>Github!Q$1563</f>
        <v>29763</v>
      </c>
    </row>
    <row r="1349">
      <c r="A1349" s="10">
        <f>Github!J$1698</f>
        <v>1697</v>
      </c>
      <c r="B1349" s="11" t="str">
        <f>HYPERLINK(CONCAT("http://leetcode.com/problems/",Github!C$1698), Github!B$1698)</f>
        <v>Checking Existence of Edge Length Limited Paths</v>
      </c>
      <c r="C1349" s="10">
        <f>Github!F$1698</f>
        <v>428</v>
      </c>
      <c r="D1349" s="10">
        <f>Github!G$1698</f>
        <v>7</v>
      </c>
      <c r="E1349" s="10">
        <f>Github!F$1698+Github!G$1698</f>
        <v>435</v>
      </c>
      <c r="F1349" s="12">
        <f t="shared" si="1"/>
        <v>61.14</v>
      </c>
      <c r="G1349" s="10" t="str">
        <f>Github!H$1698</f>
        <v>Algorithms</v>
      </c>
      <c r="H1349" s="13" t="str">
        <f>SUBSTITUTE(Github!L$1698, ";", ", ")</f>
        <v>Array, Union Find, Graph, Sorting, </v>
      </c>
      <c r="I1349" s="10" t="str">
        <f>Github!E$1698</f>
        <v>Hard</v>
      </c>
      <c r="J1349" s="10" t="str">
        <f>IF(TRIM(Github!D$1698)="TRUE","FALSE","TRUE")</f>
        <v>TRUE</v>
      </c>
      <c r="K1349" s="10" t="b">
        <f>Github!M$1698</f>
        <v>0</v>
      </c>
      <c r="L1349" s="10" t="b">
        <f>Github!N$1698</f>
        <v>0</v>
      </c>
      <c r="M1349" s="10" t="str">
        <f>ROUND(Github!O$1698, 2)&amp;"%"</f>
        <v>48.5%</v>
      </c>
      <c r="N1349" s="10">
        <f>Github!P$1698</f>
        <v>7516</v>
      </c>
      <c r="O1349" s="10">
        <f>Github!Q$1698</f>
        <v>15497</v>
      </c>
    </row>
    <row r="1350">
      <c r="A1350" s="10">
        <f>Github!J$1948</f>
        <v>1947</v>
      </c>
      <c r="B1350" s="11" t="str">
        <f>HYPERLINK(CONCAT("http://leetcode.com/problems/",Github!C$1948), Github!B$1948)</f>
        <v>Maximum Compatibility Score Sum</v>
      </c>
      <c r="C1350" s="10">
        <f>Github!F$1948</f>
        <v>428</v>
      </c>
      <c r="D1350" s="10">
        <f>Github!G$1948</f>
        <v>10</v>
      </c>
      <c r="E1350" s="10">
        <f>Github!F$1948+Github!G$1948</f>
        <v>438</v>
      </c>
      <c r="F1350" s="12">
        <f t="shared" si="1"/>
        <v>42.8</v>
      </c>
      <c r="G1350" s="10" t="str">
        <f>Github!H$1948</f>
        <v>Algorithms</v>
      </c>
      <c r="H1350" s="13" t="str">
        <f>SUBSTITUTE(Github!L$1948, ";", ", ")</f>
        <v>Array, Dynamic Programming, Backtracking, Bit Manipulation, Bitmask, </v>
      </c>
      <c r="I1350" s="10" t="str">
        <f>Github!E$1948</f>
        <v>Medium</v>
      </c>
      <c r="J1350" s="10" t="str">
        <f>IF(TRIM(Github!D$1948)="TRUE","FALSE","TRUE")</f>
        <v>TRUE</v>
      </c>
      <c r="K1350" s="10" t="b">
        <f>Github!M$1948</f>
        <v>0</v>
      </c>
      <c r="L1350" s="10" t="b">
        <f>Github!N$1948</f>
        <v>0</v>
      </c>
      <c r="M1350" s="10" t="str">
        <f>ROUND(Github!O$1948, 2)&amp;"%"</f>
        <v>59.73%</v>
      </c>
      <c r="N1350" s="10">
        <f>Github!P$1948</f>
        <v>13416</v>
      </c>
      <c r="O1350" s="10">
        <f>Github!Q$1948</f>
        <v>22461</v>
      </c>
    </row>
    <row r="1351">
      <c r="A1351" s="10">
        <f>Github!J$1164</f>
        <v>1163</v>
      </c>
      <c r="B1351" s="11" t="str">
        <f>HYPERLINK(CONCAT("http://leetcode.com/problems/",Github!C$1164), Github!B$1164)</f>
        <v>Last Substring in Lexicographical Order</v>
      </c>
      <c r="C1351" s="10">
        <f>Github!F$1164</f>
        <v>426</v>
      </c>
      <c r="D1351" s="10">
        <f>Github!G$1164</f>
        <v>404</v>
      </c>
      <c r="E1351" s="10">
        <f>Github!F$1164+Github!G$1164</f>
        <v>830</v>
      </c>
      <c r="F1351" s="12">
        <f t="shared" si="1"/>
        <v>1.05</v>
      </c>
      <c r="G1351" s="10" t="str">
        <f>Github!H$1164</f>
        <v>Algorithms</v>
      </c>
      <c r="H1351" s="13" t="str">
        <f>SUBSTITUTE(Github!L$1164, ";", ", ")</f>
        <v>Two Pointers, String, </v>
      </c>
      <c r="I1351" s="10" t="str">
        <f>Github!E$1164</f>
        <v>Hard</v>
      </c>
      <c r="J1351" s="10" t="str">
        <f>IF(TRIM(Github!D$1164)="TRUE","FALSE","TRUE")</f>
        <v>TRUE</v>
      </c>
      <c r="K1351" s="10" t="b">
        <f>Github!M$1164</f>
        <v>0</v>
      </c>
      <c r="L1351" s="10" t="b">
        <f>Github!N$1164</f>
        <v>0</v>
      </c>
      <c r="M1351" s="10" t="str">
        <f>ROUND(Github!O$1164, 2)&amp;"%"</f>
        <v>35.7%</v>
      </c>
      <c r="N1351" s="10">
        <f>Github!P$1164</f>
        <v>29119</v>
      </c>
      <c r="O1351" s="10">
        <f>Github!Q$1164</f>
        <v>81564</v>
      </c>
    </row>
    <row r="1352">
      <c r="A1352" s="10">
        <f>Github!J$1574</f>
        <v>1573</v>
      </c>
      <c r="B1352" s="11" t="str">
        <f>HYPERLINK(CONCAT("http://leetcode.com/problems/",Github!C$1574), Github!B$1574)</f>
        <v>Number of Ways to Split a String</v>
      </c>
      <c r="C1352" s="10">
        <f>Github!F$1574</f>
        <v>425</v>
      </c>
      <c r="D1352" s="10">
        <f>Github!G$1574</f>
        <v>55</v>
      </c>
      <c r="E1352" s="10">
        <f>Github!F$1574+Github!G$1574</f>
        <v>480</v>
      </c>
      <c r="F1352" s="12">
        <f t="shared" si="1"/>
        <v>7.73</v>
      </c>
      <c r="G1352" s="10" t="str">
        <f>Github!H$1574</f>
        <v>Algorithms</v>
      </c>
      <c r="H1352" s="13" t="str">
        <f>SUBSTITUTE(Github!L$1574, ";", ", ")</f>
        <v>Math, String, </v>
      </c>
      <c r="I1352" s="10" t="str">
        <f>Github!E$1574</f>
        <v>Medium</v>
      </c>
      <c r="J1352" s="10" t="str">
        <f>IF(TRIM(Github!D$1574)="TRUE","FALSE","TRUE")</f>
        <v>TRUE</v>
      </c>
      <c r="K1352" s="10" t="b">
        <f>Github!M$1574</f>
        <v>0</v>
      </c>
      <c r="L1352" s="10" t="b">
        <f>Github!N$1574</f>
        <v>0</v>
      </c>
      <c r="M1352" s="10" t="str">
        <f>ROUND(Github!O$1574, 2)&amp;"%"</f>
        <v>32.02%</v>
      </c>
      <c r="N1352" s="10">
        <f>Github!P$1574</f>
        <v>18518</v>
      </c>
      <c r="O1352" s="10">
        <f>Github!Q$1574</f>
        <v>57830</v>
      </c>
    </row>
    <row r="1353">
      <c r="A1353" s="10">
        <f>Github!J$880</f>
        <v>879</v>
      </c>
      <c r="B1353" s="11" t="str">
        <f>HYPERLINK(CONCAT("http://leetcode.com/problems/",Github!C$880), Github!B$880)</f>
        <v>Profitable Schemes</v>
      </c>
      <c r="C1353" s="10">
        <f>Github!F$880</f>
        <v>424</v>
      </c>
      <c r="D1353" s="10">
        <f>Github!G$880</f>
        <v>37</v>
      </c>
      <c r="E1353" s="10">
        <f>Github!F$880+Github!G$880</f>
        <v>461</v>
      </c>
      <c r="F1353" s="12">
        <f t="shared" si="1"/>
        <v>11.46</v>
      </c>
      <c r="G1353" s="10" t="str">
        <f>Github!H$880</f>
        <v>Algorithms</v>
      </c>
      <c r="H1353" s="13" t="str">
        <f>SUBSTITUTE(Github!L$880, ";", ", ")</f>
        <v>Array, Dynamic Programming, </v>
      </c>
      <c r="I1353" s="10" t="str">
        <f>Github!E$880</f>
        <v>Hard</v>
      </c>
      <c r="J1353" s="10" t="str">
        <f>IF(TRIM(Github!D$880)="TRUE","FALSE","TRUE")</f>
        <v>TRUE</v>
      </c>
      <c r="K1353" s="10" t="b">
        <f>Github!M$880</f>
        <v>1</v>
      </c>
      <c r="L1353" s="10" t="b">
        <f>Github!N$880</f>
        <v>0</v>
      </c>
      <c r="M1353" s="10" t="str">
        <f>ROUND(Github!O$880, 2)&amp;"%"</f>
        <v>40.67%</v>
      </c>
      <c r="N1353" s="10">
        <f>Github!P$880</f>
        <v>14399</v>
      </c>
      <c r="O1353" s="10">
        <f>Github!Q$880</f>
        <v>35405</v>
      </c>
    </row>
    <row r="1354">
      <c r="A1354" s="10">
        <f>Github!J$1867</f>
        <v>1866</v>
      </c>
      <c r="B1354" s="11" t="str">
        <f>HYPERLINK(CONCAT("http://leetcode.com/problems/",Github!C$1867), Github!B$1867)</f>
        <v>Number of Ways to Rearrange Sticks With K Sticks Visible</v>
      </c>
      <c r="C1354" s="10">
        <f>Github!F$1867</f>
        <v>423</v>
      </c>
      <c r="D1354" s="10">
        <f>Github!G$1867</f>
        <v>9</v>
      </c>
      <c r="E1354" s="10">
        <f>Github!F$1867+Github!G$1867</f>
        <v>432</v>
      </c>
      <c r="F1354" s="12">
        <f t="shared" si="1"/>
        <v>47</v>
      </c>
      <c r="G1354" s="10" t="str">
        <f>Github!H$1867</f>
        <v>Algorithms</v>
      </c>
      <c r="H1354" s="13" t="str">
        <f>SUBSTITUTE(Github!L$1867, ";", ", ")</f>
        <v>Math, Dynamic Programming, Combinatorics, </v>
      </c>
      <c r="I1354" s="10" t="str">
        <f>Github!E$1867</f>
        <v>Hard</v>
      </c>
      <c r="J1354" s="10" t="str">
        <f>IF(TRIM(Github!D$1867)="TRUE","FALSE","TRUE")</f>
        <v>TRUE</v>
      </c>
      <c r="K1354" s="10" t="b">
        <f>Github!M$1867</f>
        <v>0</v>
      </c>
      <c r="L1354" s="10" t="b">
        <f>Github!N$1867</f>
        <v>0</v>
      </c>
      <c r="M1354" s="10" t="str">
        <f>ROUND(Github!O$1867, 2)&amp;"%"</f>
        <v>55.29%</v>
      </c>
      <c r="N1354" s="10">
        <f>Github!P$1867</f>
        <v>7711</v>
      </c>
      <c r="O1354" s="10">
        <f>Github!Q$1867</f>
        <v>13947</v>
      </c>
    </row>
    <row r="1355">
      <c r="A1355" s="10">
        <f>Github!J$894</f>
        <v>893</v>
      </c>
      <c r="B1355" s="11" t="str">
        <f>HYPERLINK(CONCAT("http://leetcode.com/problems/",Github!C$894), Github!B$894)</f>
        <v>Groups of Special-Equivalent Strings</v>
      </c>
      <c r="C1355" s="10">
        <f>Github!F$894</f>
        <v>423</v>
      </c>
      <c r="D1355" s="10">
        <f>Github!G$894</f>
        <v>1379</v>
      </c>
      <c r="E1355" s="10">
        <f>Github!F$894+Github!G$894</f>
        <v>1802</v>
      </c>
      <c r="F1355" s="12">
        <f t="shared" si="1"/>
        <v>0.31</v>
      </c>
      <c r="G1355" s="10" t="str">
        <f>Github!H$894</f>
        <v>Algorithms</v>
      </c>
      <c r="H1355" s="13" t="str">
        <f>SUBSTITUTE(Github!L$894, ";", ", ")</f>
        <v>Array, Hash Table, String, </v>
      </c>
      <c r="I1355" s="10" t="str">
        <f>Github!E$894</f>
        <v>Medium</v>
      </c>
      <c r="J1355" s="10" t="str">
        <f>IF(TRIM(Github!D$894)="TRUE","FALSE","TRUE")</f>
        <v>TRUE</v>
      </c>
      <c r="K1355" s="10" t="b">
        <f>Github!M$894</f>
        <v>0</v>
      </c>
      <c r="L1355" s="10" t="b">
        <f>Github!N$894</f>
        <v>0</v>
      </c>
      <c r="M1355" s="10" t="str">
        <f>ROUND(Github!O$894, 2)&amp;"%"</f>
        <v>70.44%</v>
      </c>
      <c r="N1355" s="10">
        <f>Github!P$894</f>
        <v>40545</v>
      </c>
      <c r="O1355" s="10">
        <f>Github!Q$894</f>
        <v>57561</v>
      </c>
    </row>
    <row r="1356">
      <c r="A1356" s="10">
        <f>Github!J$1756</f>
        <v>1755</v>
      </c>
      <c r="B1356" s="11" t="str">
        <f>HYPERLINK(CONCAT("http://leetcode.com/problems/",Github!C$1756), Github!B$1756)</f>
        <v>Closest Subsequence Sum</v>
      </c>
      <c r="C1356" s="10">
        <f>Github!F$1756</f>
        <v>421</v>
      </c>
      <c r="D1356" s="10">
        <f>Github!G$1756</f>
        <v>54</v>
      </c>
      <c r="E1356" s="10">
        <f>Github!F$1756+Github!G$1756</f>
        <v>475</v>
      </c>
      <c r="F1356" s="12">
        <f t="shared" si="1"/>
        <v>7.8</v>
      </c>
      <c r="G1356" s="10" t="str">
        <f>Github!H$1756</f>
        <v>Algorithms</v>
      </c>
      <c r="H1356" s="13" t="str">
        <f>SUBSTITUTE(Github!L$1756, ";", ", ")</f>
        <v>Array, Two Pointers, Dynamic Programming, Bit Manipulation, Bitmask, </v>
      </c>
      <c r="I1356" s="10" t="str">
        <f>Github!E$1756</f>
        <v>Hard</v>
      </c>
      <c r="J1356" s="10" t="str">
        <f>IF(TRIM(Github!D$1756)="TRUE","FALSE","TRUE")</f>
        <v>TRUE</v>
      </c>
      <c r="K1356" s="10" t="b">
        <f>Github!M$1756</f>
        <v>0</v>
      </c>
      <c r="L1356" s="10" t="b">
        <f>Github!N$1756</f>
        <v>0</v>
      </c>
      <c r="M1356" s="10" t="str">
        <f>ROUND(Github!O$1756, 2)&amp;"%"</f>
        <v>36.39%</v>
      </c>
      <c r="N1356" s="10">
        <f>Github!P$1756</f>
        <v>8243</v>
      </c>
      <c r="O1356" s="10">
        <f>Github!Q$1756</f>
        <v>22651</v>
      </c>
    </row>
    <row r="1357">
      <c r="A1357" s="10">
        <f>Github!J$1445</f>
        <v>1444</v>
      </c>
      <c r="B1357" s="11" t="str">
        <f>HYPERLINK(CONCAT("http://leetcode.com/problems/",Github!C$1445), Github!B$1445)</f>
        <v>Number of Ways of Cutting a Pizza</v>
      </c>
      <c r="C1357" s="10">
        <f>Github!F$1445</f>
        <v>421</v>
      </c>
      <c r="D1357" s="10">
        <f>Github!G$1445</f>
        <v>16</v>
      </c>
      <c r="E1357" s="10">
        <f>Github!F$1445+Github!G$1445</f>
        <v>437</v>
      </c>
      <c r="F1357" s="12">
        <f t="shared" si="1"/>
        <v>26.31</v>
      </c>
      <c r="G1357" s="10" t="str">
        <f>Github!H$1445</f>
        <v>Algorithms</v>
      </c>
      <c r="H1357" s="13" t="str">
        <f>SUBSTITUTE(Github!L$1445, ";", ", ")</f>
        <v>Array, Dynamic Programming, Memoization, Matrix, </v>
      </c>
      <c r="I1357" s="10" t="str">
        <f>Github!E$1445</f>
        <v>Hard</v>
      </c>
      <c r="J1357" s="10" t="str">
        <f>IF(TRIM(Github!D$1445)="TRUE","FALSE","TRUE")</f>
        <v>TRUE</v>
      </c>
      <c r="K1357" s="10" t="b">
        <f>Github!M$1445</f>
        <v>0</v>
      </c>
      <c r="L1357" s="10" t="b">
        <f>Github!N$1445</f>
        <v>0</v>
      </c>
      <c r="M1357" s="10" t="str">
        <f>ROUND(Github!O$1445, 2)&amp;"%"</f>
        <v>55.32%</v>
      </c>
      <c r="N1357" s="10">
        <f>Github!P$1445</f>
        <v>11299</v>
      </c>
      <c r="O1357" s="10">
        <f>Github!Q$1445</f>
        <v>20423</v>
      </c>
    </row>
    <row r="1358">
      <c r="A1358" s="10">
        <f>Github!J$1214</f>
        <v>1213</v>
      </c>
      <c r="B1358" s="11" t="str">
        <f>HYPERLINK(CONCAT("http://leetcode.com/problems/",Github!C$1214), Github!B$1214)</f>
        <v>Intersection of Three Sorted Arrays</v>
      </c>
      <c r="C1358" s="10">
        <f>Github!F$1214</f>
        <v>419</v>
      </c>
      <c r="D1358" s="10">
        <f>Github!G$1214</f>
        <v>22</v>
      </c>
      <c r="E1358" s="10">
        <f>Github!F$1214+Github!G$1214</f>
        <v>441</v>
      </c>
      <c r="F1358" s="12">
        <f t="shared" si="1"/>
        <v>19.05</v>
      </c>
      <c r="G1358" s="10" t="str">
        <f>Github!H$1214</f>
        <v>Algorithms</v>
      </c>
      <c r="H1358" s="13" t="str">
        <f>SUBSTITUTE(Github!L$1214, ";", ", ")</f>
        <v>Array, Hash Table, Binary Search, Counting, </v>
      </c>
      <c r="I1358" s="10" t="str">
        <f>Github!E$1214</f>
        <v>Easy</v>
      </c>
      <c r="J1358" s="10" t="str">
        <f>IF(TRIM(Github!D$1214)="TRUE","FALSE","TRUE")</f>
        <v>FALSE</v>
      </c>
      <c r="K1358" s="10" t="b">
        <f>Github!M$1214</f>
        <v>1</v>
      </c>
      <c r="L1358" s="10" t="b">
        <f>Github!N$1214</f>
        <v>0</v>
      </c>
      <c r="M1358" s="10" t="str">
        <f>ROUND(Github!O$1214, 2)&amp;"%"</f>
        <v>79.91%</v>
      </c>
      <c r="N1358" s="10">
        <f>Github!P$1214</f>
        <v>62848</v>
      </c>
      <c r="O1358" s="10">
        <f>Github!Q$1214</f>
        <v>78648</v>
      </c>
    </row>
    <row r="1359">
      <c r="A1359" s="10">
        <f>Github!J$1430</f>
        <v>1429</v>
      </c>
      <c r="B1359" s="11" t="str">
        <f>HYPERLINK(CONCAT("http://leetcode.com/problems/",Github!C$1430), Github!B$1430)</f>
        <v>First Unique Number</v>
      </c>
      <c r="C1359" s="10">
        <f>Github!F$1430</f>
        <v>419</v>
      </c>
      <c r="D1359" s="10">
        <f>Github!G$1430</f>
        <v>20</v>
      </c>
      <c r="E1359" s="10">
        <f>Github!F$1430+Github!G$1430</f>
        <v>439</v>
      </c>
      <c r="F1359" s="12">
        <f t="shared" si="1"/>
        <v>20.95</v>
      </c>
      <c r="G1359" s="10" t="str">
        <f>Github!H$1430</f>
        <v>Algorithms</v>
      </c>
      <c r="H1359" s="13" t="str">
        <f>SUBSTITUTE(Github!L$1430, ";", ", ")</f>
        <v>Array, Hash Table, Design, Queue, Data Stream, </v>
      </c>
      <c r="I1359" s="10" t="str">
        <f>Github!E$1430</f>
        <v>Medium</v>
      </c>
      <c r="J1359" s="10" t="str">
        <f>IF(TRIM(Github!D$1430)="TRUE","FALSE","TRUE")</f>
        <v>FALSE</v>
      </c>
      <c r="K1359" s="10" t="b">
        <f>Github!M$1430</f>
        <v>1</v>
      </c>
      <c r="L1359" s="10" t="b">
        <f>Github!N$1430</f>
        <v>0</v>
      </c>
      <c r="M1359" s="10" t="str">
        <f>ROUND(Github!O$1430, 2)&amp;"%"</f>
        <v>52.14%</v>
      </c>
      <c r="N1359" s="10">
        <f>Github!P$1430</f>
        <v>69656</v>
      </c>
      <c r="O1359" s="10">
        <f>Github!Q$1430</f>
        <v>133591</v>
      </c>
    </row>
    <row r="1360">
      <c r="A1360" s="10">
        <f>Github!J$1490</f>
        <v>1489</v>
      </c>
      <c r="B1360" s="11" t="str">
        <f>HYPERLINK(CONCAT("http://leetcode.com/problems/",Github!C$1490), Github!B$1490)</f>
        <v>Find Critical and Pseudo-Critical Edges in Minimum Spanning Tree</v>
      </c>
      <c r="C1360" s="10">
        <f>Github!F$1490</f>
        <v>420</v>
      </c>
      <c r="D1360" s="10">
        <f>Github!G$1490</f>
        <v>40</v>
      </c>
      <c r="E1360" s="10">
        <f>Github!F$1490+Github!G$1490</f>
        <v>460</v>
      </c>
      <c r="F1360" s="12">
        <f t="shared" si="1"/>
        <v>10.5</v>
      </c>
      <c r="G1360" s="10" t="str">
        <f>Github!H$1490</f>
        <v>Algorithms</v>
      </c>
      <c r="H1360" s="13" t="str">
        <f>SUBSTITUTE(Github!L$1490, ";", ", ")</f>
        <v>Union Find, Graph, Sorting, Minimum Spanning Tree, Strongly Connected Component, </v>
      </c>
      <c r="I1360" s="10" t="str">
        <f>Github!E$1490</f>
        <v>Hard</v>
      </c>
      <c r="J1360" s="10" t="str">
        <f>IF(TRIM(Github!D$1490)="TRUE","FALSE","TRUE")</f>
        <v>TRUE</v>
      </c>
      <c r="K1360" s="10" t="b">
        <f>Github!M$1490</f>
        <v>0</v>
      </c>
      <c r="L1360" s="10" t="b">
        <f>Github!N$1490</f>
        <v>0</v>
      </c>
      <c r="M1360" s="10" t="str">
        <f>ROUND(Github!O$1490, 2)&amp;"%"</f>
        <v>52.66%</v>
      </c>
      <c r="N1360" s="10">
        <f>Github!P$1490</f>
        <v>7267</v>
      </c>
      <c r="O1360" s="10">
        <f>Github!Q$1490</f>
        <v>13801</v>
      </c>
    </row>
    <row r="1361">
      <c r="A1361" s="10">
        <f>Github!J$1871</f>
        <v>1870</v>
      </c>
      <c r="B1361" s="11" t="str">
        <f>HYPERLINK(CONCAT("http://leetcode.com/problems/",Github!C$1871), Github!B$1871)</f>
        <v>Minimum Speed to Arrive on Time</v>
      </c>
      <c r="C1361" s="10">
        <f>Github!F$1871</f>
        <v>419</v>
      </c>
      <c r="D1361" s="10">
        <f>Github!G$1871</f>
        <v>73</v>
      </c>
      <c r="E1361" s="10">
        <f>Github!F$1871+Github!G$1871</f>
        <v>492</v>
      </c>
      <c r="F1361" s="12">
        <f t="shared" si="1"/>
        <v>5.74</v>
      </c>
      <c r="G1361" s="10" t="str">
        <f>Github!H$1871</f>
        <v>Algorithms</v>
      </c>
      <c r="H1361" s="13" t="str">
        <f>SUBSTITUTE(Github!L$1871, ";", ", ")</f>
        <v>Array, Binary Search, </v>
      </c>
      <c r="I1361" s="10" t="str">
        <f>Github!E$1871</f>
        <v>Medium</v>
      </c>
      <c r="J1361" s="10" t="str">
        <f>IF(TRIM(Github!D$1871)="TRUE","FALSE","TRUE")</f>
        <v>TRUE</v>
      </c>
      <c r="K1361" s="10" t="b">
        <f>Github!M$1871</f>
        <v>0</v>
      </c>
      <c r="L1361" s="10" t="b">
        <f>Github!N$1871</f>
        <v>0</v>
      </c>
      <c r="M1361" s="10" t="str">
        <f>ROUND(Github!O$1871, 2)&amp;"%"</f>
        <v>35.17%</v>
      </c>
      <c r="N1361" s="10">
        <f>Github!P$1871</f>
        <v>16609</v>
      </c>
      <c r="O1361" s="10">
        <f>Github!Q$1871</f>
        <v>47229</v>
      </c>
    </row>
    <row r="1362">
      <c r="A1362" s="10">
        <f>Github!J$435</f>
        <v>434</v>
      </c>
      <c r="B1362" s="11" t="str">
        <f>HYPERLINK(CONCAT("http://leetcode.com/problems/",Github!C$435), Github!B$435)</f>
        <v>Number of Segments in a String</v>
      </c>
      <c r="C1362" s="10">
        <f>Github!F$435</f>
        <v>418</v>
      </c>
      <c r="D1362" s="10">
        <f>Github!G$435</f>
        <v>986</v>
      </c>
      <c r="E1362" s="10">
        <f>Github!F$435+Github!G$435</f>
        <v>1404</v>
      </c>
      <c r="F1362" s="12">
        <f t="shared" si="1"/>
        <v>0.42</v>
      </c>
      <c r="G1362" s="10" t="str">
        <f>Github!H$435</f>
        <v>Algorithms</v>
      </c>
      <c r="H1362" s="13" t="str">
        <f>SUBSTITUTE(Github!L$435, ";", ", ")</f>
        <v>String, </v>
      </c>
      <c r="I1362" s="10" t="str">
        <f>Github!E$435</f>
        <v>Easy</v>
      </c>
      <c r="J1362" s="10" t="str">
        <f>IF(TRIM(Github!D$435)="TRUE","FALSE","TRUE")</f>
        <v>TRUE</v>
      </c>
      <c r="K1362" s="10" t="b">
        <f>Github!M$435</f>
        <v>1</v>
      </c>
      <c r="L1362" s="10" t="b">
        <f>Github!N$435</f>
        <v>0</v>
      </c>
      <c r="M1362" s="10" t="str">
        <f>ROUND(Github!O$435, 2)&amp;"%"</f>
        <v>37.91%</v>
      </c>
      <c r="N1362" s="10">
        <f>Github!P$435</f>
        <v>111909</v>
      </c>
      <c r="O1362" s="10">
        <f>Github!Q$435</f>
        <v>295192</v>
      </c>
    </row>
    <row r="1363">
      <c r="A1363" s="10">
        <f>Github!J$664</f>
        <v>663</v>
      </c>
      <c r="B1363" s="11" t="str">
        <f>HYPERLINK(CONCAT("http://leetcode.com/problems/",Github!C$664), Github!B$664)</f>
        <v>Equal Tree Partition</v>
      </c>
      <c r="C1363" s="10">
        <f>Github!F$664</f>
        <v>418</v>
      </c>
      <c r="D1363" s="10">
        <f>Github!G$664</f>
        <v>32</v>
      </c>
      <c r="E1363" s="10">
        <f>Github!F$664+Github!G$664</f>
        <v>450</v>
      </c>
      <c r="F1363" s="12">
        <f t="shared" si="1"/>
        <v>13.06</v>
      </c>
      <c r="G1363" s="10" t="str">
        <f>Github!H$664</f>
        <v>Algorithms</v>
      </c>
      <c r="H1363" s="13" t="str">
        <f>SUBSTITUTE(Github!L$664, ";", ", ")</f>
        <v>Tree, Depth-First Search, Binary Tree, </v>
      </c>
      <c r="I1363" s="10" t="str">
        <f>Github!E$664</f>
        <v>Medium</v>
      </c>
      <c r="J1363" s="10" t="str">
        <f>IF(TRIM(Github!D$664)="TRUE","FALSE","TRUE")</f>
        <v>FALSE</v>
      </c>
      <c r="K1363" s="10" t="b">
        <f>Github!M$664</f>
        <v>1</v>
      </c>
      <c r="L1363" s="10" t="b">
        <f>Github!N$664</f>
        <v>0</v>
      </c>
      <c r="M1363" s="10" t="str">
        <f>ROUND(Github!O$664, 2)&amp;"%"</f>
        <v>41.14%</v>
      </c>
      <c r="N1363" s="10">
        <f>Github!P$664</f>
        <v>26909</v>
      </c>
      <c r="O1363" s="10">
        <f>Github!Q$664</f>
        <v>65412</v>
      </c>
    </row>
    <row r="1364">
      <c r="A1364" s="10">
        <f>Github!J$2142</f>
        <v>2141</v>
      </c>
      <c r="B1364" s="11" t="str">
        <f>HYPERLINK(CONCAT("http://leetcode.com/problems/",Github!C$2142), Github!B$2142)</f>
        <v>Maximum Running Time of N Computers</v>
      </c>
      <c r="C1364" s="10">
        <f>Github!F$2142</f>
        <v>417</v>
      </c>
      <c r="D1364" s="10">
        <f>Github!G$2142</f>
        <v>10</v>
      </c>
      <c r="E1364" s="10">
        <f>Github!F$2142+Github!G$2142</f>
        <v>427</v>
      </c>
      <c r="F1364" s="12">
        <f t="shared" si="1"/>
        <v>41.7</v>
      </c>
      <c r="G1364" s="10" t="str">
        <f>Github!H$2142</f>
        <v>Algorithms</v>
      </c>
      <c r="H1364" s="13" t="str">
        <f>SUBSTITUTE(Github!L$2142, ";", ", ")</f>
        <v>Array, Binary Search, Greedy, Sorting, </v>
      </c>
      <c r="I1364" s="10" t="str">
        <f>Github!E$2142</f>
        <v>Hard</v>
      </c>
      <c r="J1364" s="10" t="str">
        <f>IF(TRIM(Github!D$2142)="TRUE","FALSE","TRUE")</f>
        <v>TRUE</v>
      </c>
      <c r="K1364" s="10" t="b">
        <f>Github!M$2142</f>
        <v>0</v>
      </c>
      <c r="L1364" s="10" t="b">
        <f>Github!N$2142</f>
        <v>0</v>
      </c>
      <c r="M1364" s="10" t="str">
        <f>ROUND(Github!O$2142, 2)&amp;"%"</f>
        <v>37.19%</v>
      </c>
      <c r="N1364" s="10">
        <f>Github!P$2142</f>
        <v>7443</v>
      </c>
      <c r="O1364" s="10">
        <f>Github!Q$2142</f>
        <v>20012</v>
      </c>
    </row>
    <row r="1365">
      <c r="A1365" s="10">
        <f>Github!J$1325</f>
        <v>1324</v>
      </c>
      <c r="B1365" s="11" t="str">
        <f>HYPERLINK(CONCAT("http://leetcode.com/problems/",Github!C$1325), Github!B$1325)</f>
        <v>Print Words Vertically</v>
      </c>
      <c r="C1365" s="10">
        <f>Github!F$1325</f>
        <v>416</v>
      </c>
      <c r="D1365" s="10">
        <f>Github!G$1325</f>
        <v>87</v>
      </c>
      <c r="E1365" s="10">
        <f>Github!F$1325+Github!G$1325</f>
        <v>503</v>
      </c>
      <c r="F1365" s="12">
        <f t="shared" si="1"/>
        <v>4.78</v>
      </c>
      <c r="G1365" s="10" t="str">
        <f>Github!H$1325</f>
        <v>Algorithms</v>
      </c>
      <c r="H1365" s="13" t="str">
        <f>SUBSTITUTE(Github!L$1325, ";", ", ")</f>
        <v>Array, String, Simulation, </v>
      </c>
      <c r="I1365" s="10" t="str">
        <f>Github!E$1325</f>
        <v>Medium</v>
      </c>
      <c r="J1365" s="10" t="str">
        <f>IF(TRIM(Github!D$1325)="TRUE","FALSE","TRUE")</f>
        <v>TRUE</v>
      </c>
      <c r="K1365" s="10" t="b">
        <f>Github!M$1325</f>
        <v>0</v>
      </c>
      <c r="L1365" s="10" t="b">
        <f>Github!N$1325</f>
        <v>0</v>
      </c>
      <c r="M1365" s="10" t="str">
        <f>ROUND(Github!O$1325, 2)&amp;"%"</f>
        <v>59.44%</v>
      </c>
      <c r="N1365" s="10">
        <f>Github!P$1325</f>
        <v>25248</v>
      </c>
      <c r="O1365" s="10">
        <f>Github!Q$1325</f>
        <v>42479</v>
      </c>
    </row>
    <row r="1366">
      <c r="A1366" s="10">
        <f>Github!J$1675</f>
        <v>1674</v>
      </c>
      <c r="B1366" s="11" t="str">
        <f>HYPERLINK(CONCAT("http://leetcode.com/problems/",Github!C$1675), Github!B$1675)</f>
        <v>Minimum Moves to Make Array Complementary</v>
      </c>
      <c r="C1366" s="10">
        <f>Github!F$1675</f>
        <v>416</v>
      </c>
      <c r="D1366" s="10">
        <f>Github!G$1675</f>
        <v>52</v>
      </c>
      <c r="E1366" s="10">
        <f>Github!F$1675+Github!G$1675</f>
        <v>468</v>
      </c>
      <c r="F1366" s="12">
        <f t="shared" si="1"/>
        <v>8</v>
      </c>
      <c r="G1366" s="10" t="str">
        <f>Github!H$1675</f>
        <v>Algorithms</v>
      </c>
      <c r="H1366" s="13" t="str">
        <f>SUBSTITUTE(Github!L$1675, ";", ", ")</f>
        <v>Array, Hash Table, Prefix Sum, </v>
      </c>
      <c r="I1366" s="10" t="str">
        <f>Github!E$1675</f>
        <v>Medium</v>
      </c>
      <c r="J1366" s="10" t="str">
        <f>IF(TRIM(Github!D$1675)="TRUE","FALSE","TRUE")</f>
        <v>TRUE</v>
      </c>
      <c r="K1366" s="10" t="b">
        <f>Github!M$1675</f>
        <v>0</v>
      </c>
      <c r="L1366" s="10" t="b">
        <f>Github!N$1675</f>
        <v>0</v>
      </c>
      <c r="M1366" s="10" t="str">
        <f>ROUND(Github!O$1675, 2)&amp;"%"</f>
        <v>37.35%</v>
      </c>
      <c r="N1366" s="10">
        <f>Github!P$1675</f>
        <v>5662</v>
      </c>
      <c r="O1366" s="10">
        <f>Github!Q$1675</f>
        <v>15161</v>
      </c>
    </row>
    <row r="1367">
      <c r="A1367" s="10">
        <f>Github!J$1537</f>
        <v>1536</v>
      </c>
      <c r="B1367" s="11" t="str">
        <f>HYPERLINK(CONCAT("http://leetcode.com/problems/",Github!C$1537), Github!B$1537)</f>
        <v>Minimum Swaps to Arrange a Binary Grid</v>
      </c>
      <c r="C1367" s="10">
        <f>Github!F$1537</f>
        <v>415</v>
      </c>
      <c r="D1367" s="10">
        <f>Github!G$1537</f>
        <v>59</v>
      </c>
      <c r="E1367" s="10">
        <f>Github!F$1537+Github!G$1537</f>
        <v>474</v>
      </c>
      <c r="F1367" s="12">
        <f t="shared" si="1"/>
        <v>7.03</v>
      </c>
      <c r="G1367" s="10" t="str">
        <f>Github!H$1537</f>
        <v>Algorithms</v>
      </c>
      <c r="H1367" s="13" t="str">
        <f>SUBSTITUTE(Github!L$1537, ";", ", ")</f>
        <v>Array, Greedy, Matrix, </v>
      </c>
      <c r="I1367" s="10" t="str">
        <f>Github!E$1537</f>
        <v>Medium</v>
      </c>
      <c r="J1367" s="10" t="str">
        <f>IF(TRIM(Github!D$1537)="TRUE","FALSE","TRUE")</f>
        <v>TRUE</v>
      </c>
      <c r="K1367" s="10" t="b">
        <f>Github!M$1537</f>
        <v>0</v>
      </c>
      <c r="L1367" s="10" t="b">
        <f>Github!N$1537</f>
        <v>0</v>
      </c>
      <c r="M1367" s="10" t="str">
        <f>ROUND(Github!O$1537, 2)&amp;"%"</f>
        <v>45.6%</v>
      </c>
      <c r="N1367" s="10">
        <f>Github!P$1537</f>
        <v>10969</v>
      </c>
      <c r="O1367" s="10">
        <f>Github!Q$1537</f>
        <v>24056</v>
      </c>
    </row>
    <row r="1368">
      <c r="A1368" s="10">
        <f>Github!J$1180</f>
        <v>1179</v>
      </c>
      <c r="B1368" s="11" t="str">
        <f>HYPERLINK(CONCAT("http://leetcode.com/problems/",Github!C$1180), Github!B$1180)</f>
        <v>Reformat Department Table</v>
      </c>
      <c r="C1368" s="10">
        <f>Github!F$1180</f>
        <v>414</v>
      </c>
      <c r="D1368" s="10">
        <f>Github!G$1180</f>
        <v>307</v>
      </c>
      <c r="E1368" s="10">
        <f>Github!F$1180+Github!G$1180</f>
        <v>721</v>
      </c>
      <c r="F1368" s="12">
        <f t="shared" si="1"/>
        <v>1.35</v>
      </c>
      <c r="G1368" s="10" t="str">
        <f>Github!H$1180</f>
        <v>Database</v>
      </c>
      <c r="H1368" s="13" t="str">
        <f>SUBSTITUTE(Github!L$1180, ";", ", ")</f>
        <v>Database, </v>
      </c>
      <c r="I1368" s="10" t="str">
        <f>Github!E$1180</f>
        <v>Easy</v>
      </c>
      <c r="J1368" s="10" t="str">
        <f>IF(TRIM(Github!D$1180)="TRUE","FALSE","TRUE")</f>
        <v>TRUE</v>
      </c>
      <c r="K1368" s="10" t="b">
        <f>Github!M$1180</f>
        <v>0</v>
      </c>
      <c r="L1368" s="10" t="b">
        <f>Github!N$1180</f>
        <v>0</v>
      </c>
      <c r="M1368" s="10" t="str">
        <f>ROUND(Github!O$1180, 2)&amp;"%"</f>
        <v>82.28%</v>
      </c>
      <c r="N1368" s="10">
        <f>Github!P$1180</f>
        <v>66060</v>
      </c>
      <c r="O1368" s="10">
        <f>Github!Q$1180</f>
        <v>80289</v>
      </c>
    </row>
    <row r="1369">
      <c r="A1369" s="10">
        <f>Github!J$1858</f>
        <v>1857</v>
      </c>
      <c r="B1369" s="11" t="str">
        <f>HYPERLINK(CONCAT("http://leetcode.com/problems/",Github!C$1858), Github!B$1858)</f>
        <v>Largest Color Value in a Directed Graph</v>
      </c>
      <c r="C1369" s="10">
        <f>Github!F$1858</f>
        <v>415</v>
      </c>
      <c r="D1369" s="10">
        <f>Github!G$1858</f>
        <v>15</v>
      </c>
      <c r="E1369" s="10">
        <f>Github!F$1858+Github!G$1858</f>
        <v>430</v>
      </c>
      <c r="F1369" s="12">
        <f t="shared" si="1"/>
        <v>27.67</v>
      </c>
      <c r="G1369" s="10" t="str">
        <f>Github!H$1858</f>
        <v>Algorithms</v>
      </c>
      <c r="H1369" s="13" t="str">
        <f>SUBSTITUTE(Github!L$1858, ";", ", ")</f>
        <v>Hash Table, Dynamic Programming, Graph, Topological Sort, Memoization, Counting, </v>
      </c>
      <c r="I1369" s="10" t="str">
        <f>Github!E$1858</f>
        <v>Hard</v>
      </c>
      <c r="J1369" s="10" t="str">
        <f>IF(TRIM(Github!D$1858)="TRUE","FALSE","TRUE")</f>
        <v>TRUE</v>
      </c>
      <c r="K1369" s="10" t="b">
        <f>Github!M$1858</f>
        <v>0</v>
      </c>
      <c r="L1369" s="10" t="b">
        <f>Github!N$1858</f>
        <v>0</v>
      </c>
      <c r="M1369" s="10" t="str">
        <f>ROUND(Github!O$1858, 2)&amp;"%"</f>
        <v>39.63%</v>
      </c>
      <c r="N1369" s="10">
        <f>Github!P$1858</f>
        <v>10358</v>
      </c>
      <c r="O1369" s="10">
        <f>Github!Q$1858</f>
        <v>26136</v>
      </c>
    </row>
    <row r="1370">
      <c r="A1370" s="10">
        <f>Github!J$2172</f>
        <v>2171</v>
      </c>
      <c r="B1370" s="11" t="str">
        <f>HYPERLINK(CONCAT("http://leetcode.com/problems/",Github!C$2172), Github!B$2172)</f>
        <v>Removing Minimum Number of Magic Beans</v>
      </c>
      <c r="C1370" s="10">
        <f>Github!F$2172</f>
        <v>416</v>
      </c>
      <c r="D1370" s="10">
        <f>Github!G$2172</f>
        <v>26</v>
      </c>
      <c r="E1370" s="10">
        <f>Github!F$2172+Github!G$2172</f>
        <v>442</v>
      </c>
      <c r="F1370" s="12">
        <f t="shared" si="1"/>
        <v>16</v>
      </c>
      <c r="G1370" s="10" t="str">
        <f>Github!H$2172</f>
        <v>Algorithms</v>
      </c>
      <c r="H1370" s="13" t="str">
        <f>SUBSTITUTE(Github!L$2172, ";", ", ")</f>
        <v>Array, Sorting, Prefix Sum, </v>
      </c>
      <c r="I1370" s="10" t="str">
        <f>Github!E$2172</f>
        <v>Medium</v>
      </c>
      <c r="J1370" s="10" t="str">
        <f>IF(TRIM(Github!D$2172)="TRUE","FALSE","TRUE")</f>
        <v>TRUE</v>
      </c>
      <c r="K1370" s="10" t="b">
        <f>Github!M$2172</f>
        <v>0</v>
      </c>
      <c r="L1370" s="10" t="b">
        <f>Github!N$2172</f>
        <v>0</v>
      </c>
      <c r="M1370" s="10" t="str">
        <f>ROUND(Github!O$2172, 2)&amp;"%"</f>
        <v>40.69%</v>
      </c>
      <c r="N1370" s="10">
        <f>Github!P$2172</f>
        <v>13028</v>
      </c>
      <c r="O1370" s="10">
        <f>Github!Q$2172</f>
        <v>32018</v>
      </c>
    </row>
    <row r="1371">
      <c r="A1371" s="10">
        <f>Github!J$961</f>
        <v>960</v>
      </c>
      <c r="B1371" s="11" t="str">
        <f>HYPERLINK(CONCAT("http://leetcode.com/problems/",Github!C$961), Github!B$961)</f>
        <v>Delete Columns to Make Sorted III</v>
      </c>
      <c r="C1371" s="10">
        <f>Github!F$961</f>
        <v>413</v>
      </c>
      <c r="D1371" s="10">
        <f>Github!G$961</f>
        <v>11</v>
      </c>
      <c r="E1371" s="10">
        <f>Github!F$961+Github!G$961</f>
        <v>424</v>
      </c>
      <c r="F1371" s="12">
        <f t="shared" si="1"/>
        <v>37.55</v>
      </c>
      <c r="G1371" s="10" t="str">
        <f>Github!H$961</f>
        <v>Algorithms</v>
      </c>
      <c r="H1371" s="13" t="str">
        <f>SUBSTITUTE(Github!L$961, ";", ", ")</f>
        <v>Array, String, Dynamic Programming, </v>
      </c>
      <c r="I1371" s="10" t="str">
        <f>Github!E$961</f>
        <v>Hard</v>
      </c>
      <c r="J1371" s="10" t="str">
        <f>IF(TRIM(Github!D$961)="TRUE","FALSE","TRUE")</f>
        <v>TRUE</v>
      </c>
      <c r="K1371" s="10" t="b">
        <f>Github!M$961</f>
        <v>1</v>
      </c>
      <c r="L1371" s="10" t="b">
        <f>Github!N$961</f>
        <v>0</v>
      </c>
      <c r="M1371" s="10" t="str">
        <f>ROUND(Github!O$961, 2)&amp;"%"</f>
        <v>56.45%</v>
      </c>
      <c r="N1371" s="10">
        <f>Github!P$961</f>
        <v>9989</v>
      </c>
      <c r="O1371" s="10">
        <f>Github!Q$961</f>
        <v>17696</v>
      </c>
    </row>
    <row r="1372">
      <c r="A1372" s="10">
        <f>Github!J$650</f>
        <v>649</v>
      </c>
      <c r="B1372" s="11" t="str">
        <f>HYPERLINK(CONCAT("http://leetcode.com/problems/",Github!C$650), Github!B$650)</f>
        <v>Dota2 Senate</v>
      </c>
      <c r="C1372" s="10">
        <f>Github!F$650</f>
        <v>412</v>
      </c>
      <c r="D1372" s="10">
        <f>Github!G$650</f>
        <v>299</v>
      </c>
      <c r="E1372" s="10">
        <f>Github!F$650+Github!G$650</f>
        <v>711</v>
      </c>
      <c r="F1372" s="12">
        <f t="shared" si="1"/>
        <v>1.38</v>
      </c>
      <c r="G1372" s="10" t="str">
        <f>Github!H$650</f>
        <v>Algorithms</v>
      </c>
      <c r="H1372" s="13" t="str">
        <f>SUBSTITUTE(Github!L$650, ";", ", ")</f>
        <v>String, Greedy, Queue, </v>
      </c>
      <c r="I1372" s="10" t="str">
        <f>Github!E$650</f>
        <v>Medium</v>
      </c>
      <c r="J1372" s="10" t="str">
        <f>IF(TRIM(Github!D$650)="TRUE","FALSE","TRUE")</f>
        <v>TRUE</v>
      </c>
      <c r="K1372" s="10" t="b">
        <f>Github!M$650</f>
        <v>0</v>
      </c>
      <c r="L1372" s="10" t="b">
        <f>Github!N$650</f>
        <v>0</v>
      </c>
      <c r="M1372" s="10" t="str">
        <f>ROUND(Github!O$650, 2)&amp;"%"</f>
        <v>39.87%</v>
      </c>
      <c r="N1372" s="10">
        <f>Github!P$650</f>
        <v>18435</v>
      </c>
      <c r="O1372" s="10">
        <f>Github!Q$650</f>
        <v>46236</v>
      </c>
    </row>
    <row r="1373">
      <c r="A1373" s="10">
        <f>Github!J$869</f>
        <v>868</v>
      </c>
      <c r="B1373" s="11" t="str">
        <f>HYPERLINK(CONCAT("http://leetcode.com/problems/",Github!C$869), Github!B$869)</f>
        <v>Binary Gap</v>
      </c>
      <c r="C1373" s="10">
        <f>Github!F$869</f>
        <v>412</v>
      </c>
      <c r="D1373" s="10">
        <f>Github!G$869</f>
        <v>588</v>
      </c>
      <c r="E1373" s="10">
        <f>Github!F$869+Github!G$869</f>
        <v>1000</v>
      </c>
      <c r="F1373" s="12">
        <f t="shared" si="1"/>
        <v>0.7</v>
      </c>
      <c r="G1373" s="10" t="str">
        <f>Github!H$869</f>
        <v>Algorithms</v>
      </c>
      <c r="H1373" s="13" t="str">
        <f>SUBSTITUTE(Github!L$869, ";", ", ")</f>
        <v>Math, Bit Manipulation, </v>
      </c>
      <c r="I1373" s="10" t="str">
        <f>Github!E$869</f>
        <v>Easy</v>
      </c>
      <c r="J1373" s="10" t="str">
        <f>IF(TRIM(Github!D$869)="TRUE","FALSE","TRUE")</f>
        <v>TRUE</v>
      </c>
      <c r="K1373" s="10" t="b">
        <f>Github!M$869</f>
        <v>1</v>
      </c>
      <c r="L1373" s="10" t="b">
        <f>Github!N$869</f>
        <v>0</v>
      </c>
      <c r="M1373" s="10" t="str">
        <f>ROUND(Github!O$869, 2)&amp;"%"</f>
        <v>61.69%</v>
      </c>
      <c r="N1373" s="10">
        <f>Github!P$869</f>
        <v>56845</v>
      </c>
      <c r="O1373" s="10">
        <f>Github!Q$869</f>
        <v>92140</v>
      </c>
    </row>
    <row r="1374">
      <c r="A1374" s="10">
        <f>Github!J$1717</f>
        <v>1716</v>
      </c>
      <c r="B1374" s="11" t="str">
        <f>HYPERLINK(CONCAT("http://leetcode.com/problems/",Github!C$1717), Github!B$1717)</f>
        <v>Calculate Money in Leetcode Bank</v>
      </c>
      <c r="C1374" s="10">
        <f>Github!F$1717</f>
        <v>412</v>
      </c>
      <c r="D1374" s="10">
        <f>Github!G$1717</f>
        <v>14</v>
      </c>
      <c r="E1374" s="10">
        <f>Github!F$1717+Github!G$1717</f>
        <v>426</v>
      </c>
      <c r="F1374" s="12">
        <f t="shared" si="1"/>
        <v>29.43</v>
      </c>
      <c r="G1374" s="10" t="str">
        <f>Github!H$1717</f>
        <v>Algorithms</v>
      </c>
      <c r="H1374" s="13" t="str">
        <f>SUBSTITUTE(Github!L$1717, ";", ", ")</f>
        <v>Math, </v>
      </c>
      <c r="I1374" s="10" t="str">
        <f>Github!E$1717</f>
        <v>Easy</v>
      </c>
      <c r="J1374" s="10" t="str">
        <f>IF(TRIM(Github!D$1717)="TRUE","FALSE","TRUE")</f>
        <v>TRUE</v>
      </c>
      <c r="K1374" s="10" t="b">
        <f>Github!M$1717</f>
        <v>0</v>
      </c>
      <c r="L1374" s="10" t="b">
        <f>Github!N$1717</f>
        <v>0</v>
      </c>
      <c r="M1374" s="10" t="str">
        <f>ROUND(Github!O$1717, 2)&amp;"%"</f>
        <v>64.85%</v>
      </c>
      <c r="N1374" s="10">
        <f>Github!P$1717</f>
        <v>28295</v>
      </c>
      <c r="O1374" s="10">
        <f>Github!Q$1717</f>
        <v>43631</v>
      </c>
    </row>
    <row r="1375">
      <c r="A1375" s="10">
        <f>Github!J$2012</f>
        <v>2011</v>
      </c>
      <c r="B1375" s="11" t="str">
        <f>HYPERLINK(CONCAT("http://leetcode.com/problems/",Github!C$2012), Github!B$2012)</f>
        <v>Final Value of Variable After Performing Operations</v>
      </c>
      <c r="C1375" s="10">
        <f>Github!F$2012</f>
        <v>411</v>
      </c>
      <c r="D1375" s="10">
        <f>Github!G$2012</f>
        <v>82</v>
      </c>
      <c r="E1375" s="10">
        <f>Github!F$2012+Github!G$2012</f>
        <v>493</v>
      </c>
      <c r="F1375" s="12">
        <f t="shared" si="1"/>
        <v>5.01</v>
      </c>
      <c r="G1375" s="10" t="str">
        <f>Github!H$2012</f>
        <v>Algorithms</v>
      </c>
      <c r="H1375" s="13" t="str">
        <f>SUBSTITUTE(Github!L$2012, ";", ", ")</f>
        <v>Array, String, Simulation, </v>
      </c>
      <c r="I1375" s="10" t="str">
        <f>Github!E$2012</f>
        <v>Easy</v>
      </c>
      <c r="J1375" s="10" t="str">
        <f>IF(TRIM(Github!D$2012)="TRUE","FALSE","TRUE")</f>
        <v>TRUE</v>
      </c>
      <c r="K1375" s="10" t="b">
        <f>Github!M$2012</f>
        <v>0</v>
      </c>
      <c r="L1375" s="10" t="b">
        <f>Github!N$2012</f>
        <v>0</v>
      </c>
      <c r="M1375" s="10" t="str">
        <f>ROUND(Github!O$2012, 2)&amp;"%"</f>
        <v>89.24%</v>
      </c>
      <c r="N1375" s="10">
        <f>Github!P$2012</f>
        <v>81417</v>
      </c>
      <c r="O1375" s="10">
        <f>Github!Q$2012</f>
        <v>91227</v>
      </c>
    </row>
    <row r="1376">
      <c r="A1376" s="10">
        <f>Github!J$1266</f>
        <v>1265</v>
      </c>
      <c r="B1376" s="11" t="str">
        <f>HYPERLINK(CONCAT("http://leetcode.com/problems/",Github!C$1266), Github!B$1266)</f>
        <v>Print Immutable Linked List in Reverse</v>
      </c>
      <c r="C1376" s="10">
        <f>Github!F$1266</f>
        <v>410</v>
      </c>
      <c r="D1376" s="10">
        <f>Github!G$1266</f>
        <v>73</v>
      </c>
      <c r="E1376" s="10">
        <f>Github!F$1266+Github!G$1266</f>
        <v>483</v>
      </c>
      <c r="F1376" s="12">
        <f t="shared" si="1"/>
        <v>5.62</v>
      </c>
      <c r="G1376" s="10" t="str">
        <f>Github!H$1266</f>
        <v>Algorithms</v>
      </c>
      <c r="H1376" s="13" t="str">
        <f>SUBSTITUTE(Github!L$1266, ";", ", ")</f>
        <v>Linked List, Two Pointers, Stack, Recursion, </v>
      </c>
      <c r="I1376" s="10" t="str">
        <f>Github!E$1266</f>
        <v>Medium</v>
      </c>
      <c r="J1376" s="10" t="str">
        <f>IF(TRIM(Github!D$1266)="TRUE","FALSE","TRUE")</f>
        <v>FALSE</v>
      </c>
      <c r="K1376" s="10" t="b">
        <f>Github!M$1266</f>
        <v>0</v>
      </c>
      <c r="L1376" s="10" t="b">
        <f>Github!N$1266</f>
        <v>0</v>
      </c>
      <c r="M1376" s="10" t="str">
        <f>ROUND(Github!O$1266, 2)&amp;"%"</f>
        <v>94.28%</v>
      </c>
      <c r="N1376" s="10">
        <f>Github!P$1266</f>
        <v>38176</v>
      </c>
      <c r="O1376" s="10">
        <f>Github!Q$1266</f>
        <v>40493</v>
      </c>
    </row>
    <row r="1377">
      <c r="A1377" s="10">
        <f>Github!J$1583</f>
        <v>1582</v>
      </c>
      <c r="B1377" s="11" t="str">
        <f>HYPERLINK(CONCAT("http://leetcode.com/problems/",Github!C$1583), Github!B$1583)</f>
        <v>Special Positions in a Binary Matrix</v>
      </c>
      <c r="C1377" s="10">
        <f>Github!F$1583</f>
        <v>410</v>
      </c>
      <c r="D1377" s="10">
        <f>Github!G$1583</f>
        <v>17</v>
      </c>
      <c r="E1377" s="10">
        <f>Github!F$1583+Github!G$1583</f>
        <v>427</v>
      </c>
      <c r="F1377" s="12">
        <f t="shared" si="1"/>
        <v>24.12</v>
      </c>
      <c r="G1377" s="10" t="str">
        <f>Github!H$1583</f>
        <v>Algorithms</v>
      </c>
      <c r="H1377" s="13" t="str">
        <f>SUBSTITUTE(Github!L$1583, ";", ", ")</f>
        <v>Array, Matrix, </v>
      </c>
      <c r="I1377" s="10" t="str">
        <f>Github!E$1583</f>
        <v>Easy</v>
      </c>
      <c r="J1377" s="10" t="str">
        <f>IF(TRIM(Github!D$1583)="TRUE","FALSE","TRUE")</f>
        <v>TRUE</v>
      </c>
      <c r="K1377" s="10" t="b">
        <f>Github!M$1583</f>
        <v>0</v>
      </c>
      <c r="L1377" s="10" t="b">
        <f>Github!N$1583</f>
        <v>0</v>
      </c>
      <c r="M1377" s="10" t="str">
        <f>ROUND(Github!O$1583, 2)&amp;"%"</f>
        <v>64.96%</v>
      </c>
      <c r="N1377" s="10">
        <f>Github!P$1583</f>
        <v>29918</v>
      </c>
      <c r="O1377" s="10">
        <f>Github!Q$1583</f>
        <v>46054</v>
      </c>
    </row>
    <row r="1378">
      <c r="A1378" s="10">
        <f>Github!J$636</f>
        <v>635</v>
      </c>
      <c r="B1378" s="11" t="str">
        <f>HYPERLINK(CONCAT("http://leetcode.com/problems/",Github!C$636), Github!B$636)</f>
        <v>Design Log Storage System</v>
      </c>
      <c r="C1378" s="10">
        <f>Github!F$636</f>
        <v>408</v>
      </c>
      <c r="D1378" s="10">
        <f>Github!G$636</f>
        <v>168</v>
      </c>
      <c r="E1378" s="10">
        <f>Github!F$636+Github!G$636</f>
        <v>576</v>
      </c>
      <c r="F1378" s="12">
        <f t="shared" si="1"/>
        <v>2.43</v>
      </c>
      <c r="G1378" s="10" t="str">
        <f>Github!H$636</f>
        <v>Algorithms</v>
      </c>
      <c r="H1378" s="13" t="str">
        <f>SUBSTITUTE(Github!L$636, ";", ", ")</f>
        <v>Hash Table, String, Design, Ordered Set, </v>
      </c>
      <c r="I1378" s="10" t="str">
        <f>Github!E$636</f>
        <v>Medium</v>
      </c>
      <c r="J1378" s="10" t="str">
        <f>IF(TRIM(Github!D$636)="TRUE","FALSE","TRUE")</f>
        <v>FALSE</v>
      </c>
      <c r="K1378" s="10" t="b">
        <f>Github!M$636</f>
        <v>1</v>
      </c>
      <c r="L1378" s="10" t="b">
        <f>Github!N$636</f>
        <v>0</v>
      </c>
      <c r="M1378" s="10" t="str">
        <f>ROUND(Github!O$636, 2)&amp;"%"</f>
        <v>62.18%</v>
      </c>
      <c r="N1378" s="10">
        <f>Github!P$636</f>
        <v>29252</v>
      </c>
      <c r="O1378" s="10">
        <f>Github!Q$636</f>
        <v>47042</v>
      </c>
    </row>
    <row r="1379">
      <c r="A1379" s="10">
        <f>Github!J$597</f>
        <v>596</v>
      </c>
      <c r="B1379" s="11" t="str">
        <f>HYPERLINK(CONCAT("http://leetcode.com/problems/",Github!C$597), Github!B$597)</f>
        <v>Classes More Than 5 Students</v>
      </c>
      <c r="C1379" s="10">
        <f>Github!F$597</f>
        <v>407</v>
      </c>
      <c r="D1379" s="10">
        <f>Github!G$597</f>
        <v>900</v>
      </c>
      <c r="E1379" s="10">
        <f>Github!F$597+Github!G$597</f>
        <v>1307</v>
      </c>
      <c r="F1379" s="12">
        <f t="shared" si="1"/>
        <v>0.45</v>
      </c>
      <c r="G1379" s="10" t="str">
        <f>Github!H$597</f>
        <v>Database</v>
      </c>
      <c r="H1379" s="13" t="str">
        <f>SUBSTITUTE(Github!L$597, ";", ", ")</f>
        <v>Database, </v>
      </c>
      <c r="I1379" s="10" t="str">
        <f>Github!E$597</f>
        <v>Easy</v>
      </c>
      <c r="J1379" s="10" t="str">
        <f>IF(TRIM(Github!D$597)="TRUE","FALSE","TRUE")</f>
        <v>TRUE</v>
      </c>
      <c r="K1379" s="10" t="b">
        <f>Github!M$597</f>
        <v>1</v>
      </c>
      <c r="L1379" s="10" t="b">
        <f>Github!N$597</f>
        <v>0</v>
      </c>
      <c r="M1379" s="10" t="str">
        <f>ROUND(Github!O$597, 2)&amp;"%"</f>
        <v>41.73%</v>
      </c>
      <c r="N1379" s="10">
        <f>Github!P$597</f>
        <v>150332</v>
      </c>
      <c r="O1379" s="10">
        <f>Github!Q$597</f>
        <v>360265</v>
      </c>
    </row>
    <row r="1380">
      <c r="A1380" s="10">
        <f>Github!J$1929</f>
        <v>1928</v>
      </c>
      <c r="B1380" s="11" t="str">
        <f>HYPERLINK(CONCAT("http://leetcode.com/problems/",Github!C$1929), Github!B$1929)</f>
        <v>Minimum Cost to Reach Destination in Time</v>
      </c>
      <c r="C1380" s="10">
        <f>Github!F$1929</f>
        <v>407</v>
      </c>
      <c r="D1380" s="10">
        <f>Github!G$1929</f>
        <v>6</v>
      </c>
      <c r="E1380" s="10">
        <f>Github!F$1929+Github!G$1929</f>
        <v>413</v>
      </c>
      <c r="F1380" s="12">
        <f t="shared" si="1"/>
        <v>67.83</v>
      </c>
      <c r="G1380" s="10" t="str">
        <f>Github!H$1929</f>
        <v>Algorithms</v>
      </c>
      <c r="H1380" s="13" t="str">
        <f>SUBSTITUTE(Github!L$1929, ";", ", ")</f>
        <v>Dynamic Programming, Graph, </v>
      </c>
      <c r="I1380" s="10" t="str">
        <f>Github!E$1929</f>
        <v>Hard</v>
      </c>
      <c r="J1380" s="10" t="str">
        <f>IF(TRIM(Github!D$1929)="TRUE","FALSE","TRUE")</f>
        <v>TRUE</v>
      </c>
      <c r="K1380" s="10" t="b">
        <f>Github!M$1929</f>
        <v>0</v>
      </c>
      <c r="L1380" s="10" t="b">
        <f>Github!N$1929</f>
        <v>0</v>
      </c>
      <c r="M1380" s="10" t="str">
        <f>ROUND(Github!O$1929, 2)&amp;"%"</f>
        <v>37.14%</v>
      </c>
      <c r="N1380" s="10">
        <f>Github!P$1929</f>
        <v>9253</v>
      </c>
      <c r="O1380" s="10">
        <f>Github!Q$1929</f>
        <v>24915</v>
      </c>
    </row>
    <row r="1381">
      <c r="A1381" s="10">
        <f>Github!J$2018</f>
        <v>2017</v>
      </c>
      <c r="B1381" s="11" t="str">
        <f>HYPERLINK(CONCAT("http://leetcode.com/problems/",Github!C$2018), Github!B$2018)</f>
        <v>Grid Game</v>
      </c>
      <c r="C1381" s="10">
        <f>Github!F$2018</f>
        <v>408</v>
      </c>
      <c r="D1381" s="10">
        <f>Github!G$2018</f>
        <v>10</v>
      </c>
      <c r="E1381" s="10">
        <f>Github!F$2018+Github!G$2018</f>
        <v>418</v>
      </c>
      <c r="F1381" s="12">
        <f t="shared" si="1"/>
        <v>40.8</v>
      </c>
      <c r="G1381" s="10" t="str">
        <f>Github!H$2018</f>
        <v>Algorithms</v>
      </c>
      <c r="H1381" s="13" t="str">
        <f>SUBSTITUTE(Github!L$2018, ";", ", ")</f>
        <v>Array, Matrix, Prefix Sum, </v>
      </c>
      <c r="I1381" s="10" t="str">
        <f>Github!E$2018</f>
        <v>Medium</v>
      </c>
      <c r="J1381" s="10" t="str">
        <f>IF(TRIM(Github!D$2018)="TRUE","FALSE","TRUE")</f>
        <v>TRUE</v>
      </c>
      <c r="K1381" s="10" t="b">
        <f>Github!M$2018</f>
        <v>0</v>
      </c>
      <c r="L1381" s="10" t="b">
        <f>Github!N$2018</f>
        <v>0</v>
      </c>
      <c r="M1381" s="10" t="str">
        <f>ROUND(Github!O$2018, 2)&amp;"%"</f>
        <v>41.36%</v>
      </c>
      <c r="N1381" s="10">
        <f>Github!P$2018</f>
        <v>9747</v>
      </c>
      <c r="O1381" s="10">
        <f>Github!Q$2018</f>
        <v>23568</v>
      </c>
    </row>
    <row r="1382">
      <c r="A1382" s="10">
        <f>Github!J$1319</f>
        <v>1318</v>
      </c>
      <c r="B1382" s="11" t="str">
        <f>HYPERLINK(CONCAT("http://leetcode.com/problems/",Github!C$1319), Github!B$1319)</f>
        <v>Minimum Flips to Make a OR b Equal to c</v>
      </c>
      <c r="C1382" s="10">
        <f>Github!F$1319</f>
        <v>406</v>
      </c>
      <c r="D1382" s="10">
        <f>Github!G$1319</f>
        <v>35</v>
      </c>
      <c r="E1382" s="10">
        <f>Github!F$1319+Github!G$1319</f>
        <v>441</v>
      </c>
      <c r="F1382" s="12">
        <f t="shared" si="1"/>
        <v>11.6</v>
      </c>
      <c r="G1382" s="10" t="str">
        <f>Github!H$1319</f>
        <v>Algorithms</v>
      </c>
      <c r="H1382" s="13" t="str">
        <f>SUBSTITUTE(Github!L$1319, ";", ", ")</f>
        <v>Bit Manipulation, </v>
      </c>
      <c r="I1382" s="10" t="str">
        <f>Github!E$1319</f>
        <v>Medium</v>
      </c>
      <c r="J1382" s="10" t="str">
        <f>IF(TRIM(Github!D$1319)="TRUE","FALSE","TRUE")</f>
        <v>TRUE</v>
      </c>
      <c r="K1382" s="10" t="b">
        <f>Github!M$1319</f>
        <v>0</v>
      </c>
      <c r="L1382" s="10" t="b">
        <f>Github!N$1319</f>
        <v>0</v>
      </c>
      <c r="M1382" s="10" t="str">
        <f>ROUND(Github!O$1319, 2)&amp;"%"</f>
        <v>65.06%</v>
      </c>
      <c r="N1382" s="10">
        <f>Github!P$1319</f>
        <v>23097</v>
      </c>
      <c r="O1382" s="10">
        <f>Github!Q$1319</f>
        <v>35500</v>
      </c>
    </row>
    <row r="1383">
      <c r="A1383" s="10">
        <f>Github!J$1971</f>
        <v>1970</v>
      </c>
      <c r="B1383" s="11" t="str">
        <f>HYPERLINK(CONCAT("http://leetcode.com/problems/",Github!C$1971), Github!B$1971)</f>
        <v>Last Day Where You Can Still Cross</v>
      </c>
      <c r="C1383" s="10">
        <f>Github!F$1971</f>
        <v>405</v>
      </c>
      <c r="D1383" s="10">
        <f>Github!G$1971</f>
        <v>7</v>
      </c>
      <c r="E1383" s="10">
        <f>Github!F$1971+Github!G$1971</f>
        <v>412</v>
      </c>
      <c r="F1383" s="12">
        <f t="shared" si="1"/>
        <v>57.86</v>
      </c>
      <c r="G1383" s="10" t="str">
        <f>Github!H$1971</f>
        <v>Algorithms</v>
      </c>
      <c r="H1383" s="13" t="str">
        <f>SUBSTITUTE(Github!L$1971, ";", ", ")</f>
        <v>Array, Binary Search, Depth-First Search, Breadth-First Search, Union Find, Matrix, </v>
      </c>
      <c r="I1383" s="10" t="str">
        <f>Github!E$1971</f>
        <v>Hard</v>
      </c>
      <c r="J1383" s="10" t="str">
        <f>IF(TRIM(Github!D$1971)="TRUE","FALSE","TRUE")</f>
        <v>TRUE</v>
      </c>
      <c r="K1383" s="10" t="b">
        <f>Github!M$1971</f>
        <v>0</v>
      </c>
      <c r="L1383" s="10" t="b">
        <f>Github!N$1971</f>
        <v>0</v>
      </c>
      <c r="M1383" s="10" t="str">
        <f>ROUND(Github!O$1971, 2)&amp;"%"</f>
        <v>48.42%</v>
      </c>
      <c r="N1383" s="10">
        <f>Github!P$1971</f>
        <v>7899</v>
      </c>
      <c r="O1383" s="10">
        <f>Github!Q$1971</f>
        <v>16314</v>
      </c>
    </row>
    <row r="1384">
      <c r="A1384" s="10">
        <f>Github!J$1671</f>
        <v>1670</v>
      </c>
      <c r="B1384" s="11" t="str">
        <f>HYPERLINK(CONCAT("http://leetcode.com/problems/",Github!C$1671), Github!B$1671)</f>
        <v>Design Front Middle Back Queue</v>
      </c>
      <c r="C1384" s="10">
        <f>Github!F$1671</f>
        <v>404</v>
      </c>
      <c r="D1384" s="10">
        <f>Github!G$1671</f>
        <v>70</v>
      </c>
      <c r="E1384" s="10">
        <f>Github!F$1671+Github!G$1671</f>
        <v>474</v>
      </c>
      <c r="F1384" s="12">
        <f t="shared" si="1"/>
        <v>5.77</v>
      </c>
      <c r="G1384" s="10" t="str">
        <f>Github!H$1671</f>
        <v>Algorithms</v>
      </c>
      <c r="H1384" s="13" t="str">
        <f>SUBSTITUTE(Github!L$1671, ";", ", ")</f>
        <v>Array, Linked List, Design, Queue, Data Stream, </v>
      </c>
      <c r="I1384" s="10" t="str">
        <f>Github!E$1671</f>
        <v>Medium</v>
      </c>
      <c r="J1384" s="10" t="str">
        <f>IF(TRIM(Github!D$1671)="TRUE","FALSE","TRUE")</f>
        <v>TRUE</v>
      </c>
      <c r="K1384" s="10" t="b">
        <f>Github!M$1671</f>
        <v>0</v>
      </c>
      <c r="L1384" s="10" t="b">
        <f>Github!N$1671</f>
        <v>0</v>
      </c>
      <c r="M1384" s="10" t="str">
        <f>ROUND(Github!O$1671, 2)&amp;"%"</f>
        <v>55.37%</v>
      </c>
      <c r="N1384" s="10">
        <f>Github!P$1671</f>
        <v>13755</v>
      </c>
      <c r="O1384" s="10">
        <f>Github!Q$1671</f>
        <v>24842</v>
      </c>
    </row>
    <row r="1385">
      <c r="A1385" s="10">
        <f>Github!J$1704</f>
        <v>1703</v>
      </c>
      <c r="B1385" s="11" t="str">
        <f>HYPERLINK(CONCAT("http://leetcode.com/problems/",Github!C$1704), Github!B$1704)</f>
        <v>Minimum Adjacent Swaps for K Consecutive Ones</v>
      </c>
      <c r="C1385" s="10">
        <f>Github!F$1704</f>
        <v>404</v>
      </c>
      <c r="D1385" s="10">
        <f>Github!G$1704</f>
        <v>16</v>
      </c>
      <c r="E1385" s="10">
        <f>Github!F$1704+Github!G$1704</f>
        <v>420</v>
      </c>
      <c r="F1385" s="12">
        <f t="shared" si="1"/>
        <v>25.25</v>
      </c>
      <c r="G1385" s="10" t="str">
        <f>Github!H$1704</f>
        <v>Algorithms</v>
      </c>
      <c r="H1385" s="13" t="str">
        <f>SUBSTITUTE(Github!L$1704, ";", ", ")</f>
        <v>Array, Greedy, Sliding Window, Prefix Sum, </v>
      </c>
      <c r="I1385" s="10" t="str">
        <f>Github!E$1704</f>
        <v>Hard</v>
      </c>
      <c r="J1385" s="10" t="str">
        <f>IF(TRIM(Github!D$1704)="TRUE","FALSE","TRUE")</f>
        <v>TRUE</v>
      </c>
      <c r="K1385" s="10" t="b">
        <f>Github!M$1704</f>
        <v>0</v>
      </c>
      <c r="L1385" s="10" t="b">
        <f>Github!N$1704</f>
        <v>0</v>
      </c>
      <c r="M1385" s="10" t="str">
        <f>ROUND(Github!O$1704, 2)&amp;"%"</f>
        <v>40.27%</v>
      </c>
      <c r="N1385" s="10">
        <f>Github!P$1704</f>
        <v>5520</v>
      </c>
      <c r="O1385" s="10">
        <f>Github!Q$1704</f>
        <v>13706</v>
      </c>
    </row>
    <row r="1386">
      <c r="A1386" s="10">
        <f>Github!J$2003</f>
        <v>2002</v>
      </c>
      <c r="B1386" s="11" t="str">
        <f>HYPERLINK(CONCAT("http://leetcode.com/problems/",Github!C$2003), Github!B$2003)</f>
        <v>Maximum Product of the Length of Two Palindromic Subsequences</v>
      </c>
      <c r="C1386" s="10">
        <f>Github!F$2003</f>
        <v>405</v>
      </c>
      <c r="D1386" s="10">
        <f>Github!G$2003</f>
        <v>27</v>
      </c>
      <c r="E1386" s="10">
        <f>Github!F$2003+Github!G$2003</f>
        <v>432</v>
      </c>
      <c r="F1386" s="12">
        <f t="shared" si="1"/>
        <v>15</v>
      </c>
      <c r="G1386" s="10" t="str">
        <f>Github!H$2003</f>
        <v>Algorithms</v>
      </c>
      <c r="H1386" s="13" t="str">
        <f>SUBSTITUTE(Github!L$2003, ";", ", ")</f>
        <v>String, Dynamic Programming, Backtracking, Bit Manipulation, Bitmask, </v>
      </c>
      <c r="I1386" s="10" t="str">
        <f>Github!E$2003</f>
        <v>Medium</v>
      </c>
      <c r="J1386" s="10" t="str">
        <f>IF(TRIM(Github!D$2003)="TRUE","FALSE","TRUE")</f>
        <v>TRUE</v>
      </c>
      <c r="K1386" s="10" t="b">
        <f>Github!M$2003</f>
        <v>0</v>
      </c>
      <c r="L1386" s="10" t="b">
        <f>Github!N$2003</f>
        <v>0</v>
      </c>
      <c r="M1386" s="10" t="str">
        <f>ROUND(Github!O$2003, 2)&amp;"%"</f>
        <v>52.69%</v>
      </c>
      <c r="N1386" s="10">
        <f>Github!P$2003</f>
        <v>10720</v>
      </c>
      <c r="O1386" s="10">
        <f>Github!Q$2003</f>
        <v>20344</v>
      </c>
    </row>
    <row r="1387">
      <c r="A1387" s="10">
        <f>Github!J$409</f>
        <v>408</v>
      </c>
      <c r="B1387" s="11" t="str">
        <f>HYPERLINK(CONCAT("http://leetcode.com/problems/",Github!C$409), Github!B$409)</f>
        <v>Valid Word Abbreviation</v>
      </c>
      <c r="C1387" s="10">
        <f>Github!F$409</f>
        <v>404</v>
      </c>
      <c r="D1387" s="10">
        <f>Github!G$409</f>
        <v>1474</v>
      </c>
      <c r="E1387" s="10">
        <f>Github!F$409+Github!G$409</f>
        <v>1878</v>
      </c>
      <c r="F1387" s="12">
        <f t="shared" si="1"/>
        <v>0.27</v>
      </c>
      <c r="G1387" s="10" t="str">
        <f>Github!H$409</f>
        <v>Algorithms</v>
      </c>
      <c r="H1387" s="13" t="str">
        <f>SUBSTITUTE(Github!L$409, ";", ", ")</f>
        <v>Two Pointers, String, </v>
      </c>
      <c r="I1387" s="10" t="str">
        <f>Github!E$409</f>
        <v>Easy</v>
      </c>
      <c r="J1387" s="10" t="str">
        <f>IF(TRIM(Github!D$409)="TRUE","FALSE","TRUE")</f>
        <v>FALSE</v>
      </c>
      <c r="K1387" s="10" t="b">
        <f>Github!M$409</f>
        <v>0</v>
      </c>
      <c r="L1387" s="10" t="b">
        <f>Github!N$409</f>
        <v>0</v>
      </c>
      <c r="M1387" s="10" t="str">
        <f>ROUND(Github!O$409, 2)&amp;"%"</f>
        <v>34.33%</v>
      </c>
      <c r="N1387" s="10">
        <f>Github!P$409</f>
        <v>83474</v>
      </c>
      <c r="O1387" s="10">
        <f>Github!Q$409</f>
        <v>243132</v>
      </c>
    </row>
    <row r="1388">
      <c r="A1388" s="10">
        <f>Github!J$507</f>
        <v>506</v>
      </c>
      <c r="B1388" s="11" t="str">
        <f>HYPERLINK(CONCAT("http://leetcode.com/problems/",Github!C$507), Github!B$507)</f>
        <v>Relative Ranks</v>
      </c>
      <c r="C1388" s="10">
        <f>Github!F$507</f>
        <v>402</v>
      </c>
      <c r="D1388" s="10">
        <f>Github!G$507</f>
        <v>23</v>
      </c>
      <c r="E1388" s="10">
        <f>Github!F$507+Github!G$507</f>
        <v>425</v>
      </c>
      <c r="F1388" s="12">
        <f t="shared" si="1"/>
        <v>17.48</v>
      </c>
      <c r="G1388" s="10" t="str">
        <f>Github!H$507</f>
        <v>Algorithms</v>
      </c>
      <c r="H1388" s="13" t="str">
        <f>SUBSTITUTE(Github!L$507, ";", ", ")</f>
        <v>Array, Sorting, Heap (Priority Queue), </v>
      </c>
      <c r="I1388" s="10" t="str">
        <f>Github!E$507</f>
        <v>Easy</v>
      </c>
      <c r="J1388" s="10" t="str">
        <f>IF(TRIM(Github!D$507)="TRUE","FALSE","TRUE")</f>
        <v>TRUE</v>
      </c>
      <c r="K1388" s="10" t="b">
        <f>Github!M$507</f>
        <v>0</v>
      </c>
      <c r="L1388" s="10" t="b">
        <f>Github!N$507</f>
        <v>0</v>
      </c>
      <c r="M1388" s="10" t="str">
        <f>ROUND(Github!O$507, 2)&amp;"%"</f>
        <v>56.09%</v>
      </c>
      <c r="N1388" s="10">
        <f>Github!P$507</f>
        <v>84777</v>
      </c>
      <c r="O1388" s="10">
        <f>Github!Q$507</f>
        <v>151132</v>
      </c>
    </row>
    <row r="1389">
      <c r="A1389" s="10">
        <f>Github!J$1148</f>
        <v>1147</v>
      </c>
      <c r="B1389" s="11" t="str">
        <f>HYPERLINK(CONCAT("http://leetcode.com/problems/",Github!C$1148), Github!B$1148)</f>
        <v>Longest Chunked Palindrome Decomposition</v>
      </c>
      <c r="C1389" s="10">
        <f>Github!F$1148</f>
        <v>400</v>
      </c>
      <c r="D1389" s="10">
        <f>Github!G$1148</f>
        <v>24</v>
      </c>
      <c r="E1389" s="10">
        <f>Github!F$1148+Github!G$1148</f>
        <v>424</v>
      </c>
      <c r="F1389" s="12">
        <f t="shared" si="1"/>
        <v>16.67</v>
      </c>
      <c r="G1389" s="10" t="str">
        <f>Github!H$1148</f>
        <v>Algorithms</v>
      </c>
      <c r="H1389" s="13" t="str">
        <f>SUBSTITUTE(Github!L$1148, ";", ", ")</f>
        <v>Two Pointers, String, Dynamic Programming, Greedy, Rolling Hash, Hash Function, </v>
      </c>
      <c r="I1389" s="10" t="str">
        <f>Github!E$1148</f>
        <v>Hard</v>
      </c>
      <c r="J1389" s="10" t="str">
        <f>IF(TRIM(Github!D$1148)="TRUE","FALSE","TRUE")</f>
        <v>TRUE</v>
      </c>
      <c r="K1389" s="10" t="b">
        <f>Github!M$1148</f>
        <v>0</v>
      </c>
      <c r="L1389" s="10" t="b">
        <f>Github!N$1148</f>
        <v>0</v>
      </c>
      <c r="M1389" s="10" t="str">
        <f>ROUND(Github!O$1148, 2)&amp;"%"</f>
        <v>60.25%</v>
      </c>
      <c r="N1389" s="10">
        <f>Github!P$1148</f>
        <v>15945</v>
      </c>
      <c r="O1389" s="10">
        <f>Github!Q$1148</f>
        <v>26465</v>
      </c>
    </row>
    <row r="1390">
      <c r="A1390" s="10">
        <f>Github!J$1931</f>
        <v>1930</v>
      </c>
      <c r="B1390" s="11" t="str">
        <f>HYPERLINK(CONCAT("http://leetcode.com/problems/",Github!C$1931), Github!B$1931)</f>
        <v>Unique Length-3 Palindromic Subsequences</v>
      </c>
      <c r="C1390" s="10">
        <f>Github!F$1931</f>
        <v>400</v>
      </c>
      <c r="D1390" s="10">
        <f>Github!G$1931</f>
        <v>11</v>
      </c>
      <c r="E1390" s="10">
        <f>Github!F$1931+Github!G$1931</f>
        <v>411</v>
      </c>
      <c r="F1390" s="12">
        <f t="shared" si="1"/>
        <v>36.36</v>
      </c>
      <c r="G1390" s="10" t="str">
        <f>Github!H$1931</f>
        <v>Algorithms</v>
      </c>
      <c r="H1390" s="13" t="str">
        <f>SUBSTITUTE(Github!L$1931, ";", ", ")</f>
        <v>Hash Table, String, Prefix Sum, </v>
      </c>
      <c r="I1390" s="10" t="str">
        <f>Github!E$1931</f>
        <v>Medium</v>
      </c>
      <c r="J1390" s="10" t="str">
        <f>IF(TRIM(Github!D$1931)="TRUE","FALSE","TRUE")</f>
        <v>TRUE</v>
      </c>
      <c r="K1390" s="10" t="b">
        <f>Github!M$1931</f>
        <v>0</v>
      </c>
      <c r="L1390" s="10" t="b">
        <f>Github!N$1931</f>
        <v>0</v>
      </c>
      <c r="M1390" s="10" t="str">
        <f>ROUND(Github!O$1931, 2)&amp;"%"</f>
        <v>50.86%</v>
      </c>
      <c r="N1390" s="10">
        <f>Github!P$1931</f>
        <v>15204</v>
      </c>
      <c r="O1390" s="10">
        <f>Github!Q$1931</f>
        <v>29893</v>
      </c>
    </row>
    <row r="1391">
      <c r="A1391" s="10">
        <f>Github!J$2115</f>
        <v>2114</v>
      </c>
      <c r="B1391" s="11" t="str">
        <f>HYPERLINK(CONCAT("http://leetcode.com/problems/",Github!C$2115), Github!B$2115)</f>
        <v>Maximum Number of Words Found in Sentences</v>
      </c>
      <c r="C1391" s="10">
        <f>Github!F$2115</f>
        <v>402</v>
      </c>
      <c r="D1391" s="10">
        <f>Github!G$2115</f>
        <v>15</v>
      </c>
      <c r="E1391" s="10">
        <f>Github!F$2115+Github!G$2115</f>
        <v>417</v>
      </c>
      <c r="F1391" s="12">
        <f t="shared" si="1"/>
        <v>26.8</v>
      </c>
      <c r="G1391" s="10" t="str">
        <f>Github!H$2115</f>
        <v>Algorithms</v>
      </c>
      <c r="H1391" s="13" t="str">
        <f>SUBSTITUTE(Github!L$2115, ";", ", ")</f>
        <v>Array, String, </v>
      </c>
      <c r="I1391" s="10" t="str">
        <f>Github!E$2115</f>
        <v>Easy</v>
      </c>
      <c r="J1391" s="10" t="str">
        <f>IF(TRIM(Github!D$2115)="TRUE","FALSE","TRUE")</f>
        <v>TRUE</v>
      </c>
      <c r="K1391" s="10" t="b">
        <f>Github!M$2115</f>
        <v>0</v>
      </c>
      <c r="L1391" s="10" t="b">
        <f>Github!N$2115</f>
        <v>0</v>
      </c>
      <c r="M1391" s="10" t="str">
        <f>ROUND(Github!O$2115, 2)&amp;"%"</f>
        <v>89.19%</v>
      </c>
      <c r="N1391" s="10">
        <f>Github!P$2115</f>
        <v>48672</v>
      </c>
      <c r="O1391" s="10">
        <f>Github!Q$2115</f>
        <v>54570</v>
      </c>
    </row>
    <row r="1392">
      <c r="A1392" s="10">
        <f>Github!J$909</f>
        <v>908</v>
      </c>
      <c r="B1392" s="11" t="str">
        <f>HYPERLINK(CONCAT("http://leetcode.com/problems/",Github!C$909), Github!B$909)</f>
        <v>Smallest Range I</v>
      </c>
      <c r="C1392" s="10">
        <f>Github!F$909</f>
        <v>401</v>
      </c>
      <c r="D1392" s="10">
        <f>Github!G$909</f>
        <v>1579</v>
      </c>
      <c r="E1392" s="10">
        <f>Github!F$909+Github!G$909</f>
        <v>1980</v>
      </c>
      <c r="F1392" s="12">
        <f t="shared" si="1"/>
        <v>0.25</v>
      </c>
      <c r="G1392" s="10" t="str">
        <f>Github!H$909</f>
        <v>Algorithms</v>
      </c>
      <c r="H1392" s="13" t="str">
        <f>SUBSTITUTE(Github!L$909, ";", ", ")</f>
        <v>Array, Math, </v>
      </c>
      <c r="I1392" s="10" t="str">
        <f>Github!E$909</f>
        <v>Easy</v>
      </c>
      <c r="J1392" s="10" t="str">
        <f>IF(TRIM(Github!D$909)="TRUE","FALSE","TRUE")</f>
        <v>TRUE</v>
      </c>
      <c r="K1392" s="10" t="b">
        <f>Github!M$909</f>
        <v>0</v>
      </c>
      <c r="L1392" s="10" t="b">
        <f>Github!N$909</f>
        <v>0</v>
      </c>
      <c r="M1392" s="10" t="str">
        <f>ROUND(Github!O$909, 2)&amp;"%"</f>
        <v>67.14%</v>
      </c>
      <c r="N1392" s="10">
        <f>Github!P$909</f>
        <v>58481</v>
      </c>
      <c r="O1392" s="10">
        <f>Github!Q$909</f>
        <v>87101</v>
      </c>
    </row>
    <row r="1393">
      <c r="A1393" s="10">
        <f>Github!J$1653</f>
        <v>1652</v>
      </c>
      <c r="B1393" s="11" t="str">
        <f>HYPERLINK(CONCAT("http://leetcode.com/problems/",Github!C$1653), Github!B$1653)</f>
        <v>Defuse the Bomb</v>
      </c>
      <c r="C1393" s="10">
        <f>Github!F$1653</f>
        <v>398</v>
      </c>
      <c r="D1393" s="10">
        <f>Github!G$1653</f>
        <v>43</v>
      </c>
      <c r="E1393" s="10">
        <f>Github!F$1653+Github!G$1653</f>
        <v>441</v>
      </c>
      <c r="F1393" s="12">
        <f t="shared" si="1"/>
        <v>9.26</v>
      </c>
      <c r="G1393" s="10" t="str">
        <f>Github!H$1653</f>
        <v>Algorithms</v>
      </c>
      <c r="H1393" s="13" t="str">
        <f>SUBSTITUTE(Github!L$1653, ";", ", ")</f>
        <v>Array, </v>
      </c>
      <c r="I1393" s="10" t="str">
        <f>Github!E$1653</f>
        <v>Easy</v>
      </c>
      <c r="J1393" s="10" t="str">
        <f>IF(TRIM(Github!D$1653)="TRUE","FALSE","TRUE")</f>
        <v>TRUE</v>
      </c>
      <c r="K1393" s="10" t="b">
        <f>Github!M$1653</f>
        <v>0</v>
      </c>
      <c r="L1393" s="10" t="b">
        <f>Github!N$1653</f>
        <v>0</v>
      </c>
      <c r="M1393" s="10" t="str">
        <f>ROUND(Github!O$1653, 2)&amp;"%"</f>
        <v>60.83%</v>
      </c>
      <c r="N1393" s="10">
        <f>Github!P$1653</f>
        <v>21926</v>
      </c>
      <c r="O1393" s="10">
        <f>Github!Q$1653</f>
        <v>36042</v>
      </c>
    </row>
    <row r="1394">
      <c r="A1394" s="10">
        <f>Github!J$2025</f>
        <v>2024</v>
      </c>
      <c r="B1394" s="11" t="str">
        <f>HYPERLINK(CONCAT("http://leetcode.com/problems/",Github!C$2025), Github!B$2025)</f>
        <v>Maximize the Confusion of an Exam</v>
      </c>
      <c r="C1394" s="10">
        <f>Github!F$2025</f>
        <v>398</v>
      </c>
      <c r="D1394" s="10">
        <f>Github!G$2025</f>
        <v>8</v>
      </c>
      <c r="E1394" s="10">
        <f>Github!F$2025+Github!G$2025</f>
        <v>406</v>
      </c>
      <c r="F1394" s="12">
        <f t="shared" si="1"/>
        <v>49.75</v>
      </c>
      <c r="G1394" s="10" t="str">
        <f>Github!H$2025</f>
        <v>Algorithms</v>
      </c>
      <c r="H1394" s="13" t="str">
        <f>SUBSTITUTE(Github!L$2025, ";", ", ")</f>
        <v>String, Binary Search, Sliding Window, Prefix Sum, </v>
      </c>
      <c r="I1394" s="10" t="str">
        <f>Github!E$2025</f>
        <v>Medium</v>
      </c>
      <c r="J1394" s="10" t="str">
        <f>IF(TRIM(Github!D$2025)="TRUE","FALSE","TRUE")</f>
        <v>TRUE</v>
      </c>
      <c r="K1394" s="10" t="b">
        <f>Github!M$2025</f>
        <v>0</v>
      </c>
      <c r="L1394" s="10" t="b">
        <f>Github!N$2025</f>
        <v>0</v>
      </c>
      <c r="M1394" s="10" t="str">
        <f>ROUND(Github!O$2025, 2)&amp;"%"</f>
        <v>56.33%</v>
      </c>
      <c r="N1394" s="10">
        <f>Github!P$2025</f>
        <v>12015</v>
      </c>
      <c r="O1394" s="10">
        <f>Github!Q$2025</f>
        <v>21328</v>
      </c>
    </row>
    <row r="1395">
      <c r="A1395" s="10">
        <f>Github!J$929</f>
        <v>928</v>
      </c>
      <c r="B1395" s="11" t="str">
        <f>HYPERLINK(CONCAT("http://leetcode.com/problems/",Github!C$929), Github!B$929)</f>
        <v>Minimize Malware Spread II</v>
      </c>
      <c r="C1395" s="10">
        <f>Github!F$929</f>
        <v>397</v>
      </c>
      <c r="D1395" s="10">
        <f>Github!G$929</f>
        <v>67</v>
      </c>
      <c r="E1395" s="10">
        <f>Github!F$929+Github!G$929</f>
        <v>464</v>
      </c>
      <c r="F1395" s="12">
        <f t="shared" si="1"/>
        <v>5.93</v>
      </c>
      <c r="G1395" s="10" t="str">
        <f>Github!H$929</f>
        <v>Algorithms</v>
      </c>
      <c r="H1395" s="13" t="str">
        <f>SUBSTITUTE(Github!L$929, ";", ", ")</f>
        <v>Array, Depth-First Search, Breadth-First Search, Union Find, Matrix, </v>
      </c>
      <c r="I1395" s="10" t="str">
        <f>Github!E$929</f>
        <v>Hard</v>
      </c>
      <c r="J1395" s="10" t="str">
        <f>IF(TRIM(Github!D$929)="TRUE","FALSE","TRUE")</f>
        <v>TRUE</v>
      </c>
      <c r="K1395" s="10" t="b">
        <f>Github!M$929</f>
        <v>1</v>
      </c>
      <c r="L1395" s="10" t="b">
        <f>Github!N$929</f>
        <v>0</v>
      </c>
      <c r="M1395" s="10" t="str">
        <f>ROUND(Github!O$929, 2)&amp;"%"</f>
        <v>42.02%</v>
      </c>
      <c r="N1395" s="10">
        <f>Github!P$929</f>
        <v>14813</v>
      </c>
      <c r="O1395" s="10">
        <f>Github!Q$929</f>
        <v>35250</v>
      </c>
    </row>
    <row r="1396">
      <c r="A1396" s="10">
        <f>Github!J$1535</f>
        <v>1534</v>
      </c>
      <c r="B1396" s="11" t="str">
        <f>HYPERLINK(CONCAT("http://leetcode.com/problems/",Github!C$1535), Github!B$1535)</f>
        <v>Count Good Triplets</v>
      </c>
      <c r="C1396" s="10">
        <f>Github!F$1535</f>
        <v>398</v>
      </c>
      <c r="D1396" s="10">
        <f>Github!G$1535</f>
        <v>844</v>
      </c>
      <c r="E1396" s="10">
        <f>Github!F$1535+Github!G$1535</f>
        <v>1242</v>
      </c>
      <c r="F1396" s="12">
        <f t="shared" si="1"/>
        <v>0.47</v>
      </c>
      <c r="G1396" s="10" t="str">
        <f>Github!H$1535</f>
        <v>Algorithms</v>
      </c>
      <c r="H1396" s="13" t="str">
        <f>SUBSTITUTE(Github!L$1535, ";", ", ")</f>
        <v>Array, Enumeration, </v>
      </c>
      <c r="I1396" s="10" t="str">
        <f>Github!E$1535</f>
        <v>Easy</v>
      </c>
      <c r="J1396" s="10" t="str">
        <f>IF(TRIM(Github!D$1535)="TRUE","FALSE","TRUE")</f>
        <v>TRUE</v>
      </c>
      <c r="K1396" s="10" t="b">
        <f>Github!M$1535</f>
        <v>0</v>
      </c>
      <c r="L1396" s="10" t="b">
        <f>Github!N$1535</f>
        <v>0</v>
      </c>
      <c r="M1396" s="10" t="str">
        <f>ROUND(Github!O$1535, 2)&amp;"%"</f>
        <v>80.52%</v>
      </c>
      <c r="N1396" s="10">
        <f>Github!P$1535</f>
        <v>71478</v>
      </c>
      <c r="O1396" s="10">
        <f>Github!Q$1535</f>
        <v>88774</v>
      </c>
    </row>
    <row r="1397">
      <c r="A1397" s="10">
        <f>Github!J$1559</f>
        <v>1558</v>
      </c>
      <c r="B1397" s="11" t="str">
        <f>HYPERLINK(CONCAT("http://leetcode.com/problems/",Github!C$1559), Github!B$1559)</f>
        <v>Minimum Numbers of Function Calls to Make Target Array</v>
      </c>
      <c r="C1397" s="10">
        <f>Github!F$1559</f>
        <v>397</v>
      </c>
      <c r="D1397" s="10">
        <f>Github!G$1559</f>
        <v>22</v>
      </c>
      <c r="E1397" s="10">
        <f>Github!F$1559+Github!G$1559</f>
        <v>419</v>
      </c>
      <c r="F1397" s="12">
        <f t="shared" si="1"/>
        <v>18.05</v>
      </c>
      <c r="G1397" s="10" t="str">
        <f>Github!H$1559</f>
        <v>Algorithms</v>
      </c>
      <c r="H1397" s="13" t="str">
        <f>SUBSTITUTE(Github!L$1559, ";", ", ")</f>
        <v>Array, Greedy, </v>
      </c>
      <c r="I1397" s="10" t="str">
        <f>Github!E$1559</f>
        <v>Medium</v>
      </c>
      <c r="J1397" s="10" t="str">
        <f>IF(TRIM(Github!D$1559)="TRUE","FALSE","TRUE")</f>
        <v>TRUE</v>
      </c>
      <c r="K1397" s="10" t="b">
        <f>Github!M$1559</f>
        <v>0</v>
      </c>
      <c r="L1397" s="10" t="b">
        <f>Github!N$1559</f>
        <v>0</v>
      </c>
      <c r="M1397" s="10" t="str">
        <f>ROUND(Github!O$1559, 2)&amp;"%"</f>
        <v>63.86%</v>
      </c>
      <c r="N1397" s="10">
        <f>Github!P$1559</f>
        <v>14748</v>
      </c>
      <c r="O1397" s="10">
        <f>Github!Q$1559</f>
        <v>23096</v>
      </c>
    </row>
    <row r="1398">
      <c r="A1398" s="10">
        <f>Github!J$1052</f>
        <v>1051</v>
      </c>
      <c r="B1398" s="11" t="str">
        <f>HYPERLINK(CONCAT("http://leetcode.com/problems/",Github!C$1052), Github!B$1052)</f>
        <v>Height Checker</v>
      </c>
      <c r="C1398" s="10">
        <f>Github!F$1052</f>
        <v>396</v>
      </c>
      <c r="D1398" s="10">
        <f>Github!G$1052</f>
        <v>46</v>
      </c>
      <c r="E1398" s="10">
        <f>Github!F$1052+Github!G$1052</f>
        <v>442</v>
      </c>
      <c r="F1398" s="12">
        <f t="shared" si="1"/>
        <v>8.61</v>
      </c>
      <c r="G1398" s="10" t="str">
        <f>Github!H$1052</f>
        <v>Algorithms</v>
      </c>
      <c r="H1398" s="13" t="str">
        <f>SUBSTITUTE(Github!L$1052, ";", ", ")</f>
        <v>Array, Sorting, Counting Sort, </v>
      </c>
      <c r="I1398" s="10" t="str">
        <f>Github!E$1052</f>
        <v>Easy</v>
      </c>
      <c r="J1398" s="10" t="str">
        <f>IF(TRIM(Github!D$1052)="TRUE","FALSE","TRUE")</f>
        <v>TRUE</v>
      </c>
      <c r="K1398" s="10" t="b">
        <f>Github!M$1052</f>
        <v>0</v>
      </c>
      <c r="L1398" s="10" t="b">
        <f>Github!N$1052</f>
        <v>0</v>
      </c>
      <c r="M1398" s="10" t="str">
        <f>ROUND(Github!O$1052, 2)&amp;"%"</f>
        <v>74.15%</v>
      </c>
      <c r="N1398" s="10">
        <f>Github!P$1052</f>
        <v>188176</v>
      </c>
      <c r="O1398" s="10">
        <f>Github!Q$1052</f>
        <v>253763</v>
      </c>
    </row>
    <row r="1399">
      <c r="A1399" s="10">
        <f>Github!J$1714</f>
        <v>1713</v>
      </c>
      <c r="B1399" s="11" t="str">
        <f>HYPERLINK(CONCAT("http://leetcode.com/problems/",Github!C$1714), Github!B$1714)</f>
        <v>Minimum Operations to Make a Subsequence</v>
      </c>
      <c r="C1399" s="10">
        <f>Github!F$1714</f>
        <v>394</v>
      </c>
      <c r="D1399" s="10">
        <f>Github!G$1714</f>
        <v>5</v>
      </c>
      <c r="E1399" s="10">
        <f>Github!F$1714+Github!G$1714</f>
        <v>399</v>
      </c>
      <c r="F1399" s="12">
        <f t="shared" si="1"/>
        <v>78.8</v>
      </c>
      <c r="G1399" s="10" t="str">
        <f>Github!H$1714</f>
        <v>Algorithms</v>
      </c>
      <c r="H1399" s="13" t="str">
        <f>SUBSTITUTE(Github!L$1714, ";", ", ")</f>
        <v>Array, Hash Table, Binary Search, Greedy, </v>
      </c>
      <c r="I1399" s="10" t="str">
        <f>Github!E$1714</f>
        <v>Hard</v>
      </c>
      <c r="J1399" s="10" t="str">
        <f>IF(TRIM(Github!D$1714)="TRUE","FALSE","TRUE")</f>
        <v>TRUE</v>
      </c>
      <c r="K1399" s="10" t="b">
        <f>Github!M$1714</f>
        <v>0</v>
      </c>
      <c r="L1399" s="10" t="b">
        <f>Github!N$1714</f>
        <v>0</v>
      </c>
      <c r="M1399" s="10" t="str">
        <f>ROUND(Github!O$1714, 2)&amp;"%"</f>
        <v>48.72%</v>
      </c>
      <c r="N1399" s="10">
        <f>Github!P$1714</f>
        <v>6824</v>
      </c>
      <c r="O1399" s="10">
        <f>Github!Q$1714</f>
        <v>14006</v>
      </c>
    </row>
    <row r="1400">
      <c r="A1400" s="10">
        <f>Github!J$1851</f>
        <v>1850</v>
      </c>
      <c r="B1400" s="11" t="str">
        <f>HYPERLINK(CONCAT("http://leetcode.com/problems/",Github!C$1851), Github!B$1851)</f>
        <v>Minimum Adjacent Swaps to Reach the Kth Smallest Number</v>
      </c>
      <c r="C1400" s="10">
        <f>Github!F$1851</f>
        <v>395</v>
      </c>
      <c r="D1400" s="10">
        <f>Github!G$1851</f>
        <v>53</v>
      </c>
      <c r="E1400" s="10">
        <f>Github!F$1851+Github!G$1851</f>
        <v>448</v>
      </c>
      <c r="F1400" s="12">
        <f t="shared" si="1"/>
        <v>7.45</v>
      </c>
      <c r="G1400" s="10" t="str">
        <f>Github!H$1851</f>
        <v>Algorithms</v>
      </c>
      <c r="H1400" s="13" t="str">
        <f>SUBSTITUTE(Github!L$1851, ";", ", ")</f>
        <v>Two Pointers, String, Greedy, </v>
      </c>
      <c r="I1400" s="10" t="str">
        <f>Github!E$1851</f>
        <v>Medium</v>
      </c>
      <c r="J1400" s="10" t="str">
        <f>IF(TRIM(Github!D$1851)="TRUE","FALSE","TRUE")</f>
        <v>TRUE</v>
      </c>
      <c r="K1400" s="10" t="b">
        <f>Github!M$1851</f>
        <v>0</v>
      </c>
      <c r="L1400" s="10" t="b">
        <f>Github!N$1851</f>
        <v>0</v>
      </c>
      <c r="M1400" s="10" t="str">
        <f>ROUND(Github!O$1851, 2)&amp;"%"</f>
        <v>72.56%</v>
      </c>
      <c r="N1400" s="10">
        <f>Github!P$1851</f>
        <v>13314</v>
      </c>
      <c r="O1400" s="10">
        <f>Github!Q$1851</f>
        <v>18352</v>
      </c>
    </row>
    <row r="1401">
      <c r="A1401" s="10">
        <f>Github!J$303</f>
        <v>302</v>
      </c>
      <c r="B1401" s="11" t="str">
        <f>HYPERLINK(CONCAT("http://leetcode.com/problems/",Github!C$303), Github!B$303)</f>
        <v>Smallest Rectangle Enclosing Black Pixels</v>
      </c>
      <c r="C1401" s="10">
        <f>Github!F$303</f>
        <v>393</v>
      </c>
      <c r="D1401" s="10">
        <f>Github!G$303</f>
        <v>80</v>
      </c>
      <c r="E1401" s="10">
        <f>Github!F$303+Github!G$303</f>
        <v>473</v>
      </c>
      <c r="F1401" s="12">
        <f t="shared" si="1"/>
        <v>4.91</v>
      </c>
      <c r="G1401" s="10" t="str">
        <f>Github!H$303</f>
        <v>Algorithms</v>
      </c>
      <c r="H1401" s="13" t="str">
        <f>SUBSTITUTE(Github!L$303, ";", ", ")</f>
        <v>Array, Binary Search, Depth-First Search, Breadth-First Search, Matrix, </v>
      </c>
      <c r="I1401" s="10" t="str">
        <f>Github!E$303</f>
        <v>Hard</v>
      </c>
      <c r="J1401" s="10" t="str">
        <f>IF(TRIM(Github!D$303)="TRUE","FALSE","TRUE")</f>
        <v>FALSE</v>
      </c>
      <c r="K1401" s="10" t="b">
        <f>Github!M$303</f>
        <v>1</v>
      </c>
      <c r="L1401" s="10" t="b">
        <f>Github!N$303</f>
        <v>0</v>
      </c>
      <c r="M1401" s="10" t="str">
        <f>ROUND(Github!O$303, 2)&amp;"%"</f>
        <v>56.15%</v>
      </c>
      <c r="N1401" s="10">
        <f>Github!P$303</f>
        <v>38950</v>
      </c>
      <c r="O1401" s="10">
        <f>Github!Q$303</f>
        <v>69370</v>
      </c>
    </row>
    <row r="1402">
      <c r="A1402" s="10">
        <f>Github!J$893</f>
        <v>892</v>
      </c>
      <c r="B1402" s="11" t="str">
        <f>HYPERLINK(CONCAT("http://leetcode.com/problems/",Github!C$893), Github!B$893)</f>
        <v>Surface Area of 3D Shapes</v>
      </c>
      <c r="C1402" s="10">
        <f>Github!F$893</f>
        <v>393</v>
      </c>
      <c r="D1402" s="10">
        <f>Github!G$893</f>
        <v>555</v>
      </c>
      <c r="E1402" s="10">
        <f>Github!F$893+Github!G$893</f>
        <v>948</v>
      </c>
      <c r="F1402" s="12">
        <f t="shared" si="1"/>
        <v>0.71</v>
      </c>
      <c r="G1402" s="10" t="str">
        <f>Github!H$893</f>
        <v>Algorithms</v>
      </c>
      <c r="H1402" s="13" t="str">
        <f>SUBSTITUTE(Github!L$893, ";", ", ")</f>
        <v>Array, Math, Geometry, Matrix, </v>
      </c>
      <c r="I1402" s="10" t="str">
        <f>Github!E$893</f>
        <v>Easy</v>
      </c>
      <c r="J1402" s="10" t="str">
        <f>IF(TRIM(Github!D$893)="TRUE","FALSE","TRUE")</f>
        <v>TRUE</v>
      </c>
      <c r="K1402" s="10" t="b">
        <f>Github!M$893</f>
        <v>0</v>
      </c>
      <c r="L1402" s="10" t="b">
        <f>Github!N$893</f>
        <v>0</v>
      </c>
      <c r="M1402" s="10" t="str">
        <f>ROUND(Github!O$893, 2)&amp;"%"</f>
        <v>61.57%</v>
      </c>
      <c r="N1402" s="10">
        <f>Github!P$893</f>
        <v>27736</v>
      </c>
      <c r="O1402" s="10">
        <f>Github!Q$893</f>
        <v>45044</v>
      </c>
    </row>
    <row r="1403">
      <c r="A1403" s="10">
        <f>Github!J$1189</f>
        <v>1188</v>
      </c>
      <c r="B1403" s="11" t="str">
        <f>HYPERLINK(CONCAT("http://leetcode.com/problems/",Github!C$1189), Github!B$1189)</f>
        <v>Design Bounded Blocking Queue</v>
      </c>
      <c r="C1403" s="10">
        <f>Github!F$1189</f>
        <v>393</v>
      </c>
      <c r="D1403" s="10">
        <f>Github!G$1189</f>
        <v>31</v>
      </c>
      <c r="E1403" s="10">
        <f>Github!F$1189+Github!G$1189</f>
        <v>424</v>
      </c>
      <c r="F1403" s="12">
        <f t="shared" si="1"/>
        <v>12.68</v>
      </c>
      <c r="G1403" s="10" t="str">
        <f>Github!H$1189</f>
        <v>Concurrency</v>
      </c>
      <c r="H1403" s="13" t="str">
        <f>SUBSTITUTE(Github!L$1189, ";", ", ")</f>
        <v>Concurrency, </v>
      </c>
      <c r="I1403" s="10" t="str">
        <f>Github!E$1189</f>
        <v>Medium</v>
      </c>
      <c r="J1403" s="10" t="str">
        <f>IF(TRIM(Github!D$1189)="TRUE","FALSE","TRUE")</f>
        <v>FALSE</v>
      </c>
      <c r="K1403" s="10" t="b">
        <f>Github!M$1189</f>
        <v>0</v>
      </c>
      <c r="L1403" s="10" t="b">
        <f>Github!N$1189</f>
        <v>0</v>
      </c>
      <c r="M1403" s="10" t="str">
        <f>ROUND(Github!O$1189, 2)&amp;"%"</f>
        <v>72.95%</v>
      </c>
      <c r="N1403" s="10">
        <f>Github!P$1189</f>
        <v>34410</v>
      </c>
      <c r="O1403" s="10">
        <f>Github!Q$1189</f>
        <v>47167</v>
      </c>
    </row>
    <row r="1404">
      <c r="A1404" s="10">
        <f>Github!J$1421</f>
        <v>1420</v>
      </c>
      <c r="B1404" s="11" t="str">
        <f>HYPERLINK(CONCAT("http://leetcode.com/problems/",Github!C$1421), Github!B$1421)</f>
        <v>Build Array Where You Can Find The Maximum Exactly K Comparisons</v>
      </c>
      <c r="C1404" s="10">
        <f>Github!F$1421</f>
        <v>393</v>
      </c>
      <c r="D1404" s="10">
        <f>Github!G$1421</f>
        <v>10</v>
      </c>
      <c r="E1404" s="10">
        <f>Github!F$1421+Github!G$1421</f>
        <v>403</v>
      </c>
      <c r="F1404" s="12">
        <f t="shared" si="1"/>
        <v>39.3</v>
      </c>
      <c r="G1404" s="10" t="str">
        <f>Github!H$1421</f>
        <v>Algorithms</v>
      </c>
      <c r="H1404" s="13" t="str">
        <f>SUBSTITUTE(Github!L$1421, ";", ", ")</f>
        <v>Dynamic Programming, </v>
      </c>
      <c r="I1404" s="10" t="str">
        <f>Github!E$1421</f>
        <v>Hard</v>
      </c>
      <c r="J1404" s="10" t="str">
        <f>IF(TRIM(Github!D$1421)="TRUE","FALSE","TRUE")</f>
        <v>TRUE</v>
      </c>
      <c r="K1404" s="10" t="b">
        <f>Github!M$1421</f>
        <v>0</v>
      </c>
      <c r="L1404" s="10" t="b">
        <f>Github!N$1421</f>
        <v>0</v>
      </c>
      <c r="M1404" s="10" t="str">
        <f>ROUND(Github!O$1421, 2)&amp;"%"</f>
        <v>64.64%</v>
      </c>
      <c r="N1404" s="10">
        <f>Github!P$1421</f>
        <v>9289</v>
      </c>
      <c r="O1404" s="10">
        <f>Github!Q$1421</f>
        <v>14370</v>
      </c>
    </row>
    <row r="1405">
      <c r="A1405" s="10">
        <f>Github!J$1523</f>
        <v>1522</v>
      </c>
      <c r="B1405" s="11" t="str">
        <f>HYPERLINK(CONCAT("http://leetcode.com/problems/",Github!C$1523), Github!B$1523)</f>
        <v>Diameter of N-Ary Tree</v>
      </c>
      <c r="C1405" s="10">
        <f>Github!F$1523</f>
        <v>393</v>
      </c>
      <c r="D1405" s="10">
        <f>Github!G$1523</f>
        <v>6</v>
      </c>
      <c r="E1405" s="10">
        <f>Github!F$1523+Github!G$1523</f>
        <v>399</v>
      </c>
      <c r="F1405" s="12">
        <f t="shared" si="1"/>
        <v>65.5</v>
      </c>
      <c r="G1405" s="10" t="str">
        <f>Github!H$1523</f>
        <v>Algorithms</v>
      </c>
      <c r="H1405" s="13" t="str">
        <f>SUBSTITUTE(Github!L$1523, ";", ", ")</f>
        <v>Tree, Depth-First Search, </v>
      </c>
      <c r="I1405" s="10" t="str">
        <f>Github!E$1523</f>
        <v>Medium</v>
      </c>
      <c r="J1405" s="10" t="str">
        <f>IF(TRIM(Github!D$1523)="TRUE","FALSE","TRUE")</f>
        <v>FALSE</v>
      </c>
      <c r="K1405" s="10" t="b">
        <f>Github!M$1523</f>
        <v>1</v>
      </c>
      <c r="L1405" s="10" t="b">
        <f>Github!N$1523</f>
        <v>0</v>
      </c>
      <c r="M1405" s="10" t="str">
        <f>ROUND(Github!O$1523, 2)&amp;"%"</f>
        <v>72.98%</v>
      </c>
      <c r="N1405" s="10">
        <f>Github!P$1523</f>
        <v>28063</v>
      </c>
      <c r="O1405" s="10">
        <f>Github!Q$1523</f>
        <v>38455</v>
      </c>
    </row>
    <row r="1406">
      <c r="A1406" s="10">
        <f>Github!J$1472</f>
        <v>1471</v>
      </c>
      <c r="B1406" s="11" t="str">
        <f>HYPERLINK(CONCAT("http://leetcode.com/problems/",Github!C$1472), Github!B$1472)</f>
        <v>The k Strongest Values in an Array</v>
      </c>
      <c r="C1406" s="10">
        <f>Github!F$1472</f>
        <v>392</v>
      </c>
      <c r="D1406" s="10">
        <f>Github!G$1472</f>
        <v>92</v>
      </c>
      <c r="E1406" s="10">
        <f>Github!F$1472+Github!G$1472</f>
        <v>484</v>
      </c>
      <c r="F1406" s="12">
        <f t="shared" si="1"/>
        <v>4.26</v>
      </c>
      <c r="G1406" s="10" t="str">
        <f>Github!H$1472</f>
        <v>Algorithms</v>
      </c>
      <c r="H1406" s="13" t="str">
        <f>SUBSTITUTE(Github!L$1472, ";", ", ")</f>
        <v>Array, Two Pointers, Sorting, </v>
      </c>
      <c r="I1406" s="10" t="str">
        <f>Github!E$1472</f>
        <v>Medium</v>
      </c>
      <c r="J1406" s="10" t="str">
        <f>IF(TRIM(Github!D$1472)="TRUE","FALSE","TRUE")</f>
        <v>TRUE</v>
      </c>
      <c r="K1406" s="10" t="b">
        <f>Github!M$1472</f>
        <v>0</v>
      </c>
      <c r="L1406" s="10" t="b">
        <f>Github!N$1472</f>
        <v>0</v>
      </c>
      <c r="M1406" s="10" t="str">
        <f>ROUND(Github!O$1472, 2)&amp;"%"</f>
        <v>59.69%</v>
      </c>
      <c r="N1406" s="10">
        <f>Github!P$1472</f>
        <v>26702</v>
      </c>
      <c r="O1406" s="10">
        <f>Github!Q$1472</f>
        <v>44732</v>
      </c>
    </row>
    <row r="1407">
      <c r="A1407" s="10">
        <f>Github!J$1081</f>
        <v>1080</v>
      </c>
      <c r="B1407" s="11" t="str">
        <f>HYPERLINK(CONCAT("http://leetcode.com/problems/",Github!C$1081), Github!B$1081)</f>
        <v>Insufficient Nodes in Root to Leaf Paths</v>
      </c>
      <c r="C1407" s="10">
        <f>Github!F$1081</f>
        <v>391</v>
      </c>
      <c r="D1407" s="10">
        <f>Github!G$1081</f>
        <v>532</v>
      </c>
      <c r="E1407" s="10">
        <f>Github!F$1081+Github!G$1081</f>
        <v>923</v>
      </c>
      <c r="F1407" s="12">
        <f t="shared" si="1"/>
        <v>0.73</v>
      </c>
      <c r="G1407" s="10" t="str">
        <f>Github!H$1081</f>
        <v>Algorithms</v>
      </c>
      <c r="H1407" s="13" t="str">
        <f>SUBSTITUTE(Github!L$1081, ";", ", ")</f>
        <v>Tree, Depth-First Search, Binary Tree, </v>
      </c>
      <c r="I1407" s="10" t="str">
        <f>Github!E$1081</f>
        <v>Medium</v>
      </c>
      <c r="J1407" s="10" t="str">
        <f>IF(TRIM(Github!D$1081)="TRUE","FALSE","TRUE")</f>
        <v>TRUE</v>
      </c>
      <c r="K1407" s="10" t="b">
        <f>Github!M$1081</f>
        <v>0</v>
      </c>
      <c r="L1407" s="10" t="b">
        <f>Github!N$1081</f>
        <v>0</v>
      </c>
      <c r="M1407" s="10" t="str">
        <f>ROUND(Github!O$1081, 2)&amp;"%"</f>
        <v>51.74%</v>
      </c>
      <c r="N1407" s="10">
        <f>Github!P$1081</f>
        <v>24476</v>
      </c>
      <c r="O1407" s="10">
        <f>Github!Q$1081</f>
        <v>47307</v>
      </c>
    </row>
    <row r="1408">
      <c r="A1408" s="10">
        <f>Github!J$1927</f>
        <v>1926</v>
      </c>
      <c r="B1408" s="11" t="str">
        <f>HYPERLINK(CONCAT("http://leetcode.com/problems/",Github!C$1927), Github!B$1927)</f>
        <v>Nearest Exit from Entrance in Maze</v>
      </c>
      <c r="C1408" s="10">
        <f>Github!F$1927</f>
        <v>390</v>
      </c>
      <c r="D1408" s="10">
        <f>Github!G$1927</f>
        <v>18</v>
      </c>
      <c r="E1408" s="10">
        <f>Github!F$1927+Github!G$1927</f>
        <v>408</v>
      </c>
      <c r="F1408" s="12">
        <f t="shared" si="1"/>
        <v>21.67</v>
      </c>
      <c r="G1408" s="10" t="str">
        <f>Github!H$1927</f>
        <v>Algorithms</v>
      </c>
      <c r="H1408" s="13" t="str">
        <f>SUBSTITUTE(Github!L$1927, ";", ", ")</f>
        <v>Array, Breadth-First Search, Matrix, </v>
      </c>
      <c r="I1408" s="10" t="str">
        <f>Github!E$1927</f>
        <v>Medium</v>
      </c>
      <c r="J1408" s="10" t="str">
        <f>IF(TRIM(Github!D$1927)="TRUE","FALSE","TRUE")</f>
        <v>TRUE</v>
      </c>
      <c r="K1408" s="10" t="b">
        <f>Github!M$1927</f>
        <v>0</v>
      </c>
      <c r="L1408" s="10" t="b">
        <f>Github!N$1927</f>
        <v>0</v>
      </c>
      <c r="M1408" s="10" t="str">
        <f>ROUND(Github!O$1927, 2)&amp;"%"</f>
        <v>38.46%</v>
      </c>
      <c r="N1408" s="10">
        <f>Github!P$1927</f>
        <v>14406</v>
      </c>
      <c r="O1408" s="10">
        <f>Github!Q$1927</f>
        <v>37452</v>
      </c>
    </row>
    <row r="1409">
      <c r="A1409" s="10">
        <f>Github!J$1727</f>
        <v>1726</v>
      </c>
      <c r="B1409" s="11" t="str">
        <f>HYPERLINK(CONCAT("http://leetcode.com/problems/",Github!C$1727), Github!B$1727)</f>
        <v>Tuple with Same Product</v>
      </c>
      <c r="C1409" s="10">
        <f>Github!F$1727</f>
        <v>389</v>
      </c>
      <c r="D1409" s="10">
        <f>Github!G$1727</f>
        <v>17</v>
      </c>
      <c r="E1409" s="10">
        <f>Github!F$1727+Github!G$1727</f>
        <v>406</v>
      </c>
      <c r="F1409" s="12">
        <f t="shared" si="1"/>
        <v>22.88</v>
      </c>
      <c r="G1409" s="10" t="str">
        <f>Github!H$1727</f>
        <v>Algorithms</v>
      </c>
      <c r="H1409" s="13" t="str">
        <f>SUBSTITUTE(Github!L$1727, ";", ", ")</f>
        <v>Array, Hash Table, </v>
      </c>
      <c r="I1409" s="10" t="str">
        <f>Github!E$1727</f>
        <v>Medium</v>
      </c>
      <c r="J1409" s="10" t="str">
        <f>IF(TRIM(Github!D$1727)="TRUE","FALSE","TRUE")</f>
        <v>TRUE</v>
      </c>
      <c r="K1409" s="10" t="b">
        <f>Github!M$1727</f>
        <v>0</v>
      </c>
      <c r="L1409" s="10" t="b">
        <f>Github!N$1727</f>
        <v>0</v>
      </c>
      <c r="M1409" s="10" t="str">
        <f>ROUND(Github!O$1727, 2)&amp;"%"</f>
        <v>60.31%</v>
      </c>
      <c r="N1409" s="10">
        <f>Github!P$1727</f>
        <v>17881</v>
      </c>
      <c r="O1409" s="10">
        <f>Github!Q$1727</f>
        <v>29647</v>
      </c>
    </row>
    <row r="1410">
      <c r="A1410" s="10">
        <f>Github!J$1815</f>
        <v>1814</v>
      </c>
      <c r="B1410" s="11" t="str">
        <f>HYPERLINK(CONCAT("http://leetcode.com/problems/",Github!C$1815), Github!B$1815)</f>
        <v>Count Nice Pairs in an Array</v>
      </c>
      <c r="C1410" s="10">
        <f>Github!F$1815</f>
        <v>389</v>
      </c>
      <c r="D1410" s="10">
        <f>Github!G$1815</f>
        <v>19</v>
      </c>
      <c r="E1410" s="10">
        <f>Github!F$1815+Github!G$1815</f>
        <v>408</v>
      </c>
      <c r="F1410" s="12">
        <f t="shared" si="1"/>
        <v>20.47</v>
      </c>
      <c r="G1410" s="10" t="str">
        <f>Github!H$1815</f>
        <v>Algorithms</v>
      </c>
      <c r="H1410" s="13" t="str">
        <f>SUBSTITUTE(Github!L$1815, ";", ", ")</f>
        <v>Array, Hash Table, Math, Counting, </v>
      </c>
      <c r="I1410" s="10" t="str">
        <f>Github!E$1815</f>
        <v>Medium</v>
      </c>
      <c r="J1410" s="10" t="str">
        <f>IF(TRIM(Github!D$1815)="TRUE","FALSE","TRUE")</f>
        <v>TRUE</v>
      </c>
      <c r="K1410" s="10" t="b">
        <f>Github!M$1815</f>
        <v>0</v>
      </c>
      <c r="L1410" s="10" t="b">
        <f>Github!N$1815</f>
        <v>0</v>
      </c>
      <c r="M1410" s="10" t="str">
        <f>ROUND(Github!O$1815, 2)&amp;"%"</f>
        <v>40.09%</v>
      </c>
      <c r="N1410" s="10">
        <f>Github!P$1815</f>
        <v>13671</v>
      </c>
      <c r="O1410" s="10">
        <f>Github!Q$1815</f>
        <v>34101</v>
      </c>
    </row>
    <row r="1411">
      <c r="A1411" s="10">
        <f>Github!J$1775</f>
        <v>1774</v>
      </c>
      <c r="B1411" s="11" t="str">
        <f>HYPERLINK(CONCAT("http://leetcode.com/problems/",Github!C$1775), Github!B$1775)</f>
        <v>Closest Dessert Cost</v>
      </c>
      <c r="C1411" s="10">
        <f>Github!F$1775</f>
        <v>389</v>
      </c>
      <c r="D1411" s="10">
        <f>Github!G$1775</f>
        <v>40</v>
      </c>
      <c r="E1411" s="10">
        <f>Github!F$1775+Github!G$1775</f>
        <v>429</v>
      </c>
      <c r="F1411" s="12">
        <f t="shared" si="1"/>
        <v>9.73</v>
      </c>
      <c r="G1411" s="10" t="str">
        <f>Github!H$1775</f>
        <v>Algorithms</v>
      </c>
      <c r="H1411" s="13" t="str">
        <f>SUBSTITUTE(Github!L$1775, ";", ", ")</f>
        <v>Array, Dynamic Programming, Backtracking, </v>
      </c>
      <c r="I1411" s="10" t="str">
        <f>Github!E$1775</f>
        <v>Medium</v>
      </c>
      <c r="J1411" s="10" t="str">
        <f>IF(TRIM(Github!D$1775)="TRUE","FALSE","TRUE")</f>
        <v>TRUE</v>
      </c>
      <c r="K1411" s="10" t="b">
        <f>Github!M$1775</f>
        <v>0</v>
      </c>
      <c r="L1411" s="10" t="b">
        <f>Github!N$1775</f>
        <v>0</v>
      </c>
      <c r="M1411" s="10" t="str">
        <f>ROUND(Github!O$1775, 2)&amp;"%"</f>
        <v>45.99%</v>
      </c>
      <c r="N1411" s="10">
        <f>Github!P$1775</f>
        <v>14443</v>
      </c>
      <c r="O1411" s="10">
        <f>Github!Q$1775</f>
        <v>31406</v>
      </c>
    </row>
    <row r="1412">
      <c r="A1412" s="10">
        <f>Github!J$795</f>
        <v>794</v>
      </c>
      <c r="B1412" s="11" t="str">
        <f>HYPERLINK(CONCAT("http://leetcode.com/problems/",Github!C$795), Github!B$795)</f>
        <v>Valid Tic-Tac-Toe State</v>
      </c>
      <c r="C1412" s="10">
        <f>Github!F$795</f>
        <v>388</v>
      </c>
      <c r="D1412" s="10">
        <f>Github!G$795</f>
        <v>934</v>
      </c>
      <c r="E1412" s="10">
        <f>Github!F$795+Github!G$795</f>
        <v>1322</v>
      </c>
      <c r="F1412" s="12">
        <f t="shared" si="1"/>
        <v>0.42</v>
      </c>
      <c r="G1412" s="10" t="str">
        <f>Github!H$795</f>
        <v>Algorithms</v>
      </c>
      <c r="H1412" s="13" t="str">
        <f>SUBSTITUTE(Github!L$795, ";", ", ")</f>
        <v>Array, String, </v>
      </c>
      <c r="I1412" s="10" t="str">
        <f>Github!E$795</f>
        <v>Medium</v>
      </c>
      <c r="J1412" s="10" t="str">
        <f>IF(TRIM(Github!D$795)="TRUE","FALSE","TRUE")</f>
        <v>TRUE</v>
      </c>
      <c r="K1412" s="10" t="b">
        <f>Github!M$795</f>
        <v>0</v>
      </c>
      <c r="L1412" s="10" t="b">
        <f>Github!N$795</f>
        <v>0</v>
      </c>
      <c r="M1412" s="10" t="str">
        <f>ROUND(Github!O$795, 2)&amp;"%"</f>
        <v>35.13%</v>
      </c>
      <c r="N1412" s="10">
        <f>Github!P$795</f>
        <v>44106</v>
      </c>
      <c r="O1412" s="10">
        <f>Github!Q$795</f>
        <v>125548</v>
      </c>
    </row>
    <row r="1413">
      <c r="A1413" s="10">
        <f>Github!J$1378</f>
        <v>1377</v>
      </c>
      <c r="B1413" s="11" t="str">
        <f>HYPERLINK(CONCAT("http://leetcode.com/problems/",Github!C$1378), Github!B$1378)</f>
        <v>Frog Position After T Seconds</v>
      </c>
      <c r="C1413" s="10">
        <f>Github!F$1378</f>
        <v>388</v>
      </c>
      <c r="D1413" s="10">
        <f>Github!G$1378</f>
        <v>90</v>
      </c>
      <c r="E1413" s="10">
        <f>Github!F$1378+Github!G$1378</f>
        <v>478</v>
      </c>
      <c r="F1413" s="12">
        <f t="shared" si="1"/>
        <v>4.31</v>
      </c>
      <c r="G1413" s="10" t="str">
        <f>Github!H$1378</f>
        <v>Algorithms</v>
      </c>
      <c r="H1413" s="13" t="str">
        <f>SUBSTITUTE(Github!L$1378, ";", ", ")</f>
        <v>Tree, Depth-First Search, Breadth-First Search, Graph, </v>
      </c>
      <c r="I1413" s="10" t="str">
        <f>Github!E$1378</f>
        <v>Hard</v>
      </c>
      <c r="J1413" s="10" t="str">
        <f>IF(TRIM(Github!D$1378)="TRUE","FALSE","TRUE")</f>
        <v>TRUE</v>
      </c>
      <c r="K1413" s="10" t="b">
        <f>Github!M$1378</f>
        <v>0</v>
      </c>
      <c r="L1413" s="10" t="b">
        <f>Github!N$1378</f>
        <v>0</v>
      </c>
      <c r="M1413" s="10" t="str">
        <f>ROUND(Github!O$1378, 2)&amp;"%"</f>
        <v>36.26%</v>
      </c>
      <c r="N1413" s="10">
        <f>Github!P$1378</f>
        <v>18699</v>
      </c>
      <c r="O1413" s="10">
        <f>Github!Q$1378</f>
        <v>51573</v>
      </c>
    </row>
    <row r="1414">
      <c r="A1414" s="10">
        <f>Github!J$1645</f>
        <v>1644</v>
      </c>
      <c r="B1414" s="11" t="str">
        <f>HYPERLINK(CONCAT("http://leetcode.com/problems/",Github!C$1645), Github!B$1645)</f>
        <v>Lowest Common Ancestor of a Binary Tree II</v>
      </c>
      <c r="C1414" s="10">
        <f>Github!F$1645</f>
        <v>386</v>
      </c>
      <c r="D1414" s="10">
        <f>Github!G$1645</f>
        <v>19</v>
      </c>
      <c r="E1414" s="10">
        <f>Github!F$1645+Github!G$1645</f>
        <v>405</v>
      </c>
      <c r="F1414" s="12">
        <f t="shared" si="1"/>
        <v>20.32</v>
      </c>
      <c r="G1414" s="10" t="str">
        <f>Github!H$1645</f>
        <v>Algorithms</v>
      </c>
      <c r="H1414" s="13" t="str">
        <f>SUBSTITUTE(Github!L$1645, ";", ", ")</f>
        <v>Tree, Depth-First Search, Binary Tree, </v>
      </c>
      <c r="I1414" s="10" t="str">
        <f>Github!E$1645</f>
        <v>Medium</v>
      </c>
      <c r="J1414" s="10" t="str">
        <f>IF(TRIM(Github!D$1645)="TRUE","FALSE","TRUE")</f>
        <v>FALSE</v>
      </c>
      <c r="K1414" s="10" t="b">
        <f>Github!M$1645</f>
        <v>0</v>
      </c>
      <c r="L1414" s="10" t="b">
        <f>Github!N$1645</f>
        <v>0</v>
      </c>
      <c r="M1414" s="10" t="str">
        <f>ROUND(Github!O$1645, 2)&amp;"%"</f>
        <v>58.64%</v>
      </c>
      <c r="N1414" s="10">
        <f>Github!P$1645</f>
        <v>37732</v>
      </c>
      <c r="O1414" s="10">
        <f>Github!Q$1645</f>
        <v>64345</v>
      </c>
    </row>
    <row r="1415">
      <c r="A1415" s="10">
        <f>Github!J$1880</f>
        <v>1879</v>
      </c>
      <c r="B1415" s="11" t="str">
        <f>HYPERLINK(CONCAT("http://leetcode.com/problems/",Github!C$1880), Github!B$1880)</f>
        <v>Minimum XOR Sum of Two Arrays</v>
      </c>
      <c r="C1415" s="10">
        <f>Github!F$1880</f>
        <v>386</v>
      </c>
      <c r="D1415" s="10">
        <f>Github!G$1880</f>
        <v>7</v>
      </c>
      <c r="E1415" s="10">
        <f>Github!F$1880+Github!G$1880</f>
        <v>393</v>
      </c>
      <c r="F1415" s="12">
        <f t="shared" si="1"/>
        <v>55.14</v>
      </c>
      <c r="G1415" s="10" t="str">
        <f>Github!H$1880</f>
        <v>Algorithms</v>
      </c>
      <c r="H1415" s="13" t="str">
        <f>SUBSTITUTE(Github!L$1880, ";", ", ")</f>
        <v>Array, Dynamic Programming, Bit Manipulation, Bitmask, </v>
      </c>
      <c r="I1415" s="10" t="str">
        <f>Github!E$1880</f>
        <v>Hard</v>
      </c>
      <c r="J1415" s="10" t="str">
        <f>IF(TRIM(Github!D$1880)="TRUE","FALSE","TRUE")</f>
        <v>TRUE</v>
      </c>
      <c r="K1415" s="10" t="b">
        <f>Github!M$1880</f>
        <v>0</v>
      </c>
      <c r="L1415" s="10" t="b">
        <f>Github!N$1880</f>
        <v>0</v>
      </c>
      <c r="M1415" s="10" t="str">
        <f>ROUND(Github!O$1880, 2)&amp;"%"</f>
        <v>41.84%</v>
      </c>
      <c r="N1415" s="10">
        <f>Github!P$1880</f>
        <v>7424</v>
      </c>
      <c r="O1415" s="10">
        <f>Github!Q$1880</f>
        <v>17745</v>
      </c>
    </row>
    <row r="1416">
      <c r="A1416" s="10">
        <f>Github!J$1986</f>
        <v>1985</v>
      </c>
      <c r="B1416" s="11" t="str">
        <f>HYPERLINK(CONCAT("http://leetcode.com/problems/",Github!C$1986), Github!B$1986)</f>
        <v>Find the Kth Largest Integer in the Array</v>
      </c>
      <c r="C1416" s="10">
        <f>Github!F$1986</f>
        <v>386</v>
      </c>
      <c r="D1416" s="10">
        <f>Github!G$1986</f>
        <v>62</v>
      </c>
      <c r="E1416" s="10">
        <f>Github!F$1986+Github!G$1986</f>
        <v>448</v>
      </c>
      <c r="F1416" s="12">
        <f t="shared" si="1"/>
        <v>6.23</v>
      </c>
      <c r="G1416" s="10" t="str">
        <f>Github!H$1986</f>
        <v>Algorithms</v>
      </c>
      <c r="H1416" s="13" t="str">
        <f>SUBSTITUTE(Github!L$1986, ";", ", ")</f>
        <v>Array, String, Divide and Conquer, Sorting, Heap (Priority Queue), Quickselect, </v>
      </c>
      <c r="I1416" s="10" t="str">
        <f>Github!E$1986</f>
        <v>Medium</v>
      </c>
      <c r="J1416" s="10" t="str">
        <f>IF(TRIM(Github!D$1986)="TRUE","FALSE","TRUE")</f>
        <v>TRUE</v>
      </c>
      <c r="K1416" s="10" t="b">
        <f>Github!M$1986</f>
        <v>0</v>
      </c>
      <c r="L1416" s="10" t="b">
        <f>Github!N$1986</f>
        <v>0</v>
      </c>
      <c r="M1416" s="10" t="str">
        <f>ROUND(Github!O$1986, 2)&amp;"%"</f>
        <v>44.75%</v>
      </c>
      <c r="N1416" s="10">
        <f>Github!P$1986</f>
        <v>25194</v>
      </c>
      <c r="O1416" s="10">
        <f>Github!Q$1986</f>
        <v>56303</v>
      </c>
    </row>
    <row r="1417">
      <c r="A1417" s="10">
        <f>Github!J$2093</f>
        <v>2092</v>
      </c>
      <c r="B1417" s="11" t="str">
        <f>HYPERLINK(CONCAT("http://leetcode.com/problems/",Github!C$2093), Github!B$2093)</f>
        <v>Find All People With Secret</v>
      </c>
      <c r="C1417" s="10">
        <f>Github!F$2093</f>
        <v>387</v>
      </c>
      <c r="D1417" s="10">
        <f>Github!G$2093</f>
        <v>19</v>
      </c>
      <c r="E1417" s="10">
        <f>Github!F$2093+Github!G$2093</f>
        <v>406</v>
      </c>
      <c r="F1417" s="12">
        <f t="shared" si="1"/>
        <v>20.37</v>
      </c>
      <c r="G1417" s="10" t="str">
        <f>Github!H$2093</f>
        <v>Algorithms</v>
      </c>
      <c r="H1417" s="13" t="str">
        <f>SUBSTITUTE(Github!L$2093, ";", ", ")</f>
        <v>Depth-First Search, Breadth-First Search, Union Find, Graph, Sorting, </v>
      </c>
      <c r="I1417" s="10" t="str">
        <f>Github!E$2093</f>
        <v>Hard</v>
      </c>
      <c r="J1417" s="10" t="str">
        <f>IF(TRIM(Github!D$2093)="TRUE","FALSE","TRUE")</f>
        <v>TRUE</v>
      </c>
      <c r="K1417" s="10" t="b">
        <f>Github!M$2093</f>
        <v>0</v>
      </c>
      <c r="L1417" s="10" t="b">
        <f>Github!N$2093</f>
        <v>0</v>
      </c>
      <c r="M1417" s="10" t="str">
        <f>ROUND(Github!O$2093, 2)&amp;"%"</f>
        <v>32.53%</v>
      </c>
      <c r="N1417" s="10">
        <f>Github!P$2093</f>
        <v>11027</v>
      </c>
      <c r="O1417" s="10">
        <f>Github!Q$2093</f>
        <v>33899</v>
      </c>
    </row>
    <row r="1418">
      <c r="A1418" s="10">
        <f>Github!J$493</f>
        <v>492</v>
      </c>
      <c r="B1418" s="11" t="str">
        <f>HYPERLINK(CONCAT("http://leetcode.com/problems/",Github!C$493), Github!B$493)</f>
        <v>Construct the Rectangle</v>
      </c>
      <c r="C1418" s="10">
        <f>Github!F$493</f>
        <v>385</v>
      </c>
      <c r="D1418" s="10">
        <f>Github!G$493</f>
        <v>319</v>
      </c>
      <c r="E1418" s="10">
        <f>Github!F$493+Github!G$493</f>
        <v>704</v>
      </c>
      <c r="F1418" s="12">
        <f t="shared" si="1"/>
        <v>1.21</v>
      </c>
      <c r="G1418" s="10" t="str">
        <f>Github!H$493</f>
        <v>Algorithms</v>
      </c>
      <c r="H1418" s="13" t="str">
        <f>SUBSTITUTE(Github!L$493, ";", ", ")</f>
        <v>Math, </v>
      </c>
      <c r="I1418" s="10" t="str">
        <f>Github!E$493</f>
        <v>Easy</v>
      </c>
      <c r="J1418" s="10" t="str">
        <f>IF(TRIM(Github!D$493)="TRUE","FALSE","TRUE")</f>
        <v>TRUE</v>
      </c>
      <c r="K1418" s="10" t="b">
        <f>Github!M$493</f>
        <v>0</v>
      </c>
      <c r="L1418" s="10" t="b">
        <f>Github!N$493</f>
        <v>0</v>
      </c>
      <c r="M1418" s="10" t="str">
        <f>ROUND(Github!O$493, 2)&amp;"%"</f>
        <v>52.41%</v>
      </c>
      <c r="N1418" s="10">
        <f>Github!P$493</f>
        <v>76280</v>
      </c>
      <c r="O1418" s="10">
        <f>Github!Q$493</f>
        <v>145534</v>
      </c>
    </row>
    <row r="1419">
      <c r="A1419" s="10">
        <f>Github!J$1570</f>
        <v>1569</v>
      </c>
      <c r="B1419" s="11" t="str">
        <f>HYPERLINK(CONCAT("http://leetcode.com/problems/",Github!C$1570), Github!B$1570)</f>
        <v>Number of Ways to Reorder Array to Get Same BST</v>
      </c>
      <c r="C1419" s="10">
        <f>Github!F$1570</f>
        <v>385</v>
      </c>
      <c r="D1419" s="10">
        <f>Github!G$1570</f>
        <v>42</v>
      </c>
      <c r="E1419" s="10">
        <f>Github!F$1570+Github!G$1570</f>
        <v>427</v>
      </c>
      <c r="F1419" s="12">
        <f t="shared" si="1"/>
        <v>9.17</v>
      </c>
      <c r="G1419" s="10" t="str">
        <f>Github!H$1570</f>
        <v>Algorithms</v>
      </c>
      <c r="H1419" s="13" t="str">
        <f>SUBSTITUTE(Github!L$1570, ";", ", ")</f>
        <v>Array, Math, Divide and Conquer, Dynamic Programming, Tree, Union Find, Binary Search Tree, Memoization, Combinatorics, Binary Tree, </v>
      </c>
      <c r="I1419" s="10" t="str">
        <f>Github!E$1570</f>
        <v>Hard</v>
      </c>
      <c r="J1419" s="10" t="str">
        <f>IF(TRIM(Github!D$1570)="TRUE","FALSE","TRUE")</f>
        <v>TRUE</v>
      </c>
      <c r="K1419" s="10" t="b">
        <f>Github!M$1570</f>
        <v>0</v>
      </c>
      <c r="L1419" s="10" t="b">
        <f>Github!N$1570</f>
        <v>0</v>
      </c>
      <c r="M1419" s="10" t="str">
        <f>ROUND(Github!O$1570, 2)&amp;"%"</f>
        <v>49.12%</v>
      </c>
      <c r="N1419" s="10">
        <f>Github!P$1570</f>
        <v>9103</v>
      </c>
      <c r="O1419" s="10">
        <f>Github!Q$1570</f>
        <v>18537</v>
      </c>
    </row>
    <row r="1420">
      <c r="A1420" s="10">
        <f>Github!J$1813</f>
        <v>1812</v>
      </c>
      <c r="B1420" s="11" t="str">
        <f>HYPERLINK(CONCAT("http://leetcode.com/problems/",Github!C$1813), Github!B$1813)</f>
        <v>Determine Color of a Chessboard Square</v>
      </c>
      <c r="C1420" s="10">
        <f>Github!F$1813</f>
        <v>386</v>
      </c>
      <c r="D1420" s="10">
        <f>Github!G$1813</f>
        <v>13</v>
      </c>
      <c r="E1420" s="10">
        <f>Github!F$1813+Github!G$1813</f>
        <v>399</v>
      </c>
      <c r="F1420" s="12">
        <f t="shared" si="1"/>
        <v>29.69</v>
      </c>
      <c r="G1420" s="10" t="str">
        <f>Github!H$1813</f>
        <v>Algorithms</v>
      </c>
      <c r="H1420" s="13" t="str">
        <f>SUBSTITUTE(Github!L$1813, ";", ", ")</f>
        <v>Math, String, </v>
      </c>
      <c r="I1420" s="10" t="str">
        <f>Github!E$1813</f>
        <v>Easy</v>
      </c>
      <c r="J1420" s="10" t="str">
        <f>IF(TRIM(Github!D$1813)="TRUE","FALSE","TRUE")</f>
        <v>TRUE</v>
      </c>
      <c r="K1420" s="10" t="b">
        <f>Github!M$1813</f>
        <v>0</v>
      </c>
      <c r="L1420" s="10" t="b">
        <f>Github!N$1813</f>
        <v>0</v>
      </c>
      <c r="M1420" s="10" t="str">
        <f>ROUND(Github!O$1813, 2)&amp;"%"</f>
        <v>77.63%</v>
      </c>
      <c r="N1420" s="10">
        <f>Github!P$1813</f>
        <v>33909</v>
      </c>
      <c r="O1420" s="10">
        <f>Github!Q$1813</f>
        <v>43683</v>
      </c>
    </row>
    <row r="1421">
      <c r="A1421" s="10">
        <f>Github!J$1002</f>
        <v>1001</v>
      </c>
      <c r="B1421" s="11" t="str">
        <f>HYPERLINK(CONCAT("http://leetcode.com/problems/",Github!C$1002), Github!B$1002)</f>
        <v>Grid Illumination</v>
      </c>
      <c r="C1421" s="10">
        <f>Github!F$1002</f>
        <v>384</v>
      </c>
      <c r="D1421" s="10">
        <f>Github!G$1002</f>
        <v>102</v>
      </c>
      <c r="E1421" s="10">
        <f>Github!F$1002+Github!G$1002</f>
        <v>486</v>
      </c>
      <c r="F1421" s="12">
        <f t="shared" si="1"/>
        <v>3.76</v>
      </c>
      <c r="G1421" s="10" t="str">
        <f>Github!H$1002</f>
        <v>Algorithms</v>
      </c>
      <c r="H1421" s="13" t="str">
        <f>SUBSTITUTE(Github!L$1002, ";", ", ")</f>
        <v>Array, Hash Table, </v>
      </c>
      <c r="I1421" s="10" t="str">
        <f>Github!E$1002</f>
        <v>Hard</v>
      </c>
      <c r="J1421" s="10" t="str">
        <f>IF(TRIM(Github!D$1002)="TRUE","FALSE","TRUE")</f>
        <v>TRUE</v>
      </c>
      <c r="K1421" s="10" t="b">
        <f>Github!M$1002</f>
        <v>0</v>
      </c>
      <c r="L1421" s="10" t="b">
        <f>Github!N$1002</f>
        <v>0</v>
      </c>
      <c r="M1421" s="10" t="str">
        <f>ROUND(Github!O$1002, 2)&amp;"%"</f>
        <v>36.14%</v>
      </c>
      <c r="N1421" s="10">
        <f>Github!P$1002</f>
        <v>14730</v>
      </c>
      <c r="O1421" s="10">
        <f>Github!Q$1002</f>
        <v>40759</v>
      </c>
    </row>
    <row r="1422">
      <c r="A1422" s="10">
        <f>Github!J$1759</f>
        <v>1758</v>
      </c>
      <c r="B1422" s="11" t="str">
        <f>HYPERLINK(CONCAT("http://leetcode.com/problems/",Github!C$1759), Github!B$1759)</f>
        <v>Minimum Changes To Make Alternating Binary String</v>
      </c>
      <c r="C1422" s="10">
        <f>Github!F$1759</f>
        <v>383</v>
      </c>
      <c r="D1422" s="10">
        <f>Github!G$1759</f>
        <v>11</v>
      </c>
      <c r="E1422" s="10">
        <f>Github!F$1759+Github!G$1759</f>
        <v>394</v>
      </c>
      <c r="F1422" s="12">
        <f t="shared" si="1"/>
        <v>34.82</v>
      </c>
      <c r="G1422" s="10" t="str">
        <f>Github!H$1759</f>
        <v>Algorithms</v>
      </c>
      <c r="H1422" s="13" t="str">
        <f>SUBSTITUTE(Github!L$1759, ";", ", ")</f>
        <v>String, </v>
      </c>
      <c r="I1422" s="10" t="str">
        <f>Github!E$1759</f>
        <v>Easy</v>
      </c>
      <c r="J1422" s="10" t="str">
        <f>IF(TRIM(Github!D$1759)="TRUE","FALSE","TRUE")</f>
        <v>TRUE</v>
      </c>
      <c r="K1422" s="10" t="b">
        <f>Github!M$1759</f>
        <v>0</v>
      </c>
      <c r="L1422" s="10" t="b">
        <f>Github!N$1759</f>
        <v>0</v>
      </c>
      <c r="M1422" s="10" t="str">
        <f>ROUND(Github!O$1759, 2)&amp;"%"</f>
        <v>59.27%</v>
      </c>
      <c r="N1422" s="10">
        <f>Github!P$1759</f>
        <v>25975</v>
      </c>
      <c r="O1422" s="10">
        <f>Github!Q$1759</f>
        <v>43825</v>
      </c>
    </row>
    <row r="1423">
      <c r="A1423" s="10">
        <f>Github!J$2140</f>
        <v>2139</v>
      </c>
      <c r="B1423" s="11" t="str">
        <f>HYPERLINK(CONCAT("http://leetcode.com/problems/",Github!C$2140), Github!B$2140)</f>
        <v>Minimum Moves to Reach Target Score</v>
      </c>
      <c r="C1423" s="10">
        <f>Github!F$2140</f>
        <v>383</v>
      </c>
      <c r="D1423" s="10">
        <f>Github!G$2140</f>
        <v>5</v>
      </c>
      <c r="E1423" s="10">
        <f>Github!F$2140+Github!G$2140</f>
        <v>388</v>
      </c>
      <c r="F1423" s="12">
        <f t="shared" si="1"/>
        <v>76.6</v>
      </c>
      <c r="G1423" s="10" t="str">
        <f>Github!H$2140</f>
        <v>Algorithms</v>
      </c>
      <c r="H1423" s="13" t="str">
        <f>SUBSTITUTE(Github!L$2140, ";", ", ")</f>
        <v>Math, Greedy, </v>
      </c>
      <c r="I1423" s="10" t="str">
        <f>Github!E$2140</f>
        <v>Medium</v>
      </c>
      <c r="J1423" s="10" t="str">
        <f>IF(TRIM(Github!D$2140)="TRUE","FALSE","TRUE")</f>
        <v>TRUE</v>
      </c>
      <c r="K1423" s="10" t="b">
        <f>Github!M$2140</f>
        <v>0</v>
      </c>
      <c r="L1423" s="10" t="b">
        <f>Github!N$2140</f>
        <v>0</v>
      </c>
      <c r="M1423" s="10" t="str">
        <f>ROUND(Github!O$2140, 2)&amp;"%"</f>
        <v>48.55%</v>
      </c>
      <c r="N1423" s="10">
        <f>Github!P$2140</f>
        <v>19500</v>
      </c>
      <c r="O1423" s="10">
        <f>Github!Q$2140</f>
        <v>40162</v>
      </c>
    </row>
    <row r="1424">
      <c r="A1424" s="10">
        <f>Github!J$884</f>
        <v>883</v>
      </c>
      <c r="B1424" s="11" t="str">
        <f>HYPERLINK(CONCAT("http://leetcode.com/problems/",Github!C$884), Github!B$884)</f>
        <v>Projection Area of 3D Shapes</v>
      </c>
      <c r="C1424" s="10">
        <f>Github!F$884</f>
        <v>383</v>
      </c>
      <c r="D1424" s="10">
        <f>Github!G$884</f>
        <v>1122</v>
      </c>
      <c r="E1424" s="10">
        <f>Github!F$884+Github!G$884</f>
        <v>1505</v>
      </c>
      <c r="F1424" s="12">
        <f t="shared" si="1"/>
        <v>0.34</v>
      </c>
      <c r="G1424" s="10" t="str">
        <f>Github!H$884</f>
        <v>Algorithms</v>
      </c>
      <c r="H1424" s="13" t="str">
        <f>SUBSTITUTE(Github!L$884, ";", ", ")</f>
        <v>Array, Math, Geometry, Matrix, </v>
      </c>
      <c r="I1424" s="10" t="str">
        <f>Github!E$884</f>
        <v>Easy</v>
      </c>
      <c r="J1424" s="10" t="str">
        <f>IF(TRIM(Github!D$884)="TRUE","FALSE","TRUE")</f>
        <v>TRUE</v>
      </c>
      <c r="K1424" s="10" t="b">
        <f>Github!M$884</f>
        <v>1</v>
      </c>
      <c r="L1424" s="10" t="b">
        <f>Github!N$884</f>
        <v>0</v>
      </c>
      <c r="M1424" s="10" t="str">
        <f>ROUND(Github!O$884, 2)&amp;"%"</f>
        <v>69.87%</v>
      </c>
      <c r="N1424" s="10">
        <f>Github!P$884</f>
        <v>39476</v>
      </c>
      <c r="O1424" s="10">
        <f>Github!Q$884</f>
        <v>56497</v>
      </c>
    </row>
    <row r="1425">
      <c r="A1425" s="10">
        <f>Github!J$1013</f>
        <v>1012</v>
      </c>
      <c r="B1425" s="11" t="str">
        <f>HYPERLINK(CONCAT("http://leetcode.com/problems/",Github!C$1013), Github!B$1013)</f>
        <v>Numbers With Repeated Digits</v>
      </c>
      <c r="C1425" s="10">
        <f>Github!F$1013</f>
        <v>381</v>
      </c>
      <c r="D1425" s="10">
        <f>Github!G$1013</f>
        <v>59</v>
      </c>
      <c r="E1425" s="10">
        <f>Github!F$1013+Github!G$1013</f>
        <v>440</v>
      </c>
      <c r="F1425" s="12">
        <f t="shared" si="1"/>
        <v>6.46</v>
      </c>
      <c r="G1425" s="10" t="str">
        <f>Github!H$1013</f>
        <v>Algorithms</v>
      </c>
      <c r="H1425" s="13" t="str">
        <f>SUBSTITUTE(Github!L$1013, ";", ", ")</f>
        <v>Math, Dynamic Programming, </v>
      </c>
      <c r="I1425" s="10" t="str">
        <f>Github!E$1013</f>
        <v>Hard</v>
      </c>
      <c r="J1425" s="10" t="str">
        <f>IF(TRIM(Github!D$1013)="TRUE","FALSE","TRUE")</f>
        <v>TRUE</v>
      </c>
      <c r="K1425" s="10" t="b">
        <f>Github!M$1013</f>
        <v>0</v>
      </c>
      <c r="L1425" s="10" t="b">
        <f>Github!N$1013</f>
        <v>0</v>
      </c>
      <c r="M1425" s="10" t="str">
        <f>ROUND(Github!O$1013, 2)&amp;"%"</f>
        <v>38.46%</v>
      </c>
      <c r="N1425" s="10">
        <f>Github!P$1013</f>
        <v>8799</v>
      </c>
      <c r="O1425" s="10">
        <f>Github!Q$1013</f>
        <v>22881</v>
      </c>
    </row>
    <row r="1426">
      <c r="A1426" s="10">
        <f>Github!J$549</f>
        <v>548</v>
      </c>
      <c r="B1426" s="11" t="str">
        <f>HYPERLINK(CONCAT("http://leetcode.com/problems/",Github!C$549), Github!B$549)</f>
        <v>Split Array with Equal Sum</v>
      </c>
      <c r="C1426" s="10">
        <f>Github!F$549</f>
        <v>380</v>
      </c>
      <c r="D1426" s="10">
        <f>Github!G$549</f>
        <v>124</v>
      </c>
      <c r="E1426" s="10">
        <f>Github!F$549+Github!G$549</f>
        <v>504</v>
      </c>
      <c r="F1426" s="12">
        <f t="shared" si="1"/>
        <v>3.06</v>
      </c>
      <c r="G1426" s="10" t="str">
        <f>Github!H$549</f>
        <v>Algorithms</v>
      </c>
      <c r="H1426" s="13" t="str">
        <f>SUBSTITUTE(Github!L$549, ";", ", ")</f>
        <v>Array, Prefix Sum, </v>
      </c>
      <c r="I1426" s="10" t="str">
        <f>Github!E$549</f>
        <v>Hard</v>
      </c>
      <c r="J1426" s="10" t="str">
        <f>IF(TRIM(Github!D$549)="TRUE","FALSE","TRUE")</f>
        <v>FALSE</v>
      </c>
      <c r="K1426" s="10" t="b">
        <f>Github!M$549</f>
        <v>1</v>
      </c>
      <c r="L1426" s="10" t="b">
        <f>Github!N$549</f>
        <v>0</v>
      </c>
      <c r="M1426" s="10" t="str">
        <f>ROUND(Github!O$549, 2)&amp;"%"</f>
        <v>49.75%</v>
      </c>
      <c r="N1426" s="10">
        <f>Github!P$549</f>
        <v>21792</v>
      </c>
      <c r="O1426" s="10">
        <f>Github!Q$549</f>
        <v>43799</v>
      </c>
    </row>
    <row r="1427">
      <c r="A1427" s="10">
        <f>Github!J$737</f>
        <v>736</v>
      </c>
      <c r="B1427" s="11" t="str">
        <f>HYPERLINK(CONCAT("http://leetcode.com/problems/",Github!C$737), Github!B$737)</f>
        <v>Parse Lisp Expression</v>
      </c>
      <c r="C1427" s="10">
        <f>Github!F$737</f>
        <v>380</v>
      </c>
      <c r="D1427" s="10">
        <f>Github!G$737</f>
        <v>297</v>
      </c>
      <c r="E1427" s="10">
        <f>Github!F$737+Github!G$737</f>
        <v>677</v>
      </c>
      <c r="F1427" s="12">
        <f t="shared" si="1"/>
        <v>1.28</v>
      </c>
      <c r="G1427" s="10" t="str">
        <f>Github!H$737</f>
        <v>Algorithms</v>
      </c>
      <c r="H1427" s="13" t="str">
        <f>SUBSTITUTE(Github!L$737, ";", ", ")</f>
        <v>Hash Table, String, Stack, Recursion, </v>
      </c>
      <c r="I1427" s="10" t="str">
        <f>Github!E$737</f>
        <v>Hard</v>
      </c>
      <c r="J1427" s="10" t="str">
        <f>IF(TRIM(Github!D$737)="TRUE","FALSE","TRUE")</f>
        <v>TRUE</v>
      </c>
      <c r="K1427" s="10" t="b">
        <f>Github!M$737</f>
        <v>0</v>
      </c>
      <c r="L1427" s="10" t="b">
        <f>Github!N$737</f>
        <v>0</v>
      </c>
      <c r="M1427" s="10" t="str">
        <f>ROUND(Github!O$737, 2)&amp;"%"</f>
        <v>51.2%</v>
      </c>
      <c r="N1427" s="10">
        <f>Github!P$737</f>
        <v>18178</v>
      </c>
      <c r="O1427" s="10">
        <f>Github!Q$737</f>
        <v>35505</v>
      </c>
    </row>
    <row r="1428">
      <c r="A1428" s="10">
        <f>Github!J$2131</f>
        <v>2130</v>
      </c>
      <c r="B1428" s="11" t="str">
        <f>HYPERLINK(CONCAT("http://leetcode.com/problems/",Github!C$2131), Github!B$2131)</f>
        <v>Maximum Twin Sum of a Linked List</v>
      </c>
      <c r="C1428" s="10">
        <f>Github!F$2131</f>
        <v>384</v>
      </c>
      <c r="D1428" s="10">
        <f>Github!G$2131</f>
        <v>15</v>
      </c>
      <c r="E1428" s="10">
        <f>Github!F$2131+Github!G$2131</f>
        <v>399</v>
      </c>
      <c r="F1428" s="12">
        <f t="shared" si="1"/>
        <v>25.6</v>
      </c>
      <c r="G1428" s="10" t="str">
        <f>Github!H$2131</f>
        <v>Algorithms</v>
      </c>
      <c r="H1428" s="13" t="str">
        <f>SUBSTITUTE(Github!L$2131, ";", ", ")</f>
        <v>Linked List, Two Pointers, Stack, </v>
      </c>
      <c r="I1428" s="10" t="str">
        <f>Github!E$2131</f>
        <v>Medium</v>
      </c>
      <c r="J1428" s="10" t="str">
        <f>IF(TRIM(Github!D$2131)="TRUE","FALSE","TRUE")</f>
        <v>TRUE</v>
      </c>
      <c r="K1428" s="10" t="b">
        <f>Github!M$2131</f>
        <v>0</v>
      </c>
      <c r="L1428" s="10" t="b">
        <f>Github!N$2131</f>
        <v>0</v>
      </c>
      <c r="M1428" s="10" t="str">
        <f>ROUND(Github!O$2131, 2)&amp;"%"</f>
        <v>82.38%</v>
      </c>
      <c r="N1428" s="10">
        <f>Github!P$2131</f>
        <v>22896</v>
      </c>
      <c r="O1428" s="10">
        <f>Github!Q$2131</f>
        <v>27791</v>
      </c>
    </row>
    <row r="1429">
      <c r="A1429" s="10">
        <f>Github!J$432</f>
        <v>431</v>
      </c>
      <c r="B1429" s="11" t="str">
        <f>HYPERLINK(CONCAT("http://leetcode.com/problems/",Github!C$432), Github!B$432)</f>
        <v>Encode N-ary Tree to Binary Tree</v>
      </c>
      <c r="C1429" s="10">
        <f>Github!F$432</f>
        <v>379</v>
      </c>
      <c r="D1429" s="10">
        <f>Github!G$432</f>
        <v>20</v>
      </c>
      <c r="E1429" s="10">
        <f>Github!F$432+Github!G$432</f>
        <v>399</v>
      </c>
      <c r="F1429" s="12">
        <f t="shared" si="1"/>
        <v>18.95</v>
      </c>
      <c r="G1429" s="10" t="str">
        <f>Github!H$432</f>
        <v>Algorithms</v>
      </c>
      <c r="H1429" s="13" t="str">
        <f>SUBSTITUTE(Github!L$432, ";", ", ")</f>
        <v>Tree, Depth-First Search, Breadth-First Search, Design, Binary Tree, </v>
      </c>
      <c r="I1429" s="10" t="str">
        <f>Github!E$432</f>
        <v>Hard</v>
      </c>
      <c r="J1429" s="10" t="str">
        <f>IF(TRIM(Github!D$432)="TRUE","FALSE","TRUE")</f>
        <v>FALSE</v>
      </c>
      <c r="K1429" s="10" t="b">
        <f>Github!M$432</f>
        <v>1</v>
      </c>
      <c r="L1429" s="10" t="b">
        <f>Github!N$432</f>
        <v>0</v>
      </c>
      <c r="M1429" s="10" t="str">
        <f>ROUND(Github!O$432, 2)&amp;"%"</f>
        <v>76.17%</v>
      </c>
      <c r="N1429" s="10">
        <f>Github!P$432</f>
        <v>14590</v>
      </c>
      <c r="O1429" s="10">
        <f>Github!Q$432</f>
        <v>19154</v>
      </c>
    </row>
    <row r="1430">
      <c r="A1430" s="10">
        <f>Github!J$2035</f>
        <v>2034</v>
      </c>
      <c r="B1430" s="11" t="str">
        <f>HYPERLINK(CONCAT("http://leetcode.com/problems/",Github!C$2035), Github!B$2035)</f>
        <v>Stock Price Fluctuation </v>
      </c>
      <c r="C1430" s="10">
        <f>Github!F$2035</f>
        <v>379</v>
      </c>
      <c r="D1430" s="10">
        <f>Github!G$2035</f>
        <v>27</v>
      </c>
      <c r="E1430" s="10">
        <f>Github!F$2035+Github!G$2035</f>
        <v>406</v>
      </c>
      <c r="F1430" s="12">
        <f t="shared" si="1"/>
        <v>14.04</v>
      </c>
      <c r="G1430" s="10" t="str">
        <f>Github!H$2035</f>
        <v>Algorithms</v>
      </c>
      <c r="H1430" s="13" t="str">
        <f>SUBSTITUTE(Github!L$2035, ";", ", ")</f>
        <v>Hash Table, Design, Heap (Priority Queue), Data Stream, Ordered Set, </v>
      </c>
      <c r="I1430" s="10" t="str">
        <f>Github!E$2035</f>
        <v>Medium</v>
      </c>
      <c r="J1430" s="10" t="str">
        <f>IF(TRIM(Github!D$2035)="TRUE","FALSE","TRUE")</f>
        <v>TRUE</v>
      </c>
      <c r="K1430" s="10" t="b">
        <f>Github!M$2035</f>
        <v>0</v>
      </c>
      <c r="L1430" s="10" t="b">
        <f>Github!N$2035</f>
        <v>0</v>
      </c>
      <c r="M1430" s="10" t="str">
        <f>ROUND(Github!O$2035, 2)&amp;"%"</f>
        <v>46.34%</v>
      </c>
      <c r="N1430" s="10">
        <f>Github!P$2035</f>
        <v>19373</v>
      </c>
      <c r="O1430" s="10">
        <f>Github!Q$2035</f>
        <v>41806</v>
      </c>
    </row>
    <row r="1431">
      <c r="A1431" s="10">
        <f>Github!J$1035</f>
        <v>1034</v>
      </c>
      <c r="B1431" s="11" t="str">
        <f>HYPERLINK(CONCAT("http://leetcode.com/problems/",Github!C$1035), Github!B$1035)</f>
        <v>Coloring A Border</v>
      </c>
      <c r="C1431" s="10">
        <f>Github!F$1035</f>
        <v>378</v>
      </c>
      <c r="D1431" s="10">
        <f>Github!G$1035</f>
        <v>573</v>
      </c>
      <c r="E1431" s="10">
        <f>Github!F$1035+Github!G$1035</f>
        <v>951</v>
      </c>
      <c r="F1431" s="12">
        <f t="shared" si="1"/>
        <v>0.66</v>
      </c>
      <c r="G1431" s="10" t="str">
        <f>Github!H$1035</f>
        <v>Algorithms</v>
      </c>
      <c r="H1431" s="13" t="str">
        <f>SUBSTITUTE(Github!L$1035, ";", ", ")</f>
        <v>Array, Depth-First Search, Breadth-First Search, Matrix, </v>
      </c>
      <c r="I1431" s="10" t="str">
        <f>Github!E$1035</f>
        <v>Medium</v>
      </c>
      <c r="J1431" s="10" t="str">
        <f>IF(TRIM(Github!D$1035)="TRUE","FALSE","TRUE")</f>
        <v>TRUE</v>
      </c>
      <c r="K1431" s="10" t="b">
        <f>Github!M$1035</f>
        <v>0</v>
      </c>
      <c r="L1431" s="10" t="b">
        <f>Github!N$1035</f>
        <v>0</v>
      </c>
      <c r="M1431" s="10" t="str">
        <f>ROUND(Github!O$1035, 2)&amp;"%"</f>
        <v>48.17%</v>
      </c>
      <c r="N1431" s="10">
        <f>Github!P$1035</f>
        <v>21320</v>
      </c>
      <c r="O1431" s="10">
        <f>Github!Q$1035</f>
        <v>44261</v>
      </c>
    </row>
    <row r="1432">
      <c r="A1432" s="10">
        <f>Github!J$1207</f>
        <v>1206</v>
      </c>
      <c r="B1432" s="11" t="str">
        <f>HYPERLINK(CONCAT("http://leetcode.com/problems/",Github!C$1207), Github!B$1207)</f>
        <v>Design Skiplist</v>
      </c>
      <c r="C1432" s="10">
        <f>Github!F$1207</f>
        <v>378</v>
      </c>
      <c r="D1432" s="10">
        <f>Github!G$1207</f>
        <v>45</v>
      </c>
      <c r="E1432" s="10">
        <f>Github!F$1207+Github!G$1207</f>
        <v>423</v>
      </c>
      <c r="F1432" s="12">
        <f t="shared" si="1"/>
        <v>8.4</v>
      </c>
      <c r="G1432" s="10" t="str">
        <f>Github!H$1207</f>
        <v>Algorithms</v>
      </c>
      <c r="H1432" s="13" t="str">
        <f>SUBSTITUTE(Github!L$1207, ";", ", ")</f>
        <v>Linked List, Design, </v>
      </c>
      <c r="I1432" s="10" t="str">
        <f>Github!E$1207</f>
        <v>Hard</v>
      </c>
      <c r="J1432" s="10" t="str">
        <f>IF(TRIM(Github!D$1207)="TRUE","FALSE","TRUE")</f>
        <v>TRUE</v>
      </c>
      <c r="K1432" s="10" t="b">
        <f>Github!M$1207</f>
        <v>0</v>
      </c>
      <c r="L1432" s="10" t="b">
        <f>Github!N$1207</f>
        <v>0</v>
      </c>
      <c r="M1432" s="10" t="str">
        <f>ROUND(Github!O$1207, 2)&amp;"%"</f>
        <v>59.73%</v>
      </c>
      <c r="N1432" s="10">
        <f>Github!P$1207</f>
        <v>11712</v>
      </c>
      <c r="O1432" s="10">
        <f>Github!Q$1207</f>
        <v>19609</v>
      </c>
    </row>
    <row r="1433">
      <c r="A1433" s="10">
        <f>Github!J$1243</f>
        <v>1242</v>
      </c>
      <c r="B1433" s="11" t="str">
        <f>HYPERLINK(CONCAT("http://leetcode.com/problems/",Github!C$1243), Github!B$1243)</f>
        <v>Web Crawler Multithreaded</v>
      </c>
      <c r="C1433" s="10">
        <f>Github!F$1243</f>
        <v>378</v>
      </c>
      <c r="D1433" s="10">
        <f>Github!G$1243</f>
        <v>69</v>
      </c>
      <c r="E1433" s="10">
        <f>Github!F$1243+Github!G$1243</f>
        <v>447</v>
      </c>
      <c r="F1433" s="12">
        <f t="shared" si="1"/>
        <v>5.48</v>
      </c>
      <c r="G1433" s="10" t="str">
        <f>Github!H$1243</f>
        <v>Concurrency</v>
      </c>
      <c r="H1433" s="13" t="str">
        <f>SUBSTITUTE(Github!L$1243, ";", ", ")</f>
        <v>Depth-First Search, Breadth-First Search, Concurrency, </v>
      </c>
      <c r="I1433" s="10" t="str">
        <f>Github!E$1243</f>
        <v>Medium</v>
      </c>
      <c r="J1433" s="10" t="str">
        <f>IF(TRIM(Github!D$1243)="TRUE","FALSE","TRUE")</f>
        <v>FALSE</v>
      </c>
      <c r="K1433" s="10" t="b">
        <f>Github!M$1243</f>
        <v>0</v>
      </c>
      <c r="L1433" s="10" t="b">
        <f>Github!N$1243</f>
        <v>0</v>
      </c>
      <c r="M1433" s="10" t="str">
        <f>ROUND(Github!O$1243, 2)&amp;"%"</f>
        <v>48.51%</v>
      </c>
      <c r="N1433" s="10">
        <f>Github!P$1243</f>
        <v>30946</v>
      </c>
      <c r="O1433" s="10">
        <f>Github!Q$1243</f>
        <v>63792</v>
      </c>
    </row>
    <row r="1434">
      <c r="A1434" s="10">
        <f>Github!J$1418</f>
        <v>1417</v>
      </c>
      <c r="B1434" s="11" t="str">
        <f>HYPERLINK(CONCAT("http://leetcode.com/problems/",Github!C$1418), Github!B$1418)</f>
        <v>Reformat The String</v>
      </c>
      <c r="C1434" s="10">
        <f>Github!F$1418</f>
        <v>379</v>
      </c>
      <c r="D1434" s="10">
        <f>Github!G$1418</f>
        <v>73</v>
      </c>
      <c r="E1434" s="10">
        <f>Github!F$1418+Github!G$1418</f>
        <v>452</v>
      </c>
      <c r="F1434" s="12">
        <f t="shared" si="1"/>
        <v>5.19</v>
      </c>
      <c r="G1434" s="10" t="str">
        <f>Github!H$1418</f>
        <v>Algorithms</v>
      </c>
      <c r="H1434" s="13" t="str">
        <f>SUBSTITUTE(Github!L$1418, ";", ", ")</f>
        <v>String, </v>
      </c>
      <c r="I1434" s="10" t="str">
        <f>Github!E$1418</f>
        <v>Easy</v>
      </c>
      <c r="J1434" s="10" t="str">
        <f>IF(TRIM(Github!D$1418)="TRUE","FALSE","TRUE")</f>
        <v>TRUE</v>
      </c>
      <c r="K1434" s="10" t="b">
        <f>Github!M$1418</f>
        <v>0</v>
      </c>
      <c r="L1434" s="10" t="b">
        <f>Github!N$1418</f>
        <v>0</v>
      </c>
      <c r="M1434" s="10" t="str">
        <f>ROUND(Github!O$1418, 2)&amp;"%"</f>
        <v>56.42%</v>
      </c>
      <c r="N1434" s="10">
        <f>Github!P$1418</f>
        <v>41482</v>
      </c>
      <c r="O1434" s="10">
        <f>Github!Q$1418</f>
        <v>73530</v>
      </c>
    </row>
    <row r="1435">
      <c r="A1435" s="10">
        <f>Github!J$1438</f>
        <v>1437</v>
      </c>
      <c r="B1435" s="11" t="str">
        <f>HYPERLINK(CONCAT("http://leetcode.com/problems/",Github!C$1438), Github!B$1438)</f>
        <v>Check If All 1's Are at Least Length K Places Away</v>
      </c>
      <c r="C1435" s="10">
        <f>Github!F$1438</f>
        <v>378</v>
      </c>
      <c r="D1435" s="10">
        <f>Github!G$1438</f>
        <v>192</v>
      </c>
      <c r="E1435" s="10">
        <f>Github!F$1438+Github!G$1438</f>
        <v>570</v>
      </c>
      <c r="F1435" s="12">
        <f t="shared" si="1"/>
        <v>1.97</v>
      </c>
      <c r="G1435" s="10" t="str">
        <f>Github!H$1438</f>
        <v>Algorithms</v>
      </c>
      <c r="H1435" s="13" t="str">
        <f>SUBSTITUTE(Github!L$1438, ";", ", ")</f>
        <v>Array, </v>
      </c>
      <c r="I1435" s="10" t="str">
        <f>Github!E$1438</f>
        <v>Easy</v>
      </c>
      <c r="J1435" s="10" t="str">
        <f>IF(TRIM(Github!D$1438)="TRUE","FALSE","TRUE")</f>
        <v>TRUE</v>
      </c>
      <c r="K1435" s="10" t="b">
        <f>Github!M$1438</f>
        <v>1</v>
      </c>
      <c r="L1435" s="10" t="b">
        <f>Github!N$1438</f>
        <v>0</v>
      </c>
      <c r="M1435" s="10" t="str">
        <f>ROUND(Github!O$1438, 2)&amp;"%"</f>
        <v>60.12%</v>
      </c>
      <c r="N1435" s="10">
        <f>Github!P$1438</f>
        <v>56514</v>
      </c>
      <c r="O1435" s="10">
        <f>Github!Q$1438</f>
        <v>94009</v>
      </c>
    </row>
    <row r="1436">
      <c r="A1436" s="10">
        <f>Github!J$1818</f>
        <v>1817</v>
      </c>
      <c r="B1436" s="11" t="str">
        <f>HYPERLINK(CONCAT("http://leetcode.com/problems/",Github!C$1818), Github!B$1818)</f>
        <v>Finding the Users Active Minutes</v>
      </c>
      <c r="C1436" s="10">
        <f>Github!F$1818</f>
        <v>378</v>
      </c>
      <c r="D1436" s="10">
        <f>Github!G$1818</f>
        <v>146</v>
      </c>
      <c r="E1436" s="10">
        <f>Github!F$1818+Github!G$1818</f>
        <v>524</v>
      </c>
      <c r="F1436" s="12">
        <f t="shared" si="1"/>
        <v>2.59</v>
      </c>
      <c r="G1436" s="10" t="str">
        <f>Github!H$1818</f>
        <v>Algorithms</v>
      </c>
      <c r="H1436" s="13" t="str">
        <f>SUBSTITUTE(Github!L$1818, ";", ", ")</f>
        <v>Array, Hash Table, </v>
      </c>
      <c r="I1436" s="10" t="str">
        <f>Github!E$1818</f>
        <v>Medium</v>
      </c>
      <c r="J1436" s="10" t="str">
        <f>IF(TRIM(Github!D$1818)="TRUE","FALSE","TRUE")</f>
        <v>TRUE</v>
      </c>
      <c r="K1436" s="10" t="b">
        <f>Github!M$1818</f>
        <v>0</v>
      </c>
      <c r="L1436" s="10" t="b">
        <f>Github!N$1818</f>
        <v>0</v>
      </c>
      <c r="M1436" s="10" t="str">
        <f>ROUND(Github!O$1818, 2)&amp;"%"</f>
        <v>80.5%</v>
      </c>
      <c r="N1436" s="10">
        <f>Github!P$1818</f>
        <v>30159</v>
      </c>
      <c r="O1436" s="10">
        <f>Github!Q$1818</f>
        <v>37464</v>
      </c>
    </row>
    <row r="1437">
      <c r="A1437" s="10">
        <f>Github!J$498</f>
        <v>497</v>
      </c>
      <c r="B1437" s="11" t="str">
        <f>HYPERLINK(CONCAT("http://leetcode.com/problems/",Github!C$498), Github!B$498)</f>
        <v>Random Point in Non-overlapping Rectangles</v>
      </c>
      <c r="C1437" s="10">
        <f>Github!F$498</f>
        <v>377</v>
      </c>
      <c r="D1437" s="10">
        <f>Github!G$498</f>
        <v>588</v>
      </c>
      <c r="E1437" s="10">
        <f>Github!F$498+Github!G$498</f>
        <v>965</v>
      </c>
      <c r="F1437" s="12">
        <f t="shared" si="1"/>
        <v>0.64</v>
      </c>
      <c r="G1437" s="10" t="str">
        <f>Github!H$498</f>
        <v>Algorithms</v>
      </c>
      <c r="H1437" s="13" t="str">
        <f>SUBSTITUTE(Github!L$498, ";", ", ")</f>
        <v>Math, Binary Search, Reservoir Sampling, Prefix Sum, Ordered Set, Randomized, </v>
      </c>
      <c r="I1437" s="10" t="str">
        <f>Github!E$498</f>
        <v>Medium</v>
      </c>
      <c r="J1437" s="10" t="str">
        <f>IF(TRIM(Github!D$498)="TRUE","FALSE","TRUE")</f>
        <v>TRUE</v>
      </c>
      <c r="K1437" s="10" t="b">
        <f>Github!M$498</f>
        <v>0</v>
      </c>
      <c r="L1437" s="10" t="b">
        <f>Github!N$498</f>
        <v>0</v>
      </c>
      <c r="M1437" s="10" t="str">
        <f>ROUND(Github!O$498, 2)&amp;"%"</f>
        <v>39.12%</v>
      </c>
      <c r="N1437" s="10">
        <f>Github!P$498</f>
        <v>33608</v>
      </c>
      <c r="O1437" s="10">
        <f>Github!Q$498</f>
        <v>85909</v>
      </c>
    </row>
    <row r="1438">
      <c r="A1438" s="10">
        <f>Github!J$1718</f>
        <v>1717</v>
      </c>
      <c r="B1438" s="11" t="str">
        <f>HYPERLINK(CONCAT("http://leetcode.com/problems/",Github!C$1718), Github!B$1718)</f>
        <v>Maximum Score From Removing Substrings</v>
      </c>
      <c r="C1438" s="10">
        <f>Github!F$1718</f>
        <v>379</v>
      </c>
      <c r="D1438" s="10">
        <f>Github!G$1718</f>
        <v>18</v>
      </c>
      <c r="E1438" s="10">
        <f>Github!F$1718+Github!G$1718</f>
        <v>397</v>
      </c>
      <c r="F1438" s="12">
        <f t="shared" si="1"/>
        <v>21.06</v>
      </c>
      <c r="G1438" s="10" t="str">
        <f>Github!H$1718</f>
        <v>Algorithms</v>
      </c>
      <c r="H1438" s="13" t="str">
        <f>SUBSTITUTE(Github!L$1718, ";", ", ")</f>
        <v>String, Stack, Greedy, </v>
      </c>
      <c r="I1438" s="10" t="str">
        <f>Github!E$1718</f>
        <v>Medium</v>
      </c>
      <c r="J1438" s="10" t="str">
        <f>IF(TRIM(Github!D$1718)="TRUE","FALSE","TRUE")</f>
        <v>TRUE</v>
      </c>
      <c r="K1438" s="10" t="b">
        <f>Github!M$1718</f>
        <v>0</v>
      </c>
      <c r="L1438" s="10" t="b">
        <f>Github!N$1718</f>
        <v>0</v>
      </c>
      <c r="M1438" s="10" t="str">
        <f>ROUND(Github!O$1718, 2)&amp;"%"</f>
        <v>44.44%</v>
      </c>
      <c r="N1438" s="10">
        <f>Github!P$1718</f>
        <v>8996</v>
      </c>
      <c r="O1438" s="10">
        <f>Github!Q$1718</f>
        <v>20244</v>
      </c>
    </row>
    <row r="1439">
      <c r="A1439" s="10">
        <f>Github!J$1791</f>
        <v>1790</v>
      </c>
      <c r="B1439" s="11" t="str">
        <f>HYPERLINK(CONCAT("http://leetcode.com/problems/",Github!C$1791), Github!B$1791)</f>
        <v>Check if One String Swap Can Make Strings Equal</v>
      </c>
      <c r="C1439" s="10">
        <f>Github!F$1791</f>
        <v>378</v>
      </c>
      <c r="D1439" s="10">
        <f>Github!G$1791</f>
        <v>15</v>
      </c>
      <c r="E1439" s="10">
        <f>Github!F$1791+Github!G$1791</f>
        <v>393</v>
      </c>
      <c r="F1439" s="12">
        <f t="shared" si="1"/>
        <v>25.2</v>
      </c>
      <c r="G1439" s="10" t="str">
        <f>Github!H$1791</f>
        <v>Algorithms</v>
      </c>
      <c r="H1439" s="13" t="str">
        <f>SUBSTITUTE(Github!L$1791, ";", ", ")</f>
        <v>Hash Table, String, Counting, </v>
      </c>
      <c r="I1439" s="10" t="str">
        <f>Github!E$1791</f>
        <v>Easy</v>
      </c>
      <c r="J1439" s="10" t="str">
        <f>IF(TRIM(Github!D$1791)="TRUE","FALSE","TRUE")</f>
        <v>TRUE</v>
      </c>
      <c r="K1439" s="10" t="b">
        <f>Github!M$1791</f>
        <v>0</v>
      </c>
      <c r="L1439" s="10" t="b">
        <f>Github!N$1791</f>
        <v>0</v>
      </c>
      <c r="M1439" s="10" t="str">
        <f>ROUND(Github!O$1791, 2)&amp;"%"</f>
        <v>45.96%</v>
      </c>
      <c r="N1439" s="10">
        <f>Github!P$1791</f>
        <v>31042</v>
      </c>
      <c r="O1439" s="10">
        <f>Github!Q$1791</f>
        <v>67540</v>
      </c>
    </row>
    <row r="1440">
      <c r="A1440" s="10">
        <f>Github!J$662</f>
        <v>661</v>
      </c>
      <c r="B1440" s="11" t="str">
        <f>HYPERLINK(CONCAT("http://leetcode.com/problems/",Github!C$662), Github!B$662)</f>
        <v>Image Smoother</v>
      </c>
      <c r="C1440" s="10">
        <f>Github!F$662</f>
        <v>375</v>
      </c>
      <c r="D1440" s="10">
        <f>Github!G$662</f>
        <v>1560</v>
      </c>
      <c r="E1440" s="10">
        <f>Github!F$662+Github!G$662</f>
        <v>1935</v>
      </c>
      <c r="F1440" s="12">
        <f t="shared" si="1"/>
        <v>0.24</v>
      </c>
      <c r="G1440" s="10" t="str">
        <f>Github!H$662</f>
        <v>Algorithms</v>
      </c>
      <c r="H1440" s="13" t="str">
        <f>SUBSTITUTE(Github!L$662, ";", ", ")</f>
        <v>Array, Matrix, </v>
      </c>
      <c r="I1440" s="10" t="str">
        <f>Github!E$662</f>
        <v>Easy</v>
      </c>
      <c r="J1440" s="10" t="str">
        <f>IF(TRIM(Github!D$662)="TRUE","FALSE","TRUE")</f>
        <v>TRUE</v>
      </c>
      <c r="K1440" s="10" t="b">
        <f>Github!M$662</f>
        <v>0</v>
      </c>
      <c r="L1440" s="10" t="b">
        <f>Github!N$662</f>
        <v>0</v>
      </c>
      <c r="M1440" s="10" t="str">
        <f>ROUND(Github!O$662, 2)&amp;"%"</f>
        <v>53.95%</v>
      </c>
      <c r="N1440" s="10">
        <f>Github!P$662</f>
        <v>62767</v>
      </c>
      <c r="O1440" s="10">
        <f>Github!Q$662</f>
        <v>116334</v>
      </c>
    </row>
    <row r="1441">
      <c r="A1441" s="10">
        <f>Github!J$1215</f>
        <v>1214</v>
      </c>
      <c r="B1441" s="11" t="str">
        <f>HYPERLINK(CONCAT("http://leetcode.com/problems/",Github!C$1215), Github!B$1215)</f>
        <v>Two Sum BSTs</v>
      </c>
      <c r="C1441" s="10">
        <f>Github!F$1215</f>
        <v>374</v>
      </c>
      <c r="D1441" s="10">
        <f>Github!G$1215</f>
        <v>36</v>
      </c>
      <c r="E1441" s="10">
        <f>Github!F$1215+Github!G$1215</f>
        <v>410</v>
      </c>
      <c r="F1441" s="12">
        <f t="shared" si="1"/>
        <v>10.39</v>
      </c>
      <c r="G1441" s="10" t="str">
        <f>Github!H$1215</f>
        <v>Algorithms</v>
      </c>
      <c r="H1441" s="13" t="str">
        <f>SUBSTITUTE(Github!L$1215, ";", ", ")</f>
        <v>Two Pointers, Binary Search, Stack, Tree, Depth-First Search, Binary Search Tree, Binary Tree, </v>
      </c>
      <c r="I1441" s="10" t="str">
        <f>Github!E$1215</f>
        <v>Medium</v>
      </c>
      <c r="J1441" s="10" t="str">
        <f>IF(TRIM(Github!D$1215)="TRUE","FALSE","TRUE")</f>
        <v>FALSE</v>
      </c>
      <c r="K1441" s="10" t="b">
        <f>Github!M$1215</f>
        <v>1</v>
      </c>
      <c r="L1441" s="10" t="b">
        <f>Github!N$1215</f>
        <v>0</v>
      </c>
      <c r="M1441" s="10" t="str">
        <f>ROUND(Github!O$1215, 2)&amp;"%"</f>
        <v>66.86%</v>
      </c>
      <c r="N1441" s="10">
        <f>Github!P$1215</f>
        <v>31219</v>
      </c>
      <c r="O1441" s="10">
        <f>Github!Q$1215</f>
        <v>46692</v>
      </c>
    </row>
    <row r="1442">
      <c r="A1442" s="10">
        <f>Github!J$1364</f>
        <v>1363</v>
      </c>
      <c r="B1442" s="11" t="str">
        <f>HYPERLINK(CONCAT("http://leetcode.com/problems/",Github!C$1364), Github!B$1364)</f>
        <v>Largest Multiple of Three</v>
      </c>
      <c r="C1442" s="10">
        <f>Github!F$1364</f>
        <v>373</v>
      </c>
      <c r="D1442" s="10">
        <f>Github!G$1364</f>
        <v>53</v>
      </c>
      <c r="E1442" s="10">
        <f>Github!F$1364+Github!G$1364</f>
        <v>426</v>
      </c>
      <c r="F1442" s="12">
        <f t="shared" si="1"/>
        <v>7.04</v>
      </c>
      <c r="G1442" s="10" t="str">
        <f>Github!H$1364</f>
        <v>Algorithms</v>
      </c>
      <c r="H1442" s="13" t="str">
        <f>SUBSTITUTE(Github!L$1364, ";", ", ")</f>
        <v>Array, Dynamic Programming, Greedy, </v>
      </c>
      <c r="I1442" s="10" t="str">
        <f>Github!E$1364</f>
        <v>Hard</v>
      </c>
      <c r="J1442" s="10" t="str">
        <f>IF(TRIM(Github!D$1364)="TRUE","FALSE","TRUE")</f>
        <v>TRUE</v>
      </c>
      <c r="K1442" s="10" t="b">
        <f>Github!M$1364</f>
        <v>0</v>
      </c>
      <c r="L1442" s="10" t="b">
        <f>Github!N$1364</f>
        <v>0</v>
      </c>
      <c r="M1442" s="10" t="str">
        <f>ROUND(Github!O$1364, 2)&amp;"%"</f>
        <v>34.33%</v>
      </c>
      <c r="N1442" s="10">
        <f>Github!P$1364</f>
        <v>13351</v>
      </c>
      <c r="O1442" s="10">
        <f>Github!Q$1364</f>
        <v>38886</v>
      </c>
    </row>
    <row r="1443">
      <c r="A1443" s="10">
        <f>Github!J$1914</f>
        <v>1913</v>
      </c>
      <c r="B1443" s="11" t="str">
        <f>HYPERLINK(CONCAT("http://leetcode.com/problems/",Github!C$1914), Github!B$1914)</f>
        <v>Maximum Product Difference Between Two Pairs</v>
      </c>
      <c r="C1443" s="10">
        <f>Github!F$1914</f>
        <v>373</v>
      </c>
      <c r="D1443" s="10">
        <f>Github!G$1914</f>
        <v>18</v>
      </c>
      <c r="E1443" s="10">
        <f>Github!F$1914+Github!G$1914</f>
        <v>391</v>
      </c>
      <c r="F1443" s="12">
        <f t="shared" si="1"/>
        <v>20.72</v>
      </c>
      <c r="G1443" s="10" t="str">
        <f>Github!H$1914</f>
        <v>Algorithms</v>
      </c>
      <c r="H1443" s="13" t="str">
        <f>SUBSTITUTE(Github!L$1914, ";", ", ")</f>
        <v>Array, Sorting, </v>
      </c>
      <c r="I1443" s="10" t="str">
        <f>Github!E$1914</f>
        <v>Easy</v>
      </c>
      <c r="J1443" s="10" t="str">
        <f>IF(TRIM(Github!D$1914)="TRUE","FALSE","TRUE")</f>
        <v>TRUE</v>
      </c>
      <c r="K1443" s="10" t="b">
        <f>Github!M$1914</f>
        <v>0</v>
      </c>
      <c r="L1443" s="10" t="b">
        <f>Github!N$1914</f>
        <v>0</v>
      </c>
      <c r="M1443" s="10" t="str">
        <f>ROUND(Github!O$1914, 2)&amp;"%"</f>
        <v>81.25%</v>
      </c>
      <c r="N1443" s="10">
        <f>Github!P$1914</f>
        <v>44994</v>
      </c>
      <c r="O1443" s="10">
        <f>Github!Q$1914</f>
        <v>55378</v>
      </c>
    </row>
    <row r="1444">
      <c r="A1444" s="10">
        <f>Github!J$2010</f>
        <v>2009</v>
      </c>
      <c r="B1444" s="11" t="str">
        <f>HYPERLINK(CONCAT("http://leetcode.com/problems/",Github!C$2010), Github!B$2010)</f>
        <v>Minimum Number of Operations to Make Array Continuous</v>
      </c>
      <c r="C1444" s="10">
        <f>Github!F$2010</f>
        <v>375</v>
      </c>
      <c r="D1444" s="10">
        <f>Github!G$2010</f>
        <v>4</v>
      </c>
      <c r="E1444" s="10">
        <f>Github!F$2010+Github!G$2010</f>
        <v>379</v>
      </c>
      <c r="F1444" s="12">
        <f t="shared" si="1"/>
        <v>93.75</v>
      </c>
      <c r="G1444" s="10" t="str">
        <f>Github!H$2010</f>
        <v>Algorithms</v>
      </c>
      <c r="H1444" s="13" t="str">
        <f>SUBSTITUTE(Github!L$2010, ";", ", ")</f>
        <v>Array, Binary Search, </v>
      </c>
      <c r="I1444" s="10" t="str">
        <f>Github!E$2010</f>
        <v>Hard</v>
      </c>
      <c r="J1444" s="10" t="str">
        <f>IF(TRIM(Github!D$2010)="TRUE","FALSE","TRUE")</f>
        <v>TRUE</v>
      </c>
      <c r="K1444" s="10" t="b">
        <f>Github!M$2010</f>
        <v>0</v>
      </c>
      <c r="L1444" s="10" t="b">
        <f>Github!N$2010</f>
        <v>0</v>
      </c>
      <c r="M1444" s="10" t="str">
        <f>ROUND(Github!O$2010, 2)&amp;"%"</f>
        <v>45.6%</v>
      </c>
      <c r="N1444" s="10">
        <f>Github!P$2010</f>
        <v>5737</v>
      </c>
      <c r="O1444" s="10">
        <f>Github!Q$2010</f>
        <v>12581</v>
      </c>
    </row>
    <row r="1445">
      <c r="A1445" s="10">
        <f>Github!J$1577</f>
        <v>1576</v>
      </c>
      <c r="B1445" s="11" t="str">
        <f>HYPERLINK(CONCAT("http://leetcode.com/problems/",Github!C$1577), Github!B$1577)</f>
        <v>Replace All ?'s to Avoid Consecutive Repeating Characters</v>
      </c>
      <c r="C1445" s="10">
        <f>Github!F$1577</f>
        <v>373</v>
      </c>
      <c r="D1445" s="10">
        <f>Github!G$1577</f>
        <v>141</v>
      </c>
      <c r="E1445" s="10">
        <f>Github!F$1577+Github!G$1577</f>
        <v>514</v>
      </c>
      <c r="F1445" s="12">
        <f t="shared" si="1"/>
        <v>2.65</v>
      </c>
      <c r="G1445" s="10" t="str">
        <f>Github!H$1577</f>
        <v>Algorithms</v>
      </c>
      <c r="H1445" s="13" t="str">
        <f>SUBSTITUTE(Github!L$1577, ";", ", ")</f>
        <v>String, </v>
      </c>
      <c r="I1445" s="10" t="str">
        <f>Github!E$1577</f>
        <v>Easy</v>
      </c>
      <c r="J1445" s="10" t="str">
        <f>IF(TRIM(Github!D$1577)="TRUE","FALSE","TRUE")</f>
        <v>TRUE</v>
      </c>
      <c r="K1445" s="10" t="b">
        <f>Github!M$1577</f>
        <v>0</v>
      </c>
      <c r="L1445" s="10" t="b">
        <f>Github!N$1577</f>
        <v>0</v>
      </c>
      <c r="M1445" s="10" t="str">
        <f>ROUND(Github!O$1577, 2)&amp;"%"</f>
        <v>50%</v>
      </c>
      <c r="N1445" s="10">
        <f>Github!P$1577</f>
        <v>42766</v>
      </c>
      <c r="O1445" s="10">
        <f>Github!Q$1577</f>
        <v>85529</v>
      </c>
    </row>
    <row r="1446">
      <c r="A1446" s="10">
        <f>Github!J$2065</f>
        <v>2064</v>
      </c>
      <c r="B1446" s="11" t="str">
        <f>HYPERLINK(CONCAT("http://leetcode.com/problems/",Github!C$2065), Github!B$2065)</f>
        <v>Minimized Maximum of Products Distributed to Any Store</v>
      </c>
      <c r="C1446" s="10">
        <f>Github!F$2065</f>
        <v>371</v>
      </c>
      <c r="D1446" s="10">
        <f>Github!G$2065</f>
        <v>15</v>
      </c>
      <c r="E1446" s="10">
        <f>Github!F$2065+Github!G$2065</f>
        <v>386</v>
      </c>
      <c r="F1446" s="12">
        <f t="shared" si="1"/>
        <v>24.73</v>
      </c>
      <c r="G1446" s="10" t="str">
        <f>Github!H$2065</f>
        <v>Algorithms</v>
      </c>
      <c r="H1446" s="13" t="str">
        <f>SUBSTITUTE(Github!L$2065, ";", ", ")</f>
        <v>Array, Binary Search, </v>
      </c>
      <c r="I1446" s="10" t="str">
        <f>Github!E$2065</f>
        <v>Medium</v>
      </c>
      <c r="J1446" s="10" t="str">
        <f>IF(TRIM(Github!D$2065)="TRUE","FALSE","TRUE")</f>
        <v>TRUE</v>
      </c>
      <c r="K1446" s="10" t="b">
        <f>Github!M$2065</f>
        <v>0</v>
      </c>
      <c r="L1446" s="10" t="b">
        <f>Github!N$2065</f>
        <v>0</v>
      </c>
      <c r="M1446" s="10" t="str">
        <f>ROUND(Github!O$2065, 2)&amp;"%"</f>
        <v>48.19%</v>
      </c>
      <c r="N1446" s="10">
        <f>Github!P$2065</f>
        <v>10472</v>
      </c>
      <c r="O1446" s="10">
        <f>Github!Q$2065</f>
        <v>21730</v>
      </c>
    </row>
    <row r="1447">
      <c r="A1447" s="10">
        <f>Github!J$1840</f>
        <v>1839</v>
      </c>
      <c r="B1447" s="11" t="str">
        <f>HYPERLINK(CONCAT("http://leetcode.com/problems/",Github!C$1840), Github!B$1840)</f>
        <v>Longest Substring Of All Vowels in Order</v>
      </c>
      <c r="C1447" s="10">
        <f>Github!F$1840</f>
        <v>370</v>
      </c>
      <c r="D1447" s="10">
        <f>Github!G$1840</f>
        <v>11</v>
      </c>
      <c r="E1447" s="10">
        <f>Github!F$1840+Github!G$1840</f>
        <v>381</v>
      </c>
      <c r="F1447" s="12">
        <f t="shared" si="1"/>
        <v>33.64</v>
      </c>
      <c r="G1447" s="10" t="str">
        <f>Github!H$1840</f>
        <v>Algorithms</v>
      </c>
      <c r="H1447" s="13" t="str">
        <f>SUBSTITUTE(Github!L$1840, ";", ", ")</f>
        <v>String, Sliding Window, </v>
      </c>
      <c r="I1447" s="10" t="str">
        <f>Github!E$1840</f>
        <v>Medium</v>
      </c>
      <c r="J1447" s="10" t="str">
        <f>IF(TRIM(Github!D$1840)="TRUE","FALSE","TRUE")</f>
        <v>TRUE</v>
      </c>
      <c r="K1447" s="10" t="b">
        <f>Github!M$1840</f>
        <v>0</v>
      </c>
      <c r="L1447" s="10" t="b">
        <f>Github!N$1840</f>
        <v>0</v>
      </c>
      <c r="M1447" s="10" t="str">
        <f>ROUND(Github!O$1840, 2)&amp;"%"</f>
        <v>47.88%</v>
      </c>
      <c r="N1447" s="10">
        <f>Github!P$1840</f>
        <v>17409</v>
      </c>
      <c r="O1447" s="10">
        <f>Github!Q$1840</f>
        <v>36359</v>
      </c>
    </row>
    <row r="1448">
      <c r="A1448" s="10">
        <f>Github!J$1520</f>
        <v>1519</v>
      </c>
      <c r="B1448" s="11" t="str">
        <f>HYPERLINK(CONCAT("http://leetcode.com/problems/",Github!C$1520), Github!B$1520)</f>
        <v>Number of Nodes in the Sub-Tree With the Same Label</v>
      </c>
      <c r="C1448" s="10">
        <f>Github!F$1520</f>
        <v>366</v>
      </c>
      <c r="D1448" s="10">
        <f>Github!G$1520</f>
        <v>348</v>
      </c>
      <c r="E1448" s="10">
        <f>Github!F$1520+Github!G$1520</f>
        <v>714</v>
      </c>
      <c r="F1448" s="12">
        <f t="shared" si="1"/>
        <v>1.05</v>
      </c>
      <c r="G1448" s="10" t="str">
        <f>Github!H$1520</f>
        <v>Algorithms</v>
      </c>
      <c r="H1448" s="13" t="str">
        <f>SUBSTITUTE(Github!L$1520, ";", ", ")</f>
        <v>Hash Table, Tree, Depth-First Search, Breadth-First Search, Counting, </v>
      </c>
      <c r="I1448" s="10" t="str">
        <f>Github!E$1520</f>
        <v>Medium</v>
      </c>
      <c r="J1448" s="10" t="str">
        <f>IF(TRIM(Github!D$1520)="TRUE","FALSE","TRUE")</f>
        <v>TRUE</v>
      </c>
      <c r="K1448" s="10" t="b">
        <f>Github!M$1520</f>
        <v>0</v>
      </c>
      <c r="L1448" s="10" t="b">
        <f>Github!N$1520</f>
        <v>0</v>
      </c>
      <c r="M1448" s="10" t="str">
        <f>ROUND(Github!O$1520, 2)&amp;"%"</f>
        <v>39.51%</v>
      </c>
      <c r="N1448" s="10">
        <f>Github!P$1520</f>
        <v>15802</v>
      </c>
      <c r="O1448" s="10">
        <f>Github!Q$1520</f>
        <v>39997</v>
      </c>
    </row>
    <row r="1449">
      <c r="A1449" s="10">
        <f>Github!J$807</f>
        <v>806</v>
      </c>
      <c r="B1449" s="11" t="str">
        <f>HYPERLINK(CONCAT("http://leetcode.com/problems/",Github!C$807), Github!B$807)</f>
        <v>Number of Lines To Write String</v>
      </c>
      <c r="C1449" s="10">
        <f>Github!F$807</f>
        <v>365</v>
      </c>
      <c r="D1449" s="10">
        <f>Github!G$807</f>
        <v>1103</v>
      </c>
      <c r="E1449" s="10">
        <f>Github!F$807+Github!G$807</f>
        <v>1468</v>
      </c>
      <c r="F1449" s="12">
        <f t="shared" si="1"/>
        <v>0.33</v>
      </c>
      <c r="G1449" s="10" t="str">
        <f>Github!H$807</f>
        <v>Algorithms</v>
      </c>
      <c r="H1449" s="13" t="str">
        <f>SUBSTITUTE(Github!L$807, ";", ", ")</f>
        <v>Array, String, </v>
      </c>
      <c r="I1449" s="10" t="str">
        <f>Github!E$807</f>
        <v>Easy</v>
      </c>
      <c r="J1449" s="10" t="str">
        <f>IF(TRIM(Github!D$807)="TRUE","FALSE","TRUE")</f>
        <v>TRUE</v>
      </c>
      <c r="K1449" s="10" t="b">
        <f>Github!M$807</f>
        <v>1</v>
      </c>
      <c r="L1449" s="10" t="b">
        <f>Github!N$807</f>
        <v>0</v>
      </c>
      <c r="M1449" s="10" t="str">
        <f>ROUND(Github!O$807, 2)&amp;"%"</f>
        <v>65.97%</v>
      </c>
      <c r="N1449" s="10">
        <f>Github!P$807</f>
        <v>52334</v>
      </c>
      <c r="O1449" s="10">
        <f>Github!Q$807</f>
        <v>79331</v>
      </c>
    </row>
    <row r="1450">
      <c r="A1450" s="10">
        <f>Github!J$1625</f>
        <v>1624</v>
      </c>
      <c r="B1450" s="11" t="str">
        <f>HYPERLINK(CONCAT("http://leetcode.com/problems/",Github!C$1625), Github!B$1625)</f>
        <v>Largest Substring Between Two Equal Characters</v>
      </c>
      <c r="C1450" s="10">
        <f>Github!F$1625</f>
        <v>365</v>
      </c>
      <c r="D1450" s="10">
        <f>Github!G$1625</f>
        <v>21</v>
      </c>
      <c r="E1450" s="10">
        <f>Github!F$1625+Github!G$1625</f>
        <v>386</v>
      </c>
      <c r="F1450" s="12">
        <f t="shared" si="1"/>
        <v>17.38</v>
      </c>
      <c r="G1450" s="10" t="str">
        <f>Github!H$1625</f>
        <v>Algorithms</v>
      </c>
      <c r="H1450" s="13" t="str">
        <f>SUBSTITUTE(Github!L$1625, ";", ", ")</f>
        <v>Hash Table, String, </v>
      </c>
      <c r="I1450" s="10" t="str">
        <f>Github!E$1625</f>
        <v>Easy</v>
      </c>
      <c r="J1450" s="10" t="str">
        <f>IF(TRIM(Github!D$1625)="TRUE","FALSE","TRUE")</f>
        <v>TRUE</v>
      </c>
      <c r="K1450" s="10" t="b">
        <f>Github!M$1625</f>
        <v>0</v>
      </c>
      <c r="L1450" s="10" t="b">
        <f>Github!N$1625</f>
        <v>0</v>
      </c>
      <c r="M1450" s="10" t="str">
        <f>ROUND(Github!O$1625, 2)&amp;"%"</f>
        <v>59.19%</v>
      </c>
      <c r="N1450" s="10">
        <f>Github!P$1625</f>
        <v>30168</v>
      </c>
      <c r="O1450" s="10">
        <f>Github!Q$1625</f>
        <v>50965</v>
      </c>
    </row>
    <row r="1451">
      <c r="A1451" s="10">
        <f>Github!J$2117</f>
        <v>2116</v>
      </c>
      <c r="B1451" s="11" t="str">
        <f>HYPERLINK(CONCAT("http://leetcode.com/problems/",Github!C$2117), Github!B$2117)</f>
        <v>Check if a Parentheses String Can Be Valid</v>
      </c>
      <c r="C1451" s="10">
        <f>Github!F$2117</f>
        <v>365</v>
      </c>
      <c r="D1451" s="10">
        <f>Github!G$2117</f>
        <v>13</v>
      </c>
      <c r="E1451" s="10">
        <f>Github!F$2117+Github!G$2117</f>
        <v>378</v>
      </c>
      <c r="F1451" s="12">
        <f t="shared" si="1"/>
        <v>28.08</v>
      </c>
      <c r="G1451" s="10" t="str">
        <f>Github!H$2117</f>
        <v>Algorithms</v>
      </c>
      <c r="H1451" s="13" t="str">
        <f>SUBSTITUTE(Github!L$2117, ";", ", ")</f>
        <v>String, Stack, Greedy, </v>
      </c>
      <c r="I1451" s="10" t="str">
        <f>Github!E$2117</f>
        <v>Medium</v>
      </c>
      <c r="J1451" s="10" t="str">
        <f>IF(TRIM(Github!D$2117)="TRUE","FALSE","TRUE")</f>
        <v>TRUE</v>
      </c>
      <c r="K1451" s="10" t="b">
        <f>Github!M$2117</f>
        <v>0</v>
      </c>
      <c r="L1451" s="10" t="b">
        <f>Github!N$2117</f>
        <v>0</v>
      </c>
      <c r="M1451" s="10" t="str">
        <f>ROUND(Github!O$2117, 2)&amp;"%"</f>
        <v>31.18%</v>
      </c>
      <c r="N1451" s="10">
        <f>Github!P$2117</f>
        <v>6841</v>
      </c>
      <c r="O1451" s="10">
        <f>Github!Q$2117</f>
        <v>21945</v>
      </c>
    </row>
    <row r="1452">
      <c r="A1452" s="10">
        <f>Github!J$1830</f>
        <v>1829</v>
      </c>
      <c r="B1452" s="11" t="str">
        <f>HYPERLINK(CONCAT("http://leetcode.com/problems/",Github!C$1830), Github!B$1830)</f>
        <v>Maximum XOR for Each Query</v>
      </c>
      <c r="C1452" s="10">
        <f>Github!F$1830</f>
        <v>364</v>
      </c>
      <c r="D1452" s="10">
        <f>Github!G$1830</f>
        <v>28</v>
      </c>
      <c r="E1452" s="10">
        <f>Github!F$1830+Github!G$1830</f>
        <v>392</v>
      </c>
      <c r="F1452" s="12">
        <f t="shared" si="1"/>
        <v>13</v>
      </c>
      <c r="G1452" s="10" t="str">
        <f>Github!H$1830</f>
        <v>Algorithms</v>
      </c>
      <c r="H1452" s="13" t="str">
        <f>SUBSTITUTE(Github!L$1830, ";", ", ")</f>
        <v>Array, Bit Manipulation, Prefix Sum, </v>
      </c>
      <c r="I1452" s="10" t="str">
        <f>Github!E$1830</f>
        <v>Medium</v>
      </c>
      <c r="J1452" s="10" t="str">
        <f>IF(TRIM(Github!D$1830)="TRUE","FALSE","TRUE")</f>
        <v>TRUE</v>
      </c>
      <c r="K1452" s="10" t="b">
        <f>Github!M$1830</f>
        <v>0</v>
      </c>
      <c r="L1452" s="10" t="b">
        <f>Github!N$1830</f>
        <v>0</v>
      </c>
      <c r="M1452" s="10" t="str">
        <f>ROUND(Github!O$1830, 2)&amp;"%"</f>
        <v>76.02%</v>
      </c>
      <c r="N1452" s="10">
        <f>Github!P$1830</f>
        <v>14595</v>
      </c>
      <c r="O1452" s="10">
        <f>Github!Q$1830</f>
        <v>19200</v>
      </c>
    </row>
    <row r="1453">
      <c r="A1453" s="10">
        <f>Github!J$1960</f>
        <v>1959</v>
      </c>
      <c r="B1453" s="11" t="str">
        <f>HYPERLINK(CONCAT("http://leetcode.com/problems/",Github!C$1960), Github!B$1960)</f>
        <v>Minimum Total Space Wasted With K Resizing Operations</v>
      </c>
      <c r="C1453" s="10">
        <f>Github!F$1960</f>
        <v>363</v>
      </c>
      <c r="D1453" s="10">
        <f>Github!G$1960</f>
        <v>29</v>
      </c>
      <c r="E1453" s="10">
        <f>Github!F$1960+Github!G$1960</f>
        <v>392</v>
      </c>
      <c r="F1453" s="12">
        <f t="shared" si="1"/>
        <v>12.52</v>
      </c>
      <c r="G1453" s="10" t="str">
        <f>Github!H$1960</f>
        <v>Algorithms</v>
      </c>
      <c r="H1453" s="13" t="str">
        <f>SUBSTITUTE(Github!L$1960, ";", ", ")</f>
        <v>Array, Dynamic Programming, </v>
      </c>
      <c r="I1453" s="10" t="str">
        <f>Github!E$1960</f>
        <v>Medium</v>
      </c>
      <c r="J1453" s="10" t="str">
        <f>IF(TRIM(Github!D$1960)="TRUE","FALSE","TRUE")</f>
        <v>TRUE</v>
      </c>
      <c r="K1453" s="10" t="b">
        <f>Github!M$1960</f>
        <v>0</v>
      </c>
      <c r="L1453" s="10" t="b">
        <f>Github!N$1960</f>
        <v>0</v>
      </c>
      <c r="M1453" s="10" t="str">
        <f>ROUND(Github!O$1960, 2)&amp;"%"</f>
        <v>41.71%</v>
      </c>
      <c r="N1453" s="10">
        <f>Github!P$1960</f>
        <v>4977</v>
      </c>
      <c r="O1453" s="10">
        <f>Github!Q$1960</f>
        <v>11932</v>
      </c>
    </row>
    <row r="1454">
      <c r="A1454" s="10">
        <f>Github!J$1719</f>
        <v>1718</v>
      </c>
      <c r="B1454" s="11" t="str">
        <f>HYPERLINK(CONCAT("http://leetcode.com/problems/",Github!C$1719), Github!B$1719)</f>
        <v>Construct the Lexicographically Largest Valid Sequence</v>
      </c>
      <c r="C1454" s="10">
        <f>Github!F$1719</f>
        <v>362</v>
      </c>
      <c r="D1454" s="10">
        <f>Github!G$1719</f>
        <v>33</v>
      </c>
      <c r="E1454" s="10">
        <f>Github!F$1719+Github!G$1719</f>
        <v>395</v>
      </c>
      <c r="F1454" s="12">
        <f t="shared" si="1"/>
        <v>10.97</v>
      </c>
      <c r="G1454" s="10" t="str">
        <f>Github!H$1719</f>
        <v>Algorithms</v>
      </c>
      <c r="H1454" s="13" t="str">
        <f>SUBSTITUTE(Github!L$1719, ";", ", ")</f>
        <v>Array, Backtracking, </v>
      </c>
      <c r="I1454" s="10" t="str">
        <f>Github!E$1719</f>
        <v>Medium</v>
      </c>
      <c r="J1454" s="10" t="str">
        <f>IF(TRIM(Github!D$1719)="TRUE","FALSE","TRUE")</f>
        <v>TRUE</v>
      </c>
      <c r="K1454" s="10" t="b">
        <f>Github!M$1719</f>
        <v>0</v>
      </c>
      <c r="L1454" s="10" t="b">
        <f>Github!N$1719</f>
        <v>0</v>
      </c>
      <c r="M1454" s="10" t="str">
        <f>ROUND(Github!O$1719, 2)&amp;"%"</f>
        <v>51.08%</v>
      </c>
      <c r="N1454" s="10">
        <f>Github!P$1719</f>
        <v>8457</v>
      </c>
      <c r="O1454" s="10">
        <f>Github!Q$1719</f>
        <v>16555</v>
      </c>
    </row>
    <row r="1455">
      <c r="A1455" s="10">
        <f>Github!J$1943</f>
        <v>1942</v>
      </c>
      <c r="B1455" s="11" t="str">
        <f>HYPERLINK(CONCAT("http://leetcode.com/problems/",Github!C$1943), Github!B$1943)</f>
        <v>The Number of the Smallest Unoccupied Chair</v>
      </c>
      <c r="C1455" s="10">
        <f>Github!F$1943</f>
        <v>363</v>
      </c>
      <c r="D1455" s="10">
        <f>Github!G$1943</f>
        <v>18</v>
      </c>
      <c r="E1455" s="10">
        <f>Github!F$1943+Github!G$1943</f>
        <v>381</v>
      </c>
      <c r="F1455" s="12">
        <f t="shared" si="1"/>
        <v>20.17</v>
      </c>
      <c r="G1455" s="10" t="str">
        <f>Github!H$1943</f>
        <v>Algorithms</v>
      </c>
      <c r="H1455" s="13" t="str">
        <f>SUBSTITUTE(Github!L$1943, ";", ", ")</f>
        <v>Array, Heap (Priority Queue), Ordered Set, </v>
      </c>
      <c r="I1455" s="10" t="str">
        <f>Github!E$1943</f>
        <v>Medium</v>
      </c>
      <c r="J1455" s="10" t="str">
        <f>IF(TRIM(Github!D$1943)="TRUE","FALSE","TRUE")</f>
        <v>TRUE</v>
      </c>
      <c r="K1455" s="10" t="b">
        <f>Github!M$1943</f>
        <v>0</v>
      </c>
      <c r="L1455" s="10" t="b">
        <f>Github!N$1943</f>
        <v>0</v>
      </c>
      <c r="M1455" s="10" t="str">
        <f>ROUND(Github!O$1943, 2)&amp;"%"</f>
        <v>38.59%</v>
      </c>
      <c r="N1455" s="10">
        <f>Github!P$1943</f>
        <v>10479</v>
      </c>
      <c r="O1455" s="10">
        <f>Github!Q$1943</f>
        <v>27154</v>
      </c>
    </row>
    <row r="1456">
      <c r="A1456" s="10">
        <f>Github!J$523</f>
        <v>522</v>
      </c>
      <c r="B1456" s="11" t="str">
        <f>HYPERLINK(CONCAT("http://leetcode.com/problems/",Github!C$523), Github!B$523)</f>
        <v>Longest Uncommon Subsequence II</v>
      </c>
      <c r="C1456" s="10">
        <f>Github!F$523</f>
        <v>361</v>
      </c>
      <c r="D1456" s="10">
        <f>Github!G$523</f>
        <v>1043</v>
      </c>
      <c r="E1456" s="10">
        <f>Github!F$523+Github!G$523</f>
        <v>1404</v>
      </c>
      <c r="F1456" s="12">
        <f t="shared" si="1"/>
        <v>0.35</v>
      </c>
      <c r="G1456" s="10" t="str">
        <f>Github!H$523</f>
        <v>Algorithms</v>
      </c>
      <c r="H1456" s="13" t="str">
        <f>SUBSTITUTE(Github!L$523, ";", ", ")</f>
        <v>Array, Hash Table, Two Pointers, String, Sorting, </v>
      </c>
      <c r="I1456" s="10" t="str">
        <f>Github!E$523</f>
        <v>Medium</v>
      </c>
      <c r="J1456" s="10" t="str">
        <f>IF(TRIM(Github!D$523)="TRUE","FALSE","TRUE")</f>
        <v>TRUE</v>
      </c>
      <c r="K1456" s="10" t="b">
        <f>Github!M$523</f>
        <v>1</v>
      </c>
      <c r="L1456" s="10" t="b">
        <f>Github!N$523</f>
        <v>0</v>
      </c>
      <c r="M1456" s="10" t="str">
        <f>ROUND(Github!O$523, 2)&amp;"%"</f>
        <v>40.06%</v>
      </c>
      <c r="N1456" s="10">
        <f>Github!P$523</f>
        <v>42368</v>
      </c>
      <c r="O1456" s="10">
        <f>Github!Q$523</f>
        <v>105751</v>
      </c>
    </row>
    <row r="1457">
      <c r="A1457" s="10">
        <f>Github!J$641</f>
        <v>640</v>
      </c>
      <c r="B1457" s="11" t="str">
        <f>HYPERLINK(CONCAT("http://leetcode.com/problems/",Github!C$641), Github!B$641)</f>
        <v>Solve the Equation</v>
      </c>
      <c r="C1457" s="10">
        <f>Github!F$641</f>
        <v>360</v>
      </c>
      <c r="D1457" s="10">
        <f>Github!G$641</f>
        <v>681</v>
      </c>
      <c r="E1457" s="10">
        <f>Github!F$641+Github!G$641</f>
        <v>1041</v>
      </c>
      <c r="F1457" s="12">
        <f t="shared" si="1"/>
        <v>0.53</v>
      </c>
      <c r="G1457" s="10" t="str">
        <f>Github!H$641</f>
        <v>Algorithms</v>
      </c>
      <c r="H1457" s="13" t="str">
        <f>SUBSTITUTE(Github!L$641, ";", ", ")</f>
        <v>Math, String, Simulation, </v>
      </c>
      <c r="I1457" s="10" t="str">
        <f>Github!E$641</f>
        <v>Medium</v>
      </c>
      <c r="J1457" s="10" t="str">
        <f>IF(TRIM(Github!D$641)="TRUE","FALSE","TRUE")</f>
        <v>TRUE</v>
      </c>
      <c r="K1457" s="10" t="b">
        <f>Github!M$641</f>
        <v>1</v>
      </c>
      <c r="L1457" s="10" t="b">
        <f>Github!N$641</f>
        <v>0</v>
      </c>
      <c r="M1457" s="10" t="str">
        <f>ROUND(Github!O$641, 2)&amp;"%"</f>
        <v>43.28%</v>
      </c>
      <c r="N1457" s="10">
        <f>Github!P$641</f>
        <v>31644</v>
      </c>
      <c r="O1457" s="10">
        <f>Github!Q$641</f>
        <v>73115</v>
      </c>
    </row>
    <row r="1458">
      <c r="A1458" s="10">
        <f>Github!J$859</f>
        <v>858</v>
      </c>
      <c r="B1458" s="11" t="str">
        <f>HYPERLINK(CONCAT("http://leetcode.com/problems/",Github!C$859), Github!B$859)</f>
        <v>Mirror Reflection</v>
      </c>
      <c r="C1458" s="10">
        <f>Github!F$859</f>
        <v>361</v>
      </c>
      <c r="D1458" s="10">
        <f>Github!G$859</f>
        <v>706</v>
      </c>
      <c r="E1458" s="10">
        <f>Github!F$859+Github!G$859</f>
        <v>1067</v>
      </c>
      <c r="F1458" s="12">
        <f t="shared" si="1"/>
        <v>0.51</v>
      </c>
      <c r="G1458" s="10" t="str">
        <f>Github!H$859</f>
        <v>Algorithms</v>
      </c>
      <c r="H1458" s="13" t="str">
        <f>SUBSTITUTE(Github!L$859, ";", ", ")</f>
        <v>Math, Geometry, </v>
      </c>
      <c r="I1458" s="10" t="str">
        <f>Github!E$859</f>
        <v>Medium</v>
      </c>
      <c r="J1458" s="10" t="str">
        <f>IF(TRIM(Github!D$859)="TRUE","FALSE","TRUE")</f>
        <v>TRUE</v>
      </c>
      <c r="K1458" s="10" t="b">
        <f>Github!M$859</f>
        <v>0</v>
      </c>
      <c r="L1458" s="10" t="b">
        <f>Github!N$859</f>
        <v>0</v>
      </c>
      <c r="M1458" s="10" t="str">
        <f>ROUND(Github!O$859, 2)&amp;"%"</f>
        <v>59.55%</v>
      </c>
      <c r="N1458" s="10">
        <f>Github!P$859</f>
        <v>26083</v>
      </c>
      <c r="O1458" s="10">
        <f>Github!Q$859</f>
        <v>43799</v>
      </c>
    </row>
    <row r="1459">
      <c r="A1459" s="10">
        <f>Github!J$394</f>
        <v>393</v>
      </c>
      <c r="B1459" s="11" t="str">
        <f>HYPERLINK(CONCAT("http://leetcode.com/problems/",Github!C$394), Github!B$394)</f>
        <v>UTF-8 Validation</v>
      </c>
      <c r="C1459" s="10">
        <f>Github!F$394</f>
        <v>359</v>
      </c>
      <c r="D1459" s="10">
        <f>Github!G$394</f>
        <v>1489</v>
      </c>
      <c r="E1459" s="10">
        <f>Github!F$394+Github!G$394</f>
        <v>1848</v>
      </c>
      <c r="F1459" s="12">
        <f t="shared" si="1"/>
        <v>0.24</v>
      </c>
      <c r="G1459" s="10" t="str">
        <f>Github!H$394</f>
        <v>Algorithms</v>
      </c>
      <c r="H1459" s="13" t="str">
        <f>SUBSTITUTE(Github!L$394, ";", ", ")</f>
        <v>Array, Bit Manipulation, </v>
      </c>
      <c r="I1459" s="10" t="str">
        <f>Github!E$394</f>
        <v>Medium</v>
      </c>
      <c r="J1459" s="10" t="str">
        <f>IF(TRIM(Github!D$394)="TRUE","FALSE","TRUE")</f>
        <v>TRUE</v>
      </c>
      <c r="K1459" s="10" t="b">
        <f>Github!M$394</f>
        <v>1</v>
      </c>
      <c r="L1459" s="10" t="b">
        <f>Github!N$394</f>
        <v>0</v>
      </c>
      <c r="M1459" s="10" t="str">
        <f>ROUND(Github!O$394, 2)&amp;"%"</f>
        <v>39.09%</v>
      </c>
      <c r="N1459" s="10">
        <f>Github!P$394</f>
        <v>66359</v>
      </c>
      <c r="O1459" s="10">
        <f>Github!Q$394</f>
        <v>169750</v>
      </c>
    </row>
    <row r="1460">
      <c r="A1460" s="10">
        <f>Github!J$1760</f>
        <v>1759</v>
      </c>
      <c r="B1460" s="11" t="str">
        <f>HYPERLINK(CONCAT("http://leetcode.com/problems/",Github!C$1760), Github!B$1760)</f>
        <v>Count Number of Homogenous Substrings</v>
      </c>
      <c r="C1460" s="10">
        <f>Github!F$1760</f>
        <v>359</v>
      </c>
      <c r="D1460" s="10">
        <f>Github!G$1760</f>
        <v>35</v>
      </c>
      <c r="E1460" s="10">
        <f>Github!F$1760+Github!G$1760</f>
        <v>394</v>
      </c>
      <c r="F1460" s="12">
        <f t="shared" si="1"/>
        <v>10.26</v>
      </c>
      <c r="G1460" s="10" t="str">
        <f>Github!H$1760</f>
        <v>Algorithms</v>
      </c>
      <c r="H1460" s="13" t="str">
        <f>SUBSTITUTE(Github!L$1760, ";", ", ")</f>
        <v>Math, String, </v>
      </c>
      <c r="I1460" s="10" t="str">
        <f>Github!E$1760</f>
        <v>Medium</v>
      </c>
      <c r="J1460" s="10" t="str">
        <f>IF(TRIM(Github!D$1760)="TRUE","FALSE","TRUE")</f>
        <v>TRUE</v>
      </c>
      <c r="K1460" s="10" t="b">
        <f>Github!M$1760</f>
        <v>0</v>
      </c>
      <c r="L1460" s="10" t="b">
        <f>Github!N$1760</f>
        <v>0</v>
      </c>
      <c r="M1460" s="10" t="str">
        <f>ROUND(Github!O$1760, 2)&amp;"%"</f>
        <v>46.05%</v>
      </c>
      <c r="N1460" s="10">
        <f>Github!P$1760</f>
        <v>17345</v>
      </c>
      <c r="O1460" s="10">
        <f>Github!Q$1760</f>
        <v>37664</v>
      </c>
    </row>
    <row r="1461">
      <c r="A1461" s="10">
        <f>Github!J$1954</f>
        <v>1953</v>
      </c>
      <c r="B1461" s="11" t="str">
        <f>HYPERLINK(CONCAT("http://leetcode.com/problems/",Github!C$1954), Github!B$1954)</f>
        <v>Maximum Number of Weeks for Which You Can Work</v>
      </c>
      <c r="C1461" s="10">
        <f>Github!F$1954</f>
        <v>360</v>
      </c>
      <c r="D1461" s="10">
        <f>Github!G$1954</f>
        <v>92</v>
      </c>
      <c r="E1461" s="10">
        <f>Github!F$1954+Github!G$1954</f>
        <v>452</v>
      </c>
      <c r="F1461" s="12">
        <f t="shared" si="1"/>
        <v>3.91</v>
      </c>
      <c r="G1461" s="10" t="str">
        <f>Github!H$1954</f>
        <v>Algorithms</v>
      </c>
      <c r="H1461" s="13" t="str">
        <f>SUBSTITUTE(Github!L$1954, ";", ", ")</f>
        <v>Array, Greedy, </v>
      </c>
      <c r="I1461" s="10" t="str">
        <f>Github!E$1954</f>
        <v>Medium</v>
      </c>
      <c r="J1461" s="10" t="str">
        <f>IF(TRIM(Github!D$1954)="TRUE","FALSE","TRUE")</f>
        <v>TRUE</v>
      </c>
      <c r="K1461" s="10" t="b">
        <f>Github!M$1954</f>
        <v>0</v>
      </c>
      <c r="L1461" s="10" t="b">
        <f>Github!N$1954</f>
        <v>0</v>
      </c>
      <c r="M1461" s="10" t="str">
        <f>ROUND(Github!O$1954, 2)&amp;"%"</f>
        <v>37.12%</v>
      </c>
      <c r="N1461" s="10">
        <f>Github!P$1954</f>
        <v>13617</v>
      </c>
      <c r="O1461" s="10">
        <f>Github!Q$1954</f>
        <v>36687</v>
      </c>
    </row>
    <row r="1462">
      <c r="A1462" s="10">
        <f>Github!J$2055</f>
        <v>2054</v>
      </c>
      <c r="B1462" s="11" t="str">
        <f>HYPERLINK(CONCAT("http://leetcode.com/problems/",Github!C$2055), Github!B$2055)</f>
        <v>Two Best Non-Overlapping Events</v>
      </c>
      <c r="C1462" s="10">
        <f>Github!F$2055</f>
        <v>359</v>
      </c>
      <c r="D1462" s="10">
        <f>Github!G$2055</f>
        <v>7</v>
      </c>
      <c r="E1462" s="10">
        <f>Github!F$2055+Github!G$2055</f>
        <v>366</v>
      </c>
      <c r="F1462" s="12">
        <f t="shared" si="1"/>
        <v>51.29</v>
      </c>
      <c r="G1462" s="10" t="str">
        <f>Github!H$2055</f>
        <v>Algorithms</v>
      </c>
      <c r="H1462" s="13" t="str">
        <f>SUBSTITUTE(Github!L$2055, ";", ", ")</f>
        <v>Array, Binary Search, Dynamic Programming, Sorting, Heap (Priority Queue), </v>
      </c>
      <c r="I1462" s="10" t="str">
        <f>Github!E$2055</f>
        <v>Medium</v>
      </c>
      <c r="J1462" s="10" t="str">
        <f>IF(TRIM(Github!D$2055)="TRUE","FALSE","TRUE")</f>
        <v>TRUE</v>
      </c>
      <c r="K1462" s="10" t="b">
        <f>Github!M$2055</f>
        <v>0</v>
      </c>
      <c r="L1462" s="10" t="b">
        <f>Github!N$2055</f>
        <v>0</v>
      </c>
      <c r="M1462" s="10" t="str">
        <f>ROUND(Github!O$2055, 2)&amp;"%"</f>
        <v>42.87%</v>
      </c>
      <c r="N1462" s="10">
        <f>Github!P$2055</f>
        <v>7792</v>
      </c>
      <c r="O1462" s="10">
        <f>Github!Q$2055</f>
        <v>18174</v>
      </c>
    </row>
    <row r="1463">
      <c r="A1463" s="10">
        <f>Github!J$496</f>
        <v>495</v>
      </c>
      <c r="B1463" s="11" t="str">
        <f>HYPERLINK(CONCAT("http://leetcode.com/problems/",Github!C$496), Github!B$496)</f>
        <v>Teemo Attacking</v>
      </c>
      <c r="C1463" s="10">
        <f>Github!F$496</f>
        <v>358</v>
      </c>
      <c r="D1463" s="10">
        <f>Github!G$496</f>
        <v>34</v>
      </c>
      <c r="E1463" s="10">
        <f>Github!F$496+Github!G$496</f>
        <v>392</v>
      </c>
      <c r="F1463" s="12">
        <f t="shared" si="1"/>
        <v>10.53</v>
      </c>
      <c r="G1463" s="10" t="str">
        <f>Github!H$496</f>
        <v>Algorithms</v>
      </c>
      <c r="H1463" s="13" t="str">
        <f>SUBSTITUTE(Github!L$496, ";", ", ")</f>
        <v>Array, Simulation, </v>
      </c>
      <c r="I1463" s="10" t="str">
        <f>Github!E$496</f>
        <v>Easy</v>
      </c>
      <c r="J1463" s="10" t="str">
        <f>IF(TRIM(Github!D$496)="TRUE","FALSE","TRUE")</f>
        <v>TRUE</v>
      </c>
      <c r="K1463" s="10" t="b">
        <f>Github!M$496</f>
        <v>1</v>
      </c>
      <c r="L1463" s="10" t="b">
        <f>Github!N$496</f>
        <v>0</v>
      </c>
      <c r="M1463" s="10" t="str">
        <f>ROUND(Github!O$496, 2)&amp;"%"</f>
        <v>56.84%</v>
      </c>
      <c r="N1463" s="10">
        <f>Github!P$496</f>
        <v>95237</v>
      </c>
      <c r="O1463" s="10">
        <f>Github!Q$496</f>
        <v>167558</v>
      </c>
    </row>
    <row r="1464">
      <c r="A1464" s="10">
        <f>Github!J$2100</f>
        <v>2099</v>
      </c>
      <c r="B1464" s="11" t="str">
        <f>HYPERLINK(CONCAT("http://leetcode.com/problems/",Github!C$2100), Github!B$2100)</f>
        <v>Find Subsequence of Length K With the Largest Sum</v>
      </c>
      <c r="C1464" s="10">
        <f>Github!F$2100</f>
        <v>359</v>
      </c>
      <c r="D1464" s="10">
        <f>Github!G$2100</f>
        <v>27</v>
      </c>
      <c r="E1464" s="10">
        <f>Github!F$2100+Github!G$2100</f>
        <v>386</v>
      </c>
      <c r="F1464" s="12">
        <f t="shared" si="1"/>
        <v>13.3</v>
      </c>
      <c r="G1464" s="10" t="str">
        <f>Github!H$2100</f>
        <v>Algorithms</v>
      </c>
      <c r="H1464" s="13" t="str">
        <f>SUBSTITUTE(Github!L$2100, ";", ", ")</f>
        <v>Array, Hash Table, Sorting, Heap (Priority Queue), </v>
      </c>
      <c r="I1464" s="10" t="str">
        <f>Github!E$2100</f>
        <v>Easy</v>
      </c>
      <c r="J1464" s="10" t="str">
        <f>IF(TRIM(Github!D$2100)="TRUE","FALSE","TRUE")</f>
        <v>TRUE</v>
      </c>
      <c r="K1464" s="10" t="b">
        <f>Github!M$2100</f>
        <v>0</v>
      </c>
      <c r="L1464" s="10" t="b">
        <f>Github!N$2100</f>
        <v>0</v>
      </c>
      <c r="M1464" s="10" t="str">
        <f>ROUND(Github!O$2100, 2)&amp;"%"</f>
        <v>44.09%</v>
      </c>
      <c r="N1464" s="10">
        <f>Github!P$2100</f>
        <v>13269</v>
      </c>
      <c r="O1464" s="10">
        <f>Github!Q$2100</f>
        <v>30092</v>
      </c>
    </row>
    <row r="1465">
      <c r="A1465" s="10">
        <f>Github!J$1275</f>
        <v>1274</v>
      </c>
      <c r="B1465" s="11" t="str">
        <f>HYPERLINK(CONCAT("http://leetcode.com/problems/",Github!C$1275), Github!B$1275)</f>
        <v>Number of Ships in a Rectangle</v>
      </c>
      <c r="C1465" s="10">
        <f>Github!F$1275</f>
        <v>357</v>
      </c>
      <c r="D1465" s="10">
        <f>Github!G$1275</f>
        <v>42</v>
      </c>
      <c r="E1465" s="10">
        <f>Github!F$1275+Github!G$1275</f>
        <v>399</v>
      </c>
      <c r="F1465" s="12">
        <f t="shared" si="1"/>
        <v>8.5</v>
      </c>
      <c r="G1465" s="10" t="str">
        <f>Github!H$1275</f>
        <v>Algorithms</v>
      </c>
      <c r="H1465" s="13" t="str">
        <f>SUBSTITUTE(Github!L$1275, ";", ", ")</f>
        <v>Array, Divide and Conquer, Interactive, </v>
      </c>
      <c r="I1465" s="10" t="str">
        <f>Github!E$1275</f>
        <v>Hard</v>
      </c>
      <c r="J1465" s="10" t="str">
        <f>IF(TRIM(Github!D$1275)="TRUE","FALSE","TRUE")</f>
        <v>FALSE</v>
      </c>
      <c r="K1465" s="10" t="b">
        <f>Github!M$1275</f>
        <v>1</v>
      </c>
      <c r="L1465" s="10" t="b">
        <f>Github!N$1275</f>
        <v>0</v>
      </c>
      <c r="M1465" s="10" t="str">
        <f>ROUND(Github!O$1275, 2)&amp;"%"</f>
        <v>68.48%</v>
      </c>
      <c r="N1465" s="10">
        <f>Github!P$1275</f>
        <v>16727</v>
      </c>
      <c r="O1465" s="10">
        <f>Github!Q$1275</f>
        <v>24427</v>
      </c>
    </row>
    <row r="1466">
      <c r="A1466" s="10">
        <f>Github!J$1569</f>
        <v>1568</v>
      </c>
      <c r="B1466" s="11" t="str">
        <f>HYPERLINK(CONCAT("http://leetcode.com/problems/",Github!C$1569), Github!B$1569)</f>
        <v>Minimum Number of Days to Disconnect Island</v>
      </c>
      <c r="C1466" s="10">
        <f>Github!F$1569</f>
        <v>357</v>
      </c>
      <c r="D1466" s="10">
        <f>Github!G$1569</f>
        <v>118</v>
      </c>
      <c r="E1466" s="10">
        <f>Github!F$1569+Github!G$1569</f>
        <v>475</v>
      </c>
      <c r="F1466" s="12">
        <f t="shared" si="1"/>
        <v>3.03</v>
      </c>
      <c r="G1466" s="10" t="str">
        <f>Github!H$1569</f>
        <v>Algorithms</v>
      </c>
      <c r="H1466" s="13" t="str">
        <f>SUBSTITUTE(Github!L$1569, ";", ", ")</f>
        <v>Array, Depth-First Search, Breadth-First Search, Matrix, Strongly Connected Component, </v>
      </c>
      <c r="I1466" s="10" t="str">
        <f>Github!E$1569</f>
        <v>Hard</v>
      </c>
      <c r="J1466" s="10" t="str">
        <f>IF(TRIM(Github!D$1569)="TRUE","FALSE","TRUE")</f>
        <v>TRUE</v>
      </c>
      <c r="K1466" s="10" t="b">
        <f>Github!M$1569</f>
        <v>0</v>
      </c>
      <c r="L1466" s="10" t="b">
        <f>Github!N$1569</f>
        <v>0</v>
      </c>
      <c r="M1466" s="10" t="str">
        <f>ROUND(Github!O$1569, 2)&amp;"%"</f>
        <v>48.76%</v>
      </c>
      <c r="N1466" s="10">
        <f>Github!P$1569</f>
        <v>7997</v>
      </c>
      <c r="O1466" s="10">
        <f>Github!Q$1569</f>
        <v>16400</v>
      </c>
    </row>
    <row r="1467">
      <c r="A1467" s="10">
        <f>Github!J$1669</f>
        <v>1668</v>
      </c>
      <c r="B1467" s="11" t="str">
        <f>HYPERLINK(CONCAT("http://leetcode.com/problems/",Github!C$1669), Github!B$1669)</f>
        <v>Maximum Repeating Substring</v>
      </c>
      <c r="C1467" s="10">
        <f>Github!F$1669</f>
        <v>357</v>
      </c>
      <c r="D1467" s="10">
        <f>Github!G$1669</f>
        <v>117</v>
      </c>
      <c r="E1467" s="10">
        <f>Github!F$1669+Github!G$1669</f>
        <v>474</v>
      </c>
      <c r="F1467" s="12">
        <f t="shared" si="1"/>
        <v>3.05</v>
      </c>
      <c r="G1467" s="10" t="str">
        <f>Github!H$1669</f>
        <v>Algorithms</v>
      </c>
      <c r="H1467" s="13" t="str">
        <f>SUBSTITUTE(Github!L$1669, ";", ", ")</f>
        <v>String, String Matching, </v>
      </c>
      <c r="I1467" s="10" t="str">
        <f>Github!E$1669</f>
        <v>Easy</v>
      </c>
      <c r="J1467" s="10" t="str">
        <f>IF(TRIM(Github!D$1669)="TRUE","FALSE","TRUE")</f>
        <v>TRUE</v>
      </c>
      <c r="K1467" s="10" t="b">
        <f>Github!M$1669</f>
        <v>0</v>
      </c>
      <c r="L1467" s="10" t="b">
        <f>Github!N$1669</f>
        <v>0</v>
      </c>
      <c r="M1467" s="10" t="str">
        <f>ROUND(Github!O$1669, 2)&amp;"%"</f>
        <v>39.5%</v>
      </c>
      <c r="N1467" s="10">
        <f>Github!P$1669</f>
        <v>22625</v>
      </c>
      <c r="O1467" s="10">
        <f>Github!Q$1669</f>
        <v>57282</v>
      </c>
    </row>
    <row r="1468">
      <c r="A1468" s="10">
        <f>Github!J$1845</f>
        <v>1844</v>
      </c>
      <c r="B1468" s="11" t="str">
        <f>HYPERLINK(CONCAT("http://leetcode.com/problems/",Github!C$1845), Github!B$1845)</f>
        <v>Replace All Digits with Characters</v>
      </c>
      <c r="C1468" s="10">
        <f>Github!F$1845</f>
        <v>357</v>
      </c>
      <c r="D1468" s="10">
        <f>Github!G$1845</f>
        <v>45</v>
      </c>
      <c r="E1468" s="10">
        <f>Github!F$1845+Github!G$1845</f>
        <v>402</v>
      </c>
      <c r="F1468" s="12">
        <f t="shared" si="1"/>
        <v>7.93</v>
      </c>
      <c r="G1468" s="10" t="str">
        <f>Github!H$1845</f>
        <v>Algorithms</v>
      </c>
      <c r="H1468" s="13" t="str">
        <f>SUBSTITUTE(Github!L$1845, ";", ", ")</f>
        <v>String, </v>
      </c>
      <c r="I1468" s="10" t="str">
        <f>Github!E$1845</f>
        <v>Easy</v>
      </c>
      <c r="J1468" s="10" t="str">
        <f>IF(TRIM(Github!D$1845)="TRUE","FALSE","TRUE")</f>
        <v>TRUE</v>
      </c>
      <c r="K1468" s="10" t="b">
        <f>Github!M$1845</f>
        <v>0</v>
      </c>
      <c r="L1468" s="10" t="b">
        <f>Github!N$1845</f>
        <v>0</v>
      </c>
      <c r="M1468" s="10" t="str">
        <f>ROUND(Github!O$1845, 2)&amp;"%"</f>
        <v>80.11%</v>
      </c>
      <c r="N1468" s="10">
        <f>Github!P$1845</f>
        <v>36631</v>
      </c>
      <c r="O1468" s="10">
        <f>Github!Q$1845</f>
        <v>45727</v>
      </c>
    </row>
    <row r="1469">
      <c r="A1469" s="10">
        <f>Github!J$545</f>
        <v>544</v>
      </c>
      <c r="B1469" s="11" t="str">
        <f>HYPERLINK(CONCAT("http://leetcode.com/problems/",Github!C$545), Github!B$545)</f>
        <v>Output Contest Matches</v>
      </c>
      <c r="C1469" s="10">
        <f>Github!F$545</f>
        <v>355</v>
      </c>
      <c r="D1469" s="10">
        <f>Github!G$545</f>
        <v>114</v>
      </c>
      <c r="E1469" s="10">
        <f>Github!F$545+Github!G$545</f>
        <v>469</v>
      </c>
      <c r="F1469" s="12">
        <f t="shared" si="1"/>
        <v>3.11</v>
      </c>
      <c r="G1469" s="10" t="str">
        <f>Github!H$545</f>
        <v>Algorithms</v>
      </c>
      <c r="H1469" s="13" t="str">
        <f>SUBSTITUTE(Github!L$545, ";", ", ")</f>
        <v>String, Recursion, Simulation, </v>
      </c>
      <c r="I1469" s="10" t="str">
        <f>Github!E$545</f>
        <v>Medium</v>
      </c>
      <c r="J1469" s="10" t="str">
        <f>IF(TRIM(Github!D$545)="TRUE","FALSE","TRUE")</f>
        <v>FALSE</v>
      </c>
      <c r="K1469" s="10" t="b">
        <f>Github!M$545</f>
        <v>0</v>
      </c>
      <c r="L1469" s="10" t="b">
        <f>Github!N$545</f>
        <v>0</v>
      </c>
      <c r="M1469" s="10" t="str">
        <f>ROUND(Github!O$545, 2)&amp;"%"</f>
        <v>76.37%</v>
      </c>
      <c r="N1469" s="10">
        <f>Github!P$545</f>
        <v>24497</v>
      </c>
      <c r="O1469" s="10">
        <f>Github!Q$545</f>
        <v>32078</v>
      </c>
    </row>
    <row r="1470">
      <c r="A1470" s="10">
        <f>Github!J$1097</f>
        <v>1096</v>
      </c>
      <c r="B1470" s="11" t="str">
        <f>HYPERLINK(CONCAT("http://leetcode.com/problems/",Github!C$1097), Github!B$1097)</f>
        <v>Brace Expansion II</v>
      </c>
      <c r="C1470" s="10">
        <f>Github!F$1097</f>
        <v>355</v>
      </c>
      <c r="D1470" s="10">
        <f>Github!G$1097</f>
        <v>224</v>
      </c>
      <c r="E1470" s="10">
        <f>Github!F$1097+Github!G$1097</f>
        <v>579</v>
      </c>
      <c r="F1470" s="12">
        <f t="shared" si="1"/>
        <v>1.58</v>
      </c>
      <c r="G1470" s="10" t="str">
        <f>Github!H$1097</f>
        <v>Algorithms</v>
      </c>
      <c r="H1470" s="13" t="str">
        <f>SUBSTITUTE(Github!L$1097, ";", ", ")</f>
        <v>String, Backtracking, Stack, Breadth-First Search, </v>
      </c>
      <c r="I1470" s="10" t="str">
        <f>Github!E$1097</f>
        <v>Hard</v>
      </c>
      <c r="J1470" s="10" t="str">
        <f>IF(TRIM(Github!D$1097)="TRUE","FALSE","TRUE")</f>
        <v>TRUE</v>
      </c>
      <c r="K1470" s="10" t="b">
        <f>Github!M$1097</f>
        <v>0</v>
      </c>
      <c r="L1470" s="10" t="b">
        <f>Github!N$1097</f>
        <v>0</v>
      </c>
      <c r="M1470" s="10" t="str">
        <f>ROUND(Github!O$1097, 2)&amp;"%"</f>
        <v>62.49%</v>
      </c>
      <c r="N1470" s="10">
        <f>Github!P$1097</f>
        <v>18314</v>
      </c>
      <c r="O1470" s="10">
        <f>Github!Q$1097</f>
        <v>29307</v>
      </c>
    </row>
    <row r="1471">
      <c r="A1471" s="10">
        <f>Github!J$1477</f>
        <v>1476</v>
      </c>
      <c r="B1471" s="11" t="str">
        <f>HYPERLINK(CONCAT("http://leetcode.com/problems/",Github!C$1477), Github!B$1477)</f>
        <v>Subrectangle Queries</v>
      </c>
      <c r="C1471" s="10">
        <f>Github!F$1477</f>
        <v>355</v>
      </c>
      <c r="D1471" s="10">
        <f>Github!G$1477</f>
        <v>942</v>
      </c>
      <c r="E1471" s="10">
        <f>Github!F$1477+Github!G$1477</f>
        <v>1297</v>
      </c>
      <c r="F1471" s="12">
        <f t="shared" si="1"/>
        <v>0.38</v>
      </c>
      <c r="G1471" s="10" t="str">
        <f>Github!H$1477</f>
        <v>Algorithms</v>
      </c>
      <c r="H1471" s="13" t="str">
        <f>SUBSTITUTE(Github!L$1477, ";", ", ")</f>
        <v>Array, Design, Matrix, </v>
      </c>
      <c r="I1471" s="10" t="str">
        <f>Github!E$1477</f>
        <v>Medium</v>
      </c>
      <c r="J1471" s="10" t="str">
        <f>IF(TRIM(Github!D$1477)="TRUE","FALSE","TRUE")</f>
        <v>TRUE</v>
      </c>
      <c r="K1471" s="10" t="b">
        <f>Github!M$1477</f>
        <v>0</v>
      </c>
      <c r="L1471" s="10" t="b">
        <f>Github!N$1477</f>
        <v>0</v>
      </c>
      <c r="M1471" s="10" t="str">
        <f>ROUND(Github!O$1477, 2)&amp;"%"</f>
        <v>88.24%</v>
      </c>
      <c r="N1471" s="10">
        <f>Github!P$1477</f>
        <v>67104</v>
      </c>
      <c r="O1471" s="10">
        <f>Github!Q$1477</f>
        <v>76045</v>
      </c>
    </row>
    <row r="1472">
      <c r="A1472" s="10">
        <f>Github!J$2050</f>
        <v>2049</v>
      </c>
      <c r="B1472" s="11" t="str">
        <f>HYPERLINK(CONCAT("http://leetcode.com/problems/",Github!C$2050), Github!B$2050)</f>
        <v>Count Nodes With the Highest Score</v>
      </c>
      <c r="C1472" s="10">
        <f>Github!F$2050</f>
        <v>358</v>
      </c>
      <c r="D1472" s="10">
        <f>Github!G$2050</f>
        <v>24</v>
      </c>
      <c r="E1472" s="10">
        <f>Github!F$2050+Github!G$2050</f>
        <v>382</v>
      </c>
      <c r="F1472" s="12">
        <f t="shared" si="1"/>
        <v>14.92</v>
      </c>
      <c r="G1472" s="10" t="str">
        <f>Github!H$2050</f>
        <v>Algorithms</v>
      </c>
      <c r="H1472" s="13" t="str">
        <f>SUBSTITUTE(Github!L$2050, ";", ", ")</f>
        <v>Array, Tree, Depth-First Search, Binary Tree, </v>
      </c>
      <c r="I1472" s="10" t="str">
        <f>Github!E$2050</f>
        <v>Medium</v>
      </c>
      <c r="J1472" s="10" t="str">
        <f>IF(TRIM(Github!D$2050)="TRUE","FALSE","TRUE")</f>
        <v>TRUE</v>
      </c>
      <c r="K1472" s="10" t="b">
        <f>Github!M$2050</f>
        <v>0</v>
      </c>
      <c r="L1472" s="10" t="b">
        <f>Github!N$2050</f>
        <v>0</v>
      </c>
      <c r="M1472" s="10" t="str">
        <f>ROUND(Github!O$2050, 2)&amp;"%"</f>
        <v>46.38%</v>
      </c>
      <c r="N1472" s="10">
        <f>Github!P$2050</f>
        <v>8921</v>
      </c>
      <c r="O1472" s="10">
        <f>Github!Q$2050</f>
        <v>19234</v>
      </c>
    </row>
    <row r="1473">
      <c r="A1473" s="10">
        <f>Github!J$386</f>
        <v>385</v>
      </c>
      <c r="B1473" s="11" t="str">
        <f>HYPERLINK(CONCAT("http://leetcode.com/problems/",Github!C$386), Github!B$386)</f>
        <v>Mini Parser</v>
      </c>
      <c r="C1473" s="10">
        <f>Github!F$386</f>
        <v>354</v>
      </c>
      <c r="D1473" s="10">
        <f>Github!G$386</f>
        <v>1111</v>
      </c>
      <c r="E1473" s="10">
        <f>Github!F$386+Github!G$386</f>
        <v>1465</v>
      </c>
      <c r="F1473" s="12">
        <f t="shared" si="1"/>
        <v>0.32</v>
      </c>
      <c r="G1473" s="10" t="str">
        <f>Github!H$386</f>
        <v>Algorithms</v>
      </c>
      <c r="H1473" s="13" t="str">
        <f>SUBSTITUTE(Github!L$386, ";", ", ")</f>
        <v>String, Stack, Depth-First Search, </v>
      </c>
      <c r="I1473" s="10" t="str">
        <f>Github!E$386</f>
        <v>Medium</v>
      </c>
      <c r="J1473" s="10" t="str">
        <f>IF(TRIM(Github!D$386)="TRUE","FALSE","TRUE")</f>
        <v>TRUE</v>
      </c>
      <c r="K1473" s="10" t="b">
        <f>Github!M$386</f>
        <v>0</v>
      </c>
      <c r="L1473" s="10" t="b">
        <f>Github!N$386</f>
        <v>0</v>
      </c>
      <c r="M1473" s="10" t="str">
        <f>ROUND(Github!O$386, 2)&amp;"%"</f>
        <v>35.73%</v>
      </c>
      <c r="N1473" s="10">
        <f>Github!P$386</f>
        <v>47139</v>
      </c>
      <c r="O1473" s="10">
        <f>Github!Q$386</f>
        <v>131947</v>
      </c>
    </row>
    <row r="1474">
      <c r="A1474" s="10">
        <f>Github!J$479</f>
        <v>478</v>
      </c>
      <c r="B1474" s="11" t="str">
        <f>HYPERLINK(CONCAT("http://leetcode.com/problems/",Github!C$479), Github!B$479)</f>
        <v>Generate Random Point in a Circle</v>
      </c>
      <c r="C1474" s="10">
        <f>Github!F$479</f>
        <v>354</v>
      </c>
      <c r="D1474" s="10">
        <f>Github!G$479</f>
        <v>664</v>
      </c>
      <c r="E1474" s="10">
        <f>Github!F$479+Github!G$479</f>
        <v>1018</v>
      </c>
      <c r="F1474" s="12">
        <f t="shared" si="1"/>
        <v>0.53</v>
      </c>
      <c r="G1474" s="10" t="str">
        <f>Github!H$479</f>
        <v>Algorithms</v>
      </c>
      <c r="H1474" s="13" t="str">
        <f>SUBSTITUTE(Github!L$479, ";", ", ")</f>
        <v>Math, Geometry, Rejection Sampling, Randomized, </v>
      </c>
      <c r="I1474" s="10" t="str">
        <f>Github!E$479</f>
        <v>Medium</v>
      </c>
      <c r="J1474" s="10" t="str">
        <f>IF(TRIM(Github!D$479)="TRUE","FALSE","TRUE")</f>
        <v>TRUE</v>
      </c>
      <c r="K1474" s="10" t="b">
        <f>Github!M$479</f>
        <v>1</v>
      </c>
      <c r="L1474" s="10" t="b">
        <f>Github!N$479</f>
        <v>0</v>
      </c>
      <c r="M1474" s="10" t="str">
        <f>ROUND(Github!O$479, 2)&amp;"%"</f>
        <v>39.34%</v>
      </c>
      <c r="N1474" s="10">
        <f>Github!P$479</f>
        <v>32853</v>
      </c>
      <c r="O1474" s="10">
        <f>Github!Q$479</f>
        <v>83512</v>
      </c>
    </row>
    <row r="1475">
      <c r="A1475" s="10">
        <f>Github!J$1988</f>
        <v>1987</v>
      </c>
      <c r="B1475" s="11" t="str">
        <f>HYPERLINK(CONCAT("http://leetcode.com/problems/",Github!C$1988), Github!B$1988)</f>
        <v>Number of Unique Good Subsequences</v>
      </c>
      <c r="C1475" s="10">
        <f>Github!F$1988</f>
        <v>354</v>
      </c>
      <c r="D1475" s="10">
        <f>Github!G$1988</f>
        <v>7</v>
      </c>
      <c r="E1475" s="10">
        <f>Github!F$1988+Github!G$1988</f>
        <v>361</v>
      </c>
      <c r="F1475" s="12">
        <f t="shared" si="1"/>
        <v>50.57</v>
      </c>
      <c r="G1475" s="10" t="str">
        <f>Github!H$1988</f>
        <v>Algorithms</v>
      </c>
      <c r="H1475" s="13" t="str">
        <f>SUBSTITUTE(Github!L$1988, ";", ", ")</f>
        <v>String, Dynamic Programming, </v>
      </c>
      <c r="I1475" s="10" t="str">
        <f>Github!E$1988</f>
        <v>Hard</v>
      </c>
      <c r="J1475" s="10" t="str">
        <f>IF(TRIM(Github!D$1988)="TRUE","FALSE","TRUE")</f>
        <v>TRUE</v>
      </c>
      <c r="K1475" s="10" t="b">
        <f>Github!M$1988</f>
        <v>0</v>
      </c>
      <c r="L1475" s="10" t="b">
        <f>Github!N$1988</f>
        <v>0</v>
      </c>
      <c r="M1475" s="10" t="str">
        <f>ROUND(Github!O$1988, 2)&amp;"%"</f>
        <v>51.9%</v>
      </c>
      <c r="N1475" s="10">
        <f>Github!P$1988</f>
        <v>6607</v>
      </c>
      <c r="O1475" s="10">
        <f>Github!Q$1988</f>
        <v>12731</v>
      </c>
    </row>
    <row r="1476">
      <c r="A1476" s="10">
        <f>Github!J$2132</f>
        <v>2131</v>
      </c>
      <c r="B1476" s="11" t="str">
        <f>HYPERLINK(CONCAT("http://leetcode.com/problems/",Github!C$2132), Github!B$2132)</f>
        <v>Longest Palindrome by Concatenating Two Letter Words</v>
      </c>
      <c r="C1476" s="10">
        <f>Github!F$2132</f>
        <v>353</v>
      </c>
      <c r="D1476" s="10">
        <f>Github!G$2132</f>
        <v>7</v>
      </c>
      <c r="E1476" s="10">
        <f>Github!F$2132+Github!G$2132</f>
        <v>360</v>
      </c>
      <c r="F1476" s="12">
        <f t="shared" si="1"/>
        <v>50.43</v>
      </c>
      <c r="G1476" s="10" t="str">
        <f>Github!H$2132</f>
        <v>Algorithms</v>
      </c>
      <c r="H1476" s="13" t="str">
        <f>SUBSTITUTE(Github!L$2132, ";", ", ")</f>
        <v>Array, Hash Table, String, Greedy, Counting, </v>
      </c>
      <c r="I1476" s="10" t="str">
        <f>Github!E$2132</f>
        <v>Medium</v>
      </c>
      <c r="J1476" s="10" t="str">
        <f>IF(TRIM(Github!D$2132)="TRUE","FALSE","TRUE")</f>
        <v>TRUE</v>
      </c>
      <c r="K1476" s="10" t="b">
        <f>Github!M$2132</f>
        <v>0</v>
      </c>
      <c r="L1476" s="10" t="b">
        <f>Github!N$2132</f>
        <v>0</v>
      </c>
      <c r="M1476" s="10" t="str">
        <f>ROUND(Github!O$2132, 2)&amp;"%"</f>
        <v>37.87%</v>
      </c>
      <c r="N1476" s="10">
        <f>Github!P$2132</f>
        <v>11998</v>
      </c>
      <c r="O1476" s="10">
        <f>Github!Q$2132</f>
        <v>31683</v>
      </c>
    </row>
    <row r="1477">
      <c r="A1477" s="10">
        <f>Github!J$1089</f>
        <v>1088</v>
      </c>
      <c r="B1477" s="11" t="str">
        <f>HYPERLINK(CONCAT("http://leetcode.com/problems/",Github!C$1089), Github!B$1089)</f>
        <v>Confusing Number II</v>
      </c>
      <c r="C1477" s="10">
        <f>Github!F$1089</f>
        <v>352</v>
      </c>
      <c r="D1477" s="10">
        <f>Github!G$1089</f>
        <v>95</v>
      </c>
      <c r="E1477" s="10">
        <f>Github!F$1089+Github!G$1089</f>
        <v>447</v>
      </c>
      <c r="F1477" s="12">
        <f t="shared" si="1"/>
        <v>3.71</v>
      </c>
      <c r="G1477" s="10" t="str">
        <f>Github!H$1089</f>
        <v>Algorithms</v>
      </c>
      <c r="H1477" s="13" t="str">
        <f>SUBSTITUTE(Github!L$1089, ";", ", ")</f>
        <v>Math, Backtracking, </v>
      </c>
      <c r="I1477" s="10" t="str">
        <f>Github!E$1089</f>
        <v>Hard</v>
      </c>
      <c r="J1477" s="10" t="str">
        <f>IF(TRIM(Github!D$1089)="TRUE","FALSE","TRUE")</f>
        <v>FALSE</v>
      </c>
      <c r="K1477" s="10" t="b">
        <f>Github!M$1089</f>
        <v>0</v>
      </c>
      <c r="L1477" s="10" t="b">
        <f>Github!N$1089</f>
        <v>0</v>
      </c>
      <c r="M1477" s="10" t="str">
        <f>ROUND(Github!O$1089, 2)&amp;"%"</f>
        <v>46.5%</v>
      </c>
      <c r="N1477" s="10">
        <f>Github!P$1089</f>
        <v>28393</v>
      </c>
      <c r="O1477" s="10">
        <f>Github!Q$1089</f>
        <v>61061</v>
      </c>
    </row>
    <row r="1478">
      <c r="A1478" s="10">
        <f>Github!J$1801</f>
        <v>1800</v>
      </c>
      <c r="B1478" s="11" t="str">
        <f>HYPERLINK(CONCAT("http://leetcode.com/problems/",Github!C$1801), Github!B$1801)</f>
        <v>Maximum Ascending Subarray Sum</v>
      </c>
      <c r="C1478" s="10">
        <f>Github!F$1801</f>
        <v>352</v>
      </c>
      <c r="D1478" s="10">
        <f>Github!G$1801</f>
        <v>12</v>
      </c>
      <c r="E1478" s="10">
        <f>Github!F$1801+Github!G$1801</f>
        <v>364</v>
      </c>
      <c r="F1478" s="12">
        <f t="shared" si="1"/>
        <v>29.33</v>
      </c>
      <c r="G1478" s="10" t="str">
        <f>Github!H$1801</f>
        <v>Algorithms</v>
      </c>
      <c r="H1478" s="13" t="str">
        <f>SUBSTITUTE(Github!L$1801, ";", ", ")</f>
        <v>Array, </v>
      </c>
      <c r="I1478" s="10" t="str">
        <f>Github!E$1801</f>
        <v>Easy</v>
      </c>
      <c r="J1478" s="10" t="str">
        <f>IF(TRIM(Github!D$1801)="TRUE","FALSE","TRUE")</f>
        <v>TRUE</v>
      </c>
      <c r="K1478" s="10" t="b">
        <f>Github!M$1801</f>
        <v>0</v>
      </c>
      <c r="L1478" s="10" t="b">
        <f>Github!N$1801</f>
        <v>0</v>
      </c>
      <c r="M1478" s="10" t="str">
        <f>ROUND(Github!O$1801, 2)&amp;"%"</f>
        <v>64.51%</v>
      </c>
      <c r="N1478" s="10">
        <f>Github!P$1801</f>
        <v>28030</v>
      </c>
      <c r="O1478" s="10">
        <f>Github!Q$1801</f>
        <v>43449</v>
      </c>
    </row>
    <row r="1479">
      <c r="A1479" s="10">
        <f>Github!J$1470</f>
        <v>1469</v>
      </c>
      <c r="B1479" s="11" t="str">
        <f>HYPERLINK(CONCAT("http://leetcode.com/problems/",Github!C$1470), Github!B$1470)</f>
        <v>Find All The Lonely Nodes</v>
      </c>
      <c r="C1479" s="10">
        <f>Github!F$1470</f>
        <v>350</v>
      </c>
      <c r="D1479" s="10">
        <f>Github!G$1470</f>
        <v>7</v>
      </c>
      <c r="E1479" s="10">
        <f>Github!F$1470+Github!G$1470</f>
        <v>357</v>
      </c>
      <c r="F1479" s="12">
        <f t="shared" si="1"/>
        <v>50</v>
      </c>
      <c r="G1479" s="10" t="str">
        <f>Github!H$1470</f>
        <v>Algorithms</v>
      </c>
      <c r="H1479" s="13" t="str">
        <f>SUBSTITUTE(Github!L$1470, ";", ", ")</f>
        <v>Tree, Depth-First Search, Breadth-First Search, Binary Tree, </v>
      </c>
      <c r="I1479" s="10" t="str">
        <f>Github!E$1470</f>
        <v>Easy</v>
      </c>
      <c r="J1479" s="10" t="str">
        <f>IF(TRIM(Github!D$1470)="TRUE","FALSE","TRUE")</f>
        <v>FALSE</v>
      </c>
      <c r="K1479" s="10" t="b">
        <f>Github!M$1470</f>
        <v>0</v>
      </c>
      <c r="L1479" s="10" t="b">
        <f>Github!N$1470</f>
        <v>0</v>
      </c>
      <c r="M1479" s="10" t="str">
        <f>ROUND(Github!O$1470, 2)&amp;"%"</f>
        <v>81.62%</v>
      </c>
      <c r="N1479" s="10">
        <f>Github!P$1470</f>
        <v>31736</v>
      </c>
      <c r="O1479" s="10">
        <f>Github!Q$1470</f>
        <v>38885</v>
      </c>
    </row>
    <row r="1480">
      <c r="A1480" s="10">
        <f>Github!J$605</f>
        <v>604</v>
      </c>
      <c r="B1480" s="11" t="str">
        <f>HYPERLINK(CONCAT("http://leetcode.com/problems/",Github!C$605), Github!B$605)</f>
        <v>Design Compressed String Iterator</v>
      </c>
      <c r="C1480" s="10">
        <f>Github!F$605</f>
        <v>350</v>
      </c>
      <c r="D1480" s="10">
        <f>Github!G$605</f>
        <v>121</v>
      </c>
      <c r="E1480" s="10">
        <f>Github!F$605+Github!G$605</f>
        <v>471</v>
      </c>
      <c r="F1480" s="12">
        <f t="shared" si="1"/>
        <v>2.89</v>
      </c>
      <c r="G1480" s="10" t="str">
        <f>Github!H$605</f>
        <v>Algorithms</v>
      </c>
      <c r="H1480" s="13" t="str">
        <f>SUBSTITUTE(Github!L$605, ";", ", ")</f>
        <v>Array, Hash Table, String, Design, Iterator, </v>
      </c>
      <c r="I1480" s="10" t="str">
        <f>Github!E$605</f>
        <v>Easy</v>
      </c>
      <c r="J1480" s="10" t="str">
        <f>IF(TRIM(Github!D$605)="TRUE","FALSE","TRUE")</f>
        <v>FALSE</v>
      </c>
      <c r="K1480" s="10" t="b">
        <f>Github!M$605</f>
        <v>1</v>
      </c>
      <c r="L1480" s="10" t="b">
        <f>Github!N$605</f>
        <v>0</v>
      </c>
      <c r="M1480" s="10" t="str">
        <f>ROUND(Github!O$605, 2)&amp;"%"</f>
        <v>38.98%</v>
      </c>
      <c r="N1480" s="10">
        <f>Github!P$605</f>
        <v>25677</v>
      </c>
      <c r="O1480" s="10">
        <f>Github!Q$605</f>
        <v>65873</v>
      </c>
    </row>
    <row r="1481">
      <c r="A1481" s="10">
        <f>Github!J$1225</f>
        <v>1224</v>
      </c>
      <c r="B1481" s="11" t="str">
        <f>HYPERLINK(CONCAT("http://leetcode.com/problems/",Github!C$1225), Github!B$1225)</f>
        <v>Maximum Equal Frequency</v>
      </c>
      <c r="C1481" s="10">
        <f>Github!F$1225</f>
        <v>349</v>
      </c>
      <c r="D1481" s="10">
        <f>Github!G$1225</f>
        <v>38</v>
      </c>
      <c r="E1481" s="10">
        <f>Github!F$1225+Github!G$1225</f>
        <v>387</v>
      </c>
      <c r="F1481" s="12">
        <f t="shared" si="1"/>
        <v>9.18</v>
      </c>
      <c r="G1481" s="10" t="str">
        <f>Github!H$1225</f>
        <v>Algorithms</v>
      </c>
      <c r="H1481" s="13" t="str">
        <f>SUBSTITUTE(Github!L$1225, ";", ", ")</f>
        <v>Array, Hash Table, </v>
      </c>
      <c r="I1481" s="10" t="str">
        <f>Github!E$1225</f>
        <v>Hard</v>
      </c>
      <c r="J1481" s="10" t="str">
        <f>IF(TRIM(Github!D$1225)="TRUE","FALSE","TRUE")</f>
        <v>TRUE</v>
      </c>
      <c r="K1481" s="10" t="b">
        <f>Github!M$1225</f>
        <v>0</v>
      </c>
      <c r="L1481" s="10" t="b">
        <f>Github!N$1225</f>
        <v>0</v>
      </c>
      <c r="M1481" s="10" t="str">
        <f>ROUND(Github!O$1225, 2)&amp;"%"</f>
        <v>36.59%</v>
      </c>
      <c r="N1481" s="10">
        <f>Github!P$1225</f>
        <v>10421</v>
      </c>
      <c r="O1481" s="10">
        <f>Github!Q$1225</f>
        <v>28480</v>
      </c>
    </row>
    <row r="1482">
      <c r="A1482" s="10">
        <f>Github!J$1992</f>
        <v>1991</v>
      </c>
      <c r="B1482" s="11" t="str">
        <f>HYPERLINK(CONCAT("http://leetcode.com/problems/",Github!C$1992), Github!B$1992)</f>
        <v>Find the Middle Index in Array</v>
      </c>
      <c r="C1482" s="10">
        <f>Github!F$1992</f>
        <v>349</v>
      </c>
      <c r="D1482" s="10">
        <f>Github!G$1992</f>
        <v>18</v>
      </c>
      <c r="E1482" s="10">
        <f>Github!F$1992+Github!G$1992</f>
        <v>367</v>
      </c>
      <c r="F1482" s="12">
        <f t="shared" si="1"/>
        <v>19.39</v>
      </c>
      <c r="G1482" s="10" t="str">
        <f>Github!H$1992</f>
        <v>Algorithms</v>
      </c>
      <c r="H1482" s="13" t="str">
        <f>SUBSTITUTE(Github!L$1992, ";", ", ")</f>
        <v>Array, Prefix Sum, </v>
      </c>
      <c r="I1482" s="10" t="str">
        <f>Github!E$1992</f>
        <v>Easy</v>
      </c>
      <c r="J1482" s="10" t="str">
        <f>IF(TRIM(Github!D$1992)="TRUE","FALSE","TRUE")</f>
        <v>TRUE</v>
      </c>
      <c r="K1482" s="10" t="b">
        <f>Github!M$1992</f>
        <v>0</v>
      </c>
      <c r="L1482" s="10" t="b">
        <f>Github!N$1992</f>
        <v>0</v>
      </c>
      <c r="M1482" s="10" t="str">
        <f>ROUND(Github!O$1992, 2)&amp;"%"</f>
        <v>66.34%</v>
      </c>
      <c r="N1482" s="10">
        <f>Github!P$1992</f>
        <v>23571</v>
      </c>
      <c r="O1482" s="10">
        <f>Github!Q$1992</f>
        <v>35532</v>
      </c>
    </row>
    <row r="1483">
      <c r="A1483" s="10">
        <f>Github!J$2184</f>
        <v>2183</v>
      </c>
      <c r="B1483" s="11" t="str">
        <f>HYPERLINK(CONCAT("http://leetcode.com/problems/",Github!C$2184), Github!B$2184)</f>
        <v>Count Array Pairs Divisible by K</v>
      </c>
      <c r="C1483" s="10">
        <f>Github!F$2184</f>
        <v>349</v>
      </c>
      <c r="D1483" s="10">
        <f>Github!G$2184</f>
        <v>21</v>
      </c>
      <c r="E1483" s="10">
        <f>Github!F$2184+Github!G$2184</f>
        <v>370</v>
      </c>
      <c r="F1483" s="12">
        <f t="shared" si="1"/>
        <v>16.62</v>
      </c>
      <c r="G1483" s="10" t="str">
        <f>Github!H$2184</f>
        <v>Algorithms</v>
      </c>
      <c r="H1483" s="13" t="str">
        <f>SUBSTITUTE(Github!L$2184, ";", ", ")</f>
        <v>Array, Math, Number Theory, </v>
      </c>
      <c r="I1483" s="10" t="str">
        <f>Github!E$2184</f>
        <v>Hard</v>
      </c>
      <c r="J1483" s="10" t="str">
        <f>IF(TRIM(Github!D$2184)="TRUE","FALSE","TRUE")</f>
        <v>TRUE</v>
      </c>
      <c r="K1483" s="10" t="b">
        <f>Github!M$2184</f>
        <v>0</v>
      </c>
      <c r="L1483" s="10" t="b">
        <f>Github!N$2184</f>
        <v>0</v>
      </c>
      <c r="M1483" s="10" t="str">
        <f>ROUND(Github!O$2184, 2)&amp;"%"</f>
        <v>26.03%</v>
      </c>
      <c r="N1483" s="10">
        <f>Github!P$2184</f>
        <v>6989</v>
      </c>
      <c r="O1483" s="10">
        <f>Github!Q$2184</f>
        <v>26852</v>
      </c>
    </row>
    <row r="1484">
      <c r="A1484" s="10">
        <f>Github!J$1800</f>
        <v>1799</v>
      </c>
      <c r="B1484" s="11" t="str">
        <f>HYPERLINK(CONCAT("http://leetcode.com/problems/",Github!C$1800), Github!B$1800)</f>
        <v>Maximize Score After N Operations</v>
      </c>
      <c r="C1484" s="10">
        <f>Github!F$1800</f>
        <v>348</v>
      </c>
      <c r="D1484" s="10">
        <f>Github!G$1800</f>
        <v>33</v>
      </c>
      <c r="E1484" s="10">
        <f>Github!F$1800+Github!G$1800</f>
        <v>381</v>
      </c>
      <c r="F1484" s="12">
        <f t="shared" si="1"/>
        <v>10.55</v>
      </c>
      <c r="G1484" s="10" t="str">
        <f>Github!H$1800</f>
        <v>Algorithms</v>
      </c>
      <c r="H1484" s="13" t="str">
        <f>SUBSTITUTE(Github!L$1800, ";", ", ")</f>
        <v>Array, Math, Dynamic Programming, Backtracking, Bit Manipulation, Number Theory, Bitmask, </v>
      </c>
      <c r="I1484" s="10" t="str">
        <f>Github!E$1800</f>
        <v>Hard</v>
      </c>
      <c r="J1484" s="10" t="str">
        <f>IF(TRIM(Github!D$1800)="TRUE","FALSE","TRUE")</f>
        <v>TRUE</v>
      </c>
      <c r="K1484" s="10" t="b">
        <f>Github!M$1800</f>
        <v>0</v>
      </c>
      <c r="L1484" s="10" t="b">
        <f>Github!N$1800</f>
        <v>0</v>
      </c>
      <c r="M1484" s="10" t="str">
        <f>ROUND(Github!O$1800, 2)&amp;"%"</f>
        <v>46.34%</v>
      </c>
      <c r="N1484" s="10">
        <f>Github!P$1800</f>
        <v>11201</v>
      </c>
      <c r="O1484" s="10">
        <f>Github!Q$1800</f>
        <v>24171</v>
      </c>
    </row>
    <row r="1485">
      <c r="A1485" s="10">
        <f>Github!J$1228</f>
        <v>1227</v>
      </c>
      <c r="B1485" s="11" t="str">
        <f>HYPERLINK(CONCAT("http://leetcode.com/problems/",Github!C$1228), Github!B$1228)</f>
        <v>Airplane Seat Assignment Probability</v>
      </c>
      <c r="C1485" s="10">
        <f>Github!F$1228</f>
        <v>347</v>
      </c>
      <c r="D1485" s="10">
        <f>Github!G$1228</f>
        <v>633</v>
      </c>
      <c r="E1485" s="10">
        <f>Github!F$1228+Github!G$1228</f>
        <v>980</v>
      </c>
      <c r="F1485" s="12">
        <f t="shared" si="1"/>
        <v>0.55</v>
      </c>
      <c r="G1485" s="10" t="str">
        <f>Github!H$1228</f>
        <v>Algorithms</v>
      </c>
      <c r="H1485" s="13" t="str">
        <f>SUBSTITUTE(Github!L$1228, ";", ", ")</f>
        <v>Math, Dynamic Programming, Brainteaser, Probability and Statistics, </v>
      </c>
      <c r="I1485" s="10" t="str">
        <f>Github!E$1228</f>
        <v>Medium</v>
      </c>
      <c r="J1485" s="10" t="str">
        <f>IF(TRIM(Github!D$1228)="TRUE","FALSE","TRUE")</f>
        <v>TRUE</v>
      </c>
      <c r="K1485" s="10" t="b">
        <f>Github!M$1228</f>
        <v>0</v>
      </c>
      <c r="L1485" s="10" t="b">
        <f>Github!N$1228</f>
        <v>0</v>
      </c>
      <c r="M1485" s="10" t="str">
        <f>ROUND(Github!O$1228, 2)&amp;"%"</f>
        <v>63.93%</v>
      </c>
      <c r="N1485" s="10">
        <f>Github!P$1228</f>
        <v>24147</v>
      </c>
      <c r="O1485" s="10">
        <f>Github!Q$1228</f>
        <v>37772</v>
      </c>
    </row>
    <row r="1486">
      <c r="A1486" s="10">
        <f>Github!J$1611</f>
        <v>1610</v>
      </c>
      <c r="B1486" s="11" t="str">
        <f>HYPERLINK(CONCAT("http://leetcode.com/problems/",Github!C$1611), Github!B$1611)</f>
        <v>Maximum Number of Visible Points</v>
      </c>
      <c r="C1486" s="10">
        <f>Github!F$1611</f>
        <v>348</v>
      </c>
      <c r="D1486" s="10">
        <f>Github!G$1611</f>
        <v>469</v>
      </c>
      <c r="E1486" s="10">
        <f>Github!F$1611+Github!G$1611</f>
        <v>817</v>
      </c>
      <c r="F1486" s="12">
        <f t="shared" si="1"/>
        <v>0.74</v>
      </c>
      <c r="G1486" s="10" t="str">
        <f>Github!H$1611</f>
        <v>Algorithms</v>
      </c>
      <c r="H1486" s="13" t="str">
        <f>SUBSTITUTE(Github!L$1611, ";", ", ")</f>
        <v>Array, Math, Geometry, Sliding Window, Sorting, </v>
      </c>
      <c r="I1486" s="10" t="str">
        <f>Github!E$1611</f>
        <v>Hard</v>
      </c>
      <c r="J1486" s="10" t="str">
        <f>IF(TRIM(Github!D$1611)="TRUE","FALSE","TRUE")</f>
        <v>TRUE</v>
      </c>
      <c r="K1486" s="10" t="b">
        <f>Github!M$1611</f>
        <v>0</v>
      </c>
      <c r="L1486" s="10" t="b">
        <f>Github!N$1611</f>
        <v>0</v>
      </c>
      <c r="M1486" s="10" t="str">
        <f>ROUND(Github!O$1611, 2)&amp;"%"</f>
        <v>36.05%</v>
      </c>
      <c r="N1486" s="10">
        <f>Github!P$1611</f>
        <v>23507</v>
      </c>
      <c r="O1486" s="10">
        <f>Github!Q$1611</f>
        <v>65202</v>
      </c>
    </row>
    <row r="1487">
      <c r="A1487" s="10">
        <f>Github!J$1743</f>
        <v>1742</v>
      </c>
      <c r="B1487" s="11" t="str">
        <f>HYPERLINK(CONCAT("http://leetcode.com/problems/",Github!C$1743), Github!B$1743)</f>
        <v>Maximum Number of Balls in a Box</v>
      </c>
      <c r="C1487" s="10">
        <f>Github!F$1743</f>
        <v>347</v>
      </c>
      <c r="D1487" s="10">
        <f>Github!G$1743</f>
        <v>80</v>
      </c>
      <c r="E1487" s="10">
        <f>Github!F$1743+Github!G$1743</f>
        <v>427</v>
      </c>
      <c r="F1487" s="12">
        <f t="shared" si="1"/>
        <v>4.34</v>
      </c>
      <c r="G1487" s="10" t="str">
        <f>Github!H$1743</f>
        <v>Algorithms</v>
      </c>
      <c r="H1487" s="13" t="str">
        <f>SUBSTITUTE(Github!L$1743, ";", ", ")</f>
        <v>Hash Table, Math, Counting, </v>
      </c>
      <c r="I1487" s="10" t="str">
        <f>Github!E$1743</f>
        <v>Easy</v>
      </c>
      <c r="J1487" s="10" t="str">
        <f>IF(TRIM(Github!D$1743)="TRUE","FALSE","TRUE")</f>
        <v>TRUE</v>
      </c>
      <c r="K1487" s="10" t="b">
        <f>Github!M$1743</f>
        <v>0</v>
      </c>
      <c r="L1487" s="10" t="b">
        <f>Github!N$1743</f>
        <v>0</v>
      </c>
      <c r="M1487" s="10" t="str">
        <f>ROUND(Github!O$1743, 2)&amp;"%"</f>
        <v>73.68%</v>
      </c>
      <c r="N1487" s="10">
        <f>Github!P$1743</f>
        <v>36780</v>
      </c>
      <c r="O1487" s="10">
        <f>Github!Q$1743</f>
        <v>49918</v>
      </c>
    </row>
    <row r="1488">
      <c r="A1488" s="10">
        <f>Github!J$1907</f>
        <v>1906</v>
      </c>
      <c r="B1488" s="11" t="str">
        <f>HYPERLINK(CONCAT("http://leetcode.com/problems/",Github!C$1907), Github!B$1907)</f>
        <v>Minimum Absolute Difference Queries</v>
      </c>
      <c r="C1488" s="10">
        <f>Github!F$1907</f>
        <v>346</v>
      </c>
      <c r="D1488" s="10">
        <f>Github!G$1907</f>
        <v>28</v>
      </c>
      <c r="E1488" s="10">
        <f>Github!F$1907+Github!G$1907</f>
        <v>374</v>
      </c>
      <c r="F1488" s="12">
        <f t="shared" si="1"/>
        <v>12.36</v>
      </c>
      <c r="G1488" s="10" t="str">
        <f>Github!H$1907</f>
        <v>Algorithms</v>
      </c>
      <c r="H1488" s="13" t="str">
        <f>SUBSTITUTE(Github!L$1907, ";", ", ")</f>
        <v>Array, Hash Table, </v>
      </c>
      <c r="I1488" s="10" t="str">
        <f>Github!E$1907</f>
        <v>Medium</v>
      </c>
      <c r="J1488" s="10" t="str">
        <f>IF(TRIM(Github!D$1907)="TRUE","FALSE","TRUE")</f>
        <v>TRUE</v>
      </c>
      <c r="K1488" s="10" t="b">
        <f>Github!M$1907</f>
        <v>0</v>
      </c>
      <c r="L1488" s="10" t="b">
        <f>Github!N$1907</f>
        <v>0</v>
      </c>
      <c r="M1488" s="10" t="str">
        <f>ROUND(Github!O$1907, 2)&amp;"%"</f>
        <v>42.72%</v>
      </c>
      <c r="N1488" s="10">
        <f>Github!P$1907</f>
        <v>7235</v>
      </c>
      <c r="O1488" s="10">
        <f>Github!Q$1907</f>
        <v>16934</v>
      </c>
    </row>
    <row r="1489">
      <c r="A1489" s="10">
        <f>Github!J$1647</f>
        <v>1646</v>
      </c>
      <c r="B1489" s="11" t="str">
        <f>HYPERLINK(CONCAT("http://leetcode.com/problems/",Github!C$1647), Github!B$1647)</f>
        <v>Get Maximum in Generated Array</v>
      </c>
      <c r="C1489" s="10">
        <f>Github!F$1647</f>
        <v>345</v>
      </c>
      <c r="D1489" s="10">
        <f>Github!G$1647</f>
        <v>499</v>
      </c>
      <c r="E1489" s="10">
        <f>Github!F$1647+Github!G$1647</f>
        <v>844</v>
      </c>
      <c r="F1489" s="12">
        <f t="shared" si="1"/>
        <v>0.69</v>
      </c>
      <c r="G1489" s="10" t="str">
        <f>Github!H$1647</f>
        <v>Algorithms</v>
      </c>
      <c r="H1489" s="13" t="str">
        <f>SUBSTITUTE(Github!L$1647, ";", ", ")</f>
        <v>Array, Dynamic Programming, Simulation, </v>
      </c>
      <c r="I1489" s="10" t="str">
        <f>Github!E$1647</f>
        <v>Easy</v>
      </c>
      <c r="J1489" s="10" t="str">
        <f>IF(TRIM(Github!D$1647)="TRUE","FALSE","TRUE")</f>
        <v>TRUE</v>
      </c>
      <c r="K1489" s="10" t="b">
        <f>Github!M$1647</f>
        <v>1</v>
      </c>
      <c r="L1489" s="10" t="b">
        <f>Github!N$1647</f>
        <v>0</v>
      </c>
      <c r="M1489" s="10" t="str">
        <f>ROUND(Github!O$1647, 2)&amp;"%"</f>
        <v>51.01%</v>
      </c>
      <c r="N1489" s="10">
        <f>Github!P$1647</f>
        <v>55429</v>
      </c>
      <c r="O1489" s="10">
        <f>Github!Q$1647</f>
        <v>108667</v>
      </c>
    </row>
    <row r="1490">
      <c r="A1490" s="10">
        <f>Github!J$2079</f>
        <v>2078</v>
      </c>
      <c r="B1490" s="11" t="str">
        <f>HYPERLINK(CONCAT("http://leetcode.com/problems/",Github!C$2079), Github!B$2079)</f>
        <v>Two Furthest Houses With Different Colors</v>
      </c>
      <c r="C1490" s="10">
        <f>Github!F$2079</f>
        <v>345</v>
      </c>
      <c r="D1490" s="10">
        <f>Github!G$2079</f>
        <v>9</v>
      </c>
      <c r="E1490" s="10">
        <f>Github!F$2079+Github!G$2079</f>
        <v>354</v>
      </c>
      <c r="F1490" s="12">
        <f t="shared" si="1"/>
        <v>38.33</v>
      </c>
      <c r="G1490" s="10" t="str">
        <f>Github!H$2079</f>
        <v>Algorithms</v>
      </c>
      <c r="H1490" s="13" t="str">
        <f>SUBSTITUTE(Github!L$2079, ";", ", ")</f>
        <v>Array, Greedy, </v>
      </c>
      <c r="I1490" s="10" t="str">
        <f>Github!E$2079</f>
        <v>Easy</v>
      </c>
      <c r="J1490" s="10" t="str">
        <f>IF(TRIM(Github!D$2079)="TRUE","FALSE","TRUE")</f>
        <v>TRUE</v>
      </c>
      <c r="K1490" s="10" t="b">
        <f>Github!M$2079</f>
        <v>0</v>
      </c>
      <c r="L1490" s="10" t="b">
        <f>Github!N$2079</f>
        <v>0</v>
      </c>
      <c r="M1490" s="10" t="str">
        <f>ROUND(Github!O$2079, 2)&amp;"%"</f>
        <v>68.83%</v>
      </c>
      <c r="N1490" s="10">
        <f>Github!P$2079</f>
        <v>21121</v>
      </c>
      <c r="O1490" s="10">
        <f>Github!Q$2079</f>
        <v>30685</v>
      </c>
    </row>
    <row r="1491">
      <c r="A1491" s="10">
        <f>Github!J$193</f>
        <v>192</v>
      </c>
      <c r="B1491" s="11" t="str">
        <f>HYPERLINK(CONCAT("http://leetcode.com/problems/",Github!C$193), Github!B$193)</f>
        <v>Word Frequency</v>
      </c>
      <c r="C1491" s="10">
        <f>Github!F$193</f>
        <v>343</v>
      </c>
      <c r="D1491" s="10">
        <f>Github!G$193</f>
        <v>232</v>
      </c>
      <c r="E1491" s="10">
        <f>Github!F$193+Github!G$193</f>
        <v>575</v>
      </c>
      <c r="F1491" s="12">
        <f t="shared" si="1"/>
        <v>1.48</v>
      </c>
      <c r="G1491" s="10" t="str">
        <f>Github!H$193</f>
        <v>Shell</v>
      </c>
      <c r="H1491" s="13" t="str">
        <f>SUBSTITUTE(Github!L$193, ";", ", ")</f>
        <v>Shell, </v>
      </c>
      <c r="I1491" s="10" t="str">
        <f>Github!E$193</f>
        <v>Medium</v>
      </c>
      <c r="J1491" s="10" t="str">
        <f>IF(TRIM(Github!D$193)="TRUE","FALSE","TRUE")</f>
        <v>TRUE</v>
      </c>
      <c r="K1491" s="10" t="b">
        <f>Github!M$193</f>
        <v>0</v>
      </c>
      <c r="L1491" s="10" t="b">
        <f>Github!N$193</f>
        <v>0</v>
      </c>
      <c r="M1491" s="10" t="str">
        <f>ROUND(Github!O$193, 2)&amp;"%"</f>
        <v>25.59%</v>
      </c>
      <c r="N1491" s="10">
        <f>Github!P$193</f>
        <v>36152</v>
      </c>
      <c r="O1491" s="10">
        <f>Github!Q$193</f>
        <v>141260</v>
      </c>
    </row>
    <row r="1492">
      <c r="A1492" s="10">
        <f>Github!J$799</f>
        <v>798</v>
      </c>
      <c r="B1492" s="11" t="str">
        <f>HYPERLINK(CONCAT("http://leetcode.com/problems/",Github!C$799), Github!B$799)</f>
        <v>Smallest Rotation with Highest Score</v>
      </c>
      <c r="C1492" s="10">
        <f>Github!F$799</f>
        <v>342</v>
      </c>
      <c r="D1492" s="10">
        <f>Github!G$799</f>
        <v>21</v>
      </c>
      <c r="E1492" s="10">
        <f>Github!F$799+Github!G$799</f>
        <v>363</v>
      </c>
      <c r="F1492" s="12">
        <f t="shared" si="1"/>
        <v>16.29</v>
      </c>
      <c r="G1492" s="10" t="str">
        <f>Github!H$799</f>
        <v>Algorithms</v>
      </c>
      <c r="H1492" s="13" t="str">
        <f>SUBSTITUTE(Github!L$799, ";", ", ")</f>
        <v>Array, Prefix Sum, </v>
      </c>
      <c r="I1492" s="10" t="str">
        <f>Github!E$799</f>
        <v>Hard</v>
      </c>
      <c r="J1492" s="10" t="str">
        <f>IF(TRIM(Github!D$799)="TRUE","FALSE","TRUE")</f>
        <v>TRUE</v>
      </c>
      <c r="K1492" s="10" t="b">
        <f>Github!M$799</f>
        <v>1</v>
      </c>
      <c r="L1492" s="10" t="b">
        <f>Github!N$799</f>
        <v>0</v>
      </c>
      <c r="M1492" s="10" t="str">
        <f>ROUND(Github!O$799, 2)&amp;"%"</f>
        <v>47.2%</v>
      </c>
      <c r="N1492" s="10">
        <f>Github!P$799</f>
        <v>8495</v>
      </c>
      <c r="O1492" s="10">
        <f>Github!Q$799</f>
        <v>17998</v>
      </c>
    </row>
    <row r="1493">
      <c r="A1493" s="10">
        <f>Github!J$1564</f>
        <v>1563</v>
      </c>
      <c r="B1493" s="11" t="str">
        <f>HYPERLINK(CONCAT("http://leetcode.com/problems/",Github!C$1564), Github!B$1564)</f>
        <v>Stone Game V</v>
      </c>
      <c r="C1493" s="10">
        <f>Github!F$1564</f>
        <v>342</v>
      </c>
      <c r="D1493" s="10">
        <f>Github!G$1564</f>
        <v>58</v>
      </c>
      <c r="E1493" s="10">
        <f>Github!F$1564+Github!G$1564</f>
        <v>400</v>
      </c>
      <c r="F1493" s="12">
        <f t="shared" si="1"/>
        <v>5.9</v>
      </c>
      <c r="G1493" s="10" t="str">
        <f>Github!H$1564</f>
        <v>Algorithms</v>
      </c>
      <c r="H1493" s="13" t="str">
        <f>SUBSTITUTE(Github!L$1564, ";", ", ")</f>
        <v>Array, Math, Dynamic Programming, Game Theory, </v>
      </c>
      <c r="I1493" s="10" t="str">
        <f>Github!E$1564</f>
        <v>Hard</v>
      </c>
      <c r="J1493" s="10" t="str">
        <f>IF(TRIM(Github!D$1564)="TRUE","FALSE","TRUE")</f>
        <v>TRUE</v>
      </c>
      <c r="K1493" s="10" t="b">
        <f>Github!M$1564</f>
        <v>0</v>
      </c>
      <c r="L1493" s="10" t="b">
        <f>Github!N$1564</f>
        <v>0</v>
      </c>
      <c r="M1493" s="10" t="str">
        <f>ROUND(Github!O$1564, 2)&amp;"%"</f>
        <v>40.93%</v>
      </c>
      <c r="N1493" s="10">
        <f>Github!P$1564</f>
        <v>12348</v>
      </c>
      <c r="O1493" s="10">
        <f>Github!Q$1564</f>
        <v>30172</v>
      </c>
    </row>
    <row r="1494">
      <c r="A1494" s="10">
        <f>Github!J$2056</f>
        <v>2055</v>
      </c>
      <c r="B1494" s="11" t="str">
        <f>HYPERLINK(CONCAT("http://leetcode.com/problems/",Github!C$2056), Github!B$2056)</f>
        <v>Plates Between Candles</v>
      </c>
      <c r="C1494" s="10">
        <f>Github!F$2056</f>
        <v>343</v>
      </c>
      <c r="D1494" s="10">
        <f>Github!G$2056</f>
        <v>8</v>
      </c>
      <c r="E1494" s="10">
        <f>Github!F$2056+Github!G$2056</f>
        <v>351</v>
      </c>
      <c r="F1494" s="12">
        <f t="shared" si="1"/>
        <v>42.88</v>
      </c>
      <c r="G1494" s="10" t="str">
        <f>Github!H$2056</f>
        <v>Algorithms</v>
      </c>
      <c r="H1494" s="13" t="str">
        <f>SUBSTITUTE(Github!L$2056, ";", ", ")</f>
        <v>Array, String, Binary Search, Prefix Sum, </v>
      </c>
      <c r="I1494" s="10" t="str">
        <f>Github!E$2056</f>
        <v>Medium</v>
      </c>
      <c r="J1494" s="10" t="str">
        <f>IF(TRIM(Github!D$2056)="TRUE","FALSE","TRUE")</f>
        <v>TRUE</v>
      </c>
      <c r="K1494" s="10" t="b">
        <f>Github!M$2056</f>
        <v>0</v>
      </c>
      <c r="L1494" s="10" t="b">
        <f>Github!N$2056</f>
        <v>0</v>
      </c>
      <c r="M1494" s="10" t="str">
        <f>ROUND(Github!O$2056, 2)&amp;"%"</f>
        <v>46.75%</v>
      </c>
      <c r="N1494" s="10">
        <f>Github!P$2056</f>
        <v>9198</v>
      </c>
      <c r="O1494" s="10">
        <f>Github!Q$2056</f>
        <v>19674</v>
      </c>
    </row>
    <row r="1495">
      <c r="A1495" s="10">
        <f>Github!J$2146</f>
        <v>2145</v>
      </c>
      <c r="B1495" s="11" t="str">
        <f>HYPERLINK(CONCAT("http://leetcode.com/problems/",Github!C$2146), Github!B$2146)</f>
        <v>Count the Hidden Sequences</v>
      </c>
      <c r="C1495" s="10">
        <f>Github!F$2146</f>
        <v>342</v>
      </c>
      <c r="D1495" s="10">
        <f>Github!G$2146</f>
        <v>37</v>
      </c>
      <c r="E1495" s="10">
        <f>Github!F$2146+Github!G$2146</f>
        <v>379</v>
      </c>
      <c r="F1495" s="12">
        <f t="shared" si="1"/>
        <v>9.24</v>
      </c>
      <c r="G1495" s="10" t="str">
        <f>Github!H$2146</f>
        <v>Algorithms</v>
      </c>
      <c r="H1495" s="13" t="str">
        <f>SUBSTITUTE(Github!L$2146, ";", ", ")</f>
        <v>Array, Prefix Sum, </v>
      </c>
      <c r="I1495" s="10" t="str">
        <f>Github!E$2146</f>
        <v>Medium</v>
      </c>
      <c r="J1495" s="10" t="str">
        <f>IF(TRIM(Github!D$2146)="TRUE","FALSE","TRUE")</f>
        <v>TRUE</v>
      </c>
      <c r="K1495" s="10" t="b">
        <f>Github!M$2146</f>
        <v>0</v>
      </c>
      <c r="L1495" s="10" t="b">
        <f>Github!N$2146</f>
        <v>0</v>
      </c>
      <c r="M1495" s="10" t="str">
        <f>ROUND(Github!O$2146, 2)&amp;"%"</f>
        <v>34.91%</v>
      </c>
      <c r="N1495" s="10">
        <f>Github!P$2146</f>
        <v>10817</v>
      </c>
      <c r="O1495" s="10">
        <f>Github!Q$2146</f>
        <v>30987</v>
      </c>
    </row>
    <row r="1496">
      <c r="A1496" s="10">
        <f>Github!J$1183</f>
        <v>1182</v>
      </c>
      <c r="B1496" s="11" t="str">
        <f>HYPERLINK(CONCAT("http://leetcode.com/problems/",Github!C$1183), Github!B$1183)</f>
        <v>Shortest Distance to Target Color</v>
      </c>
      <c r="C1496" s="10">
        <f>Github!F$1183</f>
        <v>342</v>
      </c>
      <c r="D1496" s="10">
        <f>Github!G$1183</f>
        <v>15</v>
      </c>
      <c r="E1496" s="10">
        <f>Github!F$1183+Github!G$1183</f>
        <v>357</v>
      </c>
      <c r="F1496" s="12">
        <f t="shared" si="1"/>
        <v>22.8</v>
      </c>
      <c r="G1496" s="10" t="str">
        <f>Github!H$1183</f>
        <v>Algorithms</v>
      </c>
      <c r="H1496" s="13" t="str">
        <f>SUBSTITUTE(Github!L$1183, ";", ", ")</f>
        <v>Array, Binary Search, Dynamic Programming, </v>
      </c>
      <c r="I1496" s="10" t="str">
        <f>Github!E$1183</f>
        <v>Medium</v>
      </c>
      <c r="J1496" s="10" t="str">
        <f>IF(TRIM(Github!D$1183)="TRUE","FALSE","TRUE")</f>
        <v>FALSE</v>
      </c>
      <c r="K1496" s="10" t="b">
        <f>Github!M$1183</f>
        <v>1</v>
      </c>
      <c r="L1496" s="10" t="b">
        <f>Github!N$1183</f>
        <v>0</v>
      </c>
      <c r="M1496" s="10" t="str">
        <f>ROUND(Github!O$1183, 2)&amp;"%"</f>
        <v>54.24%</v>
      </c>
      <c r="N1496" s="10">
        <f>Github!P$1183</f>
        <v>21848</v>
      </c>
      <c r="O1496" s="10">
        <f>Github!Q$1183</f>
        <v>40282</v>
      </c>
    </row>
    <row r="1497">
      <c r="A1497" s="10">
        <f>Github!J$999</f>
        <v>998</v>
      </c>
      <c r="B1497" s="11" t="str">
        <f>HYPERLINK(CONCAT("http://leetcode.com/problems/",Github!C$999), Github!B$999)</f>
        <v>Maximum Binary Tree II</v>
      </c>
      <c r="C1497" s="10">
        <f>Github!F$999</f>
        <v>340</v>
      </c>
      <c r="D1497" s="10">
        <f>Github!G$999</f>
        <v>635</v>
      </c>
      <c r="E1497" s="10">
        <f>Github!F$999+Github!G$999</f>
        <v>975</v>
      </c>
      <c r="F1497" s="12">
        <f t="shared" si="1"/>
        <v>0.54</v>
      </c>
      <c r="G1497" s="10" t="str">
        <f>Github!H$999</f>
        <v>Algorithms</v>
      </c>
      <c r="H1497" s="13" t="str">
        <f>SUBSTITUTE(Github!L$999, ";", ", ")</f>
        <v>Tree, Binary Tree, </v>
      </c>
      <c r="I1497" s="10" t="str">
        <f>Github!E$999</f>
        <v>Medium</v>
      </c>
      <c r="J1497" s="10" t="str">
        <f>IF(TRIM(Github!D$999)="TRUE","FALSE","TRUE")</f>
        <v>TRUE</v>
      </c>
      <c r="K1497" s="10" t="b">
        <f>Github!M$999</f>
        <v>0</v>
      </c>
      <c r="L1497" s="10" t="b">
        <f>Github!N$999</f>
        <v>0</v>
      </c>
      <c r="M1497" s="10" t="str">
        <f>ROUND(Github!O$999, 2)&amp;"%"</f>
        <v>65.43%</v>
      </c>
      <c r="N1497" s="10">
        <f>Github!P$999</f>
        <v>25793</v>
      </c>
      <c r="O1497" s="10">
        <f>Github!Q$999</f>
        <v>39423</v>
      </c>
    </row>
    <row r="1498">
      <c r="A1498" s="10">
        <f>Github!J$1417</f>
        <v>1416</v>
      </c>
      <c r="B1498" s="11" t="str">
        <f>HYPERLINK(CONCAT("http://leetcode.com/problems/",Github!C$1417), Github!B$1417)</f>
        <v>Restore The Array</v>
      </c>
      <c r="C1498" s="10">
        <f>Github!F$1417</f>
        <v>340</v>
      </c>
      <c r="D1498" s="10">
        <f>Github!G$1417</f>
        <v>13</v>
      </c>
      <c r="E1498" s="10">
        <f>Github!F$1417+Github!G$1417</f>
        <v>353</v>
      </c>
      <c r="F1498" s="12">
        <f t="shared" si="1"/>
        <v>26.15</v>
      </c>
      <c r="G1498" s="10" t="str">
        <f>Github!H$1417</f>
        <v>Algorithms</v>
      </c>
      <c r="H1498" s="13" t="str">
        <f>SUBSTITUTE(Github!L$1417, ";", ", ")</f>
        <v>String, Dynamic Programming, </v>
      </c>
      <c r="I1498" s="10" t="str">
        <f>Github!E$1417</f>
        <v>Hard</v>
      </c>
      <c r="J1498" s="10" t="str">
        <f>IF(TRIM(Github!D$1417)="TRUE","FALSE","TRUE")</f>
        <v>TRUE</v>
      </c>
      <c r="K1498" s="10" t="b">
        <f>Github!M$1417</f>
        <v>0</v>
      </c>
      <c r="L1498" s="10" t="b">
        <f>Github!N$1417</f>
        <v>0</v>
      </c>
      <c r="M1498" s="10" t="str">
        <f>ROUND(Github!O$1417, 2)&amp;"%"</f>
        <v>37.78%</v>
      </c>
      <c r="N1498" s="10">
        <f>Github!P$1417</f>
        <v>11694</v>
      </c>
      <c r="O1498" s="10">
        <f>Github!Q$1417</f>
        <v>30949</v>
      </c>
    </row>
    <row r="1499">
      <c r="A1499" s="10">
        <f>Github!J$1576</f>
        <v>1575</v>
      </c>
      <c r="B1499" s="11" t="str">
        <f>HYPERLINK(CONCAT("http://leetcode.com/problems/",Github!C$1576), Github!B$1576)</f>
        <v>Count All Possible Routes</v>
      </c>
      <c r="C1499" s="10">
        <f>Github!F$1576</f>
        <v>340</v>
      </c>
      <c r="D1499" s="10">
        <f>Github!G$1576</f>
        <v>16</v>
      </c>
      <c r="E1499" s="10">
        <f>Github!F$1576+Github!G$1576</f>
        <v>356</v>
      </c>
      <c r="F1499" s="12">
        <f t="shared" si="1"/>
        <v>21.25</v>
      </c>
      <c r="G1499" s="10" t="str">
        <f>Github!H$1576</f>
        <v>Algorithms</v>
      </c>
      <c r="H1499" s="13" t="str">
        <f>SUBSTITUTE(Github!L$1576, ";", ", ")</f>
        <v>Array, Dynamic Programming, Memoization, </v>
      </c>
      <c r="I1499" s="10" t="str">
        <f>Github!E$1576</f>
        <v>Hard</v>
      </c>
      <c r="J1499" s="10" t="str">
        <f>IF(TRIM(Github!D$1576)="TRUE","FALSE","TRUE")</f>
        <v>TRUE</v>
      </c>
      <c r="K1499" s="10" t="b">
        <f>Github!M$1576</f>
        <v>0</v>
      </c>
      <c r="L1499" s="10" t="b">
        <f>Github!N$1576</f>
        <v>0</v>
      </c>
      <c r="M1499" s="10" t="str">
        <f>ROUND(Github!O$1576, 2)&amp;"%"</f>
        <v>57.62%</v>
      </c>
      <c r="N1499" s="10">
        <f>Github!P$1576</f>
        <v>9431</v>
      </c>
      <c r="O1499" s="10">
        <f>Github!Q$1576</f>
        <v>16368</v>
      </c>
    </row>
    <row r="1500">
      <c r="A1500" s="10">
        <f>Github!J$1666</f>
        <v>1665</v>
      </c>
      <c r="B1500" s="11" t="str">
        <f>HYPERLINK(CONCAT("http://leetcode.com/problems/",Github!C$1666), Github!B$1666)</f>
        <v>Minimum Initial Energy to Finish Tasks</v>
      </c>
      <c r="C1500" s="10">
        <f>Github!F$1666</f>
        <v>340</v>
      </c>
      <c r="D1500" s="10">
        <f>Github!G$1666</f>
        <v>27</v>
      </c>
      <c r="E1500" s="10">
        <f>Github!F$1666+Github!G$1666</f>
        <v>367</v>
      </c>
      <c r="F1500" s="12">
        <f t="shared" si="1"/>
        <v>12.59</v>
      </c>
      <c r="G1500" s="10" t="str">
        <f>Github!H$1666</f>
        <v>Algorithms</v>
      </c>
      <c r="H1500" s="13" t="str">
        <f>SUBSTITUTE(Github!L$1666, ";", ", ")</f>
        <v>Array, Greedy, Sorting, </v>
      </c>
      <c r="I1500" s="10" t="str">
        <f>Github!E$1666</f>
        <v>Hard</v>
      </c>
      <c r="J1500" s="10" t="str">
        <f>IF(TRIM(Github!D$1666)="TRUE","FALSE","TRUE")</f>
        <v>TRUE</v>
      </c>
      <c r="K1500" s="10" t="b">
        <f>Github!M$1666</f>
        <v>0</v>
      </c>
      <c r="L1500" s="10" t="b">
        <f>Github!N$1666</f>
        <v>0</v>
      </c>
      <c r="M1500" s="10" t="str">
        <f>ROUND(Github!O$1666, 2)&amp;"%"</f>
        <v>55.73%</v>
      </c>
      <c r="N1500" s="10">
        <f>Github!P$1666</f>
        <v>11043</v>
      </c>
      <c r="O1500" s="10">
        <f>Github!Q$1666</f>
        <v>19814</v>
      </c>
    </row>
    <row r="1501">
      <c r="A1501" s="10">
        <f>Github!J$2167</f>
        <v>2166</v>
      </c>
      <c r="B1501" s="11" t="str">
        <f>HYPERLINK(CONCAT("http://leetcode.com/problems/",Github!C$2167), Github!B$2167)</f>
        <v>Design Bitset</v>
      </c>
      <c r="C1501" s="10">
        <f>Github!F$2167</f>
        <v>340</v>
      </c>
      <c r="D1501" s="10">
        <f>Github!G$2167</f>
        <v>31</v>
      </c>
      <c r="E1501" s="10">
        <f>Github!F$2167+Github!G$2167</f>
        <v>371</v>
      </c>
      <c r="F1501" s="12">
        <f t="shared" si="1"/>
        <v>10.97</v>
      </c>
      <c r="G1501" s="10" t="str">
        <f>Github!H$2167</f>
        <v>Algorithms</v>
      </c>
      <c r="H1501" s="13" t="str">
        <f>SUBSTITUTE(Github!L$2167, ";", ", ")</f>
        <v>Array, Hash Table, Design, </v>
      </c>
      <c r="I1501" s="10" t="str">
        <f>Github!E$2167</f>
        <v>Medium</v>
      </c>
      <c r="J1501" s="10" t="str">
        <f>IF(TRIM(Github!D$2167)="TRUE","FALSE","TRUE")</f>
        <v>TRUE</v>
      </c>
      <c r="K1501" s="10" t="b">
        <f>Github!M$2167</f>
        <v>0</v>
      </c>
      <c r="L1501" s="10" t="b">
        <f>Github!N$2167</f>
        <v>0</v>
      </c>
      <c r="M1501" s="10" t="str">
        <f>ROUND(Github!O$2167, 2)&amp;"%"</f>
        <v>28.83%</v>
      </c>
      <c r="N1501" s="10">
        <f>Github!P$2167</f>
        <v>12258</v>
      </c>
      <c r="O1501" s="10">
        <f>Github!Q$2167</f>
        <v>42528</v>
      </c>
    </row>
    <row r="1502">
      <c r="A1502" s="10">
        <f>Github!J$1965</f>
        <v>1964</v>
      </c>
      <c r="B1502" s="11" t="str">
        <f>HYPERLINK(CONCAT("http://leetcode.com/problems/",Github!C$1965), Github!B$1965)</f>
        <v>Find the Longest Valid Obstacle Course at Each Position</v>
      </c>
      <c r="C1502" s="10">
        <f>Github!F$1965</f>
        <v>339</v>
      </c>
      <c r="D1502" s="10">
        <f>Github!G$1965</f>
        <v>5</v>
      </c>
      <c r="E1502" s="10">
        <f>Github!F$1965+Github!G$1965</f>
        <v>344</v>
      </c>
      <c r="F1502" s="12">
        <f t="shared" si="1"/>
        <v>67.8</v>
      </c>
      <c r="G1502" s="10" t="str">
        <f>Github!H$1965</f>
        <v>Algorithms</v>
      </c>
      <c r="H1502" s="13" t="str">
        <f>SUBSTITUTE(Github!L$1965, ";", ", ")</f>
        <v>Array, Binary Search, Binary Indexed Tree, </v>
      </c>
      <c r="I1502" s="10" t="str">
        <f>Github!E$1965</f>
        <v>Hard</v>
      </c>
      <c r="J1502" s="10" t="str">
        <f>IF(TRIM(Github!D$1965)="TRUE","FALSE","TRUE")</f>
        <v>TRUE</v>
      </c>
      <c r="K1502" s="10" t="b">
        <f>Github!M$1965</f>
        <v>0</v>
      </c>
      <c r="L1502" s="10" t="b">
        <f>Github!N$1965</f>
        <v>0</v>
      </c>
      <c r="M1502" s="10" t="str">
        <f>ROUND(Github!O$1965, 2)&amp;"%"</f>
        <v>45.18%</v>
      </c>
      <c r="N1502" s="10">
        <f>Github!P$1965</f>
        <v>7998</v>
      </c>
      <c r="O1502" s="10">
        <f>Github!Q$1965</f>
        <v>17703</v>
      </c>
    </row>
    <row r="1503">
      <c r="A1503" s="10">
        <f>Github!J$945</f>
        <v>944</v>
      </c>
      <c r="B1503" s="11" t="str">
        <f>HYPERLINK(CONCAT("http://leetcode.com/problems/",Github!C$945), Github!B$945)</f>
        <v>Delete Columns to Make Sorted</v>
      </c>
      <c r="C1503" s="10">
        <f>Github!F$945</f>
        <v>338</v>
      </c>
      <c r="D1503" s="10">
        <f>Github!G$945</f>
        <v>1991</v>
      </c>
      <c r="E1503" s="10">
        <f>Github!F$945+Github!G$945</f>
        <v>2329</v>
      </c>
      <c r="F1503" s="12">
        <f t="shared" si="1"/>
        <v>0.17</v>
      </c>
      <c r="G1503" s="10" t="str">
        <f>Github!H$945</f>
        <v>Algorithms</v>
      </c>
      <c r="H1503" s="13" t="str">
        <f>SUBSTITUTE(Github!L$945, ";", ", ")</f>
        <v>Array, String, </v>
      </c>
      <c r="I1503" s="10" t="str">
        <f>Github!E$945</f>
        <v>Easy</v>
      </c>
      <c r="J1503" s="10" t="str">
        <f>IF(TRIM(Github!D$945)="TRUE","FALSE","TRUE")</f>
        <v>TRUE</v>
      </c>
      <c r="K1503" s="10" t="b">
        <f>Github!M$945</f>
        <v>0</v>
      </c>
      <c r="L1503" s="10" t="b">
        <f>Github!N$945</f>
        <v>0</v>
      </c>
      <c r="M1503" s="10" t="str">
        <f>ROUND(Github!O$945, 2)&amp;"%"</f>
        <v>70.05%</v>
      </c>
      <c r="N1503" s="10">
        <f>Github!P$945</f>
        <v>64682</v>
      </c>
      <c r="O1503" s="10">
        <f>Github!Q$945</f>
        <v>92340</v>
      </c>
    </row>
    <row r="1504">
      <c r="A1504" s="10">
        <f>Github!J$967</f>
        <v>966</v>
      </c>
      <c r="B1504" s="11" t="str">
        <f>HYPERLINK(CONCAT("http://leetcode.com/problems/",Github!C$967), Github!B$967)</f>
        <v>Vowel Spellchecker</v>
      </c>
      <c r="C1504" s="10">
        <f>Github!F$967</f>
        <v>338</v>
      </c>
      <c r="D1504" s="10">
        <f>Github!G$967</f>
        <v>709</v>
      </c>
      <c r="E1504" s="10">
        <f>Github!F$967+Github!G$967</f>
        <v>1047</v>
      </c>
      <c r="F1504" s="12">
        <f t="shared" si="1"/>
        <v>0.48</v>
      </c>
      <c r="G1504" s="10" t="str">
        <f>Github!H$967</f>
        <v>Algorithms</v>
      </c>
      <c r="H1504" s="13" t="str">
        <f>SUBSTITUTE(Github!L$967, ";", ", ")</f>
        <v>Array, Hash Table, String, </v>
      </c>
      <c r="I1504" s="10" t="str">
        <f>Github!E$967</f>
        <v>Medium</v>
      </c>
      <c r="J1504" s="10" t="str">
        <f>IF(TRIM(Github!D$967)="TRUE","FALSE","TRUE")</f>
        <v>TRUE</v>
      </c>
      <c r="K1504" s="10" t="b">
        <f>Github!M$967</f>
        <v>1</v>
      </c>
      <c r="L1504" s="10" t="b">
        <f>Github!N$967</f>
        <v>0</v>
      </c>
      <c r="M1504" s="10" t="str">
        <f>ROUND(Github!O$967, 2)&amp;"%"</f>
        <v>51.59%</v>
      </c>
      <c r="N1504" s="10">
        <f>Github!P$967</f>
        <v>34951</v>
      </c>
      <c r="O1504" s="10">
        <f>Github!Q$967</f>
        <v>67750</v>
      </c>
    </row>
    <row r="1505">
      <c r="A1505" s="10">
        <f>Github!J$1199</f>
        <v>1198</v>
      </c>
      <c r="B1505" s="11" t="str">
        <f>HYPERLINK(CONCAT("http://leetcode.com/problems/",Github!C$1199), Github!B$1199)</f>
        <v>Find Smallest Common Element in All Rows</v>
      </c>
      <c r="C1505" s="10">
        <f>Github!F$1199</f>
        <v>338</v>
      </c>
      <c r="D1505" s="10">
        <f>Github!G$1199</f>
        <v>24</v>
      </c>
      <c r="E1505" s="10">
        <f>Github!F$1199+Github!G$1199</f>
        <v>362</v>
      </c>
      <c r="F1505" s="12">
        <f t="shared" si="1"/>
        <v>14.08</v>
      </c>
      <c r="G1505" s="10" t="str">
        <f>Github!H$1199</f>
        <v>Algorithms</v>
      </c>
      <c r="H1505" s="13" t="str">
        <f>SUBSTITUTE(Github!L$1199, ";", ", ")</f>
        <v>Array, Hash Table, Binary Search, Matrix, Counting, </v>
      </c>
      <c r="I1505" s="10" t="str">
        <f>Github!E$1199</f>
        <v>Medium</v>
      </c>
      <c r="J1505" s="10" t="str">
        <f>IF(TRIM(Github!D$1199)="TRUE","FALSE","TRUE")</f>
        <v>FALSE</v>
      </c>
      <c r="K1505" s="10" t="b">
        <f>Github!M$1199</f>
        <v>1</v>
      </c>
      <c r="L1505" s="10" t="b">
        <f>Github!N$1199</f>
        <v>1</v>
      </c>
      <c r="M1505" s="10" t="str">
        <f>ROUND(Github!O$1199, 2)&amp;"%"</f>
        <v>75.99%</v>
      </c>
      <c r="N1505" s="10">
        <f>Github!P$1199</f>
        <v>26280</v>
      </c>
      <c r="O1505" s="10">
        <f>Github!Q$1199</f>
        <v>34581</v>
      </c>
    </row>
    <row r="1506">
      <c r="A1506" s="10">
        <f>Github!J$1196</f>
        <v>1195</v>
      </c>
      <c r="B1506" s="11" t="str">
        <f>HYPERLINK(CONCAT("http://leetcode.com/problems/",Github!C$1196), Github!B$1196)</f>
        <v>Fizz Buzz Multithreaded</v>
      </c>
      <c r="C1506" s="10">
        <f>Github!F$1196</f>
        <v>337</v>
      </c>
      <c r="D1506" s="10">
        <f>Github!G$1196</f>
        <v>265</v>
      </c>
      <c r="E1506" s="10">
        <f>Github!F$1196+Github!G$1196</f>
        <v>602</v>
      </c>
      <c r="F1506" s="12">
        <f t="shared" si="1"/>
        <v>1.27</v>
      </c>
      <c r="G1506" s="10" t="str">
        <f>Github!H$1196</f>
        <v>Concurrency</v>
      </c>
      <c r="H1506" s="13" t="str">
        <f>SUBSTITUTE(Github!L$1196, ";", ", ")</f>
        <v>Concurrency, </v>
      </c>
      <c r="I1506" s="10" t="str">
        <f>Github!E$1196</f>
        <v>Medium</v>
      </c>
      <c r="J1506" s="10" t="str">
        <f>IF(TRIM(Github!D$1196)="TRUE","FALSE","TRUE")</f>
        <v>TRUE</v>
      </c>
      <c r="K1506" s="10" t="b">
        <f>Github!M$1196</f>
        <v>0</v>
      </c>
      <c r="L1506" s="10" t="b">
        <f>Github!N$1196</f>
        <v>0</v>
      </c>
      <c r="M1506" s="10" t="str">
        <f>ROUND(Github!O$1196, 2)&amp;"%"</f>
        <v>72.04%</v>
      </c>
      <c r="N1506" s="10">
        <f>Github!P$1196</f>
        <v>26781</v>
      </c>
      <c r="O1506" s="10">
        <f>Github!Q$1196</f>
        <v>37178</v>
      </c>
    </row>
    <row r="1507">
      <c r="A1507" s="10">
        <f>Github!J$1551</f>
        <v>1550</v>
      </c>
      <c r="B1507" s="11" t="str">
        <f>HYPERLINK(CONCAT("http://leetcode.com/problems/",Github!C$1551), Github!B$1551)</f>
        <v>Three Consecutive Odds</v>
      </c>
      <c r="C1507" s="10">
        <f>Github!F$1551</f>
        <v>337</v>
      </c>
      <c r="D1507" s="10">
        <f>Github!G$1551</f>
        <v>46</v>
      </c>
      <c r="E1507" s="10">
        <f>Github!F$1551+Github!G$1551</f>
        <v>383</v>
      </c>
      <c r="F1507" s="12">
        <f t="shared" si="1"/>
        <v>7.33</v>
      </c>
      <c r="G1507" s="10" t="str">
        <f>Github!H$1551</f>
        <v>Algorithms</v>
      </c>
      <c r="H1507" s="13" t="str">
        <f>SUBSTITUTE(Github!L$1551, ";", ", ")</f>
        <v>Array, </v>
      </c>
      <c r="I1507" s="10" t="str">
        <f>Github!E$1551</f>
        <v>Easy</v>
      </c>
      <c r="J1507" s="10" t="str">
        <f>IF(TRIM(Github!D$1551)="TRUE","FALSE","TRUE")</f>
        <v>TRUE</v>
      </c>
      <c r="K1507" s="10" t="b">
        <f>Github!M$1551</f>
        <v>0</v>
      </c>
      <c r="L1507" s="10" t="b">
        <f>Github!N$1551</f>
        <v>0</v>
      </c>
      <c r="M1507" s="10" t="str">
        <f>ROUND(Github!O$1551, 2)&amp;"%"</f>
        <v>64.23%</v>
      </c>
      <c r="N1507" s="10">
        <f>Github!P$1551</f>
        <v>48060</v>
      </c>
      <c r="O1507" s="10">
        <f>Github!Q$1551</f>
        <v>74826</v>
      </c>
    </row>
    <row r="1508">
      <c r="A1508" s="10">
        <f>Github!J$1018</f>
        <v>1017</v>
      </c>
      <c r="B1508" s="11" t="str">
        <f>HYPERLINK(CONCAT("http://leetcode.com/problems/",Github!C$1018), Github!B$1018)</f>
        <v>Convert to Base -2</v>
      </c>
      <c r="C1508" s="10">
        <f>Github!F$1018</f>
        <v>336</v>
      </c>
      <c r="D1508" s="10">
        <f>Github!G$1018</f>
        <v>219</v>
      </c>
      <c r="E1508" s="10">
        <f>Github!F$1018+Github!G$1018</f>
        <v>555</v>
      </c>
      <c r="F1508" s="12">
        <f t="shared" si="1"/>
        <v>1.53</v>
      </c>
      <c r="G1508" s="10" t="str">
        <f>Github!H$1018</f>
        <v>Algorithms</v>
      </c>
      <c r="H1508" s="13" t="str">
        <f>SUBSTITUTE(Github!L$1018, ";", ", ")</f>
        <v>Math, </v>
      </c>
      <c r="I1508" s="10" t="str">
        <f>Github!E$1018</f>
        <v>Medium</v>
      </c>
      <c r="J1508" s="10" t="str">
        <f>IF(TRIM(Github!D$1018)="TRUE","FALSE","TRUE")</f>
        <v>TRUE</v>
      </c>
      <c r="K1508" s="10" t="b">
        <f>Github!M$1018</f>
        <v>0</v>
      </c>
      <c r="L1508" s="10" t="b">
        <f>Github!N$1018</f>
        <v>0</v>
      </c>
      <c r="M1508" s="10" t="str">
        <f>ROUND(Github!O$1018, 2)&amp;"%"</f>
        <v>60%</v>
      </c>
      <c r="N1508" s="10">
        <f>Github!P$1018</f>
        <v>17663</v>
      </c>
      <c r="O1508" s="10">
        <f>Github!Q$1018</f>
        <v>29437</v>
      </c>
    </row>
    <row r="1509">
      <c r="A1509" s="10">
        <f>Github!J$1166</f>
        <v>1165</v>
      </c>
      <c r="B1509" s="11" t="str">
        <f>HYPERLINK(CONCAT("http://leetcode.com/problems/",Github!C$1166), Github!B$1166)</f>
        <v>Single-Row Keyboard</v>
      </c>
      <c r="C1509" s="10">
        <f>Github!F$1166</f>
        <v>336</v>
      </c>
      <c r="D1509" s="10">
        <f>Github!G$1166</f>
        <v>17</v>
      </c>
      <c r="E1509" s="10">
        <f>Github!F$1166+Github!G$1166</f>
        <v>353</v>
      </c>
      <c r="F1509" s="12">
        <f t="shared" si="1"/>
        <v>19.76</v>
      </c>
      <c r="G1509" s="10" t="str">
        <f>Github!H$1166</f>
        <v>Algorithms</v>
      </c>
      <c r="H1509" s="13" t="str">
        <f>SUBSTITUTE(Github!L$1166, ";", ", ")</f>
        <v>Hash Table, String, </v>
      </c>
      <c r="I1509" s="10" t="str">
        <f>Github!E$1166</f>
        <v>Easy</v>
      </c>
      <c r="J1509" s="10" t="str">
        <f>IF(TRIM(Github!D$1166)="TRUE","FALSE","TRUE")</f>
        <v>FALSE</v>
      </c>
      <c r="K1509" s="10" t="b">
        <f>Github!M$1166</f>
        <v>1</v>
      </c>
      <c r="L1509" s="10" t="b">
        <f>Github!N$1166</f>
        <v>0</v>
      </c>
      <c r="M1509" s="10" t="str">
        <f>ROUND(Github!O$1166, 2)&amp;"%"</f>
        <v>85.64%</v>
      </c>
      <c r="N1509" s="10">
        <f>Github!P$1166</f>
        <v>57414</v>
      </c>
      <c r="O1509" s="10">
        <f>Github!Q$1166</f>
        <v>67043</v>
      </c>
    </row>
    <row r="1510">
      <c r="A1510" s="10">
        <f>Github!J$500</f>
        <v>499</v>
      </c>
      <c r="B1510" s="11" t="str">
        <f>HYPERLINK(CONCAT("http://leetcode.com/problems/",Github!C$500), Github!B$500)</f>
        <v>The Maze III</v>
      </c>
      <c r="C1510" s="10">
        <f>Github!F$500</f>
        <v>335</v>
      </c>
      <c r="D1510" s="10">
        <f>Github!G$500</f>
        <v>60</v>
      </c>
      <c r="E1510" s="10">
        <f>Github!F$500+Github!G$500</f>
        <v>395</v>
      </c>
      <c r="F1510" s="12">
        <f t="shared" si="1"/>
        <v>5.58</v>
      </c>
      <c r="G1510" s="10" t="str">
        <f>Github!H$500</f>
        <v>Algorithms</v>
      </c>
      <c r="H1510" s="13" t="str">
        <f>SUBSTITUTE(Github!L$500, ";", ", ")</f>
        <v>Depth-First Search, Breadth-First Search, Graph, Heap (Priority Queue), Shortest Path, </v>
      </c>
      <c r="I1510" s="10" t="str">
        <f>Github!E$500</f>
        <v>Hard</v>
      </c>
      <c r="J1510" s="10" t="str">
        <f>IF(TRIM(Github!D$500)="TRUE","FALSE","TRUE")</f>
        <v>FALSE</v>
      </c>
      <c r="K1510" s="10" t="b">
        <f>Github!M$500</f>
        <v>0</v>
      </c>
      <c r="L1510" s="10" t="b">
        <f>Github!N$500</f>
        <v>0</v>
      </c>
      <c r="M1510" s="10" t="str">
        <f>ROUND(Github!O$500, 2)&amp;"%"</f>
        <v>44.86%</v>
      </c>
      <c r="N1510" s="10">
        <f>Github!P$500</f>
        <v>21917</v>
      </c>
      <c r="O1510" s="10">
        <f>Github!Q$500</f>
        <v>48855</v>
      </c>
    </row>
    <row r="1511">
      <c r="A1511" s="10">
        <f>Github!J$1772</f>
        <v>1771</v>
      </c>
      <c r="B1511" s="11" t="str">
        <f>HYPERLINK(CONCAT("http://leetcode.com/problems/",Github!C$1772), Github!B$1772)</f>
        <v>Maximize Palindrome Length From Subsequences</v>
      </c>
      <c r="C1511" s="10">
        <f>Github!F$1772</f>
        <v>336</v>
      </c>
      <c r="D1511" s="10">
        <f>Github!G$1772</f>
        <v>6</v>
      </c>
      <c r="E1511" s="10">
        <f>Github!F$1772+Github!G$1772</f>
        <v>342</v>
      </c>
      <c r="F1511" s="12">
        <f t="shared" si="1"/>
        <v>56</v>
      </c>
      <c r="G1511" s="10" t="str">
        <f>Github!H$1772</f>
        <v>Algorithms</v>
      </c>
      <c r="H1511" s="13" t="str">
        <f>SUBSTITUTE(Github!L$1772, ";", ", ")</f>
        <v>String, Dynamic Programming, </v>
      </c>
      <c r="I1511" s="10" t="str">
        <f>Github!E$1772</f>
        <v>Hard</v>
      </c>
      <c r="J1511" s="10" t="str">
        <f>IF(TRIM(Github!D$1772)="TRUE","FALSE","TRUE")</f>
        <v>TRUE</v>
      </c>
      <c r="K1511" s="10" t="b">
        <f>Github!M$1772</f>
        <v>0</v>
      </c>
      <c r="L1511" s="10" t="b">
        <f>Github!N$1772</f>
        <v>0</v>
      </c>
      <c r="M1511" s="10" t="str">
        <f>ROUND(Github!O$1772, 2)&amp;"%"</f>
        <v>34.66%</v>
      </c>
      <c r="N1511" s="10">
        <f>Github!P$1772</f>
        <v>7094</v>
      </c>
      <c r="O1511" s="10">
        <f>Github!Q$1772</f>
        <v>20467</v>
      </c>
    </row>
    <row r="1512">
      <c r="A1512" s="10">
        <f>Github!J$1404</f>
        <v>1403</v>
      </c>
      <c r="B1512" s="11" t="str">
        <f>HYPERLINK(CONCAT("http://leetcode.com/problems/",Github!C$1404), Github!B$1404)</f>
        <v>Minimum Subsequence in Non-Increasing Order</v>
      </c>
      <c r="C1512" s="10">
        <f>Github!F$1404</f>
        <v>334</v>
      </c>
      <c r="D1512" s="10">
        <f>Github!G$1404</f>
        <v>370</v>
      </c>
      <c r="E1512" s="10">
        <f>Github!F$1404+Github!G$1404</f>
        <v>704</v>
      </c>
      <c r="F1512" s="12">
        <f t="shared" si="1"/>
        <v>0.9</v>
      </c>
      <c r="G1512" s="10" t="str">
        <f>Github!H$1404</f>
        <v>Algorithms</v>
      </c>
      <c r="H1512" s="13" t="str">
        <f>SUBSTITUTE(Github!L$1404, ";", ", ")</f>
        <v>Array, Greedy, Sorting, </v>
      </c>
      <c r="I1512" s="10" t="str">
        <f>Github!E$1404</f>
        <v>Easy</v>
      </c>
      <c r="J1512" s="10" t="str">
        <f>IF(TRIM(Github!D$1404)="TRUE","FALSE","TRUE")</f>
        <v>TRUE</v>
      </c>
      <c r="K1512" s="10" t="b">
        <f>Github!M$1404</f>
        <v>0</v>
      </c>
      <c r="L1512" s="10" t="b">
        <f>Github!N$1404</f>
        <v>0</v>
      </c>
      <c r="M1512" s="10" t="str">
        <f>ROUND(Github!O$1404, 2)&amp;"%"</f>
        <v>72.13%</v>
      </c>
      <c r="N1512" s="10">
        <f>Github!P$1404</f>
        <v>48323</v>
      </c>
      <c r="O1512" s="10">
        <f>Github!Q$1404</f>
        <v>66994</v>
      </c>
    </row>
    <row r="1513">
      <c r="A1513" s="10">
        <f>Github!J$1731</f>
        <v>1730</v>
      </c>
      <c r="B1513" s="11" t="str">
        <f>HYPERLINK(CONCAT("http://leetcode.com/problems/",Github!C$1731), Github!B$1731)</f>
        <v>Shortest Path to Get Food</v>
      </c>
      <c r="C1513" s="10">
        <f>Github!F$1731</f>
        <v>333</v>
      </c>
      <c r="D1513" s="10">
        <f>Github!G$1731</f>
        <v>15</v>
      </c>
      <c r="E1513" s="10">
        <f>Github!F$1731+Github!G$1731</f>
        <v>348</v>
      </c>
      <c r="F1513" s="12">
        <f t="shared" si="1"/>
        <v>22.2</v>
      </c>
      <c r="G1513" s="10" t="str">
        <f>Github!H$1731</f>
        <v>Algorithms</v>
      </c>
      <c r="H1513" s="13" t="str">
        <f>SUBSTITUTE(Github!L$1731, ";", ", ")</f>
        <v>Array, Breadth-First Search, Matrix, </v>
      </c>
      <c r="I1513" s="10" t="str">
        <f>Github!E$1731</f>
        <v>Medium</v>
      </c>
      <c r="J1513" s="10" t="str">
        <f>IF(TRIM(Github!D$1731)="TRUE","FALSE","TRUE")</f>
        <v>FALSE</v>
      </c>
      <c r="K1513" s="10" t="b">
        <f>Github!M$1731</f>
        <v>0</v>
      </c>
      <c r="L1513" s="10" t="b">
        <f>Github!N$1731</f>
        <v>0</v>
      </c>
      <c r="M1513" s="10" t="str">
        <f>ROUND(Github!O$1731, 2)&amp;"%"</f>
        <v>54.3%</v>
      </c>
      <c r="N1513" s="10">
        <f>Github!P$1731</f>
        <v>25748</v>
      </c>
      <c r="O1513" s="10">
        <f>Github!Q$1731</f>
        <v>47418</v>
      </c>
    </row>
    <row r="1514">
      <c r="A1514" s="10">
        <f>Github!J$1904</f>
        <v>1903</v>
      </c>
      <c r="B1514" s="11" t="str">
        <f>HYPERLINK(CONCAT("http://leetcode.com/problems/",Github!C$1904), Github!B$1904)</f>
        <v>Largest Odd Number in String</v>
      </c>
      <c r="C1514" s="10">
        <f>Github!F$1904</f>
        <v>332</v>
      </c>
      <c r="D1514" s="10">
        <f>Github!G$1904</f>
        <v>26</v>
      </c>
      <c r="E1514" s="10">
        <f>Github!F$1904+Github!G$1904</f>
        <v>358</v>
      </c>
      <c r="F1514" s="12">
        <f t="shared" si="1"/>
        <v>12.77</v>
      </c>
      <c r="G1514" s="10" t="str">
        <f>Github!H$1904</f>
        <v>Algorithms</v>
      </c>
      <c r="H1514" s="13" t="str">
        <f>SUBSTITUTE(Github!L$1904, ";", ", ")</f>
        <v>Math, String, Greedy, </v>
      </c>
      <c r="I1514" s="10" t="str">
        <f>Github!E$1904</f>
        <v>Easy</v>
      </c>
      <c r="J1514" s="10" t="str">
        <f>IF(TRIM(Github!D$1904)="TRUE","FALSE","TRUE")</f>
        <v>TRUE</v>
      </c>
      <c r="K1514" s="10" t="b">
        <f>Github!M$1904</f>
        <v>0</v>
      </c>
      <c r="L1514" s="10" t="b">
        <f>Github!N$1904</f>
        <v>0</v>
      </c>
      <c r="M1514" s="10" t="str">
        <f>ROUND(Github!O$1904, 2)&amp;"%"</f>
        <v>56.98%</v>
      </c>
      <c r="N1514" s="10">
        <f>Github!P$1904</f>
        <v>29802</v>
      </c>
      <c r="O1514" s="10">
        <f>Github!Q$1904</f>
        <v>52302</v>
      </c>
    </row>
    <row r="1515">
      <c r="A1515" s="10">
        <f>Github!J$2017</f>
        <v>2016</v>
      </c>
      <c r="B1515" s="11" t="str">
        <f>HYPERLINK(CONCAT("http://leetcode.com/problems/",Github!C$2017), Github!B$2017)</f>
        <v>Maximum Difference Between Increasing Elements</v>
      </c>
      <c r="C1515" s="10">
        <f>Github!F$2017</f>
        <v>332</v>
      </c>
      <c r="D1515" s="10">
        <f>Github!G$2017</f>
        <v>15</v>
      </c>
      <c r="E1515" s="10">
        <f>Github!F$2017+Github!G$2017</f>
        <v>347</v>
      </c>
      <c r="F1515" s="12">
        <f t="shared" si="1"/>
        <v>22.13</v>
      </c>
      <c r="G1515" s="10" t="str">
        <f>Github!H$2017</f>
        <v>Algorithms</v>
      </c>
      <c r="H1515" s="13" t="str">
        <f>SUBSTITUTE(Github!L$2017, ";", ", ")</f>
        <v>Array, </v>
      </c>
      <c r="I1515" s="10" t="str">
        <f>Github!E$2017</f>
        <v>Easy</v>
      </c>
      <c r="J1515" s="10" t="str">
        <f>IF(TRIM(Github!D$2017)="TRUE","FALSE","TRUE")</f>
        <v>TRUE</v>
      </c>
      <c r="K1515" s="10" t="b">
        <f>Github!M$2017</f>
        <v>0</v>
      </c>
      <c r="L1515" s="10" t="b">
        <f>Github!N$2017</f>
        <v>0</v>
      </c>
      <c r="M1515" s="10" t="str">
        <f>ROUND(Github!O$2017, 2)&amp;"%"</f>
        <v>54.93%</v>
      </c>
      <c r="N1515" s="10">
        <f>Github!P$2017</f>
        <v>27222</v>
      </c>
      <c r="O1515" s="10">
        <f>Github!Q$2017</f>
        <v>49565</v>
      </c>
    </row>
    <row r="1516">
      <c r="A1516" s="10">
        <f>Github!J$1238</f>
        <v>1237</v>
      </c>
      <c r="B1516" s="11" t="str">
        <f>HYPERLINK(CONCAT("http://leetcode.com/problems/",Github!C$1238), Github!B$1238)</f>
        <v>Find Positive Integer Solution for a Given Equation</v>
      </c>
      <c r="C1516" s="10">
        <f>Github!F$1238</f>
        <v>331</v>
      </c>
      <c r="D1516" s="10">
        <f>Github!G$1238</f>
        <v>1125</v>
      </c>
      <c r="E1516" s="10">
        <f>Github!F$1238+Github!G$1238</f>
        <v>1456</v>
      </c>
      <c r="F1516" s="12">
        <f t="shared" si="1"/>
        <v>0.29</v>
      </c>
      <c r="G1516" s="10" t="str">
        <f>Github!H$1238</f>
        <v>Algorithms</v>
      </c>
      <c r="H1516" s="13" t="str">
        <f>SUBSTITUTE(Github!L$1238, ";", ", ")</f>
        <v>Math, Two Pointers, Binary Search, Interactive, </v>
      </c>
      <c r="I1516" s="10" t="str">
        <f>Github!E$1238</f>
        <v>Medium</v>
      </c>
      <c r="J1516" s="10" t="str">
        <f>IF(TRIM(Github!D$1238)="TRUE","FALSE","TRUE")</f>
        <v>TRUE</v>
      </c>
      <c r="K1516" s="10" t="b">
        <f>Github!M$1238</f>
        <v>0</v>
      </c>
      <c r="L1516" s="10" t="b">
        <f>Github!N$1238</f>
        <v>0</v>
      </c>
      <c r="M1516" s="10" t="str">
        <f>ROUND(Github!O$1238, 2)&amp;"%"</f>
        <v>69.46%</v>
      </c>
      <c r="N1516" s="10">
        <f>Github!P$1238</f>
        <v>47291</v>
      </c>
      <c r="O1516" s="10">
        <f>Github!Q$1238</f>
        <v>68082</v>
      </c>
    </row>
    <row r="1517">
      <c r="A1517" s="10">
        <f>Github!J$1681</f>
        <v>1680</v>
      </c>
      <c r="B1517" s="11" t="str">
        <f>HYPERLINK(CONCAT("http://leetcode.com/problems/",Github!C$1681), Github!B$1681)</f>
        <v>Concatenation of Consecutive Binary Numbers</v>
      </c>
      <c r="C1517" s="10">
        <f>Github!F$1681</f>
        <v>332</v>
      </c>
      <c r="D1517" s="10">
        <f>Github!G$1681</f>
        <v>203</v>
      </c>
      <c r="E1517" s="10">
        <f>Github!F$1681+Github!G$1681</f>
        <v>535</v>
      </c>
      <c r="F1517" s="12">
        <f t="shared" si="1"/>
        <v>1.64</v>
      </c>
      <c r="G1517" s="10" t="str">
        <f>Github!H$1681</f>
        <v>Algorithms</v>
      </c>
      <c r="H1517" s="13" t="str">
        <f>SUBSTITUTE(Github!L$1681, ";", ", ")</f>
        <v>Math, Bit Manipulation, Simulation, </v>
      </c>
      <c r="I1517" s="10" t="str">
        <f>Github!E$1681</f>
        <v>Medium</v>
      </c>
      <c r="J1517" s="10" t="str">
        <f>IF(TRIM(Github!D$1681)="TRUE","FALSE","TRUE")</f>
        <v>TRUE</v>
      </c>
      <c r="K1517" s="10" t="b">
        <f>Github!M$1681</f>
        <v>1</v>
      </c>
      <c r="L1517" s="10" t="b">
        <f>Github!N$1681</f>
        <v>0</v>
      </c>
      <c r="M1517" s="10" t="str">
        <f>ROUND(Github!O$1681, 2)&amp;"%"</f>
        <v>52.54%</v>
      </c>
      <c r="N1517" s="10">
        <f>Github!P$1681</f>
        <v>33307</v>
      </c>
      <c r="O1517" s="10">
        <f>Github!Q$1681</f>
        <v>63390</v>
      </c>
    </row>
    <row r="1518">
      <c r="A1518" s="10">
        <f>Github!J$2102</f>
        <v>2101</v>
      </c>
      <c r="B1518" s="11" t="str">
        <f>HYPERLINK(CONCAT("http://leetcode.com/problems/",Github!C$2102), Github!B$2102)</f>
        <v>Detonate the Maximum Bombs</v>
      </c>
      <c r="C1518" s="10">
        <f>Github!F$2102</f>
        <v>331</v>
      </c>
      <c r="D1518" s="10">
        <f>Github!G$2102</f>
        <v>39</v>
      </c>
      <c r="E1518" s="10">
        <f>Github!F$2102+Github!G$2102</f>
        <v>370</v>
      </c>
      <c r="F1518" s="12">
        <f t="shared" si="1"/>
        <v>8.49</v>
      </c>
      <c r="G1518" s="10" t="str">
        <f>Github!H$2102</f>
        <v>Algorithms</v>
      </c>
      <c r="H1518" s="13" t="str">
        <f>SUBSTITUTE(Github!L$2102, ";", ", ")</f>
        <v>Array, Math, Depth-First Search, Breadth-First Search, Graph, Geometry, </v>
      </c>
      <c r="I1518" s="10" t="str">
        <f>Github!E$2102</f>
        <v>Medium</v>
      </c>
      <c r="J1518" s="10" t="str">
        <f>IF(TRIM(Github!D$2102)="TRUE","FALSE","TRUE")</f>
        <v>TRUE</v>
      </c>
      <c r="K1518" s="10" t="b">
        <f>Github!M$2102</f>
        <v>0</v>
      </c>
      <c r="L1518" s="10" t="b">
        <f>Github!N$2102</f>
        <v>0</v>
      </c>
      <c r="M1518" s="10" t="str">
        <f>ROUND(Github!O$2102, 2)&amp;"%"</f>
        <v>39.79%</v>
      </c>
      <c r="N1518" s="10">
        <f>Github!P$2102</f>
        <v>8787</v>
      </c>
      <c r="O1518" s="10">
        <f>Github!Q$2102</f>
        <v>22083</v>
      </c>
    </row>
    <row r="1519">
      <c r="A1519" s="10">
        <f>Github!J$246</f>
        <v>245</v>
      </c>
      <c r="B1519" s="11" t="str">
        <f>HYPERLINK(CONCAT("http://leetcode.com/problems/",Github!C$246), Github!B$246)</f>
        <v>Shortest Word Distance III</v>
      </c>
      <c r="C1519" s="10">
        <f>Github!F$246</f>
        <v>330</v>
      </c>
      <c r="D1519" s="10">
        <f>Github!G$246</f>
        <v>82</v>
      </c>
      <c r="E1519" s="10">
        <f>Github!F$246+Github!G$246</f>
        <v>412</v>
      </c>
      <c r="F1519" s="12">
        <f t="shared" si="1"/>
        <v>4.02</v>
      </c>
      <c r="G1519" s="10" t="str">
        <f>Github!H$246</f>
        <v>Algorithms</v>
      </c>
      <c r="H1519" s="13" t="str">
        <f>SUBSTITUTE(Github!L$246, ";", ", ")</f>
        <v>Array, String, </v>
      </c>
      <c r="I1519" s="10" t="str">
        <f>Github!E$246</f>
        <v>Medium</v>
      </c>
      <c r="J1519" s="10" t="str">
        <f>IF(TRIM(Github!D$246)="TRUE","FALSE","TRUE")</f>
        <v>FALSE</v>
      </c>
      <c r="K1519" s="10" t="b">
        <f>Github!M$246</f>
        <v>0</v>
      </c>
      <c r="L1519" s="10" t="b">
        <f>Github!N$246</f>
        <v>0</v>
      </c>
      <c r="M1519" s="10" t="str">
        <f>ROUND(Github!O$246, 2)&amp;"%"</f>
        <v>57.08%</v>
      </c>
      <c r="N1519" s="10">
        <f>Github!P$246</f>
        <v>65651</v>
      </c>
      <c r="O1519" s="10">
        <f>Github!Q$246</f>
        <v>115020</v>
      </c>
    </row>
    <row r="1520">
      <c r="A1520" s="10">
        <f>Github!J$440</f>
        <v>439</v>
      </c>
      <c r="B1520" s="11" t="str">
        <f>HYPERLINK(CONCAT("http://leetcode.com/problems/",Github!C$440), Github!B$440)</f>
        <v>Ternary Expression Parser</v>
      </c>
      <c r="C1520" s="10">
        <f>Github!F$440</f>
        <v>329</v>
      </c>
      <c r="D1520" s="10">
        <f>Github!G$440</f>
        <v>41</v>
      </c>
      <c r="E1520" s="10">
        <f>Github!F$440+Github!G$440</f>
        <v>370</v>
      </c>
      <c r="F1520" s="12">
        <f t="shared" si="1"/>
        <v>8.02</v>
      </c>
      <c r="G1520" s="10" t="str">
        <f>Github!H$440</f>
        <v>Algorithms</v>
      </c>
      <c r="H1520" s="13" t="str">
        <f>SUBSTITUTE(Github!L$440, ";", ", ")</f>
        <v>String, Stack, Recursion, </v>
      </c>
      <c r="I1520" s="10" t="str">
        <f>Github!E$440</f>
        <v>Medium</v>
      </c>
      <c r="J1520" s="10" t="str">
        <f>IF(TRIM(Github!D$440)="TRUE","FALSE","TRUE")</f>
        <v>FALSE</v>
      </c>
      <c r="K1520" s="10" t="b">
        <f>Github!M$440</f>
        <v>0</v>
      </c>
      <c r="L1520" s="10" t="b">
        <f>Github!N$440</f>
        <v>0</v>
      </c>
      <c r="M1520" s="10" t="str">
        <f>ROUND(Github!O$440, 2)&amp;"%"</f>
        <v>57.76%</v>
      </c>
      <c r="N1520" s="10">
        <f>Github!P$440</f>
        <v>24364</v>
      </c>
      <c r="O1520" s="10">
        <f>Github!Q$440</f>
        <v>42183</v>
      </c>
    </row>
    <row r="1521">
      <c r="A1521" s="10">
        <f>Github!J$489</f>
        <v>488</v>
      </c>
      <c r="B1521" s="11" t="str">
        <f>HYPERLINK(CONCAT("http://leetcode.com/problems/",Github!C$489), Github!B$489)</f>
        <v>Zuma Game</v>
      </c>
      <c r="C1521" s="10">
        <f>Github!F$489</f>
        <v>329</v>
      </c>
      <c r="D1521" s="10">
        <f>Github!G$489</f>
        <v>386</v>
      </c>
      <c r="E1521" s="10">
        <f>Github!F$489+Github!G$489</f>
        <v>715</v>
      </c>
      <c r="F1521" s="12">
        <f t="shared" si="1"/>
        <v>0.85</v>
      </c>
      <c r="G1521" s="10" t="str">
        <f>Github!H$489</f>
        <v>Algorithms</v>
      </c>
      <c r="H1521" s="13" t="str">
        <f>SUBSTITUTE(Github!L$489, ";", ", ")</f>
        <v>String, Dynamic Programming, Breadth-First Search, Memoization, </v>
      </c>
      <c r="I1521" s="10" t="str">
        <f>Github!E$489</f>
        <v>Hard</v>
      </c>
      <c r="J1521" s="10" t="str">
        <f>IF(TRIM(Github!D$489)="TRUE","FALSE","TRUE")</f>
        <v>TRUE</v>
      </c>
      <c r="K1521" s="10" t="b">
        <f>Github!M$489</f>
        <v>0</v>
      </c>
      <c r="L1521" s="10" t="b">
        <f>Github!N$489</f>
        <v>0</v>
      </c>
      <c r="M1521" s="10" t="str">
        <f>ROUND(Github!O$489, 2)&amp;"%"</f>
        <v>36.58%</v>
      </c>
      <c r="N1521" s="10">
        <f>Github!P$489</f>
        <v>19704</v>
      </c>
      <c r="O1521" s="10">
        <f>Github!Q$489</f>
        <v>53865</v>
      </c>
    </row>
    <row r="1522">
      <c r="A1522" s="10">
        <f>Github!J$1286</f>
        <v>1285</v>
      </c>
      <c r="B1522" s="11" t="str">
        <f>HYPERLINK(CONCAT("http://leetcode.com/problems/",Github!C$1286), Github!B$1286)</f>
        <v>Find the Start and End Number of Continuous Ranges</v>
      </c>
      <c r="C1522" s="10">
        <f>Github!F$1286</f>
        <v>329</v>
      </c>
      <c r="D1522" s="10">
        <f>Github!G$1286</f>
        <v>24</v>
      </c>
      <c r="E1522" s="10">
        <f>Github!F$1286+Github!G$1286</f>
        <v>353</v>
      </c>
      <c r="F1522" s="12">
        <f t="shared" si="1"/>
        <v>13.71</v>
      </c>
      <c r="G1522" s="10" t="str">
        <f>Github!H$1286</f>
        <v>Database</v>
      </c>
      <c r="H1522" s="13" t="str">
        <f>SUBSTITUTE(Github!L$1286, ";", ", ")</f>
        <v>Database, </v>
      </c>
      <c r="I1522" s="10" t="str">
        <f>Github!E$1286</f>
        <v>Medium</v>
      </c>
      <c r="J1522" s="10" t="str">
        <f>IF(TRIM(Github!D$1286)="TRUE","FALSE","TRUE")</f>
        <v>FALSE</v>
      </c>
      <c r="K1522" s="10" t="b">
        <f>Github!M$1286</f>
        <v>0</v>
      </c>
      <c r="L1522" s="10" t="b">
        <f>Github!N$1286</f>
        <v>0</v>
      </c>
      <c r="M1522" s="10" t="str">
        <f>ROUND(Github!O$1286, 2)&amp;"%"</f>
        <v>88.36%</v>
      </c>
      <c r="N1522" s="10">
        <f>Github!P$1286</f>
        <v>20203</v>
      </c>
      <c r="O1522" s="10">
        <f>Github!Q$1286</f>
        <v>22857</v>
      </c>
    </row>
    <row r="1523">
      <c r="A1523" s="10">
        <f>Github!J$2183</f>
        <v>2182</v>
      </c>
      <c r="B1523" s="11" t="str">
        <f>HYPERLINK(CONCAT("http://leetcode.com/problems/",Github!C$2183), Github!B$2183)</f>
        <v>Construct String With Repeat Limit</v>
      </c>
      <c r="C1523" s="10">
        <f>Github!F$2183</f>
        <v>330</v>
      </c>
      <c r="D1523" s="10">
        <f>Github!G$2183</f>
        <v>19</v>
      </c>
      <c r="E1523" s="10">
        <f>Github!F$2183+Github!G$2183</f>
        <v>349</v>
      </c>
      <c r="F1523" s="12">
        <f t="shared" si="1"/>
        <v>17.37</v>
      </c>
      <c r="G1523" s="10" t="str">
        <f>Github!H$2183</f>
        <v>Algorithms</v>
      </c>
      <c r="H1523" s="13" t="str">
        <f>SUBSTITUTE(Github!L$2183, ";", ", ")</f>
        <v>String, Greedy, Heap (Priority Queue), Counting, </v>
      </c>
      <c r="I1523" s="10" t="str">
        <f>Github!E$2183</f>
        <v>Medium</v>
      </c>
      <c r="J1523" s="10" t="str">
        <f>IF(TRIM(Github!D$2183)="TRUE","FALSE","TRUE")</f>
        <v>TRUE</v>
      </c>
      <c r="K1523" s="10" t="b">
        <f>Github!M$2183</f>
        <v>0</v>
      </c>
      <c r="L1523" s="10" t="b">
        <f>Github!N$2183</f>
        <v>0</v>
      </c>
      <c r="M1523" s="10" t="str">
        <f>ROUND(Github!O$2183, 2)&amp;"%"</f>
        <v>50.6%</v>
      </c>
      <c r="N1523" s="10">
        <f>Github!P$2183</f>
        <v>11744</v>
      </c>
      <c r="O1523" s="10">
        <f>Github!Q$2183</f>
        <v>23212</v>
      </c>
    </row>
    <row r="1524">
      <c r="A1524" s="10">
        <f>Github!J$602</f>
        <v>601</v>
      </c>
      <c r="B1524" s="11" t="str">
        <f>HYPERLINK(CONCAT("http://leetcode.com/problems/",Github!C$602), Github!B$602)</f>
        <v>Human Traffic of Stadium</v>
      </c>
      <c r="C1524" s="10">
        <f>Github!F$602</f>
        <v>328</v>
      </c>
      <c r="D1524" s="10">
        <f>Github!G$602</f>
        <v>471</v>
      </c>
      <c r="E1524" s="10">
        <f>Github!F$602+Github!G$602</f>
        <v>799</v>
      </c>
      <c r="F1524" s="12">
        <f t="shared" si="1"/>
        <v>0.7</v>
      </c>
      <c r="G1524" s="10" t="str">
        <f>Github!H$602</f>
        <v>Database</v>
      </c>
      <c r="H1524" s="13" t="str">
        <f>SUBSTITUTE(Github!L$602, ";", ", ")</f>
        <v>Database, </v>
      </c>
      <c r="I1524" s="10" t="str">
        <f>Github!E$602</f>
        <v>Hard</v>
      </c>
      <c r="J1524" s="10" t="str">
        <f>IF(TRIM(Github!D$602)="TRUE","FALSE","TRUE")</f>
        <v>TRUE</v>
      </c>
      <c r="K1524" s="10" t="b">
        <f>Github!M$602</f>
        <v>1</v>
      </c>
      <c r="L1524" s="10" t="b">
        <f>Github!N$602</f>
        <v>0</v>
      </c>
      <c r="M1524" s="10" t="str">
        <f>ROUND(Github!O$602, 2)&amp;"%"</f>
        <v>49.27%</v>
      </c>
      <c r="N1524" s="10">
        <f>Github!P$602</f>
        <v>58327</v>
      </c>
      <c r="O1524" s="10">
        <f>Github!Q$602</f>
        <v>118391</v>
      </c>
    </row>
    <row r="1525">
      <c r="A1525" s="10">
        <f>Github!J$1065</f>
        <v>1064</v>
      </c>
      <c r="B1525" s="11" t="str">
        <f>HYPERLINK(CONCAT("http://leetcode.com/problems/",Github!C$1065), Github!B$1065)</f>
        <v>Fixed Point</v>
      </c>
      <c r="C1525" s="10">
        <f>Github!F$1065</f>
        <v>328</v>
      </c>
      <c r="D1525" s="10">
        <f>Github!G$1065</f>
        <v>58</v>
      </c>
      <c r="E1525" s="10">
        <f>Github!F$1065+Github!G$1065</f>
        <v>386</v>
      </c>
      <c r="F1525" s="12">
        <f t="shared" si="1"/>
        <v>5.66</v>
      </c>
      <c r="G1525" s="10" t="str">
        <f>Github!H$1065</f>
        <v>Algorithms</v>
      </c>
      <c r="H1525" s="13" t="str">
        <f>SUBSTITUTE(Github!L$1065, ";", ", ")</f>
        <v>Array, Binary Search, </v>
      </c>
      <c r="I1525" s="10" t="str">
        <f>Github!E$1065</f>
        <v>Easy</v>
      </c>
      <c r="J1525" s="10" t="str">
        <f>IF(TRIM(Github!D$1065)="TRUE","FALSE","TRUE")</f>
        <v>FALSE</v>
      </c>
      <c r="K1525" s="10" t="b">
        <f>Github!M$1065</f>
        <v>1</v>
      </c>
      <c r="L1525" s="10" t="b">
        <f>Github!N$1065</f>
        <v>0</v>
      </c>
      <c r="M1525" s="10" t="str">
        <f>ROUND(Github!O$1065, 2)&amp;"%"</f>
        <v>64.03%</v>
      </c>
      <c r="N1525" s="10">
        <f>Github!P$1065</f>
        <v>33605</v>
      </c>
      <c r="O1525" s="10">
        <f>Github!Q$1065</f>
        <v>52482</v>
      </c>
    </row>
    <row r="1526">
      <c r="A1526" s="10">
        <f>Github!J$1755</f>
        <v>1754</v>
      </c>
      <c r="B1526" s="11" t="str">
        <f>HYPERLINK(CONCAT("http://leetcode.com/problems/",Github!C$1755), Github!B$1755)</f>
        <v>Largest Merge Of Two Strings</v>
      </c>
      <c r="C1526" s="10">
        <f>Github!F$1755</f>
        <v>329</v>
      </c>
      <c r="D1526" s="10">
        <f>Github!G$1755</f>
        <v>50</v>
      </c>
      <c r="E1526" s="10">
        <f>Github!F$1755+Github!G$1755</f>
        <v>379</v>
      </c>
      <c r="F1526" s="12">
        <f t="shared" si="1"/>
        <v>6.58</v>
      </c>
      <c r="G1526" s="10" t="str">
        <f>Github!H$1755</f>
        <v>Algorithms</v>
      </c>
      <c r="H1526" s="13" t="str">
        <f>SUBSTITUTE(Github!L$1755, ";", ", ")</f>
        <v>Two Pointers, String, Greedy, </v>
      </c>
      <c r="I1526" s="10" t="str">
        <f>Github!E$1755</f>
        <v>Medium</v>
      </c>
      <c r="J1526" s="10" t="str">
        <f>IF(TRIM(Github!D$1755)="TRUE","FALSE","TRUE")</f>
        <v>TRUE</v>
      </c>
      <c r="K1526" s="10" t="b">
        <f>Github!M$1755</f>
        <v>0</v>
      </c>
      <c r="L1526" s="10" t="b">
        <f>Github!N$1755</f>
        <v>0</v>
      </c>
      <c r="M1526" s="10" t="str">
        <f>ROUND(Github!O$1755, 2)&amp;"%"</f>
        <v>43.69%</v>
      </c>
      <c r="N1526" s="10">
        <f>Github!P$1755</f>
        <v>13662</v>
      </c>
      <c r="O1526" s="10">
        <f>Github!Q$1755</f>
        <v>31273</v>
      </c>
    </row>
    <row r="1527">
      <c r="A1527" s="10">
        <f>Github!J$2063</f>
        <v>2062</v>
      </c>
      <c r="B1527" s="11" t="str">
        <f>HYPERLINK(CONCAT("http://leetcode.com/problems/",Github!C$2063), Github!B$2063)</f>
        <v>Count Vowel Substrings of a String</v>
      </c>
      <c r="C1527" s="10">
        <f>Github!F$2063</f>
        <v>330</v>
      </c>
      <c r="D1527" s="10">
        <f>Github!G$2063</f>
        <v>99</v>
      </c>
      <c r="E1527" s="10">
        <f>Github!F$2063+Github!G$2063</f>
        <v>429</v>
      </c>
      <c r="F1527" s="12">
        <f t="shared" si="1"/>
        <v>3.33</v>
      </c>
      <c r="G1527" s="10" t="str">
        <f>Github!H$2063</f>
        <v>Algorithms</v>
      </c>
      <c r="H1527" s="13" t="str">
        <f>SUBSTITUTE(Github!L$2063, ";", ", ")</f>
        <v>Hash Table, String, </v>
      </c>
      <c r="I1527" s="10" t="str">
        <f>Github!E$2063</f>
        <v>Easy</v>
      </c>
      <c r="J1527" s="10" t="str">
        <f>IF(TRIM(Github!D$2063)="TRUE","FALSE","TRUE")</f>
        <v>TRUE</v>
      </c>
      <c r="K1527" s="10" t="b">
        <f>Github!M$2063</f>
        <v>0</v>
      </c>
      <c r="L1527" s="10" t="b">
        <f>Github!N$2063</f>
        <v>0</v>
      </c>
      <c r="M1527" s="10" t="str">
        <f>ROUND(Github!O$2063, 2)&amp;"%"</f>
        <v>65.77%</v>
      </c>
      <c r="N1527" s="10">
        <f>Github!P$2063</f>
        <v>15222</v>
      </c>
      <c r="O1527" s="10">
        <f>Github!Q$2063</f>
        <v>23145</v>
      </c>
    </row>
    <row r="1528">
      <c r="A1528" s="10">
        <f>Github!J$2060</f>
        <v>2059</v>
      </c>
      <c r="B1528" s="11" t="str">
        <f>HYPERLINK(CONCAT("http://leetcode.com/problems/",Github!C$2060), Github!B$2060)</f>
        <v>Minimum Operations to Convert Number</v>
      </c>
      <c r="C1528" s="10">
        <f>Github!F$2060</f>
        <v>327</v>
      </c>
      <c r="D1528" s="10">
        <f>Github!G$2060</f>
        <v>16</v>
      </c>
      <c r="E1528" s="10">
        <f>Github!F$2060+Github!G$2060</f>
        <v>343</v>
      </c>
      <c r="F1528" s="12">
        <f t="shared" si="1"/>
        <v>20.44</v>
      </c>
      <c r="G1528" s="10" t="str">
        <f>Github!H$2060</f>
        <v>Algorithms</v>
      </c>
      <c r="H1528" s="13" t="str">
        <f>SUBSTITUTE(Github!L$2060, ";", ", ")</f>
        <v>Array, Breadth-First Search, </v>
      </c>
      <c r="I1528" s="10" t="str">
        <f>Github!E$2060</f>
        <v>Medium</v>
      </c>
      <c r="J1528" s="10" t="str">
        <f>IF(TRIM(Github!D$2060)="TRUE","FALSE","TRUE")</f>
        <v>TRUE</v>
      </c>
      <c r="K1528" s="10" t="b">
        <f>Github!M$2060</f>
        <v>0</v>
      </c>
      <c r="L1528" s="10" t="b">
        <f>Github!N$2060</f>
        <v>0</v>
      </c>
      <c r="M1528" s="10" t="str">
        <f>ROUND(Github!O$2060, 2)&amp;"%"</f>
        <v>45.83%</v>
      </c>
      <c r="N1528" s="10">
        <f>Github!P$2060</f>
        <v>9123</v>
      </c>
      <c r="O1528" s="10">
        <f>Github!Q$2060</f>
        <v>19909</v>
      </c>
    </row>
    <row r="1529">
      <c r="A1529" s="10">
        <f>Github!J$1644</f>
        <v>1643</v>
      </c>
      <c r="B1529" s="11" t="str">
        <f>HYPERLINK(CONCAT("http://leetcode.com/problems/",Github!C$1644), Github!B$1644)</f>
        <v>Kth Smallest Instructions</v>
      </c>
      <c r="C1529" s="10">
        <f>Github!F$1644</f>
        <v>327</v>
      </c>
      <c r="D1529" s="10">
        <f>Github!G$1644</f>
        <v>3</v>
      </c>
      <c r="E1529" s="10">
        <f>Github!F$1644+Github!G$1644</f>
        <v>330</v>
      </c>
      <c r="F1529" s="12">
        <f t="shared" si="1"/>
        <v>109</v>
      </c>
      <c r="G1529" s="10" t="str">
        <f>Github!H$1644</f>
        <v>Algorithms</v>
      </c>
      <c r="H1529" s="13" t="str">
        <f>SUBSTITUTE(Github!L$1644, ";", ", ")</f>
        <v>Array, Math, Dynamic Programming, Combinatorics, </v>
      </c>
      <c r="I1529" s="10" t="str">
        <f>Github!E$1644</f>
        <v>Hard</v>
      </c>
      <c r="J1529" s="10" t="str">
        <f>IF(TRIM(Github!D$1644)="TRUE","FALSE","TRUE")</f>
        <v>TRUE</v>
      </c>
      <c r="K1529" s="10" t="b">
        <f>Github!M$1644</f>
        <v>0</v>
      </c>
      <c r="L1529" s="10" t="b">
        <f>Github!N$1644</f>
        <v>0</v>
      </c>
      <c r="M1529" s="10" t="str">
        <f>ROUND(Github!O$1644, 2)&amp;"%"</f>
        <v>45.51%</v>
      </c>
      <c r="N1529" s="10">
        <f>Github!P$1644</f>
        <v>7249</v>
      </c>
      <c r="O1529" s="10">
        <f>Github!Q$1644</f>
        <v>15930</v>
      </c>
    </row>
    <row r="1530">
      <c r="A1530" s="10">
        <f>Github!J$1956</f>
        <v>1955</v>
      </c>
      <c r="B1530" s="11" t="str">
        <f>HYPERLINK(CONCAT("http://leetcode.com/problems/",Github!C$1956), Github!B$1956)</f>
        <v>Count Number of Special Subsequences</v>
      </c>
      <c r="C1530" s="10">
        <f>Github!F$1956</f>
        <v>326</v>
      </c>
      <c r="D1530" s="10">
        <f>Github!G$1956</f>
        <v>6</v>
      </c>
      <c r="E1530" s="10">
        <f>Github!F$1956+Github!G$1956</f>
        <v>332</v>
      </c>
      <c r="F1530" s="12">
        <f t="shared" si="1"/>
        <v>54.33</v>
      </c>
      <c r="G1530" s="10" t="str">
        <f>Github!H$1956</f>
        <v>Algorithms</v>
      </c>
      <c r="H1530" s="13" t="str">
        <f>SUBSTITUTE(Github!L$1956, ";", ", ")</f>
        <v>Array, Dynamic Programming, </v>
      </c>
      <c r="I1530" s="10" t="str">
        <f>Github!E$1956</f>
        <v>Hard</v>
      </c>
      <c r="J1530" s="10" t="str">
        <f>IF(TRIM(Github!D$1956)="TRUE","FALSE","TRUE")</f>
        <v>TRUE</v>
      </c>
      <c r="K1530" s="10" t="b">
        <f>Github!M$1956</f>
        <v>0</v>
      </c>
      <c r="L1530" s="10" t="b">
        <f>Github!N$1956</f>
        <v>0</v>
      </c>
      <c r="M1530" s="10" t="str">
        <f>ROUND(Github!O$1956, 2)&amp;"%"</f>
        <v>50.8%</v>
      </c>
      <c r="N1530" s="10">
        <f>Github!P$1956</f>
        <v>7132</v>
      </c>
      <c r="O1530" s="10">
        <f>Github!Q$1956</f>
        <v>14039</v>
      </c>
    </row>
    <row r="1531">
      <c r="A1531" s="10">
        <f>Github!J$1852</f>
        <v>1851</v>
      </c>
      <c r="B1531" s="11" t="str">
        <f>HYPERLINK(CONCAT("http://leetcode.com/problems/",Github!C$1852), Github!B$1852)</f>
        <v>Minimum Interval to Include Each Query</v>
      </c>
      <c r="C1531" s="10">
        <f>Github!F$1852</f>
        <v>324</v>
      </c>
      <c r="D1531" s="10">
        <f>Github!G$1852</f>
        <v>5</v>
      </c>
      <c r="E1531" s="10">
        <f>Github!F$1852+Github!G$1852</f>
        <v>329</v>
      </c>
      <c r="F1531" s="12">
        <f t="shared" si="1"/>
        <v>64.8</v>
      </c>
      <c r="G1531" s="10" t="str">
        <f>Github!H$1852</f>
        <v>Algorithms</v>
      </c>
      <c r="H1531" s="13" t="str">
        <f>SUBSTITUTE(Github!L$1852, ";", ", ")</f>
        <v>Array, Binary Search, Line Sweep, Sorting, Heap (Priority Queue), </v>
      </c>
      <c r="I1531" s="10" t="str">
        <f>Github!E$1852</f>
        <v>Hard</v>
      </c>
      <c r="J1531" s="10" t="str">
        <f>IF(TRIM(Github!D$1852)="TRUE","FALSE","TRUE")</f>
        <v>TRUE</v>
      </c>
      <c r="K1531" s="10" t="b">
        <f>Github!M$1852</f>
        <v>0</v>
      </c>
      <c r="L1531" s="10" t="b">
        <f>Github!N$1852</f>
        <v>0</v>
      </c>
      <c r="M1531" s="10" t="str">
        <f>ROUND(Github!O$1852, 2)&amp;"%"</f>
        <v>45.4%</v>
      </c>
      <c r="N1531" s="10">
        <f>Github!P$1852</f>
        <v>6275</v>
      </c>
      <c r="O1531" s="10">
        <f>Github!Q$1852</f>
        <v>13823</v>
      </c>
    </row>
    <row r="1532">
      <c r="A1532" s="10">
        <f>Github!J$1993</f>
        <v>1992</v>
      </c>
      <c r="B1532" s="11" t="str">
        <f>HYPERLINK(CONCAT("http://leetcode.com/problems/",Github!C$1993), Github!B$1993)</f>
        <v>Find All Groups of Farmland</v>
      </c>
      <c r="C1532" s="10">
        <f>Github!F$1993</f>
        <v>323</v>
      </c>
      <c r="D1532" s="10">
        <f>Github!G$1993</f>
        <v>16</v>
      </c>
      <c r="E1532" s="10">
        <f>Github!F$1993+Github!G$1993</f>
        <v>339</v>
      </c>
      <c r="F1532" s="12">
        <f t="shared" si="1"/>
        <v>20.19</v>
      </c>
      <c r="G1532" s="10" t="str">
        <f>Github!H$1993</f>
        <v>Algorithms</v>
      </c>
      <c r="H1532" s="13" t="str">
        <f>SUBSTITUTE(Github!L$1993, ";", ", ")</f>
        <v>Array, Depth-First Search, Breadth-First Search, Matrix, </v>
      </c>
      <c r="I1532" s="10" t="str">
        <f>Github!E$1993</f>
        <v>Medium</v>
      </c>
      <c r="J1532" s="10" t="str">
        <f>IF(TRIM(Github!D$1993)="TRUE","FALSE","TRUE")</f>
        <v>TRUE</v>
      </c>
      <c r="K1532" s="10" t="b">
        <f>Github!M$1993</f>
        <v>0</v>
      </c>
      <c r="L1532" s="10" t="b">
        <f>Github!N$1993</f>
        <v>0</v>
      </c>
      <c r="M1532" s="10" t="str">
        <f>ROUND(Github!O$1993, 2)&amp;"%"</f>
        <v>67%</v>
      </c>
      <c r="N1532" s="10">
        <f>Github!P$1993</f>
        <v>12464</v>
      </c>
      <c r="O1532" s="10">
        <f>Github!Q$1993</f>
        <v>18604</v>
      </c>
    </row>
    <row r="1533">
      <c r="A1533" s="10">
        <f>Github!J$1118</f>
        <v>1117</v>
      </c>
      <c r="B1533" s="11" t="str">
        <f>HYPERLINK(CONCAT("http://leetcode.com/problems/",Github!C$1118), Github!B$1118)</f>
        <v>Building H2O</v>
      </c>
      <c r="C1533" s="10">
        <f>Github!F$1118</f>
        <v>323</v>
      </c>
      <c r="D1533" s="10">
        <f>Github!G$1118</f>
        <v>89</v>
      </c>
      <c r="E1533" s="10">
        <f>Github!F$1118+Github!G$1118</f>
        <v>412</v>
      </c>
      <c r="F1533" s="12">
        <f t="shared" si="1"/>
        <v>3.63</v>
      </c>
      <c r="G1533" s="10" t="str">
        <f>Github!H$1118</f>
        <v>Concurrency</v>
      </c>
      <c r="H1533" s="13" t="str">
        <f>SUBSTITUTE(Github!L$1118, ";", ", ")</f>
        <v>Concurrency, </v>
      </c>
      <c r="I1533" s="10" t="str">
        <f>Github!E$1118</f>
        <v>Medium</v>
      </c>
      <c r="J1533" s="10" t="str">
        <f>IF(TRIM(Github!D$1118)="TRUE","FALSE","TRUE")</f>
        <v>TRUE</v>
      </c>
      <c r="K1533" s="10" t="b">
        <f>Github!M$1118</f>
        <v>0</v>
      </c>
      <c r="L1533" s="10" t="b">
        <f>Github!N$1118</f>
        <v>0</v>
      </c>
      <c r="M1533" s="10" t="str">
        <f>ROUND(Github!O$1118, 2)&amp;"%"</f>
        <v>54.3%</v>
      </c>
      <c r="N1533" s="10">
        <f>Github!P$1118</f>
        <v>28383</v>
      </c>
      <c r="O1533" s="10">
        <f>Github!Q$1118</f>
        <v>52272</v>
      </c>
    </row>
    <row r="1534">
      <c r="A1534" s="10">
        <f>Github!J$813</f>
        <v>812</v>
      </c>
      <c r="B1534" s="11" t="str">
        <f>HYPERLINK(CONCAT("http://leetcode.com/problems/",Github!C$813), Github!B$813)</f>
        <v>Largest Triangle Area</v>
      </c>
      <c r="C1534" s="10">
        <f>Github!F$813</f>
        <v>321</v>
      </c>
      <c r="D1534" s="10">
        <f>Github!G$813</f>
        <v>1305</v>
      </c>
      <c r="E1534" s="10">
        <f>Github!F$813+Github!G$813</f>
        <v>1626</v>
      </c>
      <c r="F1534" s="12">
        <f t="shared" si="1"/>
        <v>0.25</v>
      </c>
      <c r="G1534" s="10" t="str">
        <f>Github!H$813</f>
        <v>Algorithms</v>
      </c>
      <c r="H1534" s="13" t="str">
        <f>SUBSTITUTE(Github!L$813, ";", ", ")</f>
        <v>Array, Math, Geometry, </v>
      </c>
      <c r="I1534" s="10" t="str">
        <f>Github!E$813</f>
        <v>Easy</v>
      </c>
      <c r="J1534" s="10" t="str">
        <f>IF(TRIM(Github!D$813)="TRUE","FALSE","TRUE")</f>
        <v>TRUE</v>
      </c>
      <c r="K1534" s="10" t="b">
        <f>Github!M$813</f>
        <v>0</v>
      </c>
      <c r="L1534" s="10" t="b">
        <f>Github!N$813</f>
        <v>0</v>
      </c>
      <c r="M1534" s="10" t="str">
        <f>ROUND(Github!O$813, 2)&amp;"%"</f>
        <v>59.51%</v>
      </c>
      <c r="N1534" s="10">
        <f>Github!P$813</f>
        <v>31531</v>
      </c>
      <c r="O1534" s="10">
        <f>Github!Q$813</f>
        <v>52981</v>
      </c>
    </row>
    <row r="1535">
      <c r="A1535" s="10">
        <f>Github!J$1507</f>
        <v>1506</v>
      </c>
      <c r="B1535" s="11" t="str">
        <f>HYPERLINK(CONCAT("http://leetcode.com/problems/",Github!C$1507), Github!B$1507)</f>
        <v>Find Root of N-Ary Tree</v>
      </c>
      <c r="C1535" s="10">
        <f>Github!F$1507</f>
        <v>320</v>
      </c>
      <c r="D1535" s="10">
        <f>Github!G$1507</f>
        <v>111</v>
      </c>
      <c r="E1535" s="10">
        <f>Github!F$1507+Github!G$1507</f>
        <v>431</v>
      </c>
      <c r="F1535" s="12">
        <f t="shared" si="1"/>
        <v>2.88</v>
      </c>
      <c r="G1535" s="10" t="str">
        <f>Github!H$1507</f>
        <v>Algorithms</v>
      </c>
      <c r="H1535" s="13" t="str">
        <f>SUBSTITUTE(Github!L$1507, ";", ", ")</f>
        <v>Hash Table, Bit Manipulation, Tree, Depth-First Search, </v>
      </c>
      <c r="I1535" s="10" t="str">
        <f>Github!E$1507</f>
        <v>Medium</v>
      </c>
      <c r="J1535" s="10" t="str">
        <f>IF(TRIM(Github!D$1507)="TRUE","FALSE","TRUE")</f>
        <v>FALSE</v>
      </c>
      <c r="K1535" s="10" t="b">
        <f>Github!M$1507</f>
        <v>1</v>
      </c>
      <c r="L1535" s="10" t="b">
        <f>Github!N$1507</f>
        <v>0</v>
      </c>
      <c r="M1535" s="10" t="str">
        <f>ROUND(Github!O$1507, 2)&amp;"%"</f>
        <v>78.18%</v>
      </c>
      <c r="N1535" s="10">
        <f>Github!P$1507</f>
        <v>20332</v>
      </c>
      <c r="O1535" s="10">
        <f>Github!Q$1507</f>
        <v>26005</v>
      </c>
    </row>
    <row r="1536">
      <c r="A1536" s="10">
        <f>Github!J$2064</f>
        <v>2063</v>
      </c>
      <c r="B1536" s="11" t="str">
        <f>HYPERLINK(CONCAT("http://leetcode.com/problems/",Github!C$2064), Github!B$2064)</f>
        <v>Vowels of All Substrings</v>
      </c>
      <c r="C1536" s="10">
        <f>Github!F$2064</f>
        <v>321</v>
      </c>
      <c r="D1536" s="10">
        <f>Github!G$2064</f>
        <v>12</v>
      </c>
      <c r="E1536" s="10">
        <f>Github!F$2064+Github!G$2064</f>
        <v>333</v>
      </c>
      <c r="F1536" s="12">
        <f t="shared" si="1"/>
        <v>26.75</v>
      </c>
      <c r="G1536" s="10" t="str">
        <f>Github!H$2064</f>
        <v>Algorithms</v>
      </c>
      <c r="H1536" s="13" t="str">
        <f>SUBSTITUTE(Github!L$2064, ";", ", ")</f>
        <v>Math, String, Dynamic Programming, Combinatorics, </v>
      </c>
      <c r="I1536" s="10" t="str">
        <f>Github!E$2064</f>
        <v>Medium</v>
      </c>
      <c r="J1536" s="10" t="str">
        <f>IF(TRIM(Github!D$2064)="TRUE","FALSE","TRUE")</f>
        <v>TRUE</v>
      </c>
      <c r="K1536" s="10" t="b">
        <f>Github!M$2064</f>
        <v>0</v>
      </c>
      <c r="L1536" s="10" t="b">
        <f>Github!N$2064</f>
        <v>0</v>
      </c>
      <c r="M1536" s="10" t="str">
        <f>ROUND(Github!O$2064, 2)&amp;"%"</f>
        <v>54.14%</v>
      </c>
      <c r="N1536" s="10">
        <f>Github!P$2064</f>
        <v>11942</v>
      </c>
      <c r="O1536" s="10">
        <f>Github!Q$2064</f>
        <v>22057</v>
      </c>
    </row>
    <row r="1537">
      <c r="A1537" s="10">
        <f>Github!J$1117</f>
        <v>1116</v>
      </c>
      <c r="B1537" s="11" t="str">
        <f>HYPERLINK(CONCAT("http://leetcode.com/problems/",Github!C$1117), Github!B$1117)</f>
        <v>Print Zero Even Odd</v>
      </c>
      <c r="C1537" s="10">
        <f>Github!F$1117</f>
        <v>319</v>
      </c>
      <c r="D1537" s="10">
        <f>Github!G$1117</f>
        <v>221</v>
      </c>
      <c r="E1537" s="10">
        <f>Github!F$1117+Github!G$1117</f>
        <v>540</v>
      </c>
      <c r="F1537" s="12">
        <f t="shared" si="1"/>
        <v>1.44</v>
      </c>
      <c r="G1537" s="10" t="str">
        <f>Github!H$1117</f>
        <v>Concurrency</v>
      </c>
      <c r="H1537" s="13" t="str">
        <f>SUBSTITUTE(Github!L$1117, ";", ", ")</f>
        <v>Concurrency, </v>
      </c>
      <c r="I1537" s="10" t="str">
        <f>Github!E$1117</f>
        <v>Medium</v>
      </c>
      <c r="J1537" s="10" t="str">
        <f>IF(TRIM(Github!D$1117)="TRUE","FALSE","TRUE")</f>
        <v>TRUE</v>
      </c>
      <c r="K1537" s="10" t="b">
        <f>Github!M$1117</f>
        <v>0</v>
      </c>
      <c r="L1537" s="10" t="b">
        <f>Github!N$1117</f>
        <v>0</v>
      </c>
      <c r="M1537" s="10" t="str">
        <f>ROUND(Github!O$1117, 2)&amp;"%"</f>
        <v>59.19%</v>
      </c>
      <c r="N1537" s="10">
        <f>Github!P$1117</f>
        <v>30070</v>
      </c>
      <c r="O1537" s="10">
        <f>Github!Q$1117</f>
        <v>50806</v>
      </c>
    </row>
    <row r="1538">
      <c r="A1538" s="10">
        <f>Github!J$1557</f>
        <v>1556</v>
      </c>
      <c r="B1538" s="11" t="str">
        <f>HYPERLINK(CONCAT("http://leetcode.com/problems/",Github!C$1557), Github!B$1557)</f>
        <v>Thousand Separator</v>
      </c>
      <c r="C1538" s="10">
        <f>Github!F$1557</f>
        <v>319</v>
      </c>
      <c r="D1538" s="10">
        <f>Github!G$1557</f>
        <v>11</v>
      </c>
      <c r="E1538" s="10">
        <f>Github!F$1557+Github!G$1557</f>
        <v>330</v>
      </c>
      <c r="F1538" s="12">
        <f t="shared" si="1"/>
        <v>29</v>
      </c>
      <c r="G1538" s="10" t="str">
        <f>Github!H$1557</f>
        <v>Algorithms</v>
      </c>
      <c r="H1538" s="13" t="str">
        <f>SUBSTITUTE(Github!L$1557, ";", ", ")</f>
        <v>String, </v>
      </c>
      <c r="I1538" s="10" t="str">
        <f>Github!E$1557</f>
        <v>Easy</v>
      </c>
      <c r="J1538" s="10" t="str">
        <f>IF(TRIM(Github!D$1557)="TRUE","FALSE","TRUE")</f>
        <v>TRUE</v>
      </c>
      <c r="K1538" s="10" t="b">
        <f>Github!M$1557</f>
        <v>0</v>
      </c>
      <c r="L1538" s="10" t="b">
        <f>Github!N$1557</f>
        <v>0</v>
      </c>
      <c r="M1538" s="10" t="str">
        <f>ROUND(Github!O$1557, 2)&amp;"%"</f>
        <v>56.24%</v>
      </c>
      <c r="N1538" s="10">
        <f>Github!P$1557</f>
        <v>31840</v>
      </c>
      <c r="O1538" s="10">
        <f>Github!Q$1557</f>
        <v>56610</v>
      </c>
    </row>
    <row r="1539">
      <c r="A1539" s="10">
        <f>Github!J$1726</f>
        <v>1725</v>
      </c>
      <c r="B1539" s="11" t="str">
        <f>HYPERLINK(CONCAT("http://leetcode.com/problems/",Github!C$1726), Github!B$1726)</f>
        <v>Number Of Rectangles That Can Form The Largest Square</v>
      </c>
      <c r="C1539" s="10">
        <f>Github!F$1726</f>
        <v>320</v>
      </c>
      <c r="D1539" s="10">
        <f>Github!G$1726</f>
        <v>40</v>
      </c>
      <c r="E1539" s="10">
        <f>Github!F$1726+Github!G$1726</f>
        <v>360</v>
      </c>
      <c r="F1539" s="12">
        <f t="shared" si="1"/>
        <v>8</v>
      </c>
      <c r="G1539" s="10" t="str">
        <f>Github!H$1726</f>
        <v>Algorithms</v>
      </c>
      <c r="H1539" s="13" t="str">
        <f>SUBSTITUTE(Github!L$1726, ";", ", ")</f>
        <v>Array, </v>
      </c>
      <c r="I1539" s="10" t="str">
        <f>Github!E$1726</f>
        <v>Easy</v>
      </c>
      <c r="J1539" s="10" t="str">
        <f>IF(TRIM(Github!D$1726)="TRUE","FALSE","TRUE")</f>
        <v>TRUE</v>
      </c>
      <c r="K1539" s="10" t="b">
        <f>Github!M$1726</f>
        <v>0</v>
      </c>
      <c r="L1539" s="10" t="b">
        <f>Github!N$1726</f>
        <v>0</v>
      </c>
      <c r="M1539" s="10" t="str">
        <f>ROUND(Github!O$1726, 2)&amp;"%"</f>
        <v>78.71%</v>
      </c>
      <c r="N1539" s="10">
        <f>Github!P$1726</f>
        <v>39207</v>
      </c>
      <c r="O1539" s="10">
        <f>Github!Q$1726</f>
        <v>49813</v>
      </c>
    </row>
    <row r="1540">
      <c r="A1540" s="10">
        <f>Github!J$1980</f>
        <v>1979</v>
      </c>
      <c r="B1540" s="11" t="str">
        <f>HYPERLINK(CONCAT("http://leetcode.com/problems/",Github!C$1980), Github!B$1980)</f>
        <v>Find Greatest Common Divisor of Array</v>
      </c>
      <c r="C1540" s="10">
        <f>Github!F$1980</f>
        <v>320</v>
      </c>
      <c r="D1540" s="10">
        <f>Github!G$1980</f>
        <v>14</v>
      </c>
      <c r="E1540" s="10">
        <f>Github!F$1980+Github!G$1980</f>
        <v>334</v>
      </c>
      <c r="F1540" s="12">
        <f t="shared" si="1"/>
        <v>22.86</v>
      </c>
      <c r="G1540" s="10" t="str">
        <f>Github!H$1980</f>
        <v>Algorithms</v>
      </c>
      <c r="H1540" s="13" t="str">
        <f>SUBSTITUTE(Github!L$1980, ";", ", ")</f>
        <v>Array, Math, Number Theory, </v>
      </c>
      <c r="I1540" s="10" t="str">
        <f>Github!E$1980</f>
        <v>Easy</v>
      </c>
      <c r="J1540" s="10" t="str">
        <f>IF(TRIM(Github!D$1980)="TRUE","FALSE","TRUE")</f>
        <v>TRUE</v>
      </c>
      <c r="K1540" s="10" t="b">
        <f>Github!M$1980</f>
        <v>0</v>
      </c>
      <c r="L1540" s="10" t="b">
        <f>Github!N$1980</f>
        <v>0</v>
      </c>
      <c r="M1540" s="10" t="str">
        <f>ROUND(Github!O$1980, 2)&amp;"%"</f>
        <v>78.17%</v>
      </c>
      <c r="N1540" s="10">
        <f>Github!P$1980</f>
        <v>35930</v>
      </c>
      <c r="O1540" s="10">
        <f>Github!Q$1980</f>
        <v>45963</v>
      </c>
    </row>
    <row r="1541">
      <c r="A1541" s="10">
        <f>Github!J$458</f>
        <v>457</v>
      </c>
      <c r="B1541" s="11" t="str">
        <f>HYPERLINK(CONCAT("http://leetcode.com/problems/",Github!C$458), Github!B$458)</f>
        <v>Circular Array Loop</v>
      </c>
      <c r="C1541" s="10">
        <f>Github!F$458</f>
        <v>319</v>
      </c>
      <c r="D1541" s="10">
        <f>Github!G$458</f>
        <v>270</v>
      </c>
      <c r="E1541" s="10">
        <f>Github!F$458+Github!G$458</f>
        <v>589</v>
      </c>
      <c r="F1541" s="12">
        <f t="shared" si="1"/>
        <v>1.18</v>
      </c>
      <c r="G1541" s="10" t="str">
        <f>Github!H$458</f>
        <v>Algorithms</v>
      </c>
      <c r="H1541" s="13" t="str">
        <f>SUBSTITUTE(Github!L$458, ";", ", ")</f>
        <v>Array, Hash Table, Two Pointers, </v>
      </c>
      <c r="I1541" s="10" t="str">
        <f>Github!E$458</f>
        <v>Medium</v>
      </c>
      <c r="J1541" s="10" t="str">
        <f>IF(TRIM(Github!D$458)="TRUE","FALSE","TRUE")</f>
        <v>TRUE</v>
      </c>
      <c r="K1541" s="10" t="b">
        <f>Github!M$458</f>
        <v>0</v>
      </c>
      <c r="L1541" s="10" t="b">
        <f>Github!N$458</f>
        <v>0</v>
      </c>
      <c r="M1541" s="10" t="str">
        <f>ROUND(Github!O$458, 2)&amp;"%"</f>
        <v>31.51%</v>
      </c>
      <c r="N1541" s="10">
        <f>Github!P$458</f>
        <v>57089</v>
      </c>
      <c r="O1541" s="10">
        <f>Github!Q$458</f>
        <v>181158</v>
      </c>
    </row>
    <row r="1542">
      <c r="A1542" s="10">
        <f>Github!J$1410</f>
        <v>1409</v>
      </c>
      <c r="B1542" s="11" t="str">
        <f>HYPERLINK(CONCAT("http://leetcode.com/problems/",Github!C$1410), Github!B$1410)</f>
        <v>Queries on a Permutation With Key</v>
      </c>
      <c r="C1542" s="10">
        <f>Github!F$1410</f>
        <v>318</v>
      </c>
      <c r="D1542" s="10">
        <f>Github!G$1410</f>
        <v>514</v>
      </c>
      <c r="E1542" s="10">
        <f>Github!F$1410+Github!G$1410</f>
        <v>832</v>
      </c>
      <c r="F1542" s="12">
        <f t="shared" si="1"/>
        <v>0.62</v>
      </c>
      <c r="G1542" s="10" t="str">
        <f>Github!H$1410</f>
        <v>Algorithms</v>
      </c>
      <c r="H1542" s="13" t="str">
        <f>SUBSTITUTE(Github!L$1410, ";", ", ")</f>
        <v>Array, Binary Indexed Tree, Simulation, </v>
      </c>
      <c r="I1542" s="10" t="str">
        <f>Github!E$1410</f>
        <v>Medium</v>
      </c>
      <c r="J1542" s="10" t="str">
        <f>IF(TRIM(Github!D$1410)="TRUE","FALSE","TRUE")</f>
        <v>TRUE</v>
      </c>
      <c r="K1542" s="10" t="b">
        <f>Github!M$1410</f>
        <v>0</v>
      </c>
      <c r="L1542" s="10" t="b">
        <f>Github!N$1410</f>
        <v>0</v>
      </c>
      <c r="M1542" s="10" t="str">
        <f>ROUND(Github!O$1410, 2)&amp;"%"</f>
        <v>82.71%</v>
      </c>
      <c r="N1542" s="10">
        <f>Github!P$1410</f>
        <v>36472</v>
      </c>
      <c r="O1542" s="10">
        <f>Github!Q$1410</f>
        <v>44096</v>
      </c>
    </row>
    <row r="1543">
      <c r="A1543" s="10">
        <f>Github!J$609</f>
        <v>608</v>
      </c>
      <c r="B1543" s="11" t="str">
        <f>HYPERLINK(CONCAT("http://leetcode.com/problems/",Github!C$609), Github!B$609)</f>
        <v>Tree Node</v>
      </c>
      <c r="C1543" s="10">
        <f>Github!F$609</f>
        <v>317</v>
      </c>
      <c r="D1543" s="10">
        <f>Github!G$609</f>
        <v>30</v>
      </c>
      <c r="E1543" s="10">
        <f>Github!F$609+Github!G$609</f>
        <v>347</v>
      </c>
      <c r="F1543" s="12">
        <f t="shared" si="1"/>
        <v>10.57</v>
      </c>
      <c r="G1543" s="10" t="str">
        <f>Github!H$609</f>
        <v>Database</v>
      </c>
      <c r="H1543" s="13" t="str">
        <f>SUBSTITUTE(Github!L$609, ";", ", ")</f>
        <v>Database, </v>
      </c>
      <c r="I1543" s="10" t="str">
        <f>Github!E$609</f>
        <v>Medium</v>
      </c>
      <c r="J1543" s="10" t="str">
        <f>IF(TRIM(Github!D$609)="TRUE","FALSE","TRUE")</f>
        <v>FALSE</v>
      </c>
      <c r="K1543" s="10" t="b">
        <f>Github!M$609</f>
        <v>1</v>
      </c>
      <c r="L1543" s="10" t="b">
        <f>Github!N$609</f>
        <v>0</v>
      </c>
      <c r="M1543" s="10" t="str">
        <f>ROUND(Github!O$609, 2)&amp;"%"</f>
        <v>71.3%</v>
      </c>
      <c r="N1543" s="10">
        <f>Github!P$609</f>
        <v>40648</v>
      </c>
      <c r="O1543" s="10">
        <f>Github!Q$609</f>
        <v>57012</v>
      </c>
    </row>
    <row r="1544">
      <c r="A1544" s="10">
        <f>Github!J$1331</f>
        <v>1330</v>
      </c>
      <c r="B1544" s="11" t="str">
        <f>HYPERLINK(CONCAT("http://leetcode.com/problems/",Github!C$1331), Github!B$1331)</f>
        <v>Reverse Subarray To Maximize Array Value</v>
      </c>
      <c r="C1544" s="10">
        <f>Github!F$1331</f>
        <v>318</v>
      </c>
      <c r="D1544" s="10">
        <f>Github!G$1331</f>
        <v>32</v>
      </c>
      <c r="E1544" s="10">
        <f>Github!F$1331+Github!G$1331</f>
        <v>350</v>
      </c>
      <c r="F1544" s="12">
        <f t="shared" si="1"/>
        <v>9.94</v>
      </c>
      <c r="G1544" s="10" t="str">
        <f>Github!H$1331</f>
        <v>Algorithms</v>
      </c>
      <c r="H1544" s="13" t="str">
        <f>SUBSTITUTE(Github!L$1331, ";", ", ")</f>
        <v>Array, Math, Greedy, </v>
      </c>
      <c r="I1544" s="10" t="str">
        <f>Github!E$1331</f>
        <v>Hard</v>
      </c>
      <c r="J1544" s="10" t="str">
        <f>IF(TRIM(Github!D$1331)="TRUE","FALSE","TRUE")</f>
        <v>TRUE</v>
      </c>
      <c r="K1544" s="10" t="b">
        <f>Github!M$1331</f>
        <v>0</v>
      </c>
      <c r="L1544" s="10" t="b">
        <f>Github!N$1331</f>
        <v>0</v>
      </c>
      <c r="M1544" s="10" t="str">
        <f>ROUND(Github!O$1331, 2)&amp;"%"</f>
        <v>38.8%</v>
      </c>
      <c r="N1544" s="10">
        <f>Github!P$1331</f>
        <v>3767</v>
      </c>
      <c r="O1544" s="10">
        <f>Github!Q$1331</f>
        <v>9710</v>
      </c>
    </row>
    <row r="1545">
      <c r="A1545" s="10">
        <f>Github!J$1488</f>
        <v>1487</v>
      </c>
      <c r="B1545" s="11" t="str">
        <f>HYPERLINK(CONCAT("http://leetcode.com/problems/",Github!C$1488), Github!B$1488)</f>
        <v>Making File Names Unique</v>
      </c>
      <c r="C1545" s="10">
        <f>Github!F$1488</f>
        <v>315</v>
      </c>
      <c r="D1545" s="10">
        <f>Github!G$1488</f>
        <v>486</v>
      </c>
      <c r="E1545" s="10">
        <f>Github!F$1488+Github!G$1488</f>
        <v>801</v>
      </c>
      <c r="F1545" s="12">
        <f t="shared" si="1"/>
        <v>0.65</v>
      </c>
      <c r="G1545" s="10" t="str">
        <f>Github!H$1488</f>
        <v>Algorithms</v>
      </c>
      <c r="H1545" s="13" t="str">
        <f>SUBSTITUTE(Github!L$1488, ";", ", ")</f>
        <v>Array, Hash Table, String, </v>
      </c>
      <c r="I1545" s="10" t="str">
        <f>Github!E$1488</f>
        <v>Medium</v>
      </c>
      <c r="J1545" s="10" t="str">
        <f>IF(TRIM(Github!D$1488)="TRUE","FALSE","TRUE")</f>
        <v>TRUE</v>
      </c>
      <c r="K1545" s="10" t="b">
        <f>Github!M$1488</f>
        <v>0</v>
      </c>
      <c r="L1545" s="10" t="b">
        <f>Github!N$1488</f>
        <v>0</v>
      </c>
      <c r="M1545" s="10" t="str">
        <f>ROUND(Github!O$1488, 2)&amp;"%"</f>
        <v>34.61%</v>
      </c>
      <c r="N1545" s="10">
        <f>Github!P$1488</f>
        <v>22091</v>
      </c>
      <c r="O1545" s="10">
        <f>Github!Q$1488</f>
        <v>63837</v>
      </c>
    </row>
    <row r="1546">
      <c r="A1546" s="10">
        <f>Github!J$1888</f>
        <v>1887</v>
      </c>
      <c r="B1546" s="11" t="str">
        <f>HYPERLINK(CONCAT("http://leetcode.com/problems/",Github!C$1888), Github!B$1888)</f>
        <v>Reduction Operations to Make the Array Elements Equal</v>
      </c>
      <c r="C1546" s="10">
        <f>Github!F$1888</f>
        <v>316</v>
      </c>
      <c r="D1546" s="10">
        <f>Github!G$1888</f>
        <v>11</v>
      </c>
      <c r="E1546" s="10">
        <f>Github!F$1888+Github!G$1888</f>
        <v>327</v>
      </c>
      <c r="F1546" s="12">
        <f t="shared" si="1"/>
        <v>28.73</v>
      </c>
      <c r="G1546" s="10" t="str">
        <f>Github!H$1888</f>
        <v>Algorithms</v>
      </c>
      <c r="H1546" s="13" t="str">
        <f>SUBSTITUTE(Github!L$1888, ";", ", ")</f>
        <v>Array, Sorting, </v>
      </c>
      <c r="I1546" s="10" t="str">
        <f>Github!E$1888</f>
        <v>Medium</v>
      </c>
      <c r="J1546" s="10" t="str">
        <f>IF(TRIM(Github!D$1888)="TRUE","FALSE","TRUE")</f>
        <v>TRUE</v>
      </c>
      <c r="K1546" s="10" t="b">
        <f>Github!M$1888</f>
        <v>0</v>
      </c>
      <c r="L1546" s="10" t="b">
        <f>Github!N$1888</f>
        <v>0</v>
      </c>
      <c r="M1546" s="10" t="str">
        <f>ROUND(Github!O$1888, 2)&amp;"%"</f>
        <v>61.38%</v>
      </c>
      <c r="N1546" s="10">
        <f>Github!P$1888</f>
        <v>16032</v>
      </c>
      <c r="O1546" s="10">
        <f>Github!Q$1888</f>
        <v>26120</v>
      </c>
    </row>
    <row r="1547">
      <c r="A1547" s="10">
        <f>Github!J$1586</f>
        <v>1585</v>
      </c>
      <c r="B1547" s="11" t="str">
        <f>HYPERLINK(CONCAT("http://leetcode.com/problems/",Github!C$1586), Github!B$1586)</f>
        <v>Check If String Is Transformable With Substring Sort Operations</v>
      </c>
      <c r="C1547" s="10">
        <f>Github!F$1586</f>
        <v>315</v>
      </c>
      <c r="D1547" s="10">
        <f>Github!G$1586</f>
        <v>5</v>
      </c>
      <c r="E1547" s="10">
        <f>Github!F$1586+Github!G$1586</f>
        <v>320</v>
      </c>
      <c r="F1547" s="12">
        <f t="shared" si="1"/>
        <v>63</v>
      </c>
      <c r="G1547" s="10" t="str">
        <f>Github!H$1586</f>
        <v>Algorithms</v>
      </c>
      <c r="H1547" s="13" t="str">
        <f>SUBSTITUTE(Github!L$1586, ";", ", ")</f>
        <v>String, Greedy, Sorting, </v>
      </c>
      <c r="I1547" s="10" t="str">
        <f>Github!E$1586</f>
        <v>Hard</v>
      </c>
      <c r="J1547" s="10" t="str">
        <f>IF(TRIM(Github!D$1586)="TRUE","FALSE","TRUE")</f>
        <v>TRUE</v>
      </c>
      <c r="K1547" s="10" t="b">
        <f>Github!M$1586</f>
        <v>0</v>
      </c>
      <c r="L1547" s="10" t="b">
        <f>Github!N$1586</f>
        <v>0</v>
      </c>
      <c r="M1547" s="10" t="str">
        <f>ROUND(Github!O$1586, 2)&amp;"%"</f>
        <v>48.33%</v>
      </c>
      <c r="N1547" s="10">
        <f>Github!P$1586</f>
        <v>5823</v>
      </c>
      <c r="O1547" s="10">
        <f>Github!Q$1586</f>
        <v>12049</v>
      </c>
    </row>
    <row r="1548">
      <c r="A1548" s="10">
        <f>Github!J$2104</f>
        <v>2103</v>
      </c>
      <c r="B1548" s="11" t="str">
        <f>HYPERLINK(CONCAT("http://leetcode.com/problems/",Github!C$2104), Github!B$2104)</f>
        <v>Rings and Rods</v>
      </c>
      <c r="C1548" s="10">
        <f>Github!F$2104</f>
        <v>315</v>
      </c>
      <c r="D1548" s="10">
        <f>Github!G$2104</f>
        <v>9</v>
      </c>
      <c r="E1548" s="10">
        <f>Github!F$2104+Github!G$2104</f>
        <v>324</v>
      </c>
      <c r="F1548" s="12">
        <f t="shared" si="1"/>
        <v>35</v>
      </c>
      <c r="G1548" s="10" t="str">
        <f>Github!H$2104</f>
        <v>Algorithms</v>
      </c>
      <c r="H1548" s="13" t="str">
        <f>SUBSTITUTE(Github!L$2104, ";", ", ")</f>
        <v>Hash Table, String, </v>
      </c>
      <c r="I1548" s="10" t="str">
        <f>Github!E$2104</f>
        <v>Easy</v>
      </c>
      <c r="J1548" s="10" t="str">
        <f>IF(TRIM(Github!D$2104)="TRUE","FALSE","TRUE")</f>
        <v>TRUE</v>
      </c>
      <c r="K1548" s="10" t="b">
        <f>Github!M$2104</f>
        <v>0</v>
      </c>
      <c r="L1548" s="10" t="b">
        <f>Github!N$2104</f>
        <v>0</v>
      </c>
      <c r="M1548" s="10" t="str">
        <f>ROUND(Github!O$2104, 2)&amp;"%"</f>
        <v>81.82%</v>
      </c>
      <c r="N1548" s="10">
        <f>Github!P$2104</f>
        <v>24900</v>
      </c>
      <c r="O1548" s="10">
        <f>Github!Q$2104</f>
        <v>30432</v>
      </c>
    </row>
    <row r="1549">
      <c r="A1549" s="10">
        <f>Github!J$2171</f>
        <v>2170</v>
      </c>
      <c r="B1549" s="11" t="str">
        <f>HYPERLINK(CONCAT("http://leetcode.com/problems/",Github!C$2171), Github!B$2171)</f>
        <v>Minimum Operations to Make the Array Alternating</v>
      </c>
      <c r="C1549" s="10">
        <f>Github!F$2171</f>
        <v>315</v>
      </c>
      <c r="D1549" s="10">
        <f>Github!G$2171</f>
        <v>247</v>
      </c>
      <c r="E1549" s="10">
        <f>Github!F$2171+Github!G$2171</f>
        <v>562</v>
      </c>
      <c r="F1549" s="12">
        <f t="shared" si="1"/>
        <v>1.28</v>
      </c>
      <c r="G1549" s="10" t="str">
        <f>Github!H$2171</f>
        <v>Algorithms</v>
      </c>
      <c r="H1549" s="13" t="str">
        <f>SUBSTITUTE(Github!L$2171, ";", ", ")</f>
        <v>Array, Hash Table, Greedy, Counting, </v>
      </c>
      <c r="I1549" s="10" t="str">
        <f>Github!E$2171</f>
        <v>Medium</v>
      </c>
      <c r="J1549" s="10" t="str">
        <f>IF(TRIM(Github!D$2171)="TRUE","FALSE","TRUE")</f>
        <v>TRUE</v>
      </c>
      <c r="K1549" s="10" t="b">
        <f>Github!M$2171</f>
        <v>0</v>
      </c>
      <c r="L1549" s="10" t="b">
        <f>Github!N$2171</f>
        <v>0</v>
      </c>
      <c r="M1549" s="10" t="str">
        <f>ROUND(Github!O$2171, 2)&amp;"%"</f>
        <v>32.57%</v>
      </c>
      <c r="N1549" s="10">
        <f>Github!P$2171</f>
        <v>14329</v>
      </c>
      <c r="O1549" s="10">
        <f>Github!Q$2171</f>
        <v>44000</v>
      </c>
    </row>
    <row r="1550">
      <c r="A1550" s="10">
        <f>Github!J$1504</f>
        <v>1503</v>
      </c>
      <c r="B1550" s="11" t="str">
        <f>HYPERLINK(CONCAT("http://leetcode.com/problems/",Github!C$1504), Github!B$1504)</f>
        <v>Last Moment Before All Ants Fall Out of a Plank</v>
      </c>
      <c r="C1550" s="10">
        <f>Github!F$1504</f>
        <v>313</v>
      </c>
      <c r="D1550" s="10">
        <f>Github!G$1504</f>
        <v>178</v>
      </c>
      <c r="E1550" s="10">
        <f>Github!F$1504+Github!G$1504</f>
        <v>491</v>
      </c>
      <c r="F1550" s="12">
        <f t="shared" si="1"/>
        <v>1.76</v>
      </c>
      <c r="G1550" s="10" t="str">
        <f>Github!H$1504</f>
        <v>Algorithms</v>
      </c>
      <c r="H1550" s="13" t="str">
        <f>SUBSTITUTE(Github!L$1504, ";", ", ")</f>
        <v>Array, Brainteaser, Simulation, </v>
      </c>
      <c r="I1550" s="10" t="str">
        <f>Github!E$1504</f>
        <v>Medium</v>
      </c>
      <c r="J1550" s="10" t="str">
        <f>IF(TRIM(Github!D$1504)="TRUE","FALSE","TRUE")</f>
        <v>TRUE</v>
      </c>
      <c r="K1550" s="10" t="b">
        <f>Github!M$1504</f>
        <v>0</v>
      </c>
      <c r="L1550" s="10" t="b">
        <f>Github!N$1504</f>
        <v>0</v>
      </c>
      <c r="M1550" s="10" t="str">
        <f>ROUND(Github!O$1504, 2)&amp;"%"</f>
        <v>54.7%</v>
      </c>
      <c r="N1550" s="10">
        <f>Github!P$1504</f>
        <v>14899</v>
      </c>
      <c r="O1550" s="10">
        <f>Github!Q$1504</f>
        <v>27240</v>
      </c>
    </row>
    <row r="1551">
      <c r="A1551" s="10">
        <f>Github!J$2080</f>
        <v>2079</v>
      </c>
      <c r="B1551" s="11" t="str">
        <f>HYPERLINK(CONCAT("http://leetcode.com/problems/",Github!C$2080), Github!B$2080)</f>
        <v>Watering Plants</v>
      </c>
      <c r="C1551" s="10">
        <f>Github!F$2080</f>
        <v>313</v>
      </c>
      <c r="D1551" s="10">
        <f>Github!G$2080</f>
        <v>22</v>
      </c>
      <c r="E1551" s="10">
        <f>Github!F$2080+Github!G$2080</f>
        <v>335</v>
      </c>
      <c r="F1551" s="12">
        <f t="shared" si="1"/>
        <v>14.23</v>
      </c>
      <c r="G1551" s="10" t="str">
        <f>Github!H$2080</f>
        <v>Algorithms</v>
      </c>
      <c r="H1551" s="13" t="str">
        <f>SUBSTITUTE(Github!L$2080, ";", ", ")</f>
        <v>Array, </v>
      </c>
      <c r="I1551" s="10" t="str">
        <f>Github!E$2080</f>
        <v>Medium</v>
      </c>
      <c r="J1551" s="10" t="str">
        <f>IF(TRIM(Github!D$2080)="TRUE","FALSE","TRUE")</f>
        <v>TRUE</v>
      </c>
      <c r="K1551" s="10" t="b">
        <f>Github!M$2080</f>
        <v>0</v>
      </c>
      <c r="L1551" s="10" t="b">
        <f>Github!N$2080</f>
        <v>0</v>
      </c>
      <c r="M1551" s="10" t="str">
        <f>ROUND(Github!O$2080, 2)&amp;"%"</f>
        <v>80.53%</v>
      </c>
      <c r="N1551" s="10">
        <f>Github!P$2080</f>
        <v>17495</v>
      </c>
      <c r="O1551" s="10">
        <f>Github!Q$2080</f>
        <v>21726</v>
      </c>
    </row>
    <row r="1552">
      <c r="A1552" s="10">
        <f>Github!J$1596</f>
        <v>1595</v>
      </c>
      <c r="B1552" s="11" t="str">
        <f>HYPERLINK(CONCAT("http://leetcode.com/problems/",Github!C$1596), Github!B$1596)</f>
        <v>Minimum Cost to Connect Two Groups of Points</v>
      </c>
      <c r="C1552" s="10">
        <f>Github!F$1596</f>
        <v>312</v>
      </c>
      <c r="D1552" s="10">
        <f>Github!G$1596</f>
        <v>11</v>
      </c>
      <c r="E1552" s="10">
        <f>Github!F$1596+Github!G$1596</f>
        <v>323</v>
      </c>
      <c r="F1552" s="12">
        <f t="shared" si="1"/>
        <v>28.36</v>
      </c>
      <c r="G1552" s="10" t="str">
        <f>Github!H$1596</f>
        <v>Algorithms</v>
      </c>
      <c r="H1552" s="13" t="str">
        <f>SUBSTITUTE(Github!L$1596, ";", ", ")</f>
        <v>Array, Dynamic Programming, Bit Manipulation, Matrix, Bitmask, </v>
      </c>
      <c r="I1552" s="10" t="str">
        <f>Github!E$1596</f>
        <v>Hard</v>
      </c>
      <c r="J1552" s="10" t="str">
        <f>IF(TRIM(Github!D$1596)="TRUE","FALSE","TRUE")</f>
        <v>TRUE</v>
      </c>
      <c r="K1552" s="10" t="b">
        <f>Github!M$1596</f>
        <v>0</v>
      </c>
      <c r="L1552" s="10" t="b">
        <f>Github!N$1596</f>
        <v>0</v>
      </c>
      <c r="M1552" s="10" t="str">
        <f>ROUND(Github!O$1596, 2)&amp;"%"</f>
        <v>45.76%</v>
      </c>
      <c r="N1552" s="10">
        <f>Github!P$1596</f>
        <v>6095</v>
      </c>
      <c r="O1552" s="10">
        <f>Github!Q$1596</f>
        <v>13320</v>
      </c>
    </row>
    <row r="1553">
      <c r="A1553" s="10">
        <f>Github!J$1834</f>
        <v>1833</v>
      </c>
      <c r="B1553" s="11" t="str">
        <f>HYPERLINK(CONCAT("http://leetcode.com/problems/",Github!C$1834), Github!B$1834)</f>
        <v>Maximum Ice Cream Bars</v>
      </c>
      <c r="C1553" s="10">
        <f>Github!F$1834</f>
        <v>312</v>
      </c>
      <c r="D1553" s="10">
        <f>Github!G$1834</f>
        <v>131</v>
      </c>
      <c r="E1553" s="10">
        <f>Github!F$1834+Github!G$1834</f>
        <v>443</v>
      </c>
      <c r="F1553" s="12">
        <f t="shared" si="1"/>
        <v>2.38</v>
      </c>
      <c r="G1553" s="10" t="str">
        <f>Github!H$1834</f>
        <v>Algorithms</v>
      </c>
      <c r="H1553" s="13" t="str">
        <f>SUBSTITUTE(Github!L$1834, ";", ", ")</f>
        <v>Array, Greedy, Sorting, </v>
      </c>
      <c r="I1553" s="10" t="str">
        <f>Github!E$1834</f>
        <v>Medium</v>
      </c>
      <c r="J1553" s="10" t="str">
        <f>IF(TRIM(Github!D$1834)="TRUE","FALSE","TRUE")</f>
        <v>TRUE</v>
      </c>
      <c r="K1553" s="10" t="b">
        <f>Github!M$1834</f>
        <v>0</v>
      </c>
      <c r="L1553" s="10" t="b">
        <f>Github!N$1834</f>
        <v>0</v>
      </c>
      <c r="M1553" s="10" t="str">
        <f>ROUND(Github!O$1834, 2)&amp;"%"</f>
        <v>64.67%</v>
      </c>
      <c r="N1553" s="10">
        <f>Github!P$1834</f>
        <v>30314</v>
      </c>
      <c r="O1553" s="10">
        <f>Github!Q$1834</f>
        <v>46875</v>
      </c>
    </row>
    <row r="1554">
      <c r="A1554" s="10">
        <f>Github!J$1702</f>
        <v>1701</v>
      </c>
      <c r="B1554" s="11" t="str">
        <f>HYPERLINK(CONCAT("http://leetcode.com/problems/",Github!C$1702), Github!B$1702)</f>
        <v>Average Waiting Time</v>
      </c>
      <c r="C1554" s="10">
        <f>Github!F$1702</f>
        <v>311</v>
      </c>
      <c r="D1554" s="10">
        <f>Github!G$1702</f>
        <v>37</v>
      </c>
      <c r="E1554" s="10">
        <f>Github!F$1702+Github!G$1702</f>
        <v>348</v>
      </c>
      <c r="F1554" s="12">
        <f t="shared" si="1"/>
        <v>8.41</v>
      </c>
      <c r="G1554" s="10" t="str">
        <f>Github!H$1702</f>
        <v>Algorithms</v>
      </c>
      <c r="H1554" s="13" t="str">
        <f>SUBSTITUTE(Github!L$1702, ";", ", ")</f>
        <v>Array, Simulation, </v>
      </c>
      <c r="I1554" s="10" t="str">
        <f>Github!E$1702</f>
        <v>Medium</v>
      </c>
      <c r="J1554" s="10" t="str">
        <f>IF(TRIM(Github!D$1702)="TRUE","FALSE","TRUE")</f>
        <v>TRUE</v>
      </c>
      <c r="K1554" s="10" t="b">
        <f>Github!M$1702</f>
        <v>0</v>
      </c>
      <c r="L1554" s="10" t="b">
        <f>Github!N$1702</f>
        <v>0</v>
      </c>
      <c r="M1554" s="10" t="str">
        <f>ROUND(Github!O$1702, 2)&amp;"%"</f>
        <v>61.59%</v>
      </c>
      <c r="N1554" s="10">
        <f>Github!P$1702</f>
        <v>18292</v>
      </c>
      <c r="O1554" s="10">
        <f>Github!Q$1702</f>
        <v>29698</v>
      </c>
    </row>
    <row r="1555">
      <c r="A1555" s="10">
        <f>Github!J$1079</f>
        <v>1078</v>
      </c>
      <c r="B1555" s="11" t="str">
        <f>HYPERLINK(CONCAT("http://leetcode.com/problems/",Github!C$1079), Github!B$1079)</f>
        <v>Occurrences After Bigram</v>
      </c>
      <c r="C1555" s="10">
        <f>Github!F$1079</f>
        <v>310</v>
      </c>
      <c r="D1555" s="10">
        <f>Github!G$1079</f>
        <v>283</v>
      </c>
      <c r="E1555" s="10">
        <f>Github!F$1079+Github!G$1079</f>
        <v>593</v>
      </c>
      <c r="F1555" s="12">
        <f t="shared" si="1"/>
        <v>1.1</v>
      </c>
      <c r="G1555" s="10" t="str">
        <f>Github!H$1079</f>
        <v>Algorithms</v>
      </c>
      <c r="H1555" s="13" t="str">
        <f>SUBSTITUTE(Github!L$1079, ";", ", ")</f>
        <v>String, </v>
      </c>
      <c r="I1555" s="10" t="str">
        <f>Github!E$1079</f>
        <v>Easy</v>
      </c>
      <c r="J1555" s="10" t="str">
        <f>IF(TRIM(Github!D$1079)="TRUE","FALSE","TRUE")</f>
        <v>TRUE</v>
      </c>
      <c r="K1555" s="10" t="b">
        <f>Github!M$1079</f>
        <v>0</v>
      </c>
      <c r="L1555" s="10" t="b">
        <f>Github!N$1079</f>
        <v>0</v>
      </c>
      <c r="M1555" s="10" t="str">
        <f>ROUND(Github!O$1079, 2)&amp;"%"</f>
        <v>64.3%</v>
      </c>
      <c r="N1555" s="10">
        <f>Github!P$1079</f>
        <v>49961</v>
      </c>
      <c r="O1555" s="10">
        <f>Github!Q$1079</f>
        <v>77706</v>
      </c>
    </row>
    <row r="1556">
      <c r="A1556" s="10">
        <f>Github!J$1173</f>
        <v>1172</v>
      </c>
      <c r="B1556" s="11" t="str">
        <f>HYPERLINK(CONCAT("http://leetcode.com/problems/",Github!C$1173), Github!B$1173)</f>
        <v>Dinner Plate Stacks</v>
      </c>
      <c r="C1556" s="10">
        <f>Github!F$1173</f>
        <v>310</v>
      </c>
      <c r="D1556" s="10">
        <f>Github!G$1173</f>
        <v>47</v>
      </c>
      <c r="E1556" s="10">
        <f>Github!F$1173+Github!G$1173</f>
        <v>357</v>
      </c>
      <c r="F1556" s="12">
        <f t="shared" si="1"/>
        <v>6.6</v>
      </c>
      <c r="G1556" s="10" t="str">
        <f>Github!H$1173</f>
        <v>Algorithms</v>
      </c>
      <c r="H1556" s="13" t="str">
        <f>SUBSTITUTE(Github!L$1173, ";", ", ")</f>
        <v>Hash Table, Stack, Design, Heap (Priority Queue), </v>
      </c>
      <c r="I1556" s="10" t="str">
        <f>Github!E$1173</f>
        <v>Hard</v>
      </c>
      <c r="J1556" s="10" t="str">
        <f>IF(TRIM(Github!D$1173)="TRUE","FALSE","TRUE")</f>
        <v>TRUE</v>
      </c>
      <c r="K1556" s="10" t="b">
        <f>Github!M$1173</f>
        <v>0</v>
      </c>
      <c r="L1556" s="10" t="b">
        <f>Github!N$1173</f>
        <v>0</v>
      </c>
      <c r="M1556" s="10" t="str">
        <f>ROUND(Github!O$1173, 2)&amp;"%"</f>
        <v>34.64%</v>
      </c>
      <c r="N1556" s="10">
        <f>Github!P$1173</f>
        <v>13251</v>
      </c>
      <c r="O1556" s="10">
        <f>Github!Q$1173</f>
        <v>38249</v>
      </c>
    </row>
    <row r="1557">
      <c r="A1557" s="10">
        <f>Github!J$2081</f>
        <v>2080</v>
      </c>
      <c r="B1557" s="11" t="str">
        <f>HYPERLINK(CONCAT("http://leetcode.com/problems/",Github!C$2081), Github!B$2081)</f>
        <v>Range Frequency Queries</v>
      </c>
      <c r="C1557" s="10">
        <f>Github!F$2081</f>
        <v>310</v>
      </c>
      <c r="D1557" s="10">
        <f>Github!G$2081</f>
        <v>19</v>
      </c>
      <c r="E1557" s="10">
        <f>Github!F$2081+Github!G$2081</f>
        <v>329</v>
      </c>
      <c r="F1557" s="12">
        <f t="shared" si="1"/>
        <v>16.32</v>
      </c>
      <c r="G1557" s="10" t="str">
        <f>Github!H$2081</f>
        <v>Algorithms</v>
      </c>
      <c r="H1557" s="13" t="str">
        <f>SUBSTITUTE(Github!L$2081, ";", ", ")</f>
        <v>Array, Hash Table, Binary Search, Design, Segment Tree, </v>
      </c>
      <c r="I1557" s="10" t="str">
        <f>Github!E$2081</f>
        <v>Medium</v>
      </c>
      <c r="J1557" s="10" t="str">
        <f>IF(TRIM(Github!D$2081)="TRUE","FALSE","TRUE")</f>
        <v>TRUE</v>
      </c>
      <c r="K1557" s="10" t="b">
        <f>Github!M$2081</f>
        <v>0</v>
      </c>
      <c r="L1557" s="10" t="b">
        <f>Github!N$2081</f>
        <v>0</v>
      </c>
      <c r="M1557" s="10" t="str">
        <f>ROUND(Github!O$2081, 2)&amp;"%"</f>
        <v>36.22%</v>
      </c>
      <c r="N1557" s="10">
        <f>Github!P$2081</f>
        <v>10106</v>
      </c>
      <c r="O1557" s="10">
        <f>Github!Q$2081</f>
        <v>27899</v>
      </c>
    </row>
    <row r="1558">
      <c r="A1558" s="10">
        <f>Github!J$1254</f>
        <v>1253</v>
      </c>
      <c r="B1558" s="11" t="str">
        <f>HYPERLINK(CONCAT("http://leetcode.com/problems/",Github!C$1254), Github!B$1254)</f>
        <v>Reconstruct a 2-Row Binary Matrix</v>
      </c>
      <c r="C1558" s="10">
        <f>Github!F$1254</f>
        <v>309</v>
      </c>
      <c r="D1558" s="10">
        <f>Github!G$1254</f>
        <v>24</v>
      </c>
      <c r="E1558" s="10">
        <f>Github!F$1254+Github!G$1254</f>
        <v>333</v>
      </c>
      <c r="F1558" s="12">
        <f t="shared" si="1"/>
        <v>12.88</v>
      </c>
      <c r="G1558" s="10" t="str">
        <f>Github!H$1254</f>
        <v>Algorithms</v>
      </c>
      <c r="H1558" s="13" t="str">
        <f>SUBSTITUTE(Github!L$1254, ";", ", ")</f>
        <v>Array, Greedy, Matrix, </v>
      </c>
      <c r="I1558" s="10" t="str">
        <f>Github!E$1254</f>
        <v>Medium</v>
      </c>
      <c r="J1558" s="10" t="str">
        <f>IF(TRIM(Github!D$1254)="TRUE","FALSE","TRUE")</f>
        <v>TRUE</v>
      </c>
      <c r="K1558" s="10" t="b">
        <f>Github!M$1254</f>
        <v>0</v>
      </c>
      <c r="L1558" s="10" t="b">
        <f>Github!N$1254</f>
        <v>0</v>
      </c>
      <c r="M1558" s="10" t="str">
        <f>ROUND(Github!O$1254, 2)&amp;"%"</f>
        <v>43.09%</v>
      </c>
      <c r="N1558" s="10">
        <f>Github!P$1254</f>
        <v>18655</v>
      </c>
      <c r="O1558" s="10">
        <f>Github!Q$1254</f>
        <v>43298</v>
      </c>
    </row>
    <row r="1559">
      <c r="A1559" s="10">
        <f>Github!J$1998</f>
        <v>1997</v>
      </c>
      <c r="B1559" s="11" t="str">
        <f>HYPERLINK(CONCAT("http://leetcode.com/problems/",Github!C$1998), Github!B$1998)</f>
        <v>First Day Where You Have Been in All the Rooms</v>
      </c>
      <c r="C1559" s="10">
        <f>Github!F$1998</f>
        <v>309</v>
      </c>
      <c r="D1559" s="10">
        <f>Github!G$1998</f>
        <v>51</v>
      </c>
      <c r="E1559" s="10">
        <f>Github!F$1998+Github!G$1998</f>
        <v>360</v>
      </c>
      <c r="F1559" s="12">
        <f t="shared" si="1"/>
        <v>6.06</v>
      </c>
      <c r="G1559" s="10" t="str">
        <f>Github!H$1998</f>
        <v>Algorithms</v>
      </c>
      <c r="H1559" s="13" t="str">
        <f>SUBSTITUTE(Github!L$1998, ";", ", ")</f>
        <v>Array, Dynamic Programming, </v>
      </c>
      <c r="I1559" s="10" t="str">
        <f>Github!E$1998</f>
        <v>Medium</v>
      </c>
      <c r="J1559" s="10" t="str">
        <f>IF(TRIM(Github!D$1998)="TRUE","FALSE","TRUE")</f>
        <v>TRUE</v>
      </c>
      <c r="K1559" s="10" t="b">
        <f>Github!M$1998</f>
        <v>0</v>
      </c>
      <c r="L1559" s="10" t="b">
        <f>Github!N$1998</f>
        <v>0</v>
      </c>
      <c r="M1559" s="10" t="str">
        <f>ROUND(Github!O$1998, 2)&amp;"%"</f>
        <v>35.22%</v>
      </c>
      <c r="N1559" s="10">
        <f>Github!P$1998</f>
        <v>5402</v>
      </c>
      <c r="O1559" s="10">
        <f>Github!Q$1998</f>
        <v>15337</v>
      </c>
    </row>
    <row r="1560">
      <c r="A1560" s="10">
        <f>Github!J$1592</f>
        <v>1591</v>
      </c>
      <c r="B1560" s="11" t="str">
        <f>HYPERLINK(CONCAT("http://leetcode.com/problems/",Github!C$1592), Github!B$1592)</f>
        <v>Strange Printer II</v>
      </c>
      <c r="C1560" s="10">
        <f>Github!F$1592</f>
        <v>308</v>
      </c>
      <c r="D1560" s="10">
        <f>Github!G$1592</f>
        <v>9</v>
      </c>
      <c r="E1560" s="10">
        <f>Github!F$1592+Github!G$1592</f>
        <v>317</v>
      </c>
      <c r="F1560" s="12">
        <f t="shared" si="1"/>
        <v>34.22</v>
      </c>
      <c r="G1560" s="10" t="str">
        <f>Github!H$1592</f>
        <v>Algorithms</v>
      </c>
      <c r="H1560" s="13" t="str">
        <f>SUBSTITUTE(Github!L$1592, ";", ", ")</f>
        <v>Array, Graph, Topological Sort, Matrix, </v>
      </c>
      <c r="I1560" s="10" t="str">
        <f>Github!E$1592</f>
        <v>Hard</v>
      </c>
      <c r="J1560" s="10" t="str">
        <f>IF(TRIM(Github!D$1592)="TRUE","FALSE","TRUE")</f>
        <v>TRUE</v>
      </c>
      <c r="K1560" s="10" t="b">
        <f>Github!M$1592</f>
        <v>0</v>
      </c>
      <c r="L1560" s="10" t="b">
        <f>Github!N$1592</f>
        <v>0</v>
      </c>
      <c r="M1560" s="10" t="str">
        <f>ROUND(Github!O$1592, 2)&amp;"%"</f>
        <v>56.16%</v>
      </c>
      <c r="N1560" s="10">
        <f>Github!P$1592</f>
        <v>5629</v>
      </c>
      <c r="O1560" s="10">
        <f>Github!Q$1592</f>
        <v>10024</v>
      </c>
    </row>
    <row r="1561">
      <c r="A1561" s="10">
        <f>Github!J$1780</f>
        <v>1779</v>
      </c>
      <c r="B1561" s="11" t="str">
        <f>HYPERLINK(CONCAT("http://leetcode.com/problems/",Github!C$1780), Github!B$1780)</f>
        <v>Find Nearest Point That Has the Same X or Y Coordinate</v>
      </c>
      <c r="C1561" s="10">
        <f>Github!F$1780</f>
        <v>311</v>
      </c>
      <c r="D1561" s="10">
        <f>Github!G$1780</f>
        <v>49</v>
      </c>
      <c r="E1561" s="10">
        <f>Github!F$1780+Github!G$1780</f>
        <v>360</v>
      </c>
      <c r="F1561" s="12">
        <f t="shared" si="1"/>
        <v>6.35</v>
      </c>
      <c r="G1561" s="10" t="str">
        <f>Github!H$1780</f>
        <v>Algorithms</v>
      </c>
      <c r="H1561" s="13" t="str">
        <f>SUBSTITUTE(Github!L$1780, ";", ", ")</f>
        <v>Array, </v>
      </c>
      <c r="I1561" s="10" t="str">
        <f>Github!E$1780</f>
        <v>Easy</v>
      </c>
      <c r="J1561" s="10" t="str">
        <f>IF(TRIM(Github!D$1780)="TRUE","FALSE","TRUE")</f>
        <v>TRUE</v>
      </c>
      <c r="K1561" s="10" t="b">
        <f>Github!M$1780</f>
        <v>0</v>
      </c>
      <c r="L1561" s="10" t="b">
        <f>Github!N$1780</f>
        <v>0</v>
      </c>
      <c r="M1561" s="10" t="str">
        <f>ROUND(Github!O$1780, 2)&amp;"%"</f>
        <v>68.44%</v>
      </c>
      <c r="N1561" s="10">
        <f>Github!P$1780</f>
        <v>34710</v>
      </c>
      <c r="O1561" s="10">
        <f>Github!Q$1780</f>
        <v>50719</v>
      </c>
    </row>
    <row r="1562">
      <c r="A1562" s="10">
        <f>Github!J$1892</f>
        <v>1891</v>
      </c>
      <c r="B1562" s="11" t="str">
        <f>HYPERLINK(CONCAT("http://leetcode.com/problems/",Github!C$1892), Github!B$1892)</f>
        <v>Cutting Ribbons</v>
      </c>
      <c r="C1562" s="10">
        <f>Github!F$1892</f>
        <v>310</v>
      </c>
      <c r="D1562" s="10">
        <f>Github!G$1892</f>
        <v>17</v>
      </c>
      <c r="E1562" s="10">
        <f>Github!F$1892+Github!G$1892</f>
        <v>327</v>
      </c>
      <c r="F1562" s="12">
        <f t="shared" si="1"/>
        <v>18.24</v>
      </c>
      <c r="G1562" s="10" t="str">
        <f>Github!H$1892</f>
        <v>Algorithms</v>
      </c>
      <c r="H1562" s="13" t="str">
        <f>SUBSTITUTE(Github!L$1892, ";", ", ")</f>
        <v>Array, Binary Search, </v>
      </c>
      <c r="I1562" s="10" t="str">
        <f>Github!E$1892</f>
        <v>Medium</v>
      </c>
      <c r="J1562" s="10" t="str">
        <f>IF(TRIM(Github!D$1892)="TRUE","FALSE","TRUE")</f>
        <v>FALSE</v>
      </c>
      <c r="K1562" s="10" t="b">
        <f>Github!M$1892</f>
        <v>0</v>
      </c>
      <c r="L1562" s="10" t="b">
        <f>Github!N$1892</f>
        <v>0</v>
      </c>
      <c r="M1562" s="10" t="str">
        <f>ROUND(Github!O$1892, 2)&amp;"%"</f>
        <v>48.45%</v>
      </c>
      <c r="N1562" s="10">
        <f>Github!P$1892</f>
        <v>30004</v>
      </c>
      <c r="O1562" s="10">
        <f>Github!Q$1892</f>
        <v>61922</v>
      </c>
    </row>
    <row r="1563">
      <c r="A1563" s="10">
        <f>Github!J$867</f>
        <v>866</v>
      </c>
      <c r="B1563" s="11" t="str">
        <f>HYPERLINK(CONCAT("http://leetcode.com/problems/",Github!C$867), Github!B$867)</f>
        <v>Prime Palindrome</v>
      </c>
      <c r="C1563" s="10">
        <f>Github!F$867</f>
        <v>307</v>
      </c>
      <c r="D1563" s="10">
        <f>Github!G$867</f>
        <v>701</v>
      </c>
      <c r="E1563" s="10">
        <f>Github!F$867+Github!G$867</f>
        <v>1008</v>
      </c>
      <c r="F1563" s="12">
        <f t="shared" si="1"/>
        <v>0.44</v>
      </c>
      <c r="G1563" s="10" t="str">
        <f>Github!H$867</f>
        <v>Algorithms</v>
      </c>
      <c r="H1563" s="13" t="str">
        <f>SUBSTITUTE(Github!L$867, ";", ", ")</f>
        <v>Math, </v>
      </c>
      <c r="I1563" s="10" t="str">
        <f>Github!E$867</f>
        <v>Medium</v>
      </c>
      <c r="J1563" s="10" t="str">
        <f>IF(TRIM(Github!D$867)="TRUE","FALSE","TRUE")</f>
        <v>TRUE</v>
      </c>
      <c r="K1563" s="10" t="b">
        <f>Github!M$867</f>
        <v>1</v>
      </c>
      <c r="L1563" s="10" t="b">
        <f>Github!N$867</f>
        <v>0</v>
      </c>
      <c r="M1563" s="10" t="str">
        <f>ROUND(Github!O$867, 2)&amp;"%"</f>
        <v>25.53%</v>
      </c>
      <c r="N1563" s="10">
        <f>Github!P$867</f>
        <v>24707</v>
      </c>
      <c r="O1563" s="10">
        <f>Github!Q$867</f>
        <v>96765</v>
      </c>
    </row>
    <row r="1564">
      <c r="A1564" s="10">
        <f>Github!J$1622</f>
        <v>1621</v>
      </c>
      <c r="B1564" s="11" t="str">
        <f>HYPERLINK(CONCAT("http://leetcode.com/problems/",Github!C$1622), Github!B$1622)</f>
        <v>Number of Sets of K Non-Overlapping Line Segments</v>
      </c>
      <c r="C1564" s="10">
        <f>Github!F$1622</f>
        <v>306</v>
      </c>
      <c r="D1564" s="10">
        <f>Github!G$1622</f>
        <v>33</v>
      </c>
      <c r="E1564" s="10">
        <f>Github!F$1622+Github!G$1622</f>
        <v>339</v>
      </c>
      <c r="F1564" s="12">
        <f t="shared" si="1"/>
        <v>9.27</v>
      </c>
      <c r="G1564" s="10" t="str">
        <f>Github!H$1622</f>
        <v>Algorithms</v>
      </c>
      <c r="H1564" s="13" t="str">
        <f>SUBSTITUTE(Github!L$1622, ";", ", ")</f>
        <v>Math, Dynamic Programming, </v>
      </c>
      <c r="I1564" s="10" t="str">
        <f>Github!E$1622</f>
        <v>Medium</v>
      </c>
      <c r="J1564" s="10" t="str">
        <f>IF(TRIM(Github!D$1622)="TRUE","FALSE","TRUE")</f>
        <v>TRUE</v>
      </c>
      <c r="K1564" s="10" t="b">
        <f>Github!M$1622</f>
        <v>0</v>
      </c>
      <c r="L1564" s="10" t="b">
        <f>Github!N$1622</f>
        <v>0</v>
      </c>
      <c r="M1564" s="10" t="str">
        <f>ROUND(Github!O$1622, 2)&amp;"%"</f>
        <v>42.47%</v>
      </c>
      <c r="N1564" s="10">
        <f>Github!P$1622</f>
        <v>6500</v>
      </c>
      <c r="O1564" s="10">
        <f>Github!Q$1622</f>
        <v>15306</v>
      </c>
    </row>
    <row r="1565">
      <c r="A1565" s="10">
        <f>Github!J$1881</f>
        <v>1880</v>
      </c>
      <c r="B1565" s="11" t="str">
        <f>HYPERLINK(CONCAT("http://leetcode.com/problems/",Github!C$1881), Github!B$1881)</f>
        <v>Check if Word Equals Summation of Two Words</v>
      </c>
      <c r="C1565" s="10">
        <f>Github!F$1881</f>
        <v>306</v>
      </c>
      <c r="D1565" s="10">
        <f>Github!G$1881</f>
        <v>18</v>
      </c>
      <c r="E1565" s="10">
        <f>Github!F$1881+Github!G$1881</f>
        <v>324</v>
      </c>
      <c r="F1565" s="12">
        <f t="shared" si="1"/>
        <v>17</v>
      </c>
      <c r="G1565" s="10" t="str">
        <f>Github!H$1881</f>
        <v>Algorithms</v>
      </c>
      <c r="H1565" s="13" t="str">
        <f>SUBSTITUTE(Github!L$1881, ";", ", ")</f>
        <v>String, </v>
      </c>
      <c r="I1565" s="10" t="str">
        <f>Github!E$1881</f>
        <v>Easy</v>
      </c>
      <c r="J1565" s="10" t="str">
        <f>IF(TRIM(Github!D$1881)="TRUE","FALSE","TRUE")</f>
        <v>TRUE</v>
      </c>
      <c r="K1565" s="10" t="b">
        <f>Github!M$1881</f>
        <v>0</v>
      </c>
      <c r="L1565" s="10" t="b">
        <f>Github!N$1881</f>
        <v>0</v>
      </c>
      <c r="M1565" s="10" t="str">
        <f>ROUND(Github!O$1881, 2)&amp;"%"</f>
        <v>73.11%</v>
      </c>
      <c r="N1565" s="10">
        <f>Github!P$1881</f>
        <v>37750</v>
      </c>
      <c r="O1565" s="10">
        <f>Github!Q$1881</f>
        <v>51637</v>
      </c>
    </row>
    <row r="1566">
      <c r="A1566" s="10">
        <f>Github!J$574</f>
        <v>573</v>
      </c>
      <c r="B1566" s="11" t="str">
        <f>HYPERLINK(CONCAT("http://leetcode.com/problems/",Github!C$574), Github!B$574)</f>
        <v>Squirrel Simulation</v>
      </c>
      <c r="C1566" s="10">
        <f>Github!F$574</f>
        <v>304</v>
      </c>
      <c r="D1566" s="10">
        <f>Github!G$574</f>
        <v>32</v>
      </c>
      <c r="E1566" s="10">
        <f>Github!F$574+Github!G$574</f>
        <v>336</v>
      </c>
      <c r="F1566" s="12">
        <f t="shared" si="1"/>
        <v>9.5</v>
      </c>
      <c r="G1566" s="10" t="str">
        <f>Github!H$574</f>
        <v>Algorithms</v>
      </c>
      <c r="H1566" s="13" t="str">
        <f>SUBSTITUTE(Github!L$574, ";", ", ")</f>
        <v>Array, Math, </v>
      </c>
      <c r="I1566" s="10" t="str">
        <f>Github!E$574</f>
        <v>Medium</v>
      </c>
      <c r="J1566" s="10" t="str">
        <f>IF(TRIM(Github!D$574)="TRUE","FALSE","TRUE")</f>
        <v>FALSE</v>
      </c>
      <c r="K1566" s="10" t="b">
        <f>Github!M$574</f>
        <v>1</v>
      </c>
      <c r="L1566" s="10" t="b">
        <f>Github!N$574</f>
        <v>0</v>
      </c>
      <c r="M1566" s="10" t="str">
        <f>ROUND(Github!O$574, 2)&amp;"%"</f>
        <v>54.65%</v>
      </c>
      <c r="N1566" s="10">
        <f>Github!P$574</f>
        <v>16828</v>
      </c>
      <c r="O1566" s="10">
        <f>Github!Q$574</f>
        <v>30790</v>
      </c>
    </row>
    <row r="1567">
      <c r="A1567" s="10">
        <f>Github!J$2164</f>
        <v>2163</v>
      </c>
      <c r="B1567" s="11" t="str">
        <f>HYPERLINK(CONCAT("http://leetcode.com/problems/",Github!C$2164), Github!B$2164)</f>
        <v>Minimum Difference in Sums After Removal of Elements</v>
      </c>
      <c r="C1567" s="10">
        <f>Github!F$2164</f>
        <v>304</v>
      </c>
      <c r="D1567" s="10">
        <f>Github!G$2164</f>
        <v>5</v>
      </c>
      <c r="E1567" s="10">
        <f>Github!F$2164+Github!G$2164</f>
        <v>309</v>
      </c>
      <c r="F1567" s="12">
        <f t="shared" si="1"/>
        <v>60.8</v>
      </c>
      <c r="G1567" s="10" t="str">
        <f>Github!H$2164</f>
        <v>Algorithms</v>
      </c>
      <c r="H1567" s="13" t="str">
        <f>SUBSTITUTE(Github!L$2164, ";", ", ")</f>
        <v>Array, Dynamic Programming, Heap (Priority Queue), </v>
      </c>
      <c r="I1567" s="10" t="str">
        <f>Github!E$2164</f>
        <v>Hard</v>
      </c>
      <c r="J1567" s="10" t="str">
        <f>IF(TRIM(Github!D$2164)="TRUE","FALSE","TRUE")</f>
        <v>TRUE</v>
      </c>
      <c r="K1567" s="10" t="b">
        <f>Github!M$2164</f>
        <v>0</v>
      </c>
      <c r="L1567" s="10" t="b">
        <f>Github!N$2164</f>
        <v>0</v>
      </c>
      <c r="M1567" s="10" t="str">
        <f>ROUND(Github!O$2164, 2)&amp;"%"</f>
        <v>45.55%</v>
      </c>
      <c r="N1567" s="10">
        <f>Github!P$2164</f>
        <v>4294</v>
      </c>
      <c r="O1567" s="10">
        <f>Github!Q$2164</f>
        <v>9427</v>
      </c>
    </row>
    <row r="1568">
      <c r="A1568" s="10">
        <f>Github!J$1302</f>
        <v>1301</v>
      </c>
      <c r="B1568" s="11" t="str">
        <f>HYPERLINK(CONCAT("http://leetcode.com/problems/",Github!C$1302), Github!B$1302)</f>
        <v>Number of Paths with Max Score</v>
      </c>
      <c r="C1568" s="10">
        <f>Github!F$1302</f>
        <v>303</v>
      </c>
      <c r="D1568" s="10">
        <f>Github!G$1302</f>
        <v>15</v>
      </c>
      <c r="E1568" s="10">
        <f>Github!F$1302+Github!G$1302</f>
        <v>318</v>
      </c>
      <c r="F1568" s="12">
        <f t="shared" si="1"/>
        <v>20.2</v>
      </c>
      <c r="G1568" s="10" t="str">
        <f>Github!H$1302</f>
        <v>Algorithms</v>
      </c>
      <c r="H1568" s="13" t="str">
        <f>SUBSTITUTE(Github!L$1302, ";", ", ")</f>
        <v>Array, Dynamic Programming, Matrix, </v>
      </c>
      <c r="I1568" s="10" t="str">
        <f>Github!E$1302</f>
        <v>Hard</v>
      </c>
      <c r="J1568" s="10" t="str">
        <f>IF(TRIM(Github!D$1302)="TRUE","FALSE","TRUE")</f>
        <v>TRUE</v>
      </c>
      <c r="K1568" s="10" t="b">
        <f>Github!M$1302</f>
        <v>0</v>
      </c>
      <c r="L1568" s="10" t="b">
        <f>Github!N$1302</f>
        <v>0</v>
      </c>
      <c r="M1568" s="10" t="str">
        <f>ROUND(Github!O$1302, 2)&amp;"%"</f>
        <v>38.73%</v>
      </c>
      <c r="N1568" s="10">
        <f>Github!P$1302</f>
        <v>8869</v>
      </c>
      <c r="O1568" s="10">
        <f>Github!Q$1302</f>
        <v>22900</v>
      </c>
    </row>
    <row r="1569">
      <c r="A1569" s="10">
        <f>Github!J$1848</f>
        <v>1847</v>
      </c>
      <c r="B1569" s="11" t="str">
        <f>HYPERLINK(CONCAT("http://leetcode.com/problems/",Github!C$1848), Github!B$1848)</f>
        <v>Closest Room</v>
      </c>
      <c r="C1569" s="10">
        <f>Github!F$1848</f>
        <v>303</v>
      </c>
      <c r="D1569" s="10">
        <f>Github!G$1848</f>
        <v>12</v>
      </c>
      <c r="E1569" s="10">
        <f>Github!F$1848+Github!G$1848</f>
        <v>315</v>
      </c>
      <c r="F1569" s="12">
        <f t="shared" si="1"/>
        <v>25.25</v>
      </c>
      <c r="G1569" s="10" t="str">
        <f>Github!H$1848</f>
        <v>Algorithms</v>
      </c>
      <c r="H1569" s="13" t="str">
        <f>SUBSTITUTE(Github!L$1848, ";", ", ")</f>
        <v>Array, Binary Search, Sorting, </v>
      </c>
      <c r="I1569" s="10" t="str">
        <f>Github!E$1848</f>
        <v>Hard</v>
      </c>
      <c r="J1569" s="10" t="str">
        <f>IF(TRIM(Github!D$1848)="TRUE","FALSE","TRUE")</f>
        <v>TRUE</v>
      </c>
      <c r="K1569" s="10" t="b">
        <f>Github!M$1848</f>
        <v>0</v>
      </c>
      <c r="L1569" s="10" t="b">
        <f>Github!N$1848</f>
        <v>0</v>
      </c>
      <c r="M1569" s="10" t="str">
        <f>ROUND(Github!O$1848, 2)&amp;"%"</f>
        <v>32.92%</v>
      </c>
      <c r="N1569" s="10">
        <f>Github!P$1848</f>
        <v>5189</v>
      </c>
      <c r="O1569" s="10">
        <f>Github!Q$1848</f>
        <v>15763</v>
      </c>
    </row>
    <row r="1570">
      <c r="A1570" s="10">
        <f>Github!J$1629</f>
        <v>1628</v>
      </c>
      <c r="B1570" s="11" t="str">
        <f>HYPERLINK(CONCAT("http://leetcode.com/problems/",Github!C$1629), Github!B$1629)</f>
        <v>Design an Expression Tree With Evaluate Function</v>
      </c>
      <c r="C1570" s="10">
        <f>Github!F$1629</f>
        <v>302</v>
      </c>
      <c r="D1570" s="10">
        <f>Github!G$1629</f>
        <v>48</v>
      </c>
      <c r="E1570" s="10">
        <f>Github!F$1629+Github!G$1629</f>
        <v>350</v>
      </c>
      <c r="F1570" s="12">
        <f t="shared" si="1"/>
        <v>6.29</v>
      </c>
      <c r="G1570" s="10" t="str">
        <f>Github!H$1629</f>
        <v>Algorithms</v>
      </c>
      <c r="H1570" s="13" t="str">
        <f>SUBSTITUTE(Github!L$1629, ";", ", ")</f>
        <v>Math, Stack, Tree, Design, Binary Tree, </v>
      </c>
      <c r="I1570" s="10" t="str">
        <f>Github!E$1629</f>
        <v>Medium</v>
      </c>
      <c r="J1570" s="10" t="str">
        <f>IF(TRIM(Github!D$1629)="TRUE","FALSE","TRUE")</f>
        <v>FALSE</v>
      </c>
      <c r="K1570" s="10" t="b">
        <f>Github!M$1629</f>
        <v>0</v>
      </c>
      <c r="L1570" s="10" t="b">
        <f>Github!N$1629</f>
        <v>0</v>
      </c>
      <c r="M1570" s="10" t="str">
        <f>ROUND(Github!O$1629, 2)&amp;"%"</f>
        <v>81.52%</v>
      </c>
      <c r="N1570" s="10">
        <f>Github!P$1629</f>
        <v>13997</v>
      </c>
      <c r="O1570" s="10">
        <f>Github!Q$1629</f>
        <v>17171</v>
      </c>
    </row>
    <row r="1571">
      <c r="A1571" s="10">
        <f>Github!J$1628</f>
        <v>1627</v>
      </c>
      <c r="B1571" s="11" t="str">
        <f>HYPERLINK(CONCAT("http://leetcode.com/problems/",Github!C$1628), Github!B$1628)</f>
        <v>Graph Connectivity With Threshold</v>
      </c>
      <c r="C1571" s="10">
        <f>Github!F$1628</f>
        <v>301</v>
      </c>
      <c r="D1571" s="10">
        <f>Github!G$1628</f>
        <v>23</v>
      </c>
      <c r="E1571" s="10">
        <f>Github!F$1628+Github!G$1628</f>
        <v>324</v>
      </c>
      <c r="F1571" s="12">
        <f t="shared" si="1"/>
        <v>13.09</v>
      </c>
      <c r="G1571" s="10" t="str">
        <f>Github!H$1628</f>
        <v>Algorithms</v>
      </c>
      <c r="H1571" s="13" t="str">
        <f>SUBSTITUTE(Github!L$1628, ";", ", ")</f>
        <v>Array, Math, Union Find, </v>
      </c>
      <c r="I1571" s="10" t="str">
        <f>Github!E$1628</f>
        <v>Hard</v>
      </c>
      <c r="J1571" s="10" t="str">
        <f>IF(TRIM(Github!D$1628)="TRUE","FALSE","TRUE")</f>
        <v>TRUE</v>
      </c>
      <c r="K1571" s="10" t="b">
        <f>Github!M$1628</f>
        <v>0</v>
      </c>
      <c r="L1571" s="10" t="b">
        <f>Github!N$1628</f>
        <v>0</v>
      </c>
      <c r="M1571" s="10" t="str">
        <f>ROUND(Github!O$1628, 2)&amp;"%"</f>
        <v>44.08%</v>
      </c>
      <c r="N1571" s="10">
        <f>Github!P$1628</f>
        <v>9651</v>
      </c>
      <c r="O1571" s="10">
        <f>Github!Q$1628</f>
        <v>21896</v>
      </c>
    </row>
    <row r="1572">
      <c r="A1572" s="10">
        <f>Github!J$1703</f>
        <v>1702</v>
      </c>
      <c r="B1572" s="11" t="str">
        <f>HYPERLINK(CONCAT("http://leetcode.com/problems/",Github!C$1703), Github!B$1703)</f>
        <v>Maximum Binary String After Change</v>
      </c>
      <c r="C1572" s="10">
        <f>Github!F$1703</f>
        <v>300</v>
      </c>
      <c r="D1572" s="10">
        <f>Github!G$1703</f>
        <v>36</v>
      </c>
      <c r="E1572" s="10">
        <f>Github!F$1703+Github!G$1703</f>
        <v>336</v>
      </c>
      <c r="F1572" s="12">
        <f t="shared" si="1"/>
        <v>8.33</v>
      </c>
      <c r="G1572" s="10" t="str">
        <f>Github!H$1703</f>
        <v>Algorithms</v>
      </c>
      <c r="H1572" s="13" t="str">
        <f>SUBSTITUTE(Github!L$1703, ";", ", ")</f>
        <v>String, Greedy, </v>
      </c>
      <c r="I1572" s="10" t="str">
        <f>Github!E$1703</f>
        <v>Medium</v>
      </c>
      <c r="J1572" s="10" t="str">
        <f>IF(TRIM(Github!D$1703)="TRUE","FALSE","TRUE")</f>
        <v>TRUE</v>
      </c>
      <c r="K1572" s="10" t="b">
        <f>Github!M$1703</f>
        <v>0</v>
      </c>
      <c r="L1572" s="10" t="b">
        <f>Github!N$1703</f>
        <v>0</v>
      </c>
      <c r="M1572" s="10" t="str">
        <f>ROUND(Github!O$1703, 2)&amp;"%"</f>
        <v>45.07%</v>
      </c>
      <c r="N1572" s="10">
        <f>Github!P$1703</f>
        <v>8237</v>
      </c>
      <c r="O1572" s="10">
        <f>Github!Q$1703</f>
        <v>18276</v>
      </c>
    </row>
    <row r="1573">
      <c r="A1573" s="10">
        <f>Github!J$1806</f>
        <v>1805</v>
      </c>
      <c r="B1573" s="11" t="str">
        <f>HYPERLINK(CONCAT("http://leetcode.com/problems/",Github!C$1806), Github!B$1806)</f>
        <v>Number of Different Integers in a String</v>
      </c>
      <c r="C1573" s="10">
        <f>Github!F$1806</f>
        <v>300</v>
      </c>
      <c r="D1573" s="10">
        <f>Github!G$1806</f>
        <v>54</v>
      </c>
      <c r="E1573" s="10">
        <f>Github!F$1806+Github!G$1806</f>
        <v>354</v>
      </c>
      <c r="F1573" s="12">
        <f t="shared" si="1"/>
        <v>5.56</v>
      </c>
      <c r="G1573" s="10" t="str">
        <f>Github!H$1806</f>
        <v>Algorithms</v>
      </c>
      <c r="H1573" s="13" t="str">
        <f>SUBSTITUTE(Github!L$1806, ";", ", ")</f>
        <v>Hash Table, String, </v>
      </c>
      <c r="I1573" s="10" t="str">
        <f>Github!E$1806</f>
        <v>Easy</v>
      </c>
      <c r="J1573" s="10" t="str">
        <f>IF(TRIM(Github!D$1806)="TRUE","FALSE","TRUE")</f>
        <v>TRUE</v>
      </c>
      <c r="K1573" s="10" t="b">
        <f>Github!M$1806</f>
        <v>0</v>
      </c>
      <c r="L1573" s="10" t="b">
        <f>Github!N$1806</f>
        <v>0</v>
      </c>
      <c r="M1573" s="10" t="str">
        <f>ROUND(Github!O$1806, 2)&amp;"%"</f>
        <v>35.48%</v>
      </c>
      <c r="N1573" s="10">
        <f>Github!P$1806</f>
        <v>24112</v>
      </c>
      <c r="O1573" s="10">
        <f>Github!Q$1806</f>
        <v>67960</v>
      </c>
    </row>
    <row r="1574">
      <c r="A1574" s="10">
        <f>Github!J$1850</f>
        <v>1849</v>
      </c>
      <c r="B1574" s="11" t="str">
        <f>HYPERLINK(CONCAT("http://leetcode.com/problems/",Github!C$1850), Github!B$1850)</f>
        <v>Splitting a String Into Descending Consecutive Values</v>
      </c>
      <c r="C1574" s="10">
        <f>Github!F$1850</f>
        <v>299</v>
      </c>
      <c r="D1574" s="10">
        <f>Github!G$1850</f>
        <v>79</v>
      </c>
      <c r="E1574" s="10">
        <f>Github!F$1850+Github!G$1850</f>
        <v>378</v>
      </c>
      <c r="F1574" s="12">
        <f t="shared" si="1"/>
        <v>3.78</v>
      </c>
      <c r="G1574" s="10" t="str">
        <f>Github!H$1850</f>
        <v>Algorithms</v>
      </c>
      <c r="H1574" s="13" t="str">
        <f>SUBSTITUTE(Github!L$1850, ";", ", ")</f>
        <v>String, Backtracking, </v>
      </c>
      <c r="I1574" s="10" t="str">
        <f>Github!E$1850</f>
        <v>Medium</v>
      </c>
      <c r="J1574" s="10" t="str">
        <f>IF(TRIM(Github!D$1850)="TRUE","FALSE","TRUE")</f>
        <v>TRUE</v>
      </c>
      <c r="K1574" s="10" t="b">
        <f>Github!M$1850</f>
        <v>0</v>
      </c>
      <c r="L1574" s="10" t="b">
        <f>Github!N$1850</f>
        <v>0</v>
      </c>
      <c r="M1574" s="10" t="str">
        <f>ROUND(Github!O$1850, 2)&amp;"%"</f>
        <v>30.9%</v>
      </c>
      <c r="N1574" s="10">
        <f>Github!P$1850</f>
        <v>13422</v>
      </c>
      <c r="O1574" s="10">
        <f>Github!Q$1850</f>
        <v>43431</v>
      </c>
    </row>
    <row r="1575">
      <c r="A1575" s="10">
        <f>Github!J$1975</f>
        <v>1974</v>
      </c>
      <c r="B1575" s="11" t="str">
        <f>HYPERLINK(CONCAT("http://leetcode.com/problems/",Github!C$1975), Github!B$1975)</f>
        <v>Minimum Time to Type Word Using Special Typewriter</v>
      </c>
      <c r="C1575" s="10">
        <f>Github!F$1975</f>
        <v>299</v>
      </c>
      <c r="D1575" s="10">
        <f>Github!G$1975</f>
        <v>14</v>
      </c>
      <c r="E1575" s="10">
        <f>Github!F$1975+Github!G$1975</f>
        <v>313</v>
      </c>
      <c r="F1575" s="12">
        <f t="shared" si="1"/>
        <v>21.36</v>
      </c>
      <c r="G1575" s="10" t="str">
        <f>Github!H$1975</f>
        <v>Algorithms</v>
      </c>
      <c r="H1575" s="13" t="str">
        <f>SUBSTITUTE(Github!L$1975, ";", ", ")</f>
        <v>String, Greedy, </v>
      </c>
      <c r="I1575" s="10" t="str">
        <f>Github!E$1975</f>
        <v>Easy</v>
      </c>
      <c r="J1575" s="10" t="str">
        <f>IF(TRIM(Github!D$1975)="TRUE","FALSE","TRUE")</f>
        <v>TRUE</v>
      </c>
      <c r="K1575" s="10" t="b">
        <f>Github!M$1975</f>
        <v>0</v>
      </c>
      <c r="L1575" s="10" t="b">
        <f>Github!N$1975</f>
        <v>0</v>
      </c>
      <c r="M1575" s="10" t="str">
        <f>ROUND(Github!O$1975, 2)&amp;"%"</f>
        <v>71.9%</v>
      </c>
      <c r="N1575" s="10">
        <f>Github!P$1975</f>
        <v>17704</v>
      </c>
      <c r="O1575" s="10">
        <f>Github!Q$1975</f>
        <v>24623</v>
      </c>
    </row>
    <row r="1576">
      <c r="A1576" s="10">
        <f>Github!J$2046</f>
        <v>2045</v>
      </c>
      <c r="B1576" s="11" t="str">
        <f>HYPERLINK(CONCAT("http://leetcode.com/problems/",Github!C$2046), Github!B$2046)</f>
        <v>Second Minimum Time to Reach Destination</v>
      </c>
      <c r="C1576" s="10">
        <f>Github!F$2046</f>
        <v>299</v>
      </c>
      <c r="D1576" s="10">
        <f>Github!G$2046</f>
        <v>4</v>
      </c>
      <c r="E1576" s="10">
        <f>Github!F$2046+Github!G$2046</f>
        <v>303</v>
      </c>
      <c r="F1576" s="12">
        <f t="shared" si="1"/>
        <v>74.75</v>
      </c>
      <c r="G1576" s="10" t="str">
        <f>Github!H$2046</f>
        <v>Algorithms</v>
      </c>
      <c r="H1576" s="13" t="str">
        <f>SUBSTITUTE(Github!L$2046, ";", ", ")</f>
        <v>Breadth-First Search, Graph, Shortest Path, </v>
      </c>
      <c r="I1576" s="10" t="str">
        <f>Github!E$2046</f>
        <v>Hard</v>
      </c>
      <c r="J1576" s="10" t="str">
        <f>IF(TRIM(Github!D$2046)="TRUE","FALSE","TRUE")</f>
        <v>TRUE</v>
      </c>
      <c r="K1576" s="10" t="b">
        <f>Github!M$2046</f>
        <v>0</v>
      </c>
      <c r="L1576" s="10" t="b">
        <f>Github!N$2046</f>
        <v>0</v>
      </c>
      <c r="M1576" s="10" t="str">
        <f>ROUND(Github!O$2046, 2)&amp;"%"</f>
        <v>36.37%</v>
      </c>
      <c r="N1576" s="10">
        <f>Github!P$2046</f>
        <v>5549</v>
      </c>
      <c r="O1576" s="10">
        <f>Github!Q$2046</f>
        <v>15256</v>
      </c>
    </row>
    <row r="1577">
      <c r="A1577" s="10">
        <f>Github!J$2136</f>
        <v>2135</v>
      </c>
      <c r="B1577" s="11" t="str">
        <f>HYPERLINK(CONCAT("http://leetcode.com/problems/",Github!C$2136), Github!B$2136)</f>
        <v>Count Words Obtained After Adding a Letter</v>
      </c>
      <c r="C1577" s="10">
        <f>Github!F$2136</f>
        <v>301</v>
      </c>
      <c r="D1577" s="10">
        <f>Github!G$2136</f>
        <v>57</v>
      </c>
      <c r="E1577" s="10">
        <f>Github!F$2136+Github!G$2136</f>
        <v>358</v>
      </c>
      <c r="F1577" s="12">
        <f t="shared" si="1"/>
        <v>5.28</v>
      </c>
      <c r="G1577" s="10" t="str">
        <f>Github!H$2136</f>
        <v>Algorithms</v>
      </c>
      <c r="H1577" s="13" t="str">
        <f>SUBSTITUTE(Github!L$2136, ";", ", ")</f>
        <v>Array, Hash Table, String, Bit Manipulation, Sorting, </v>
      </c>
      <c r="I1577" s="10" t="str">
        <f>Github!E$2136</f>
        <v>Medium</v>
      </c>
      <c r="J1577" s="10" t="str">
        <f>IF(TRIM(Github!D$2136)="TRUE","FALSE","TRUE")</f>
        <v>TRUE</v>
      </c>
      <c r="K1577" s="10" t="b">
        <f>Github!M$2136</f>
        <v>0</v>
      </c>
      <c r="L1577" s="10" t="b">
        <f>Github!N$2136</f>
        <v>0</v>
      </c>
      <c r="M1577" s="10" t="str">
        <f>ROUND(Github!O$2136, 2)&amp;"%"</f>
        <v>36.12%</v>
      </c>
      <c r="N1577" s="10">
        <f>Github!P$2136</f>
        <v>11561</v>
      </c>
      <c r="O1577" s="10">
        <f>Github!Q$2136</f>
        <v>32004</v>
      </c>
    </row>
    <row r="1578">
      <c r="A1578" s="10">
        <f>Github!J$1506</f>
        <v>1505</v>
      </c>
      <c r="B1578" s="11" t="str">
        <f>HYPERLINK(CONCAT("http://leetcode.com/problems/",Github!C$1506), Github!B$1506)</f>
        <v>Minimum Possible Integer After at Most K Adjacent Swaps On Digits</v>
      </c>
      <c r="C1578" s="10">
        <f>Github!F$1506</f>
        <v>298</v>
      </c>
      <c r="D1578" s="10">
        <f>Github!G$1506</f>
        <v>19</v>
      </c>
      <c r="E1578" s="10">
        <f>Github!F$1506+Github!G$1506</f>
        <v>317</v>
      </c>
      <c r="F1578" s="12">
        <f t="shared" si="1"/>
        <v>15.68</v>
      </c>
      <c r="G1578" s="10" t="str">
        <f>Github!H$1506</f>
        <v>Algorithms</v>
      </c>
      <c r="H1578" s="13" t="str">
        <f>SUBSTITUTE(Github!L$1506, ";", ", ")</f>
        <v>String, Greedy, Binary Indexed Tree, Segment Tree, </v>
      </c>
      <c r="I1578" s="10" t="str">
        <f>Github!E$1506</f>
        <v>Hard</v>
      </c>
      <c r="J1578" s="10" t="str">
        <f>IF(TRIM(Github!D$1506)="TRUE","FALSE","TRUE")</f>
        <v>TRUE</v>
      </c>
      <c r="K1578" s="10" t="b">
        <f>Github!M$1506</f>
        <v>0</v>
      </c>
      <c r="L1578" s="10" t="b">
        <f>Github!N$1506</f>
        <v>0</v>
      </c>
      <c r="M1578" s="10" t="str">
        <f>ROUND(Github!O$1506, 2)&amp;"%"</f>
        <v>37.45%</v>
      </c>
      <c r="N1578" s="10">
        <f>Github!P$1506</f>
        <v>7199</v>
      </c>
      <c r="O1578" s="10">
        <f>Github!Q$1506</f>
        <v>19221</v>
      </c>
    </row>
    <row r="1579">
      <c r="A1579" s="10">
        <f>Github!J$907</f>
        <v>906</v>
      </c>
      <c r="B1579" s="11" t="str">
        <f>HYPERLINK(CONCAT("http://leetcode.com/problems/",Github!C$907), Github!B$907)</f>
        <v>Super Palindromes</v>
      </c>
      <c r="C1579" s="10">
        <f>Github!F$907</f>
        <v>297</v>
      </c>
      <c r="D1579" s="10">
        <f>Github!G$907</f>
        <v>374</v>
      </c>
      <c r="E1579" s="10">
        <f>Github!F$907+Github!G$907</f>
        <v>671</v>
      </c>
      <c r="F1579" s="12">
        <f t="shared" si="1"/>
        <v>0.79</v>
      </c>
      <c r="G1579" s="10" t="str">
        <f>Github!H$907</f>
        <v>Algorithms</v>
      </c>
      <c r="H1579" s="13" t="str">
        <f>SUBSTITUTE(Github!L$907, ";", ", ")</f>
        <v>Math, Enumeration, </v>
      </c>
      <c r="I1579" s="10" t="str">
        <f>Github!E$907</f>
        <v>Hard</v>
      </c>
      <c r="J1579" s="10" t="str">
        <f>IF(TRIM(Github!D$907)="TRUE","FALSE","TRUE")</f>
        <v>TRUE</v>
      </c>
      <c r="K1579" s="10" t="b">
        <f>Github!M$907</f>
        <v>1</v>
      </c>
      <c r="L1579" s="10" t="b">
        <f>Github!N$907</f>
        <v>0</v>
      </c>
      <c r="M1579" s="10" t="str">
        <f>ROUND(Github!O$907, 2)&amp;"%"</f>
        <v>39.2%</v>
      </c>
      <c r="N1579" s="10">
        <f>Github!P$907</f>
        <v>21040</v>
      </c>
      <c r="O1579" s="10">
        <f>Github!Q$907</f>
        <v>53664</v>
      </c>
    </row>
    <row r="1580">
      <c r="A1580" s="10">
        <f>Github!J$1923</f>
        <v>1922</v>
      </c>
      <c r="B1580" s="11" t="str">
        <f>HYPERLINK(CONCAT("http://leetcode.com/problems/",Github!C$1923), Github!B$1923)</f>
        <v>Count Good Numbers</v>
      </c>
      <c r="C1580" s="10">
        <f>Github!F$1923</f>
        <v>297</v>
      </c>
      <c r="D1580" s="10">
        <f>Github!G$1923</f>
        <v>211</v>
      </c>
      <c r="E1580" s="10">
        <f>Github!F$1923+Github!G$1923</f>
        <v>508</v>
      </c>
      <c r="F1580" s="12">
        <f t="shared" si="1"/>
        <v>1.41</v>
      </c>
      <c r="G1580" s="10" t="str">
        <f>Github!H$1923</f>
        <v>Algorithms</v>
      </c>
      <c r="H1580" s="13" t="str">
        <f>SUBSTITUTE(Github!L$1923, ";", ", ")</f>
        <v>Math, Recursion, </v>
      </c>
      <c r="I1580" s="10" t="str">
        <f>Github!E$1923</f>
        <v>Medium</v>
      </c>
      <c r="J1580" s="10" t="str">
        <f>IF(TRIM(Github!D$1923)="TRUE","FALSE","TRUE")</f>
        <v>TRUE</v>
      </c>
      <c r="K1580" s="10" t="b">
        <f>Github!M$1923</f>
        <v>0</v>
      </c>
      <c r="L1580" s="10" t="b">
        <f>Github!N$1923</f>
        <v>0</v>
      </c>
      <c r="M1580" s="10" t="str">
        <f>ROUND(Github!O$1923, 2)&amp;"%"</f>
        <v>38.33%</v>
      </c>
      <c r="N1580" s="10">
        <f>Github!P$1923</f>
        <v>14279</v>
      </c>
      <c r="O1580" s="10">
        <f>Github!Q$1923</f>
        <v>37257</v>
      </c>
    </row>
    <row r="1581">
      <c r="A1581" s="10">
        <f>Github!J$1942</f>
        <v>1941</v>
      </c>
      <c r="B1581" s="11" t="str">
        <f>HYPERLINK(CONCAT("http://leetcode.com/problems/",Github!C$1942), Github!B$1942)</f>
        <v>Check if All Characters Have Equal Number of Occurrences</v>
      </c>
      <c r="C1581" s="10">
        <f>Github!F$1942</f>
        <v>297</v>
      </c>
      <c r="D1581" s="10">
        <f>Github!G$1942</f>
        <v>10</v>
      </c>
      <c r="E1581" s="10">
        <f>Github!F$1942+Github!G$1942</f>
        <v>307</v>
      </c>
      <c r="F1581" s="12">
        <f t="shared" si="1"/>
        <v>29.7</v>
      </c>
      <c r="G1581" s="10" t="str">
        <f>Github!H$1942</f>
        <v>Algorithms</v>
      </c>
      <c r="H1581" s="13" t="str">
        <f>SUBSTITUTE(Github!L$1942, ";", ", ")</f>
        <v>Hash Table, String, Counting, </v>
      </c>
      <c r="I1581" s="10" t="str">
        <f>Github!E$1942</f>
        <v>Easy</v>
      </c>
      <c r="J1581" s="10" t="str">
        <f>IF(TRIM(Github!D$1942)="TRUE","FALSE","TRUE")</f>
        <v>TRUE</v>
      </c>
      <c r="K1581" s="10" t="b">
        <f>Github!M$1942</f>
        <v>0</v>
      </c>
      <c r="L1581" s="10" t="b">
        <f>Github!N$1942</f>
        <v>0</v>
      </c>
      <c r="M1581" s="10" t="str">
        <f>ROUND(Github!O$1942, 2)&amp;"%"</f>
        <v>77.11%</v>
      </c>
      <c r="N1581" s="10">
        <f>Github!P$1942</f>
        <v>30891</v>
      </c>
      <c r="O1581" s="10">
        <f>Github!Q$1942</f>
        <v>40062</v>
      </c>
    </row>
    <row r="1582">
      <c r="A1582" s="10">
        <f>Github!J$1386</f>
        <v>1385</v>
      </c>
      <c r="B1582" s="11" t="str">
        <f>HYPERLINK(CONCAT("http://leetcode.com/problems/",Github!C$1386), Github!B$1386)</f>
        <v>Find the Distance Value Between Two Arrays</v>
      </c>
      <c r="C1582" s="10">
        <f>Github!F$1386</f>
        <v>297</v>
      </c>
      <c r="D1582" s="10">
        <f>Github!G$1386</f>
        <v>1162</v>
      </c>
      <c r="E1582" s="10">
        <f>Github!F$1386+Github!G$1386</f>
        <v>1459</v>
      </c>
      <c r="F1582" s="12">
        <f t="shared" si="1"/>
        <v>0.26</v>
      </c>
      <c r="G1582" s="10" t="str">
        <f>Github!H$1386</f>
        <v>Algorithms</v>
      </c>
      <c r="H1582" s="13" t="str">
        <f>SUBSTITUTE(Github!L$1386, ";", ", ")</f>
        <v>Array, Two Pointers, Binary Search, Sorting, </v>
      </c>
      <c r="I1582" s="10" t="str">
        <f>Github!E$1386</f>
        <v>Easy</v>
      </c>
      <c r="J1582" s="10" t="str">
        <f>IF(TRIM(Github!D$1386)="TRUE","FALSE","TRUE")</f>
        <v>TRUE</v>
      </c>
      <c r="K1582" s="10" t="b">
        <f>Github!M$1386</f>
        <v>0</v>
      </c>
      <c r="L1582" s="10" t="b">
        <f>Github!N$1386</f>
        <v>0</v>
      </c>
      <c r="M1582" s="10" t="str">
        <f>ROUND(Github!O$1386, 2)&amp;"%"</f>
        <v>66.11%</v>
      </c>
      <c r="N1582" s="10">
        <f>Github!P$1386</f>
        <v>38332</v>
      </c>
      <c r="O1582" s="10">
        <f>Github!Q$1386</f>
        <v>57979</v>
      </c>
    </row>
    <row r="1583">
      <c r="A1583" s="10">
        <f>Github!J$2111</f>
        <v>2110</v>
      </c>
      <c r="B1583" s="11" t="str">
        <f>HYPERLINK(CONCAT("http://leetcode.com/problems/",Github!C$2111), Github!B$2111)</f>
        <v>Number of Smooth Descent Periods of a Stock</v>
      </c>
      <c r="C1583" s="10">
        <f>Github!F$2111</f>
        <v>296</v>
      </c>
      <c r="D1583" s="10">
        <f>Github!G$2111</f>
        <v>10</v>
      </c>
      <c r="E1583" s="10">
        <f>Github!F$2111+Github!G$2111</f>
        <v>306</v>
      </c>
      <c r="F1583" s="12">
        <f t="shared" si="1"/>
        <v>29.6</v>
      </c>
      <c r="G1583" s="10" t="str">
        <f>Github!H$2111</f>
        <v>Algorithms</v>
      </c>
      <c r="H1583" s="13" t="str">
        <f>SUBSTITUTE(Github!L$2111, ";", ", ")</f>
        <v>Array, Math, Dynamic Programming, </v>
      </c>
      <c r="I1583" s="10" t="str">
        <f>Github!E$2111</f>
        <v>Medium</v>
      </c>
      <c r="J1583" s="10" t="str">
        <f>IF(TRIM(Github!D$2111)="TRUE","FALSE","TRUE")</f>
        <v>TRUE</v>
      </c>
      <c r="K1583" s="10" t="b">
        <f>Github!M$2111</f>
        <v>0</v>
      </c>
      <c r="L1583" s="10" t="b">
        <f>Github!N$2111</f>
        <v>0</v>
      </c>
      <c r="M1583" s="10" t="str">
        <f>ROUND(Github!O$2111, 2)&amp;"%"</f>
        <v>54.92%</v>
      </c>
      <c r="N1583" s="10">
        <f>Github!P$2111</f>
        <v>16733</v>
      </c>
      <c r="O1583" s="10">
        <f>Github!Q$2111</f>
        <v>30466</v>
      </c>
    </row>
    <row r="1584">
      <c r="A1584" s="10">
        <f>Github!J$593</f>
        <v>592</v>
      </c>
      <c r="B1584" s="11" t="str">
        <f>HYPERLINK(CONCAT("http://leetcode.com/problems/",Github!C$593), Github!B$593)</f>
        <v>Fraction Addition and Subtraction</v>
      </c>
      <c r="C1584" s="10">
        <f>Github!F$593</f>
        <v>295</v>
      </c>
      <c r="D1584" s="10">
        <f>Github!G$593</f>
        <v>428</v>
      </c>
      <c r="E1584" s="10">
        <f>Github!F$593+Github!G$593</f>
        <v>723</v>
      </c>
      <c r="F1584" s="12">
        <f t="shared" si="1"/>
        <v>0.69</v>
      </c>
      <c r="G1584" s="10" t="str">
        <f>Github!H$593</f>
        <v>Algorithms</v>
      </c>
      <c r="H1584" s="13" t="str">
        <f>SUBSTITUTE(Github!L$593, ";", ", ")</f>
        <v>Math, String, Simulation, </v>
      </c>
      <c r="I1584" s="10" t="str">
        <f>Github!E$593</f>
        <v>Medium</v>
      </c>
      <c r="J1584" s="10" t="str">
        <f>IF(TRIM(Github!D$593)="TRUE","FALSE","TRUE")</f>
        <v>TRUE</v>
      </c>
      <c r="K1584" s="10" t="b">
        <f>Github!M$593</f>
        <v>1</v>
      </c>
      <c r="L1584" s="10" t="b">
        <f>Github!N$593</f>
        <v>0</v>
      </c>
      <c r="M1584" s="10" t="str">
        <f>ROUND(Github!O$593, 2)&amp;"%"</f>
        <v>51.61%</v>
      </c>
      <c r="N1584" s="10">
        <f>Github!P$593</f>
        <v>28250</v>
      </c>
      <c r="O1584" s="10">
        <f>Github!Q$593</f>
        <v>54742</v>
      </c>
    </row>
    <row r="1585">
      <c r="A1585" s="10">
        <f>Github!J$749</f>
        <v>748</v>
      </c>
      <c r="B1585" s="11" t="str">
        <f>HYPERLINK(CONCAT("http://leetcode.com/problems/",Github!C$749), Github!B$749)</f>
        <v>Shortest Completing Word</v>
      </c>
      <c r="C1585" s="10">
        <f>Github!F$749</f>
        <v>295</v>
      </c>
      <c r="D1585" s="10">
        <f>Github!G$749</f>
        <v>836</v>
      </c>
      <c r="E1585" s="10">
        <f>Github!F$749+Github!G$749</f>
        <v>1131</v>
      </c>
      <c r="F1585" s="12">
        <f t="shared" si="1"/>
        <v>0.35</v>
      </c>
      <c r="G1585" s="10" t="str">
        <f>Github!H$749</f>
        <v>Algorithms</v>
      </c>
      <c r="H1585" s="13" t="str">
        <f>SUBSTITUTE(Github!L$749, ";", ", ")</f>
        <v>Array, Hash Table, String, </v>
      </c>
      <c r="I1585" s="10" t="str">
        <f>Github!E$749</f>
        <v>Easy</v>
      </c>
      <c r="J1585" s="10" t="str">
        <f>IF(TRIM(Github!D$749)="TRUE","FALSE","TRUE")</f>
        <v>TRUE</v>
      </c>
      <c r="K1585" s="10" t="b">
        <f>Github!M$749</f>
        <v>0</v>
      </c>
      <c r="L1585" s="10" t="b">
        <f>Github!N$749</f>
        <v>0</v>
      </c>
      <c r="M1585" s="10" t="str">
        <f>ROUND(Github!O$749, 2)&amp;"%"</f>
        <v>58.76%</v>
      </c>
      <c r="N1585" s="10">
        <f>Github!P$749</f>
        <v>48389</v>
      </c>
      <c r="O1585" s="10">
        <f>Github!Q$749</f>
        <v>82357</v>
      </c>
    </row>
    <row r="1586">
      <c r="A1586" s="10">
        <f>Github!J$1928</f>
        <v>1927</v>
      </c>
      <c r="B1586" s="11" t="str">
        <f>HYPERLINK(CONCAT("http://leetcode.com/problems/",Github!C$1928), Github!B$1928)</f>
        <v>Sum Game</v>
      </c>
      <c r="C1586" s="10">
        <f>Github!F$1928</f>
        <v>295</v>
      </c>
      <c r="D1586" s="10">
        <f>Github!G$1928</f>
        <v>42</v>
      </c>
      <c r="E1586" s="10">
        <f>Github!F$1928+Github!G$1928</f>
        <v>337</v>
      </c>
      <c r="F1586" s="12">
        <f t="shared" si="1"/>
        <v>7.02</v>
      </c>
      <c r="G1586" s="10" t="str">
        <f>Github!H$1928</f>
        <v>Algorithms</v>
      </c>
      <c r="H1586" s="13" t="str">
        <f>SUBSTITUTE(Github!L$1928, ";", ", ")</f>
        <v>Math, Greedy, Game Theory, </v>
      </c>
      <c r="I1586" s="10" t="str">
        <f>Github!E$1928</f>
        <v>Medium</v>
      </c>
      <c r="J1586" s="10" t="str">
        <f>IF(TRIM(Github!D$1928)="TRUE","FALSE","TRUE")</f>
        <v>TRUE</v>
      </c>
      <c r="K1586" s="10" t="b">
        <f>Github!M$1928</f>
        <v>0</v>
      </c>
      <c r="L1586" s="10" t="b">
        <f>Github!N$1928</f>
        <v>0</v>
      </c>
      <c r="M1586" s="10" t="str">
        <f>ROUND(Github!O$1928, 2)&amp;"%"</f>
        <v>46.8%</v>
      </c>
      <c r="N1586" s="10">
        <f>Github!P$1928</f>
        <v>6151</v>
      </c>
      <c r="O1586" s="10">
        <f>Github!Q$1928</f>
        <v>13142</v>
      </c>
    </row>
    <row r="1587">
      <c r="A1587" s="10">
        <f>Github!J$532</f>
        <v>531</v>
      </c>
      <c r="B1587" s="11" t="str">
        <f>HYPERLINK(CONCAT("http://leetcode.com/problems/",Github!C$532), Github!B$532)</f>
        <v>Lonely Pixel I</v>
      </c>
      <c r="C1587" s="10">
        <f>Github!F$532</f>
        <v>294</v>
      </c>
      <c r="D1587" s="10">
        <f>Github!G$532</f>
        <v>35</v>
      </c>
      <c r="E1587" s="10">
        <f>Github!F$532+Github!G$532</f>
        <v>329</v>
      </c>
      <c r="F1587" s="12">
        <f t="shared" si="1"/>
        <v>8.4</v>
      </c>
      <c r="G1587" s="10" t="str">
        <f>Github!H$532</f>
        <v>Algorithms</v>
      </c>
      <c r="H1587" s="13" t="str">
        <f>SUBSTITUTE(Github!L$532, ";", ", ")</f>
        <v>Array, Hash Table, Matrix, </v>
      </c>
      <c r="I1587" s="10" t="str">
        <f>Github!E$532</f>
        <v>Medium</v>
      </c>
      <c r="J1587" s="10" t="str">
        <f>IF(TRIM(Github!D$532)="TRUE","FALSE","TRUE")</f>
        <v>FALSE</v>
      </c>
      <c r="K1587" s="10" t="b">
        <f>Github!M$532</f>
        <v>0</v>
      </c>
      <c r="L1587" s="10" t="b">
        <f>Github!N$532</f>
        <v>0</v>
      </c>
      <c r="M1587" s="10" t="str">
        <f>ROUND(Github!O$532, 2)&amp;"%"</f>
        <v>60.62%</v>
      </c>
      <c r="N1587" s="10">
        <f>Github!P$532</f>
        <v>30253</v>
      </c>
      <c r="O1587" s="10">
        <f>Github!Q$532</f>
        <v>49908</v>
      </c>
    </row>
    <row r="1588">
      <c r="A1588" s="10">
        <f>Github!J$1153</f>
        <v>1152</v>
      </c>
      <c r="B1588" s="11" t="str">
        <f>HYPERLINK(CONCAT("http://leetcode.com/problems/",Github!C$1153), Github!B$1153)</f>
        <v>Analyze User Website Visit Pattern</v>
      </c>
      <c r="C1588" s="10">
        <f>Github!F$1153</f>
        <v>294</v>
      </c>
      <c r="D1588" s="10">
        <f>Github!G$1153</f>
        <v>2553</v>
      </c>
      <c r="E1588" s="10">
        <f>Github!F$1153+Github!G$1153</f>
        <v>2847</v>
      </c>
      <c r="F1588" s="12">
        <f t="shared" si="1"/>
        <v>0.12</v>
      </c>
      <c r="G1588" s="10" t="str">
        <f>Github!H$1153</f>
        <v>Algorithms</v>
      </c>
      <c r="H1588" s="13" t="str">
        <f>SUBSTITUTE(Github!L$1153, ";", ", ")</f>
        <v>Array, Hash Table, Sorting, </v>
      </c>
      <c r="I1588" s="10" t="str">
        <f>Github!E$1153</f>
        <v>Medium</v>
      </c>
      <c r="J1588" s="10" t="str">
        <f>IF(TRIM(Github!D$1153)="TRUE","FALSE","TRUE")</f>
        <v>FALSE</v>
      </c>
      <c r="K1588" s="10" t="b">
        <f>Github!M$1153</f>
        <v>0</v>
      </c>
      <c r="L1588" s="10" t="b">
        <f>Github!N$1153</f>
        <v>0</v>
      </c>
      <c r="M1588" s="10" t="str">
        <f>ROUND(Github!O$1153, 2)&amp;"%"</f>
        <v>43.53%</v>
      </c>
      <c r="N1588" s="10">
        <f>Github!P$1153</f>
        <v>57476</v>
      </c>
      <c r="O1588" s="10">
        <f>Github!Q$1153</f>
        <v>132023</v>
      </c>
    </row>
    <row r="1589">
      <c r="A1589" s="10">
        <f>Github!J$1836</f>
        <v>1835</v>
      </c>
      <c r="B1589" s="11" t="str">
        <f>HYPERLINK(CONCAT("http://leetcode.com/problems/",Github!C$1836), Github!B$1836)</f>
        <v>Find XOR Sum of All Pairs Bitwise AND</v>
      </c>
      <c r="C1589" s="10">
        <f>Github!F$1836</f>
        <v>294</v>
      </c>
      <c r="D1589" s="10">
        <f>Github!G$1836</f>
        <v>32</v>
      </c>
      <c r="E1589" s="10">
        <f>Github!F$1836+Github!G$1836</f>
        <v>326</v>
      </c>
      <c r="F1589" s="12">
        <f t="shared" si="1"/>
        <v>9.19</v>
      </c>
      <c r="G1589" s="10" t="str">
        <f>Github!H$1836</f>
        <v>Algorithms</v>
      </c>
      <c r="H1589" s="13" t="str">
        <f>SUBSTITUTE(Github!L$1836, ";", ", ")</f>
        <v>Array, Math, Bit Manipulation, </v>
      </c>
      <c r="I1589" s="10" t="str">
        <f>Github!E$1836</f>
        <v>Hard</v>
      </c>
      <c r="J1589" s="10" t="str">
        <f>IF(TRIM(Github!D$1836)="TRUE","FALSE","TRUE")</f>
        <v>TRUE</v>
      </c>
      <c r="K1589" s="10" t="b">
        <f>Github!M$1836</f>
        <v>0</v>
      </c>
      <c r="L1589" s="10" t="b">
        <f>Github!N$1836</f>
        <v>0</v>
      </c>
      <c r="M1589" s="10" t="str">
        <f>ROUND(Github!O$1836, 2)&amp;"%"</f>
        <v>58.76%</v>
      </c>
      <c r="N1589" s="10">
        <f>Github!P$1836</f>
        <v>10033</v>
      </c>
      <c r="O1589" s="10">
        <f>Github!Q$1836</f>
        <v>17074</v>
      </c>
    </row>
    <row r="1590">
      <c r="A1590" s="10">
        <f>Github!J$2150</f>
        <v>2149</v>
      </c>
      <c r="B1590" s="11" t="str">
        <f>HYPERLINK(CONCAT("http://leetcode.com/problems/",Github!C$2150), Github!B$2150)</f>
        <v>Rearrange Array Elements by Sign</v>
      </c>
      <c r="C1590" s="10">
        <f>Github!F$2150</f>
        <v>294</v>
      </c>
      <c r="D1590" s="10">
        <f>Github!G$2150</f>
        <v>16</v>
      </c>
      <c r="E1590" s="10">
        <f>Github!F$2150+Github!G$2150</f>
        <v>310</v>
      </c>
      <c r="F1590" s="12">
        <f t="shared" si="1"/>
        <v>18.38</v>
      </c>
      <c r="G1590" s="10" t="str">
        <f>Github!H$2150</f>
        <v>Algorithms</v>
      </c>
      <c r="H1590" s="13" t="str">
        <f>SUBSTITUTE(Github!L$2150, ";", ", ")</f>
        <v>Array, Two Pointers, Simulation, </v>
      </c>
      <c r="I1590" s="10" t="str">
        <f>Github!E$2150</f>
        <v>Medium</v>
      </c>
      <c r="J1590" s="10" t="str">
        <f>IF(TRIM(Github!D$2150)="TRUE","FALSE","TRUE")</f>
        <v>TRUE</v>
      </c>
      <c r="K1590" s="10" t="b">
        <f>Github!M$2150</f>
        <v>0</v>
      </c>
      <c r="L1590" s="10" t="b">
        <f>Github!N$2150</f>
        <v>0</v>
      </c>
      <c r="M1590" s="10" t="str">
        <f>ROUND(Github!O$2150, 2)&amp;"%"</f>
        <v>81.92%</v>
      </c>
      <c r="N1590" s="10">
        <f>Github!P$2150</f>
        <v>24130</v>
      </c>
      <c r="O1590" s="10">
        <f>Github!Q$2150</f>
        <v>29454</v>
      </c>
    </row>
    <row r="1591">
      <c r="A1591" s="10">
        <f>Github!J$1375</f>
        <v>1374</v>
      </c>
      <c r="B1591" s="11" t="str">
        <f>HYPERLINK(CONCAT("http://leetcode.com/problems/",Github!C$1375), Github!B$1375)</f>
        <v>Generate a String With Characters That Have Odd Counts</v>
      </c>
      <c r="C1591" s="10">
        <f>Github!F$1375</f>
        <v>293</v>
      </c>
      <c r="D1591" s="10">
        <f>Github!G$1375</f>
        <v>963</v>
      </c>
      <c r="E1591" s="10">
        <f>Github!F$1375+Github!G$1375</f>
        <v>1256</v>
      </c>
      <c r="F1591" s="12">
        <f t="shared" si="1"/>
        <v>0.3</v>
      </c>
      <c r="G1591" s="10" t="str">
        <f>Github!H$1375</f>
        <v>Algorithms</v>
      </c>
      <c r="H1591" s="13" t="str">
        <f>SUBSTITUTE(Github!L$1375, ";", ", ")</f>
        <v>String, </v>
      </c>
      <c r="I1591" s="10" t="str">
        <f>Github!E$1375</f>
        <v>Easy</v>
      </c>
      <c r="J1591" s="10" t="str">
        <f>IF(TRIM(Github!D$1375)="TRUE","FALSE","TRUE")</f>
        <v>TRUE</v>
      </c>
      <c r="K1591" s="10" t="b">
        <f>Github!M$1375</f>
        <v>0</v>
      </c>
      <c r="L1591" s="10" t="b">
        <f>Github!N$1375</f>
        <v>0</v>
      </c>
      <c r="M1591" s="10" t="str">
        <f>ROUND(Github!O$1375, 2)&amp;"%"</f>
        <v>77.31%</v>
      </c>
      <c r="N1591" s="10">
        <f>Github!P$1375</f>
        <v>63634</v>
      </c>
      <c r="O1591" s="10">
        <f>Github!Q$1375</f>
        <v>82309</v>
      </c>
    </row>
    <row r="1592">
      <c r="A1592" s="10">
        <f>Github!J$1782</f>
        <v>1781</v>
      </c>
      <c r="B1592" s="11" t="str">
        <f>HYPERLINK(CONCAT("http://leetcode.com/problems/",Github!C$1782), Github!B$1782)</f>
        <v>Sum of Beauty of All Substrings</v>
      </c>
      <c r="C1592" s="10">
        <f>Github!F$1782</f>
        <v>293</v>
      </c>
      <c r="D1592" s="10">
        <f>Github!G$1782</f>
        <v>79</v>
      </c>
      <c r="E1592" s="10">
        <f>Github!F$1782+Github!G$1782</f>
        <v>372</v>
      </c>
      <c r="F1592" s="12">
        <f t="shared" si="1"/>
        <v>3.71</v>
      </c>
      <c r="G1592" s="10" t="str">
        <f>Github!H$1782</f>
        <v>Algorithms</v>
      </c>
      <c r="H1592" s="13" t="str">
        <f>SUBSTITUTE(Github!L$1782, ";", ", ")</f>
        <v>Hash Table, String, Counting, </v>
      </c>
      <c r="I1592" s="10" t="str">
        <f>Github!E$1782</f>
        <v>Medium</v>
      </c>
      <c r="J1592" s="10" t="str">
        <f>IF(TRIM(Github!D$1782)="TRUE","FALSE","TRUE")</f>
        <v>TRUE</v>
      </c>
      <c r="K1592" s="10" t="b">
        <f>Github!M$1782</f>
        <v>0</v>
      </c>
      <c r="L1592" s="10" t="b">
        <f>Github!N$1782</f>
        <v>0</v>
      </c>
      <c r="M1592" s="10" t="str">
        <f>ROUND(Github!O$1782, 2)&amp;"%"</f>
        <v>59.82%</v>
      </c>
      <c r="N1592" s="10">
        <f>Github!P$1782</f>
        <v>12509</v>
      </c>
      <c r="O1592" s="10">
        <f>Github!Q$1782</f>
        <v>20910</v>
      </c>
    </row>
    <row r="1593">
      <c r="A1593" s="10">
        <f>Github!J$1922</f>
        <v>1921</v>
      </c>
      <c r="B1593" s="11" t="str">
        <f>HYPERLINK(CONCAT("http://leetcode.com/problems/",Github!C$1922), Github!B$1922)</f>
        <v>Eliminate Maximum Number of Monsters</v>
      </c>
      <c r="C1593" s="10">
        <f>Github!F$1922</f>
        <v>294</v>
      </c>
      <c r="D1593" s="10">
        <f>Github!G$1922</f>
        <v>47</v>
      </c>
      <c r="E1593" s="10">
        <f>Github!F$1922+Github!G$1922</f>
        <v>341</v>
      </c>
      <c r="F1593" s="12">
        <f t="shared" si="1"/>
        <v>6.26</v>
      </c>
      <c r="G1593" s="10" t="str">
        <f>Github!H$1922</f>
        <v>Algorithms</v>
      </c>
      <c r="H1593" s="13" t="str">
        <f>SUBSTITUTE(Github!L$1922, ";", ", ")</f>
        <v>Array, Greedy, Sorting, </v>
      </c>
      <c r="I1593" s="10" t="str">
        <f>Github!E$1922</f>
        <v>Medium</v>
      </c>
      <c r="J1593" s="10" t="str">
        <f>IF(TRIM(Github!D$1922)="TRUE","FALSE","TRUE")</f>
        <v>TRUE</v>
      </c>
      <c r="K1593" s="10" t="b">
        <f>Github!M$1922</f>
        <v>0</v>
      </c>
      <c r="L1593" s="10" t="b">
        <f>Github!N$1922</f>
        <v>0</v>
      </c>
      <c r="M1593" s="10" t="str">
        <f>ROUND(Github!O$1922, 2)&amp;"%"</f>
        <v>37.45%</v>
      </c>
      <c r="N1593" s="10">
        <f>Github!P$1922</f>
        <v>15276</v>
      </c>
      <c r="O1593" s="10">
        <f>Github!Q$1922</f>
        <v>40785</v>
      </c>
    </row>
    <row r="1594">
      <c r="A1594" s="10">
        <f>Github!J$2051</f>
        <v>2050</v>
      </c>
      <c r="B1594" s="11" t="str">
        <f>HYPERLINK(CONCAT("http://leetcode.com/problems/",Github!C$2051), Github!B$2051)</f>
        <v>Parallel Courses III</v>
      </c>
      <c r="C1594" s="10">
        <f>Github!F$2051</f>
        <v>293</v>
      </c>
      <c r="D1594" s="10">
        <f>Github!G$2051</f>
        <v>7</v>
      </c>
      <c r="E1594" s="10">
        <f>Github!F$2051+Github!G$2051</f>
        <v>300</v>
      </c>
      <c r="F1594" s="12">
        <f t="shared" si="1"/>
        <v>41.86</v>
      </c>
      <c r="G1594" s="10" t="str">
        <f>Github!H$2051</f>
        <v>Algorithms</v>
      </c>
      <c r="H1594" s="13" t="str">
        <f>SUBSTITUTE(Github!L$2051, ";", ", ")</f>
        <v>Dynamic Programming, Graph, Topological Sort, </v>
      </c>
      <c r="I1594" s="10" t="str">
        <f>Github!E$2051</f>
        <v>Hard</v>
      </c>
      <c r="J1594" s="10" t="str">
        <f>IF(TRIM(Github!D$2051)="TRUE","FALSE","TRUE")</f>
        <v>TRUE</v>
      </c>
      <c r="K1594" s="10" t="b">
        <f>Github!M$2051</f>
        <v>0</v>
      </c>
      <c r="L1594" s="10" t="b">
        <f>Github!N$2051</f>
        <v>0</v>
      </c>
      <c r="M1594" s="10" t="str">
        <f>ROUND(Github!O$2051, 2)&amp;"%"</f>
        <v>60.17%</v>
      </c>
      <c r="N1594" s="10">
        <f>Github!P$2051</f>
        <v>7815</v>
      </c>
      <c r="O1594" s="10">
        <f>Github!Q$2051</f>
        <v>12989</v>
      </c>
    </row>
    <row r="1595">
      <c r="A1595" s="10">
        <f>Github!J$2074</f>
        <v>2073</v>
      </c>
      <c r="B1595" s="11" t="str">
        <f>HYPERLINK(CONCAT("http://leetcode.com/problems/",Github!C$2074), Github!B$2074)</f>
        <v>Time Needed to Buy Tickets</v>
      </c>
      <c r="C1595" s="10">
        <f>Github!F$2074</f>
        <v>293</v>
      </c>
      <c r="D1595" s="10">
        <f>Github!G$2074</f>
        <v>18</v>
      </c>
      <c r="E1595" s="10">
        <f>Github!F$2074+Github!G$2074</f>
        <v>311</v>
      </c>
      <c r="F1595" s="12">
        <f t="shared" si="1"/>
        <v>16.28</v>
      </c>
      <c r="G1595" s="10" t="str">
        <f>Github!H$2074</f>
        <v>Algorithms</v>
      </c>
      <c r="H1595" s="13" t="str">
        <f>SUBSTITUTE(Github!L$2074, ";", ", ")</f>
        <v>Array, Queue, Simulation, </v>
      </c>
      <c r="I1595" s="10" t="str">
        <f>Github!E$2074</f>
        <v>Easy</v>
      </c>
      <c r="J1595" s="10" t="str">
        <f>IF(TRIM(Github!D$2074)="TRUE","FALSE","TRUE")</f>
        <v>TRUE</v>
      </c>
      <c r="K1595" s="10" t="b">
        <f>Github!M$2074</f>
        <v>0</v>
      </c>
      <c r="L1595" s="10" t="b">
        <f>Github!N$2074</f>
        <v>0</v>
      </c>
      <c r="M1595" s="10" t="str">
        <f>ROUND(Github!O$2074, 2)&amp;"%"</f>
        <v>61.99%</v>
      </c>
      <c r="N1595" s="10">
        <f>Github!P$2074</f>
        <v>18616</v>
      </c>
      <c r="O1595" s="10">
        <f>Github!Q$2074</f>
        <v>30029</v>
      </c>
    </row>
    <row r="1596">
      <c r="A1596" s="10">
        <f>Github!J$2077</f>
        <v>2076</v>
      </c>
      <c r="B1596" s="11" t="str">
        <f>HYPERLINK(CONCAT("http://leetcode.com/problems/",Github!C$2077), Github!B$2077)</f>
        <v>Process Restricted Friend Requests</v>
      </c>
      <c r="C1596" s="10">
        <f>Github!F$2077</f>
        <v>293</v>
      </c>
      <c r="D1596" s="10">
        <f>Github!G$2077</f>
        <v>3</v>
      </c>
      <c r="E1596" s="10">
        <f>Github!F$2077+Github!G$2077</f>
        <v>296</v>
      </c>
      <c r="F1596" s="12">
        <f t="shared" si="1"/>
        <v>97.67</v>
      </c>
      <c r="G1596" s="10" t="str">
        <f>Github!H$2077</f>
        <v>Algorithms</v>
      </c>
      <c r="H1596" s="13" t="str">
        <f>SUBSTITUTE(Github!L$2077, ";", ", ")</f>
        <v>Union Find, Graph, </v>
      </c>
      <c r="I1596" s="10" t="str">
        <f>Github!E$2077</f>
        <v>Hard</v>
      </c>
      <c r="J1596" s="10" t="str">
        <f>IF(TRIM(Github!D$2077)="TRUE","FALSE","TRUE")</f>
        <v>TRUE</v>
      </c>
      <c r="K1596" s="10" t="b">
        <f>Github!M$2077</f>
        <v>0</v>
      </c>
      <c r="L1596" s="10" t="b">
        <f>Github!N$2077</f>
        <v>0</v>
      </c>
      <c r="M1596" s="10" t="str">
        <f>ROUND(Github!O$2077, 2)&amp;"%"</f>
        <v>53.1%</v>
      </c>
      <c r="N1596" s="10">
        <f>Github!P$2077</f>
        <v>8209</v>
      </c>
      <c r="O1596" s="10">
        <f>Github!Q$2077</f>
        <v>15459</v>
      </c>
    </row>
    <row r="1597">
      <c r="A1597" s="10">
        <f>Github!J$964</f>
        <v>963</v>
      </c>
      <c r="B1597" s="11" t="str">
        <f>HYPERLINK(CONCAT("http://leetcode.com/problems/",Github!C$964), Github!B$964)</f>
        <v>Minimum Area Rectangle II</v>
      </c>
      <c r="C1597" s="10">
        <f>Github!F$964</f>
        <v>290</v>
      </c>
      <c r="D1597" s="10">
        <f>Github!G$964</f>
        <v>388</v>
      </c>
      <c r="E1597" s="10">
        <f>Github!F$964+Github!G$964</f>
        <v>678</v>
      </c>
      <c r="F1597" s="12">
        <f t="shared" si="1"/>
        <v>0.75</v>
      </c>
      <c r="G1597" s="10" t="str">
        <f>Github!H$964</f>
        <v>Algorithms</v>
      </c>
      <c r="H1597" s="13" t="str">
        <f>SUBSTITUTE(Github!L$964, ";", ", ")</f>
        <v>Array, Math, Geometry, </v>
      </c>
      <c r="I1597" s="10" t="str">
        <f>Github!E$964</f>
        <v>Medium</v>
      </c>
      <c r="J1597" s="10" t="str">
        <f>IF(TRIM(Github!D$964)="TRUE","FALSE","TRUE")</f>
        <v>TRUE</v>
      </c>
      <c r="K1597" s="10" t="b">
        <f>Github!M$964</f>
        <v>0</v>
      </c>
      <c r="L1597" s="10" t="b">
        <f>Github!N$964</f>
        <v>0</v>
      </c>
      <c r="M1597" s="10" t="str">
        <f>ROUND(Github!O$964, 2)&amp;"%"</f>
        <v>54.46%</v>
      </c>
      <c r="N1597" s="10">
        <f>Github!P$964</f>
        <v>22278</v>
      </c>
      <c r="O1597" s="10">
        <f>Github!Q$964</f>
        <v>40910</v>
      </c>
    </row>
    <row r="1598">
      <c r="A1598" s="10">
        <f>Github!J$2156</f>
        <v>2155</v>
      </c>
      <c r="B1598" s="11" t="str">
        <f>HYPERLINK(CONCAT("http://leetcode.com/problems/",Github!C$2156), Github!B$2156)</f>
        <v>All Divisions With the Highest Score of a Binary Array</v>
      </c>
      <c r="C1598" s="10">
        <f>Github!F$2156</f>
        <v>291</v>
      </c>
      <c r="D1598" s="10">
        <f>Github!G$2156</f>
        <v>8</v>
      </c>
      <c r="E1598" s="10">
        <f>Github!F$2156+Github!G$2156</f>
        <v>299</v>
      </c>
      <c r="F1598" s="12">
        <f t="shared" si="1"/>
        <v>36.38</v>
      </c>
      <c r="G1598" s="10" t="str">
        <f>Github!H$2156</f>
        <v>Algorithms</v>
      </c>
      <c r="H1598" s="13" t="str">
        <f>SUBSTITUTE(Github!L$2156, ";", ", ")</f>
        <v>Array, </v>
      </c>
      <c r="I1598" s="10" t="str">
        <f>Github!E$2156</f>
        <v>Medium</v>
      </c>
      <c r="J1598" s="10" t="str">
        <f>IF(TRIM(Github!D$2156)="TRUE","FALSE","TRUE")</f>
        <v>TRUE</v>
      </c>
      <c r="K1598" s="10" t="b">
        <f>Github!M$2156</f>
        <v>0</v>
      </c>
      <c r="L1598" s="10" t="b">
        <f>Github!N$2156</f>
        <v>0</v>
      </c>
      <c r="M1598" s="10" t="str">
        <f>ROUND(Github!O$2156, 2)&amp;"%"</f>
        <v>61.58%</v>
      </c>
      <c r="N1598" s="10">
        <f>Github!P$2156</f>
        <v>18285</v>
      </c>
      <c r="O1598" s="10">
        <f>Github!Q$2156</f>
        <v>29695</v>
      </c>
    </row>
    <row r="1599">
      <c r="A1599" s="10">
        <f>Github!J$528</f>
        <v>527</v>
      </c>
      <c r="B1599" s="11" t="str">
        <f>HYPERLINK(CONCAT("http://leetcode.com/problems/",Github!C$528), Github!B$528)</f>
        <v>Word Abbreviation</v>
      </c>
      <c r="C1599" s="10">
        <f>Github!F$528</f>
        <v>289</v>
      </c>
      <c r="D1599" s="10">
        <f>Github!G$528</f>
        <v>194</v>
      </c>
      <c r="E1599" s="10">
        <f>Github!F$528+Github!G$528</f>
        <v>483</v>
      </c>
      <c r="F1599" s="12">
        <f t="shared" si="1"/>
        <v>1.49</v>
      </c>
      <c r="G1599" s="10" t="str">
        <f>Github!H$528</f>
        <v>Algorithms</v>
      </c>
      <c r="H1599" s="13" t="str">
        <f>SUBSTITUTE(Github!L$528, ";", ", ")</f>
        <v>Array, String, Greedy, Trie, Sorting, </v>
      </c>
      <c r="I1599" s="10" t="str">
        <f>Github!E$528</f>
        <v>Hard</v>
      </c>
      <c r="J1599" s="10" t="str">
        <f>IF(TRIM(Github!D$528)="TRUE","FALSE","TRUE")</f>
        <v>FALSE</v>
      </c>
      <c r="K1599" s="10" t="b">
        <f>Github!M$528</f>
        <v>1</v>
      </c>
      <c r="L1599" s="10" t="b">
        <f>Github!N$528</f>
        <v>0</v>
      </c>
      <c r="M1599" s="10" t="str">
        <f>ROUND(Github!O$528, 2)&amp;"%"</f>
        <v>58.02%</v>
      </c>
      <c r="N1599" s="10">
        <f>Github!P$528</f>
        <v>21542</v>
      </c>
      <c r="O1599" s="10">
        <f>Github!Q$528</f>
        <v>37128</v>
      </c>
    </row>
    <row r="1600">
      <c r="A1600" s="10">
        <f>Github!J$794</f>
        <v>793</v>
      </c>
      <c r="B1600" s="11" t="str">
        <f>HYPERLINK(CONCAT("http://leetcode.com/problems/",Github!C$794), Github!B$794)</f>
        <v>Preimage Size of Factorial Zeroes Function</v>
      </c>
      <c r="C1600" s="10">
        <f>Github!F$794</f>
        <v>289</v>
      </c>
      <c r="D1600" s="10">
        <f>Github!G$794</f>
        <v>68</v>
      </c>
      <c r="E1600" s="10">
        <f>Github!F$794+Github!G$794</f>
        <v>357</v>
      </c>
      <c r="F1600" s="12">
        <f t="shared" si="1"/>
        <v>4.25</v>
      </c>
      <c r="G1600" s="10" t="str">
        <f>Github!H$794</f>
        <v>Algorithms</v>
      </c>
      <c r="H1600" s="13" t="str">
        <f>SUBSTITUTE(Github!L$794, ";", ", ")</f>
        <v>Math, Binary Search, </v>
      </c>
      <c r="I1600" s="10" t="str">
        <f>Github!E$794</f>
        <v>Hard</v>
      </c>
      <c r="J1600" s="10" t="str">
        <f>IF(TRIM(Github!D$794)="TRUE","FALSE","TRUE")</f>
        <v>TRUE</v>
      </c>
      <c r="K1600" s="10" t="b">
        <f>Github!M$794</f>
        <v>1</v>
      </c>
      <c r="L1600" s="10" t="b">
        <f>Github!N$794</f>
        <v>0</v>
      </c>
      <c r="M1600" s="10" t="str">
        <f>ROUND(Github!O$794, 2)&amp;"%"</f>
        <v>41.54%</v>
      </c>
      <c r="N1600" s="10">
        <f>Github!P$794</f>
        <v>11812</v>
      </c>
      <c r="O1600" s="10">
        <f>Github!Q$794</f>
        <v>28435</v>
      </c>
    </row>
    <row r="1601">
      <c r="A1601" s="10">
        <f>Github!J$1258</f>
        <v>1257</v>
      </c>
      <c r="B1601" s="11" t="str">
        <f>HYPERLINK(CONCAT("http://leetcode.com/problems/",Github!C$1258), Github!B$1258)</f>
        <v>Smallest Common Region</v>
      </c>
      <c r="C1601" s="10">
        <f>Github!F$1258</f>
        <v>289</v>
      </c>
      <c r="D1601" s="10">
        <f>Github!G$1258</f>
        <v>26</v>
      </c>
      <c r="E1601" s="10">
        <f>Github!F$1258+Github!G$1258</f>
        <v>315</v>
      </c>
      <c r="F1601" s="12">
        <f t="shared" si="1"/>
        <v>11.12</v>
      </c>
      <c r="G1601" s="10" t="str">
        <f>Github!H$1258</f>
        <v>Algorithms</v>
      </c>
      <c r="H1601" s="13" t="str">
        <f>SUBSTITUTE(Github!L$1258, ";", ", ")</f>
        <v>Array, Hash Table, String, Tree, Depth-First Search, Breadth-First Search, </v>
      </c>
      <c r="I1601" s="10" t="str">
        <f>Github!E$1258</f>
        <v>Medium</v>
      </c>
      <c r="J1601" s="10" t="str">
        <f>IF(TRIM(Github!D$1258)="TRUE","FALSE","TRUE")</f>
        <v>FALSE</v>
      </c>
      <c r="K1601" s="10" t="b">
        <f>Github!M$1258</f>
        <v>0</v>
      </c>
      <c r="L1601" s="10" t="b">
        <f>Github!N$1258</f>
        <v>0</v>
      </c>
      <c r="M1601" s="10" t="str">
        <f>ROUND(Github!O$1258, 2)&amp;"%"</f>
        <v>62.72%</v>
      </c>
      <c r="N1601" s="10">
        <f>Github!P$1258</f>
        <v>13214</v>
      </c>
      <c r="O1601" s="10">
        <f>Github!Q$1258</f>
        <v>21068</v>
      </c>
    </row>
    <row r="1602">
      <c r="A1602" s="10">
        <f>Github!J$1151</f>
        <v>1150</v>
      </c>
      <c r="B1602" s="11" t="str">
        <f>HYPERLINK(CONCAT("http://leetcode.com/problems/",Github!C$1151), Github!B$1151)</f>
        <v>Check If a Number Is Majority Element in a Sorted Array</v>
      </c>
      <c r="C1602" s="10">
        <f>Github!F$1151</f>
        <v>288</v>
      </c>
      <c r="D1602" s="10">
        <f>Github!G$1151</f>
        <v>30</v>
      </c>
      <c r="E1602" s="10">
        <f>Github!F$1151+Github!G$1151</f>
        <v>318</v>
      </c>
      <c r="F1602" s="12">
        <f t="shared" si="1"/>
        <v>9.6</v>
      </c>
      <c r="G1602" s="10" t="str">
        <f>Github!H$1151</f>
        <v>Algorithms</v>
      </c>
      <c r="H1602" s="13" t="str">
        <f>SUBSTITUTE(Github!L$1151, ";", ", ")</f>
        <v>Array, Binary Search, </v>
      </c>
      <c r="I1602" s="10" t="str">
        <f>Github!E$1151</f>
        <v>Easy</v>
      </c>
      <c r="J1602" s="10" t="str">
        <f>IF(TRIM(Github!D$1151)="TRUE","FALSE","TRUE")</f>
        <v>FALSE</v>
      </c>
      <c r="K1602" s="10" t="b">
        <f>Github!M$1151</f>
        <v>0</v>
      </c>
      <c r="L1602" s="10" t="b">
        <f>Github!N$1151</f>
        <v>0</v>
      </c>
      <c r="M1602" s="10" t="str">
        <f>ROUND(Github!O$1151, 2)&amp;"%"</f>
        <v>56.71%</v>
      </c>
      <c r="N1602" s="10">
        <f>Github!P$1151</f>
        <v>30438</v>
      </c>
      <c r="O1602" s="10">
        <f>Github!Q$1151</f>
        <v>53671</v>
      </c>
    </row>
    <row r="1603">
      <c r="A1603" s="10">
        <f>Github!J$1308</f>
        <v>1307</v>
      </c>
      <c r="B1603" s="11" t="str">
        <f>HYPERLINK(CONCAT("http://leetcode.com/problems/",Github!C$1308), Github!B$1308)</f>
        <v>Verbal Arithmetic Puzzle</v>
      </c>
      <c r="C1603" s="10">
        <f>Github!F$1308</f>
        <v>288</v>
      </c>
      <c r="D1603" s="10">
        <f>Github!G$1308</f>
        <v>76</v>
      </c>
      <c r="E1603" s="10">
        <f>Github!F$1308+Github!G$1308</f>
        <v>364</v>
      </c>
      <c r="F1603" s="12">
        <f t="shared" si="1"/>
        <v>3.79</v>
      </c>
      <c r="G1603" s="10" t="str">
        <f>Github!H$1308</f>
        <v>Algorithms</v>
      </c>
      <c r="H1603" s="13" t="str">
        <f>SUBSTITUTE(Github!L$1308, ";", ", ")</f>
        <v>Array, Math, String, Backtracking, </v>
      </c>
      <c r="I1603" s="10" t="str">
        <f>Github!E$1308</f>
        <v>Hard</v>
      </c>
      <c r="J1603" s="10" t="str">
        <f>IF(TRIM(Github!D$1308)="TRUE","FALSE","TRUE")</f>
        <v>TRUE</v>
      </c>
      <c r="K1603" s="10" t="b">
        <f>Github!M$1308</f>
        <v>0</v>
      </c>
      <c r="L1603" s="10" t="b">
        <f>Github!N$1308</f>
        <v>0</v>
      </c>
      <c r="M1603" s="10" t="str">
        <f>ROUND(Github!O$1308, 2)&amp;"%"</f>
        <v>35.04%</v>
      </c>
      <c r="N1603" s="10">
        <f>Github!P$1308</f>
        <v>6677</v>
      </c>
      <c r="O1603" s="10">
        <f>Github!Q$1308</f>
        <v>19053</v>
      </c>
    </row>
    <row r="1604">
      <c r="A1604" s="10">
        <f>Github!J$2179</f>
        <v>2178</v>
      </c>
      <c r="B1604" s="11" t="str">
        <f>HYPERLINK(CONCAT("http://leetcode.com/problems/",Github!C$2179), Github!B$2179)</f>
        <v>Maximum Split of Positive Even Integers</v>
      </c>
      <c r="C1604" s="10">
        <f>Github!F$2179</f>
        <v>291</v>
      </c>
      <c r="D1604" s="10">
        <f>Github!G$2179</f>
        <v>37</v>
      </c>
      <c r="E1604" s="10">
        <f>Github!F$2179+Github!G$2179</f>
        <v>328</v>
      </c>
      <c r="F1604" s="12">
        <f t="shared" si="1"/>
        <v>7.86</v>
      </c>
      <c r="G1604" s="10" t="str">
        <f>Github!H$2179</f>
        <v>Algorithms</v>
      </c>
      <c r="H1604" s="13" t="str">
        <f>SUBSTITUTE(Github!L$2179, ";", ", ")</f>
        <v>Math, Greedy, </v>
      </c>
      <c r="I1604" s="10" t="str">
        <f>Github!E$2179</f>
        <v>Medium</v>
      </c>
      <c r="J1604" s="10" t="str">
        <f>IF(TRIM(Github!D$2179)="TRUE","FALSE","TRUE")</f>
        <v>TRUE</v>
      </c>
      <c r="K1604" s="10" t="b">
        <f>Github!M$2179</f>
        <v>0</v>
      </c>
      <c r="L1604" s="10" t="b">
        <f>Github!N$2179</f>
        <v>0</v>
      </c>
      <c r="M1604" s="10" t="str">
        <f>ROUND(Github!O$2179, 2)&amp;"%"</f>
        <v>53.56%</v>
      </c>
      <c r="N1604" s="10">
        <f>Github!P$2179</f>
        <v>12548</v>
      </c>
      <c r="O1604" s="10">
        <f>Github!Q$2179</f>
        <v>23426</v>
      </c>
    </row>
    <row r="1605">
      <c r="A1605" s="10">
        <f>Github!J$1491</f>
        <v>1490</v>
      </c>
      <c r="B1605" s="11" t="str">
        <f>HYPERLINK(CONCAT("http://leetcode.com/problems/",Github!C$1491), Github!B$1491)</f>
        <v>Clone N-ary Tree</v>
      </c>
      <c r="C1605" s="10">
        <f>Github!F$1491</f>
        <v>290</v>
      </c>
      <c r="D1605" s="10">
        <f>Github!G$1491</f>
        <v>13</v>
      </c>
      <c r="E1605" s="10">
        <f>Github!F$1491+Github!G$1491</f>
        <v>303</v>
      </c>
      <c r="F1605" s="12">
        <f t="shared" si="1"/>
        <v>22.31</v>
      </c>
      <c r="G1605" s="10" t="str">
        <f>Github!H$1491</f>
        <v>Algorithms</v>
      </c>
      <c r="H1605" s="13" t="str">
        <f>SUBSTITUTE(Github!L$1491, ";", ", ")</f>
        <v>Hash Table, Tree, Depth-First Search, Breadth-First Search, </v>
      </c>
      <c r="I1605" s="10" t="str">
        <f>Github!E$1491</f>
        <v>Medium</v>
      </c>
      <c r="J1605" s="10" t="str">
        <f>IF(TRIM(Github!D$1491)="TRUE","FALSE","TRUE")</f>
        <v>FALSE</v>
      </c>
      <c r="K1605" s="10" t="b">
        <f>Github!M$1491</f>
        <v>1</v>
      </c>
      <c r="L1605" s="10" t="b">
        <f>Github!N$1491</f>
        <v>0</v>
      </c>
      <c r="M1605" s="10" t="str">
        <f>ROUND(Github!O$1491, 2)&amp;"%"</f>
        <v>83.62%</v>
      </c>
      <c r="N1605" s="10">
        <f>Github!P$1491</f>
        <v>19519</v>
      </c>
      <c r="O1605" s="10">
        <f>Github!Q$1491</f>
        <v>23342</v>
      </c>
    </row>
    <row r="1606">
      <c r="A1606" s="10">
        <f>Github!J$1607</f>
        <v>1606</v>
      </c>
      <c r="B1606" s="11" t="str">
        <f>HYPERLINK(CONCAT("http://leetcode.com/problems/",Github!C$1607), Github!B$1607)</f>
        <v>Find Servers That Handled Most Number of Requests</v>
      </c>
      <c r="C1606" s="10">
        <f>Github!F$1607</f>
        <v>288</v>
      </c>
      <c r="D1606" s="10">
        <f>Github!G$1607</f>
        <v>11</v>
      </c>
      <c r="E1606" s="10">
        <f>Github!F$1607+Github!G$1607</f>
        <v>299</v>
      </c>
      <c r="F1606" s="12">
        <f t="shared" si="1"/>
        <v>26.18</v>
      </c>
      <c r="G1606" s="10" t="str">
        <f>Github!H$1607</f>
        <v>Algorithms</v>
      </c>
      <c r="H1606" s="13" t="str">
        <f>SUBSTITUTE(Github!L$1607, ";", ", ")</f>
        <v>Array, Greedy, Heap (Priority Queue), Ordered Set, </v>
      </c>
      <c r="I1606" s="10" t="str">
        <f>Github!E$1607</f>
        <v>Hard</v>
      </c>
      <c r="J1606" s="10" t="str">
        <f>IF(TRIM(Github!D$1607)="TRUE","FALSE","TRUE")</f>
        <v>TRUE</v>
      </c>
      <c r="K1606" s="10" t="b">
        <f>Github!M$1607</f>
        <v>0</v>
      </c>
      <c r="L1606" s="10" t="b">
        <f>Github!N$1607</f>
        <v>0</v>
      </c>
      <c r="M1606" s="10" t="str">
        <f>ROUND(Github!O$1607, 2)&amp;"%"</f>
        <v>40.48%</v>
      </c>
      <c r="N1606" s="10">
        <f>Github!P$1607</f>
        <v>6703</v>
      </c>
      <c r="O1606" s="10">
        <f>Github!Q$1607</f>
        <v>16557</v>
      </c>
    </row>
    <row r="1607">
      <c r="A1607" s="10">
        <f>Github!J$2101</f>
        <v>2100</v>
      </c>
      <c r="B1607" s="11" t="str">
        <f>HYPERLINK(CONCAT("http://leetcode.com/problems/",Github!C$2101), Github!B$2101)</f>
        <v>Find Good Days to Rob the Bank</v>
      </c>
      <c r="C1607" s="10">
        <f>Github!F$2101</f>
        <v>288</v>
      </c>
      <c r="D1607" s="10">
        <f>Github!G$2101</f>
        <v>14</v>
      </c>
      <c r="E1607" s="10">
        <f>Github!F$2101+Github!G$2101</f>
        <v>302</v>
      </c>
      <c r="F1607" s="12">
        <f t="shared" si="1"/>
        <v>20.57</v>
      </c>
      <c r="G1607" s="10" t="str">
        <f>Github!H$2101</f>
        <v>Algorithms</v>
      </c>
      <c r="H1607" s="13" t="str">
        <f>SUBSTITUTE(Github!L$2101, ";", ", ")</f>
        <v>Array, Dynamic Programming, Prefix Sum, </v>
      </c>
      <c r="I1607" s="10" t="str">
        <f>Github!E$2101</f>
        <v>Medium</v>
      </c>
      <c r="J1607" s="10" t="str">
        <f>IF(TRIM(Github!D$2101)="TRUE","FALSE","TRUE")</f>
        <v>TRUE</v>
      </c>
      <c r="K1607" s="10" t="b">
        <f>Github!M$2101</f>
        <v>0</v>
      </c>
      <c r="L1607" s="10" t="b">
        <f>Github!N$2101</f>
        <v>0</v>
      </c>
      <c r="M1607" s="10" t="str">
        <f>ROUND(Github!O$2101, 2)&amp;"%"</f>
        <v>46.39%</v>
      </c>
      <c r="N1607" s="10">
        <f>Github!P$2101</f>
        <v>8480</v>
      </c>
      <c r="O1607" s="10">
        <f>Github!Q$2101</f>
        <v>18280</v>
      </c>
    </row>
    <row r="1608">
      <c r="A1608" s="10">
        <f>Github!J$520</f>
        <v>519</v>
      </c>
      <c r="B1608" s="11" t="str">
        <f>HYPERLINK(CONCAT("http://leetcode.com/problems/",Github!C$520), Github!B$520)</f>
        <v>Random Flip Matrix</v>
      </c>
      <c r="C1608" s="10">
        <f>Github!F$520</f>
        <v>286</v>
      </c>
      <c r="D1608" s="10">
        <f>Github!G$520</f>
        <v>86</v>
      </c>
      <c r="E1608" s="10">
        <f>Github!F$520+Github!G$520</f>
        <v>372</v>
      </c>
      <c r="F1608" s="12">
        <f t="shared" si="1"/>
        <v>3.33</v>
      </c>
      <c r="G1608" s="10" t="str">
        <f>Github!H$520</f>
        <v>Algorithms</v>
      </c>
      <c r="H1608" s="13" t="str">
        <f>SUBSTITUTE(Github!L$520, ";", ", ")</f>
        <v>Hash Table, Math, Reservoir Sampling, Randomized, </v>
      </c>
      <c r="I1608" s="10" t="str">
        <f>Github!E$520</f>
        <v>Medium</v>
      </c>
      <c r="J1608" s="10" t="str">
        <f>IF(TRIM(Github!D$520)="TRUE","FALSE","TRUE")</f>
        <v>TRUE</v>
      </c>
      <c r="K1608" s="10" t="b">
        <f>Github!M$520</f>
        <v>0</v>
      </c>
      <c r="L1608" s="10" t="b">
        <f>Github!N$520</f>
        <v>0</v>
      </c>
      <c r="M1608" s="10" t="str">
        <f>ROUND(Github!O$520, 2)&amp;"%"</f>
        <v>38.92%</v>
      </c>
      <c r="N1608" s="10">
        <f>Github!P$520</f>
        <v>12987</v>
      </c>
      <c r="O1608" s="10">
        <f>Github!Q$520</f>
        <v>33367</v>
      </c>
    </row>
    <row r="1609">
      <c r="A1609" s="10">
        <f>Github!J$1739</f>
        <v>1738</v>
      </c>
      <c r="B1609" s="11" t="str">
        <f>HYPERLINK(CONCAT("http://leetcode.com/problems/",Github!C$1739), Github!B$1739)</f>
        <v>Find Kth Largest XOR Coordinate Value</v>
      </c>
      <c r="C1609" s="10">
        <f>Github!F$1739</f>
        <v>286</v>
      </c>
      <c r="D1609" s="10">
        <f>Github!G$1739</f>
        <v>43</v>
      </c>
      <c r="E1609" s="10">
        <f>Github!F$1739+Github!G$1739</f>
        <v>329</v>
      </c>
      <c r="F1609" s="12">
        <f t="shared" si="1"/>
        <v>6.65</v>
      </c>
      <c r="G1609" s="10" t="str">
        <f>Github!H$1739</f>
        <v>Algorithms</v>
      </c>
      <c r="H1609" s="13" t="str">
        <f>SUBSTITUTE(Github!L$1739, ";", ", ")</f>
        <v>Array, Divide and Conquer, Bit Manipulation, Heap (Priority Queue), Matrix, Prefix Sum, Quickselect, </v>
      </c>
      <c r="I1609" s="10" t="str">
        <f>Github!E$1739</f>
        <v>Medium</v>
      </c>
      <c r="J1609" s="10" t="str">
        <f>IF(TRIM(Github!D$1739)="TRUE","FALSE","TRUE")</f>
        <v>TRUE</v>
      </c>
      <c r="K1609" s="10" t="b">
        <f>Github!M$1739</f>
        <v>0</v>
      </c>
      <c r="L1609" s="10" t="b">
        <f>Github!N$1739</f>
        <v>0</v>
      </c>
      <c r="M1609" s="10" t="str">
        <f>ROUND(Github!O$1739, 2)&amp;"%"</f>
        <v>62.2%</v>
      </c>
      <c r="N1609" s="10">
        <f>Github!P$1739</f>
        <v>13708</v>
      </c>
      <c r="O1609" s="10">
        <f>Github!Q$1739</f>
        <v>22040</v>
      </c>
    </row>
    <row r="1610">
      <c r="A1610" s="10">
        <f>Github!J$2152</f>
        <v>2151</v>
      </c>
      <c r="B1610" s="11" t="str">
        <f>HYPERLINK(CONCAT("http://leetcode.com/problems/",Github!C$2152), Github!B$2152)</f>
        <v>Maximum Good People Based on Statements</v>
      </c>
      <c r="C1610" s="10">
        <f>Github!F$2152</f>
        <v>286</v>
      </c>
      <c r="D1610" s="10">
        <f>Github!G$2152</f>
        <v>63</v>
      </c>
      <c r="E1610" s="10">
        <f>Github!F$2152+Github!G$2152</f>
        <v>349</v>
      </c>
      <c r="F1610" s="12">
        <f t="shared" si="1"/>
        <v>4.54</v>
      </c>
      <c r="G1610" s="10" t="str">
        <f>Github!H$2152</f>
        <v>Algorithms</v>
      </c>
      <c r="H1610" s="13" t="str">
        <f>SUBSTITUTE(Github!L$2152, ";", ", ")</f>
        <v>Array, Backtracking, Bit Manipulation, Enumeration, </v>
      </c>
      <c r="I1610" s="10" t="str">
        <f>Github!E$2152</f>
        <v>Hard</v>
      </c>
      <c r="J1610" s="10" t="str">
        <f>IF(TRIM(Github!D$2152)="TRUE","FALSE","TRUE")</f>
        <v>TRUE</v>
      </c>
      <c r="K1610" s="10" t="b">
        <f>Github!M$2152</f>
        <v>0</v>
      </c>
      <c r="L1610" s="10" t="b">
        <f>Github!N$2152</f>
        <v>0</v>
      </c>
      <c r="M1610" s="10" t="str">
        <f>ROUND(Github!O$2152, 2)&amp;"%"</f>
        <v>45.67%</v>
      </c>
      <c r="N1610" s="10">
        <f>Github!P$2152</f>
        <v>7832</v>
      </c>
      <c r="O1610" s="10">
        <f>Github!Q$2152</f>
        <v>17148</v>
      </c>
    </row>
    <row r="1611">
      <c r="A1611" s="10">
        <f>Github!J$467</f>
        <v>466</v>
      </c>
      <c r="B1611" s="11" t="str">
        <f>HYPERLINK(CONCAT("http://leetcode.com/problems/",Github!C$467), Github!B$467)</f>
        <v>Count The Repetitions</v>
      </c>
      <c r="C1611" s="10">
        <f>Github!F$467</f>
        <v>285</v>
      </c>
      <c r="D1611" s="10">
        <f>Github!G$467</f>
        <v>255</v>
      </c>
      <c r="E1611" s="10">
        <f>Github!F$467+Github!G$467</f>
        <v>540</v>
      </c>
      <c r="F1611" s="12">
        <f t="shared" si="1"/>
        <v>1.12</v>
      </c>
      <c r="G1611" s="10" t="str">
        <f>Github!H$467</f>
        <v>Algorithms</v>
      </c>
      <c r="H1611" s="13" t="str">
        <f>SUBSTITUTE(Github!L$467, ";", ", ")</f>
        <v>String, Dynamic Programming, </v>
      </c>
      <c r="I1611" s="10" t="str">
        <f>Github!E$467</f>
        <v>Hard</v>
      </c>
      <c r="J1611" s="10" t="str">
        <f>IF(TRIM(Github!D$467)="TRUE","FALSE","TRUE")</f>
        <v>TRUE</v>
      </c>
      <c r="K1611" s="10" t="b">
        <f>Github!M$467</f>
        <v>1</v>
      </c>
      <c r="L1611" s="10" t="b">
        <f>Github!N$467</f>
        <v>0</v>
      </c>
      <c r="M1611" s="10" t="str">
        <f>ROUND(Github!O$467, 2)&amp;"%"</f>
        <v>28.97%</v>
      </c>
      <c r="N1611" s="10">
        <f>Github!P$467</f>
        <v>13923</v>
      </c>
      <c r="O1611" s="10">
        <f>Github!Q$467</f>
        <v>48060</v>
      </c>
    </row>
    <row r="1612">
      <c r="A1612" s="10">
        <f>Github!J$1866</f>
        <v>1865</v>
      </c>
      <c r="B1612" s="11" t="str">
        <f>HYPERLINK(CONCAT("http://leetcode.com/problems/",Github!C$1866), Github!B$1866)</f>
        <v>Finding Pairs With a Certain Sum</v>
      </c>
      <c r="C1612" s="10">
        <f>Github!F$1866</f>
        <v>285</v>
      </c>
      <c r="D1612" s="10">
        <f>Github!G$1866</f>
        <v>73</v>
      </c>
      <c r="E1612" s="10">
        <f>Github!F$1866+Github!G$1866</f>
        <v>358</v>
      </c>
      <c r="F1612" s="12">
        <f t="shared" si="1"/>
        <v>3.9</v>
      </c>
      <c r="G1612" s="10" t="str">
        <f>Github!H$1866</f>
        <v>Algorithms</v>
      </c>
      <c r="H1612" s="13" t="str">
        <f>SUBSTITUTE(Github!L$1866, ";", ", ")</f>
        <v>Array, Hash Table, Design, </v>
      </c>
      <c r="I1612" s="10" t="str">
        <f>Github!E$1866</f>
        <v>Medium</v>
      </c>
      <c r="J1612" s="10" t="str">
        <f>IF(TRIM(Github!D$1866)="TRUE","FALSE","TRUE")</f>
        <v>TRUE</v>
      </c>
      <c r="K1612" s="10" t="b">
        <f>Github!M$1866</f>
        <v>0</v>
      </c>
      <c r="L1612" s="10" t="b">
        <f>Github!N$1866</f>
        <v>0</v>
      </c>
      <c r="M1612" s="10" t="str">
        <f>ROUND(Github!O$1866, 2)&amp;"%"</f>
        <v>48.8%</v>
      </c>
      <c r="N1612" s="10">
        <f>Github!P$1866</f>
        <v>14144</v>
      </c>
      <c r="O1612" s="10">
        <f>Github!Q$1866</f>
        <v>28985</v>
      </c>
    </row>
    <row r="1613">
      <c r="A1613" s="10">
        <f>Github!J$783</f>
        <v>782</v>
      </c>
      <c r="B1613" s="11" t="str">
        <f>HYPERLINK(CONCAT("http://leetcode.com/problems/",Github!C$783), Github!B$783)</f>
        <v>Transform to Chessboard</v>
      </c>
      <c r="C1613" s="10">
        <f>Github!F$783</f>
        <v>284</v>
      </c>
      <c r="D1613" s="10">
        <f>Github!G$783</f>
        <v>282</v>
      </c>
      <c r="E1613" s="10">
        <f>Github!F$783+Github!G$783</f>
        <v>566</v>
      </c>
      <c r="F1613" s="12">
        <f t="shared" si="1"/>
        <v>1.01</v>
      </c>
      <c r="G1613" s="10" t="str">
        <f>Github!H$783</f>
        <v>Algorithms</v>
      </c>
      <c r="H1613" s="13" t="str">
        <f>SUBSTITUTE(Github!L$783, ";", ", ")</f>
        <v>Array, Math, Bit Manipulation, Matrix, </v>
      </c>
      <c r="I1613" s="10" t="str">
        <f>Github!E$783</f>
        <v>Hard</v>
      </c>
      <c r="J1613" s="10" t="str">
        <f>IF(TRIM(Github!D$783)="TRUE","FALSE","TRUE")</f>
        <v>TRUE</v>
      </c>
      <c r="K1613" s="10" t="b">
        <f>Github!M$783</f>
        <v>1</v>
      </c>
      <c r="L1613" s="10" t="b">
        <f>Github!N$783</f>
        <v>0</v>
      </c>
      <c r="M1613" s="10" t="str">
        <f>ROUND(Github!O$783, 2)&amp;"%"</f>
        <v>52.05%</v>
      </c>
      <c r="N1613" s="10">
        <f>Github!P$783</f>
        <v>14848</v>
      </c>
      <c r="O1613" s="10">
        <f>Github!Q$783</f>
        <v>28525</v>
      </c>
    </row>
    <row r="1614">
      <c r="A1614" s="10">
        <f>Github!J$2157</f>
        <v>2156</v>
      </c>
      <c r="B1614" s="11" t="str">
        <f>HYPERLINK(CONCAT("http://leetcode.com/problems/",Github!C$2157), Github!B$2157)</f>
        <v>Find Substring With Given Hash Value</v>
      </c>
      <c r="C1614" s="10">
        <f>Github!F$2157</f>
        <v>286</v>
      </c>
      <c r="D1614" s="10">
        <f>Github!G$2157</f>
        <v>330</v>
      </c>
      <c r="E1614" s="10">
        <f>Github!F$2157+Github!G$2157</f>
        <v>616</v>
      </c>
      <c r="F1614" s="12">
        <f t="shared" si="1"/>
        <v>0.87</v>
      </c>
      <c r="G1614" s="10" t="str">
        <f>Github!H$2157</f>
        <v>Algorithms</v>
      </c>
      <c r="H1614" s="13" t="str">
        <f>SUBSTITUTE(Github!L$2157, ";", ", ")</f>
        <v>String, Sliding Window, Rolling Hash, Hash Function, </v>
      </c>
      <c r="I1614" s="10" t="str">
        <f>Github!E$2157</f>
        <v>Hard</v>
      </c>
      <c r="J1614" s="10" t="str">
        <f>IF(TRIM(Github!D$2157)="TRUE","FALSE","TRUE")</f>
        <v>TRUE</v>
      </c>
      <c r="K1614" s="10" t="b">
        <f>Github!M$2157</f>
        <v>0</v>
      </c>
      <c r="L1614" s="10" t="b">
        <f>Github!N$2157</f>
        <v>0</v>
      </c>
      <c r="M1614" s="10" t="str">
        <f>ROUND(Github!O$2157, 2)&amp;"%"</f>
        <v>20.23%</v>
      </c>
      <c r="N1614" s="10">
        <f>Github!P$2157</f>
        <v>8292</v>
      </c>
      <c r="O1614" s="10">
        <f>Github!Q$2157</f>
        <v>40997</v>
      </c>
    </row>
    <row r="1615">
      <c r="A1615" s="10">
        <f>Github!J$1618</f>
        <v>1617</v>
      </c>
      <c r="B1615" s="11" t="str">
        <f>HYPERLINK(CONCAT("http://leetcode.com/problems/",Github!C$1618), Github!B$1618)</f>
        <v>Count Subtrees With Max Distance Between Cities</v>
      </c>
      <c r="C1615" s="10">
        <f>Github!F$1618</f>
        <v>283</v>
      </c>
      <c r="D1615" s="10">
        <f>Github!G$1618</f>
        <v>27</v>
      </c>
      <c r="E1615" s="10">
        <f>Github!F$1618+Github!G$1618</f>
        <v>310</v>
      </c>
      <c r="F1615" s="12">
        <f t="shared" si="1"/>
        <v>10.48</v>
      </c>
      <c r="G1615" s="10" t="str">
        <f>Github!H$1618</f>
        <v>Algorithms</v>
      </c>
      <c r="H1615" s="13" t="str">
        <f>SUBSTITUTE(Github!L$1618, ";", ", ")</f>
        <v>Dynamic Programming, Bit Manipulation, Tree, Enumeration, Bitmask, </v>
      </c>
      <c r="I1615" s="10" t="str">
        <f>Github!E$1618</f>
        <v>Hard</v>
      </c>
      <c r="J1615" s="10" t="str">
        <f>IF(TRIM(Github!D$1618)="TRUE","FALSE","TRUE")</f>
        <v>TRUE</v>
      </c>
      <c r="K1615" s="10" t="b">
        <f>Github!M$1618</f>
        <v>0</v>
      </c>
      <c r="L1615" s="10" t="b">
        <f>Github!N$1618</f>
        <v>0</v>
      </c>
      <c r="M1615" s="10" t="str">
        <f>ROUND(Github!O$1618, 2)&amp;"%"</f>
        <v>65.04%</v>
      </c>
      <c r="N1615" s="10">
        <f>Github!P$1618</f>
        <v>5796</v>
      </c>
      <c r="O1615" s="10">
        <f>Github!Q$1618</f>
        <v>8911</v>
      </c>
    </row>
    <row r="1616">
      <c r="A1616" s="10">
        <f>Github!J$2034</f>
        <v>2033</v>
      </c>
      <c r="B1616" s="11" t="str">
        <f>HYPERLINK(CONCAT("http://leetcode.com/problems/",Github!C$2034), Github!B$2034)</f>
        <v>Minimum Operations to Make a Uni-Value Grid</v>
      </c>
      <c r="C1616" s="10">
        <f>Github!F$2034</f>
        <v>285</v>
      </c>
      <c r="D1616" s="10">
        <f>Github!G$2034</f>
        <v>22</v>
      </c>
      <c r="E1616" s="10">
        <f>Github!F$2034+Github!G$2034</f>
        <v>307</v>
      </c>
      <c r="F1616" s="12">
        <f t="shared" si="1"/>
        <v>12.95</v>
      </c>
      <c r="G1616" s="10" t="str">
        <f>Github!H$2034</f>
        <v>Algorithms</v>
      </c>
      <c r="H1616" s="13" t="str">
        <f>SUBSTITUTE(Github!L$2034, ";", ", ")</f>
        <v>Array, Math, Sorting, Matrix, </v>
      </c>
      <c r="I1616" s="10" t="str">
        <f>Github!E$2034</f>
        <v>Medium</v>
      </c>
      <c r="J1616" s="10" t="str">
        <f>IF(TRIM(Github!D$2034)="TRUE","FALSE","TRUE")</f>
        <v>TRUE</v>
      </c>
      <c r="K1616" s="10" t="b">
        <f>Github!M$2034</f>
        <v>0</v>
      </c>
      <c r="L1616" s="10" t="b">
        <f>Github!N$2034</f>
        <v>0</v>
      </c>
      <c r="M1616" s="10" t="str">
        <f>ROUND(Github!O$2034, 2)&amp;"%"</f>
        <v>49.62%</v>
      </c>
      <c r="N1616" s="10">
        <f>Github!P$2034</f>
        <v>12290</v>
      </c>
      <c r="O1616" s="10">
        <f>Github!Q$2034</f>
        <v>24766</v>
      </c>
    </row>
    <row r="1617">
      <c r="A1617" s="10">
        <f>Github!J$2087</f>
        <v>2086</v>
      </c>
      <c r="B1617" s="11" t="str">
        <f>HYPERLINK(CONCAT("http://leetcode.com/problems/",Github!C$2087), Github!B$2087)</f>
        <v>Minimum Number of Buckets Required to Collect Rainwater from Houses</v>
      </c>
      <c r="C1617" s="10">
        <f>Github!F$2087</f>
        <v>282</v>
      </c>
      <c r="D1617" s="10">
        <f>Github!G$2087</f>
        <v>13</v>
      </c>
      <c r="E1617" s="10">
        <f>Github!F$2087+Github!G$2087</f>
        <v>295</v>
      </c>
      <c r="F1617" s="12">
        <f t="shared" si="1"/>
        <v>21.69</v>
      </c>
      <c r="G1617" s="10" t="str">
        <f>Github!H$2087</f>
        <v>Algorithms</v>
      </c>
      <c r="H1617" s="13" t="str">
        <f>SUBSTITUTE(Github!L$2087, ";", ", ")</f>
        <v>String, Dynamic Programming, Greedy, </v>
      </c>
      <c r="I1617" s="10" t="str">
        <f>Github!E$2087</f>
        <v>Medium</v>
      </c>
      <c r="J1617" s="10" t="str">
        <f>IF(TRIM(Github!D$2087)="TRUE","FALSE","TRUE")</f>
        <v>TRUE</v>
      </c>
      <c r="K1617" s="10" t="b">
        <f>Github!M$2087</f>
        <v>0</v>
      </c>
      <c r="L1617" s="10" t="b">
        <f>Github!N$2087</f>
        <v>0</v>
      </c>
      <c r="M1617" s="10" t="str">
        <f>ROUND(Github!O$2087, 2)&amp;"%"</f>
        <v>45.25%</v>
      </c>
      <c r="N1617" s="10">
        <f>Github!P$2087</f>
        <v>8927</v>
      </c>
      <c r="O1617" s="10">
        <f>Github!Q$2087</f>
        <v>19727</v>
      </c>
    </row>
    <row r="1618">
      <c r="A1618" s="10">
        <f>Github!J$1041</f>
        <v>1040</v>
      </c>
      <c r="B1618" s="11" t="str">
        <f>HYPERLINK(CONCAT("http://leetcode.com/problems/",Github!C$1041), Github!B$1041)</f>
        <v>Moving Stones Until Consecutive II</v>
      </c>
      <c r="C1618" s="10">
        <f>Github!F$1041</f>
        <v>281</v>
      </c>
      <c r="D1618" s="10">
        <f>Github!G$1041</f>
        <v>493</v>
      </c>
      <c r="E1618" s="10">
        <f>Github!F$1041+Github!G$1041</f>
        <v>774</v>
      </c>
      <c r="F1618" s="12">
        <f t="shared" si="1"/>
        <v>0.57</v>
      </c>
      <c r="G1618" s="10" t="str">
        <f>Github!H$1041</f>
        <v>Algorithms</v>
      </c>
      <c r="H1618" s="13" t="str">
        <f>SUBSTITUTE(Github!L$1041, ";", ", ")</f>
        <v>Array, Math, Two Pointers, Sorting, </v>
      </c>
      <c r="I1618" s="10" t="str">
        <f>Github!E$1041</f>
        <v>Medium</v>
      </c>
      <c r="J1618" s="10" t="str">
        <f>IF(TRIM(Github!D$1041)="TRUE","FALSE","TRUE")</f>
        <v>TRUE</v>
      </c>
      <c r="K1618" s="10" t="b">
        <f>Github!M$1041</f>
        <v>0</v>
      </c>
      <c r="L1618" s="10" t="b">
        <f>Github!N$1041</f>
        <v>0</v>
      </c>
      <c r="M1618" s="10" t="str">
        <f>ROUND(Github!O$1041, 2)&amp;"%"</f>
        <v>55.35%</v>
      </c>
      <c r="N1618" s="10">
        <f>Github!P$1041</f>
        <v>7512</v>
      </c>
      <c r="O1618" s="10">
        <f>Github!Q$1041</f>
        <v>13570</v>
      </c>
    </row>
    <row r="1619">
      <c r="A1619" s="10">
        <f>Github!J$2109</f>
        <v>2108</v>
      </c>
      <c r="B1619" s="11" t="str">
        <f>HYPERLINK(CONCAT("http://leetcode.com/problems/",Github!C$2109), Github!B$2109)</f>
        <v>Find First Palindromic String in the Array</v>
      </c>
      <c r="C1619" s="10">
        <f>Github!F$2109</f>
        <v>281</v>
      </c>
      <c r="D1619" s="10">
        <f>Github!G$2109</f>
        <v>9</v>
      </c>
      <c r="E1619" s="10">
        <f>Github!F$2109+Github!G$2109</f>
        <v>290</v>
      </c>
      <c r="F1619" s="12">
        <f t="shared" si="1"/>
        <v>31.22</v>
      </c>
      <c r="G1619" s="10" t="str">
        <f>Github!H$2109</f>
        <v>Algorithms</v>
      </c>
      <c r="H1619" s="13" t="str">
        <f>SUBSTITUTE(Github!L$2109, ";", ", ")</f>
        <v>Array, Two Pointers, String, </v>
      </c>
      <c r="I1619" s="10" t="str">
        <f>Github!E$2109</f>
        <v>Easy</v>
      </c>
      <c r="J1619" s="10" t="str">
        <f>IF(TRIM(Github!D$2109)="TRUE","FALSE","TRUE")</f>
        <v>TRUE</v>
      </c>
      <c r="K1619" s="10" t="b">
        <f>Github!M$2109</f>
        <v>0</v>
      </c>
      <c r="L1619" s="10" t="b">
        <f>Github!N$2109</f>
        <v>0</v>
      </c>
      <c r="M1619" s="10" t="str">
        <f>ROUND(Github!O$2109, 2)&amp;"%"</f>
        <v>80.01%</v>
      </c>
      <c r="N1619" s="10">
        <f>Github!P$2109</f>
        <v>34822</v>
      </c>
      <c r="O1619" s="10">
        <f>Github!Q$2109</f>
        <v>43520</v>
      </c>
    </row>
    <row r="1620">
      <c r="A1620" s="10">
        <f>Github!J$1271</f>
        <v>1270</v>
      </c>
      <c r="B1620" s="11" t="str">
        <f>HYPERLINK(CONCAT("http://leetcode.com/problems/",Github!C$1271), Github!B$1271)</f>
        <v>All People Report to the Given Manager</v>
      </c>
      <c r="C1620" s="10">
        <f>Github!F$1271</f>
        <v>280</v>
      </c>
      <c r="D1620" s="10">
        <f>Github!G$1271</f>
        <v>21</v>
      </c>
      <c r="E1620" s="10">
        <f>Github!F$1271+Github!G$1271</f>
        <v>301</v>
      </c>
      <c r="F1620" s="12">
        <f t="shared" si="1"/>
        <v>13.33</v>
      </c>
      <c r="G1620" s="10" t="str">
        <f>Github!H$1271</f>
        <v>Database</v>
      </c>
      <c r="H1620" s="13" t="str">
        <f>SUBSTITUTE(Github!L$1271, ";", ", ")</f>
        <v>Database, </v>
      </c>
      <c r="I1620" s="10" t="str">
        <f>Github!E$1271</f>
        <v>Medium</v>
      </c>
      <c r="J1620" s="10" t="str">
        <f>IF(TRIM(Github!D$1271)="TRUE","FALSE","TRUE")</f>
        <v>FALSE</v>
      </c>
      <c r="K1620" s="10" t="b">
        <f>Github!M$1271</f>
        <v>0</v>
      </c>
      <c r="L1620" s="10" t="b">
        <f>Github!N$1271</f>
        <v>0</v>
      </c>
      <c r="M1620" s="10" t="str">
        <f>ROUND(Github!O$1271, 2)&amp;"%"</f>
        <v>88.05%</v>
      </c>
      <c r="N1620" s="10">
        <f>Github!P$1271</f>
        <v>36337</v>
      </c>
      <c r="O1620" s="10">
        <f>Github!Q$1271</f>
        <v>41268</v>
      </c>
    </row>
    <row r="1621">
      <c r="A1621" s="10">
        <f>Github!J$1932</f>
        <v>1931</v>
      </c>
      <c r="B1621" s="11" t="str">
        <f>HYPERLINK(CONCAT("http://leetcode.com/problems/",Github!C$1932), Github!B$1932)</f>
        <v>Painting a Grid With Three Different Colors</v>
      </c>
      <c r="C1621" s="10">
        <f>Github!F$1932</f>
        <v>280</v>
      </c>
      <c r="D1621" s="10">
        <f>Github!G$1932</f>
        <v>13</v>
      </c>
      <c r="E1621" s="10">
        <f>Github!F$1932+Github!G$1932</f>
        <v>293</v>
      </c>
      <c r="F1621" s="12">
        <f t="shared" si="1"/>
        <v>21.54</v>
      </c>
      <c r="G1621" s="10" t="str">
        <f>Github!H$1932</f>
        <v>Algorithms</v>
      </c>
      <c r="H1621" s="13" t="str">
        <f>SUBSTITUTE(Github!L$1932, ";", ", ")</f>
        <v>Dynamic Programming, </v>
      </c>
      <c r="I1621" s="10" t="str">
        <f>Github!E$1932</f>
        <v>Hard</v>
      </c>
      <c r="J1621" s="10" t="str">
        <f>IF(TRIM(Github!D$1932)="TRUE","FALSE","TRUE")</f>
        <v>TRUE</v>
      </c>
      <c r="K1621" s="10" t="b">
        <f>Github!M$1932</f>
        <v>0</v>
      </c>
      <c r="L1621" s="10" t="b">
        <f>Github!N$1932</f>
        <v>0</v>
      </c>
      <c r="M1621" s="10" t="str">
        <f>ROUND(Github!O$1932, 2)&amp;"%"</f>
        <v>56.7%</v>
      </c>
      <c r="N1621" s="10">
        <f>Github!P$1932</f>
        <v>5689</v>
      </c>
      <c r="O1621" s="10">
        <f>Github!Q$1932</f>
        <v>10034</v>
      </c>
    </row>
    <row r="1622">
      <c r="A1622" s="10">
        <f>Github!J$2182</f>
        <v>2181</v>
      </c>
      <c r="B1622" s="11" t="str">
        <f>HYPERLINK(CONCAT("http://leetcode.com/problems/",Github!C$2182), Github!B$2182)</f>
        <v>Merge Nodes in Between Zeros</v>
      </c>
      <c r="C1622" s="10">
        <f>Github!F$2182</f>
        <v>282</v>
      </c>
      <c r="D1622" s="10">
        <f>Github!G$2182</f>
        <v>6</v>
      </c>
      <c r="E1622" s="10">
        <f>Github!F$2182+Github!G$2182</f>
        <v>288</v>
      </c>
      <c r="F1622" s="12">
        <f t="shared" si="1"/>
        <v>47</v>
      </c>
      <c r="G1622" s="10" t="str">
        <f>Github!H$2182</f>
        <v>Algorithms</v>
      </c>
      <c r="H1622" s="13" t="str">
        <f>SUBSTITUTE(Github!L$2182, ";", ", ")</f>
        <v>Linked List, Simulation, </v>
      </c>
      <c r="I1622" s="10" t="str">
        <f>Github!E$2182</f>
        <v>Medium</v>
      </c>
      <c r="J1622" s="10" t="str">
        <f>IF(TRIM(Github!D$2182)="TRUE","FALSE","TRUE")</f>
        <v>TRUE</v>
      </c>
      <c r="K1622" s="10" t="b">
        <f>Github!M$2182</f>
        <v>0</v>
      </c>
      <c r="L1622" s="10" t="b">
        <f>Github!N$2182</f>
        <v>0</v>
      </c>
      <c r="M1622" s="10" t="str">
        <f>ROUND(Github!O$2182, 2)&amp;"%"</f>
        <v>87.5%</v>
      </c>
      <c r="N1622" s="10">
        <f>Github!P$2182</f>
        <v>21579</v>
      </c>
      <c r="O1622" s="10">
        <f>Github!Q$2182</f>
        <v>24661</v>
      </c>
    </row>
    <row r="1623">
      <c r="A1623" s="10">
        <f>Github!J$1549</f>
        <v>1548</v>
      </c>
      <c r="B1623" s="11" t="str">
        <f>HYPERLINK(CONCAT("http://leetcode.com/problems/",Github!C$1549), Github!B$1549)</f>
        <v>The Most Similar Path in a Graph</v>
      </c>
      <c r="C1623" s="10">
        <f>Github!F$1549</f>
        <v>279</v>
      </c>
      <c r="D1623" s="10">
        <f>Github!G$1549</f>
        <v>134</v>
      </c>
      <c r="E1623" s="10">
        <f>Github!F$1549+Github!G$1549</f>
        <v>413</v>
      </c>
      <c r="F1623" s="12">
        <f t="shared" si="1"/>
        <v>2.08</v>
      </c>
      <c r="G1623" s="10" t="str">
        <f>Github!H$1549</f>
        <v>Algorithms</v>
      </c>
      <c r="H1623" s="13" t="str">
        <f>SUBSTITUTE(Github!L$1549, ";", ", ")</f>
        <v>Dynamic Programming, Graph, </v>
      </c>
      <c r="I1623" s="10" t="str">
        <f>Github!E$1549</f>
        <v>Hard</v>
      </c>
      <c r="J1623" s="10" t="str">
        <f>IF(TRIM(Github!D$1549)="TRUE","FALSE","TRUE")</f>
        <v>FALSE</v>
      </c>
      <c r="K1623" s="10" t="b">
        <f>Github!M$1549</f>
        <v>0</v>
      </c>
      <c r="L1623" s="10" t="b">
        <f>Github!N$1549</f>
        <v>0</v>
      </c>
      <c r="M1623" s="10" t="str">
        <f>ROUND(Github!O$1549, 2)&amp;"%"</f>
        <v>57.05%</v>
      </c>
      <c r="N1623" s="10">
        <f>Github!P$1549</f>
        <v>13122</v>
      </c>
      <c r="O1623" s="10">
        <f>Github!Q$1549</f>
        <v>23002</v>
      </c>
    </row>
    <row r="1624">
      <c r="A1624" s="10">
        <f>Github!J$1091</f>
        <v>1090</v>
      </c>
      <c r="B1624" s="11" t="str">
        <f>HYPERLINK(CONCAT("http://leetcode.com/problems/",Github!C$1091), Github!B$1091)</f>
        <v>Largest Values From Labels</v>
      </c>
      <c r="C1624" s="10">
        <f>Github!F$1091</f>
        <v>278</v>
      </c>
      <c r="D1624" s="10">
        <f>Github!G$1091</f>
        <v>548</v>
      </c>
      <c r="E1624" s="10">
        <f>Github!F$1091+Github!G$1091</f>
        <v>826</v>
      </c>
      <c r="F1624" s="12">
        <f t="shared" si="1"/>
        <v>0.51</v>
      </c>
      <c r="G1624" s="10" t="str">
        <f>Github!H$1091</f>
        <v>Algorithms</v>
      </c>
      <c r="H1624" s="13" t="str">
        <f>SUBSTITUTE(Github!L$1091, ";", ", ")</f>
        <v>Array, Hash Table, Greedy, Sorting, Counting, </v>
      </c>
      <c r="I1624" s="10" t="str">
        <f>Github!E$1091</f>
        <v>Medium</v>
      </c>
      <c r="J1624" s="10" t="str">
        <f>IF(TRIM(Github!D$1091)="TRUE","FALSE","TRUE")</f>
        <v>TRUE</v>
      </c>
      <c r="K1624" s="10" t="b">
        <f>Github!M$1091</f>
        <v>0</v>
      </c>
      <c r="L1624" s="10" t="b">
        <f>Github!N$1091</f>
        <v>0</v>
      </c>
      <c r="M1624" s="10" t="str">
        <f>ROUND(Github!O$1091, 2)&amp;"%"</f>
        <v>60.47%</v>
      </c>
      <c r="N1624" s="10">
        <f>Github!P$1091</f>
        <v>26729</v>
      </c>
      <c r="O1624" s="10">
        <f>Github!Q$1091</f>
        <v>44202</v>
      </c>
    </row>
    <row r="1625">
      <c r="A1625" s="10">
        <f>Github!J$1808</f>
        <v>1807</v>
      </c>
      <c r="B1625" s="11" t="str">
        <f>HYPERLINK(CONCAT("http://leetcode.com/problems/",Github!C$1808), Github!B$1808)</f>
        <v>Evaluate the Bracket Pairs of a String</v>
      </c>
      <c r="C1625" s="10">
        <f>Github!F$1808</f>
        <v>277</v>
      </c>
      <c r="D1625" s="10">
        <f>Github!G$1808</f>
        <v>26</v>
      </c>
      <c r="E1625" s="10">
        <f>Github!F$1808+Github!G$1808</f>
        <v>303</v>
      </c>
      <c r="F1625" s="12">
        <f t="shared" si="1"/>
        <v>10.65</v>
      </c>
      <c r="G1625" s="10" t="str">
        <f>Github!H$1808</f>
        <v>Algorithms</v>
      </c>
      <c r="H1625" s="13" t="str">
        <f>SUBSTITUTE(Github!L$1808, ";", ", ")</f>
        <v>Array, Hash Table, String, </v>
      </c>
      <c r="I1625" s="10" t="str">
        <f>Github!E$1808</f>
        <v>Medium</v>
      </c>
      <c r="J1625" s="10" t="str">
        <f>IF(TRIM(Github!D$1808)="TRUE","FALSE","TRUE")</f>
        <v>TRUE</v>
      </c>
      <c r="K1625" s="10" t="b">
        <f>Github!M$1808</f>
        <v>0</v>
      </c>
      <c r="L1625" s="10" t="b">
        <f>Github!N$1808</f>
        <v>0</v>
      </c>
      <c r="M1625" s="10" t="str">
        <f>ROUND(Github!O$1808, 2)&amp;"%"</f>
        <v>66.74%</v>
      </c>
      <c r="N1625" s="10">
        <f>Github!P$1808</f>
        <v>18063</v>
      </c>
      <c r="O1625" s="10">
        <f>Github!Q$1808</f>
        <v>27064</v>
      </c>
    </row>
    <row r="1626">
      <c r="A1626" s="10">
        <f>Github!J$1865</f>
        <v>1864</v>
      </c>
      <c r="B1626" s="11" t="str">
        <f>HYPERLINK(CONCAT("http://leetcode.com/problems/",Github!C$1865), Github!B$1865)</f>
        <v>Minimum Number of Swaps to Make the Binary String Alternating</v>
      </c>
      <c r="C1626" s="10">
        <f>Github!F$1865</f>
        <v>280</v>
      </c>
      <c r="D1626" s="10">
        <f>Github!G$1865</f>
        <v>22</v>
      </c>
      <c r="E1626" s="10">
        <f>Github!F$1865+Github!G$1865</f>
        <v>302</v>
      </c>
      <c r="F1626" s="12">
        <f t="shared" si="1"/>
        <v>12.73</v>
      </c>
      <c r="G1626" s="10" t="str">
        <f>Github!H$1865</f>
        <v>Algorithms</v>
      </c>
      <c r="H1626" s="13" t="str">
        <f>SUBSTITUTE(Github!L$1865, ";", ", ")</f>
        <v>String, Greedy, </v>
      </c>
      <c r="I1626" s="10" t="str">
        <f>Github!E$1865</f>
        <v>Medium</v>
      </c>
      <c r="J1626" s="10" t="str">
        <f>IF(TRIM(Github!D$1865)="TRUE","FALSE","TRUE")</f>
        <v>TRUE</v>
      </c>
      <c r="K1626" s="10" t="b">
        <f>Github!M$1865</f>
        <v>0</v>
      </c>
      <c r="L1626" s="10" t="b">
        <f>Github!N$1865</f>
        <v>0</v>
      </c>
      <c r="M1626" s="10" t="str">
        <f>ROUND(Github!O$1865, 2)&amp;"%"</f>
        <v>38.31%</v>
      </c>
      <c r="N1626" s="10">
        <f>Github!P$1865</f>
        <v>12528</v>
      </c>
      <c r="O1626" s="10">
        <f>Github!Q$1865</f>
        <v>32704</v>
      </c>
    </row>
    <row r="1627">
      <c r="A1627" s="10">
        <f>Github!J$2126</f>
        <v>2125</v>
      </c>
      <c r="B1627" s="11" t="str">
        <f>HYPERLINK(CONCAT("http://leetcode.com/problems/",Github!C$2126), Github!B$2126)</f>
        <v>Number of Laser Beams in a Bank</v>
      </c>
      <c r="C1627" s="10">
        <f>Github!F$2126</f>
        <v>277</v>
      </c>
      <c r="D1627" s="10">
        <f>Github!G$2126</f>
        <v>21</v>
      </c>
      <c r="E1627" s="10">
        <f>Github!F$2126+Github!G$2126</f>
        <v>298</v>
      </c>
      <c r="F1627" s="12">
        <f t="shared" si="1"/>
        <v>13.19</v>
      </c>
      <c r="G1627" s="10" t="str">
        <f>Github!H$2126</f>
        <v>Algorithms</v>
      </c>
      <c r="H1627" s="13" t="str">
        <f>SUBSTITUTE(Github!L$2126, ";", ", ")</f>
        <v>Array, Math, String, Matrix, </v>
      </c>
      <c r="I1627" s="10" t="str">
        <f>Github!E$2126</f>
        <v>Medium</v>
      </c>
      <c r="J1627" s="10" t="str">
        <f>IF(TRIM(Github!D$2126)="TRUE","FALSE","TRUE")</f>
        <v>TRUE</v>
      </c>
      <c r="K1627" s="10" t="b">
        <f>Github!M$2126</f>
        <v>0</v>
      </c>
      <c r="L1627" s="10" t="b">
        <f>Github!N$2126</f>
        <v>0</v>
      </c>
      <c r="M1627" s="10" t="str">
        <f>ROUND(Github!O$2126, 2)&amp;"%"</f>
        <v>83.37%</v>
      </c>
      <c r="N1627" s="10">
        <f>Github!P$2126</f>
        <v>21480</v>
      </c>
      <c r="O1627" s="10">
        <f>Github!Q$2126</f>
        <v>25766</v>
      </c>
    </row>
    <row r="1628">
      <c r="A1628" s="10">
        <f>Github!J$380</f>
        <v>379</v>
      </c>
      <c r="B1628" s="11" t="str">
        <f>HYPERLINK(CONCAT("http://leetcode.com/problems/",Github!C$380), Github!B$380)</f>
        <v>Design Phone Directory</v>
      </c>
      <c r="C1628" s="10">
        <f>Github!F$380</f>
        <v>276</v>
      </c>
      <c r="D1628" s="10">
        <f>Github!G$380</f>
        <v>384</v>
      </c>
      <c r="E1628" s="10">
        <f>Github!F$380+Github!G$380</f>
        <v>660</v>
      </c>
      <c r="F1628" s="12">
        <f t="shared" si="1"/>
        <v>0.72</v>
      </c>
      <c r="G1628" s="10" t="str">
        <f>Github!H$380</f>
        <v>Algorithms</v>
      </c>
      <c r="H1628" s="13" t="str">
        <f>SUBSTITUTE(Github!L$380, ";", ", ")</f>
        <v>Array, Hash Table, Linked List, Design, Queue, </v>
      </c>
      <c r="I1628" s="10" t="str">
        <f>Github!E$380</f>
        <v>Medium</v>
      </c>
      <c r="J1628" s="10" t="str">
        <f>IF(TRIM(Github!D$380)="TRUE","FALSE","TRUE")</f>
        <v>FALSE</v>
      </c>
      <c r="K1628" s="10" t="b">
        <f>Github!M$380</f>
        <v>0</v>
      </c>
      <c r="L1628" s="10" t="b">
        <f>Github!N$380</f>
        <v>0</v>
      </c>
      <c r="M1628" s="10" t="str">
        <f>ROUND(Github!O$380, 2)&amp;"%"</f>
        <v>50.17%</v>
      </c>
      <c r="N1628" s="10">
        <f>Github!P$380</f>
        <v>53514</v>
      </c>
      <c r="O1628" s="10">
        <f>Github!Q$380</f>
        <v>106674</v>
      </c>
    </row>
    <row r="1629">
      <c r="A1629" s="10">
        <f>Github!J$667</f>
        <v>666</v>
      </c>
      <c r="B1629" s="11" t="str">
        <f>HYPERLINK(CONCAT("http://leetcode.com/problems/",Github!C$667), Github!B$667)</f>
        <v>Path Sum IV</v>
      </c>
      <c r="C1629" s="10">
        <f>Github!F$667</f>
        <v>276</v>
      </c>
      <c r="D1629" s="10">
        <f>Github!G$667</f>
        <v>368</v>
      </c>
      <c r="E1629" s="10">
        <f>Github!F$667+Github!G$667</f>
        <v>644</v>
      </c>
      <c r="F1629" s="12">
        <f t="shared" si="1"/>
        <v>0.75</v>
      </c>
      <c r="G1629" s="10" t="str">
        <f>Github!H$667</f>
        <v>Algorithms</v>
      </c>
      <c r="H1629" s="13" t="str">
        <f>SUBSTITUTE(Github!L$667, ";", ", ")</f>
        <v>Array, Tree, Depth-First Search, Binary Tree, </v>
      </c>
      <c r="I1629" s="10" t="str">
        <f>Github!E$667</f>
        <v>Medium</v>
      </c>
      <c r="J1629" s="10" t="str">
        <f>IF(TRIM(Github!D$667)="TRUE","FALSE","TRUE")</f>
        <v>FALSE</v>
      </c>
      <c r="K1629" s="10" t="b">
        <f>Github!M$667</f>
        <v>1</v>
      </c>
      <c r="L1629" s="10" t="b">
        <f>Github!N$667</f>
        <v>0</v>
      </c>
      <c r="M1629" s="10" t="str">
        <f>ROUND(Github!O$667, 2)&amp;"%"</f>
        <v>58.45%</v>
      </c>
      <c r="N1629" s="10">
        <f>Github!P$667</f>
        <v>19058</v>
      </c>
      <c r="O1629" s="10">
        <f>Github!Q$667</f>
        <v>32606</v>
      </c>
    </row>
    <row r="1630">
      <c r="A1630" s="10">
        <f>Github!J$2041</f>
        <v>2040</v>
      </c>
      <c r="B1630" s="11" t="str">
        <f>HYPERLINK(CONCAT("http://leetcode.com/problems/",Github!C$2041), Github!B$2041)</f>
        <v>Kth Smallest Product of Two Sorted Arrays</v>
      </c>
      <c r="C1630" s="10">
        <f>Github!F$2041</f>
        <v>276</v>
      </c>
      <c r="D1630" s="10">
        <f>Github!G$2041</f>
        <v>14</v>
      </c>
      <c r="E1630" s="10">
        <f>Github!F$2041+Github!G$2041</f>
        <v>290</v>
      </c>
      <c r="F1630" s="12">
        <f t="shared" si="1"/>
        <v>19.71</v>
      </c>
      <c r="G1630" s="10" t="str">
        <f>Github!H$2041</f>
        <v>Algorithms</v>
      </c>
      <c r="H1630" s="13" t="str">
        <f>SUBSTITUTE(Github!L$2041, ";", ", ")</f>
        <v>Array, Binary Search, </v>
      </c>
      <c r="I1630" s="10" t="str">
        <f>Github!E$2041</f>
        <v>Hard</v>
      </c>
      <c r="J1630" s="10" t="str">
        <f>IF(TRIM(Github!D$2041)="TRUE","FALSE","TRUE")</f>
        <v>TRUE</v>
      </c>
      <c r="K1630" s="10" t="b">
        <f>Github!M$2041</f>
        <v>0</v>
      </c>
      <c r="L1630" s="10" t="b">
        <f>Github!N$2041</f>
        <v>0</v>
      </c>
      <c r="M1630" s="10" t="str">
        <f>ROUND(Github!O$2041, 2)&amp;"%"</f>
        <v>26.69%</v>
      </c>
      <c r="N1630" s="10">
        <f>Github!P$2041</f>
        <v>4309</v>
      </c>
      <c r="O1630" s="10">
        <f>Github!Q$2041</f>
        <v>16144</v>
      </c>
    </row>
    <row r="1631">
      <c r="A1631" s="10">
        <f>Github!J$735</f>
        <v>734</v>
      </c>
      <c r="B1631" s="11" t="str">
        <f>HYPERLINK(CONCAT("http://leetcode.com/problems/",Github!C$735), Github!B$735)</f>
        <v>Sentence Similarity</v>
      </c>
      <c r="C1631" s="10">
        <f>Github!F$735</f>
        <v>275</v>
      </c>
      <c r="D1631" s="10">
        <f>Github!G$735</f>
        <v>437</v>
      </c>
      <c r="E1631" s="10">
        <f>Github!F$735+Github!G$735</f>
        <v>712</v>
      </c>
      <c r="F1631" s="12">
        <f t="shared" si="1"/>
        <v>0.63</v>
      </c>
      <c r="G1631" s="10" t="str">
        <f>Github!H$735</f>
        <v>Algorithms</v>
      </c>
      <c r="H1631" s="13" t="str">
        <f>SUBSTITUTE(Github!L$735, ";", ", ")</f>
        <v>Array, Hash Table, String, </v>
      </c>
      <c r="I1631" s="10" t="str">
        <f>Github!E$735</f>
        <v>Easy</v>
      </c>
      <c r="J1631" s="10" t="str">
        <f>IF(TRIM(Github!D$735)="TRUE","FALSE","TRUE")</f>
        <v>FALSE</v>
      </c>
      <c r="K1631" s="10" t="b">
        <f>Github!M$735</f>
        <v>0</v>
      </c>
      <c r="L1631" s="10" t="b">
        <f>Github!N$735</f>
        <v>0</v>
      </c>
      <c r="M1631" s="10" t="str">
        <f>ROUND(Github!O$735, 2)&amp;"%"</f>
        <v>42.94%</v>
      </c>
      <c r="N1631" s="10">
        <f>Github!P$735</f>
        <v>49491</v>
      </c>
      <c r="O1631" s="10">
        <f>Github!Q$735</f>
        <v>115270</v>
      </c>
    </row>
    <row r="1632">
      <c r="A1632" s="10">
        <f>Github!J$1475</f>
        <v>1474</v>
      </c>
      <c r="B1632" s="11" t="str">
        <f>HYPERLINK(CONCAT("http://leetcode.com/problems/",Github!C$1475), Github!B$1475)</f>
        <v>Delete N Nodes After M Nodes of a Linked List</v>
      </c>
      <c r="C1632" s="10">
        <f>Github!F$1475</f>
        <v>275</v>
      </c>
      <c r="D1632" s="10">
        <f>Github!G$1475</f>
        <v>8</v>
      </c>
      <c r="E1632" s="10">
        <f>Github!F$1475+Github!G$1475</f>
        <v>283</v>
      </c>
      <c r="F1632" s="12">
        <f t="shared" si="1"/>
        <v>34.38</v>
      </c>
      <c r="G1632" s="10" t="str">
        <f>Github!H$1475</f>
        <v>Algorithms</v>
      </c>
      <c r="H1632" s="13" t="str">
        <f>SUBSTITUTE(Github!L$1475, ";", ", ")</f>
        <v>Linked List, </v>
      </c>
      <c r="I1632" s="10" t="str">
        <f>Github!E$1475</f>
        <v>Easy</v>
      </c>
      <c r="J1632" s="10" t="str">
        <f>IF(TRIM(Github!D$1475)="TRUE","FALSE","TRUE")</f>
        <v>FALSE</v>
      </c>
      <c r="K1632" s="10" t="b">
        <f>Github!M$1475</f>
        <v>1</v>
      </c>
      <c r="L1632" s="10" t="b">
        <f>Github!N$1475</f>
        <v>0</v>
      </c>
      <c r="M1632" s="10" t="str">
        <f>ROUND(Github!O$1475, 2)&amp;"%"</f>
        <v>73.57%</v>
      </c>
      <c r="N1632" s="10">
        <f>Github!P$1475</f>
        <v>18729</v>
      </c>
      <c r="O1632" s="10">
        <f>Github!Q$1475</f>
        <v>25459</v>
      </c>
    </row>
    <row r="1633">
      <c r="A1633" s="10">
        <f>Github!J$1863</f>
        <v>1862</v>
      </c>
      <c r="B1633" s="11" t="str">
        <f>HYPERLINK(CONCAT("http://leetcode.com/problems/",Github!C$1863), Github!B$1863)</f>
        <v>Sum of Floored Pairs</v>
      </c>
      <c r="C1633" s="10">
        <f>Github!F$1863</f>
        <v>275</v>
      </c>
      <c r="D1633" s="10">
        <f>Github!G$1863</f>
        <v>22</v>
      </c>
      <c r="E1633" s="10">
        <f>Github!F$1863+Github!G$1863</f>
        <v>297</v>
      </c>
      <c r="F1633" s="12">
        <f t="shared" si="1"/>
        <v>12.5</v>
      </c>
      <c r="G1633" s="10" t="str">
        <f>Github!H$1863</f>
        <v>Algorithms</v>
      </c>
      <c r="H1633" s="13" t="str">
        <f>SUBSTITUTE(Github!L$1863, ";", ", ")</f>
        <v>Array, Math, Binary Search, Prefix Sum, </v>
      </c>
      <c r="I1633" s="10" t="str">
        <f>Github!E$1863</f>
        <v>Hard</v>
      </c>
      <c r="J1633" s="10" t="str">
        <f>IF(TRIM(Github!D$1863)="TRUE","FALSE","TRUE")</f>
        <v>TRUE</v>
      </c>
      <c r="K1633" s="10" t="b">
        <f>Github!M$1863</f>
        <v>0</v>
      </c>
      <c r="L1633" s="10" t="b">
        <f>Github!N$1863</f>
        <v>0</v>
      </c>
      <c r="M1633" s="10" t="str">
        <f>ROUND(Github!O$1863, 2)&amp;"%"</f>
        <v>27.76%</v>
      </c>
      <c r="N1633" s="10">
        <f>Github!P$1863</f>
        <v>5662</v>
      </c>
      <c r="O1633" s="10">
        <f>Github!Q$1863</f>
        <v>20398</v>
      </c>
    </row>
    <row r="1634">
      <c r="A1634" s="10">
        <f>Github!J$2013</f>
        <v>2012</v>
      </c>
      <c r="B1634" s="11" t="str">
        <f>HYPERLINK(CONCAT("http://leetcode.com/problems/",Github!C$2013), Github!B$2013)</f>
        <v>Sum of Beauty in the Array</v>
      </c>
      <c r="C1634" s="10">
        <f>Github!F$2013</f>
        <v>275</v>
      </c>
      <c r="D1634" s="10">
        <f>Github!G$2013</f>
        <v>26</v>
      </c>
      <c r="E1634" s="10">
        <f>Github!F$2013+Github!G$2013</f>
        <v>301</v>
      </c>
      <c r="F1634" s="12">
        <f t="shared" si="1"/>
        <v>10.58</v>
      </c>
      <c r="G1634" s="10" t="str">
        <f>Github!H$2013</f>
        <v>Algorithms</v>
      </c>
      <c r="H1634" s="13" t="str">
        <f>SUBSTITUTE(Github!L$2013, ";", ", ")</f>
        <v>Array, </v>
      </c>
      <c r="I1634" s="10" t="str">
        <f>Github!E$2013</f>
        <v>Medium</v>
      </c>
      <c r="J1634" s="10" t="str">
        <f>IF(TRIM(Github!D$2013)="TRUE","FALSE","TRUE")</f>
        <v>TRUE</v>
      </c>
      <c r="K1634" s="10" t="b">
        <f>Github!M$2013</f>
        <v>0</v>
      </c>
      <c r="L1634" s="10" t="b">
        <f>Github!N$2013</f>
        <v>0</v>
      </c>
      <c r="M1634" s="10" t="str">
        <f>ROUND(Github!O$2013, 2)&amp;"%"</f>
        <v>45.48%</v>
      </c>
      <c r="N1634" s="10">
        <f>Github!P$2013</f>
        <v>13003</v>
      </c>
      <c r="O1634" s="10">
        <f>Github!Q$2013</f>
        <v>28589</v>
      </c>
    </row>
    <row r="1635">
      <c r="A1635" s="10">
        <f>Github!J$423</f>
        <v>422</v>
      </c>
      <c r="B1635" s="11" t="str">
        <f>HYPERLINK(CONCAT("http://leetcode.com/problems/",Github!C$423), Github!B$423)</f>
        <v>Valid Word Square</v>
      </c>
      <c r="C1635" s="10">
        <f>Github!F$423</f>
        <v>274</v>
      </c>
      <c r="D1635" s="10">
        <f>Github!G$423</f>
        <v>169</v>
      </c>
      <c r="E1635" s="10">
        <f>Github!F$423+Github!G$423</f>
        <v>443</v>
      </c>
      <c r="F1635" s="12">
        <f t="shared" si="1"/>
        <v>1.62</v>
      </c>
      <c r="G1635" s="10" t="str">
        <f>Github!H$423</f>
        <v>Algorithms</v>
      </c>
      <c r="H1635" s="13" t="str">
        <f>SUBSTITUTE(Github!L$423, ";", ", ")</f>
        <v>Array, Matrix, </v>
      </c>
      <c r="I1635" s="10" t="str">
        <f>Github!E$423</f>
        <v>Easy</v>
      </c>
      <c r="J1635" s="10" t="str">
        <f>IF(TRIM(Github!D$423)="TRUE","FALSE","TRUE")</f>
        <v>FALSE</v>
      </c>
      <c r="K1635" s="10" t="b">
        <f>Github!M$423</f>
        <v>0</v>
      </c>
      <c r="L1635" s="10" t="b">
        <f>Github!N$423</f>
        <v>0</v>
      </c>
      <c r="M1635" s="10" t="str">
        <f>ROUND(Github!O$423, 2)&amp;"%"</f>
        <v>38.59%</v>
      </c>
      <c r="N1635" s="10">
        <f>Github!P$423</f>
        <v>39243</v>
      </c>
      <c r="O1635" s="10">
        <f>Github!Q$423</f>
        <v>101703</v>
      </c>
    </row>
    <row r="1636">
      <c r="A1636" s="10">
        <f>Github!J$1900</f>
        <v>1899</v>
      </c>
      <c r="B1636" s="11" t="str">
        <f>HYPERLINK(CONCAT("http://leetcode.com/problems/",Github!C$1900), Github!B$1900)</f>
        <v>Merge Triplets to Form Target Triplet</v>
      </c>
      <c r="C1636" s="10">
        <f>Github!F$1900</f>
        <v>274</v>
      </c>
      <c r="D1636" s="10">
        <f>Github!G$1900</f>
        <v>23</v>
      </c>
      <c r="E1636" s="10">
        <f>Github!F$1900+Github!G$1900</f>
        <v>297</v>
      </c>
      <c r="F1636" s="12">
        <f t="shared" si="1"/>
        <v>11.91</v>
      </c>
      <c r="G1636" s="10" t="str">
        <f>Github!H$1900</f>
        <v>Algorithms</v>
      </c>
      <c r="H1636" s="13" t="str">
        <f>SUBSTITUTE(Github!L$1900, ";", ", ")</f>
        <v>Array, Greedy, </v>
      </c>
      <c r="I1636" s="10" t="str">
        <f>Github!E$1900</f>
        <v>Medium</v>
      </c>
      <c r="J1636" s="10" t="str">
        <f>IF(TRIM(Github!D$1900)="TRUE","FALSE","TRUE")</f>
        <v>TRUE</v>
      </c>
      <c r="K1636" s="10" t="b">
        <f>Github!M$1900</f>
        <v>0</v>
      </c>
      <c r="L1636" s="10" t="b">
        <f>Github!N$1900</f>
        <v>0</v>
      </c>
      <c r="M1636" s="10" t="str">
        <f>ROUND(Github!O$1900, 2)&amp;"%"</f>
        <v>60.84%</v>
      </c>
      <c r="N1636" s="10">
        <f>Github!P$1900</f>
        <v>12806</v>
      </c>
      <c r="O1636" s="10">
        <f>Github!Q$1900</f>
        <v>21050</v>
      </c>
    </row>
    <row r="1637">
      <c r="A1637" s="10">
        <f>Github!J$2134</f>
        <v>2133</v>
      </c>
      <c r="B1637" s="11" t="str">
        <f>HYPERLINK(CONCAT("http://leetcode.com/problems/",Github!C$2134), Github!B$2134)</f>
        <v>Check if Every Row and Column Contains All Numbers</v>
      </c>
      <c r="C1637" s="10">
        <f>Github!F$2134</f>
        <v>276</v>
      </c>
      <c r="D1637" s="10">
        <f>Github!G$2134</f>
        <v>14</v>
      </c>
      <c r="E1637" s="10">
        <f>Github!F$2134+Github!G$2134</f>
        <v>290</v>
      </c>
      <c r="F1637" s="12">
        <f t="shared" si="1"/>
        <v>19.71</v>
      </c>
      <c r="G1637" s="10" t="str">
        <f>Github!H$2134</f>
        <v>Algorithms</v>
      </c>
      <c r="H1637" s="13" t="str">
        <f>SUBSTITUTE(Github!L$2134, ";", ", ")</f>
        <v>Array, Hash Table, Matrix, </v>
      </c>
      <c r="I1637" s="10" t="str">
        <f>Github!E$2134</f>
        <v>Easy</v>
      </c>
      <c r="J1637" s="10" t="str">
        <f>IF(TRIM(Github!D$2134)="TRUE","FALSE","TRUE")</f>
        <v>TRUE</v>
      </c>
      <c r="K1637" s="10" t="b">
        <f>Github!M$2134</f>
        <v>0</v>
      </c>
      <c r="L1637" s="10" t="b">
        <f>Github!N$2134</f>
        <v>0</v>
      </c>
      <c r="M1637" s="10" t="str">
        <f>ROUND(Github!O$2134, 2)&amp;"%"</f>
        <v>51.93%</v>
      </c>
      <c r="N1637" s="10">
        <f>Github!P$2134</f>
        <v>23065</v>
      </c>
      <c r="O1637" s="10">
        <f>Github!Q$2134</f>
        <v>44415</v>
      </c>
    </row>
    <row r="1638">
      <c r="A1638" s="10">
        <f>Github!J$1612</f>
        <v>1611</v>
      </c>
      <c r="B1638" s="11" t="str">
        <f>HYPERLINK(CONCAT("http://leetcode.com/problems/",Github!C$1612), Github!B$1612)</f>
        <v>Minimum One Bit Operations to Make Integers Zero</v>
      </c>
      <c r="C1638" s="10">
        <f>Github!F$1612</f>
        <v>273</v>
      </c>
      <c r="D1638" s="10">
        <f>Github!G$1612</f>
        <v>262</v>
      </c>
      <c r="E1638" s="10">
        <f>Github!F$1612+Github!G$1612</f>
        <v>535</v>
      </c>
      <c r="F1638" s="12">
        <f t="shared" si="1"/>
        <v>1.04</v>
      </c>
      <c r="G1638" s="10" t="str">
        <f>Github!H$1612</f>
        <v>Algorithms</v>
      </c>
      <c r="H1638" s="13" t="str">
        <f>SUBSTITUTE(Github!L$1612, ";", ", ")</f>
        <v>Dynamic Programming, Bit Manipulation, Memoization, </v>
      </c>
      <c r="I1638" s="10" t="str">
        <f>Github!E$1612</f>
        <v>Hard</v>
      </c>
      <c r="J1638" s="10" t="str">
        <f>IF(TRIM(Github!D$1612)="TRUE","FALSE","TRUE")</f>
        <v>TRUE</v>
      </c>
      <c r="K1638" s="10" t="b">
        <f>Github!M$1612</f>
        <v>0</v>
      </c>
      <c r="L1638" s="10" t="b">
        <f>Github!N$1612</f>
        <v>0</v>
      </c>
      <c r="M1638" s="10" t="str">
        <f>ROUND(Github!O$1612, 2)&amp;"%"</f>
        <v>62.18%</v>
      </c>
      <c r="N1638" s="10">
        <f>Github!P$1612</f>
        <v>9627</v>
      </c>
      <c r="O1638" s="10">
        <f>Github!Q$1612</f>
        <v>15482</v>
      </c>
    </row>
    <row r="1639">
      <c r="A1639" s="10">
        <f>Github!J$1838</f>
        <v>1837</v>
      </c>
      <c r="B1639" s="11" t="str">
        <f>HYPERLINK(CONCAT("http://leetcode.com/problems/",Github!C$1838), Github!B$1838)</f>
        <v>Sum of Digits in Base K</v>
      </c>
      <c r="C1639" s="10">
        <f>Github!F$1838</f>
        <v>273</v>
      </c>
      <c r="D1639" s="10">
        <f>Github!G$1838</f>
        <v>22</v>
      </c>
      <c r="E1639" s="10">
        <f>Github!F$1838+Github!G$1838</f>
        <v>295</v>
      </c>
      <c r="F1639" s="12">
        <f t="shared" si="1"/>
        <v>12.41</v>
      </c>
      <c r="G1639" s="10" t="str">
        <f>Github!H$1838</f>
        <v>Algorithms</v>
      </c>
      <c r="H1639" s="13" t="str">
        <f>SUBSTITUTE(Github!L$1838, ";", ", ")</f>
        <v>Math, </v>
      </c>
      <c r="I1639" s="10" t="str">
        <f>Github!E$1838</f>
        <v>Easy</v>
      </c>
      <c r="J1639" s="10" t="str">
        <f>IF(TRIM(Github!D$1838)="TRUE","FALSE","TRUE")</f>
        <v>TRUE</v>
      </c>
      <c r="K1639" s="10" t="b">
        <f>Github!M$1838</f>
        <v>0</v>
      </c>
      <c r="L1639" s="10" t="b">
        <f>Github!N$1838</f>
        <v>0</v>
      </c>
      <c r="M1639" s="10" t="str">
        <f>ROUND(Github!O$1838, 2)&amp;"%"</f>
        <v>76.26%</v>
      </c>
      <c r="N1639" s="10">
        <f>Github!P$1838</f>
        <v>26235</v>
      </c>
      <c r="O1639" s="10">
        <f>Github!Q$1838</f>
        <v>34404</v>
      </c>
    </row>
    <row r="1640">
      <c r="A1640" s="10">
        <f>Github!J$2001</f>
        <v>2000</v>
      </c>
      <c r="B1640" s="11" t="str">
        <f>HYPERLINK(CONCAT("http://leetcode.com/problems/",Github!C$2001), Github!B$2001)</f>
        <v>Reverse Prefix of Word</v>
      </c>
      <c r="C1640" s="10">
        <f>Github!F$2001</f>
        <v>272</v>
      </c>
      <c r="D1640" s="10">
        <f>Github!G$2001</f>
        <v>6</v>
      </c>
      <c r="E1640" s="10">
        <f>Github!F$2001+Github!G$2001</f>
        <v>278</v>
      </c>
      <c r="F1640" s="12">
        <f t="shared" si="1"/>
        <v>45.33</v>
      </c>
      <c r="G1640" s="10" t="str">
        <f>Github!H$2001</f>
        <v>Algorithms</v>
      </c>
      <c r="H1640" s="13" t="str">
        <f>SUBSTITUTE(Github!L$2001, ";", ", ")</f>
        <v>Two Pointers, String, </v>
      </c>
      <c r="I1640" s="10" t="str">
        <f>Github!E$2001</f>
        <v>Easy</v>
      </c>
      <c r="J1640" s="10" t="str">
        <f>IF(TRIM(Github!D$2001)="TRUE","FALSE","TRUE")</f>
        <v>TRUE</v>
      </c>
      <c r="K1640" s="10" t="b">
        <f>Github!M$2001</f>
        <v>0</v>
      </c>
      <c r="L1640" s="10" t="b">
        <f>Github!N$2001</f>
        <v>0</v>
      </c>
      <c r="M1640" s="10" t="str">
        <f>ROUND(Github!O$2001, 2)&amp;"%"</f>
        <v>78.09%</v>
      </c>
      <c r="N1640" s="10">
        <f>Github!P$2001</f>
        <v>29519</v>
      </c>
      <c r="O1640" s="10">
        <f>Github!Q$2001</f>
        <v>37799</v>
      </c>
    </row>
    <row r="1641">
      <c r="A1641" s="10">
        <f>Github!J$2071</f>
        <v>2070</v>
      </c>
      <c r="B1641" s="11" t="str">
        <f>HYPERLINK(CONCAT("http://leetcode.com/problems/",Github!C$2071), Github!B$2071)</f>
        <v>Most Beautiful Item for Each Query</v>
      </c>
      <c r="C1641" s="10">
        <f>Github!F$2071</f>
        <v>272</v>
      </c>
      <c r="D1641" s="10">
        <f>Github!G$2071</f>
        <v>7</v>
      </c>
      <c r="E1641" s="10">
        <f>Github!F$2071+Github!G$2071</f>
        <v>279</v>
      </c>
      <c r="F1641" s="12">
        <f t="shared" si="1"/>
        <v>38.86</v>
      </c>
      <c r="G1641" s="10" t="str">
        <f>Github!H$2071</f>
        <v>Algorithms</v>
      </c>
      <c r="H1641" s="13" t="str">
        <f>SUBSTITUTE(Github!L$2071, ";", ", ")</f>
        <v>Array, Binary Search, Sorting, </v>
      </c>
      <c r="I1641" s="10" t="str">
        <f>Github!E$2071</f>
        <v>Medium</v>
      </c>
      <c r="J1641" s="10" t="str">
        <f>IF(TRIM(Github!D$2071)="TRUE","FALSE","TRUE")</f>
        <v>TRUE</v>
      </c>
      <c r="K1641" s="10" t="b">
        <f>Github!M$2071</f>
        <v>0</v>
      </c>
      <c r="L1641" s="10" t="b">
        <f>Github!N$2071</f>
        <v>0</v>
      </c>
      <c r="M1641" s="10" t="str">
        <f>ROUND(Github!O$2071, 2)&amp;"%"</f>
        <v>48.55%</v>
      </c>
      <c r="N1641" s="10">
        <f>Github!P$2071</f>
        <v>7604</v>
      </c>
      <c r="O1641" s="10">
        <f>Github!Q$2071</f>
        <v>15661</v>
      </c>
    </row>
    <row r="1642">
      <c r="A1642" s="10">
        <f>Github!J$1170</f>
        <v>1169</v>
      </c>
      <c r="B1642" s="11" t="str">
        <f>HYPERLINK(CONCAT("http://leetcode.com/problems/",Github!C$1170), Github!B$1170)</f>
        <v>Invalid Transactions</v>
      </c>
      <c r="C1642" s="10">
        <f>Github!F$1170</f>
        <v>271</v>
      </c>
      <c r="D1642" s="10">
        <f>Github!G$1170</f>
        <v>1394</v>
      </c>
      <c r="E1642" s="10">
        <f>Github!F$1170+Github!G$1170</f>
        <v>1665</v>
      </c>
      <c r="F1642" s="12">
        <f t="shared" si="1"/>
        <v>0.19</v>
      </c>
      <c r="G1642" s="10" t="str">
        <f>Github!H$1170</f>
        <v>Algorithms</v>
      </c>
      <c r="H1642" s="13" t="str">
        <f>SUBSTITUTE(Github!L$1170, ";", ", ")</f>
        <v>Array, Hash Table, String, Sorting, </v>
      </c>
      <c r="I1642" s="10" t="str">
        <f>Github!E$1170</f>
        <v>Medium</v>
      </c>
      <c r="J1642" s="10" t="str">
        <f>IF(TRIM(Github!D$1170)="TRUE","FALSE","TRUE")</f>
        <v>TRUE</v>
      </c>
      <c r="K1642" s="10" t="b">
        <f>Github!M$1170</f>
        <v>0</v>
      </c>
      <c r="L1642" s="10" t="b">
        <f>Github!N$1170</f>
        <v>0</v>
      </c>
      <c r="M1642" s="10" t="str">
        <f>ROUND(Github!O$1170, 2)&amp;"%"</f>
        <v>30.14%</v>
      </c>
      <c r="N1642" s="10">
        <f>Github!P$1170</f>
        <v>38622</v>
      </c>
      <c r="O1642" s="10">
        <f>Github!Q$1170</f>
        <v>128150</v>
      </c>
    </row>
    <row r="1643">
      <c r="A1643" s="10">
        <f>Github!J$1541</f>
        <v>1540</v>
      </c>
      <c r="B1643" s="11" t="str">
        <f>HYPERLINK(CONCAT("http://leetcode.com/problems/",Github!C$1541), Github!B$1541)</f>
        <v>Can Convert String in K Moves</v>
      </c>
      <c r="C1643" s="10">
        <f>Github!F$1541</f>
        <v>271</v>
      </c>
      <c r="D1643" s="10">
        <f>Github!G$1541</f>
        <v>224</v>
      </c>
      <c r="E1643" s="10">
        <f>Github!F$1541+Github!G$1541</f>
        <v>495</v>
      </c>
      <c r="F1643" s="12">
        <f t="shared" si="1"/>
        <v>1.21</v>
      </c>
      <c r="G1643" s="10" t="str">
        <f>Github!H$1541</f>
        <v>Algorithms</v>
      </c>
      <c r="H1643" s="13" t="str">
        <f>SUBSTITUTE(Github!L$1541, ";", ", ")</f>
        <v>Hash Table, String, </v>
      </c>
      <c r="I1643" s="10" t="str">
        <f>Github!E$1541</f>
        <v>Medium</v>
      </c>
      <c r="J1643" s="10" t="str">
        <f>IF(TRIM(Github!D$1541)="TRUE","FALSE","TRUE")</f>
        <v>TRUE</v>
      </c>
      <c r="K1643" s="10" t="b">
        <f>Github!M$1541</f>
        <v>0</v>
      </c>
      <c r="L1643" s="10" t="b">
        <f>Github!N$1541</f>
        <v>0</v>
      </c>
      <c r="M1643" s="10" t="str">
        <f>ROUND(Github!O$1541, 2)&amp;"%"</f>
        <v>32.41%</v>
      </c>
      <c r="N1643" s="10">
        <f>Github!P$1541</f>
        <v>13151</v>
      </c>
      <c r="O1643" s="10">
        <f>Github!Q$1541</f>
        <v>40582</v>
      </c>
    </row>
    <row r="1644">
      <c r="A1644" s="10">
        <f>Github!J$1398</f>
        <v>1397</v>
      </c>
      <c r="B1644" s="11" t="str">
        <f>HYPERLINK(CONCAT("http://leetcode.com/problems/",Github!C$1398), Github!B$1398)</f>
        <v>Find All Good Strings</v>
      </c>
      <c r="C1644" s="10">
        <f>Github!F$1398</f>
        <v>270</v>
      </c>
      <c r="D1644" s="10">
        <f>Github!G$1398</f>
        <v>100</v>
      </c>
      <c r="E1644" s="10">
        <f>Github!F$1398+Github!G$1398</f>
        <v>370</v>
      </c>
      <c r="F1644" s="12">
        <f t="shared" si="1"/>
        <v>2.7</v>
      </c>
      <c r="G1644" s="10" t="str">
        <f>Github!H$1398</f>
        <v>Algorithms</v>
      </c>
      <c r="H1644" s="13" t="str">
        <f>SUBSTITUTE(Github!L$1398, ";", ", ")</f>
        <v>String, Dynamic Programming, String Matching, </v>
      </c>
      <c r="I1644" s="10" t="str">
        <f>Github!E$1398</f>
        <v>Hard</v>
      </c>
      <c r="J1644" s="10" t="str">
        <f>IF(TRIM(Github!D$1398)="TRUE","FALSE","TRUE")</f>
        <v>TRUE</v>
      </c>
      <c r="K1644" s="10" t="b">
        <f>Github!M$1398</f>
        <v>0</v>
      </c>
      <c r="L1644" s="10" t="b">
        <f>Github!N$1398</f>
        <v>0</v>
      </c>
      <c r="M1644" s="10" t="str">
        <f>ROUND(Github!O$1398, 2)&amp;"%"</f>
        <v>40.53%</v>
      </c>
      <c r="N1644" s="10">
        <f>Github!P$1398</f>
        <v>3793</v>
      </c>
      <c r="O1644" s="10">
        <f>Github!Q$1398</f>
        <v>9358</v>
      </c>
    </row>
    <row r="1645">
      <c r="A1645" s="10">
        <f>Github!J$1486</f>
        <v>1485</v>
      </c>
      <c r="B1645" s="11" t="str">
        <f>HYPERLINK(CONCAT("http://leetcode.com/problems/",Github!C$1486), Github!B$1486)</f>
        <v>Clone Binary Tree With Random Pointer</v>
      </c>
      <c r="C1645" s="10">
        <f>Github!F$1486</f>
        <v>270</v>
      </c>
      <c r="D1645" s="10">
        <f>Github!G$1486</f>
        <v>43</v>
      </c>
      <c r="E1645" s="10">
        <f>Github!F$1486+Github!G$1486</f>
        <v>313</v>
      </c>
      <c r="F1645" s="12">
        <f t="shared" si="1"/>
        <v>6.28</v>
      </c>
      <c r="G1645" s="10" t="str">
        <f>Github!H$1486</f>
        <v>Algorithms</v>
      </c>
      <c r="H1645" s="13" t="str">
        <f>SUBSTITUTE(Github!L$1486, ";", ", ")</f>
        <v>Hash Table, Tree, Depth-First Search, Breadth-First Search, Binary Tree, </v>
      </c>
      <c r="I1645" s="10" t="str">
        <f>Github!E$1486</f>
        <v>Medium</v>
      </c>
      <c r="J1645" s="10" t="str">
        <f>IF(TRIM(Github!D$1486)="TRUE","FALSE","TRUE")</f>
        <v>FALSE</v>
      </c>
      <c r="K1645" s="10" t="b">
        <f>Github!M$1486</f>
        <v>1</v>
      </c>
      <c r="L1645" s="10" t="b">
        <f>Github!N$1486</f>
        <v>0</v>
      </c>
      <c r="M1645" s="10" t="str">
        <f>ROUND(Github!O$1486, 2)&amp;"%"</f>
        <v>79.84%</v>
      </c>
      <c r="N1645" s="10">
        <f>Github!P$1486</f>
        <v>15401</v>
      </c>
      <c r="O1645" s="10">
        <f>Github!Q$1486</f>
        <v>19289</v>
      </c>
    </row>
    <row r="1646">
      <c r="A1646" s="10">
        <f>Github!J$1976</f>
        <v>1975</v>
      </c>
      <c r="B1646" s="11" t="str">
        <f>HYPERLINK(CONCAT("http://leetcode.com/problems/",Github!C$1976), Github!B$1976)</f>
        <v>Maximum Matrix Sum</v>
      </c>
      <c r="C1646" s="10">
        <f>Github!F$1976</f>
        <v>271</v>
      </c>
      <c r="D1646" s="10">
        <f>Github!G$1976</f>
        <v>9</v>
      </c>
      <c r="E1646" s="10">
        <f>Github!F$1976+Github!G$1976</f>
        <v>280</v>
      </c>
      <c r="F1646" s="12">
        <f t="shared" si="1"/>
        <v>30.11</v>
      </c>
      <c r="G1646" s="10" t="str">
        <f>Github!H$1976</f>
        <v>Algorithms</v>
      </c>
      <c r="H1646" s="13" t="str">
        <f>SUBSTITUTE(Github!L$1976, ";", ", ")</f>
        <v>Array, Greedy, Matrix, </v>
      </c>
      <c r="I1646" s="10" t="str">
        <f>Github!E$1976</f>
        <v>Medium</v>
      </c>
      <c r="J1646" s="10" t="str">
        <f>IF(TRIM(Github!D$1976)="TRUE","FALSE","TRUE")</f>
        <v>TRUE</v>
      </c>
      <c r="K1646" s="10" t="b">
        <f>Github!M$1976</f>
        <v>0</v>
      </c>
      <c r="L1646" s="10" t="b">
        <f>Github!N$1976</f>
        <v>0</v>
      </c>
      <c r="M1646" s="10" t="str">
        <f>ROUND(Github!O$1976, 2)&amp;"%"</f>
        <v>44.32%</v>
      </c>
      <c r="N1646" s="10">
        <f>Github!P$1976</f>
        <v>9449</v>
      </c>
      <c r="O1646" s="10">
        <f>Github!Q$1976</f>
        <v>21321</v>
      </c>
    </row>
    <row r="1647">
      <c r="A1647" s="10">
        <f>Github!J$2189</f>
        <v>2188</v>
      </c>
      <c r="B1647" s="11" t="str">
        <f>HYPERLINK(CONCAT("http://leetcode.com/problems/",Github!C$2189), Github!B$2189)</f>
        <v>Minimum Time to Finish the Race</v>
      </c>
      <c r="C1647" s="10">
        <f>Github!F$2189</f>
        <v>270</v>
      </c>
      <c r="D1647" s="10">
        <f>Github!G$2189</f>
        <v>7</v>
      </c>
      <c r="E1647" s="10">
        <f>Github!F$2189+Github!G$2189</f>
        <v>277</v>
      </c>
      <c r="F1647" s="12">
        <f t="shared" si="1"/>
        <v>38.57</v>
      </c>
      <c r="G1647" s="10" t="str">
        <f>Github!H$2189</f>
        <v>Algorithms</v>
      </c>
      <c r="H1647" s="13" t="str">
        <f>SUBSTITUTE(Github!L$2189, ";", ", ")</f>
        <v>Array, Dynamic Programming, </v>
      </c>
      <c r="I1647" s="10" t="str">
        <f>Github!E$2189</f>
        <v>Hard</v>
      </c>
      <c r="J1647" s="10" t="str">
        <f>IF(TRIM(Github!D$2189)="TRUE","FALSE","TRUE")</f>
        <v>TRUE</v>
      </c>
      <c r="K1647" s="10" t="b">
        <f>Github!M$2189</f>
        <v>0</v>
      </c>
      <c r="L1647" s="10" t="b">
        <f>Github!N$2189</f>
        <v>0</v>
      </c>
      <c r="M1647" s="10" t="str">
        <f>ROUND(Github!O$2189, 2)&amp;"%"</f>
        <v>39.06%</v>
      </c>
      <c r="N1647" s="10">
        <f>Github!P$2189</f>
        <v>4702</v>
      </c>
      <c r="O1647" s="10">
        <f>Github!Q$2189</f>
        <v>12040</v>
      </c>
    </row>
    <row r="1648">
      <c r="A1648" s="10">
        <f>Github!J$1677</f>
        <v>1676</v>
      </c>
      <c r="B1648" s="11" t="str">
        <f>HYPERLINK(CONCAT("http://leetcode.com/problems/",Github!C$1677), Github!B$1677)</f>
        <v>Lowest Common Ancestor of a Binary Tree IV</v>
      </c>
      <c r="C1648" s="10">
        <f>Github!F$1677</f>
        <v>269</v>
      </c>
      <c r="D1648" s="10">
        <f>Github!G$1677</f>
        <v>9</v>
      </c>
      <c r="E1648" s="10">
        <f>Github!F$1677+Github!G$1677</f>
        <v>278</v>
      </c>
      <c r="F1648" s="12">
        <f t="shared" si="1"/>
        <v>29.89</v>
      </c>
      <c r="G1648" s="10" t="str">
        <f>Github!H$1677</f>
        <v>Algorithms</v>
      </c>
      <c r="H1648" s="13" t="str">
        <f>SUBSTITUTE(Github!L$1677, ";", ", ")</f>
        <v>Tree, Depth-First Search, Binary Tree, </v>
      </c>
      <c r="I1648" s="10" t="str">
        <f>Github!E$1677</f>
        <v>Medium</v>
      </c>
      <c r="J1648" s="10" t="str">
        <f>IF(TRIM(Github!D$1677)="TRUE","FALSE","TRUE")</f>
        <v>FALSE</v>
      </c>
      <c r="K1648" s="10" t="b">
        <f>Github!M$1677</f>
        <v>0</v>
      </c>
      <c r="L1648" s="10" t="b">
        <f>Github!N$1677</f>
        <v>0</v>
      </c>
      <c r="M1648" s="10" t="str">
        <f>ROUND(Github!O$1677, 2)&amp;"%"</f>
        <v>79.5%</v>
      </c>
      <c r="N1648" s="10">
        <f>Github!P$1677</f>
        <v>18620</v>
      </c>
      <c r="O1648" s="10">
        <f>Github!Q$1677</f>
        <v>23420</v>
      </c>
    </row>
    <row r="1649">
      <c r="A1649" s="10">
        <f>Github!J$1846</f>
        <v>1845</v>
      </c>
      <c r="B1649" s="11" t="str">
        <f>HYPERLINK(CONCAT("http://leetcode.com/problems/",Github!C$1846), Github!B$1846)</f>
        <v>Seat Reservation Manager</v>
      </c>
      <c r="C1649" s="10">
        <f>Github!F$1846</f>
        <v>269</v>
      </c>
      <c r="D1649" s="10">
        <f>Github!G$1846</f>
        <v>21</v>
      </c>
      <c r="E1649" s="10">
        <f>Github!F$1846+Github!G$1846</f>
        <v>290</v>
      </c>
      <c r="F1649" s="12">
        <f t="shared" si="1"/>
        <v>12.81</v>
      </c>
      <c r="G1649" s="10" t="str">
        <f>Github!H$1846</f>
        <v>Algorithms</v>
      </c>
      <c r="H1649" s="13" t="str">
        <f>SUBSTITUTE(Github!L$1846, ";", ", ")</f>
        <v>Design, Heap (Priority Queue), </v>
      </c>
      <c r="I1649" s="10" t="str">
        <f>Github!E$1846</f>
        <v>Medium</v>
      </c>
      <c r="J1649" s="10" t="str">
        <f>IF(TRIM(Github!D$1846)="TRUE","FALSE","TRUE")</f>
        <v>TRUE</v>
      </c>
      <c r="K1649" s="10" t="b">
        <f>Github!M$1846</f>
        <v>0</v>
      </c>
      <c r="L1649" s="10" t="b">
        <f>Github!N$1846</f>
        <v>0</v>
      </c>
      <c r="M1649" s="10" t="str">
        <f>ROUND(Github!O$1846, 2)&amp;"%"</f>
        <v>59.94%</v>
      </c>
      <c r="N1649" s="10">
        <f>Github!P$1846</f>
        <v>16240</v>
      </c>
      <c r="O1649" s="10">
        <f>Github!Q$1846</f>
        <v>27096</v>
      </c>
    </row>
    <row r="1650">
      <c r="A1650" s="10">
        <f>Github!J$1112</f>
        <v>1111</v>
      </c>
      <c r="B1650" s="11" t="str">
        <f>HYPERLINK(CONCAT("http://leetcode.com/problems/",Github!C$1112), Github!B$1112)</f>
        <v>Maximum Nesting Depth of Two Valid Parentheses Strings</v>
      </c>
      <c r="C1650" s="10">
        <f>Github!F$1112</f>
        <v>268</v>
      </c>
      <c r="D1650" s="10">
        <f>Github!G$1112</f>
        <v>1206</v>
      </c>
      <c r="E1650" s="10">
        <f>Github!F$1112+Github!G$1112</f>
        <v>1474</v>
      </c>
      <c r="F1650" s="12">
        <f t="shared" si="1"/>
        <v>0.22</v>
      </c>
      <c r="G1650" s="10" t="str">
        <f>Github!H$1112</f>
        <v>Algorithms</v>
      </c>
      <c r="H1650" s="13" t="str">
        <f>SUBSTITUTE(Github!L$1112, ";", ", ")</f>
        <v>String, Stack, </v>
      </c>
      <c r="I1650" s="10" t="str">
        <f>Github!E$1112</f>
        <v>Medium</v>
      </c>
      <c r="J1650" s="10" t="str">
        <f>IF(TRIM(Github!D$1112)="TRUE","FALSE","TRUE")</f>
        <v>TRUE</v>
      </c>
      <c r="K1650" s="10" t="b">
        <f>Github!M$1112</f>
        <v>0</v>
      </c>
      <c r="L1650" s="10" t="b">
        <f>Github!N$1112</f>
        <v>0</v>
      </c>
      <c r="M1650" s="10" t="str">
        <f>ROUND(Github!O$1112, 2)&amp;"%"</f>
        <v>72.88%</v>
      </c>
      <c r="N1650" s="10">
        <f>Github!P$1112</f>
        <v>18590</v>
      </c>
      <c r="O1650" s="10">
        <f>Github!Q$1112</f>
        <v>25506</v>
      </c>
    </row>
    <row r="1651">
      <c r="A1651" s="10">
        <f>Github!J$1145</f>
        <v>1144</v>
      </c>
      <c r="B1651" s="11" t="str">
        <f>HYPERLINK(CONCAT("http://leetcode.com/problems/",Github!C$1145), Github!B$1145)</f>
        <v>Decrease Elements To Make Array Zigzag</v>
      </c>
      <c r="C1651" s="10">
        <f>Github!F$1145</f>
        <v>268</v>
      </c>
      <c r="D1651" s="10">
        <f>Github!G$1145</f>
        <v>141</v>
      </c>
      <c r="E1651" s="10">
        <f>Github!F$1145+Github!G$1145</f>
        <v>409</v>
      </c>
      <c r="F1651" s="12">
        <f t="shared" si="1"/>
        <v>1.9</v>
      </c>
      <c r="G1651" s="10" t="str">
        <f>Github!H$1145</f>
        <v>Algorithms</v>
      </c>
      <c r="H1651" s="13" t="str">
        <f>SUBSTITUTE(Github!L$1145, ";", ", ")</f>
        <v>Array, Greedy, </v>
      </c>
      <c r="I1651" s="10" t="str">
        <f>Github!E$1145</f>
        <v>Medium</v>
      </c>
      <c r="J1651" s="10" t="str">
        <f>IF(TRIM(Github!D$1145)="TRUE","FALSE","TRUE")</f>
        <v>TRUE</v>
      </c>
      <c r="K1651" s="10" t="b">
        <f>Github!M$1145</f>
        <v>0</v>
      </c>
      <c r="L1651" s="10" t="b">
        <f>Github!N$1145</f>
        <v>0</v>
      </c>
      <c r="M1651" s="10" t="str">
        <f>ROUND(Github!O$1145, 2)&amp;"%"</f>
        <v>46.96%</v>
      </c>
      <c r="N1651" s="10">
        <f>Github!P$1145</f>
        <v>14243</v>
      </c>
      <c r="O1651" s="10">
        <f>Github!Q$1145</f>
        <v>30328</v>
      </c>
    </row>
    <row r="1652">
      <c r="A1652" s="10">
        <f>Github!J$1870</f>
        <v>1869</v>
      </c>
      <c r="B1652" s="11" t="str">
        <f>HYPERLINK(CONCAT("http://leetcode.com/problems/",Github!C$1870), Github!B$1870)</f>
        <v>Longer Contiguous Segments of Ones than Zeros</v>
      </c>
      <c r="C1652" s="10">
        <f>Github!F$1870</f>
        <v>269</v>
      </c>
      <c r="D1652" s="10">
        <f>Github!G$1870</f>
        <v>6</v>
      </c>
      <c r="E1652" s="10">
        <f>Github!F$1870+Github!G$1870</f>
        <v>275</v>
      </c>
      <c r="F1652" s="12">
        <f t="shared" si="1"/>
        <v>44.83</v>
      </c>
      <c r="G1652" s="10" t="str">
        <f>Github!H$1870</f>
        <v>Algorithms</v>
      </c>
      <c r="H1652" s="13" t="str">
        <f>SUBSTITUTE(Github!L$1870, ";", ", ")</f>
        <v>String, </v>
      </c>
      <c r="I1652" s="10" t="str">
        <f>Github!E$1870</f>
        <v>Easy</v>
      </c>
      <c r="J1652" s="10" t="str">
        <f>IF(TRIM(Github!D$1870)="TRUE","FALSE","TRUE")</f>
        <v>TRUE</v>
      </c>
      <c r="K1652" s="10" t="b">
        <f>Github!M$1870</f>
        <v>0</v>
      </c>
      <c r="L1652" s="10" t="b">
        <f>Github!N$1870</f>
        <v>0</v>
      </c>
      <c r="M1652" s="10" t="str">
        <f>ROUND(Github!O$1870, 2)&amp;"%"</f>
        <v>60.09%</v>
      </c>
      <c r="N1652" s="10">
        <f>Github!P$1870</f>
        <v>27117</v>
      </c>
      <c r="O1652" s="10">
        <f>Github!Q$1870</f>
        <v>45128</v>
      </c>
    </row>
    <row r="1653">
      <c r="A1653" s="10">
        <f>Github!J$2092</f>
        <v>2091</v>
      </c>
      <c r="B1653" s="11" t="str">
        <f>HYPERLINK(CONCAT("http://leetcode.com/problems/",Github!C$2092), Github!B$2092)</f>
        <v>Removing Minimum and Maximum From Array</v>
      </c>
      <c r="C1653" s="10">
        <f>Github!F$2092</f>
        <v>268</v>
      </c>
      <c r="D1653" s="10">
        <f>Github!G$2092</f>
        <v>15</v>
      </c>
      <c r="E1653" s="10">
        <f>Github!F$2092+Github!G$2092</f>
        <v>283</v>
      </c>
      <c r="F1653" s="12">
        <f t="shared" si="1"/>
        <v>17.87</v>
      </c>
      <c r="G1653" s="10" t="str">
        <f>Github!H$2092</f>
        <v>Algorithms</v>
      </c>
      <c r="H1653" s="13" t="str">
        <f>SUBSTITUTE(Github!L$2092, ";", ", ")</f>
        <v>Array, Greedy, </v>
      </c>
      <c r="I1653" s="10" t="str">
        <f>Github!E$2092</f>
        <v>Medium</v>
      </c>
      <c r="J1653" s="10" t="str">
        <f>IF(TRIM(Github!D$2092)="TRUE","FALSE","TRUE")</f>
        <v>TRUE</v>
      </c>
      <c r="K1653" s="10" t="b">
        <f>Github!M$2092</f>
        <v>0</v>
      </c>
      <c r="L1653" s="10" t="b">
        <f>Github!N$2092</f>
        <v>0</v>
      </c>
      <c r="M1653" s="10" t="str">
        <f>ROUND(Github!O$2092, 2)&amp;"%"</f>
        <v>57.93%</v>
      </c>
      <c r="N1653" s="10">
        <f>Github!P$2092</f>
        <v>14873</v>
      </c>
      <c r="O1653" s="10">
        <f>Github!Q$2092</f>
        <v>25672</v>
      </c>
    </row>
    <row r="1654">
      <c r="A1654" s="10">
        <f>Github!J$249</f>
        <v>248</v>
      </c>
      <c r="B1654" s="11" t="str">
        <f>HYPERLINK(CONCAT("http://leetcode.com/problems/",Github!C$249), Github!B$249)</f>
        <v>Strobogrammatic Number III</v>
      </c>
      <c r="C1654" s="10">
        <f>Github!F$249</f>
        <v>266</v>
      </c>
      <c r="D1654" s="10">
        <f>Github!G$249</f>
        <v>170</v>
      </c>
      <c r="E1654" s="10">
        <f>Github!F$249+Github!G$249</f>
        <v>436</v>
      </c>
      <c r="F1654" s="12">
        <f t="shared" si="1"/>
        <v>1.56</v>
      </c>
      <c r="G1654" s="10" t="str">
        <f>Github!H$249</f>
        <v>Algorithms</v>
      </c>
      <c r="H1654" s="13" t="str">
        <f>SUBSTITUTE(Github!L$249, ";", ", ")</f>
        <v>Array, String, Recursion, </v>
      </c>
      <c r="I1654" s="10" t="str">
        <f>Github!E$249</f>
        <v>Hard</v>
      </c>
      <c r="J1654" s="10" t="str">
        <f>IF(TRIM(Github!D$249)="TRUE","FALSE","TRUE")</f>
        <v>FALSE</v>
      </c>
      <c r="K1654" s="10" t="b">
        <f>Github!M$249</f>
        <v>0</v>
      </c>
      <c r="L1654" s="10" t="b">
        <f>Github!N$249</f>
        <v>0</v>
      </c>
      <c r="M1654" s="10" t="str">
        <f>ROUND(Github!O$249, 2)&amp;"%"</f>
        <v>41.27%</v>
      </c>
      <c r="N1654" s="10">
        <f>Github!P$249</f>
        <v>33333</v>
      </c>
      <c r="O1654" s="10">
        <f>Github!Q$249</f>
        <v>80770</v>
      </c>
    </row>
    <row r="1655">
      <c r="A1655" s="10">
        <f>Github!J$1247</f>
        <v>1246</v>
      </c>
      <c r="B1655" s="11" t="str">
        <f>HYPERLINK(CONCAT("http://leetcode.com/problems/",Github!C$1247), Github!B$1247)</f>
        <v>Palindrome Removal</v>
      </c>
      <c r="C1655" s="10">
        <f>Github!F$1247</f>
        <v>266</v>
      </c>
      <c r="D1655" s="10">
        <f>Github!G$1247</f>
        <v>9</v>
      </c>
      <c r="E1655" s="10">
        <f>Github!F$1247+Github!G$1247</f>
        <v>275</v>
      </c>
      <c r="F1655" s="12">
        <f t="shared" si="1"/>
        <v>29.56</v>
      </c>
      <c r="G1655" s="10" t="str">
        <f>Github!H$1247</f>
        <v>Algorithms</v>
      </c>
      <c r="H1655" s="13" t="str">
        <f>SUBSTITUTE(Github!L$1247, ";", ", ")</f>
        <v>Array, Dynamic Programming, </v>
      </c>
      <c r="I1655" s="10" t="str">
        <f>Github!E$1247</f>
        <v>Hard</v>
      </c>
      <c r="J1655" s="10" t="str">
        <f>IF(TRIM(Github!D$1247)="TRUE","FALSE","TRUE")</f>
        <v>FALSE</v>
      </c>
      <c r="K1655" s="10" t="b">
        <f>Github!M$1247</f>
        <v>0</v>
      </c>
      <c r="L1655" s="10" t="b">
        <f>Github!N$1247</f>
        <v>0</v>
      </c>
      <c r="M1655" s="10" t="str">
        <f>ROUND(Github!O$1247, 2)&amp;"%"</f>
        <v>46.13%</v>
      </c>
      <c r="N1655" s="10">
        <f>Github!P$1247</f>
        <v>8632</v>
      </c>
      <c r="O1655" s="10">
        <f>Github!Q$1247</f>
        <v>18712</v>
      </c>
    </row>
    <row r="1656">
      <c r="A1656" s="10">
        <f>Github!J$2086</f>
        <v>2085</v>
      </c>
      <c r="B1656" s="11" t="str">
        <f>HYPERLINK(CONCAT("http://leetcode.com/problems/",Github!C$2086), Github!B$2086)</f>
        <v>Count Common Words With One Occurrence</v>
      </c>
      <c r="C1656" s="10">
        <f>Github!F$2086</f>
        <v>266</v>
      </c>
      <c r="D1656" s="10">
        <f>Github!G$2086</f>
        <v>6</v>
      </c>
      <c r="E1656" s="10">
        <f>Github!F$2086+Github!G$2086</f>
        <v>272</v>
      </c>
      <c r="F1656" s="12">
        <f t="shared" si="1"/>
        <v>44.33</v>
      </c>
      <c r="G1656" s="10" t="str">
        <f>Github!H$2086</f>
        <v>Algorithms</v>
      </c>
      <c r="H1656" s="13" t="str">
        <f>SUBSTITUTE(Github!L$2086, ";", ", ")</f>
        <v>Array, Hash Table, String, Counting, </v>
      </c>
      <c r="I1656" s="10" t="str">
        <f>Github!E$2086</f>
        <v>Easy</v>
      </c>
      <c r="J1656" s="10" t="str">
        <f>IF(TRIM(Github!D$2086)="TRUE","FALSE","TRUE")</f>
        <v>TRUE</v>
      </c>
      <c r="K1656" s="10" t="b">
        <f>Github!M$2086</f>
        <v>0</v>
      </c>
      <c r="L1656" s="10" t="b">
        <f>Github!N$2086</f>
        <v>0</v>
      </c>
      <c r="M1656" s="10" t="str">
        <f>ROUND(Github!O$2086, 2)&amp;"%"</f>
        <v>70.99%</v>
      </c>
      <c r="N1656" s="10">
        <f>Github!P$2086</f>
        <v>19185</v>
      </c>
      <c r="O1656" s="10">
        <f>Github!Q$2086</f>
        <v>27024</v>
      </c>
    </row>
    <row r="1657">
      <c r="A1657" s="10">
        <f>Github!J$552</f>
        <v>551</v>
      </c>
      <c r="B1657" s="11" t="str">
        <f>HYPERLINK(CONCAT("http://leetcode.com/problems/",Github!C$552), Github!B$552)</f>
        <v>Student Attendance Record I</v>
      </c>
      <c r="C1657" s="10">
        <f>Github!F$552</f>
        <v>265</v>
      </c>
      <c r="D1657" s="10">
        <f>Github!G$552</f>
        <v>15</v>
      </c>
      <c r="E1657" s="10">
        <f>Github!F$552+Github!G$552</f>
        <v>280</v>
      </c>
      <c r="F1657" s="12">
        <f t="shared" si="1"/>
        <v>17.67</v>
      </c>
      <c r="G1657" s="10" t="str">
        <f>Github!H$552</f>
        <v>Algorithms</v>
      </c>
      <c r="H1657" s="13" t="str">
        <f>SUBSTITUTE(Github!L$552, ";", ", ")</f>
        <v>String, </v>
      </c>
      <c r="I1657" s="10" t="str">
        <f>Github!E$552</f>
        <v>Easy</v>
      </c>
      <c r="J1657" s="10" t="str">
        <f>IF(TRIM(Github!D$552)="TRUE","FALSE","TRUE")</f>
        <v>TRUE</v>
      </c>
      <c r="K1657" s="10" t="b">
        <f>Github!M$552</f>
        <v>1</v>
      </c>
      <c r="L1657" s="10" t="b">
        <f>Github!N$552</f>
        <v>0</v>
      </c>
      <c r="M1657" s="10" t="str">
        <f>ROUND(Github!O$552, 2)&amp;"%"</f>
        <v>47.43%</v>
      </c>
      <c r="N1657" s="10">
        <f>Github!P$552</f>
        <v>138048</v>
      </c>
      <c r="O1657" s="10">
        <f>Github!Q$552</f>
        <v>291040</v>
      </c>
    </row>
    <row r="1658">
      <c r="A1658" s="10">
        <f>Github!J$1455</f>
        <v>1454</v>
      </c>
      <c r="B1658" s="11" t="str">
        <f>HYPERLINK(CONCAT("http://leetcode.com/problems/",Github!C$1455), Github!B$1455)</f>
        <v>Active Users</v>
      </c>
      <c r="C1658" s="10">
        <f>Github!F$1455</f>
        <v>265</v>
      </c>
      <c r="D1658" s="10">
        <f>Github!G$1455</f>
        <v>26</v>
      </c>
      <c r="E1658" s="10">
        <f>Github!F$1455+Github!G$1455</f>
        <v>291</v>
      </c>
      <c r="F1658" s="12">
        <f t="shared" si="1"/>
        <v>10.19</v>
      </c>
      <c r="G1658" s="10" t="str">
        <f>Github!H$1455</f>
        <v>Database</v>
      </c>
      <c r="H1658" s="13" t="str">
        <f>SUBSTITUTE(Github!L$1455, ";", ", ")</f>
        <v>Database, </v>
      </c>
      <c r="I1658" s="10" t="str">
        <f>Github!E$1455</f>
        <v>Medium</v>
      </c>
      <c r="J1658" s="10" t="str">
        <f>IF(TRIM(Github!D$1455)="TRUE","FALSE","TRUE")</f>
        <v>FALSE</v>
      </c>
      <c r="K1658" s="10" t="b">
        <f>Github!M$1455</f>
        <v>0</v>
      </c>
      <c r="L1658" s="10" t="b">
        <f>Github!N$1455</f>
        <v>0</v>
      </c>
      <c r="M1658" s="10" t="str">
        <f>ROUND(Github!O$1455, 2)&amp;"%"</f>
        <v>38.39%</v>
      </c>
      <c r="N1658" s="10">
        <f>Github!P$1455</f>
        <v>21255</v>
      </c>
      <c r="O1658" s="10">
        <f>Github!Q$1455</f>
        <v>55373</v>
      </c>
    </row>
    <row r="1659">
      <c r="A1659" s="10">
        <f>Github!J$1944</f>
        <v>1943</v>
      </c>
      <c r="B1659" s="11" t="str">
        <f>HYPERLINK(CONCAT("http://leetcode.com/problems/",Github!C$1944), Github!B$1944)</f>
        <v>Describe the Painting</v>
      </c>
      <c r="C1659" s="10">
        <f>Github!F$1944</f>
        <v>264</v>
      </c>
      <c r="D1659" s="10">
        <f>Github!G$1944</f>
        <v>16</v>
      </c>
      <c r="E1659" s="10">
        <f>Github!F$1944+Github!G$1944</f>
        <v>280</v>
      </c>
      <c r="F1659" s="12">
        <f t="shared" si="1"/>
        <v>16.5</v>
      </c>
      <c r="G1659" s="10" t="str">
        <f>Github!H$1944</f>
        <v>Algorithms</v>
      </c>
      <c r="H1659" s="13" t="str">
        <f>SUBSTITUTE(Github!L$1944, ";", ", ")</f>
        <v>Array, Prefix Sum, </v>
      </c>
      <c r="I1659" s="10" t="str">
        <f>Github!E$1944</f>
        <v>Medium</v>
      </c>
      <c r="J1659" s="10" t="str">
        <f>IF(TRIM(Github!D$1944)="TRUE","FALSE","TRUE")</f>
        <v>TRUE</v>
      </c>
      <c r="K1659" s="10" t="b">
        <f>Github!M$1944</f>
        <v>0</v>
      </c>
      <c r="L1659" s="10" t="b">
        <f>Github!N$1944</f>
        <v>0</v>
      </c>
      <c r="M1659" s="10" t="str">
        <f>ROUND(Github!O$1944, 2)&amp;"%"</f>
        <v>46.11%</v>
      </c>
      <c r="N1659" s="10">
        <f>Github!P$1944</f>
        <v>6961</v>
      </c>
      <c r="O1659" s="10">
        <f>Github!Q$1944</f>
        <v>15095</v>
      </c>
    </row>
    <row r="1660">
      <c r="A1660" s="10">
        <f>Github!J$1167</f>
        <v>1166</v>
      </c>
      <c r="B1660" s="11" t="str">
        <f>HYPERLINK(CONCAT("http://leetcode.com/problems/",Github!C$1167), Github!B$1167)</f>
        <v>Design File System</v>
      </c>
      <c r="C1660" s="10">
        <f>Github!F$1167</f>
        <v>264</v>
      </c>
      <c r="D1660" s="10">
        <f>Github!G$1167</f>
        <v>23</v>
      </c>
      <c r="E1660" s="10">
        <f>Github!F$1167+Github!G$1167</f>
        <v>287</v>
      </c>
      <c r="F1660" s="12">
        <f t="shared" si="1"/>
        <v>11.48</v>
      </c>
      <c r="G1660" s="10" t="str">
        <f>Github!H$1167</f>
        <v>Algorithms</v>
      </c>
      <c r="H1660" s="13" t="str">
        <f>SUBSTITUTE(Github!L$1167, ";", ", ")</f>
        <v>Hash Table, String, Design, Trie, </v>
      </c>
      <c r="I1660" s="10" t="str">
        <f>Github!E$1167</f>
        <v>Medium</v>
      </c>
      <c r="J1660" s="10" t="str">
        <f>IF(TRIM(Github!D$1167)="TRUE","FALSE","TRUE")</f>
        <v>FALSE</v>
      </c>
      <c r="K1660" s="10" t="b">
        <f>Github!M$1167</f>
        <v>1</v>
      </c>
      <c r="L1660" s="10" t="b">
        <f>Github!N$1167</f>
        <v>0</v>
      </c>
      <c r="M1660" s="10" t="str">
        <f>ROUND(Github!O$1167, 2)&amp;"%"</f>
        <v>60.3%</v>
      </c>
      <c r="N1660" s="10">
        <f>Github!P$1167</f>
        <v>20584</v>
      </c>
      <c r="O1660" s="10">
        <f>Github!Q$1167</f>
        <v>34134</v>
      </c>
    </row>
    <row r="1661">
      <c r="A1661" s="10">
        <f>Github!J$1804</f>
        <v>1803</v>
      </c>
      <c r="B1661" s="11" t="str">
        <f>HYPERLINK(CONCAT("http://leetcode.com/problems/",Github!C$1804), Github!B$1804)</f>
        <v>Count Pairs With XOR in a Range</v>
      </c>
      <c r="C1661" s="10">
        <f>Github!F$1804</f>
        <v>263</v>
      </c>
      <c r="D1661" s="10">
        <f>Github!G$1804</f>
        <v>10</v>
      </c>
      <c r="E1661" s="10">
        <f>Github!F$1804+Github!G$1804</f>
        <v>273</v>
      </c>
      <c r="F1661" s="12">
        <f t="shared" si="1"/>
        <v>26.3</v>
      </c>
      <c r="G1661" s="10" t="str">
        <f>Github!H$1804</f>
        <v>Algorithms</v>
      </c>
      <c r="H1661" s="13" t="str">
        <f>SUBSTITUTE(Github!L$1804, ";", ", ")</f>
        <v>Array, Bit Manipulation, Trie, </v>
      </c>
      <c r="I1661" s="10" t="str">
        <f>Github!E$1804</f>
        <v>Hard</v>
      </c>
      <c r="J1661" s="10" t="str">
        <f>IF(TRIM(Github!D$1804)="TRUE","FALSE","TRUE")</f>
        <v>TRUE</v>
      </c>
      <c r="K1661" s="10" t="b">
        <f>Github!M$1804</f>
        <v>0</v>
      </c>
      <c r="L1661" s="10" t="b">
        <f>Github!N$1804</f>
        <v>0</v>
      </c>
      <c r="M1661" s="10" t="str">
        <f>ROUND(Github!O$1804, 2)&amp;"%"</f>
        <v>46.38%</v>
      </c>
      <c r="N1661" s="10">
        <f>Github!P$1804</f>
        <v>4457</v>
      </c>
      <c r="O1661" s="10">
        <f>Github!Q$1804</f>
        <v>9610</v>
      </c>
    </row>
    <row r="1662">
      <c r="A1662" s="10">
        <f>Github!J$2014</f>
        <v>2013</v>
      </c>
      <c r="B1662" s="11" t="str">
        <f>HYPERLINK(CONCAT("http://leetcode.com/problems/",Github!C$2014), Github!B$2014)</f>
        <v>Detect Squares</v>
      </c>
      <c r="C1662" s="10">
        <f>Github!F$2014</f>
        <v>262</v>
      </c>
      <c r="D1662" s="10">
        <f>Github!G$2014</f>
        <v>88</v>
      </c>
      <c r="E1662" s="10">
        <f>Github!F$2014+Github!G$2014</f>
        <v>350</v>
      </c>
      <c r="F1662" s="12">
        <f t="shared" si="1"/>
        <v>2.98</v>
      </c>
      <c r="G1662" s="10" t="str">
        <f>Github!H$2014</f>
        <v>Algorithms</v>
      </c>
      <c r="H1662" s="13" t="str">
        <f>SUBSTITUTE(Github!L$2014, ";", ", ")</f>
        <v>Array, Hash Table, Design, Counting, </v>
      </c>
      <c r="I1662" s="10" t="str">
        <f>Github!E$2014</f>
        <v>Medium</v>
      </c>
      <c r="J1662" s="10" t="str">
        <f>IF(TRIM(Github!D$2014)="TRUE","FALSE","TRUE")</f>
        <v>TRUE</v>
      </c>
      <c r="K1662" s="10" t="b">
        <f>Github!M$2014</f>
        <v>0</v>
      </c>
      <c r="L1662" s="10" t="b">
        <f>Github!N$2014</f>
        <v>0</v>
      </c>
      <c r="M1662" s="10" t="str">
        <f>ROUND(Github!O$2014, 2)&amp;"%"</f>
        <v>44.62%</v>
      </c>
      <c r="N1662" s="10">
        <f>Github!P$2014</f>
        <v>14973</v>
      </c>
      <c r="O1662" s="10">
        <f>Github!Q$2014</f>
        <v>33561</v>
      </c>
    </row>
    <row r="1663">
      <c r="A1663" s="10">
        <f>Github!J$484</f>
        <v>483</v>
      </c>
      <c r="B1663" s="11" t="str">
        <f>HYPERLINK(CONCAT("http://leetcode.com/problems/",Github!C$484), Github!B$484)</f>
        <v>Smallest Good Base</v>
      </c>
      <c r="C1663" s="10">
        <f>Github!F$484</f>
        <v>261</v>
      </c>
      <c r="D1663" s="10">
        <f>Github!G$484</f>
        <v>424</v>
      </c>
      <c r="E1663" s="10">
        <f>Github!F$484+Github!G$484</f>
        <v>685</v>
      </c>
      <c r="F1663" s="12">
        <f t="shared" si="1"/>
        <v>0.62</v>
      </c>
      <c r="G1663" s="10" t="str">
        <f>Github!H$484</f>
        <v>Algorithms</v>
      </c>
      <c r="H1663" s="13" t="str">
        <f>SUBSTITUTE(Github!L$484, ";", ", ")</f>
        <v>Math, Binary Search, </v>
      </c>
      <c r="I1663" s="10" t="str">
        <f>Github!E$484</f>
        <v>Hard</v>
      </c>
      <c r="J1663" s="10" t="str">
        <f>IF(TRIM(Github!D$484)="TRUE","FALSE","TRUE")</f>
        <v>TRUE</v>
      </c>
      <c r="K1663" s="10" t="b">
        <f>Github!M$484</f>
        <v>0</v>
      </c>
      <c r="L1663" s="10" t="b">
        <f>Github!N$484</f>
        <v>0</v>
      </c>
      <c r="M1663" s="10" t="str">
        <f>ROUND(Github!O$484, 2)&amp;"%"</f>
        <v>37.77%</v>
      </c>
      <c r="N1663" s="10">
        <f>Github!P$484</f>
        <v>16550</v>
      </c>
      <c r="O1663" s="10">
        <f>Github!Q$484</f>
        <v>43820</v>
      </c>
    </row>
    <row r="1664">
      <c r="A1664" s="10">
        <f>Github!J$1181</f>
        <v>1180</v>
      </c>
      <c r="B1664" s="11" t="str">
        <f>HYPERLINK(CONCAT("http://leetcode.com/problems/",Github!C$1181), Github!B$1181)</f>
        <v>Count Substrings with Only One Distinct Letter</v>
      </c>
      <c r="C1664" s="10">
        <f>Github!F$1181</f>
        <v>262</v>
      </c>
      <c r="D1664" s="10">
        <f>Github!G$1181</f>
        <v>42</v>
      </c>
      <c r="E1664" s="10">
        <f>Github!F$1181+Github!G$1181</f>
        <v>304</v>
      </c>
      <c r="F1664" s="12">
        <f t="shared" si="1"/>
        <v>6.24</v>
      </c>
      <c r="G1664" s="10" t="str">
        <f>Github!H$1181</f>
        <v>Algorithms</v>
      </c>
      <c r="H1664" s="13" t="str">
        <f>SUBSTITUTE(Github!L$1181, ";", ", ")</f>
        <v>Math, String, </v>
      </c>
      <c r="I1664" s="10" t="str">
        <f>Github!E$1181</f>
        <v>Easy</v>
      </c>
      <c r="J1664" s="10" t="str">
        <f>IF(TRIM(Github!D$1181)="TRUE","FALSE","TRUE")</f>
        <v>FALSE</v>
      </c>
      <c r="K1664" s="10" t="b">
        <f>Github!M$1181</f>
        <v>1</v>
      </c>
      <c r="L1664" s="10" t="b">
        <f>Github!N$1181</f>
        <v>0</v>
      </c>
      <c r="M1664" s="10" t="str">
        <f>ROUND(Github!O$1181, 2)&amp;"%"</f>
        <v>78.72%</v>
      </c>
      <c r="N1664" s="10">
        <f>Github!P$1181</f>
        <v>20205</v>
      </c>
      <c r="O1664" s="10">
        <f>Github!Q$1181</f>
        <v>25666</v>
      </c>
    </row>
    <row r="1665">
      <c r="A1665" s="10">
        <f>Github!J$1751</f>
        <v>1750</v>
      </c>
      <c r="B1665" s="11" t="str">
        <f>HYPERLINK(CONCAT("http://leetcode.com/problems/",Github!C$1751), Github!B$1751)</f>
        <v>Minimum Length of String After Deleting Similar Ends</v>
      </c>
      <c r="C1665" s="10">
        <f>Github!F$1751</f>
        <v>261</v>
      </c>
      <c r="D1665" s="10">
        <f>Github!G$1751</f>
        <v>17</v>
      </c>
      <c r="E1665" s="10">
        <f>Github!F$1751+Github!G$1751</f>
        <v>278</v>
      </c>
      <c r="F1665" s="12">
        <f t="shared" si="1"/>
        <v>15.35</v>
      </c>
      <c r="G1665" s="10" t="str">
        <f>Github!H$1751</f>
        <v>Algorithms</v>
      </c>
      <c r="H1665" s="13" t="str">
        <f>SUBSTITUTE(Github!L$1751, ";", ", ")</f>
        <v>Two Pointers, String, </v>
      </c>
      <c r="I1665" s="10" t="str">
        <f>Github!E$1751</f>
        <v>Medium</v>
      </c>
      <c r="J1665" s="10" t="str">
        <f>IF(TRIM(Github!D$1751)="TRUE","FALSE","TRUE")</f>
        <v>TRUE</v>
      </c>
      <c r="K1665" s="10" t="b">
        <f>Github!M$1751</f>
        <v>0</v>
      </c>
      <c r="L1665" s="10" t="b">
        <f>Github!N$1751</f>
        <v>0</v>
      </c>
      <c r="M1665" s="10" t="str">
        <f>ROUND(Github!O$1751, 2)&amp;"%"</f>
        <v>43.05%</v>
      </c>
      <c r="N1665" s="10">
        <f>Github!P$1751</f>
        <v>13066</v>
      </c>
      <c r="O1665" s="10">
        <f>Github!Q$1751</f>
        <v>30354</v>
      </c>
    </row>
    <row r="1666">
      <c r="A1666" s="10">
        <f>Github!J$1963</f>
        <v>1962</v>
      </c>
      <c r="B1666" s="11" t="str">
        <f>HYPERLINK(CONCAT("http://leetcode.com/problems/",Github!C$1963), Github!B$1963)</f>
        <v>Remove Stones to Minimize the Total</v>
      </c>
      <c r="C1666" s="10">
        <f>Github!F$1963</f>
        <v>262</v>
      </c>
      <c r="D1666" s="10">
        <f>Github!G$1963</f>
        <v>12</v>
      </c>
      <c r="E1666" s="10">
        <f>Github!F$1963+Github!G$1963</f>
        <v>274</v>
      </c>
      <c r="F1666" s="12">
        <f t="shared" si="1"/>
        <v>21.83</v>
      </c>
      <c r="G1666" s="10" t="str">
        <f>Github!H$1963</f>
        <v>Algorithms</v>
      </c>
      <c r="H1666" s="13" t="str">
        <f>SUBSTITUTE(Github!L$1963, ";", ", ")</f>
        <v>Array, Heap (Priority Queue), </v>
      </c>
      <c r="I1666" s="10" t="str">
        <f>Github!E$1963</f>
        <v>Medium</v>
      </c>
      <c r="J1666" s="10" t="str">
        <f>IF(TRIM(Github!D$1963)="TRUE","FALSE","TRUE")</f>
        <v>TRUE</v>
      </c>
      <c r="K1666" s="10" t="b">
        <f>Github!M$1963</f>
        <v>0</v>
      </c>
      <c r="L1666" s="10" t="b">
        <f>Github!N$1963</f>
        <v>0</v>
      </c>
      <c r="M1666" s="10" t="str">
        <f>ROUND(Github!O$1963, 2)&amp;"%"</f>
        <v>55.98%</v>
      </c>
      <c r="N1666" s="10">
        <f>Github!P$1963</f>
        <v>16760</v>
      </c>
      <c r="O1666" s="10">
        <f>Github!Q$1963</f>
        <v>29937</v>
      </c>
    </row>
    <row r="1667">
      <c r="A1667" s="10">
        <f>Github!J$2166</f>
        <v>2165</v>
      </c>
      <c r="B1667" s="11" t="str">
        <f>HYPERLINK(CONCAT("http://leetcode.com/problems/",Github!C$2166), Github!B$2166)</f>
        <v>Smallest Value of the Rearranged Number</v>
      </c>
      <c r="C1667" s="10">
        <f>Github!F$2166</f>
        <v>264</v>
      </c>
      <c r="D1667" s="10">
        <f>Github!G$2166</f>
        <v>8</v>
      </c>
      <c r="E1667" s="10">
        <f>Github!F$2166+Github!G$2166</f>
        <v>272</v>
      </c>
      <c r="F1667" s="12">
        <f t="shared" si="1"/>
        <v>33</v>
      </c>
      <c r="G1667" s="10" t="str">
        <f>Github!H$2166</f>
        <v>Algorithms</v>
      </c>
      <c r="H1667" s="13" t="str">
        <f>SUBSTITUTE(Github!L$2166, ";", ", ")</f>
        <v>Math, Sorting, </v>
      </c>
      <c r="I1667" s="10" t="str">
        <f>Github!E$2166</f>
        <v>Medium</v>
      </c>
      <c r="J1667" s="10" t="str">
        <f>IF(TRIM(Github!D$2166)="TRUE","FALSE","TRUE")</f>
        <v>TRUE</v>
      </c>
      <c r="K1667" s="10" t="b">
        <f>Github!M$2166</f>
        <v>0</v>
      </c>
      <c r="L1667" s="10" t="b">
        <f>Github!N$2166</f>
        <v>0</v>
      </c>
      <c r="M1667" s="10" t="str">
        <f>ROUND(Github!O$2166, 2)&amp;"%"</f>
        <v>50.49%</v>
      </c>
      <c r="N1667" s="10">
        <f>Github!P$2166</f>
        <v>18685</v>
      </c>
      <c r="O1667" s="10">
        <f>Github!Q$2166</f>
        <v>37005</v>
      </c>
    </row>
    <row r="1668">
      <c r="A1668" s="10">
        <f>Github!J$1985</f>
        <v>1984</v>
      </c>
      <c r="B1668" s="11" t="str">
        <f>HYPERLINK(CONCAT("http://leetcode.com/problems/",Github!C$1985), Github!B$1985)</f>
        <v>Minimum Difference Between Highest and Lowest of K Scores</v>
      </c>
      <c r="C1668" s="10">
        <f>Github!F$1985</f>
        <v>259</v>
      </c>
      <c r="D1668" s="10">
        <f>Github!G$1985</f>
        <v>37</v>
      </c>
      <c r="E1668" s="10">
        <f>Github!F$1985+Github!G$1985</f>
        <v>296</v>
      </c>
      <c r="F1668" s="12">
        <f t="shared" si="1"/>
        <v>7</v>
      </c>
      <c r="G1668" s="10" t="str">
        <f>Github!H$1985</f>
        <v>Algorithms</v>
      </c>
      <c r="H1668" s="13" t="str">
        <f>SUBSTITUTE(Github!L$1985, ";", ", ")</f>
        <v>Array, Sliding Window, Sorting, </v>
      </c>
      <c r="I1668" s="10" t="str">
        <f>Github!E$1985</f>
        <v>Easy</v>
      </c>
      <c r="J1668" s="10" t="str">
        <f>IF(TRIM(Github!D$1985)="TRUE","FALSE","TRUE")</f>
        <v>TRUE</v>
      </c>
      <c r="K1668" s="10" t="b">
        <f>Github!M$1985</f>
        <v>0</v>
      </c>
      <c r="L1668" s="10" t="b">
        <f>Github!N$1985</f>
        <v>0</v>
      </c>
      <c r="M1668" s="10" t="str">
        <f>ROUND(Github!O$1985, 2)&amp;"%"</f>
        <v>54.1%</v>
      </c>
      <c r="N1668" s="10">
        <f>Github!P$1985</f>
        <v>19471</v>
      </c>
      <c r="O1668" s="10">
        <f>Github!Q$1985</f>
        <v>35990</v>
      </c>
    </row>
    <row r="1669">
      <c r="A1669" s="10">
        <f>Github!J$1273</f>
        <v>1272</v>
      </c>
      <c r="B1669" s="11" t="str">
        <f>HYPERLINK(CONCAT("http://leetcode.com/problems/",Github!C$1273), Github!B$1273)</f>
        <v>Remove Interval</v>
      </c>
      <c r="C1669" s="10">
        <f>Github!F$1273</f>
        <v>257</v>
      </c>
      <c r="D1669" s="10">
        <f>Github!G$1273</f>
        <v>20</v>
      </c>
      <c r="E1669" s="10">
        <f>Github!F$1273+Github!G$1273</f>
        <v>277</v>
      </c>
      <c r="F1669" s="12">
        <f t="shared" si="1"/>
        <v>12.85</v>
      </c>
      <c r="G1669" s="10" t="str">
        <f>Github!H$1273</f>
        <v>Algorithms</v>
      </c>
      <c r="H1669" s="13" t="str">
        <f>SUBSTITUTE(Github!L$1273, ";", ", ")</f>
        <v>Array, </v>
      </c>
      <c r="I1669" s="10" t="str">
        <f>Github!E$1273</f>
        <v>Medium</v>
      </c>
      <c r="J1669" s="10" t="str">
        <f>IF(TRIM(Github!D$1273)="TRUE","FALSE","TRUE")</f>
        <v>FALSE</v>
      </c>
      <c r="K1669" s="10" t="b">
        <f>Github!M$1273</f>
        <v>1</v>
      </c>
      <c r="L1669" s="10" t="b">
        <f>Github!N$1273</f>
        <v>1</v>
      </c>
      <c r="M1669" s="10" t="str">
        <f>ROUND(Github!O$1273, 2)&amp;"%"</f>
        <v>60.85%</v>
      </c>
      <c r="N1669" s="10">
        <f>Github!P$1273</f>
        <v>18230</v>
      </c>
      <c r="O1669" s="10">
        <f>Github!Q$1273</f>
        <v>29961</v>
      </c>
    </row>
    <row r="1670">
      <c r="A1670" s="10">
        <f>Github!J$194</f>
        <v>193</v>
      </c>
      <c r="B1670" s="11" t="str">
        <f>HYPERLINK(CONCAT("http://leetcode.com/problems/",Github!C$194), Github!B$194)</f>
        <v>Valid Phone Numbers</v>
      </c>
      <c r="C1670" s="10">
        <f>Github!F$194</f>
        <v>256</v>
      </c>
      <c r="D1670" s="10">
        <f>Github!G$194</f>
        <v>687</v>
      </c>
      <c r="E1670" s="10">
        <f>Github!F$194+Github!G$194</f>
        <v>943</v>
      </c>
      <c r="F1670" s="12">
        <f t="shared" si="1"/>
        <v>0.37</v>
      </c>
      <c r="G1670" s="10" t="str">
        <f>Github!H$194</f>
        <v>Shell</v>
      </c>
      <c r="H1670" s="13" t="str">
        <f>SUBSTITUTE(Github!L$194, ";", ", ")</f>
        <v>Shell, </v>
      </c>
      <c r="I1670" s="10" t="str">
        <f>Github!E$194</f>
        <v>Easy</v>
      </c>
      <c r="J1670" s="10" t="str">
        <f>IF(TRIM(Github!D$194)="TRUE","FALSE","TRUE")</f>
        <v>TRUE</v>
      </c>
      <c r="K1670" s="10" t="b">
        <f>Github!M$194</f>
        <v>0</v>
      </c>
      <c r="L1670" s="10" t="b">
        <f>Github!N$194</f>
        <v>0</v>
      </c>
      <c r="M1670" s="10" t="str">
        <f>ROUND(Github!O$194, 2)&amp;"%"</f>
        <v>25.79%</v>
      </c>
      <c r="N1670" s="10">
        <f>Github!P$194</f>
        <v>54055</v>
      </c>
      <c r="O1670" s="10">
        <f>Github!Q$194</f>
        <v>209565</v>
      </c>
    </row>
    <row r="1671">
      <c r="A1671" s="10">
        <f>Github!J$2193</f>
        <v>2192</v>
      </c>
      <c r="B1671" s="11" t="str">
        <f>HYPERLINK(CONCAT("http://leetcode.com/problems/",Github!C$2193), Github!B$2193)</f>
        <v>All Ancestors of a Node in a Directed Acyclic Graph</v>
      </c>
      <c r="C1671" s="10">
        <f>Github!F$2193</f>
        <v>262</v>
      </c>
      <c r="D1671" s="10">
        <f>Github!G$2193</f>
        <v>3</v>
      </c>
      <c r="E1671" s="10">
        <f>Github!F$2193+Github!G$2193</f>
        <v>265</v>
      </c>
      <c r="F1671" s="12">
        <f t="shared" si="1"/>
        <v>87.33</v>
      </c>
      <c r="G1671" s="10" t="str">
        <f>Github!H$2193</f>
        <v>Algorithms</v>
      </c>
      <c r="H1671" s="13" t="str">
        <f>SUBSTITUTE(Github!L$2193, ";", ", ")</f>
        <v>Depth-First Search, Breadth-First Search, Graph, Topological Sort, </v>
      </c>
      <c r="I1671" s="10" t="str">
        <f>Github!E$2193</f>
        <v>Medium</v>
      </c>
      <c r="J1671" s="10" t="str">
        <f>IF(TRIM(Github!D$2193)="TRUE","FALSE","TRUE")</f>
        <v>TRUE</v>
      </c>
      <c r="K1671" s="10" t="b">
        <f>Github!M$2193</f>
        <v>0</v>
      </c>
      <c r="L1671" s="10" t="b">
        <f>Github!N$2193</f>
        <v>0</v>
      </c>
      <c r="M1671" s="10" t="str">
        <f>ROUND(Github!O$2193, 2)&amp;"%"</f>
        <v>43.23%</v>
      </c>
      <c r="N1671" s="10">
        <f>Github!P$2193</f>
        <v>6991</v>
      </c>
      <c r="O1671" s="10">
        <f>Github!Q$2193</f>
        <v>16172</v>
      </c>
    </row>
    <row r="1672">
      <c r="A1672" s="10">
        <f>Github!J$554</f>
        <v>553</v>
      </c>
      <c r="B1672" s="11" t="str">
        <f>HYPERLINK(CONCAT("http://leetcode.com/problems/",Github!C$554), Github!B$554)</f>
        <v>Optimal Division</v>
      </c>
      <c r="C1672" s="10">
        <f>Github!F$554</f>
        <v>255</v>
      </c>
      <c r="D1672" s="10">
        <f>Github!G$554</f>
        <v>1359</v>
      </c>
      <c r="E1672" s="10">
        <f>Github!F$554+Github!G$554</f>
        <v>1614</v>
      </c>
      <c r="F1672" s="12">
        <f t="shared" si="1"/>
        <v>0.19</v>
      </c>
      <c r="G1672" s="10" t="str">
        <f>Github!H$554</f>
        <v>Algorithms</v>
      </c>
      <c r="H1672" s="13" t="str">
        <f>SUBSTITUTE(Github!L$554, ";", ", ")</f>
        <v>Array, Math, Dynamic Programming, </v>
      </c>
      <c r="I1672" s="10" t="str">
        <f>Github!E$554</f>
        <v>Medium</v>
      </c>
      <c r="J1672" s="10" t="str">
        <f>IF(TRIM(Github!D$554)="TRUE","FALSE","TRUE")</f>
        <v>TRUE</v>
      </c>
      <c r="K1672" s="10" t="b">
        <f>Github!M$554</f>
        <v>1</v>
      </c>
      <c r="L1672" s="10" t="b">
        <f>Github!N$554</f>
        <v>0</v>
      </c>
      <c r="M1672" s="10" t="str">
        <f>ROUND(Github!O$554, 2)&amp;"%"</f>
        <v>58.78%</v>
      </c>
      <c r="N1672" s="10">
        <f>Github!P$554</f>
        <v>31095</v>
      </c>
      <c r="O1672" s="10">
        <f>Github!Q$554</f>
        <v>52904</v>
      </c>
    </row>
    <row r="1673">
      <c r="A1673" s="10">
        <f>Github!J$1522</f>
        <v>1521</v>
      </c>
      <c r="B1673" s="11" t="str">
        <f>HYPERLINK(CONCAT("http://leetcode.com/problems/",Github!C$1522), Github!B$1522)</f>
        <v>Find a Value of a Mysterious Function Closest to Target</v>
      </c>
      <c r="C1673" s="10">
        <f>Github!F$1522</f>
        <v>255</v>
      </c>
      <c r="D1673" s="10">
        <f>Github!G$1522</f>
        <v>10</v>
      </c>
      <c r="E1673" s="10">
        <f>Github!F$1522+Github!G$1522</f>
        <v>265</v>
      </c>
      <c r="F1673" s="12">
        <f t="shared" si="1"/>
        <v>25.5</v>
      </c>
      <c r="G1673" s="10" t="str">
        <f>Github!H$1522</f>
        <v>Algorithms</v>
      </c>
      <c r="H1673" s="13" t="str">
        <f>SUBSTITUTE(Github!L$1522, ";", ", ")</f>
        <v>Array, Binary Search, Bit Manipulation, Segment Tree, </v>
      </c>
      <c r="I1673" s="10" t="str">
        <f>Github!E$1522</f>
        <v>Hard</v>
      </c>
      <c r="J1673" s="10" t="str">
        <f>IF(TRIM(Github!D$1522)="TRUE","FALSE","TRUE")</f>
        <v>TRUE</v>
      </c>
      <c r="K1673" s="10" t="b">
        <f>Github!M$1522</f>
        <v>0</v>
      </c>
      <c r="L1673" s="10" t="b">
        <f>Github!N$1522</f>
        <v>0</v>
      </c>
      <c r="M1673" s="10" t="str">
        <f>ROUND(Github!O$1522, 2)&amp;"%"</f>
        <v>43.58%</v>
      </c>
      <c r="N1673" s="10">
        <f>Github!P$1522</f>
        <v>7263</v>
      </c>
      <c r="O1673" s="10">
        <f>Github!Q$1522</f>
        <v>16665</v>
      </c>
    </row>
    <row r="1674">
      <c r="A1674" s="10">
        <f>Github!J$1400</f>
        <v>1399</v>
      </c>
      <c r="B1674" s="11" t="str">
        <f>HYPERLINK(CONCAT("http://leetcode.com/problems/",Github!C$1400), Github!B$1400)</f>
        <v>Count Largest Group</v>
      </c>
      <c r="C1674" s="10">
        <f>Github!F$1400</f>
        <v>254</v>
      </c>
      <c r="D1674" s="10">
        <f>Github!G$1400</f>
        <v>637</v>
      </c>
      <c r="E1674" s="10">
        <f>Github!F$1400+Github!G$1400</f>
        <v>891</v>
      </c>
      <c r="F1674" s="12">
        <f t="shared" si="1"/>
        <v>0.4</v>
      </c>
      <c r="G1674" s="10" t="str">
        <f>Github!H$1400</f>
        <v>Algorithms</v>
      </c>
      <c r="H1674" s="13" t="str">
        <f>SUBSTITUTE(Github!L$1400, ";", ", ")</f>
        <v>Hash Table, Math, </v>
      </c>
      <c r="I1674" s="10" t="str">
        <f>Github!E$1400</f>
        <v>Easy</v>
      </c>
      <c r="J1674" s="10" t="str">
        <f>IF(TRIM(Github!D$1400)="TRUE","FALSE","TRUE")</f>
        <v>TRUE</v>
      </c>
      <c r="K1674" s="10" t="b">
        <f>Github!M$1400</f>
        <v>0</v>
      </c>
      <c r="L1674" s="10" t="b">
        <f>Github!N$1400</f>
        <v>0</v>
      </c>
      <c r="M1674" s="10" t="str">
        <f>ROUND(Github!O$1400, 2)&amp;"%"</f>
        <v>66.64%</v>
      </c>
      <c r="N1674" s="10">
        <f>Github!P$1400</f>
        <v>29670</v>
      </c>
      <c r="O1674" s="10">
        <f>Github!Q$1400</f>
        <v>44522</v>
      </c>
    </row>
    <row r="1675">
      <c r="A1675" s="10">
        <f>Github!J$1603</f>
        <v>1602</v>
      </c>
      <c r="B1675" s="11" t="str">
        <f>HYPERLINK(CONCAT("http://leetcode.com/problems/",Github!C$1603), Github!B$1603)</f>
        <v>Find Nearest Right Node in Binary Tree</v>
      </c>
      <c r="C1675" s="10">
        <f>Github!F$1603</f>
        <v>254</v>
      </c>
      <c r="D1675" s="10">
        <f>Github!G$1603</f>
        <v>9</v>
      </c>
      <c r="E1675" s="10">
        <f>Github!F$1603+Github!G$1603</f>
        <v>263</v>
      </c>
      <c r="F1675" s="12">
        <f t="shared" si="1"/>
        <v>28.22</v>
      </c>
      <c r="G1675" s="10" t="str">
        <f>Github!H$1603</f>
        <v>Algorithms</v>
      </c>
      <c r="H1675" s="13" t="str">
        <f>SUBSTITUTE(Github!L$1603, ";", ", ")</f>
        <v>Tree, Breadth-First Search, Binary Tree, </v>
      </c>
      <c r="I1675" s="10" t="str">
        <f>Github!E$1603</f>
        <v>Medium</v>
      </c>
      <c r="J1675" s="10" t="str">
        <f>IF(TRIM(Github!D$1603)="TRUE","FALSE","TRUE")</f>
        <v>FALSE</v>
      </c>
      <c r="K1675" s="10" t="b">
        <f>Github!M$1603</f>
        <v>1</v>
      </c>
      <c r="L1675" s="10" t="b">
        <f>Github!N$1603</f>
        <v>1</v>
      </c>
      <c r="M1675" s="10" t="str">
        <f>ROUND(Github!O$1603, 2)&amp;"%"</f>
        <v>75.28%</v>
      </c>
      <c r="N1675" s="10">
        <f>Github!P$1603</f>
        <v>17699</v>
      </c>
      <c r="O1675" s="10">
        <f>Github!Q$1603</f>
        <v>23511</v>
      </c>
    </row>
    <row r="1676">
      <c r="A1676" s="10">
        <f>Github!J$1924</f>
        <v>1923</v>
      </c>
      <c r="B1676" s="11" t="str">
        <f>HYPERLINK(CONCAT("http://leetcode.com/problems/",Github!C$1924), Github!B$1924)</f>
        <v>Longest Common Subpath</v>
      </c>
      <c r="C1676" s="10">
        <f>Github!F$1924</f>
        <v>254</v>
      </c>
      <c r="D1676" s="10">
        <f>Github!G$1924</f>
        <v>23</v>
      </c>
      <c r="E1676" s="10">
        <f>Github!F$1924+Github!G$1924</f>
        <v>277</v>
      </c>
      <c r="F1676" s="12">
        <f t="shared" si="1"/>
        <v>11.04</v>
      </c>
      <c r="G1676" s="10" t="str">
        <f>Github!H$1924</f>
        <v>Algorithms</v>
      </c>
      <c r="H1676" s="13" t="str">
        <f>SUBSTITUTE(Github!L$1924, ";", ", ")</f>
        <v>Array, Binary Search, Rolling Hash, Suffix Array, Hash Function, </v>
      </c>
      <c r="I1676" s="10" t="str">
        <f>Github!E$1924</f>
        <v>Hard</v>
      </c>
      <c r="J1676" s="10" t="str">
        <f>IF(TRIM(Github!D$1924)="TRUE","FALSE","TRUE")</f>
        <v>TRUE</v>
      </c>
      <c r="K1676" s="10" t="b">
        <f>Github!M$1924</f>
        <v>0</v>
      </c>
      <c r="L1676" s="10" t="b">
        <f>Github!N$1924</f>
        <v>0</v>
      </c>
      <c r="M1676" s="10" t="str">
        <f>ROUND(Github!O$1924, 2)&amp;"%"</f>
        <v>27.97%</v>
      </c>
      <c r="N1676" s="10">
        <f>Github!P$1924</f>
        <v>4400</v>
      </c>
      <c r="O1676" s="10">
        <f>Github!Q$1924</f>
        <v>15733</v>
      </c>
    </row>
    <row r="1677">
      <c r="A1677" s="10">
        <f>Github!J$1968</f>
        <v>1967</v>
      </c>
      <c r="B1677" s="11" t="str">
        <f>HYPERLINK(CONCAT("http://leetcode.com/problems/",Github!C$1968), Github!B$1968)</f>
        <v>Number of Strings That Appear as Substrings in Word</v>
      </c>
      <c r="C1677" s="10">
        <f>Github!F$1968</f>
        <v>254</v>
      </c>
      <c r="D1677" s="10">
        <f>Github!G$1968</f>
        <v>10</v>
      </c>
      <c r="E1677" s="10">
        <f>Github!F$1968+Github!G$1968</f>
        <v>264</v>
      </c>
      <c r="F1677" s="12">
        <f t="shared" si="1"/>
        <v>25.4</v>
      </c>
      <c r="G1677" s="10" t="str">
        <f>Github!H$1968</f>
        <v>Algorithms</v>
      </c>
      <c r="H1677" s="13" t="str">
        <f>SUBSTITUTE(Github!L$1968, ";", ", ")</f>
        <v>String, </v>
      </c>
      <c r="I1677" s="10" t="str">
        <f>Github!E$1968</f>
        <v>Easy</v>
      </c>
      <c r="J1677" s="10" t="str">
        <f>IF(TRIM(Github!D$1968)="TRUE","FALSE","TRUE")</f>
        <v>TRUE</v>
      </c>
      <c r="K1677" s="10" t="b">
        <f>Github!M$1968</f>
        <v>0</v>
      </c>
      <c r="L1677" s="10" t="b">
        <f>Github!N$1968</f>
        <v>0</v>
      </c>
      <c r="M1677" s="10" t="str">
        <f>ROUND(Github!O$1968, 2)&amp;"%"</f>
        <v>79.35%</v>
      </c>
      <c r="N1677" s="10">
        <f>Github!P$1968</f>
        <v>25740</v>
      </c>
      <c r="O1677" s="10">
        <f>Github!Q$1968</f>
        <v>32439</v>
      </c>
    </row>
    <row r="1678">
      <c r="A1678" s="10">
        <f>Github!J$2004</f>
        <v>2003</v>
      </c>
      <c r="B1678" s="11" t="str">
        <f>HYPERLINK(CONCAT("http://leetcode.com/problems/",Github!C$2004), Github!B$2004)</f>
        <v>Smallest Missing Genetic Value in Each Subtree</v>
      </c>
      <c r="C1678" s="10">
        <f>Github!F$2004</f>
        <v>254</v>
      </c>
      <c r="D1678" s="10">
        <f>Github!G$2004</f>
        <v>16</v>
      </c>
      <c r="E1678" s="10">
        <f>Github!F$2004+Github!G$2004</f>
        <v>270</v>
      </c>
      <c r="F1678" s="12">
        <f t="shared" si="1"/>
        <v>15.88</v>
      </c>
      <c r="G1678" s="10" t="str">
        <f>Github!H$2004</f>
        <v>Algorithms</v>
      </c>
      <c r="H1678" s="13" t="str">
        <f>SUBSTITUTE(Github!L$2004, ";", ", ")</f>
        <v>Dynamic Programming, Tree, Depth-First Search, Union Find, </v>
      </c>
      <c r="I1678" s="10" t="str">
        <f>Github!E$2004</f>
        <v>Hard</v>
      </c>
      <c r="J1678" s="10" t="str">
        <f>IF(TRIM(Github!D$2004)="TRUE","FALSE","TRUE")</f>
        <v>TRUE</v>
      </c>
      <c r="K1678" s="10" t="b">
        <f>Github!M$2004</f>
        <v>0</v>
      </c>
      <c r="L1678" s="10" t="b">
        <f>Github!N$2004</f>
        <v>0</v>
      </c>
      <c r="M1678" s="10" t="str">
        <f>ROUND(Github!O$2004, 2)&amp;"%"</f>
        <v>42.1%</v>
      </c>
      <c r="N1678" s="10">
        <f>Github!P$2004</f>
        <v>4601</v>
      </c>
      <c r="O1678" s="10">
        <f>Github!Q$2004</f>
        <v>10928</v>
      </c>
    </row>
    <row r="1679">
      <c r="A1679" s="10">
        <f>Github!J$2023</f>
        <v>2022</v>
      </c>
      <c r="B1679" s="11" t="str">
        <f>HYPERLINK(CONCAT("http://leetcode.com/problems/",Github!C$2023), Github!B$2023)</f>
        <v>Convert 1D Array Into 2D Array</v>
      </c>
      <c r="C1679" s="10">
        <f>Github!F$2023</f>
        <v>255</v>
      </c>
      <c r="D1679" s="10">
        <f>Github!G$2023</f>
        <v>18</v>
      </c>
      <c r="E1679" s="10">
        <f>Github!F$2023+Github!G$2023</f>
        <v>273</v>
      </c>
      <c r="F1679" s="12">
        <f t="shared" si="1"/>
        <v>14.17</v>
      </c>
      <c r="G1679" s="10" t="str">
        <f>Github!H$2023</f>
        <v>Algorithms</v>
      </c>
      <c r="H1679" s="13" t="str">
        <f>SUBSTITUTE(Github!L$2023, ";", ", ")</f>
        <v>Array, Matrix, Simulation, </v>
      </c>
      <c r="I1679" s="10" t="str">
        <f>Github!E$2023</f>
        <v>Easy</v>
      </c>
      <c r="J1679" s="10" t="str">
        <f>IF(TRIM(Github!D$2023)="TRUE","FALSE","TRUE")</f>
        <v>TRUE</v>
      </c>
      <c r="K1679" s="10" t="b">
        <f>Github!M$2023</f>
        <v>0</v>
      </c>
      <c r="L1679" s="10" t="b">
        <f>Github!N$2023</f>
        <v>0</v>
      </c>
      <c r="M1679" s="10" t="str">
        <f>ROUND(Github!O$2023, 2)&amp;"%"</f>
        <v>59.86%</v>
      </c>
      <c r="N1679" s="10">
        <f>Github!P$2023</f>
        <v>25376</v>
      </c>
      <c r="O1679" s="10">
        <f>Github!Q$2023</f>
        <v>42395</v>
      </c>
    </row>
    <row r="1680">
      <c r="A1680" s="10">
        <f>Github!J$2026</f>
        <v>2025</v>
      </c>
      <c r="B1680" s="11" t="str">
        <f>HYPERLINK(CONCAT("http://leetcode.com/problems/",Github!C$2026), Github!B$2026)</f>
        <v>Maximum Number of Ways to Partition an Array</v>
      </c>
      <c r="C1680" s="10">
        <f>Github!F$2026</f>
        <v>254</v>
      </c>
      <c r="D1680" s="10">
        <f>Github!G$2026</f>
        <v>20</v>
      </c>
      <c r="E1680" s="10">
        <f>Github!F$2026+Github!G$2026</f>
        <v>274</v>
      </c>
      <c r="F1680" s="12">
        <f t="shared" si="1"/>
        <v>12.7</v>
      </c>
      <c r="G1680" s="10" t="str">
        <f>Github!H$2026</f>
        <v>Algorithms</v>
      </c>
      <c r="H1680" s="13" t="str">
        <f>SUBSTITUTE(Github!L$2026, ";", ", ")</f>
        <v>Array, Hash Table, Counting, Enumeration, Prefix Sum, </v>
      </c>
      <c r="I1680" s="10" t="str">
        <f>Github!E$2026</f>
        <v>Hard</v>
      </c>
      <c r="J1680" s="10" t="str">
        <f>IF(TRIM(Github!D$2026)="TRUE","FALSE","TRUE")</f>
        <v>TRUE</v>
      </c>
      <c r="K1680" s="10" t="b">
        <f>Github!M$2026</f>
        <v>0</v>
      </c>
      <c r="L1680" s="10" t="b">
        <f>Github!N$2026</f>
        <v>0</v>
      </c>
      <c r="M1680" s="10" t="str">
        <f>ROUND(Github!O$2026, 2)&amp;"%"</f>
        <v>30.77%</v>
      </c>
      <c r="N1680" s="10">
        <f>Github!P$2026</f>
        <v>4504</v>
      </c>
      <c r="O1680" s="10">
        <f>Github!Q$2026</f>
        <v>14640</v>
      </c>
    </row>
    <row r="1681">
      <c r="A1681" s="10">
        <f>Github!J$2033</f>
        <v>2032</v>
      </c>
      <c r="B1681" s="11" t="str">
        <f>HYPERLINK(CONCAT("http://leetcode.com/problems/",Github!C$2033), Github!B$2033)</f>
        <v>Two Out of Three</v>
      </c>
      <c r="C1681" s="10">
        <f>Github!F$2033</f>
        <v>255</v>
      </c>
      <c r="D1681" s="10">
        <f>Github!G$2033</f>
        <v>24</v>
      </c>
      <c r="E1681" s="10">
        <f>Github!F$2033+Github!G$2033</f>
        <v>279</v>
      </c>
      <c r="F1681" s="12">
        <f t="shared" si="1"/>
        <v>10.63</v>
      </c>
      <c r="G1681" s="10" t="str">
        <f>Github!H$2033</f>
        <v>Algorithms</v>
      </c>
      <c r="H1681" s="13" t="str">
        <f>SUBSTITUTE(Github!L$2033, ";", ", ")</f>
        <v>Array, Hash Table, </v>
      </c>
      <c r="I1681" s="10" t="str">
        <f>Github!E$2033</f>
        <v>Easy</v>
      </c>
      <c r="J1681" s="10" t="str">
        <f>IF(TRIM(Github!D$2033)="TRUE","FALSE","TRUE")</f>
        <v>TRUE</v>
      </c>
      <c r="K1681" s="10" t="b">
        <f>Github!M$2033</f>
        <v>0</v>
      </c>
      <c r="L1681" s="10" t="b">
        <f>Github!N$2033</f>
        <v>0</v>
      </c>
      <c r="M1681" s="10" t="str">
        <f>ROUND(Github!O$2033, 2)&amp;"%"</f>
        <v>72.83%</v>
      </c>
      <c r="N1681" s="10">
        <f>Github!P$2033</f>
        <v>23360</v>
      </c>
      <c r="O1681" s="10">
        <f>Github!Q$2033</f>
        <v>32075</v>
      </c>
    </row>
    <row r="1682">
      <c r="A1682" s="10">
        <f>Github!J$535</f>
        <v>534</v>
      </c>
      <c r="B1682" s="11" t="str">
        <f>HYPERLINK(CONCAT("http://leetcode.com/problems/",Github!C$535), Github!B$535)</f>
        <v>Game Play Analysis III</v>
      </c>
      <c r="C1682" s="10">
        <f>Github!F$535</f>
        <v>253</v>
      </c>
      <c r="D1682" s="10">
        <f>Github!G$535</f>
        <v>10</v>
      </c>
      <c r="E1682" s="10">
        <f>Github!F$535+Github!G$535</f>
        <v>263</v>
      </c>
      <c r="F1682" s="12">
        <f t="shared" si="1"/>
        <v>25.3</v>
      </c>
      <c r="G1682" s="10" t="str">
        <f>Github!H$535</f>
        <v>Database</v>
      </c>
      <c r="H1682" s="13" t="str">
        <f>SUBSTITUTE(Github!L$535, ";", ", ")</f>
        <v>Database, </v>
      </c>
      <c r="I1682" s="10" t="str">
        <f>Github!E$535</f>
        <v>Medium</v>
      </c>
      <c r="J1682" s="10" t="str">
        <f>IF(TRIM(Github!D$535)="TRUE","FALSE","TRUE")</f>
        <v>FALSE</v>
      </c>
      <c r="K1682" s="10" t="b">
        <f>Github!M$535</f>
        <v>0</v>
      </c>
      <c r="L1682" s="10" t="b">
        <f>Github!N$535</f>
        <v>0</v>
      </c>
      <c r="M1682" s="10" t="str">
        <f>ROUND(Github!O$535, 2)&amp;"%"</f>
        <v>81.68%</v>
      </c>
      <c r="N1682" s="10">
        <f>Github!P$535</f>
        <v>44118</v>
      </c>
      <c r="O1682" s="10">
        <f>Github!Q$535</f>
        <v>54015</v>
      </c>
    </row>
    <row r="1683">
      <c r="A1683" s="10">
        <f>Github!J$756</f>
        <v>755</v>
      </c>
      <c r="B1683" s="11" t="str">
        <f>HYPERLINK(CONCAT("http://leetcode.com/problems/",Github!C$756), Github!B$756)</f>
        <v>Pour Water</v>
      </c>
      <c r="C1683" s="10">
        <f>Github!F$756</f>
        <v>253</v>
      </c>
      <c r="D1683" s="10">
        <f>Github!G$756</f>
        <v>590</v>
      </c>
      <c r="E1683" s="10">
        <f>Github!F$756+Github!G$756</f>
        <v>843</v>
      </c>
      <c r="F1683" s="12">
        <f t="shared" si="1"/>
        <v>0.43</v>
      </c>
      <c r="G1683" s="10" t="str">
        <f>Github!H$756</f>
        <v>Algorithms</v>
      </c>
      <c r="H1683" s="13" t="str">
        <f>SUBSTITUTE(Github!L$756, ";", ", ")</f>
        <v>Array, Simulation, </v>
      </c>
      <c r="I1683" s="10" t="str">
        <f>Github!E$756</f>
        <v>Medium</v>
      </c>
      <c r="J1683" s="10" t="str">
        <f>IF(TRIM(Github!D$756)="TRUE","FALSE","TRUE")</f>
        <v>FALSE</v>
      </c>
      <c r="K1683" s="10" t="b">
        <f>Github!M$756</f>
        <v>0</v>
      </c>
      <c r="L1683" s="10" t="b">
        <f>Github!N$756</f>
        <v>0</v>
      </c>
      <c r="M1683" s="10" t="str">
        <f>ROUND(Github!O$756, 2)&amp;"%"</f>
        <v>45.4%</v>
      </c>
      <c r="N1683" s="10">
        <f>Github!P$756</f>
        <v>29334</v>
      </c>
      <c r="O1683" s="10">
        <f>Github!Q$756</f>
        <v>64619</v>
      </c>
    </row>
    <row r="1684">
      <c r="A1684" s="10">
        <f>Github!J$1936</f>
        <v>1935</v>
      </c>
      <c r="B1684" s="11" t="str">
        <f>HYPERLINK(CONCAT("http://leetcode.com/problems/",Github!C$1936), Github!B$1936)</f>
        <v>Maximum Number of Words You Can Type</v>
      </c>
      <c r="C1684" s="10">
        <f>Github!F$1936</f>
        <v>253</v>
      </c>
      <c r="D1684" s="10">
        <f>Github!G$1936</f>
        <v>11</v>
      </c>
      <c r="E1684" s="10">
        <f>Github!F$1936+Github!G$1936</f>
        <v>264</v>
      </c>
      <c r="F1684" s="12">
        <f t="shared" si="1"/>
        <v>23</v>
      </c>
      <c r="G1684" s="10" t="str">
        <f>Github!H$1936</f>
        <v>Algorithms</v>
      </c>
      <c r="H1684" s="13" t="str">
        <f>SUBSTITUTE(Github!L$1936, ";", ", ")</f>
        <v>Hash Table, String, </v>
      </c>
      <c r="I1684" s="10" t="str">
        <f>Github!E$1936</f>
        <v>Easy</v>
      </c>
      <c r="J1684" s="10" t="str">
        <f>IF(TRIM(Github!D$1936)="TRUE","FALSE","TRUE")</f>
        <v>TRUE</v>
      </c>
      <c r="K1684" s="10" t="b">
        <f>Github!M$1936</f>
        <v>0</v>
      </c>
      <c r="L1684" s="10" t="b">
        <f>Github!N$1936</f>
        <v>0</v>
      </c>
      <c r="M1684" s="10" t="str">
        <f>ROUND(Github!O$1936, 2)&amp;"%"</f>
        <v>71.61%</v>
      </c>
      <c r="N1684" s="10">
        <f>Github!P$1936</f>
        <v>26963</v>
      </c>
      <c r="O1684" s="10">
        <f>Github!Q$1936</f>
        <v>37653</v>
      </c>
    </row>
    <row r="1685">
      <c r="A1685" s="10">
        <f>Github!J$2054</f>
        <v>2053</v>
      </c>
      <c r="B1685" s="11" t="str">
        <f>HYPERLINK(CONCAT("http://leetcode.com/problems/",Github!C$2054), Github!B$2054)</f>
        <v>Kth Distinct String in an Array</v>
      </c>
      <c r="C1685" s="10">
        <f>Github!F$2054</f>
        <v>253</v>
      </c>
      <c r="D1685" s="10">
        <f>Github!G$2054</f>
        <v>6</v>
      </c>
      <c r="E1685" s="10">
        <f>Github!F$2054+Github!G$2054</f>
        <v>259</v>
      </c>
      <c r="F1685" s="12">
        <f t="shared" si="1"/>
        <v>42.17</v>
      </c>
      <c r="G1685" s="10" t="str">
        <f>Github!H$2054</f>
        <v>Algorithms</v>
      </c>
      <c r="H1685" s="13" t="str">
        <f>SUBSTITUTE(Github!L$2054, ";", ", ")</f>
        <v>Array, Hash Table, String, Counting, </v>
      </c>
      <c r="I1685" s="10" t="str">
        <f>Github!E$2054</f>
        <v>Easy</v>
      </c>
      <c r="J1685" s="10" t="str">
        <f>IF(TRIM(Github!D$2054)="TRUE","FALSE","TRUE")</f>
        <v>TRUE</v>
      </c>
      <c r="K1685" s="10" t="b">
        <f>Github!M$2054</f>
        <v>0</v>
      </c>
      <c r="L1685" s="10" t="b">
        <f>Github!N$2054</f>
        <v>0</v>
      </c>
      <c r="M1685" s="10" t="str">
        <f>ROUND(Github!O$2054, 2)&amp;"%"</f>
        <v>73.11%</v>
      </c>
      <c r="N1685" s="10">
        <f>Github!P$2054</f>
        <v>19476</v>
      </c>
      <c r="O1685" s="10">
        <f>Github!Q$2054</f>
        <v>26638</v>
      </c>
    </row>
    <row r="1686">
      <c r="A1686" s="10">
        <f>Github!J$965</f>
        <v>964</v>
      </c>
      <c r="B1686" s="11" t="str">
        <f>HYPERLINK(CONCAT("http://leetcode.com/problems/",Github!C$965), Github!B$965)</f>
        <v>Least Operators to Express Number</v>
      </c>
      <c r="C1686" s="10">
        <f>Github!F$965</f>
        <v>252</v>
      </c>
      <c r="D1686" s="10">
        <f>Github!G$965</f>
        <v>64</v>
      </c>
      <c r="E1686" s="10">
        <f>Github!F$965+Github!G$965</f>
        <v>316</v>
      </c>
      <c r="F1686" s="12">
        <f t="shared" si="1"/>
        <v>3.94</v>
      </c>
      <c r="G1686" s="10" t="str">
        <f>Github!H$965</f>
        <v>Algorithms</v>
      </c>
      <c r="H1686" s="13" t="str">
        <f>SUBSTITUTE(Github!L$965, ";", ", ")</f>
        <v>Math, Dynamic Programming, </v>
      </c>
      <c r="I1686" s="10" t="str">
        <f>Github!E$965</f>
        <v>Hard</v>
      </c>
      <c r="J1686" s="10" t="str">
        <f>IF(TRIM(Github!D$965)="TRUE","FALSE","TRUE")</f>
        <v>TRUE</v>
      </c>
      <c r="K1686" s="10" t="b">
        <f>Github!M$965</f>
        <v>0</v>
      </c>
      <c r="L1686" s="10" t="b">
        <f>Github!N$965</f>
        <v>0</v>
      </c>
      <c r="M1686" s="10" t="str">
        <f>ROUND(Github!O$965, 2)&amp;"%"</f>
        <v>47%</v>
      </c>
      <c r="N1686" s="10">
        <f>Github!P$965</f>
        <v>7760</v>
      </c>
      <c r="O1686" s="10">
        <f>Github!Q$965</f>
        <v>16510</v>
      </c>
    </row>
    <row r="1687">
      <c r="A1687" s="10">
        <f>Github!J$1120</f>
        <v>1119</v>
      </c>
      <c r="B1687" s="11" t="str">
        <f>HYPERLINK(CONCAT("http://leetcode.com/problems/",Github!C$1120), Github!B$1120)</f>
        <v>Remove Vowels from a String</v>
      </c>
      <c r="C1687" s="10">
        <f>Github!F$1120</f>
        <v>252</v>
      </c>
      <c r="D1687" s="10">
        <f>Github!G$1120</f>
        <v>102</v>
      </c>
      <c r="E1687" s="10">
        <f>Github!F$1120+Github!G$1120</f>
        <v>354</v>
      </c>
      <c r="F1687" s="12">
        <f t="shared" si="1"/>
        <v>2.47</v>
      </c>
      <c r="G1687" s="10" t="str">
        <f>Github!H$1120</f>
        <v>Algorithms</v>
      </c>
      <c r="H1687" s="13" t="str">
        <f>SUBSTITUTE(Github!L$1120, ";", ", ")</f>
        <v>String, </v>
      </c>
      <c r="I1687" s="10" t="str">
        <f>Github!E$1120</f>
        <v>Easy</v>
      </c>
      <c r="J1687" s="10" t="str">
        <f>IF(TRIM(Github!D$1120)="TRUE","FALSE","TRUE")</f>
        <v>FALSE</v>
      </c>
      <c r="K1687" s="10" t="b">
        <f>Github!M$1120</f>
        <v>0</v>
      </c>
      <c r="L1687" s="10" t="b">
        <f>Github!N$1120</f>
        <v>0</v>
      </c>
      <c r="M1687" s="10" t="str">
        <f>ROUND(Github!O$1120, 2)&amp;"%"</f>
        <v>90.68%</v>
      </c>
      <c r="N1687" s="10">
        <f>Github!P$1120</f>
        <v>80414</v>
      </c>
      <c r="O1687" s="10">
        <f>Github!Q$1120</f>
        <v>88681</v>
      </c>
    </row>
    <row r="1688">
      <c r="A1688" s="10">
        <f>Github!J$1593</f>
        <v>1592</v>
      </c>
      <c r="B1688" s="11" t="str">
        <f>HYPERLINK(CONCAT("http://leetcode.com/problems/",Github!C$1593), Github!B$1593)</f>
        <v>Rearrange Spaces Between Words</v>
      </c>
      <c r="C1688" s="10">
        <f>Github!F$1593</f>
        <v>252</v>
      </c>
      <c r="D1688" s="10">
        <f>Github!G$1593</f>
        <v>222</v>
      </c>
      <c r="E1688" s="10">
        <f>Github!F$1593+Github!G$1593</f>
        <v>474</v>
      </c>
      <c r="F1688" s="12">
        <f t="shared" si="1"/>
        <v>1.14</v>
      </c>
      <c r="G1688" s="10" t="str">
        <f>Github!H$1593</f>
        <v>Algorithms</v>
      </c>
      <c r="H1688" s="13" t="str">
        <f>SUBSTITUTE(Github!L$1593, ";", ", ")</f>
        <v>String, </v>
      </c>
      <c r="I1688" s="10" t="str">
        <f>Github!E$1593</f>
        <v>Easy</v>
      </c>
      <c r="J1688" s="10" t="str">
        <f>IF(TRIM(Github!D$1593)="TRUE","FALSE","TRUE")</f>
        <v>TRUE</v>
      </c>
      <c r="K1688" s="10" t="b">
        <f>Github!M$1593</f>
        <v>0</v>
      </c>
      <c r="L1688" s="10" t="b">
        <f>Github!N$1593</f>
        <v>0</v>
      </c>
      <c r="M1688" s="10" t="str">
        <f>ROUND(Github!O$1593, 2)&amp;"%"</f>
        <v>43.95%</v>
      </c>
      <c r="N1688" s="10">
        <f>Github!P$1593</f>
        <v>32995</v>
      </c>
      <c r="O1688" s="10">
        <f>Github!Q$1593</f>
        <v>75074</v>
      </c>
    </row>
    <row r="1689">
      <c r="A1689" s="10">
        <f>Github!J$1620</f>
        <v>1619</v>
      </c>
      <c r="B1689" s="11" t="str">
        <f>HYPERLINK(CONCAT("http://leetcode.com/problems/",Github!C$1620), Github!B$1620)</f>
        <v>Mean of Array After Removing Some Elements</v>
      </c>
      <c r="C1689" s="10">
        <f>Github!F$1620</f>
        <v>252</v>
      </c>
      <c r="D1689" s="10">
        <f>Github!G$1620</f>
        <v>73</v>
      </c>
      <c r="E1689" s="10">
        <f>Github!F$1620+Github!G$1620</f>
        <v>325</v>
      </c>
      <c r="F1689" s="12">
        <f t="shared" si="1"/>
        <v>3.45</v>
      </c>
      <c r="G1689" s="10" t="str">
        <f>Github!H$1620</f>
        <v>Algorithms</v>
      </c>
      <c r="H1689" s="13" t="str">
        <f>SUBSTITUTE(Github!L$1620, ";", ", ")</f>
        <v>Array, Sorting, </v>
      </c>
      <c r="I1689" s="10" t="str">
        <f>Github!E$1620</f>
        <v>Easy</v>
      </c>
      <c r="J1689" s="10" t="str">
        <f>IF(TRIM(Github!D$1620)="TRUE","FALSE","TRUE")</f>
        <v>TRUE</v>
      </c>
      <c r="K1689" s="10" t="b">
        <f>Github!M$1620</f>
        <v>0</v>
      </c>
      <c r="L1689" s="10" t="b">
        <f>Github!N$1620</f>
        <v>0</v>
      </c>
      <c r="M1689" s="10" t="str">
        <f>ROUND(Github!O$1620, 2)&amp;"%"</f>
        <v>64.65%</v>
      </c>
      <c r="N1689" s="10">
        <f>Github!P$1620</f>
        <v>30230</v>
      </c>
      <c r="O1689" s="10">
        <f>Github!Q$1620</f>
        <v>46760</v>
      </c>
    </row>
    <row r="1690">
      <c r="A1690" s="10">
        <f>Github!J$1873</f>
        <v>1872</v>
      </c>
      <c r="B1690" s="11" t="str">
        <f>HYPERLINK(CONCAT("http://leetcode.com/problems/",Github!C$1873), Github!B$1873)</f>
        <v>Stone Game VIII</v>
      </c>
      <c r="C1690" s="10">
        <f>Github!F$1873</f>
        <v>252</v>
      </c>
      <c r="D1690" s="10">
        <f>Github!G$1873</f>
        <v>11</v>
      </c>
      <c r="E1690" s="10">
        <f>Github!F$1873+Github!G$1873</f>
        <v>263</v>
      </c>
      <c r="F1690" s="12">
        <f t="shared" si="1"/>
        <v>22.91</v>
      </c>
      <c r="G1690" s="10" t="str">
        <f>Github!H$1873</f>
        <v>Algorithms</v>
      </c>
      <c r="H1690" s="13" t="str">
        <f>SUBSTITUTE(Github!L$1873, ";", ", ")</f>
        <v>Array, Math, Dynamic Programming, Prefix Sum, Game Theory, </v>
      </c>
      <c r="I1690" s="10" t="str">
        <f>Github!E$1873</f>
        <v>Hard</v>
      </c>
      <c r="J1690" s="10" t="str">
        <f>IF(TRIM(Github!D$1873)="TRUE","FALSE","TRUE")</f>
        <v>TRUE</v>
      </c>
      <c r="K1690" s="10" t="b">
        <f>Github!M$1873</f>
        <v>0</v>
      </c>
      <c r="L1690" s="10" t="b">
        <f>Github!N$1873</f>
        <v>0</v>
      </c>
      <c r="M1690" s="10" t="str">
        <f>ROUND(Github!O$1873, 2)&amp;"%"</f>
        <v>52.46%</v>
      </c>
      <c r="N1690" s="10">
        <f>Github!P$1873</f>
        <v>5278</v>
      </c>
      <c r="O1690" s="10">
        <f>Github!Q$1873</f>
        <v>10061</v>
      </c>
    </row>
    <row r="1691">
      <c r="A1691" s="10">
        <f>Github!J$2088</f>
        <v>2087</v>
      </c>
      <c r="B1691" s="11" t="str">
        <f>HYPERLINK(CONCAT("http://leetcode.com/problems/",Github!C$2088), Github!B$2088)</f>
        <v>Minimum Cost Homecoming of a Robot in a Grid</v>
      </c>
      <c r="C1691" s="10">
        <f>Github!F$2088</f>
        <v>252</v>
      </c>
      <c r="D1691" s="10">
        <f>Github!G$2088</f>
        <v>48</v>
      </c>
      <c r="E1691" s="10">
        <f>Github!F$2088+Github!G$2088</f>
        <v>300</v>
      </c>
      <c r="F1691" s="12">
        <f t="shared" si="1"/>
        <v>5.25</v>
      </c>
      <c r="G1691" s="10" t="str">
        <f>Github!H$2088</f>
        <v>Algorithms</v>
      </c>
      <c r="H1691" s="13" t="str">
        <f>SUBSTITUTE(Github!L$2088, ";", ", ")</f>
        <v>Array, Greedy, Matrix, </v>
      </c>
      <c r="I1691" s="10" t="str">
        <f>Github!E$2088</f>
        <v>Medium</v>
      </c>
      <c r="J1691" s="10" t="str">
        <f>IF(TRIM(Github!D$2088)="TRUE","FALSE","TRUE")</f>
        <v>TRUE</v>
      </c>
      <c r="K1691" s="10" t="b">
        <f>Github!M$2088</f>
        <v>0</v>
      </c>
      <c r="L1691" s="10" t="b">
        <f>Github!N$2088</f>
        <v>0</v>
      </c>
      <c r="M1691" s="10" t="str">
        <f>ROUND(Github!O$2088, 2)&amp;"%"</f>
        <v>49.64%</v>
      </c>
      <c r="N1691" s="10">
        <f>Github!P$2088</f>
        <v>7400</v>
      </c>
      <c r="O1691" s="10">
        <f>Github!Q$2088</f>
        <v>14906</v>
      </c>
    </row>
    <row r="1692">
      <c r="A1692" s="10">
        <f>Github!J$1788</f>
        <v>1787</v>
      </c>
      <c r="B1692" s="11" t="str">
        <f>HYPERLINK(CONCAT("http://leetcode.com/problems/",Github!C$1788), Github!B$1788)</f>
        <v>Make the XOR of All Segments Equal to Zero</v>
      </c>
      <c r="C1692" s="10">
        <f>Github!F$1788</f>
        <v>251</v>
      </c>
      <c r="D1692" s="10">
        <f>Github!G$1788</f>
        <v>12</v>
      </c>
      <c r="E1692" s="10">
        <f>Github!F$1788+Github!G$1788</f>
        <v>263</v>
      </c>
      <c r="F1692" s="12">
        <f t="shared" si="1"/>
        <v>20.92</v>
      </c>
      <c r="G1692" s="10" t="str">
        <f>Github!H$1788</f>
        <v>Algorithms</v>
      </c>
      <c r="H1692" s="13" t="str">
        <f>SUBSTITUTE(Github!L$1788, ";", ", ")</f>
        <v>Array, Dynamic Programming, Bit Manipulation, </v>
      </c>
      <c r="I1692" s="10" t="str">
        <f>Github!E$1788</f>
        <v>Hard</v>
      </c>
      <c r="J1692" s="10" t="str">
        <f>IF(TRIM(Github!D$1788)="TRUE","FALSE","TRUE")</f>
        <v>TRUE</v>
      </c>
      <c r="K1692" s="10" t="b">
        <f>Github!M$1788</f>
        <v>0</v>
      </c>
      <c r="L1692" s="10" t="b">
        <f>Github!N$1788</f>
        <v>0</v>
      </c>
      <c r="M1692" s="10" t="str">
        <f>ROUND(Github!O$1788, 2)&amp;"%"</f>
        <v>39.21%</v>
      </c>
      <c r="N1692" s="10">
        <f>Github!P$1788</f>
        <v>3457</v>
      </c>
      <c r="O1692" s="10">
        <f>Github!Q$1788</f>
        <v>8817</v>
      </c>
    </row>
    <row r="1693">
      <c r="A1693" s="10">
        <f>Github!J$196</f>
        <v>195</v>
      </c>
      <c r="B1693" s="11" t="str">
        <f>HYPERLINK(CONCAT("http://leetcode.com/problems/",Github!C$196), Github!B$196)</f>
        <v>Tenth Line</v>
      </c>
      <c r="C1693" s="10">
        <f>Github!F$196</f>
        <v>250</v>
      </c>
      <c r="D1693" s="10">
        <f>Github!G$196</f>
        <v>326</v>
      </c>
      <c r="E1693" s="10">
        <f>Github!F$196+Github!G$196</f>
        <v>576</v>
      </c>
      <c r="F1693" s="12">
        <f t="shared" si="1"/>
        <v>0.77</v>
      </c>
      <c r="G1693" s="10" t="str">
        <f>Github!H$196</f>
        <v>Shell</v>
      </c>
      <c r="H1693" s="13" t="str">
        <f>SUBSTITUTE(Github!L$196, ";", ", ")</f>
        <v>Shell, </v>
      </c>
      <c r="I1693" s="10" t="str">
        <f>Github!E$196</f>
        <v>Easy</v>
      </c>
      <c r="J1693" s="10" t="str">
        <f>IF(TRIM(Github!D$196)="TRUE","FALSE","TRUE")</f>
        <v>TRUE</v>
      </c>
      <c r="K1693" s="10" t="b">
        <f>Github!M$196</f>
        <v>0</v>
      </c>
      <c r="L1693" s="10" t="b">
        <f>Github!N$196</f>
        <v>0</v>
      </c>
      <c r="M1693" s="10" t="str">
        <f>ROUND(Github!O$196, 2)&amp;"%"</f>
        <v>32.84%</v>
      </c>
      <c r="N1693" s="10">
        <f>Github!P$196</f>
        <v>71302</v>
      </c>
      <c r="O1693" s="10">
        <f>Github!Q$196</f>
        <v>217109</v>
      </c>
    </row>
    <row r="1694">
      <c r="A1694" s="10">
        <f>Github!J$413</f>
        <v>412</v>
      </c>
      <c r="B1694" s="11" t="str">
        <f>HYPERLINK(CONCAT("http://leetcode.com/problems/",Github!C$413), Github!B$413)</f>
        <v>Fizz Buzz</v>
      </c>
      <c r="C1694" s="10">
        <f>Github!F$413</f>
        <v>253</v>
      </c>
      <c r="D1694" s="10">
        <f>Github!G$413</f>
        <v>44</v>
      </c>
      <c r="E1694" s="10">
        <f>Github!F$413+Github!G$413</f>
        <v>297</v>
      </c>
      <c r="F1694" s="12">
        <f t="shared" si="1"/>
        <v>5.75</v>
      </c>
      <c r="G1694" s="10" t="str">
        <f>Github!H$413</f>
        <v>Algorithms</v>
      </c>
      <c r="H1694" s="13" t="str">
        <f>SUBSTITUTE(Github!L$413, ";", ", ")</f>
        <v>Math, String, Simulation, </v>
      </c>
      <c r="I1694" s="10" t="str">
        <f>Github!E$413</f>
        <v>Easy</v>
      </c>
      <c r="J1694" s="10" t="str">
        <f>IF(TRIM(Github!D$413)="TRUE","FALSE","TRUE")</f>
        <v>TRUE</v>
      </c>
      <c r="K1694" s="10" t="b">
        <f>Github!M$413</f>
        <v>1</v>
      </c>
      <c r="L1694" s="10" t="b">
        <f>Github!N$413</f>
        <v>0</v>
      </c>
      <c r="M1694" s="10" t="str">
        <f>ROUND(Github!O$413, 2)&amp;"%"</f>
        <v>66.23%</v>
      </c>
      <c r="N1694" s="10">
        <f>Github!P$413</f>
        <v>587929</v>
      </c>
      <c r="O1694" s="10">
        <f>Github!Q$413</f>
        <v>887675</v>
      </c>
    </row>
    <row r="1695">
      <c r="A1695" s="10">
        <f>Github!J$2038</f>
        <v>2037</v>
      </c>
      <c r="B1695" s="11" t="str">
        <f>HYPERLINK(CONCAT("http://leetcode.com/problems/",Github!C$2038), Github!B$2038)</f>
        <v>Minimum Number of Moves to Seat Everyone</v>
      </c>
      <c r="C1695" s="10">
        <f>Github!F$2038</f>
        <v>250</v>
      </c>
      <c r="D1695" s="10">
        <f>Github!G$2038</f>
        <v>45</v>
      </c>
      <c r="E1695" s="10">
        <f>Github!F$2038+Github!G$2038</f>
        <v>295</v>
      </c>
      <c r="F1695" s="12">
        <f t="shared" si="1"/>
        <v>5.56</v>
      </c>
      <c r="G1695" s="10" t="str">
        <f>Github!H$2038</f>
        <v>Algorithms</v>
      </c>
      <c r="H1695" s="13" t="str">
        <f>SUBSTITUTE(Github!L$2038, ";", ", ")</f>
        <v>Array, Sorting, </v>
      </c>
      <c r="I1695" s="10" t="str">
        <f>Github!E$2038</f>
        <v>Easy</v>
      </c>
      <c r="J1695" s="10" t="str">
        <f>IF(TRIM(Github!D$2038)="TRUE","FALSE","TRUE")</f>
        <v>TRUE</v>
      </c>
      <c r="K1695" s="10" t="b">
        <f>Github!M$2038</f>
        <v>0</v>
      </c>
      <c r="L1695" s="10" t="b">
        <f>Github!N$2038</f>
        <v>0</v>
      </c>
      <c r="M1695" s="10" t="str">
        <f>ROUND(Github!O$2038, 2)&amp;"%"</f>
        <v>82.82%</v>
      </c>
      <c r="N1695" s="10">
        <f>Github!P$2038</f>
        <v>20120</v>
      </c>
      <c r="O1695" s="10">
        <f>Github!Q$2038</f>
        <v>24294</v>
      </c>
    </row>
    <row r="1696">
      <c r="A1696" s="10">
        <f>Github!J$2125</f>
        <v>2124</v>
      </c>
      <c r="B1696" s="11" t="str">
        <f>HYPERLINK(CONCAT("http://leetcode.com/problems/",Github!C$2125), Github!B$2125)</f>
        <v>Check if All A's Appears Before All B's</v>
      </c>
      <c r="C1696" s="10">
        <f>Github!F$2125</f>
        <v>252</v>
      </c>
      <c r="D1696" s="10">
        <f>Github!G$2125</f>
        <v>2</v>
      </c>
      <c r="E1696" s="10">
        <f>Github!F$2125+Github!G$2125</f>
        <v>254</v>
      </c>
      <c r="F1696" s="12">
        <f t="shared" si="1"/>
        <v>126</v>
      </c>
      <c r="G1696" s="10" t="str">
        <f>Github!H$2125</f>
        <v>Algorithms</v>
      </c>
      <c r="H1696" s="13" t="str">
        <f>SUBSTITUTE(Github!L$2125, ";", ", ")</f>
        <v>String, </v>
      </c>
      <c r="I1696" s="10" t="str">
        <f>Github!E$2125</f>
        <v>Easy</v>
      </c>
      <c r="J1696" s="10" t="str">
        <f>IF(TRIM(Github!D$2125)="TRUE","FALSE","TRUE")</f>
        <v>TRUE</v>
      </c>
      <c r="K1696" s="10" t="b">
        <f>Github!M$2125</f>
        <v>0</v>
      </c>
      <c r="L1696" s="10" t="b">
        <f>Github!N$2125</f>
        <v>0</v>
      </c>
      <c r="M1696" s="10" t="str">
        <f>ROUND(Github!O$2125, 2)&amp;"%"</f>
        <v>72.7%</v>
      </c>
      <c r="N1696" s="10">
        <f>Github!P$2125</f>
        <v>25211</v>
      </c>
      <c r="O1696" s="10">
        <f>Github!Q$2125</f>
        <v>34676</v>
      </c>
    </row>
    <row r="1697">
      <c r="A1697" s="10">
        <f>Github!J$1318</f>
        <v>1317</v>
      </c>
      <c r="B1697" s="11" t="str">
        <f>HYPERLINK(CONCAT("http://leetcode.com/problems/",Github!C$1318), Github!B$1318)</f>
        <v>Convert Integer to the Sum of Two No-Zero Integers</v>
      </c>
      <c r="C1697" s="10">
        <f>Github!F$1318</f>
        <v>249</v>
      </c>
      <c r="D1697" s="10">
        <f>Github!G$1318</f>
        <v>210</v>
      </c>
      <c r="E1697" s="10">
        <f>Github!F$1318+Github!G$1318</f>
        <v>459</v>
      </c>
      <c r="F1697" s="12">
        <f t="shared" si="1"/>
        <v>1.19</v>
      </c>
      <c r="G1697" s="10" t="str">
        <f>Github!H$1318</f>
        <v>Algorithms</v>
      </c>
      <c r="H1697" s="13" t="str">
        <f>SUBSTITUTE(Github!L$1318, ";", ", ")</f>
        <v>Math, </v>
      </c>
      <c r="I1697" s="10" t="str">
        <f>Github!E$1318</f>
        <v>Easy</v>
      </c>
      <c r="J1697" s="10" t="str">
        <f>IF(TRIM(Github!D$1318)="TRUE","FALSE","TRUE")</f>
        <v>TRUE</v>
      </c>
      <c r="K1697" s="10" t="b">
        <f>Github!M$1318</f>
        <v>0</v>
      </c>
      <c r="L1697" s="10" t="b">
        <f>Github!N$1318</f>
        <v>0</v>
      </c>
      <c r="M1697" s="10" t="str">
        <f>ROUND(Github!O$1318, 2)&amp;"%"</f>
        <v>57.11%</v>
      </c>
      <c r="N1697" s="10">
        <f>Github!P$1318</f>
        <v>29010</v>
      </c>
      <c r="O1697" s="10">
        <f>Github!Q$1318</f>
        <v>50799</v>
      </c>
    </row>
    <row r="1698">
      <c r="A1698" s="10">
        <f>Github!J$809</f>
        <v>808</v>
      </c>
      <c r="B1698" s="11" t="str">
        <f>HYPERLINK(CONCAT("http://leetcode.com/problems/",Github!C$809), Github!B$809)</f>
        <v>Soup Servings</v>
      </c>
      <c r="C1698" s="10">
        <f>Github!F$809</f>
        <v>248</v>
      </c>
      <c r="D1698" s="10">
        <f>Github!G$809</f>
        <v>735</v>
      </c>
      <c r="E1698" s="10">
        <f>Github!F$809+Github!G$809</f>
        <v>983</v>
      </c>
      <c r="F1698" s="12">
        <f t="shared" si="1"/>
        <v>0.34</v>
      </c>
      <c r="G1698" s="10" t="str">
        <f>Github!H$809</f>
        <v>Algorithms</v>
      </c>
      <c r="H1698" s="13" t="str">
        <f>SUBSTITUTE(Github!L$809, ";", ", ")</f>
        <v>Math, Dynamic Programming, Probability and Statistics, </v>
      </c>
      <c r="I1698" s="10" t="str">
        <f>Github!E$809</f>
        <v>Medium</v>
      </c>
      <c r="J1698" s="10" t="str">
        <f>IF(TRIM(Github!D$809)="TRUE","FALSE","TRUE")</f>
        <v>TRUE</v>
      </c>
      <c r="K1698" s="10" t="b">
        <f>Github!M$809</f>
        <v>0</v>
      </c>
      <c r="L1698" s="10" t="b">
        <f>Github!N$809</f>
        <v>0</v>
      </c>
      <c r="M1698" s="10" t="str">
        <f>ROUND(Github!O$809, 2)&amp;"%"</f>
        <v>42.24%</v>
      </c>
      <c r="N1698" s="10">
        <f>Github!P$809</f>
        <v>14393</v>
      </c>
      <c r="O1698" s="10">
        <f>Github!Q$809</f>
        <v>34078</v>
      </c>
    </row>
    <row r="1699">
      <c r="A1699" s="10">
        <f>Github!J$817</f>
        <v>816</v>
      </c>
      <c r="B1699" s="11" t="str">
        <f>HYPERLINK(CONCAT("http://leetcode.com/problems/",Github!C$817), Github!B$817)</f>
        <v>Ambiguous Coordinates</v>
      </c>
      <c r="C1699" s="10">
        <f>Github!F$817</f>
        <v>248</v>
      </c>
      <c r="D1699" s="10">
        <f>Github!G$817</f>
        <v>583</v>
      </c>
      <c r="E1699" s="10">
        <f>Github!F$817+Github!G$817</f>
        <v>831</v>
      </c>
      <c r="F1699" s="12">
        <f t="shared" si="1"/>
        <v>0.43</v>
      </c>
      <c r="G1699" s="10" t="str">
        <f>Github!H$817</f>
        <v>Algorithms</v>
      </c>
      <c r="H1699" s="13" t="str">
        <f>SUBSTITUTE(Github!L$817, ";", ", ")</f>
        <v>String, Backtracking, </v>
      </c>
      <c r="I1699" s="10" t="str">
        <f>Github!E$817</f>
        <v>Medium</v>
      </c>
      <c r="J1699" s="10" t="str">
        <f>IF(TRIM(Github!D$817)="TRUE","FALSE","TRUE")</f>
        <v>TRUE</v>
      </c>
      <c r="K1699" s="10" t="b">
        <f>Github!M$817</f>
        <v>1</v>
      </c>
      <c r="L1699" s="10" t="b">
        <f>Github!N$817</f>
        <v>0</v>
      </c>
      <c r="M1699" s="10" t="str">
        <f>ROUND(Github!O$817, 2)&amp;"%"</f>
        <v>55.93%</v>
      </c>
      <c r="N1699" s="10">
        <f>Github!P$817</f>
        <v>25260</v>
      </c>
      <c r="O1699" s="10">
        <f>Github!Q$817</f>
        <v>45168</v>
      </c>
    </row>
    <row r="1700">
      <c r="A1700" s="10">
        <f>Github!J$1946</f>
        <v>1945</v>
      </c>
      <c r="B1700" s="11" t="str">
        <f>HYPERLINK(CONCAT("http://leetcode.com/problems/",Github!C$1946), Github!B$1946)</f>
        <v>Sum of Digits of String After Convert</v>
      </c>
      <c r="C1700" s="10">
        <f>Github!F$1946</f>
        <v>248</v>
      </c>
      <c r="D1700" s="10">
        <f>Github!G$1946</f>
        <v>29</v>
      </c>
      <c r="E1700" s="10">
        <f>Github!F$1946+Github!G$1946</f>
        <v>277</v>
      </c>
      <c r="F1700" s="12">
        <f t="shared" si="1"/>
        <v>8.55</v>
      </c>
      <c r="G1700" s="10" t="str">
        <f>Github!H$1946</f>
        <v>Algorithms</v>
      </c>
      <c r="H1700" s="13" t="str">
        <f>SUBSTITUTE(Github!L$1946, ";", ", ")</f>
        <v>String, Simulation, </v>
      </c>
      <c r="I1700" s="10" t="str">
        <f>Github!E$1946</f>
        <v>Easy</v>
      </c>
      <c r="J1700" s="10" t="str">
        <f>IF(TRIM(Github!D$1946)="TRUE","FALSE","TRUE")</f>
        <v>TRUE</v>
      </c>
      <c r="K1700" s="10" t="b">
        <f>Github!M$1946</f>
        <v>0</v>
      </c>
      <c r="L1700" s="10" t="b">
        <f>Github!N$1946</f>
        <v>0</v>
      </c>
      <c r="M1700" s="10" t="str">
        <f>ROUND(Github!O$1946, 2)&amp;"%"</f>
        <v>61.47%</v>
      </c>
      <c r="N1700" s="10">
        <f>Github!P$1946</f>
        <v>23741</v>
      </c>
      <c r="O1700" s="10">
        <f>Github!Q$1946</f>
        <v>38622</v>
      </c>
    </row>
    <row r="1701">
      <c r="A1701" s="10">
        <f>Github!J$1969</f>
        <v>1968</v>
      </c>
      <c r="B1701" s="11" t="str">
        <f>HYPERLINK(CONCAT("http://leetcode.com/problems/",Github!C$1969), Github!B$1969)</f>
        <v>Array With Elements Not Equal to Average of Neighbors</v>
      </c>
      <c r="C1701" s="10">
        <f>Github!F$1969</f>
        <v>246</v>
      </c>
      <c r="D1701" s="10">
        <f>Github!G$1969</f>
        <v>16</v>
      </c>
      <c r="E1701" s="10">
        <f>Github!F$1969+Github!G$1969</f>
        <v>262</v>
      </c>
      <c r="F1701" s="12">
        <f t="shared" si="1"/>
        <v>15.38</v>
      </c>
      <c r="G1701" s="10" t="str">
        <f>Github!H$1969</f>
        <v>Algorithms</v>
      </c>
      <c r="H1701" s="13" t="str">
        <f>SUBSTITUTE(Github!L$1969, ";", ", ")</f>
        <v>Array, Greedy, Sorting, </v>
      </c>
      <c r="I1701" s="10" t="str">
        <f>Github!E$1969</f>
        <v>Medium</v>
      </c>
      <c r="J1701" s="10" t="str">
        <f>IF(TRIM(Github!D$1969)="TRUE","FALSE","TRUE")</f>
        <v>TRUE</v>
      </c>
      <c r="K1701" s="10" t="b">
        <f>Github!M$1969</f>
        <v>0</v>
      </c>
      <c r="L1701" s="10" t="b">
        <f>Github!N$1969</f>
        <v>0</v>
      </c>
      <c r="M1701" s="10" t="str">
        <f>ROUND(Github!O$1969, 2)&amp;"%"</f>
        <v>48.22%</v>
      </c>
      <c r="N1701" s="10">
        <f>Github!P$1969</f>
        <v>15665</v>
      </c>
      <c r="O1701" s="10">
        <f>Github!Q$1969</f>
        <v>32486</v>
      </c>
    </row>
    <row r="1702">
      <c r="A1702" s="10">
        <f>Github!J$1898</f>
        <v>1897</v>
      </c>
      <c r="B1702" s="11" t="str">
        <f>HYPERLINK(CONCAT("http://leetcode.com/problems/",Github!C$1898), Github!B$1898)</f>
        <v>Redistribute Characters to Make All Strings Equal</v>
      </c>
      <c r="C1702" s="10">
        <f>Github!F$1898</f>
        <v>244</v>
      </c>
      <c r="D1702" s="10">
        <f>Github!G$1898</f>
        <v>31</v>
      </c>
      <c r="E1702" s="10">
        <f>Github!F$1898+Github!G$1898</f>
        <v>275</v>
      </c>
      <c r="F1702" s="12">
        <f t="shared" si="1"/>
        <v>7.87</v>
      </c>
      <c r="G1702" s="10" t="str">
        <f>Github!H$1898</f>
        <v>Algorithms</v>
      </c>
      <c r="H1702" s="13" t="str">
        <f>SUBSTITUTE(Github!L$1898, ";", ", ")</f>
        <v>Hash Table, String, Counting, </v>
      </c>
      <c r="I1702" s="10" t="str">
        <f>Github!E$1898</f>
        <v>Easy</v>
      </c>
      <c r="J1702" s="10" t="str">
        <f>IF(TRIM(Github!D$1898)="TRUE","FALSE","TRUE")</f>
        <v>TRUE</v>
      </c>
      <c r="K1702" s="10" t="b">
        <f>Github!M$1898</f>
        <v>0</v>
      </c>
      <c r="L1702" s="10" t="b">
        <f>Github!N$1898</f>
        <v>0</v>
      </c>
      <c r="M1702" s="10" t="str">
        <f>ROUND(Github!O$1898, 2)&amp;"%"</f>
        <v>60%</v>
      </c>
      <c r="N1702" s="10">
        <f>Github!P$1898</f>
        <v>20858</v>
      </c>
      <c r="O1702" s="10">
        <f>Github!Q$1898</f>
        <v>34762</v>
      </c>
    </row>
    <row r="1703">
      <c r="A1703" s="10">
        <f>Github!J$336</f>
        <v>335</v>
      </c>
      <c r="B1703" s="11" t="str">
        <f>HYPERLINK(CONCAT("http://leetcode.com/problems/",Github!C$336), Github!B$336)</f>
        <v>Self Crossing</v>
      </c>
      <c r="C1703" s="10">
        <f>Github!F$336</f>
        <v>242</v>
      </c>
      <c r="D1703" s="10">
        <f>Github!G$336</f>
        <v>439</v>
      </c>
      <c r="E1703" s="10">
        <f>Github!F$336+Github!G$336</f>
        <v>681</v>
      </c>
      <c r="F1703" s="12">
        <f t="shared" si="1"/>
        <v>0.55</v>
      </c>
      <c r="G1703" s="10" t="str">
        <f>Github!H$336</f>
        <v>Algorithms</v>
      </c>
      <c r="H1703" s="13" t="str">
        <f>SUBSTITUTE(Github!L$336, ";", ", ")</f>
        <v>Array, Math, Geometry, </v>
      </c>
      <c r="I1703" s="10" t="str">
        <f>Github!E$336</f>
        <v>Hard</v>
      </c>
      <c r="J1703" s="10" t="str">
        <f>IF(TRIM(Github!D$336)="TRUE","FALSE","TRUE")</f>
        <v>TRUE</v>
      </c>
      <c r="K1703" s="10" t="b">
        <f>Github!M$336</f>
        <v>0</v>
      </c>
      <c r="L1703" s="10" t="b">
        <f>Github!N$336</f>
        <v>0</v>
      </c>
      <c r="M1703" s="10" t="str">
        <f>ROUND(Github!O$336, 2)&amp;"%"</f>
        <v>29.08%</v>
      </c>
      <c r="N1703" s="10">
        <f>Github!P$336</f>
        <v>27294</v>
      </c>
      <c r="O1703" s="10">
        <f>Github!Q$336</f>
        <v>93849</v>
      </c>
    </row>
    <row r="1704">
      <c r="A1704" s="10">
        <f>Github!J$603</f>
        <v>602</v>
      </c>
      <c r="B1704" s="11" t="str">
        <f>HYPERLINK(CONCAT("http://leetcode.com/problems/",Github!C$603), Github!B$603)</f>
        <v>Friend Requests II: Who Has the Most Friends</v>
      </c>
      <c r="C1704" s="10">
        <f>Github!F$603</f>
        <v>242</v>
      </c>
      <c r="D1704" s="10">
        <f>Github!G$603</f>
        <v>70</v>
      </c>
      <c r="E1704" s="10">
        <f>Github!F$603+Github!G$603</f>
        <v>312</v>
      </c>
      <c r="F1704" s="12">
        <f t="shared" si="1"/>
        <v>3.46</v>
      </c>
      <c r="G1704" s="10" t="str">
        <f>Github!H$603</f>
        <v>Database</v>
      </c>
      <c r="H1704" s="13" t="str">
        <f>SUBSTITUTE(Github!L$603, ";", ", ")</f>
        <v>Database, </v>
      </c>
      <c r="I1704" s="10" t="str">
        <f>Github!E$603</f>
        <v>Medium</v>
      </c>
      <c r="J1704" s="10" t="str">
        <f>IF(TRIM(Github!D$603)="TRUE","FALSE","TRUE")</f>
        <v>FALSE</v>
      </c>
      <c r="K1704" s="10" t="b">
        <f>Github!M$603</f>
        <v>0</v>
      </c>
      <c r="L1704" s="10" t="b">
        <f>Github!N$603</f>
        <v>0</v>
      </c>
      <c r="M1704" s="10" t="str">
        <f>ROUND(Github!O$603, 2)&amp;"%"</f>
        <v>60.51%</v>
      </c>
      <c r="N1704" s="10">
        <f>Github!P$603</f>
        <v>46999</v>
      </c>
      <c r="O1704" s="10">
        <f>Github!Q$603</f>
        <v>77667</v>
      </c>
    </row>
    <row r="1705">
      <c r="A1705" s="10">
        <f>Github!J$1820</f>
        <v>1819</v>
      </c>
      <c r="B1705" s="11" t="str">
        <f>HYPERLINK(CONCAT("http://leetcode.com/problems/",Github!C$1820), Github!B$1820)</f>
        <v>Number of Different Subsequences GCDs</v>
      </c>
      <c r="C1705" s="10">
        <f>Github!F$1820</f>
        <v>243</v>
      </c>
      <c r="D1705" s="10">
        <f>Github!G$1820</f>
        <v>33</v>
      </c>
      <c r="E1705" s="10">
        <f>Github!F$1820+Github!G$1820</f>
        <v>276</v>
      </c>
      <c r="F1705" s="12">
        <f t="shared" si="1"/>
        <v>7.36</v>
      </c>
      <c r="G1705" s="10" t="str">
        <f>Github!H$1820</f>
        <v>Algorithms</v>
      </c>
      <c r="H1705" s="13" t="str">
        <f>SUBSTITUTE(Github!L$1820, ";", ", ")</f>
        <v>Array, Math, Counting, Number Theory, </v>
      </c>
      <c r="I1705" s="10" t="str">
        <f>Github!E$1820</f>
        <v>Hard</v>
      </c>
      <c r="J1705" s="10" t="str">
        <f>IF(TRIM(Github!D$1820)="TRUE","FALSE","TRUE")</f>
        <v>TRUE</v>
      </c>
      <c r="K1705" s="10" t="b">
        <f>Github!M$1820</f>
        <v>0</v>
      </c>
      <c r="L1705" s="10" t="b">
        <f>Github!N$1820</f>
        <v>0</v>
      </c>
      <c r="M1705" s="10" t="str">
        <f>ROUND(Github!O$1820, 2)&amp;"%"</f>
        <v>36.87%</v>
      </c>
      <c r="N1705" s="10">
        <f>Github!P$1820</f>
        <v>5460</v>
      </c>
      <c r="O1705" s="10">
        <f>Github!Q$1820</f>
        <v>14807</v>
      </c>
    </row>
    <row r="1706">
      <c r="A1706" s="10">
        <f>Github!J$1841</f>
        <v>1840</v>
      </c>
      <c r="B1706" s="11" t="str">
        <f>HYPERLINK(CONCAT("http://leetcode.com/problems/",Github!C$1841), Github!B$1841)</f>
        <v>Maximum Building Height</v>
      </c>
      <c r="C1706" s="10">
        <f>Github!F$1841</f>
        <v>242</v>
      </c>
      <c r="D1706" s="10">
        <f>Github!G$1841</f>
        <v>9</v>
      </c>
      <c r="E1706" s="10">
        <f>Github!F$1841+Github!G$1841</f>
        <v>251</v>
      </c>
      <c r="F1706" s="12">
        <f t="shared" si="1"/>
        <v>26.89</v>
      </c>
      <c r="G1706" s="10" t="str">
        <f>Github!H$1841</f>
        <v>Algorithms</v>
      </c>
      <c r="H1706" s="13" t="str">
        <f>SUBSTITUTE(Github!L$1841, ";", ", ")</f>
        <v>Array, Math, </v>
      </c>
      <c r="I1706" s="10" t="str">
        <f>Github!E$1841</f>
        <v>Hard</v>
      </c>
      <c r="J1706" s="10" t="str">
        <f>IF(TRIM(Github!D$1841)="TRUE","FALSE","TRUE")</f>
        <v>TRUE</v>
      </c>
      <c r="K1706" s="10" t="b">
        <f>Github!M$1841</f>
        <v>0</v>
      </c>
      <c r="L1706" s="10" t="b">
        <f>Github!N$1841</f>
        <v>0</v>
      </c>
      <c r="M1706" s="10" t="str">
        <f>ROUND(Github!O$1841, 2)&amp;"%"</f>
        <v>34.83%</v>
      </c>
      <c r="N1706" s="10">
        <f>Github!P$1841</f>
        <v>4721</v>
      </c>
      <c r="O1706" s="10">
        <f>Github!Q$1841</f>
        <v>13554</v>
      </c>
    </row>
    <row r="1707">
      <c r="A1707" s="10">
        <f>Github!J$841</f>
        <v>840</v>
      </c>
      <c r="B1707" s="11" t="str">
        <f>HYPERLINK(CONCAT("http://leetcode.com/problems/",Github!C$841), Github!B$841)</f>
        <v>Magic Squares In Grid</v>
      </c>
      <c r="C1707" s="10">
        <f>Github!F$841</f>
        <v>242</v>
      </c>
      <c r="D1707" s="10">
        <f>Github!G$841</f>
        <v>1439</v>
      </c>
      <c r="E1707" s="10">
        <f>Github!F$841+Github!G$841</f>
        <v>1681</v>
      </c>
      <c r="F1707" s="12">
        <f t="shared" si="1"/>
        <v>0.17</v>
      </c>
      <c r="G1707" s="10" t="str">
        <f>Github!H$841</f>
        <v>Algorithms</v>
      </c>
      <c r="H1707" s="13" t="str">
        <f>SUBSTITUTE(Github!L$841, ";", ", ")</f>
        <v>Array, Math, Matrix, </v>
      </c>
      <c r="I1707" s="10" t="str">
        <f>Github!E$841</f>
        <v>Medium</v>
      </c>
      <c r="J1707" s="10" t="str">
        <f>IF(TRIM(Github!D$841)="TRUE","FALSE","TRUE")</f>
        <v>TRUE</v>
      </c>
      <c r="K1707" s="10" t="b">
        <f>Github!M$841</f>
        <v>0</v>
      </c>
      <c r="L1707" s="10" t="b">
        <f>Github!N$841</f>
        <v>0</v>
      </c>
      <c r="M1707" s="10" t="str">
        <f>ROUND(Github!O$841, 2)&amp;"%"</f>
        <v>38.32%</v>
      </c>
      <c r="N1707" s="10">
        <f>Github!P$841</f>
        <v>31657</v>
      </c>
      <c r="O1707" s="10">
        <f>Github!Q$841</f>
        <v>82613</v>
      </c>
    </row>
    <row r="1708">
      <c r="A1708" s="10">
        <f>Github!J$1453</f>
        <v>1452</v>
      </c>
      <c r="B1708" s="11" t="str">
        <f>HYPERLINK(CONCAT("http://leetcode.com/problems/",Github!C$1453), Github!B$1453)</f>
        <v>People Whose List of Favorite Companies Is Not a Subset of Another List</v>
      </c>
      <c r="C1708" s="10">
        <f>Github!F$1453</f>
        <v>241</v>
      </c>
      <c r="D1708" s="10">
        <f>Github!G$1453</f>
        <v>190</v>
      </c>
      <c r="E1708" s="10">
        <f>Github!F$1453+Github!G$1453</f>
        <v>431</v>
      </c>
      <c r="F1708" s="12">
        <f t="shared" si="1"/>
        <v>1.27</v>
      </c>
      <c r="G1708" s="10" t="str">
        <f>Github!H$1453</f>
        <v>Algorithms</v>
      </c>
      <c r="H1708" s="13" t="str">
        <f>SUBSTITUTE(Github!L$1453, ";", ", ")</f>
        <v>Array, Hash Table, String, </v>
      </c>
      <c r="I1708" s="10" t="str">
        <f>Github!E$1453</f>
        <v>Medium</v>
      </c>
      <c r="J1708" s="10" t="str">
        <f>IF(TRIM(Github!D$1453)="TRUE","FALSE","TRUE")</f>
        <v>TRUE</v>
      </c>
      <c r="K1708" s="10" t="b">
        <f>Github!M$1453</f>
        <v>0</v>
      </c>
      <c r="L1708" s="10" t="b">
        <f>Github!N$1453</f>
        <v>0</v>
      </c>
      <c r="M1708" s="10" t="str">
        <f>ROUND(Github!O$1453, 2)&amp;"%"</f>
        <v>56.52%</v>
      </c>
      <c r="N1708" s="10">
        <f>Github!P$1453</f>
        <v>18303</v>
      </c>
      <c r="O1708" s="10">
        <f>Github!Q$1453</f>
        <v>32383</v>
      </c>
    </row>
    <row r="1709">
      <c r="A1709" s="10">
        <f>Github!J$2024</f>
        <v>2023</v>
      </c>
      <c r="B1709" s="11" t="str">
        <f>HYPERLINK(CONCAT("http://leetcode.com/problems/",Github!C$2024), Github!B$2024)</f>
        <v>Number of Pairs of Strings With Concatenation Equal to Target</v>
      </c>
      <c r="C1709" s="10">
        <f>Github!F$2024</f>
        <v>241</v>
      </c>
      <c r="D1709" s="10">
        <f>Github!G$2024</f>
        <v>23</v>
      </c>
      <c r="E1709" s="10">
        <f>Github!F$2024+Github!G$2024</f>
        <v>264</v>
      </c>
      <c r="F1709" s="12">
        <f t="shared" si="1"/>
        <v>10.48</v>
      </c>
      <c r="G1709" s="10" t="str">
        <f>Github!H$2024</f>
        <v>Algorithms</v>
      </c>
      <c r="H1709" s="13" t="str">
        <f>SUBSTITUTE(Github!L$2024, ";", ", ")</f>
        <v>Array, String, </v>
      </c>
      <c r="I1709" s="10" t="str">
        <f>Github!E$2024</f>
        <v>Medium</v>
      </c>
      <c r="J1709" s="10" t="str">
        <f>IF(TRIM(Github!D$2024)="TRUE","FALSE","TRUE")</f>
        <v>TRUE</v>
      </c>
      <c r="K1709" s="10" t="b">
        <f>Github!M$2024</f>
        <v>0</v>
      </c>
      <c r="L1709" s="10" t="b">
        <f>Github!N$2024</f>
        <v>0</v>
      </c>
      <c r="M1709" s="10" t="str">
        <f>ROUND(Github!O$2024, 2)&amp;"%"</f>
        <v>73.16%</v>
      </c>
      <c r="N1709" s="10">
        <f>Github!P$2024</f>
        <v>15810</v>
      </c>
      <c r="O1709" s="10">
        <f>Github!Q$2024</f>
        <v>21610</v>
      </c>
    </row>
    <row r="1710">
      <c r="A1710" s="10">
        <f>Github!J$2107</f>
        <v>2106</v>
      </c>
      <c r="B1710" s="11" t="str">
        <f>HYPERLINK(CONCAT("http://leetcode.com/problems/",Github!C$2107), Github!B$2107)</f>
        <v>Maximum Fruits Harvested After at Most K Steps</v>
      </c>
      <c r="C1710" s="10">
        <f>Github!F$2107</f>
        <v>241</v>
      </c>
      <c r="D1710" s="10">
        <f>Github!G$2107</f>
        <v>14</v>
      </c>
      <c r="E1710" s="10">
        <f>Github!F$2107+Github!G$2107</f>
        <v>255</v>
      </c>
      <c r="F1710" s="12">
        <f t="shared" si="1"/>
        <v>17.21</v>
      </c>
      <c r="G1710" s="10" t="str">
        <f>Github!H$2107</f>
        <v>Algorithms</v>
      </c>
      <c r="H1710" s="13" t="str">
        <f>SUBSTITUTE(Github!L$2107, ";", ", ")</f>
        <v>Array, Binary Search, Sliding Window, Prefix Sum, </v>
      </c>
      <c r="I1710" s="10" t="str">
        <f>Github!E$2107</f>
        <v>Hard</v>
      </c>
      <c r="J1710" s="10" t="str">
        <f>IF(TRIM(Github!D$2107)="TRUE","FALSE","TRUE")</f>
        <v>TRUE</v>
      </c>
      <c r="K1710" s="10" t="b">
        <f>Github!M$2107</f>
        <v>0</v>
      </c>
      <c r="L1710" s="10" t="b">
        <f>Github!N$2107</f>
        <v>0</v>
      </c>
      <c r="M1710" s="10" t="str">
        <f>ROUND(Github!O$2107, 2)&amp;"%"</f>
        <v>35.05%</v>
      </c>
      <c r="N1710" s="10">
        <f>Github!P$2107</f>
        <v>5891</v>
      </c>
      <c r="O1710" s="10">
        <f>Github!Q$2107</f>
        <v>16808</v>
      </c>
    </row>
    <row r="1711">
      <c r="A1711" s="10">
        <f>Github!J$614</f>
        <v>613</v>
      </c>
      <c r="B1711" s="11" t="str">
        <f>HYPERLINK(CONCAT("http://leetcode.com/problems/",Github!C$614), Github!B$614)</f>
        <v>Shortest Distance in a Line</v>
      </c>
      <c r="C1711" s="10">
        <f>Github!F$614</f>
        <v>240</v>
      </c>
      <c r="D1711" s="10">
        <f>Github!G$614</f>
        <v>33</v>
      </c>
      <c r="E1711" s="10">
        <f>Github!F$614+Github!G$614</f>
        <v>273</v>
      </c>
      <c r="F1711" s="12">
        <f t="shared" si="1"/>
        <v>7.27</v>
      </c>
      <c r="G1711" s="10" t="str">
        <f>Github!H$614</f>
        <v>Database</v>
      </c>
      <c r="H1711" s="13" t="str">
        <f>SUBSTITUTE(Github!L$614, ";", ", ")</f>
        <v>Database, </v>
      </c>
      <c r="I1711" s="10" t="str">
        <f>Github!E$614</f>
        <v>Easy</v>
      </c>
      <c r="J1711" s="10" t="str">
        <f>IF(TRIM(Github!D$614)="TRUE","FALSE","TRUE")</f>
        <v>FALSE</v>
      </c>
      <c r="K1711" s="10" t="b">
        <f>Github!M$614</f>
        <v>1</v>
      </c>
      <c r="L1711" s="10" t="b">
        <f>Github!N$614</f>
        <v>0</v>
      </c>
      <c r="M1711" s="10" t="str">
        <f>ROUND(Github!O$614, 2)&amp;"%"</f>
        <v>81.01%</v>
      </c>
      <c r="N1711" s="10">
        <f>Github!P$614</f>
        <v>48499</v>
      </c>
      <c r="O1711" s="10">
        <f>Github!Q$614</f>
        <v>59869</v>
      </c>
    </row>
    <row r="1712">
      <c r="A1712" s="10">
        <f>Github!J$1999</f>
        <v>1998</v>
      </c>
      <c r="B1712" s="11" t="str">
        <f>HYPERLINK(CONCAT("http://leetcode.com/problems/",Github!C$1999), Github!B$1999)</f>
        <v>GCD Sort of an Array</v>
      </c>
      <c r="C1712" s="10">
        <f>Github!F$1999</f>
        <v>240</v>
      </c>
      <c r="D1712" s="10">
        <f>Github!G$1999</f>
        <v>4</v>
      </c>
      <c r="E1712" s="10">
        <f>Github!F$1999+Github!G$1999</f>
        <v>244</v>
      </c>
      <c r="F1712" s="12">
        <f t="shared" si="1"/>
        <v>60</v>
      </c>
      <c r="G1712" s="10" t="str">
        <f>Github!H$1999</f>
        <v>Algorithms</v>
      </c>
      <c r="H1712" s="13" t="str">
        <f>SUBSTITUTE(Github!L$1999, ";", ", ")</f>
        <v>Array, Math, Union Find, Sorting, </v>
      </c>
      <c r="I1712" s="10" t="str">
        <f>Github!E$1999</f>
        <v>Hard</v>
      </c>
      <c r="J1712" s="10" t="str">
        <f>IF(TRIM(Github!D$1999)="TRUE","FALSE","TRUE")</f>
        <v>TRUE</v>
      </c>
      <c r="K1712" s="10" t="b">
        <f>Github!M$1999</f>
        <v>0</v>
      </c>
      <c r="L1712" s="10" t="b">
        <f>Github!N$1999</f>
        <v>0</v>
      </c>
      <c r="M1712" s="10" t="str">
        <f>ROUND(Github!O$1999, 2)&amp;"%"</f>
        <v>45.69%</v>
      </c>
      <c r="N1712" s="10">
        <f>Github!P$1999</f>
        <v>4431</v>
      </c>
      <c r="O1712" s="10">
        <f>Github!Q$1999</f>
        <v>9699</v>
      </c>
    </row>
    <row r="1713">
      <c r="A1713" s="10">
        <f>Github!J$2196</f>
        <v>2195</v>
      </c>
      <c r="B1713" s="11" t="str">
        <f>HYPERLINK(CONCAT("http://leetcode.com/problems/",Github!C$2196), Github!B$2196)</f>
        <v>Append K Integers With Minimal Sum</v>
      </c>
      <c r="C1713" s="10">
        <f>Github!F$2196</f>
        <v>242</v>
      </c>
      <c r="D1713" s="10">
        <f>Github!G$2196</f>
        <v>202</v>
      </c>
      <c r="E1713" s="10">
        <f>Github!F$2196+Github!G$2196</f>
        <v>444</v>
      </c>
      <c r="F1713" s="12">
        <f t="shared" si="1"/>
        <v>1.2</v>
      </c>
      <c r="G1713" s="10" t="str">
        <f>Github!H$2196</f>
        <v>Algorithms</v>
      </c>
      <c r="H1713" s="13" t="str">
        <f>SUBSTITUTE(Github!L$2196, ";", ", ")</f>
        <v>Array, Math, Greedy, Sorting, </v>
      </c>
      <c r="I1713" s="10" t="str">
        <f>Github!E$2196</f>
        <v>Medium</v>
      </c>
      <c r="J1713" s="10" t="str">
        <f>IF(TRIM(Github!D$2196)="TRUE","FALSE","TRUE")</f>
        <v>TRUE</v>
      </c>
      <c r="K1713" s="10" t="b">
        <f>Github!M$2196</f>
        <v>0</v>
      </c>
      <c r="L1713" s="10" t="b">
        <f>Github!N$2196</f>
        <v>0</v>
      </c>
      <c r="M1713" s="10" t="str">
        <f>ROUND(Github!O$2196, 2)&amp;"%"</f>
        <v>22.09%</v>
      </c>
      <c r="N1713" s="10">
        <f>Github!P$2196</f>
        <v>12566</v>
      </c>
      <c r="O1713" s="10">
        <f>Github!Q$2196</f>
        <v>56885</v>
      </c>
    </row>
    <row r="1714">
      <c r="A1714" s="10">
        <f>Github!J$1894</f>
        <v>1893</v>
      </c>
      <c r="B1714" s="11" t="str">
        <f>HYPERLINK(CONCAT("http://leetcode.com/problems/",Github!C$1894), Github!B$1894)</f>
        <v>Check if All the Integers in a Range Are Covered</v>
      </c>
      <c r="C1714" s="10">
        <f>Github!F$1894</f>
        <v>240</v>
      </c>
      <c r="D1714" s="10">
        <f>Github!G$1894</f>
        <v>51</v>
      </c>
      <c r="E1714" s="10">
        <f>Github!F$1894+Github!G$1894</f>
        <v>291</v>
      </c>
      <c r="F1714" s="12">
        <f t="shared" si="1"/>
        <v>4.71</v>
      </c>
      <c r="G1714" s="10" t="str">
        <f>Github!H$1894</f>
        <v>Algorithms</v>
      </c>
      <c r="H1714" s="13" t="str">
        <f>SUBSTITUTE(Github!L$1894, ";", ", ")</f>
        <v>Array, Hash Table, Prefix Sum, </v>
      </c>
      <c r="I1714" s="10" t="str">
        <f>Github!E$1894</f>
        <v>Easy</v>
      </c>
      <c r="J1714" s="10" t="str">
        <f>IF(TRIM(Github!D$1894)="TRUE","FALSE","TRUE")</f>
        <v>TRUE</v>
      </c>
      <c r="K1714" s="10" t="b">
        <f>Github!M$1894</f>
        <v>0</v>
      </c>
      <c r="L1714" s="10" t="b">
        <f>Github!N$1894</f>
        <v>0</v>
      </c>
      <c r="M1714" s="10" t="str">
        <f>ROUND(Github!O$1894, 2)&amp;"%"</f>
        <v>50.82%</v>
      </c>
      <c r="N1714" s="10">
        <f>Github!P$1894</f>
        <v>19697</v>
      </c>
      <c r="O1714" s="10">
        <f>Github!Q$1894</f>
        <v>38757</v>
      </c>
    </row>
    <row r="1715">
      <c r="A1715" s="10">
        <f>Github!J$1229</f>
        <v>1228</v>
      </c>
      <c r="B1715" s="11" t="str">
        <f>HYPERLINK(CONCAT("http://leetcode.com/problems/",Github!C$1229), Github!B$1229)</f>
        <v>Missing Number In Arithmetic Progression</v>
      </c>
      <c r="C1715" s="10">
        <f>Github!F$1229</f>
        <v>238</v>
      </c>
      <c r="D1715" s="10">
        <f>Github!G$1229</f>
        <v>30</v>
      </c>
      <c r="E1715" s="10">
        <f>Github!F$1229+Github!G$1229</f>
        <v>268</v>
      </c>
      <c r="F1715" s="12">
        <f t="shared" si="1"/>
        <v>7.93</v>
      </c>
      <c r="G1715" s="10" t="str">
        <f>Github!H$1229</f>
        <v>Algorithms</v>
      </c>
      <c r="H1715" s="13" t="str">
        <f>SUBSTITUTE(Github!L$1229, ";", ", ")</f>
        <v>Array, Math, </v>
      </c>
      <c r="I1715" s="10" t="str">
        <f>Github!E$1229</f>
        <v>Easy</v>
      </c>
      <c r="J1715" s="10" t="str">
        <f>IF(TRIM(Github!D$1229)="TRUE","FALSE","TRUE")</f>
        <v>FALSE</v>
      </c>
      <c r="K1715" s="10" t="b">
        <f>Github!M$1229</f>
        <v>1</v>
      </c>
      <c r="L1715" s="10" t="b">
        <f>Github!N$1229</f>
        <v>1</v>
      </c>
      <c r="M1715" s="10" t="str">
        <f>ROUND(Github!O$1229, 2)&amp;"%"</f>
        <v>51.12%</v>
      </c>
      <c r="N1715" s="10">
        <f>Github!P$1229</f>
        <v>20071</v>
      </c>
      <c r="O1715" s="10">
        <f>Github!Q$1229</f>
        <v>39264</v>
      </c>
    </row>
    <row r="1716">
      <c r="A1716" s="10">
        <f>Github!J$1917</f>
        <v>1916</v>
      </c>
      <c r="B1716" s="11" t="str">
        <f>HYPERLINK(CONCAT("http://leetcode.com/problems/",Github!C$1917), Github!B$1917)</f>
        <v>Count Ways to Build Rooms in an Ant Colony</v>
      </c>
      <c r="C1716" s="10">
        <f>Github!F$1917</f>
        <v>238</v>
      </c>
      <c r="D1716" s="10">
        <f>Github!G$1917</f>
        <v>30</v>
      </c>
      <c r="E1716" s="10">
        <f>Github!F$1917+Github!G$1917</f>
        <v>268</v>
      </c>
      <c r="F1716" s="12">
        <f t="shared" si="1"/>
        <v>7.93</v>
      </c>
      <c r="G1716" s="10" t="str">
        <f>Github!H$1917</f>
        <v>Algorithms</v>
      </c>
      <c r="H1716" s="13" t="str">
        <f>SUBSTITUTE(Github!L$1917, ";", ", ")</f>
        <v>Math, Dynamic Programming, Tree, Graph, Topological Sort, Combinatorics, </v>
      </c>
      <c r="I1716" s="10" t="str">
        <f>Github!E$1917</f>
        <v>Hard</v>
      </c>
      <c r="J1716" s="10" t="str">
        <f>IF(TRIM(Github!D$1917)="TRUE","FALSE","TRUE")</f>
        <v>TRUE</v>
      </c>
      <c r="K1716" s="10" t="b">
        <f>Github!M$1917</f>
        <v>0</v>
      </c>
      <c r="L1716" s="10" t="b">
        <f>Github!N$1917</f>
        <v>0</v>
      </c>
      <c r="M1716" s="10" t="str">
        <f>ROUND(Github!O$1917, 2)&amp;"%"</f>
        <v>48.3%</v>
      </c>
      <c r="N1716" s="10">
        <f>Github!P$1917</f>
        <v>3463</v>
      </c>
      <c r="O1716" s="10">
        <f>Github!Q$1917</f>
        <v>7170</v>
      </c>
    </row>
    <row r="1717">
      <c r="A1717" s="10">
        <f>Github!J$1017</f>
        <v>1016</v>
      </c>
      <c r="B1717" s="11" t="str">
        <f>HYPERLINK(CONCAT("http://leetcode.com/problems/",Github!C$1017), Github!B$1017)</f>
        <v>Binary String With Substrings Representing 1 To N</v>
      </c>
      <c r="C1717" s="10">
        <f>Github!F$1017</f>
        <v>237</v>
      </c>
      <c r="D1717" s="10">
        <f>Github!G$1017</f>
        <v>448</v>
      </c>
      <c r="E1717" s="10">
        <f>Github!F$1017+Github!G$1017</f>
        <v>685</v>
      </c>
      <c r="F1717" s="12">
        <f t="shared" si="1"/>
        <v>0.53</v>
      </c>
      <c r="G1717" s="10" t="str">
        <f>Github!H$1017</f>
        <v>Algorithms</v>
      </c>
      <c r="H1717" s="13" t="str">
        <f>SUBSTITUTE(Github!L$1017, ";", ", ")</f>
        <v>String, </v>
      </c>
      <c r="I1717" s="10" t="str">
        <f>Github!E$1017</f>
        <v>Medium</v>
      </c>
      <c r="J1717" s="10" t="str">
        <f>IF(TRIM(Github!D$1017)="TRUE","FALSE","TRUE")</f>
        <v>TRUE</v>
      </c>
      <c r="K1717" s="10" t="b">
        <f>Github!M$1017</f>
        <v>0</v>
      </c>
      <c r="L1717" s="10" t="b">
        <f>Github!N$1017</f>
        <v>0</v>
      </c>
      <c r="M1717" s="10" t="str">
        <f>ROUND(Github!O$1017, 2)&amp;"%"</f>
        <v>57.95%</v>
      </c>
      <c r="N1717" s="10">
        <f>Github!P$1017</f>
        <v>27763</v>
      </c>
      <c r="O1717" s="10">
        <f>Github!Q$1017</f>
        <v>47907</v>
      </c>
    </row>
    <row r="1718">
      <c r="A1718" s="10">
        <f>Github!J$1251</f>
        <v>1250</v>
      </c>
      <c r="B1718" s="11" t="str">
        <f>HYPERLINK(CONCAT("http://leetcode.com/problems/",Github!C$1251), Github!B$1251)</f>
        <v>Check If It Is a Good Array</v>
      </c>
      <c r="C1718" s="10">
        <f>Github!F$1251</f>
        <v>235</v>
      </c>
      <c r="D1718" s="10">
        <f>Github!G$1251</f>
        <v>265</v>
      </c>
      <c r="E1718" s="10">
        <f>Github!F$1251+Github!G$1251</f>
        <v>500</v>
      </c>
      <c r="F1718" s="12">
        <f t="shared" si="1"/>
        <v>0.89</v>
      </c>
      <c r="G1718" s="10" t="str">
        <f>Github!H$1251</f>
        <v>Algorithms</v>
      </c>
      <c r="H1718" s="13" t="str">
        <f>SUBSTITUTE(Github!L$1251, ";", ", ")</f>
        <v>Array, Math, Number Theory, </v>
      </c>
      <c r="I1718" s="10" t="str">
        <f>Github!E$1251</f>
        <v>Hard</v>
      </c>
      <c r="J1718" s="10" t="str">
        <f>IF(TRIM(Github!D$1251)="TRUE","FALSE","TRUE")</f>
        <v>TRUE</v>
      </c>
      <c r="K1718" s="10" t="b">
        <f>Github!M$1251</f>
        <v>0</v>
      </c>
      <c r="L1718" s="10" t="b">
        <f>Github!N$1251</f>
        <v>0</v>
      </c>
      <c r="M1718" s="10" t="str">
        <f>ROUND(Github!O$1251, 2)&amp;"%"</f>
        <v>57.75%</v>
      </c>
      <c r="N1718" s="10">
        <f>Github!P$1251</f>
        <v>12704</v>
      </c>
      <c r="O1718" s="10">
        <f>Github!Q$1251</f>
        <v>21997</v>
      </c>
    </row>
    <row r="1719">
      <c r="A1719" s="10">
        <f>Github!J$1996</f>
        <v>1995</v>
      </c>
      <c r="B1719" s="11" t="str">
        <f>HYPERLINK(CONCAT("http://leetcode.com/problems/",Github!C$1996), Github!B$1996)</f>
        <v>Count Special Quadruplets</v>
      </c>
      <c r="C1719" s="10">
        <f>Github!F$1996</f>
        <v>235</v>
      </c>
      <c r="D1719" s="10">
        <f>Github!G$1996</f>
        <v>121</v>
      </c>
      <c r="E1719" s="10">
        <f>Github!F$1996+Github!G$1996</f>
        <v>356</v>
      </c>
      <c r="F1719" s="12">
        <f t="shared" si="1"/>
        <v>1.94</v>
      </c>
      <c r="G1719" s="10" t="str">
        <f>Github!H$1996</f>
        <v>Algorithms</v>
      </c>
      <c r="H1719" s="13" t="str">
        <f>SUBSTITUTE(Github!L$1996, ";", ", ")</f>
        <v>Array, Enumeration, </v>
      </c>
      <c r="I1719" s="10" t="str">
        <f>Github!E$1996</f>
        <v>Easy</v>
      </c>
      <c r="J1719" s="10" t="str">
        <f>IF(TRIM(Github!D$1996)="TRUE","FALSE","TRUE")</f>
        <v>TRUE</v>
      </c>
      <c r="K1719" s="10" t="b">
        <f>Github!M$1996</f>
        <v>0</v>
      </c>
      <c r="L1719" s="10" t="b">
        <f>Github!N$1996</f>
        <v>0</v>
      </c>
      <c r="M1719" s="10" t="str">
        <f>ROUND(Github!O$1996, 2)&amp;"%"</f>
        <v>57.73%</v>
      </c>
      <c r="N1719" s="10">
        <f>Github!P$1996</f>
        <v>17924</v>
      </c>
      <c r="O1719" s="10">
        <f>Github!Q$1996</f>
        <v>31049</v>
      </c>
    </row>
    <row r="1720">
      <c r="A1720" s="10">
        <f>Github!J$2161</f>
        <v>2160</v>
      </c>
      <c r="B1720" s="11" t="str">
        <f>HYPERLINK(CONCAT("http://leetcode.com/problems/",Github!C$2161), Github!B$2161)</f>
        <v>Minimum Sum of Four Digit Number After Splitting Digits</v>
      </c>
      <c r="C1720" s="10">
        <f>Github!F$2161</f>
        <v>238</v>
      </c>
      <c r="D1720" s="10">
        <f>Github!G$2161</f>
        <v>24</v>
      </c>
      <c r="E1720" s="10">
        <f>Github!F$2161+Github!G$2161</f>
        <v>262</v>
      </c>
      <c r="F1720" s="12">
        <f t="shared" si="1"/>
        <v>9.92</v>
      </c>
      <c r="G1720" s="10" t="str">
        <f>Github!H$2161</f>
        <v>Algorithms</v>
      </c>
      <c r="H1720" s="13" t="str">
        <f>SUBSTITUTE(Github!L$2161, ";", ", ")</f>
        <v>Math, Greedy, Sorting, </v>
      </c>
      <c r="I1720" s="10" t="str">
        <f>Github!E$2161</f>
        <v>Easy</v>
      </c>
      <c r="J1720" s="10" t="str">
        <f>IF(TRIM(Github!D$2161)="TRUE","FALSE","TRUE")</f>
        <v>TRUE</v>
      </c>
      <c r="K1720" s="10" t="b">
        <f>Github!M$2161</f>
        <v>0</v>
      </c>
      <c r="L1720" s="10" t="b">
        <f>Github!N$2161</f>
        <v>0</v>
      </c>
      <c r="M1720" s="10" t="str">
        <f>ROUND(Github!O$2161, 2)&amp;"%"</f>
        <v>87.75%</v>
      </c>
      <c r="N1720" s="10">
        <f>Github!P$2161</f>
        <v>21183</v>
      </c>
      <c r="O1720" s="10">
        <f>Github!Q$2161</f>
        <v>24141</v>
      </c>
    </row>
    <row r="1721">
      <c r="A1721" s="10">
        <f>Github!J$2197</f>
        <v>2196</v>
      </c>
      <c r="B1721" s="11" t="str">
        <f>HYPERLINK(CONCAT("http://leetcode.com/problems/",Github!C$2197), Github!B$2197)</f>
        <v>Create Binary Tree From Descriptions</v>
      </c>
      <c r="C1721" s="10">
        <f>Github!F$2197</f>
        <v>240</v>
      </c>
      <c r="D1721" s="10">
        <f>Github!G$2197</f>
        <v>7</v>
      </c>
      <c r="E1721" s="10">
        <f>Github!F$2197+Github!G$2197</f>
        <v>247</v>
      </c>
      <c r="F1721" s="12">
        <f t="shared" si="1"/>
        <v>34.29</v>
      </c>
      <c r="G1721" s="10" t="str">
        <f>Github!H$2197</f>
        <v>Algorithms</v>
      </c>
      <c r="H1721" s="13" t="str">
        <f>SUBSTITUTE(Github!L$2197, ";", ", ")</f>
        <v>Array, Hash Table, Tree, Depth-First Search, Breadth-First Search, Binary Tree, </v>
      </c>
      <c r="I1721" s="10" t="str">
        <f>Github!E$2197</f>
        <v>Medium</v>
      </c>
      <c r="J1721" s="10" t="str">
        <f>IF(TRIM(Github!D$2197)="TRUE","FALSE","TRUE")</f>
        <v>TRUE</v>
      </c>
      <c r="K1721" s="10" t="b">
        <f>Github!M$2197</f>
        <v>0</v>
      </c>
      <c r="L1721" s="10" t="b">
        <f>Github!N$2197</f>
        <v>0</v>
      </c>
      <c r="M1721" s="10" t="str">
        <f>ROUND(Github!O$2197, 2)&amp;"%"</f>
        <v>69.44%</v>
      </c>
      <c r="N1721" s="10">
        <f>Github!P$2197</f>
        <v>10768</v>
      </c>
      <c r="O1721" s="10">
        <f>Github!Q$2197</f>
        <v>15509</v>
      </c>
    </row>
    <row r="1722">
      <c r="A1722" s="10">
        <f>Github!J$1176</f>
        <v>1175</v>
      </c>
      <c r="B1722" s="11" t="str">
        <f>HYPERLINK(CONCAT("http://leetcode.com/problems/",Github!C$1176), Github!B$1176)</f>
        <v>Prime Arrangements</v>
      </c>
      <c r="C1722" s="10">
        <f>Github!F$1176</f>
        <v>234</v>
      </c>
      <c r="D1722" s="10">
        <f>Github!G$1176</f>
        <v>343</v>
      </c>
      <c r="E1722" s="10">
        <f>Github!F$1176+Github!G$1176</f>
        <v>577</v>
      </c>
      <c r="F1722" s="12">
        <f t="shared" si="1"/>
        <v>0.68</v>
      </c>
      <c r="G1722" s="10" t="str">
        <f>Github!H$1176</f>
        <v>Algorithms</v>
      </c>
      <c r="H1722" s="13" t="str">
        <f>SUBSTITUTE(Github!L$1176, ";", ", ")</f>
        <v>Math, </v>
      </c>
      <c r="I1722" s="10" t="str">
        <f>Github!E$1176</f>
        <v>Easy</v>
      </c>
      <c r="J1722" s="10" t="str">
        <f>IF(TRIM(Github!D$1176)="TRUE","FALSE","TRUE")</f>
        <v>TRUE</v>
      </c>
      <c r="K1722" s="10" t="b">
        <f>Github!M$1176</f>
        <v>0</v>
      </c>
      <c r="L1722" s="10" t="b">
        <f>Github!N$1176</f>
        <v>0</v>
      </c>
      <c r="M1722" s="10" t="str">
        <f>ROUND(Github!O$1176, 2)&amp;"%"</f>
        <v>52.67%</v>
      </c>
      <c r="N1722" s="10">
        <f>Github!P$1176</f>
        <v>19475</v>
      </c>
      <c r="O1722" s="10">
        <f>Github!Q$1176</f>
        <v>36973</v>
      </c>
    </row>
    <row r="1723">
      <c r="A1723" s="10">
        <f>Github!J$1508</f>
        <v>1507</v>
      </c>
      <c r="B1723" s="11" t="str">
        <f>HYPERLINK(CONCAT("http://leetcode.com/problems/",Github!C$1508), Github!B$1508)</f>
        <v>Reformat Date</v>
      </c>
      <c r="C1723" s="10">
        <f>Github!F$1508</f>
        <v>234</v>
      </c>
      <c r="D1723" s="10">
        <f>Github!G$1508</f>
        <v>313</v>
      </c>
      <c r="E1723" s="10">
        <f>Github!F$1508+Github!G$1508</f>
        <v>547</v>
      </c>
      <c r="F1723" s="12">
        <f t="shared" si="1"/>
        <v>0.75</v>
      </c>
      <c r="G1723" s="10" t="str">
        <f>Github!H$1508</f>
        <v>Algorithms</v>
      </c>
      <c r="H1723" s="13" t="str">
        <f>SUBSTITUTE(Github!L$1508, ";", ", ")</f>
        <v>String, </v>
      </c>
      <c r="I1723" s="10" t="str">
        <f>Github!E$1508</f>
        <v>Easy</v>
      </c>
      <c r="J1723" s="10" t="str">
        <f>IF(TRIM(Github!D$1508)="TRUE","FALSE","TRUE")</f>
        <v>TRUE</v>
      </c>
      <c r="K1723" s="10" t="b">
        <f>Github!M$1508</f>
        <v>0</v>
      </c>
      <c r="L1723" s="10" t="b">
        <f>Github!N$1508</f>
        <v>0</v>
      </c>
      <c r="M1723" s="10" t="str">
        <f>ROUND(Github!O$1508, 2)&amp;"%"</f>
        <v>61.62%</v>
      </c>
      <c r="N1723" s="10">
        <f>Github!P$1508</f>
        <v>36426</v>
      </c>
      <c r="O1723" s="10">
        <f>Github!Q$1508</f>
        <v>59113</v>
      </c>
    </row>
    <row r="1724">
      <c r="A1724" s="10">
        <f>Github!J$1623</f>
        <v>1622</v>
      </c>
      <c r="B1724" s="11" t="str">
        <f>HYPERLINK(CONCAT("http://leetcode.com/problems/",Github!C$1623), Github!B$1623)</f>
        <v>Fancy Sequence</v>
      </c>
      <c r="C1724" s="10">
        <f>Github!F$1623</f>
        <v>235</v>
      </c>
      <c r="D1724" s="10">
        <f>Github!G$1623</f>
        <v>86</v>
      </c>
      <c r="E1724" s="10">
        <f>Github!F$1623+Github!G$1623</f>
        <v>321</v>
      </c>
      <c r="F1724" s="12">
        <f t="shared" si="1"/>
        <v>2.73</v>
      </c>
      <c r="G1724" s="10" t="str">
        <f>Github!H$1623</f>
        <v>Algorithms</v>
      </c>
      <c r="H1724" s="13" t="str">
        <f>SUBSTITUTE(Github!L$1623, ";", ", ")</f>
        <v>Math, Design, Segment Tree, </v>
      </c>
      <c r="I1724" s="10" t="str">
        <f>Github!E$1623</f>
        <v>Hard</v>
      </c>
      <c r="J1724" s="10" t="str">
        <f>IF(TRIM(Github!D$1623)="TRUE","FALSE","TRUE")</f>
        <v>TRUE</v>
      </c>
      <c r="K1724" s="10" t="b">
        <f>Github!M$1623</f>
        <v>0</v>
      </c>
      <c r="L1724" s="10" t="b">
        <f>Github!N$1623</f>
        <v>0</v>
      </c>
      <c r="M1724" s="10" t="str">
        <f>ROUND(Github!O$1623, 2)&amp;"%"</f>
        <v>15.34%</v>
      </c>
      <c r="N1724" s="10">
        <f>Github!P$1623</f>
        <v>6673</v>
      </c>
      <c r="O1724" s="10">
        <f>Github!Q$1623</f>
        <v>43499</v>
      </c>
    </row>
    <row r="1725">
      <c r="A1725" s="10">
        <f>Github!J$1797</f>
        <v>1796</v>
      </c>
      <c r="B1725" s="11" t="str">
        <f>HYPERLINK(CONCAT("http://leetcode.com/problems/",Github!C$1797), Github!B$1797)</f>
        <v>Second Largest Digit in a String</v>
      </c>
      <c r="C1725" s="10">
        <f>Github!F$1797</f>
        <v>234</v>
      </c>
      <c r="D1725" s="10">
        <f>Github!G$1797</f>
        <v>69</v>
      </c>
      <c r="E1725" s="10">
        <f>Github!F$1797+Github!G$1797</f>
        <v>303</v>
      </c>
      <c r="F1725" s="12">
        <f t="shared" si="1"/>
        <v>3.39</v>
      </c>
      <c r="G1725" s="10" t="str">
        <f>Github!H$1797</f>
        <v>Algorithms</v>
      </c>
      <c r="H1725" s="13" t="str">
        <f>SUBSTITUTE(Github!L$1797, ";", ", ")</f>
        <v>Hash Table, String, </v>
      </c>
      <c r="I1725" s="10" t="str">
        <f>Github!E$1797</f>
        <v>Easy</v>
      </c>
      <c r="J1725" s="10" t="str">
        <f>IF(TRIM(Github!D$1797)="TRUE","FALSE","TRUE")</f>
        <v>TRUE</v>
      </c>
      <c r="K1725" s="10" t="b">
        <f>Github!M$1797</f>
        <v>0</v>
      </c>
      <c r="L1725" s="10" t="b">
        <f>Github!N$1797</f>
        <v>0</v>
      </c>
      <c r="M1725" s="10" t="str">
        <f>ROUND(Github!O$1797, 2)&amp;"%"</f>
        <v>49.01%</v>
      </c>
      <c r="N1725" s="10">
        <f>Github!P$1797</f>
        <v>23625</v>
      </c>
      <c r="O1725" s="10">
        <f>Github!Q$1797</f>
        <v>48206</v>
      </c>
    </row>
    <row r="1726">
      <c r="A1726" s="10">
        <f>Github!J$1890</f>
        <v>1889</v>
      </c>
      <c r="B1726" s="11" t="str">
        <f>HYPERLINK(CONCAT("http://leetcode.com/problems/",Github!C$1890), Github!B$1890)</f>
        <v>Minimum Space Wasted From Packaging</v>
      </c>
      <c r="C1726" s="10">
        <f>Github!F$1890</f>
        <v>234</v>
      </c>
      <c r="D1726" s="10">
        <f>Github!G$1890</f>
        <v>27</v>
      </c>
      <c r="E1726" s="10">
        <f>Github!F$1890+Github!G$1890</f>
        <v>261</v>
      </c>
      <c r="F1726" s="12">
        <f t="shared" si="1"/>
        <v>8.67</v>
      </c>
      <c r="G1726" s="10" t="str">
        <f>Github!H$1890</f>
        <v>Algorithms</v>
      </c>
      <c r="H1726" s="13" t="str">
        <f>SUBSTITUTE(Github!L$1890, ";", ", ")</f>
        <v>Array, Binary Search, Sorting, Prefix Sum, </v>
      </c>
      <c r="I1726" s="10" t="str">
        <f>Github!E$1890</f>
        <v>Hard</v>
      </c>
      <c r="J1726" s="10" t="str">
        <f>IF(TRIM(Github!D$1890)="TRUE","FALSE","TRUE")</f>
        <v>TRUE</v>
      </c>
      <c r="K1726" s="10" t="b">
        <f>Github!M$1890</f>
        <v>0</v>
      </c>
      <c r="L1726" s="10" t="b">
        <f>Github!N$1890</f>
        <v>0</v>
      </c>
      <c r="M1726" s="10" t="str">
        <f>ROUND(Github!O$1890, 2)&amp;"%"</f>
        <v>29.92%</v>
      </c>
      <c r="N1726" s="10">
        <f>Github!P$1890</f>
        <v>7353</v>
      </c>
      <c r="O1726" s="10">
        <f>Github!Q$1890</f>
        <v>24575</v>
      </c>
    </row>
    <row r="1727">
      <c r="A1727" s="10">
        <f>Github!J$2091</f>
        <v>2090</v>
      </c>
      <c r="B1727" s="11" t="str">
        <f>HYPERLINK(CONCAT("http://leetcode.com/problems/",Github!C$2091), Github!B$2091)</f>
        <v>K Radius Subarray Averages</v>
      </c>
      <c r="C1727" s="10">
        <f>Github!F$2091</f>
        <v>235</v>
      </c>
      <c r="D1727" s="10">
        <f>Github!G$2091</f>
        <v>10</v>
      </c>
      <c r="E1727" s="10">
        <f>Github!F$2091+Github!G$2091</f>
        <v>245</v>
      </c>
      <c r="F1727" s="12">
        <f t="shared" si="1"/>
        <v>23.5</v>
      </c>
      <c r="G1727" s="10" t="str">
        <f>Github!H$2091</f>
        <v>Algorithms</v>
      </c>
      <c r="H1727" s="13" t="str">
        <f>SUBSTITUTE(Github!L$2091, ";", ", ")</f>
        <v>Array, Sliding Window, </v>
      </c>
      <c r="I1727" s="10" t="str">
        <f>Github!E$2091</f>
        <v>Medium</v>
      </c>
      <c r="J1727" s="10" t="str">
        <f>IF(TRIM(Github!D$2091)="TRUE","FALSE","TRUE")</f>
        <v>TRUE</v>
      </c>
      <c r="K1727" s="10" t="b">
        <f>Github!M$2091</f>
        <v>0</v>
      </c>
      <c r="L1727" s="10" t="b">
        <f>Github!N$2091</f>
        <v>0</v>
      </c>
      <c r="M1727" s="10" t="str">
        <f>ROUND(Github!O$2091, 2)&amp;"%"</f>
        <v>40.49%</v>
      </c>
      <c r="N1727" s="10">
        <f>Github!P$2091</f>
        <v>13066</v>
      </c>
      <c r="O1727" s="10">
        <f>Github!Q$2091</f>
        <v>32272</v>
      </c>
    </row>
    <row r="1728">
      <c r="A1728" s="10">
        <f>Github!J$2040</f>
        <v>2039</v>
      </c>
      <c r="B1728" s="11" t="str">
        <f>HYPERLINK(CONCAT("http://leetcode.com/problems/",Github!C$2040), Github!B$2040)</f>
        <v>The Time When the Network Becomes Idle</v>
      </c>
      <c r="C1728" s="10">
        <f>Github!F$2040</f>
        <v>233</v>
      </c>
      <c r="D1728" s="10">
        <f>Github!G$2040</f>
        <v>16</v>
      </c>
      <c r="E1728" s="10">
        <f>Github!F$2040+Github!G$2040</f>
        <v>249</v>
      </c>
      <c r="F1728" s="12">
        <f t="shared" si="1"/>
        <v>14.56</v>
      </c>
      <c r="G1728" s="10" t="str">
        <f>Github!H$2040</f>
        <v>Algorithms</v>
      </c>
      <c r="H1728" s="13" t="str">
        <f>SUBSTITUTE(Github!L$2040, ";", ", ")</f>
        <v>Array, Breadth-First Search, Graph, </v>
      </c>
      <c r="I1728" s="10" t="str">
        <f>Github!E$2040</f>
        <v>Medium</v>
      </c>
      <c r="J1728" s="10" t="str">
        <f>IF(TRIM(Github!D$2040)="TRUE","FALSE","TRUE")</f>
        <v>TRUE</v>
      </c>
      <c r="K1728" s="10" t="b">
        <f>Github!M$2040</f>
        <v>0</v>
      </c>
      <c r="L1728" s="10" t="b">
        <f>Github!N$2040</f>
        <v>0</v>
      </c>
      <c r="M1728" s="10" t="str">
        <f>ROUND(Github!O$2040, 2)&amp;"%"</f>
        <v>48.67%</v>
      </c>
      <c r="N1728" s="10">
        <f>Github!P$2040</f>
        <v>5890</v>
      </c>
      <c r="O1728" s="10">
        <f>Github!Q$2040</f>
        <v>12101</v>
      </c>
    </row>
    <row r="1729">
      <c r="A1729" s="10">
        <f>Github!J$1322</f>
        <v>1321</v>
      </c>
      <c r="B1729" s="11" t="str">
        <f>HYPERLINK(CONCAT("http://leetcode.com/problems/",Github!C$1322), Github!B$1322)</f>
        <v>Restaurant Growth</v>
      </c>
      <c r="C1729" s="10">
        <f>Github!F$1322</f>
        <v>232</v>
      </c>
      <c r="D1729" s="10">
        <f>Github!G$1322</f>
        <v>35</v>
      </c>
      <c r="E1729" s="10">
        <f>Github!F$1322+Github!G$1322</f>
        <v>267</v>
      </c>
      <c r="F1729" s="12">
        <f t="shared" si="1"/>
        <v>6.63</v>
      </c>
      <c r="G1729" s="10" t="str">
        <f>Github!H$1322</f>
        <v>Database</v>
      </c>
      <c r="H1729" s="13" t="str">
        <f>SUBSTITUTE(Github!L$1322, ";", ", ")</f>
        <v>Database, </v>
      </c>
      <c r="I1729" s="10" t="str">
        <f>Github!E$1322</f>
        <v>Medium</v>
      </c>
      <c r="J1729" s="10" t="str">
        <f>IF(TRIM(Github!D$1322)="TRUE","FALSE","TRUE")</f>
        <v>FALSE</v>
      </c>
      <c r="K1729" s="10" t="b">
        <f>Github!M$1322</f>
        <v>0</v>
      </c>
      <c r="L1729" s="10" t="b">
        <f>Github!N$1322</f>
        <v>0</v>
      </c>
      <c r="M1729" s="10" t="str">
        <f>ROUND(Github!O$1322, 2)&amp;"%"</f>
        <v>72.51%</v>
      </c>
      <c r="N1729" s="10">
        <f>Github!P$1322</f>
        <v>19504</v>
      </c>
      <c r="O1729" s="10">
        <f>Github!Q$1322</f>
        <v>26898</v>
      </c>
    </row>
    <row r="1730">
      <c r="A1730" s="10">
        <f>Github!J$1983</f>
        <v>1982</v>
      </c>
      <c r="B1730" s="11" t="str">
        <f>HYPERLINK(CONCAT("http://leetcode.com/problems/",Github!C$1983), Github!B$1983)</f>
        <v>Find Array Given Subset Sums</v>
      </c>
      <c r="C1730" s="10">
        <f>Github!F$1983</f>
        <v>232</v>
      </c>
      <c r="D1730" s="10">
        <f>Github!G$1983</f>
        <v>18</v>
      </c>
      <c r="E1730" s="10">
        <f>Github!F$1983+Github!G$1983</f>
        <v>250</v>
      </c>
      <c r="F1730" s="12">
        <f t="shared" si="1"/>
        <v>12.89</v>
      </c>
      <c r="G1730" s="10" t="str">
        <f>Github!H$1983</f>
        <v>Algorithms</v>
      </c>
      <c r="H1730" s="13" t="str">
        <f>SUBSTITUTE(Github!L$1983, ";", ", ")</f>
        <v>Array, Divide and Conquer, </v>
      </c>
      <c r="I1730" s="10" t="str">
        <f>Github!E$1983</f>
        <v>Hard</v>
      </c>
      <c r="J1730" s="10" t="str">
        <f>IF(TRIM(Github!D$1983)="TRUE","FALSE","TRUE")</f>
        <v>TRUE</v>
      </c>
      <c r="K1730" s="10" t="b">
        <f>Github!M$1983</f>
        <v>0</v>
      </c>
      <c r="L1730" s="10" t="b">
        <f>Github!N$1983</f>
        <v>0</v>
      </c>
      <c r="M1730" s="10" t="str">
        <f>ROUND(Github!O$1983, 2)&amp;"%"</f>
        <v>48.4%</v>
      </c>
      <c r="N1730" s="10">
        <f>Github!P$1983</f>
        <v>2882</v>
      </c>
      <c r="O1730" s="10">
        <f>Github!Q$1983</f>
        <v>5955</v>
      </c>
    </row>
    <row r="1731">
      <c r="A1731" s="10">
        <f>Github!J$608</f>
        <v>607</v>
      </c>
      <c r="B1731" s="11" t="str">
        <f>HYPERLINK(CONCAT("http://leetcode.com/problems/",Github!C$608), Github!B$608)</f>
        <v>Sales Person</v>
      </c>
      <c r="C1731" s="10">
        <f>Github!F$608</f>
        <v>232</v>
      </c>
      <c r="D1731" s="10">
        <f>Github!G$608</f>
        <v>45</v>
      </c>
      <c r="E1731" s="10">
        <f>Github!F$608+Github!G$608</f>
        <v>277</v>
      </c>
      <c r="F1731" s="12">
        <f t="shared" si="1"/>
        <v>5.16</v>
      </c>
      <c r="G1731" s="10" t="str">
        <f>Github!H$608</f>
        <v>Database</v>
      </c>
      <c r="H1731" s="13" t="str">
        <f>SUBSTITUTE(Github!L$608, ";", ", ")</f>
        <v>Database, </v>
      </c>
      <c r="I1731" s="10" t="str">
        <f>Github!E$608</f>
        <v>Easy</v>
      </c>
      <c r="J1731" s="10" t="str">
        <f>IF(TRIM(Github!D$608)="TRUE","FALSE","TRUE")</f>
        <v>FALSE</v>
      </c>
      <c r="K1731" s="10" t="b">
        <f>Github!M$608</f>
        <v>1</v>
      </c>
      <c r="L1731" s="10" t="b">
        <f>Github!N$608</f>
        <v>0</v>
      </c>
      <c r="M1731" s="10" t="str">
        <f>ROUND(Github!O$608, 2)&amp;"%"</f>
        <v>67.97%</v>
      </c>
      <c r="N1731" s="10">
        <f>Github!P$608</f>
        <v>47360</v>
      </c>
      <c r="O1731" s="10">
        <f>Github!Q$608</f>
        <v>69675</v>
      </c>
    </row>
    <row r="1732">
      <c r="A1732" s="10">
        <f>Github!J$759</f>
        <v>758</v>
      </c>
      <c r="B1732" s="11" t="str">
        <f>HYPERLINK(CONCAT("http://leetcode.com/problems/",Github!C$759), Github!B$759)</f>
        <v>Bold Words in String</v>
      </c>
      <c r="C1732" s="10">
        <f>Github!F$759</f>
        <v>231</v>
      </c>
      <c r="D1732" s="10">
        <f>Github!G$759</f>
        <v>114</v>
      </c>
      <c r="E1732" s="10">
        <f>Github!F$759+Github!G$759</f>
        <v>345</v>
      </c>
      <c r="F1732" s="12">
        <f t="shared" si="1"/>
        <v>2.03</v>
      </c>
      <c r="G1732" s="10" t="str">
        <f>Github!H$759</f>
        <v>Algorithms</v>
      </c>
      <c r="H1732" s="13" t="str">
        <f>SUBSTITUTE(Github!L$759, ";", ", ")</f>
        <v>Array, Hash Table, String, Trie, String Matching, </v>
      </c>
      <c r="I1732" s="10" t="str">
        <f>Github!E$759</f>
        <v>Medium</v>
      </c>
      <c r="J1732" s="10" t="str">
        <f>IF(TRIM(Github!D$759)="TRUE","FALSE","TRUE")</f>
        <v>FALSE</v>
      </c>
      <c r="K1732" s="10" t="b">
        <f>Github!M$759</f>
        <v>0</v>
      </c>
      <c r="L1732" s="10" t="b">
        <f>Github!N$759</f>
        <v>0</v>
      </c>
      <c r="M1732" s="10" t="str">
        <f>ROUND(Github!O$759, 2)&amp;"%"</f>
        <v>50%</v>
      </c>
      <c r="N1732" s="10">
        <f>Github!P$759</f>
        <v>16210</v>
      </c>
      <c r="O1732" s="10">
        <f>Github!Q$759</f>
        <v>32418</v>
      </c>
    </row>
    <row r="1733">
      <c r="A1733" s="10">
        <f>Github!J$1281</f>
        <v>1280</v>
      </c>
      <c r="B1733" s="11" t="str">
        <f>HYPERLINK(CONCAT("http://leetcode.com/problems/",Github!C$1281), Github!B$1281)</f>
        <v>Students and Examinations</v>
      </c>
      <c r="C1733" s="10">
        <f>Github!F$1281</f>
        <v>231</v>
      </c>
      <c r="D1733" s="10">
        <f>Github!G$1281</f>
        <v>31</v>
      </c>
      <c r="E1733" s="10">
        <f>Github!F$1281+Github!G$1281</f>
        <v>262</v>
      </c>
      <c r="F1733" s="12">
        <f t="shared" si="1"/>
        <v>7.45</v>
      </c>
      <c r="G1733" s="10" t="str">
        <f>Github!H$1281</f>
        <v>Database</v>
      </c>
      <c r="H1733" s="13" t="str">
        <f>SUBSTITUTE(Github!L$1281, ";", ", ")</f>
        <v>Database, </v>
      </c>
      <c r="I1733" s="10" t="str">
        <f>Github!E$1281</f>
        <v>Easy</v>
      </c>
      <c r="J1733" s="10" t="str">
        <f>IF(TRIM(Github!D$1281)="TRUE","FALSE","TRUE")</f>
        <v>FALSE</v>
      </c>
      <c r="K1733" s="10" t="b">
        <f>Github!M$1281</f>
        <v>0</v>
      </c>
      <c r="L1733" s="10" t="b">
        <f>Github!N$1281</f>
        <v>0</v>
      </c>
      <c r="M1733" s="10" t="str">
        <f>ROUND(Github!O$1281, 2)&amp;"%"</f>
        <v>74.54%</v>
      </c>
      <c r="N1733" s="10">
        <f>Github!P$1281</f>
        <v>22363</v>
      </c>
      <c r="O1733" s="10">
        <f>Github!Q$1281</f>
        <v>30002</v>
      </c>
    </row>
    <row r="1734">
      <c r="A1734" s="10">
        <f>Github!J$2180</f>
        <v>2179</v>
      </c>
      <c r="B1734" s="11" t="str">
        <f>HYPERLINK(CONCAT("http://leetcode.com/problems/",Github!C$2180), Github!B$2180)</f>
        <v>Count Good Triplets in an Array</v>
      </c>
      <c r="C1734" s="10">
        <f>Github!F$2180</f>
        <v>232</v>
      </c>
      <c r="D1734" s="10">
        <f>Github!G$2180</f>
        <v>10</v>
      </c>
      <c r="E1734" s="10">
        <f>Github!F$2180+Github!G$2180</f>
        <v>242</v>
      </c>
      <c r="F1734" s="12">
        <f t="shared" si="1"/>
        <v>23.2</v>
      </c>
      <c r="G1734" s="10" t="str">
        <f>Github!H$2180</f>
        <v>Algorithms</v>
      </c>
      <c r="H1734" s="13" t="str">
        <f>SUBSTITUTE(Github!L$2180, ";", ", ")</f>
        <v>Array, Binary Search, Divide and Conquer, Binary Indexed Tree, Segment Tree, Merge Sort, Ordered Set, </v>
      </c>
      <c r="I1734" s="10" t="str">
        <f>Github!E$2180</f>
        <v>Hard</v>
      </c>
      <c r="J1734" s="10" t="str">
        <f>IF(TRIM(Github!D$2180)="TRUE","FALSE","TRUE")</f>
        <v>TRUE</v>
      </c>
      <c r="K1734" s="10" t="b">
        <f>Github!M$2180</f>
        <v>0</v>
      </c>
      <c r="L1734" s="10" t="b">
        <f>Github!N$2180</f>
        <v>0</v>
      </c>
      <c r="M1734" s="10" t="str">
        <f>ROUND(Github!O$2180, 2)&amp;"%"</f>
        <v>33.34%</v>
      </c>
      <c r="N1734" s="10">
        <f>Github!P$2180</f>
        <v>3094</v>
      </c>
      <c r="O1734" s="10">
        <f>Github!Q$2180</f>
        <v>9279</v>
      </c>
    </row>
    <row r="1735">
      <c r="A1735" s="10">
        <f>Github!J$1155</f>
        <v>1154</v>
      </c>
      <c r="B1735" s="11" t="str">
        <f>HYPERLINK(CONCAT("http://leetcode.com/problems/",Github!C$1155), Github!B$1155)</f>
        <v>Day of the Year</v>
      </c>
      <c r="C1735" s="10">
        <f>Github!F$1155</f>
        <v>232</v>
      </c>
      <c r="D1735" s="10">
        <f>Github!G$1155</f>
        <v>298</v>
      </c>
      <c r="E1735" s="10">
        <f>Github!F$1155+Github!G$1155</f>
        <v>530</v>
      </c>
      <c r="F1735" s="12">
        <f t="shared" si="1"/>
        <v>0.78</v>
      </c>
      <c r="G1735" s="10" t="str">
        <f>Github!H$1155</f>
        <v>Algorithms</v>
      </c>
      <c r="H1735" s="13" t="str">
        <f>SUBSTITUTE(Github!L$1155, ";", ", ")</f>
        <v>Math, String, </v>
      </c>
      <c r="I1735" s="10" t="str">
        <f>Github!E$1155</f>
        <v>Easy</v>
      </c>
      <c r="J1735" s="10" t="str">
        <f>IF(TRIM(Github!D$1155)="TRUE","FALSE","TRUE")</f>
        <v>TRUE</v>
      </c>
      <c r="K1735" s="10" t="b">
        <f>Github!M$1155</f>
        <v>0</v>
      </c>
      <c r="L1735" s="10" t="b">
        <f>Github!N$1155</f>
        <v>0</v>
      </c>
      <c r="M1735" s="10" t="str">
        <f>ROUND(Github!O$1155, 2)&amp;"%"</f>
        <v>51%</v>
      </c>
      <c r="N1735" s="10">
        <f>Github!P$1155</f>
        <v>31647</v>
      </c>
      <c r="O1735" s="10">
        <f>Github!Q$1155</f>
        <v>62053</v>
      </c>
    </row>
    <row r="1736">
      <c r="A1736" s="10">
        <f>Github!J$1239</f>
        <v>1238</v>
      </c>
      <c r="B1736" s="11" t="str">
        <f>HYPERLINK(CONCAT("http://leetcode.com/problems/",Github!C$1239), Github!B$1239)</f>
        <v>Circular Permutation in Binary Representation</v>
      </c>
      <c r="C1736" s="10">
        <f>Github!F$1239</f>
        <v>230</v>
      </c>
      <c r="D1736" s="10">
        <f>Github!G$1239</f>
        <v>152</v>
      </c>
      <c r="E1736" s="10">
        <f>Github!F$1239+Github!G$1239</f>
        <v>382</v>
      </c>
      <c r="F1736" s="12">
        <f t="shared" si="1"/>
        <v>1.51</v>
      </c>
      <c r="G1736" s="10" t="str">
        <f>Github!H$1239</f>
        <v>Algorithms</v>
      </c>
      <c r="H1736" s="13" t="str">
        <f>SUBSTITUTE(Github!L$1239, ";", ", ")</f>
        <v>Math, Backtracking, Bit Manipulation, </v>
      </c>
      <c r="I1736" s="10" t="str">
        <f>Github!E$1239</f>
        <v>Medium</v>
      </c>
      <c r="J1736" s="10" t="str">
        <f>IF(TRIM(Github!D$1239)="TRUE","FALSE","TRUE")</f>
        <v>TRUE</v>
      </c>
      <c r="K1736" s="10" t="b">
        <f>Github!M$1239</f>
        <v>0</v>
      </c>
      <c r="L1736" s="10" t="b">
        <f>Github!N$1239</f>
        <v>0</v>
      </c>
      <c r="M1736" s="10" t="str">
        <f>ROUND(Github!O$1239, 2)&amp;"%"</f>
        <v>67.77%</v>
      </c>
      <c r="N1736" s="10">
        <f>Github!P$1239</f>
        <v>11778</v>
      </c>
      <c r="O1736" s="10">
        <f>Github!Q$1239</f>
        <v>17380</v>
      </c>
    </row>
    <row r="1737">
      <c r="A1737" s="10">
        <f>Github!J$1640</f>
        <v>1639</v>
      </c>
      <c r="B1737" s="11" t="str">
        <f>HYPERLINK(CONCAT("http://leetcode.com/problems/",Github!C$1640), Github!B$1640)</f>
        <v>Number of Ways to Form a Target String Given a Dictionary</v>
      </c>
      <c r="C1737" s="10">
        <f>Github!F$1640</f>
        <v>230</v>
      </c>
      <c r="D1737" s="10">
        <f>Github!G$1640</f>
        <v>12</v>
      </c>
      <c r="E1737" s="10">
        <f>Github!F$1640+Github!G$1640</f>
        <v>242</v>
      </c>
      <c r="F1737" s="12">
        <f t="shared" si="1"/>
        <v>19.17</v>
      </c>
      <c r="G1737" s="10" t="str">
        <f>Github!H$1640</f>
        <v>Algorithms</v>
      </c>
      <c r="H1737" s="13" t="str">
        <f>SUBSTITUTE(Github!L$1640, ";", ", ")</f>
        <v>Array, String, Dynamic Programming, </v>
      </c>
      <c r="I1737" s="10" t="str">
        <f>Github!E$1640</f>
        <v>Hard</v>
      </c>
      <c r="J1737" s="10" t="str">
        <f>IF(TRIM(Github!D$1640)="TRUE","FALSE","TRUE")</f>
        <v>TRUE</v>
      </c>
      <c r="K1737" s="10" t="b">
        <f>Github!M$1640</f>
        <v>0</v>
      </c>
      <c r="L1737" s="10" t="b">
        <f>Github!N$1640</f>
        <v>0</v>
      </c>
      <c r="M1737" s="10" t="str">
        <f>ROUND(Github!O$1640, 2)&amp;"%"</f>
        <v>42.29%</v>
      </c>
      <c r="N1737" s="10">
        <f>Github!P$1640</f>
        <v>6179</v>
      </c>
      <c r="O1737" s="10">
        <f>Github!Q$1640</f>
        <v>14611</v>
      </c>
    </row>
    <row r="1738">
      <c r="A1738" s="10">
        <f>Github!J$1165</f>
        <v>1164</v>
      </c>
      <c r="B1738" s="11" t="str">
        <f>HYPERLINK(CONCAT("http://leetcode.com/problems/",Github!C$1165), Github!B$1165)</f>
        <v>Product Price at a Given Date</v>
      </c>
      <c r="C1738" s="10">
        <f>Github!F$1165</f>
        <v>229</v>
      </c>
      <c r="D1738" s="10">
        <f>Github!G$1165</f>
        <v>65</v>
      </c>
      <c r="E1738" s="10">
        <f>Github!F$1165+Github!G$1165</f>
        <v>294</v>
      </c>
      <c r="F1738" s="12">
        <f t="shared" si="1"/>
        <v>3.52</v>
      </c>
      <c r="G1738" s="10" t="str">
        <f>Github!H$1165</f>
        <v>Database</v>
      </c>
      <c r="H1738" s="13" t="str">
        <f>SUBSTITUTE(Github!L$1165, ";", ", ")</f>
        <v>Database, </v>
      </c>
      <c r="I1738" s="10" t="str">
        <f>Github!E$1165</f>
        <v>Medium</v>
      </c>
      <c r="J1738" s="10" t="str">
        <f>IF(TRIM(Github!D$1165)="TRUE","FALSE","TRUE")</f>
        <v>FALSE</v>
      </c>
      <c r="K1738" s="10" t="b">
        <f>Github!M$1165</f>
        <v>0</v>
      </c>
      <c r="L1738" s="10" t="b">
        <f>Github!N$1165</f>
        <v>0</v>
      </c>
      <c r="M1738" s="10" t="str">
        <f>ROUND(Github!O$1165, 2)&amp;"%"</f>
        <v>68.32%</v>
      </c>
      <c r="N1738" s="10">
        <f>Github!P$1165</f>
        <v>27997</v>
      </c>
      <c r="O1738" s="10">
        <f>Github!Q$1165</f>
        <v>40982</v>
      </c>
    </row>
    <row r="1739">
      <c r="A1739" s="10">
        <f>Github!J$1738</f>
        <v>1737</v>
      </c>
      <c r="B1739" s="11" t="str">
        <f>HYPERLINK(CONCAT("http://leetcode.com/problems/",Github!C$1738), Github!B$1738)</f>
        <v>Change Minimum Characters to Satisfy One of Three Conditions</v>
      </c>
      <c r="C1739" s="10">
        <f>Github!F$1738</f>
        <v>229</v>
      </c>
      <c r="D1739" s="10">
        <f>Github!G$1738</f>
        <v>247</v>
      </c>
      <c r="E1739" s="10">
        <f>Github!F$1738+Github!G$1738</f>
        <v>476</v>
      </c>
      <c r="F1739" s="12">
        <f t="shared" si="1"/>
        <v>0.93</v>
      </c>
      <c r="G1739" s="10" t="str">
        <f>Github!H$1738</f>
        <v>Algorithms</v>
      </c>
      <c r="H1739" s="13" t="str">
        <f>SUBSTITUTE(Github!L$1738, ";", ", ")</f>
        <v>Hash Table, String, Counting, Prefix Sum, </v>
      </c>
      <c r="I1739" s="10" t="str">
        <f>Github!E$1738</f>
        <v>Medium</v>
      </c>
      <c r="J1739" s="10" t="str">
        <f>IF(TRIM(Github!D$1738)="TRUE","FALSE","TRUE")</f>
        <v>TRUE</v>
      </c>
      <c r="K1739" s="10" t="b">
        <f>Github!M$1738</f>
        <v>0</v>
      </c>
      <c r="L1739" s="10" t="b">
        <f>Github!N$1738</f>
        <v>0</v>
      </c>
      <c r="M1739" s="10" t="str">
        <f>ROUND(Github!O$1738, 2)&amp;"%"</f>
        <v>33.62%</v>
      </c>
      <c r="N1739" s="10">
        <f>Github!P$1738</f>
        <v>8846</v>
      </c>
      <c r="O1739" s="10">
        <f>Github!Q$1738</f>
        <v>26311</v>
      </c>
    </row>
    <row r="1740">
      <c r="A1740" s="10">
        <f>Github!J$2098</f>
        <v>2097</v>
      </c>
      <c r="B1740" s="11" t="str">
        <f>HYPERLINK(CONCAT("http://leetcode.com/problems/",Github!C$2098), Github!B$2098)</f>
        <v>Valid Arrangement of Pairs</v>
      </c>
      <c r="C1740" s="10">
        <f>Github!F$2098</f>
        <v>229</v>
      </c>
      <c r="D1740" s="10">
        <f>Github!G$2098</f>
        <v>10</v>
      </c>
      <c r="E1740" s="10">
        <f>Github!F$2098+Github!G$2098</f>
        <v>239</v>
      </c>
      <c r="F1740" s="12">
        <f t="shared" si="1"/>
        <v>22.9</v>
      </c>
      <c r="G1740" s="10" t="str">
        <f>Github!H$2098</f>
        <v>Algorithms</v>
      </c>
      <c r="H1740" s="13" t="str">
        <f>SUBSTITUTE(Github!L$2098, ";", ", ")</f>
        <v>Depth-First Search, Graph, Eulerian Circuit, </v>
      </c>
      <c r="I1740" s="10" t="str">
        <f>Github!E$2098</f>
        <v>Hard</v>
      </c>
      <c r="J1740" s="10" t="str">
        <f>IF(TRIM(Github!D$2098)="TRUE","FALSE","TRUE")</f>
        <v>TRUE</v>
      </c>
      <c r="K1740" s="10" t="b">
        <f>Github!M$2098</f>
        <v>0</v>
      </c>
      <c r="L1740" s="10" t="b">
        <f>Github!N$2098</f>
        <v>0</v>
      </c>
      <c r="M1740" s="10" t="str">
        <f>ROUND(Github!O$2098, 2)&amp;"%"</f>
        <v>39.97%</v>
      </c>
      <c r="N1740" s="10">
        <f>Github!P$2098</f>
        <v>4200</v>
      </c>
      <c r="O1740" s="10">
        <f>Github!Q$2098</f>
        <v>10507</v>
      </c>
    </row>
    <row r="1741">
      <c r="A1741" s="10">
        <f>Github!J$598</f>
        <v>597</v>
      </c>
      <c r="B1741" s="11" t="str">
        <f>HYPERLINK(CONCAT("http://leetcode.com/problems/",Github!C$598), Github!B$598)</f>
        <v>Friend Requests I: Overall Acceptance Rate</v>
      </c>
      <c r="C1741" s="10">
        <f>Github!F$598</f>
        <v>228</v>
      </c>
      <c r="D1741" s="10">
        <f>Github!G$598</f>
        <v>563</v>
      </c>
      <c r="E1741" s="10">
        <f>Github!F$598+Github!G$598</f>
        <v>791</v>
      </c>
      <c r="F1741" s="12">
        <f t="shared" si="1"/>
        <v>0.4</v>
      </c>
      <c r="G1741" s="10" t="str">
        <f>Github!H$598</f>
        <v>Database</v>
      </c>
      <c r="H1741" s="13" t="str">
        <f>SUBSTITUTE(Github!L$598, ";", ", ")</f>
        <v>Database, </v>
      </c>
      <c r="I1741" s="10" t="str">
        <f>Github!E$598</f>
        <v>Easy</v>
      </c>
      <c r="J1741" s="10" t="str">
        <f>IF(TRIM(Github!D$598)="TRUE","FALSE","TRUE")</f>
        <v>FALSE</v>
      </c>
      <c r="K1741" s="10" t="b">
        <f>Github!M$598</f>
        <v>1</v>
      </c>
      <c r="L1741" s="10" t="b">
        <f>Github!N$598</f>
        <v>0</v>
      </c>
      <c r="M1741" s="10" t="str">
        <f>ROUND(Github!O$598, 2)&amp;"%"</f>
        <v>42.61%</v>
      </c>
      <c r="N1741" s="10">
        <f>Github!P$598</f>
        <v>55221</v>
      </c>
      <c r="O1741" s="10">
        <f>Github!Q$598</f>
        <v>129593</v>
      </c>
    </row>
    <row r="1742">
      <c r="A1742" s="10">
        <f>Github!J$2066</f>
        <v>2065</v>
      </c>
      <c r="B1742" s="11" t="str">
        <f>HYPERLINK(CONCAT("http://leetcode.com/problems/",Github!C$2066), Github!B$2066)</f>
        <v>Maximum Path Quality of a Graph</v>
      </c>
      <c r="C1742" s="10">
        <f>Github!F$2066</f>
        <v>228</v>
      </c>
      <c r="D1742" s="10">
        <f>Github!G$2066</f>
        <v>23</v>
      </c>
      <c r="E1742" s="10">
        <f>Github!F$2066+Github!G$2066</f>
        <v>251</v>
      </c>
      <c r="F1742" s="12">
        <f t="shared" si="1"/>
        <v>9.91</v>
      </c>
      <c r="G1742" s="10" t="str">
        <f>Github!H$2066</f>
        <v>Algorithms</v>
      </c>
      <c r="H1742" s="13" t="str">
        <f>SUBSTITUTE(Github!L$2066, ";", ", ")</f>
        <v>Array, Backtracking, Graph, </v>
      </c>
      <c r="I1742" s="10" t="str">
        <f>Github!E$2066</f>
        <v>Hard</v>
      </c>
      <c r="J1742" s="10" t="str">
        <f>IF(TRIM(Github!D$2066)="TRUE","FALSE","TRUE")</f>
        <v>TRUE</v>
      </c>
      <c r="K1742" s="10" t="b">
        <f>Github!M$2066</f>
        <v>0</v>
      </c>
      <c r="L1742" s="10" t="b">
        <f>Github!N$2066</f>
        <v>0</v>
      </c>
      <c r="M1742" s="10" t="str">
        <f>ROUND(Github!O$2066, 2)&amp;"%"</f>
        <v>57.72%</v>
      </c>
      <c r="N1742" s="10">
        <f>Github!P$2066</f>
        <v>7260</v>
      </c>
      <c r="O1742" s="10">
        <f>Github!Q$2066</f>
        <v>12578</v>
      </c>
    </row>
    <row r="1743">
      <c r="A1743" s="10">
        <f>Github!J$983</f>
        <v>982</v>
      </c>
      <c r="B1743" s="11" t="str">
        <f>HYPERLINK(CONCAT("http://leetcode.com/problems/",Github!C$983), Github!B$983)</f>
        <v>Triples with Bitwise AND Equal To Zero</v>
      </c>
      <c r="C1743" s="10">
        <f>Github!F$983</f>
        <v>228</v>
      </c>
      <c r="D1743" s="10">
        <f>Github!G$983</f>
        <v>180</v>
      </c>
      <c r="E1743" s="10">
        <f>Github!F$983+Github!G$983</f>
        <v>408</v>
      </c>
      <c r="F1743" s="12">
        <f t="shared" si="1"/>
        <v>1.27</v>
      </c>
      <c r="G1743" s="10" t="str">
        <f>Github!H$983</f>
        <v>Algorithms</v>
      </c>
      <c r="H1743" s="13" t="str">
        <f>SUBSTITUTE(Github!L$983, ";", ", ")</f>
        <v>Array, Hash Table, Bit Manipulation, </v>
      </c>
      <c r="I1743" s="10" t="str">
        <f>Github!E$983</f>
        <v>Hard</v>
      </c>
      <c r="J1743" s="10" t="str">
        <f>IF(TRIM(Github!D$983)="TRUE","FALSE","TRUE")</f>
        <v>TRUE</v>
      </c>
      <c r="K1743" s="10" t="b">
        <f>Github!M$983</f>
        <v>0</v>
      </c>
      <c r="L1743" s="10" t="b">
        <f>Github!N$983</f>
        <v>0</v>
      </c>
      <c r="M1743" s="10" t="str">
        <f>ROUND(Github!O$983, 2)&amp;"%"</f>
        <v>57.42%</v>
      </c>
      <c r="N1743" s="10">
        <f>Github!P$983</f>
        <v>11904</v>
      </c>
      <c r="O1743" s="10">
        <f>Github!Q$983</f>
        <v>20731</v>
      </c>
    </row>
    <row r="1744">
      <c r="A1744" s="10">
        <f>Github!J$1688</f>
        <v>1687</v>
      </c>
      <c r="B1744" s="11" t="str">
        <f>HYPERLINK(CONCAT("http://leetcode.com/problems/",Github!C$1688), Github!B$1688)</f>
        <v>Delivering Boxes from Storage to Ports</v>
      </c>
      <c r="C1744" s="10">
        <f>Github!F$1688</f>
        <v>227</v>
      </c>
      <c r="D1744" s="10">
        <f>Github!G$1688</f>
        <v>14</v>
      </c>
      <c r="E1744" s="10">
        <f>Github!F$1688+Github!G$1688</f>
        <v>241</v>
      </c>
      <c r="F1744" s="12">
        <f t="shared" si="1"/>
        <v>16.21</v>
      </c>
      <c r="G1744" s="10" t="str">
        <f>Github!H$1688</f>
        <v>Algorithms</v>
      </c>
      <c r="H1744" s="13" t="str">
        <f>SUBSTITUTE(Github!L$1688, ";", ", ")</f>
        <v>Array, Dynamic Programming, Segment Tree, Queue, Heap (Priority Queue), Monotonic Queue, </v>
      </c>
      <c r="I1744" s="10" t="str">
        <f>Github!E$1688</f>
        <v>Hard</v>
      </c>
      <c r="J1744" s="10" t="str">
        <f>IF(TRIM(Github!D$1688)="TRUE","FALSE","TRUE")</f>
        <v>TRUE</v>
      </c>
      <c r="K1744" s="10" t="b">
        <f>Github!M$1688</f>
        <v>0</v>
      </c>
      <c r="L1744" s="10" t="b">
        <f>Github!N$1688</f>
        <v>0</v>
      </c>
      <c r="M1744" s="10" t="str">
        <f>ROUND(Github!O$1688, 2)&amp;"%"</f>
        <v>36.87%</v>
      </c>
      <c r="N1744" s="10">
        <f>Github!P$1688</f>
        <v>3433</v>
      </c>
      <c r="O1744" s="10">
        <f>Github!Q$1688</f>
        <v>9311</v>
      </c>
    </row>
    <row r="1745">
      <c r="A1745" s="10">
        <f>Github!J$2147</f>
        <v>2146</v>
      </c>
      <c r="B1745" s="11" t="str">
        <f>HYPERLINK(CONCAT("http://leetcode.com/problems/",Github!C$2147), Github!B$2147)</f>
        <v>K Highest Ranked Items Within a Price Range</v>
      </c>
      <c r="C1745" s="10">
        <f>Github!F$2147</f>
        <v>228</v>
      </c>
      <c r="D1745" s="10">
        <f>Github!G$2147</f>
        <v>101</v>
      </c>
      <c r="E1745" s="10">
        <f>Github!F$2147+Github!G$2147</f>
        <v>329</v>
      </c>
      <c r="F1745" s="12">
        <f t="shared" si="1"/>
        <v>2.26</v>
      </c>
      <c r="G1745" s="10" t="str">
        <f>Github!H$2147</f>
        <v>Algorithms</v>
      </c>
      <c r="H1745" s="13" t="str">
        <f>SUBSTITUTE(Github!L$2147, ";", ", ")</f>
        <v>Array, Breadth-First Search, Sorting, Heap (Priority Queue), Matrix, </v>
      </c>
      <c r="I1745" s="10" t="str">
        <f>Github!E$2147</f>
        <v>Medium</v>
      </c>
      <c r="J1745" s="10" t="str">
        <f>IF(TRIM(Github!D$2147)="TRUE","FALSE","TRUE")</f>
        <v>TRUE</v>
      </c>
      <c r="K1745" s="10" t="b">
        <f>Github!M$2147</f>
        <v>0</v>
      </c>
      <c r="L1745" s="10" t="b">
        <f>Github!N$2147</f>
        <v>0</v>
      </c>
      <c r="M1745" s="10" t="str">
        <f>ROUND(Github!O$2147, 2)&amp;"%"</f>
        <v>40.01%</v>
      </c>
      <c r="N1745" s="10">
        <f>Github!P$2147</f>
        <v>7661</v>
      </c>
      <c r="O1745" s="10">
        <f>Github!Q$2147</f>
        <v>19158</v>
      </c>
    </row>
    <row r="1746">
      <c r="A1746" s="10">
        <f>Github!J$1448</f>
        <v>1447</v>
      </c>
      <c r="B1746" s="11" t="str">
        <f>HYPERLINK(CONCAT("http://leetcode.com/problems/",Github!C$1448), Github!B$1448)</f>
        <v>Simplified Fractions</v>
      </c>
      <c r="C1746" s="10">
        <f>Github!F$1448</f>
        <v>226</v>
      </c>
      <c r="D1746" s="10">
        <f>Github!G$1448</f>
        <v>31</v>
      </c>
      <c r="E1746" s="10">
        <f>Github!F$1448+Github!G$1448</f>
        <v>257</v>
      </c>
      <c r="F1746" s="12">
        <f t="shared" si="1"/>
        <v>7.29</v>
      </c>
      <c r="G1746" s="10" t="str">
        <f>Github!H$1448</f>
        <v>Algorithms</v>
      </c>
      <c r="H1746" s="13" t="str">
        <f>SUBSTITUTE(Github!L$1448, ";", ", ")</f>
        <v>Math, String, Number Theory, </v>
      </c>
      <c r="I1746" s="10" t="str">
        <f>Github!E$1448</f>
        <v>Medium</v>
      </c>
      <c r="J1746" s="10" t="str">
        <f>IF(TRIM(Github!D$1448)="TRUE","FALSE","TRUE")</f>
        <v>TRUE</v>
      </c>
      <c r="K1746" s="10" t="b">
        <f>Github!M$1448</f>
        <v>0</v>
      </c>
      <c r="L1746" s="10" t="b">
        <f>Github!N$1448</f>
        <v>0</v>
      </c>
      <c r="M1746" s="10" t="str">
        <f>ROUND(Github!O$1448, 2)&amp;"%"</f>
        <v>63.78%</v>
      </c>
      <c r="N1746" s="10">
        <f>Github!P$1448</f>
        <v>19900</v>
      </c>
      <c r="O1746" s="10">
        <f>Github!Q$1448</f>
        <v>31200</v>
      </c>
    </row>
    <row r="1747">
      <c r="A1747" s="10">
        <f>Github!J$2110</f>
        <v>2109</v>
      </c>
      <c r="B1747" s="11" t="str">
        <f>HYPERLINK(CONCAT("http://leetcode.com/problems/",Github!C$2110), Github!B$2110)</f>
        <v>Adding Spaces to a String</v>
      </c>
      <c r="C1747" s="10">
        <f>Github!F$2110</f>
        <v>226</v>
      </c>
      <c r="D1747" s="10">
        <f>Github!G$2110</f>
        <v>22</v>
      </c>
      <c r="E1747" s="10">
        <f>Github!F$2110+Github!G$2110</f>
        <v>248</v>
      </c>
      <c r="F1747" s="12">
        <f t="shared" si="1"/>
        <v>10.27</v>
      </c>
      <c r="G1747" s="10" t="str">
        <f>Github!H$2110</f>
        <v>Algorithms</v>
      </c>
      <c r="H1747" s="13" t="str">
        <f>SUBSTITUTE(Github!L$2110, ";", ", ")</f>
        <v>Array, String, Simulation, </v>
      </c>
      <c r="I1747" s="10" t="str">
        <f>Github!E$2110</f>
        <v>Medium</v>
      </c>
      <c r="J1747" s="10" t="str">
        <f>IF(TRIM(Github!D$2110)="TRUE","FALSE","TRUE")</f>
        <v>TRUE</v>
      </c>
      <c r="K1747" s="10" t="b">
        <f>Github!M$2110</f>
        <v>0</v>
      </c>
      <c r="L1747" s="10" t="b">
        <f>Github!N$2110</f>
        <v>0</v>
      </c>
      <c r="M1747" s="10" t="str">
        <f>ROUND(Github!O$2110, 2)&amp;"%"</f>
        <v>55.85%</v>
      </c>
      <c r="N1747" s="10">
        <f>Github!P$2110</f>
        <v>19672</v>
      </c>
      <c r="O1747" s="10">
        <f>Github!Q$2110</f>
        <v>35221</v>
      </c>
    </row>
    <row r="1748">
      <c r="A1748" s="10">
        <f>Github!J$2130</f>
        <v>2129</v>
      </c>
      <c r="B1748" s="11" t="str">
        <f>HYPERLINK(CONCAT("http://leetcode.com/problems/",Github!C$2130), Github!B$2130)</f>
        <v>Capitalize the Title</v>
      </c>
      <c r="C1748" s="10">
        <f>Github!F$2130</f>
        <v>227</v>
      </c>
      <c r="D1748" s="10">
        <f>Github!G$2130</f>
        <v>24</v>
      </c>
      <c r="E1748" s="10">
        <f>Github!F$2130+Github!G$2130</f>
        <v>251</v>
      </c>
      <c r="F1748" s="12">
        <f t="shared" si="1"/>
        <v>9.46</v>
      </c>
      <c r="G1748" s="10" t="str">
        <f>Github!H$2130</f>
        <v>Algorithms</v>
      </c>
      <c r="H1748" s="13" t="str">
        <f>SUBSTITUTE(Github!L$2130, ";", ", ")</f>
        <v>String, </v>
      </c>
      <c r="I1748" s="10" t="str">
        <f>Github!E$2130</f>
        <v>Easy</v>
      </c>
      <c r="J1748" s="10" t="str">
        <f>IF(TRIM(Github!D$2130)="TRUE","FALSE","TRUE")</f>
        <v>TRUE</v>
      </c>
      <c r="K1748" s="10" t="b">
        <f>Github!M$2130</f>
        <v>0</v>
      </c>
      <c r="L1748" s="10" t="b">
        <f>Github!N$2130</f>
        <v>0</v>
      </c>
      <c r="M1748" s="10" t="str">
        <f>ROUND(Github!O$2130, 2)&amp;"%"</f>
        <v>59.45%</v>
      </c>
      <c r="N1748" s="10">
        <f>Github!P$2130</f>
        <v>19858</v>
      </c>
      <c r="O1748" s="10">
        <f>Github!Q$2130</f>
        <v>33405</v>
      </c>
    </row>
    <row r="1749">
      <c r="A1749" s="10">
        <f>Github!J$971</f>
        <v>970</v>
      </c>
      <c r="B1749" s="11" t="str">
        <f>HYPERLINK(CONCAT("http://leetcode.com/problems/",Github!C$971), Github!B$971)</f>
        <v>Powerful Integers</v>
      </c>
      <c r="C1749" s="10">
        <f>Github!F$971</f>
        <v>225</v>
      </c>
      <c r="D1749" s="10">
        <f>Github!G$971</f>
        <v>60</v>
      </c>
      <c r="E1749" s="10">
        <f>Github!F$971+Github!G$971</f>
        <v>285</v>
      </c>
      <c r="F1749" s="12">
        <f t="shared" si="1"/>
        <v>3.75</v>
      </c>
      <c r="G1749" s="10" t="str">
        <f>Github!H$971</f>
        <v>Algorithms</v>
      </c>
      <c r="H1749" s="13" t="str">
        <f>SUBSTITUTE(Github!L$971, ";", ", ")</f>
        <v>Hash Table, Math, </v>
      </c>
      <c r="I1749" s="10" t="str">
        <f>Github!E$971</f>
        <v>Medium</v>
      </c>
      <c r="J1749" s="10" t="str">
        <f>IF(TRIM(Github!D$971)="TRUE","FALSE","TRUE")</f>
        <v>TRUE</v>
      </c>
      <c r="K1749" s="10" t="b">
        <f>Github!M$971</f>
        <v>1</v>
      </c>
      <c r="L1749" s="10" t="b">
        <f>Github!N$971</f>
        <v>0</v>
      </c>
      <c r="M1749" s="10" t="str">
        <f>ROUND(Github!O$971, 2)&amp;"%"</f>
        <v>43.49%</v>
      </c>
      <c r="N1749" s="10">
        <f>Github!P$971</f>
        <v>45622</v>
      </c>
      <c r="O1749" s="10">
        <f>Github!Q$971</f>
        <v>104913</v>
      </c>
    </row>
    <row r="1750">
      <c r="A1750" s="10">
        <f>Github!J$357</f>
        <v>356</v>
      </c>
      <c r="B1750" s="11" t="str">
        <f>HYPERLINK(CONCAT("http://leetcode.com/problems/",Github!C$357), Github!B$357)</f>
        <v>Line Reflection</v>
      </c>
      <c r="C1750" s="10">
        <f>Github!F$357</f>
        <v>224</v>
      </c>
      <c r="D1750" s="10">
        <f>Github!G$357</f>
        <v>475</v>
      </c>
      <c r="E1750" s="10">
        <f>Github!F$357+Github!G$357</f>
        <v>699</v>
      </c>
      <c r="F1750" s="12">
        <f t="shared" si="1"/>
        <v>0.47</v>
      </c>
      <c r="G1750" s="10" t="str">
        <f>Github!H$357</f>
        <v>Algorithms</v>
      </c>
      <c r="H1750" s="13" t="str">
        <f>SUBSTITUTE(Github!L$357, ";", ", ")</f>
        <v>Array, Hash Table, Math, </v>
      </c>
      <c r="I1750" s="10" t="str">
        <f>Github!E$357</f>
        <v>Medium</v>
      </c>
      <c r="J1750" s="10" t="str">
        <f>IF(TRIM(Github!D$357)="TRUE","FALSE","TRUE")</f>
        <v>FALSE</v>
      </c>
      <c r="K1750" s="10" t="b">
        <f>Github!M$357</f>
        <v>0</v>
      </c>
      <c r="L1750" s="10" t="b">
        <f>Github!N$357</f>
        <v>0</v>
      </c>
      <c r="M1750" s="10" t="str">
        <f>ROUND(Github!O$357, 2)&amp;"%"</f>
        <v>34.27%</v>
      </c>
      <c r="N1750" s="10">
        <f>Github!P$357</f>
        <v>31448</v>
      </c>
      <c r="O1750" s="10">
        <f>Github!Q$357</f>
        <v>91769</v>
      </c>
    </row>
    <row r="1751">
      <c r="A1751" s="10">
        <f>Github!J$1134</f>
        <v>1133</v>
      </c>
      <c r="B1751" s="11" t="str">
        <f>HYPERLINK(CONCAT("http://leetcode.com/problems/",Github!C$1134), Github!B$1134)</f>
        <v>Largest Unique Number</v>
      </c>
      <c r="C1751" s="10">
        <f>Github!F$1134</f>
        <v>224</v>
      </c>
      <c r="D1751" s="10">
        <f>Github!G$1134</f>
        <v>16</v>
      </c>
      <c r="E1751" s="10">
        <f>Github!F$1134+Github!G$1134</f>
        <v>240</v>
      </c>
      <c r="F1751" s="12">
        <f t="shared" si="1"/>
        <v>14</v>
      </c>
      <c r="G1751" s="10" t="str">
        <f>Github!H$1134</f>
        <v>Algorithms</v>
      </c>
      <c r="H1751" s="13" t="str">
        <f>SUBSTITUTE(Github!L$1134, ";", ", ")</f>
        <v>Array, Hash Table, Sorting, </v>
      </c>
      <c r="I1751" s="10" t="str">
        <f>Github!E$1134</f>
        <v>Easy</v>
      </c>
      <c r="J1751" s="10" t="str">
        <f>IF(TRIM(Github!D$1134)="TRUE","FALSE","TRUE")</f>
        <v>FALSE</v>
      </c>
      <c r="K1751" s="10" t="b">
        <f>Github!M$1134</f>
        <v>1</v>
      </c>
      <c r="L1751" s="10" t="b">
        <f>Github!N$1134</f>
        <v>0</v>
      </c>
      <c r="M1751" s="10" t="str">
        <f>ROUND(Github!O$1134, 2)&amp;"%"</f>
        <v>67.38%</v>
      </c>
      <c r="N1751" s="10">
        <f>Github!P$1134</f>
        <v>28710</v>
      </c>
      <c r="O1751" s="10">
        <f>Github!Q$1134</f>
        <v>42612</v>
      </c>
    </row>
    <row r="1752">
      <c r="A1752" s="10">
        <f>Github!J$1578</f>
        <v>1577</v>
      </c>
      <c r="B1752" s="11" t="str">
        <f>HYPERLINK(CONCAT("http://leetcode.com/problems/",Github!C$1578), Github!B$1578)</f>
        <v>Number of Ways Where Square of Number Is Equal to Product of Two Numbers</v>
      </c>
      <c r="C1752" s="10">
        <f>Github!F$1578</f>
        <v>224</v>
      </c>
      <c r="D1752" s="10">
        <f>Github!G$1578</f>
        <v>44</v>
      </c>
      <c r="E1752" s="10">
        <f>Github!F$1578+Github!G$1578</f>
        <v>268</v>
      </c>
      <c r="F1752" s="12">
        <f t="shared" si="1"/>
        <v>5.09</v>
      </c>
      <c r="G1752" s="10" t="str">
        <f>Github!H$1578</f>
        <v>Algorithms</v>
      </c>
      <c r="H1752" s="13" t="str">
        <f>SUBSTITUTE(Github!L$1578, ";", ", ")</f>
        <v>Array, Hash Table, Math, Two Pointers, </v>
      </c>
      <c r="I1752" s="10" t="str">
        <f>Github!E$1578</f>
        <v>Medium</v>
      </c>
      <c r="J1752" s="10" t="str">
        <f>IF(TRIM(Github!D$1578)="TRUE","FALSE","TRUE")</f>
        <v>TRUE</v>
      </c>
      <c r="K1752" s="10" t="b">
        <f>Github!M$1578</f>
        <v>0</v>
      </c>
      <c r="L1752" s="10" t="b">
        <f>Github!N$1578</f>
        <v>0</v>
      </c>
      <c r="M1752" s="10" t="str">
        <f>ROUND(Github!O$1578, 2)&amp;"%"</f>
        <v>39.06%</v>
      </c>
      <c r="N1752" s="10">
        <f>Github!P$1578</f>
        <v>14896</v>
      </c>
      <c r="O1752" s="10">
        <f>Github!Q$1578</f>
        <v>38136</v>
      </c>
    </row>
    <row r="1753">
      <c r="A1753" s="10">
        <f>Github!J$1882</f>
        <v>1881</v>
      </c>
      <c r="B1753" s="11" t="str">
        <f>HYPERLINK(CONCAT("http://leetcode.com/problems/",Github!C$1882), Github!B$1882)</f>
        <v>Maximum Value after Insertion</v>
      </c>
      <c r="C1753" s="10">
        <f>Github!F$1882</f>
        <v>226</v>
      </c>
      <c r="D1753" s="10">
        <f>Github!G$1882</f>
        <v>40</v>
      </c>
      <c r="E1753" s="10">
        <f>Github!F$1882+Github!G$1882</f>
        <v>266</v>
      </c>
      <c r="F1753" s="12">
        <f t="shared" si="1"/>
        <v>5.65</v>
      </c>
      <c r="G1753" s="10" t="str">
        <f>Github!H$1882</f>
        <v>Algorithms</v>
      </c>
      <c r="H1753" s="13" t="str">
        <f>SUBSTITUTE(Github!L$1882, ";", ", ")</f>
        <v>String, Greedy, </v>
      </c>
      <c r="I1753" s="10" t="str">
        <f>Github!E$1882</f>
        <v>Medium</v>
      </c>
      <c r="J1753" s="10" t="str">
        <f>IF(TRIM(Github!D$1882)="TRUE","FALSE","TRUE")</f>
        <v>TRUE</v>
      </c>
      <c r="K1753" s="10" t="b">
        <f>Github!M$1882</f>
        <v>0</v>
      </c>
      <c r="L1753" s="10" t="b">
        <f>Github!N$1882</f>
        <v>0</v>
      </c>
      <c r="M1753" s="10" t="str">
        <f>ROUND(Github!O$1882, 2)&amp;"%"</f>
        <v>35.55%</v>
      </c>
      <c r="N1753" s="10">
        <f>Github!P$1882</f>
        <v>16921</v>
      </c>
      <c r="O1753" s="10">
        <f>Github!Q$1882</f>
        <v>47592</v>
      </c>
    </row>
    <row r="1754">
      <c r="A1754" s="10">
        <f>Github!J$1213</f>
        <v>1212</v>
      </c>
      <c r="B1754" s="11" t="str">
        <f>HYPERLINK(CONCAT("http://leetcode.com/problems/",Github!C$1213), Github!B$1213)</f>
        <v>Team Scores in Football Tournament</v>
      </c>
      <c r="C1754" s="10">
        <f>Github!F$1213</f>
        <v>223</v>
      </c>
      <c r="D1754" s="10">
        <f>Github!G$1213</f>
        <v>19</v>
      </c>
      <c r="E1754" s="10">
        <f>Github!F$1213+Github!G$1213</f>
        <v>242</v>
      </c>
      <c r="F1754" s="12">
        <f t="shared" si="1"/>
        <v>11.74</v>
      </c>
      <c r="G1754" s="10" t="str">
        <f>Github!H$1213</f>
        <v>Database</v>
      </c>
      <c r="H1754" s="13" t="str">
        <f>SUBSTITUTE(Github!L$1213, ";", ", ")</f>
        <v>Database, </v>
      </c>
      <c r="I1754" s="10" t="str">
        <f>Github!E$1213</f>
        <v>Medium</v>
      </c>
      <c r="J1754" s="10" t="str">
        <f>IF(TRIM(Github!D$1213)="TRUE","FALSE","TRUE")</f>
        <v>FALSE</v>
      </c>
      <c r="K1754" s="10" t="b">
        <f>Github!M$1213</f>
        <v>0</v>
      </c>
      <c r="L1754" s="10" t="b">
        <f>Github!N$1213</f>
        <v>0</v>
      </c>
      <c r="M1754" s="10" t="str">
        <f>ROUND(Github!O$1213, 2)&amp;"%"</f>
        <v>57.23%</v>
      </c>
      <c r="N1754" s="10">
        <f>Github!P$1213</f>
        <v>23740</v>
      </c>
      <c r="O1754" s="10">
        <f>Github!Q$1213</f>
        <v>41485</v>
      </c>
    </row>
    <row r="1755">
      <c r="A1755" s="10">
        <f>Github!J$2121</f>
        <v>2120</v>
      </c>
      <c r="B1755" s="11" t="str">
        <f>HYPERLINK(CONCAT("http://leetcode.com/problems/",Github!C$2121), Github!B$2121)</f>
        <v>Execution of All Suffix Instructions Staying in a Grid</v>
      </c>
      <c r="C1755" s="10">
        <f>Github!F$2121</f>
        <v>224</v>
      </c>
      <c r="D1755" s="10">
        <f>Github!G$2121</f>
        <v>22</v>
      </c>
      <c r="E1755" s="10">
        <f>Github!F$2121+Github!G$2121</f>
        <v>246</v>
      </c>
      <c r="F1755" s="12">
        <f t="shared" si="1"/>
        <v>10.18</v>
      </c>
      <c r="G1755" s="10" t="str">
        <f>Github!H$2121</f>
        <v>Algorithms</v>
      </c>
      <c r="H1755" s="13" t="str">
        <f>SUBSTITUTE(Github!L$2121, ";", ", ")</f>
        <v>String, Simulation, </v>
      </c>
      <c r="I1755" s="10" t="str">
        <f>Github!E$2121</f>
        <v>Medium</v>
      </c>
      <c r="J1755" s="10" t="str">
        <f>IF(TRIM(Github!D$2121)="TRUE","FALSE","TRUE")</f>
        <v>TRUE</v>
      </c>
      <c r="K1755" s="10" t="b">
        <f>Github!M$2121</f>
        <v>0</v>
      </c>
      <c r="L1755" s="10" t="b">
        <f>Github!N$2121</f>
        <v>0</v>
      </c>
      <c r="M1755" s="10" t="str">
        <f>ROUND(Github!O$2121, 2)&amp;"%"</f>
        <v>82.92%</v>
      </c>
      <c r="N1755" s="10">
        <f>Github!P$2121</f>
        <v>13645</v>
      </c>
      <c r="O1755" s="10">
        <f>Github!Q$2121</f>
        <v>16456</v>
      </c>
    </row>
    <row r="1756">
      <c r="A1756" s="10">
        <f>Github!J$2158</f>
        <v>2157</v>
      </c>
      <c r="B1756" s="11" t="str">
        <f>HYPERLINK(CONCAT("http://leetcode.com/problems/",Github!C$2158), Github!B$2158)</f>
        <v>Groups of Strings</v>
      </c>
      <c r="C1756" s="10">
        <f>Github!F$2158</f>
        <v>223</v>
      </c>
      <c r="D1756" s="10">
        <f>Github!G$2158</f>
        <v>35</v>
      </c>
      <c r="E1756" s="10">
        <f>Github!F$2158+Github!G$2158</f>
        <v>258</v>
      </c>
      <c r="F1756" s="12">
        <f t="shared" si="1"/>
        <v>6.37</v>
      </c>
      <c r="G1756" s="10" t="str">
        <f>Github!H$2158</f>
        <v>Algorithms</v>
      </c>
      <c r="H1756" s="13" t="str">
        <f>SUBSTITUTE(Github!L$2158, ";", ", ")</f>
        <v>String, Bit Manipulation, Union Find, </v>
      </c>
      <c r="I1756" s="10" t="str">
        <f>Github!E$2158</f>
        <v>Hard</v>
      </c>
      <c r="J1756" s="10" t="str">
        <f>IF(TRIM(Github!D$2158)="TRUE","FALSE","TRUE")</f>
        <v>TRUE</v>
      </c>
      <c r="K1756" s="10" t="b">
        <f>Github!M$2158</f>
        <v>0</v>
      </c>
      <c r="L1756" s="10" t="b">
        <f>Github!N$2158</f>
        <v>0</v>
      </c>
      <c r="M1756" s="10" t="str">
        <f>ROUND(Github!O$2158, 2)&amp;"%"</f>
        <v>23.82%</v>
      </c>
      <c r="N1756" s="10">
        <f>Github!P$2158</f>
        <v>4882</v>
      </c>
      <c r="O1756" s="10">
        <f>Github!Q$2158</f>
        <v>20496</v>
      </c>
    </row>
    <row r="1757">
      <c r="A1757" s="10">
        <f>Github!J$1186</f>
        <v>1185</v>
      </c>
      <c r="B1757" s="11" t="str">
        <f>HYPERLINK(CONCAT("http://leetcode.com/problems/",Github!C$1186), Github!B$1186)</f>
        <v>Day of the Week</v>
      </c>
      <c r="C1757" s="10">
        <f>Github!F$1186</f>
        <v>222</v>
      </c>
      <c r="D1757" s="10">
        <f>Github!G$1186</f>
        <v>1839</v>
      </c>
      <c r="E1757" s="10">
        <f>Github!F$1186+Github!G$1186</f>
        <v>2061</v>
      </c>
      <c r="F1757" s="12">
        <f t="shared" si="1"/>
        <v>0.12</v>
      </c>
      <c r="G1757" s="10" t="str">
        <f>Github!H$1186</f>
        <v>Algorithms</v>
      </c>
      <c r="H1757" s="13" t="str">
        <f>SUBSTITUTE(Github!L$1186, ";", ", ")</f>
        <v>Math, </v>
      </c>
      <c r="I1757" s="10" t="str">
        <f>Github!E$1186</f>
        <v>Easy</v>
      </c>
      <c r="J1757" s="10" t="str">
        <f>IF(TRIM(Github!D$1186)="TRUE","FALSE","TRUE")</f>
        <v>TRUE</v>
      </c>
      <c r="K1757" s="10" t="b">
        <f>Github!M$1186</f>
        <v>0</v>
      </c>
      <c r="L1757" s="10" t="b">
        <f>Github!N$1186</f>
        <v>0</v>
      </c>
      <c r="M1757" s="10" t="str">
        <f>ROUND(Github!O$1186, 2)&amp;"%"</f>
        <v>58.69%</v>
      </c>
      <c r="N1757" s="10">
        <f>Github!P$1186</f>
        <v>41710</v>
      </c>
      <c r="O1757" s="10">
        <f>Github!Q$1186</f>
        <v>71065</v>
      </c>
    </row>
    <row r="1758">
      <c r="A1758" s="10">
        <f>Github!J$1565</f>
        <v>1564</v>
      </c>
      <c r="B1758" s="11" t="str">
        <f>HYPERLINK(CONCAT("http://leetcode.com/problems/",Github!C$1565), Github!B$1565)</f>
        <v>Put Boxes Into the Warehouse I</v>
      </c>
      <c r="C1758" s="10">
        <f>Github!F$1565</f>
        <v>222</v>
      </c>
      <c r="D1758" s="10">
        <f>Github!G$1565</f>
        <v>20</v>
      </c>
      <c r="E1758" s="10">
        <f>Github!F$1565+Github!G$1565</f>
        <v>242</v>
      </c>
      <c r="F1758" s="12">
        <f t="shared" si="1"/>
        <v>11.1</v>
      </c>
      <c r="G1758" s="10" t="str">
        <f>Github!H$1565</f>
        <v>Algorithms</v>
      </c>
      <c r="H1758" s="13" t="str">
        <f>SUBSTITUTE(Github!L$1565, ";", ", ")</f>
        <v>Array, Greedy, Sorting, </v>
      </c>
      <c r="I1758" s="10" t="str">
        <f>Github!E$1565</f>
        <v>Medium</v>
      </c>
      <c r="J1758" s="10" t="str">
        <f>IF(TRIM(Github!D$1565)="TRUE","FALSE","TRUE")</f>
        <v>FALSE</v>
      </c>
      <c r="K1758" s="10" t="b">
        <f>Github!M$1565</f>
        <v>1</v>
      </c>
      <c r="L1758" s="10" t="b">
        <f>Github!N$1565</f>
        <v>0</v>
      </c>
      <c r="M1758" s="10" t="str">
        <f>ROUND(Github!O$1565, 2)&amp;"%"</f>
        <v>64.48%</v>
      </c>
      <c r="N1758" s="10">
        <f>Github!P$1565</f>
        <v>10074</v>
      </c>
      <c r="O1758" s="10">
        <f>Github!Q$1565</f>
        <v>15623</v>
      </c>
    </row>
    <row r="1759">
      <c r="A1759" s="10">
        <f>Github!J$2045</f>
        <v>2044</v>
      </c>
      <c r="B1759" s="11" t="str">
        <f>HYPERLINK(CONCAT("http://leetcode.com/problems/",Github!C$2045), Github!B$2045)</f>
        <v>Count Number of Maximum Bitwise-OR Subsets</v>
      </c>
      <c r="C1759" s="10">
        <f>Github!F$2045</f>
        <v>222</v>
      </c>
      <c r="D1759" s="10">
        <f>Github!G$2045</f>
        <v>13</v>
      </c>
      <c r="E1759" s="10">
        <f>Github!F$2045+Github!G$2045</f>
        <v>235</v>
      </c>
      <c r="F1759" s="12">
        <f t="shared" si="1"/>
        <v>17.08</v>
      </c>
      <c r="G1759" s="10" t="str">
        <f>Github!H$2045</f>
        <v>Algorithms</v>
      </c>
      <c r="H1759" s="13" t="str">
        <f>SUBSTITUTE(Github!L$2045, ";", ", ")</f>
        <v>Array, Backtracking, Bit Manipulation, </v>
      </c>
      <c r="I1759" s="10" t="str">
        <f>Github!E$2045</f>
        <v>Medium</v>
      </c>
      <c r="J1759" s="10" t="str">
        <f>IF(TRIM(Github!D$2045)="TRUE","FALSE","TRUE")</f>
        <v>TRUE</v>
      </c>
      <c r="K1759" s="10" t="b">
        <f>Github!M$2045</f>
        <v>0</v>
      </c>
      <c r="L1759" s="10" t="b">
        <f>Github!N$2045</f>
        <v>0</v>
      </c>
      <c r="M1759" s="10" t="str">
        <f>ROUND(Github!O$2045, 2)&amp;"%"</f>
        <v>74.88%</v>
      </c>
      <c r="N1759" s="10">
        <f>Github!P$2045</f>
        <v>12126</v>
      </c>
      <c r="O1759" s="10">
        <f>Github!Q$2045</f>
        <v>16195</v>
      </c>
    </row>
    <row r="1760">
      <c r="A1760" s="10">
        <f>Github!J$1231</f>
        <v>1230</v>
      </c>
      <c r="B1760" s="11" t="str">
        <f>HYPERLINK(CONCAT("http://leetcode.com/problems/",Github!C$1231), Github!B$1231)</f>
        <v>Toss Strange Coins</v>
      </c>
      <c r="C1760" s="10">
        <f>Github!F$1231</f>
        <v>221</v>
      </c>
      <c r="D1760" s="10">
        <f>Github!G$1231</f>
        <v>19</v>
      </c>
      <c r="E1760" s="10">
        <f>Github!F$1231+Github!G$1231</f>
        <v>240</v>
      </c>
      <c r="F1760" s="12">
        <f t="shared" si="1"/>
        <v>11.63</v>
      </c>
      <c r="G1760" s="10" t="str">
        <f>Github!H$1231</f>
        <v>Algorithms</v>
      </c>
      <c r="H1760" s="13" t="str">
        <f>SUBSTITUTE(Github!L$1231, ";", ", ")</f>
        <v>Math, Dynamic Programming, Probability and Statistics, </v>
      </c>
      <c r="I1760" s="10" t="str">
        <f>Github!E$1231</f>
        <v>Medium</v>
      </c>
      <c r="J1760" s="10" t="str">
        <f>IF(TRIM(Github!D$1231)="TRUE","FALSE","TRUE")</f>
        <v>FALSE</v>
      </c>
      <c r="K1760" s="10" t="b">
        <f>Github!M$1231</f>
        <v>0</v>
      </c>
      <c r="L1760" s="10" t="b">
        <f>Github!N$1231</f>
        <v>0</v>
      </c>
      <c r="M1760" s="10" t="str">
        <f>ROUND(Github!O$1231, 2)&amp;"%"</f>
        <v>52.32%</v>
      </c>
      <c r="N1760" s="10">
        <f>Github!P$1231</f>
        <v>9594</v>
      </c>
      <c r="O1760" s="10">
        <f>Github!Q$1231</f>
        <v>18337</v>
      </c>
    </row>
    <row r="1761">
      <c r="A1761" s="10">
        <f>Github!J$2137</f>
        <v>2136</v>
      </c>
      <c r="B1761" s="11" t="str">
        <f>HYPERLINK(CONCAT("http://leetcode.com/problems/",Github!C$2137), Github!B$2137)</f>
        <v>Earliest Possible Day of Full Bloom</v>
      </c>
      <c r="C1761" s="10">
        <f>Github!F$2137</f>
        <v>221</v>
      </c>
      <c r="D1761" s="10">
        <f>Github!G$2137</f>
        <v>11</v>
      </c>
      <c r="E1761" s="10">
        <f>Github!F$2137+Github!G$2137</f>
        <v>232</v>
      </c>
      <c r="F1761" s="12">
        <f t="shared" si="1"/>
        <v>20.09</v>
      </c>
      <c r="G1761" s="10" t="str">
        <f>Github!H$2137</f>
        <v>Algorithms</v>
      </c>
      <c r="H1761" s="13" t="str">
        <f>SUBSTITUTE(Github!L$2137, ";", ", ")</f>
        <v>Array, Greedy, Sorting, </v>
      </c>
      <c r="I1761" s="10" t="str">
        <f>Github!E$2137</f>
        <v>Hard</v>
      </c>
      <c r="J1761" s="10" t="str">
        <f>IF(TRIM(Github!D$2137)="TRUE","FALSE","TRUE")</f>
        <v>TRUE</v>
      </c>
      <c r="K1761" s="10" t="b">
        <f>Github!M$2137</f>
        <v>0</v>
      </c>
      <c r="L1761" s="10" t="b">
        <f>Github!N$2137</f>
        <v>0</v>
      </c>
      <c r="M1761" s="10" t="str">
        <f>ROUND(Github!O$2137, 2)&amp;"%"</f>
        <v>67.54%</v>
      </c>
      <c r="N1761" s="10">
        <f>Github!P$2137</f>
        <v>6371</v>
      </c>
      <c r="O1761" s="10">
        <f>Github!Q$2137</f>
        <v>9433</v>
      </c>
    </row>
    <row r="1762">
      <c r="A1762" s="10">
        <f>Github!J$2155</f>
        <v>2154</v>
      </c>
      <c r="B1762" s="11" t="str">
        <f>HYPERLINK(CONCAT("http://leetcode.com/problems/",Github!C$2155), Github!B$2155)</f>
        <v>Keep Multiplying Found Values by Two</v>
      </c>
      <c r="C1762" s="10">
        <f>Github!F$2155</f>
        <v>222</v>
      </c>
      <c r="D1762" s="10">
        <f>Github!G$2155</f>
        <v>8</v>
      </c>
      <c r="E1762" s="10">
        <f>Github!F$2155+Github!G$2155</f>
        <v>230</v>
      </c>
      <c r="F1762" s="12">
        <f t="shared" si="1"/>
        <v>27.75</v>
      </c>
      <c r="G1762" s="10" t="str">
        <f>Github!H$2155</f>
        <v>Algorithms</v>
      </c>
      <c r="H1762" s="13" t="str">
        <f>SUBSTITUTE(Github!L$2155, ";", ", ")</f>
        <v>Array, Hash Table, Sorting, Simulation, </v>
      </c>
      <c r="I1762" s="10" t="str">
        <f>Github!E$2155</f>
        <v>Easy</v>
      </c>
      <c r="J1762" s="10" t="str">
        <f>IF(TRIM(Github!D$2155)="TRUE","FALSE","TRUE")</f>
        <v>TRUE</v>
      </c>
      <c r="K1762" s="10" t="b">
        <f>Github!M$2155</f>
        <v>0</v>
      </c>
      <c r="L1762" s="10" t="b">
        <f>Github!N$2155</f>
        <v>0</v>
      </c>
      <c r="M1762" s="10" t="str">
        <f>ROUND(Github!O$2155, 2)&amp;"%"</f>
        <v>73.62%</v>
      </c>
      <c r="N1762" s="10">
        <f>Github!P$2155</f>
        <v>29141</v>
      </c>
      <c r="O1762" s="10">
        <f>Github!Q$2155</f>
        <v>39582</v>
      </c>
    </row>
    <row r="1763">
      <c r="A1763" s="10">
        <f>Github!J$1626</f>
        <v>1625</v>
      </c>
      <c r="B1763" s="11" t="str">
        <f>HYPERLINK(CONCAT("http://leetcode.com/problems/",Github!C$1626), Github!B$1626)</f>
        <v>Lexicographically Smallest String After Applying Operations</v>
      </c>
      <c r="C1763" s="10">
        <f>Github!F$1626</f>
        <v>220</v>
      </c>
      <c r="D1763" s="10">
        <f>Github!G$1626</f>
        <v>221</v>
      </c>
      <c r="E1763" s="10">
        <f>Github!F$1626+Github!G$1626</f>
        <v>441</v>
      </c>
      <c r="F1763" s="12">
        <f t="shared" si="1"/>
        <v>1</v>
      </c>
      <c r="G1763" s="10" t="str">
        <f>Github!H$1626</f>
        <v>Algorithms</v>
      </c>
      <c r="H1763" s="13" t="str">
        <f>SUBSTITUTE(Github!L$1626, ";", ", ")</f>
        <v>String, Breadth-First Search, </v>
      </c>
      <c r="I1763" s="10" t="str">
        <f>Github!E$1626</f>
        <v>Medium</v>
      </c>
      <c r="J1763" s="10" t="str">
        <f>IF(TRIM(Github!D$1626)="TRUE","FALSE","TRUE")</f>
        <v>TRUE</v>
      </c>
      <c r="K1763" s="10" t="b">
        <f>Github!M$1626</f>
        <v>0</v>
      </c>
      <c r="L1763" s="10" t="b">
        <f>Github!N$1626</f>
        <v>0</v>
      </c>
      <c r="M1763" s="10" t="str">
        <f>ROUND(Github!O$1626, 2)&amp;"%"</f>
        <v>66.13%</v>
      </c>
      <c r="N1763" s="10">
        <f>Github!P$1626</f>
        <v>10090</v>
      </c>
      <c r="O1763" s="10">
        <f>Github!Q$1626</f>
        <v>15257</v>
      </c>
    </row>
    <row r="1764">
      <c r="A1764" s="10">
        <f>Github!J$1767</f>
        <v>1766</v>
      </c>
      <c r="B1764" s="11" t="str">
        <f>HYPERLINK(CONCAT("http://leetcode.com/problems/",Github!C$1767), Github!B$1767)</f>
        <v>Tree of Coprimes</v>
      </c>
      <c r="C1764" s="10">
        <f>Github!F$1767</f>
        <v>220</v>
      </c>
      <c r="D1764" s="10">
        <f>Github!G$1767</f>
        <v>17</v>
      </c>
      <c r="E1764" s="10">
        <f>Github!F$1767+Github!G$1767</f>
        <v>237</v>
      </c>
      <c r="F1764" s="12">
        <f t="shared" si="1"/>
        <v>12.94</v>
      </c>
      <c r="G1764" s="10" t="str">
        <f>Github!H$1767</f>
        <v>Algorithms</v>
      </c>
      <c r="H1764" s="13" t="str">
        <f>SUBSTITUTE(Github!L$1767, ";", ", ")</f>
        <v>Math, Tree, Depth-First Search, Breadth-First Search, </v>
      </c>
      <c r="I1764" s="10" t="str">
        <f>Github!E$1767</f>
        <v>Hard</v>
      </c>
      <c r="J1764" s="10" t="str">
        <f>IF(TRIM(Github!D$1767)="TRUE","FALSE","TRUE")</f>
        <v>TRUE</v>
      </c>
      <c r="K1764" s="10" t="b">
        <f>Github!M$1767</f>
        <v>0</v>
      </c>
      <c r="L1764" s="10" t="b">
        <f>Github!N$1767</f>
        <v>0</v>
      </c>
      <c r="M1764" s="10" t="str">
        <f>ROUND(Github!O$1767, 2)&amp;"%"</f>
        <v>38%</v>
      </c>
      <c r="N1764" s="10">
        <f>Github!P$1767</f>
        <v>5212</v>
      </c>
      <c r="O1764" s="10">
        <f>Github!Q$1767</f>
        <v>13715</v>
      </c>
    </row>
    <row r="1765">
      <c r="A1765" s="10">
        <f>Github!J$2059</f>
        <v>2058</v>
      </c>
      <c r="B1765" s="11" t="str">
        <f>HYPERLINK(CONCAT("http://leetcode.com/problems/",Github!C$2059), Github!B$2059)</f>
        <v>Find the Minimum and Maximum Number of Nodes Between Critical Points</v>
      </c>
      <c r="C1765" s="10">
        <f>Github!F$2059</f>
        <v>220</v>
      </c>
      <c r="D1765" s="10">
        <f>Github!G$2059</f>
        <v>11</v>
      </c>
      <c r="E1765" s="10">
        <f>Github!F$2059+Github!G$2059</f>
        <v>231</v>
      </c>
      <c r="F1765" s="12">
        <f t="shared" si="1"/>
        <v>20</v>
      </c>
      <c r="G1765" s="10" t="str">
        <f>Github!H$2059</f>
        <v>Algorithms</v>
      </c>
      <c r="H1765" s="13" t="str">
        <f>SUBSTITUTE(Github!L$2059, ";", ", ")</f>
        <v>Linked List, </v>
      </c>
      <c r="I1765" s="10" t="str">
        <f>Github!E$2059</f>
        <v>Medium</v>
      </c>
      <c r="J1765" s="10" t="str">
        <f>IF(TRIM(Github!D$2059)="TRUE","FALSE","TRUE")</f>
        <v>TRUE</v>
      </c>
      <c r="K1765" s="10" t="b">
        <f>Github!M$2059</f>
        <v>0</v>
      </c>
      <c r="L1765" s="10" t="b">
        <f>Github!N$2059</f>
        <v>0</v>
      </c>
      <c r="M1765" s="10" t="str">
        <f>ROUND(Github!O$2059, 2)&amp;"%"</f>
        <v>57.85%</v>
      </c>
      <c r="N1765" s="10">
        <f>Github!P$2059</f>
        <v>14024</v>
      </c>
      <c r="O1765" s="10">
        <f>Github!Q$2059</f>
        <v>24243</v>
      </c>
    </row>
    <row r="1766">
      <c r="A1766" s="10">
        <f>Github!J$570</f>
        <v>569</v>
      </c>
      <c r="B1766" s="11" t="str">
        <f>HYPERLINK(CONCAT("http://leetcode.com/problems/",Github!C$570), Github!B$570)</f>
        <v>Median Employee Salary</v>
      </c>
      <c r="C1766" s="10">
        <f>Github!F$570</f>
        <v>219</v>
      </c>
      <c r="D1766" s="10">
        <f>Github!G$570</f>
        <v>119</v>
      </c>
      <c r="E1766" s="10">
        <f>Github!F$570+Github!G$570</f>
        <v>338</v>
      </c>
      <c r="F1766" s="12">
        <f t="shared" si="1"/>
        <v>1.84</v>
      </c>
      <c r="G1766" s="10" t="str">
        <f>Github!H$570</f>
        <v>Database</v>
      </c>
      <c r="H1766" s="13" t="str">
        <f>SUBSTITUTE(Github!L$570, ";", ", ")</f>
        <v>Database, </v>
      </c>
      <c r="I1766" s="10" t="str">
        <f>Github!E$570</f>
        <v>Hard</v>
      </c>
      <c r="J1766" s="10" t="str">
        <f>IF(TRIM(Github!D$570)="TRUE","FALSE","TRUE")</f>
        <v>FALSE</v>
      </c>
      <c r="K1766" s="10" t="b">
        <f>Github!M$570</f>
        <v>0</v>
      </c>
      <c r="L1766" s="10" t="b">
        <f>Github!N$570</f>
        <v>0</v>
      </c>
      <c r="M1766" s="10" t="str">
        <f>ROUND(Github!O$570, 2)&amp;"%"</f>
        <v>66.61%</v>
      </c>
      <c r="N1766" s="10">
        <f>Github!P$570</f>
        <v>25753</v>
      </c>
      <c r="O1766" s="10">
        <f>Github!Q$570</f>
        <v>38665</v>
      </c>
    </row>
    <row r="1767">
      <c r="A1767" s="10">
        <f>Github!J$750</f>
        <v>749</v>
      </c>
      <c r="B1767" s="11" t="str">
        <f>HYPERLINK(CONCAT("http://leetcode.com/problems/",Github!C$750), Github!B$750)</f>
        <v>Contain Virus</v>
      </c>
      <c r="C1767" s="10">
        <f>Github!F$750</f>
        <v>219</v>
      </c>
      <c r="D1767" s="10">
        <f>Github!G$750</f>
        <v>362</v>
      </c>
      <c r="E1767" s="10">
        <f>Github!F$750+Github!G$750</f>
        <v>581</v>
      </c>
      <c r="F1767" s="12">
        <f t="shared" si="1"/>
        <v>0.6</v>
      </c>
      <c r="G1767" s="10" t="str">
        <f>Github!H$750</f>
        <v>Algorithms</v>
      </c>
      <c r="H1767" s="13" t="str">
        <f>SUBSTITUTE(Github!L$750, ";", ", ")</f>
        <v>Array, Depth-First Search, Breadth-First Search, Matrix, Simulation, </v>
      </c>
      <c r="I1767" s="10" t="str">
        <f>Github!E$750</f>
        <v>Hard</v>
      </c>
      <c r="J1767" s="10" t="str">
        <f>IF(TRIM(Github!D$750)="TRUE","FALSE","TRUE")</f>
        <v>TRUE</v>
      </c>
      <c r="K1767" s="10" t="b">
        <f>Github!M$750</f>
        <v>0</v>
      </c>
      <c r="L1767" s="10" t="b">
        <f>Github!N$750</f>
        <v>0</v>
      </c>
      <c r="M1767" s="10" t="str">
        <f>ROUND(Github!O$750, 2)&amp;"%"</f>
        <v>49.87%</v>
      </c>
      <c r="N1767" s="10">
        <f>Github!P$750</f>
        <v>8008</v>
      </c>
      <c r="O1767" s="10">
        <f>Github!Q$750</f>
        <v>16058</v>
      </c>
    </row>
    <row r="1768">
      <c r="A1768" s="10">
        <f>Github!J$2043</f>
        <v>2042</v>
      </c>
      <c r="B1768" s="11" t="str">
        <f>HYPERLINK(CONCAT("http://leetcode.com/problems/",Github!C$2043), Github!B$2043)</f>
        <v>Check if Numbers Are Ascending in a Sentence</v>
      </c>
      <c r="C1768" s="10">
        <f>Github!F$2043</f>
        <v>219</v>
      </c>
      <c r="D1768" s="10">
        <f>Github!G$2043</f>
        <v>10</v>
      </c>
      <c r="E1768" s="10">
        <f>Github!F$2043+Github!G$2043</f>
        <v>229</v>
      </c>
      <c r="F1768" s="12">
        <f t="shared" si="1"/>
        <v>21.9</v>
      </c>
      <c r="G1768" s="10" t="str">
        <f>Github!H$2043</f>
        <v>Algorithms</v>
      </c>
      <c r="H1768" s="13" t="str">
        <f>SUBSTITUTE(Github!L$2043, ";", ", ")</f>
        <v>String, </v>
      </c>
      <c r="I1768" s="10" t="str">
        <f>Github!E$2043</f>
        <v>Easy</v>
      </c>
      <c r="J1768" s="10" t="str">
        <f>IF(TRIM(Github!D$2043)="TRUE","FALSE","TRUE")</f>
        <v>TRUE</v>
      </c>
      <c r="K1768" s="10" t="b">
        <f>Github!M$2043</f>
        <v>0</v>
      </c>
      <c r="L1768" s="10" t="b">
        <f>Github!N$2043</f>
        <v>0</v>
      </c>
      <c r="M1768" s="10" t="str">
        <f>ROUND(Github!O$2043, 2)&amp;"%"</f>
        <v>68.38%</v>
      </c>
      <c r="N1768" s="10">
        <f>Github!P$2043</f>
        <v>20912</v>
      </c>
      <c r="O1768" s="10">
        <f>Github!Q$2043</f>
        <v>30580</v>
      </c>
    </row>
    <row r="1769">
      <c r="A1769" s="10">
        <f>Github!J$2139</f>
        <v>2138</v>
      </c>
      <c r="B1769" s="11" t="str">
        <f>HYPERLINK(CONCAT("http://leetcode.com/problems/",Github!C$2139), Github!B$2139)</f>
        <v>Divide a String Into Groups of Size k</v>
      </c>
      <c r="C1769" s="10">
        <f>Github!F$2139</f>
        <v>220</v>
      </c>
      <c r="D1769" s="10">
        <f>Github!G$2139</f>
        <v>9</v>
      </c>
      <c r="E1769" s="10">
        <f>Github!F$2139+Github!G$2139</f>
        <v>229</v>
      </c>
      <c r="F1769" s="12">
        <f t="shared" si="1"/>
        <v>24.44</v>
      </c>
      <c r="G1769" s="10" t="str">
        <f>Github!H$2139</f>
        <v>Algorithms</v>
      </c>
      <c r="H1769" s="13" t="str">
        <f>SUBSTITUTE(Github!L$2139, ";", ", ")</f>
        <v>String, Simulation, </v>
      </c>
      <c r="I1769" s="10" t="str">
        <f>Github!E$2139</f>
        <v>Easy</v>
      </c>
      <c r="J1769" s="10" t="str">
        <f>IF(TRIM(Github!D$2139)="TRUE","FALSE","TRUE")</f>
        <v>TRUE</v>
      </c>
      <c r="K1769" s="10" t="b">
        <f>Github!M$2139</f>
        <v>0</v>
      </c>
      <c r="L1769" s="10" t="b">
        <f>Github!N$2139</f>
        <v>0</v>
      </c>
      <c r="M1769" s="10" t="str">
        <f>ROUND(Github!O$2139, 2)&amp;"%"</f>
        <v>65.66%</v>
      </c>
      <c r="N1769" s="10">
        <f>Github!P$2139</f>
        <v>22639</v>
      </c>
      <c r="O1769" s="10">
        <f>Github!Q$2139</f>
        <v>34480</v>
      </c>
    </row>
    <row r="1770">
      <c r="A1770" s="10">
        <f>Github!J$1402</f>
        <v>1401</v>
      </c>
      <c r="B1770" s="11" t="str">
        <f>HYPERLINK(CONCAT("http://leetcode.com/problems/",Github!C$1402), Github!B$1402)</f>
        <v>Circle and Rectangle Overlapping</v>
      </c>
      <c r="C1770" s="10">
        <f>Github!F$1402</f>
        <v>217</v>
      </c>
      <c r="D1770" s="10">
        <f>Github!G$1402</f>
        <v>55</v>
      </c>
      <c r="E1770" s="10">
        <f>Github!F$1402+Github!G$1402</f>
        <v>272</v>
      </c>
      <c r="F1770" s="12">
        <f t="shared" si="1"/>
        <v>3.95</v>
      </c>
      <c r="G1770" s="10" t="str">
        <f>Github!H$1402</f>
        <v>Algorithms</v>
      </c>
      <c r="H1770" s="13" t="str">
        <f>SUBSTITUTE(Github!L$1402, ";", ", ")</f>
        <v>Math, Geometry, </v>
      </c>
      <c r="I1770" s="10" t="str">
        <f>Github!E$1402</f>
        <v>Medium</v>
      </c>
      <c r="J1770" s="10" t="str">
        <f>IF(TRIM(Github!D$1402)="TRUE","FALSE","TRUE")</f>
        <v>TRUE</v>
      </c>
      <c r="K1770" s="10" t="b">
        <f>Github!M$1402</f>
        <v>0</v>
      </c>
      <c r="L1770" s="10" t="b">
        <f>Github!N$1402</f>
        <v>0</v>
      </c>
      <c r="M1770" s="10" t="str">
        <f>ROUND(Github!O$1402, 2)&amp;"%"</f>
        <v>43.63%</v>
      </c>
      <c r="N1770" s="10">
        <f>Github!P$1402</f>
        <v>9491</v>
      </c>
      <c r="O1770" s="10">
        <f>Github!Q$1402</f>
        <v>21751</v>
      </c>
    </row>
    <row r="1771">
      <c r="A1771" s="10">
        <f>Github!J$657</f>
        <v>656</v>
      </c>
      <c r="B1771" s="11" t="str">
        <f>HYPERLINK(CONCAT("http://leetcode.com/problems/",Github!C$657), Github!B$657)</f>
        <v>Coin Path</v>
      </c>
      <c r="C1771" s="10">
        <f>Github!F$657</f>
        <v>216</v>
      </c>
      <c r="D1771" s="10">
        <f>Github!G$657</f>
        <v>96</v>
      </c>
      <c r="E1771" s="10">
        <f>Github!F$657+Github!G$657</f>
        <v>312</v>
      </c>
      <c r="F1771" s="12">
        <f t="shared" si="1"/>
        <v>2.25</v>
      </c>
      <c r="G1771" s="10" t="str">
        <f>Github!H$657</f>
        <v>Algorithms</v>
      </c>
      <c r="H1771" s="13" t="str">
        <f>SUBSTITUTE(Github!L$657, ";", ", ")</f>
        <v>Array, Dynamic Programming, </v>
      </c>
      <c r="I1771" s="10" t="str">
        <f>Github!E$657</f>
        <v>Hard</v>
      </c>
      <c r="J1771" s="10" t="str">
        <f>IF(TRIM(Github!D$657)="TRUE","FALSE","TRUE")</f>
        <v>FALSE</v>
      </c>
      <c r="K1771" s="10" t="b">
        <f>Github!M$657</f>
        <v>1</v>
      </c>
      <c r="L1771" s="10" t="b">
        <f>Github!N$657</f>
        <v>0</v>
      </c>
      <c r="M1771" s="10" t="str">
        <f>ROUND(Github!O$657, 2)&amp;"%"</f>
        <v>31.18%</v>
      </c>
      <c r="N1771" s="10">
        <f>Github!P$657</f>
        <v>12285</v>
      </c>
      <c r="O1771" s="10">
        <f>Github!Q$657</f>
        <v>39401</v>
      </c>
    </row>
    <row r="1772">
      <c r="A1772" s="10">
        <f>Github!J$1038</f>
        <v>1037</v>
      </c>
      <c r="B1772" s="11" t="str">
        <f>HYPERLINK(CONCAT("http://leetcode.com/problems/",Github!C$1038), Github!B$1038)</f>
        <v>Valid Boomerang</v>
      </c>
      <c r="C1772" s="10">
        <f>Github!F$1038</f>
        <v>216</v>
      </c>
      <c r="D1772" s="10">
        <f>Github!G$1038</f>
        <v>341</v>
      </c>
      <c r="E1772" s="10">
        <f>Github!F$1038+Github!G$1038</f>
        <v>557</v>
      </c>
      <c r="F1772" s="12">
        <f t="shared" si="1"/>
        <v>0.63</v>
      </c>
      <c r="G1772" s="10" t="str">
        <f>Github!H$1038</f>
        <v>Algorithms</v>
      </c>
      <c r="H1772" s="13" t="str">
        <f>SUBSTITUTE(Github!L$1038, ";", ", ")</f>
        <v>Math, Geometry, </v>
      </c>
      <c r="I1772" s="10" t="str">
        <f>Github!E$1038</f>
        <v>Easy</v>
      </c>
      <c r="J1772" s="10" t="str">
        <f>IF(TRIM(Github!D$1038)="TRUE","FALSE","TRUE")</f>
        <v>TRUE</v>
      </c>
      <c r="K1772" s="10" t="b">
        <f>Github!M$1038</f>
        <v>0</v>
      </c>
      <c r="L1772" s="10" t="b">
        <f>Github!N$1038</f>
        <v>0</v>
      </c>
      <c r="M1772" s="10" t="str">
        <f>ROUND(Github!O$1038, 2)&amp;"%"</f>
        <v>37.42%</v>
      </c>
      <c r="N1772" s="10">
        <f>Github!P$1038</f>
        <v>30227</v>
      </c>
      <c r="O1772" s="10">
        <f>Github!Q$1038</f>
        <v>80778</v>
      </c>
    </row>
    <row r="1773">
      <c r="A1773" s="10">
        <f>Github!J$1066</f>
        <v>1065</v>
      </c>
      <c r="B1773" s="11" t="str">
        <f>HYPERLINK(CONCAT("http://leetcode.com/problems/",Github!C$1066), Github!B$1066)</f>
        <v>Index Pairs of a String</v>
      </c>
      <c r="C1773" s="10">
        <f>Github!F$1066</f>
        <v>215</v>
      </c>
      <c r="D1773" s="10">
        <f>Github!G$1066</f>
        <v>75</v>
      </c>
      <c r="E1773" s="10">
        <f>Github!F$1066+Github!G$1066</f>
        <v>290</v>
      </c>
      <c r="F1773" s="12">
        <f t="shared" si="1"/>
        <v>2.87</v>
      </c>
      <c r="G1773" s="10" t="str">
        <f>Github!H$1066</f>
        <v>Algorithms</v>
      </c>
      <c r="H1773" s="13" t="str">
        <f>SUBSTITUTE(Github!L$1066, ";", ", ")</f>
        <v>Array, String, Trie, Sorting, </v>
      </c>
      <c r="I1773" s="10" t="str">
        <f>Github!E$1066</f>
        <v>Easy</v>
      </c>
      <c r="J1773" s="10" t="str">
        <f>IF(TRIM(Github!D$1066)="TRUE","FALSE","TRUE")</f>
        <v>FALSE</v>
      </c>
      <c r="K1773" s="10" t="b">
        <f>Github!M$1066</f>
        <v>0</v>
      </c>
      <c r="L1773" s="10" t="b">
        <f>Github!N$1066</f>
        <v>0</v>
      </c>
      <c r="M1773" s="10" t="str">
        <f>ROUND(Github!O$1066, 2)&amp;"%"</f>
        <v>62%</v>
      </c>
      <c r="N1773" s="10">
        <f>Github!P$1066</f>
        <v>16005</v>
      </c>
      <c r="O1773" s="10">
        <f>Github!Q$1066</f>
        <v>25813</v>
      </c>
    </row>
    <row r="1774">
      <c r="A1774" s="10">
        <f>Github!J$1741</f>
        <v>1740</v>
      </c>
      <c r="B1774" s="11" t="str">
        <f>HYPERLINK(CONCAT("http://leetcode.com/problems/",Github!C$1741), Github!B$1741)</f>
        <v>Find Distance in a Binary Tree</v>
      </c>
      <c r="C1774" s="10">
        <f>Github!F$1741</f>
        <v>215</v>
      </c>
      <c r="D1774" s="10">
        <f>Github!G$1741</f>
        <v>9</v>
      </c>
      <c r="E1774" s="10">
        <f>Github!F$1741+Github!G$1741</f>
        <v>224</v>
      </c>
      <c r="F1774" s="12">
        <f t="shared" si="1"/>
        <v>23.89</v>
      </c>
      <c r="G1774" s="10" t="str">
        <f>Github!H$1741</f>
        <v>Algorithms</v>
      </c>
      <c r="H1774" s="13" t="str">
        <f>SUBSTITUTE(Github!L$1741, ";", ", ")</f>
        <v>Hash Table, Tree, Depth-First Search, Breadth-First Search, Binary Tree, </v>
      </c>
      <c r="I1774" s="10" t="str">
        <f>Github!E$1741</f>
        <v>Medium</v>
      </c>
      <c r="J1774" s="10" t="str">
        <f>IF(TRIM(Github!D$1741)="TRUE","FALSE","TRUE")</f>
        <v>FALSE</v>
      </c>
      <c r="K1774" s="10" t="b">
        <f>Github!M$1741</f>
        <v>0</v>
      </c>
      <c r="L1774" s="10" t="b">
        <f>Github!N$1741</f>
        <v>0</v>
      </c>
      <c r="M1774" s="10" t="str">
        <f>ROUND(Github!O$1741, 2)&amp;"%"</f>
        <v>68.25%</v>
      </c>
      <c r="N1774" s="10">
        <f>Github!P$1741</f>
        <v>9890</v>
      </c>
      <c r="O1774" s="10">
        <f>Github!Q$1741</f>
        <v>14490</v>
      </c>
    </row>
    <row r="1775">
      <c r="A1775" s="10">
        <f>Github!J$1226</f>
        <v>1225</v>
      </c>
      <c r="B1775" s="11" t="str">
        <f>HYPERLINK(CONCAT("http://leetcode.com/problems/",Github!C$1226), Github!B$1226)</f>
        <v>Report Contiguous Dates</v>
      </c>
      <c r="C1775" s="10">
        <f>Github!F$1226</f>
        <v>214</v>
      </c>
      <c r="D1775" s="10">
        <f>Github!G$1226</f>
        <v>17</v>
      </c>
      <c r="E1775" s="10">
        <f>Github!F$1226+Github!G$1226</f>
        <v>231</v>
      </c>
      <c r="F1775" s="12">
        <f t="shared" si="1"/>
        <v>12.59</v>
      </c>
      <c r="G1775" s="10" t="str">
        <f>Github!H$1226</f>
        <v>Database</v>
      </c>
      <c r="H1775" s="13" t="str">
        <f>SUBSTITUTE(Github!L$1226, ";", ", ")</f>
        <v>Database, </v>
      </c>
      <c r="I1775" s="10" t="str">
        <f>Github!E$1226</f>
        <v>Hard</v>
      </c>
      <c r="J1775" s="10" t="str">
        <f>IF(TRIM(Github!D$1226)="TRUE","FALSE","TRUE")</f>
        <v>FALSE</v>
      </c>
      <c r="K1775" s="10" t="b">
        <f>Github!M$1226</f>
        <v>0</v>
      </c>
      <c r="L1775" s="10" t="b">
        <f>Github!N$1226</f>
        <v>0</v>
      </c>
      <c r="M1775" s="10" t="str">
        <f>ROUND(Github!O$1226, 2)&amp;"%"</f>
        <v>63.15%</v>
      </c>
      <c r="N1775" s="10">
        <f>Github!P$1226</f>
        <v>13058</v>
      </c>
      <c r="O1775" s="10">
        <f>Github!Q$1226</f>
        <v>20677</v>
      </c>
    </row>
    <row r="1776">
      <c r="A1776" s="10">
        <f>Github!J$1512</f>
        <v>1511</v>
      </c>
      <c r="B1776" s="11" t="str">
        <f>HYPERLINK(CONCAT("http://leetcode.com/problems/",Github!C$1512), Github!B$1512)</f>
        <v>Customer Order Frequency</v>
      </c>
      <c r="C1776" s="10">
        <f>Github!F$1512</f>
        <v>214</v>
      </c>
      <c r="D1776" s="10">
        <f>Github!G$1512</f>
        <v>40</v>
      </c>
      <c r="E1776" s="10">
        <f>Github!F$1512+Github!G$1512</f>
        <v>254</v>
      </c>
      <c r="F1776" s="12">
        <f t="shared" si="1"/>
        <v>5.35</v>
      </c>
      <c r="G1776" s="10" t="str">
        <f>Github!H$1512</f>
        <v>Database</v>
      </c>
      <c r="H1776" s="13" t="str">
        <f>SUBSTITUTE(Github!L$1512, ";", ", ")</f>
        <v>Database, </v>
      </c>
      <c r="I1776" s="10" t="str">
        <f>Github!E$1512</f>
        <v>Easy</v>
      </c>
      <c r="J1776" s="10" t="str">
        <f>IF(TRIM(Github!D$1512)="TRUE","FALSE","TRUE")</f>
        <v>FALSE</v>
      </c>
      <c r="K1776" s="10" t="b">
        <f>Github!M$1512</f>
        <v>0</v>
      </c>
      <c r="L1776" s="10" t="b">
        <f>Github!N$1512</f>
        <v>0</v>
      </c>
      <c r="M1776" s="10" t="str">
        <f>ROUND(Github!O$1512, 2)&amp;"%"</f>
        <v>73.43%</v>
      </c>
      <c r="N1776" s="10">
        <f>Github!P$1512</f>
        <v>25635</v>
      </c>
      <c r="O1776" s="10">
        <f>Github!Q$1512</f>
        <v>34911</v>
      </c>
    </row>
    <row r="1777">
      <c r="A1777" s="10">
        <f>Github!J$2165</f>
        <v>2164</v>
      </c>
      <c r="B1777" s="11" t="str">
        <f>HYPERLINK(CONCAT("http://leetcode.com/problems/",Github!C$2165), Github!B$2165)</f>
        <v>Sort Even and Odd Indices Independently</v>
      </c>
      <c r="C1777" s="10">
        <f>Github!F$2165</f>
        <v>214</v>
      </c>
      <c r="D1777" s="10">
        <f>Github!G$2165</f>
        <v>10</v>
      </c>
      <c r="E1777" s="10">
        <f>Github!F$2165+Github!G$2165</f>
        <v>224</v>
      </c>
      <c r="F1777" s="12">
        <f t="shared" si="1"/>
        <v>21.4</v>
      </c>
      <c r="G1777" s="10" t="str">
        <f>Github!H$2165</f>
        <v>Algorithms</v>
      </c>
      <c r="H1777" s="13" t="str">
        <f>SUBSTITUTE(Github!L$2165, ";", ", ")</f>
        <v>Array, Sorting, </v>
      </c>
      <c r="I1777" s="10" t="str">
        <f>Github!E$2165</f>
        <v>Easy</v>
      </c>
      <c r="J1777" s="10" t="str">
        <f>IF(TRIM(Github!D$2165)="TRUE","FALSE","TRUE")</f>
        <v>TRUE</v>
      </c>
      <c r="K1777" s="10" t="b">
        <f>Github!M$2165</f>
        <v>0</v>
      </c>
      <c r="L1777" s="10" t="b">
        <f>Github!N$2165</f>
        <v>0</v>
      </c>
      <c r="M1777" s="10" t="str">
        <f>ROUND(Github!O$2165, 2)&amp;"%"</f>
        <v>67.76%</v>
      </c>
      <c r="N1777" s="10">
        <f>Github!P$2165</f>
        <v>21915</v>
      </c>
      <c r="O1777" s="10">
        <f>Github!Q$2165</f>
        <v>32342</v>
      </c>
    </row>
    <row r="1778">
      <c r="A1778" s="10">
        <f>Github!J$1939</f>
        <v>1938</v>
      </c>
      <c r="B1778" s="11" t="str">
        <f>HYPERLINK(CONCAT("http://leetcode.com/problems/",Github!C$1939), Github!B$1939)</f>
        <v>Maximum Genetic Difference Query</v>
      </c>
      <c r="C1778" s="10">
        <f>Github!F$1939</f>
        <v>213</v>
      </c>
      <c r="D1778" s="10">
        <f>Github!G$1939</f>
        <v>10</v>
      </c>
      <c r="E1778" s="10">
        <f>Github!F$1939+Github!G$1939</f>
        <v>223</v>
      </c>
      <c r="F1778" s="12">
        <f t="shared" si="1"/>
        <v>21.3</v>
      </c>
      <c r="G1778" s="10" t="str">
        <f>Github!H$1939</f>
        <v>Algorithms</v>
      </c>
      <c r="H1778" s="13" t="str">
        <f>SUBSTITUTE(Github!L$1939, ";", ", ")</f>
        <v>Array, Bit Manipulation, Trie, </v>
      </c>
      <c r="I1778" s="10" t="str">
        <f>Github!E$1939</f>
        <v>Hard</v>
      </c>
      <c r="J1778" s="10" t="str">
        <f>IF(TRIM(Github!D$1939)="TRUE","FALSE","TRUE")</f>
        <v>TRUE</v>
      </c>
      <c r="K1778" s="10" t="b">
        <f>Github!M$1939</f>
        <v>0</v>
      </c>
      <c r="L1778" s="10" t="b">
        <f>Github!N$1939</f>
        <v>0</v>
      </c>
      <c r="M1778" s="10" t="str">
        <f>ROUND(Github!O$1939, 2)&amp;"%"</f>
        <v>39.25%</v>
      </c>
      <c r="N1778" s="10">
        <f>Github!P$1939</f>
        <v>3169</v>
      </c>
      <c r="O1778" s="10">
        <f>Github!Q$1939</f>
        <v>8074</v>
      </c>
    </row>
    <row r="1779">
      <c r="A1779" s="10">
        <f>Github!J$1602</f>
        <v>1601</v>
      </c>
      <c r="B1779" s="11" t="str">
        <f>HYPERLINK(CONCAT("http://leetcode.com/problems/",Github!C$1602), Github!B$1602)</f>
        <v>Maximum Number of Achievable Transfer Requests</v>
      </c>
      <c r="C1779" s="10">
        <f>Github!F$1602</f>
        <v>212</v>
      </c>
      <c r="D1779" s="10">
        <f>Github!G$1602</f>
        <v>26</v>
      </c>
      <c r="E1779" s="10">
        <f>Github!F$1602+Github!G$1602</f>
        <v>238</v>
      </c>
      <c r="F1779" s="12">
        <f t="shared" si="1"/>
        <v>8.15</v>
      </c>
      <c r="G1779" s="10" t="str">
        <f>Github!H$1602</f>
        <v>Algorithms</v>
      </c>
      <c r="H1779" s="13" t="str">
        <f>SUBSTITUTE(Github!L$1602, ";", ", ")</f>
        <v>Array, Backtracking, Bit Manipulation, Enumeration, </v>
      </c>
      <c r="I1779" s="10" t="str">
        <f>Github!E$1602</f>
        <v>Hard</v>
      </c>
      <c r="J1779" s="10" t="str">
        <f>IF(TRIM(Github!D$1602)="TRUE","FALSE","TRUE")</f>
        <v>TRUE</v>
      </c>
      <c r="K1779" s="10" t="b">
        <f>Github!M$1602</f>
        <v>0</v>
      </c>
      <c r="L1779" s="10" t="b">
        <f>Github!N$1602</f>
        <v>0</v>
      </c>
      <c r="M1779" s="10" t="str">
        <f>ROUND(Github!O$1602, 2)&amp;"%"</f>
        <v>50.65%</v>
      </c>
      <c r="N1779" s="10">
        <f>Github!P$1602</f>
        <v>7706</v>
      </c>
      <c r="O1779" s="10">
        <f>Github!Q$1602</f>
        <v>15213</v>
      </c>
    </row>
    <row r="1780">
      <c r="A1780" s="10">
        <f>Github!J$1660</f>
        <v>1659</v>
      </c>
      <c r="B1780" s="11" t="str">
        <f>HYPERLINK(CONCAT("http://leetcode.com/problems/",Github!C$1660), Github!B$1660)</f>
        <v>Maximize Grid Happiness</v>
      </c>
      <c r="C1780" s="10">
        <f>Github!F$1660</f>
        <v>212</v>
      </c>
      <c r="D1780" s="10">
        <f>Github!G$1660</f>
        <v>46</v>
      </c>
      <c r="E1780" s="10">
        <f>Github!F$1660+Github!G$1660</f>
        <v>258</v>
      </c>
      <c r="F1780" s="12">
        <f t="shared" si="1"/>
        <v>4.61</v>
      </c>
      <c r="G1780" s="10" t="str">
        <f>Github!H$1660</f>
        <v>Algorithms</v>
      </c>
      <c r="H1780" s="13" t="str">
        <f>SUBSTITUTE(Github!L$1660, ";", ", ")</f>
        <v>Dynamic Programming, Bit Manipulation, Memoization, Bitmask, </v>
      </c>
      <c r="I1780" s="10" t="str">
        <f>Github!E$1660</f>
        <v>Hard</v>
      </c>
      <c r="J1780" s="10" t="str">
        <f>IF(TRIM(Github!D$1660)="TRUE","FALSE","TRUE")</f>
        <v>TRUE</v>
      </c>
      <c r="K1780" s="10" t="b">
        <f>Github!M$1660</f>
        <v>0</v>
      </c>
      <c r="L1780" s="10" t="b">
        <f>Github!N$1660</f>
        <v>0</v>
      </c>
      <c r="M1780" s="10" t="str">
        <f>ROUND(Github!O$1660, 2)&amp;"%"</f>
        <v>37.44%</v>
      </c>
      <c r="N1780" s="10">
        <f>Github!P$1660</f>
        <v>3544</v>
      </c>
      <c r="O1780" s="10">
        <f>Github!Q$1660</f>
        <v>9466</v>
      </c>
    </row>
    <row r="1781">
      <c r="A1781" s="10">
        <f>Github!J$1816</f>
        <v>1815</v>
      </c>
      <c r="B1781" s="11" t="str">
        <f>HYPERLINK(CONCAT("http://leetcode.com/problems/",Github!C$1816), Github!B$1816)</f>
        <v>Maximum Number of Groups Getting Fresh Donuts</v>
      </c>
      <c r="C1781" s="10">
        <f>Github!F$1816</f>
        <v>212</v>
      </c>
      <c r="D1781" s="10">
        <f>Github!G$1816</f>
        <v>13</v>
      </c>
      <c r="E1781" s="10">
        <f>Github!F$1816+Github!G$1816</f>
        <v>225</v>
      </c>
      <c r="F1781" s="12">
        <f t="shared" si="1"/>
        <v>16.31</v>
      </c>
      <c r="G1781" s="10" t="str">
        <f>Github!H$1816</f>
        <v>Algorithms</v>
      </c>
      <c r="H1781" s="13" t="str">
        <f>SUBSTITUTE(Github!L$1816, ";", ", ")</f>
        <v>Array, Dynamic Programming, Bit Manipulation, Memoization, Bitmask, </v>
      </c>
      <c r="I1781" s="10" t="str">
        <f>Github!E$1816</f>
        <v>Hard</v>
      </c>
      <c r="J1781" s="10" t="str">
        <f>IF(TRIM(Github!D$1816)="TRUE","FALSE","TRUE")</f>
        <v>TRUE</v>
      </c>
      <c r="K1781" s="10" t="b">
        <f>Github!M$1816</f>
        <v>0</v>
      </c>
      <c r="L1781" s="10" t="b">
        <f>Github!N$1816</f>
        <v>0</v>
      </c>
      <c r="M1781" s="10" t="str">
        <f>ROUND(Github!O$1816, 2)&amp;"%"</f>
        <v>39.91%</v>
      </c>
      <c r="N1781" s="10">
        <f>Github!P$1816</f>
        <v>4051</v>
      </c>
      <c r="O1781" s="10">
        <f>Github!Q$1816</f>
        <v>10150</v>
      </c>
    </row>
    <row r="1782">
      <c r="A1782" s="10">
        <f>Github!J$1933</f>
        <v>1932</v>
      </c>
      <c r="B1782" s="11" t="str">
        <f>HYPERLINK(CONCAT("http://leetcode.com/problems/",Github!C$1933), Github!B$1933)</f>
        <v>Merge BSTs to Create Single BST</v>
      </c>
      <c r="C1782" s="10">
        <f>Github!F$1933</f>
        <v>212</v>
      </c>
      <c r="D1782" s="10">
        <f>Github!G$1933</f>
        <v>22</v>
      </c>
      <c r="E1782" s="10">
        <f>Github!F$1933+Github!G$1933</f>
        <v>234</v>
      </c>
      <c r="F1782" s="12">
        <f t="shared" si="1"/>
        <v>9.64</v>
      </c>
      <c r="G1782" s="10" t="str">
        <f>Github!H$1933</f>
        <v>Algorithms</v>
      </c>
      <c r="H1782" s="13" t="str">
        <f>SUBSTITUTE(Github!L$1933, ";", ", ")</f>
        <v>Hash Table, Binary Search, Tree, Depth-First Search, Binary Tree, </v>
      </c>
      <c r="I1782" s="10" t="str">
        <f>Github!E$1933</f>
        <v>Hard</v>
      </c>
      <c r="J1782" s="10" t="str">
        <f>IF(TRIM(Github!D$1933)="TRUE","FALSE","TRUE")</f>
        <v>TRUE</v>
      </c>
      <c r="K1782" s="10" t="b">
        <f>Github!M$1933</f>
        <v>0</v>
      </c>
      <c r="L1782" s="10" t="b">
        <f>Github!N$1933</f>
        <v>0</v>
      </c>
      <c r="M1782" s="10" t="str">
        <f>ROUND(Github!O$1933, 2)&amp;"%"</f>
        <v>34.95%</v>
      </c>
      <c r="N1782" s="10">
        <f>Github!P$1933</f>
        <v>4009</v>
      </c>
      <c r="O1782" s="10">
        <f>Github!Q$1933</f>
        <v>11470</v>
      </c>
    </row>
    <row r="1783">
      <c r="A1783" s="10">
        <f>Github!J$1937</f>
        <v>1936</v>
      </c>
      <c r="B1783" s="11" t="str">
        <f>HYPERLINK(CONCAT("http://leetcode.com/problems/",Github!C$1937), Github!B$1937)</f>
        <v>Add Minimum Number of Rungs</v>
      </c>
      <c r="C1783" s="10">
        <f>Github!F$1937</f>
        <v>212</v>
      </c>
      <c r="D1783" s="10">
        <f>Github!G$1937</f>
        <v>17</v>
      </c>
      <c r="E1783" s="10">
        <f>Github!F$1937+Github!G$1937</f>
        <v>229</v>
      </c>
      <c r="F1783" s="12">
        <f t="shared" si="1"/>
        <v>12.47</v>
      </c>
      <c r="G1783" s="10" t="str">
        <f>Github!H$1937</f>
        <v>Algorithms</v>
      </c>
      <c r="H1783" s="13" t="str">
        <f>SUBSTITUTE(Github!L$1937, ";", ", ")</f>
        <v>Array, Greedy, </v>
      </c>
      <c r="I1783" s="10" t="str">
        <f>Github!E$1937</f>
        <v>Medium</v>
      </c>
      <c r="J1783" s="10" t="str">
        <f>IF(TRIM(Github!D$1937)="TRUE","FALSE","TRUE")</f>
        <v>TRUE</v>
      </c>
      <c r="K1783" s="10" t="b">
        <f>Github!M$1937</f>
        <v>0</v>
      </c>
      <c r="L1783" s="10" t="b">
        <f>Github!N$1937</f>
        <v>0</v>
      </c>
      <c r="M1783" s="10" t="str">
        <f>ROUND(Github!O$1937, 2)&amp;"%"</f>
        <v>42.24%</v>
      </c>
      <c r="N1783" s="10">
        <f>Github!P$1937</f>
        <v>17891</v>
      </c>
      <c r="O1783" s="10">
        <f>Github!Q$1937</f>
        <v>42355</v>
      </c>
    </row>
    <row r="1784">
      <c r="A1784" s="10">
        <f>Github!J$2072</f>
        <v>2071</v>
      </c>
      <c r="B1784" s="11" t="str">
        <f>HYPERLINK(CONCAT("http://leetcode.com/problems/",Github!C$2072), Github!B$2072)</f>
        <v>Maximum Number of Tasks You Can Assign</v>
      </c>
      <c r="C1784" s="10">
        <f>Github!F$2072</f>
        <v>213</v>
      </c>
      <c r="D1784" s="10">
        <f>Github!G$2072</f>
        <v>10</v>
      </c>
      <c r="E1784" s="10">
        <f>Github!F$2072+Github!G$2072</f>
        <v>223</v>
      </c>
      <c r="F1784" s="12">
        <f t="shared" si="1"/>
        <v>21.3</v>
      </c>
      <c r="G1784" s="10" t="str">
        <f>Github!H$2072</f>
        <v>Algorithms</v>
      </c>
      <c r="H1784" s="13" t="str">
        <f>SUBSTITUTE(Github!L$2072, ";", ", ")</f>
        <v>Array, Binary Search, Greedy, Queue, Sorting, Monotonic Queue, </v>
      </c>
      <c r="I1784" s="10" t="str">
        <f>Github!E$2072</f>
        <v>Hard</v>
      </c>
      <c r="J1784" s="10" t="str">
        <f>IF(TRIM(Github!D$2072)="TRUE","FALSE","TRUE")</f>
        <v>TRUE</v>
      </c>
      <c r="K1784" s="10" t="b">
        <f>Github!M$2072</f>
        <v>0</v>
      </c>
      <c r="L1784" s="10" t="b">
        <f>Github!N$2072</f>
        <v>0</v>
      </c>
      <c r="M1784" s="10" t="str">
        <f>ROUND(Github!O$2072, 2)&amp;"%"</f>
        <v>37.09%</v>
      </c>
      <c r="N1784" s="10">
        <f>Github!P$2072</f>
        <v>3992</v>
      </c>
      <c r="O1784" s="10">
        <f>Github!Q$2072</f>
        <v>10763</v>
      </c>
    </row>
    <row r="1785">
      <c r="A1785" s="10">
        <f>Github!J$2149</f>
        <v>2148</v>
      </c>
      <c r="B1785" s="11" t="str">
        <f>HYPERLINK(CONCAT("http://leetcode.com/problems/",Github!C$2149), Github!B$2149)</f>
        <v>Count Elements With Strictly Smaller and Greater Elements </v>
      </c>
      <c r="C1785" s="10">
        <f>Github!F$2149</f>
        <v>212</v>
      </c>
      <c r="D1785" s="10">
        <f>Github!G$2149</f>
        <v>7</v>
      </c>
      <c r="E1785" s="10">
        <f>Github!F$2149+Github!G$2149</f>
        <v>219</v>
      </c>
      <c r="F1785" s="12">
        <f t="shared" si="1"/>
        <v>30.29</v>
      </c>
      <c r="G1785" s="10" t="str">
        <f>Github!H$2149</f>
        <v>Algorithms</v>
      </c>
      <c r="H1785" s="13" t="str">
        <f>SUBSTITUTE(Github!L$2149, ";", ", ")</f>
        <v>Array, Sorting, </v>
      </c>
      <c r="I1785" s="10" t="str">
        <f>Github!E$2149</f>
        <v>Easy</v>
      </c>
      <c r="J1785" s="10" t="str">
        <f>IF(TRIM(Github!D$2149)="TRUE","FALSE","TRUE")</f>
        <v>TRUE</v>
      </c>
      <c r="K1785" s="10" t="b">
        <f>Github!M$2149</f>
        <v>0</v>
      </c>
      <c r="L1785" s="10" t="b">
        <f>Github!N$2149</f>
        <v>0</v>
      </c>
      <c r="M1785" s="10" t="str">
        <f>ROUND(Github!O$2149, 2)&amp;"%"</f>
        <v>60.51%</v>
      </c>
      <c r="N1785" s="10">
        <f>Github!P$2149</f>
        <v>23711</v>
      </c>
      <c r="O1785" s="10">
        <f>Github!Q$2149</f>
        <v>39187</v>
      </c>
    </row>
    <row r="1786">
      <c r="A1786" s="10">
        <f>Github!J$1252</f>
        <v>1251</v>
      </c>
      <c r="B1786" s="11" t="str">
        <f>HYPERLINK(CONCAT("http://leetcode.com/problems/",Github!C$1252), Github!B$1252)</f>
        <v>Average Selling Price</v>
      </c>
      <c r="C1786" s="10">
        <f>Github!F$1252</f>
        <v>211</v>
      </c>
      <c r="D1786" s="10">
        <f>Github!G$1252</f>
        <v>20</v>
      </c>
      <c r="E1786" s="10">
        <f>Github!F$1252+Github!G$1252</f>
        <v>231</v>
      </c>
      <c r="F1786" s="12">
        <f t="shared" si="1"/>
        <v>10.55</v>
      </c>
      <c r="G1786" s="10" t="str">
        <f>Github!H$1252</f>
        <v>Database</v>
      </c>
      <c r="H1786" s="13" t="str">
        <f>SUBSTITUTE(Github!L$1252, ";", ", ")</f>
        <v>Database, </v>
      </c>
      <c r="I1786" s="10" t="str">
        <f>Github!E$1252</f>
        <v>Easy</v>
      </c>
      <c r="J1786" s="10" t="str">
        <f>IF(TRIM(Github!D$1252)="TRUE","FALSE","TRUE")</f>
        <v>FALSE</v>
      </c>
      <c r="K1786" s="10" t="b">
        <f>Github!M$1252</f>
        <v>0</v>
      </c>
      <c r="L1786" s="10" t="b">
        <f>Github!N$1252</f>
        <v>0</v>
      </c>
      <c r="M1786" s="10" t="str">
        <f>ROUND(Github!O$1252, 2)&amp;"%"</f>
        <v>83.34%</v>
      </c>
      <c r="N1786" s="10">
        <f>Github!P$1252</f>
        <v>31954</v>
      </c>
      <c r="O1786" s="10">
        <f>Github!Q$1252</f>
        <v>38341</v>
      </c>
    </row>
    <row r="1787">
      <c r="A1787" s="10">
        <f>Github!J$1259</f>
        <v>1258</v>
      </c>
      <c r="B1787" s="11" t="str">
        <f>HYPERLINK(CONCAT("http://leetcode.com/problems/",Github!C$1259), Github!B$1259)</f>
        <v>Synonymous Sentences</v>
      </c>
      <c r="C1787" s="10">
        <f>Github!F$1259</f>
        <v>211</v>
      </c>
      <c r="D1787" s="10">
        <f>Github!G$1259</f>
        <v>81</v>
      </c>
      <c r="E1787" s="10">
        <f>Github!F$1259+Github!G$1259</f>
        <v>292</v>
      </c>
      <c r="F1787" s="12">
        <f t="shared" si="1"/>
        <v>2.6</v>
      </c>
      <c r="G1787" s="10" t="str">
        <f>Github!H$1259</f>
        <v>Algorithms</v>
      </c>
      <c r="H1787" s="13" t="str">
        <f>SUBSTITUTE(Github!L$1259, ";", ", ")</f>
        <v>Array, Hash Table, String, Backtracking, Union Find, </v>
      </c>
      <c r="I1787" s="10" t="str">
        <f>Github!E$1259</f>
        <v>Medium</v>
      </c>
      <c r="J1787" s="10" t="str">
        <f>IF(TRIM(Github!D$1259)="TRUE","FALSE","TRUE")</f>
        <v>FALSE</v>
      </c>
      <c r="K1787" s="10" t="b">
        <f>Github!M$1259</f>
        <v>0</v>
      </c>
      <c r="L1787" s="10" t="b">
        <f>Github!N$1259</f>
        <v>0</v>
      </c>
      <c r="M1787" s="10" t="str">
        <f>ROUND(Github!O$1259, 2)&amp;"%"</f>
        <v>56.26%</v>
      </c>
      <c r="N1787" s="10">
        <f>Github!P$1259</f>
        <v>12275</v>
      </c>
      <c r="O1787" s="10">
        <f>Github!Q$1259</f>
        <v>21818</v>
      </c>
    </row>
    <row r="1788">
      <c r="A1788" s="10">
        <f>Github!J$1277</f>
        <v>1276</v>
      </c>
      <c r="B1788" s="11" t="str">
        <f>HYPERLINK(CONCAT("http://leetcode.com/problems/",Github!C$1277), Github!B$1277)</f>
        <v>Number of Burgers with No Waste of Ingredients</v>
      </c>
      <c r="C1788" s="10">
        <f>Github!F$1277</f>
        <v>211</v>
      </c>
      <c r="D1788" s="10">
        <f>Github!G$1277</f>
        <v>183</v>
      </c>
      <c r="E1788" s="10">
        <f>Github!F$1277+Github!G$1277</f>
        <v>394</v>
      </c>
      <c r="F1788" s="12">
        <f t="shared" si="1"/>
        <v>1.15</v>
      </c>
      <c r="G1788" s="10" t="str">
        <f>Github!H$1277</f>
        <v>Algorithms</v>
      </c>
      <c r="H1788" s="13" t="str">
        <f>SUBSTITUTE(Github!L$1277, ";", ", ")</f>
        <v>Math, </v>
      </c>
      <c r="I1788" s="10" t="str">
        <f>Github!E$1277</f>
        <v>Medium</v>
      </c>
      <c r="J1788" s="10" t="str">
        <f>IF(TRIM(Github!D$1277)="TRUE","FALSE","TRUE")</f>
        <v>TRUE</v>
      </c>
      <c r="K1788" s="10" t="b">
        <f>Github!M$1277</f>
        <v>0</v>
      </c>
      <c r="L1788" s="10" t="b">
        <f>Github!N$1277</f>
        <v>0</v>
      </c>
      <c r="M1788" s="10" t="str">
        <f>ROUND(Github!O$1277, 2)&amp;"%"</f>
        <v>50.63%</v>
      </c>
      <c r="N1788" s="10">
        <f>Github!P$1277</f>
        <v>17461</v>
      </c>
      <c r="O1788" s="10">
        <f>Github!Q$1277</f>
        <v>34490</v>
      </c>
    </row>
    <row r="1789">
      <c r="A1789" s="10">
        <f>Github!J$1978</f>
        <v>1977</v>
      </c>
      <c r="B1789" s="11" t="str">
        <f>HYPERLINK(CONCAT("http://leetcode.com/problems/",Github!C$1978), Github!B$1978)</f>
        <v>Number of Ways to Separate Numbers</v>
      </c>
      <c r="C1789" s="10">
        <f>Github!F$1978</f>
        <v>211</v>
      </c>
      <c r="D1789" s="10">
        <f>Github!G$1978</f>
        <v>26</v>
      </c>
      <c r="E1789" s="10">
        <f>Github!F$1978+Github!G$1978</f>
        <v>237</v>
      </c>
      <c r="F1789" s="12">
        <f t="shared" si="1"/>
        <v>8.12</v>
      </c>
      <c r="G1789" s="10" t="str">
        <f>Github!H$1978</f>
        <v>Algorithms</v>
      </c>
      <c r="H1789" s="13" t="str">
        <f>SUBSTITUTE(Github!L$1978, ";", ", ")</f>
        <v>String, Dynamic Programming, Suffix Array, </v>
      </c>
      <c r="I1789" s="10" t="str">
        <f>Github!E$1978</f>
        <v>Hard</v>
      </c>
      <c r="J1789" s="10" t="str">
        <f>IF(TRIM(Github!D$1978)="TRUE","FALSE","TRUE")</f>
        <v>TRUE</v>
      </c>
      <c r="K1789" s="10" t="b">
        <f>Github!M$1978</f>
        <v>0</v>
      </c>
      <c r="L1789" s="10" t="b">
        <f>Github!N$1978</f>
        <v>0</v>
      </c>
      <c r="M1789" s="10" t="str">
        <f>ROUND(Github!O$1978, 2)&amp;"%"</f>
        <v>22.64%</v>
      </c>
      <c r="N1789" s="10">
        <f>Github!P$1978</f>
        <v>2594</v>
      </c>
      <c r="O1789" s="10">
        <f>Github!Q$1978</f>
        <v>11458</v>
      </c>
    </row>
    <row r="1790">
      <c r="A1790" s="10">
        <f>Github!J$572</f>
        <v>571</v>
      </c>
      <c r="B1790" s="11" t="str">
        <f>HYPERLINK(CONCAT("http://leetcode.com/problems/",Github!C$572), Github!B$572)</f>
        <v>Find Median Given Frequency of Numbers</v>
      </c>
      <c r="C1790" s="10">
        <f>Github!F$572</f>
        <v>210</v>
      </c>
      <c r="D1790" s="10">
        <f>Github!G$572</f>
        <v>62</v>
      </c>
      <c r="E1790" s="10">
        <f>Github!F$572+Github!G$572</f>
        <v>272</v>
      </c>
      <c r="F1790" s="12">
        <f t="shared" si="1"/>
        <v>3.39</v>
      </c>
      <c r="G1790" s="10" t="str">
        <f>Github!H$572</f>
        <v>Database</v>
      </c>
      <c r="H1790" s="13" t="str">
        <f>SUBSTITUTE(Github!L$572, ";", ", ")</f>
        <v>Database, </v>
      </c>
      <c r="I1790" s="10" t="str">
        <f>Github!E$572</f>
        <v>Hard</v>
      </c>
      <c r="J1790" s="10" t="str">
        <f>IF(TRIM(Github!D$572)="TRUE","FALSE","TRUE")</f>
        <v>FALSE</v>
      </c>
      <c r="K1790" s="10" t="b">
        <f>Github!M$572</f>
        <v>0</v>
      </c>
      <c r="L1790" s="10" t="b">
        <f>Github!N$572</f>
        <v>0</v>
      </c>
      <c r="M1790" s="10" t="str">
        <f>ROUND(Github!O$572, 2)&amp;"%"</f>
        <v>44.73%</v>
      </c>
      <c r="N1790" s="10">
        <f>Github!P$572</f>
        <v>17946</v>
      </c>
      <c r="O1790" s="10">
        <f>Github!Q$572</f>
        <v>40123</v>
      </c>
    </row>
    <row r="1791">
      <c r="A1791" s="10">
        <f>Github!J$1074</f>
        <v>1073</v>
      </c>
      <c r="B1791" s="11" t="str">
        <f>HYPERLINK(CONCAT("http://leetcode.com/problems/",Github!C$1074), Github!B$1074)</f>
        <v>Adding Two Negabinary Numbers</v>
      </c>
      <c r="C1791" s="10">
        <f>Github!F$1074</f>
        <v>210</v>
      </c>
      <c r="D1791" s="10">
        <f>Github!G$1074</f>
        <v>87</v>
      </c>
      <c r="E1791" s="10">
        <f>Github!F$1074+Github!G$1074</f>
        <v>297</v>
      </c>
      <c r="F1791" s="12">
        <f t="shared" si="1"/>
        <v>2.41</v>
      </c>
      <c r="G1791" s="10" t="str">
        <f>Github!H$1074</f>
        <v>Algorithms</v>
      </c>
      <c r="H1791" s="13" t="str">
        <f>SUBSTITUTE(Github!L$1074, ";", ", ")</f>
        <v>Array, Math, </v>
      </c>
      <c r="I1791" s="10" t="str">
        <f>Github!E$1074</f>
        <v>Medium</v>
      </c>
      <c r="J1791" s="10" t="str">
        <f>IF(TRIM(Github!D$1074)="TRUE","FALSE","TRUE")</f>
        <v>TRUE</v>
      </c>
      <c r="K1791" s="10" t="b">
        <f>Github!M$1074</f>
        <v>0</v>
      </c>
      <c r="L1791" s="10" t="b">
        <f>Github!N$1074</f>
        <v>0</v>
      </c>
      <c r="M1791" s="10" t="str">
        <f>ROUND(Github!O$1074, 2)&amp;"%"</f>
        <v>35.64%</v>
      </c>
      <c r="N1791" s="10">
        <f>Github!P$1074</f>
        <v>11373</v>
      </c>
      <c r="O1791" s="10">
        <f>Github!Q$1074</f>
        <v>31913</v>
      </c>
    </row>
    <row r="1792">
      <c r="A1792" s="10">
        <f>Github!J$2031</f>
        <v>2030</v>
      </c>
      <c r="B1792" s="11" t="str">
        <f>HYPERLINK(CONCAT("http://leetcode.com/problems/",Github!C$2031), Github!B$2031)</f>
        <v>Smallest K-Length Subsequence With Occurrences of a Letter</v>
      </c>
      <c r="C1792" s="10">
        <f>Github!F$2031</f>
        <v>210</v>
      </c>
      <c r="D1792" s="10">
        <f>Github!G$2031</f>
        <v>6</v>
      </c>
      <c r="E1792" s="10">
        <f>Github!F$2031+Github!G$2031</f>
        <v>216</v>
      </c>
      <c r="F1792" s="12">
        <f t="shared" si="1"/>
        <v>35</v>
      </c>
      <c r="G1792" s="10" t="str">
        <f>Github!H$2031</f>
        <v>Algorithms</v>
      </c>
      <c r="H1792" s="13" t="str">
        <f>SUBSTITUTE(Github!L$2031, ";", ", ")</f>
        <v>String, Stack, Greedy, Monotonic Stack, </v>
      </c>
      <c r="I1792" s="10" t="str">
        <f>Github!E$2031</f>
        <v>Hard</v>
      </c>
      <c r="J1792" s="10" t="str">
        <f>IF(TRIM(Github!D$2031)="TRUE","FALSE","TRUE")</f>
        <v>TRUE</v>
      </c>
      <c r="K1792" s="10" t="b">
        <f>Github!M$2031</f>
        <v>0</v>
      </c>
      <c r="L1792" s="10" t="b">
        <f>Github!N$2031</f>
        <v>0</v>
      </c>
      <c r="M1792" s="10" t="str">
        <f>ROUND(Github!O$2031, 2)&amp;"%"</f>
        <v>38.93%</v>
      </c>
      <c r="N1792" s="10">
        <f>Github!P$2031</f>
        <v>3844</v>
      </c>
      <c r="O1792" s="10">
        <f>Github!Q$2031</f>
        <v>9875</v>
      </c>
    </row>
    <row r="1793">
      <c r="A1793" s="10">
        <f>Github!J$2123</f>
        <v>2122</v>
      </c>
      <c r="B1793" s="11" t="str">
        <f>HYPERLINK(CONCAT("http://leetcode.com/problems/",Github!C$2123), Github!B$2123)</f>
        <v>Recover the Original Array</v>
      </c>
      <c r="C1793" s="10">
        <f>Github!F$2123</f>
        <v>210</v>
      </c>
      <c r="D1793" s="10">
        <f>Github!G$2123</f>
        <v>26</v>
      </c>
      <c r="E1793" s="10">
        <f>Github!F$2123+Github!G$2123</f>
        <v>236</v>
      </c>
      <c r="F1793" s="12">
        <f t="shared" si="1"/>
        <v>8.08</v>
      </c>
      <c r="G1793" s="10" t="str">
        <f>Github!H$2123</f>
        <v>Algorithms</v>
      </c>
      <c r="H1793" s="13" t="str">
        <f>SUBSTITUTE(Github!L$2123, ";", ", ")</f>
        <v>Array, Hash Table, Sorting, Enumeration, </v>
      </c>
      <c r="I1793" s="10" t="str">
        <f>Github!E$2123</f>
        <v>Hard</v>
      </c>
      <c r="J1793" s="10" t="str">
        <f>IF(TRIM(Github!D$2123)="TRUE","FALSE","TRUE")</f>
        <v>TRUE</v>
      </c>
      <c r="K1793" s="10" t="b">
        <f>Github!M$2123</f>
        <v>0</v>
      </c>
      <c r="L1793" s="10" t="b">
        <f>Github!N$2123</f>
        <v>0</v>
      </c>
      <c r="M1793" s="10" t="str">
        <f>ROUND(Github!O$2123, 2)&amp;"%"</f>
        <v>37.53%</v>
      </c>
      <c r="N1793" s="10">
        <f>Github!P$2123</f>
        <v>6084</v>
      </c>
      <c r="O1793" s="10">
        <f>Github!Q$2123</f>
        <v>16211</v>
      </c>
    </row>
    <row r="1794">
      <c r="A1794" s="10">
        <f>Github!J$571</f>
        <v>570</v>
      </c>
      <c r="B1794" s="11" t="str">
        <f>HYPERLINK(CONCAT("http://leetcode.com/problems/",Github!C$571), Github!B$571)</f>
        <v>Managers with at Least 5 Direct Reports</v>
      </c>
      <c r="C1794" s="10">
        <f>Github!F$571</f>
        <v>208</v>
      </c>
      <c r="D1794" s="10">
        <f>Github!G$571</f>
        <v>29</v>
      </c>
      <c r="E1794" s="10">
        <f>Github!F$571+Github!G$571</f>
        <v>237</v>
      </c>
      <c r="F1794" s="12">
        <f t="shared" si="1"/>
        <v>7.17</v>
      </c>
      <c r="G1794" s="10" t="str">
        <f>Github!H$571</f>
        <v>Database</v>
      </c>
      <c r="H1794" s="13" t="str">
        <f>SUBSTITUTE(Github!L$571, ";", ", ")</f>
        <v>Database, </v>
      </c>
      <c r="I1794" s="10" t="str">
        <f>Github!E$571</f>
        <v>Medium</v>
      </c>
      <c r="J1794" s="10" t="str">
        <f>IF(TRIM(Github!D$571)="TRUE","FALSE","TRUE")</f>
        <v>FALSE</v>
      </c>
      <c r="K1794" s="10" t="b">
        <f>Github!M$571</f>
        <v>1</v>
      </c>
      <c r="L1794" s="10" t="b">
        <f>Github!N$571</f>
        <v>0</v>
      </c>
      <c r="M1794" s="10" t="str">
        <f>ROUND(Github!O$571, 2)&amp;"%"</f>
        <v>66.98%</v>
      </c>
      <c r="N1794" s="10">
        <f>Github!P$571</f>
        <v>54692</v>
      </c>
      <c r="O1794" s="10">
        <f>Github!Q$571</f>
        <v>81655</v>
      </c>
    </row>
    <row r="1795">
      <c r="A1795" s="10">
        <f>Github!J$712</f>
        <v>711</v>
      </c>
      <c r="B1795" s="11" t="str">
        <f>HYPERLINK(CONCAT("http://leetcode.com/problems/",Github!C$712), Github!B$712)</f>
        <v>Number of Distinct Islands II</v>
      </c>
      <c r="C1795" s="10">
        <f>Github!F$712</f>
        <v>208</v>
      </c>
      <c r="D1795" s="10">
        <f>Github!G$712</f>
        <v>214</v>
      </c>
      <c r="E1795" s="10">
        <f>Github!F$712+Github!G$712</f>
        <v>422</v>
      </c>
      <c r="F1795" s="12">
        <f t="shared" si="1"/>
        <v>0.97</v>
      </c>
      <c r="G1795" s="10" t="str">
        <f>Github!H$712</f>
        <v>Algorithms</v>
      </c>
      <c r="H1795" s="13" t="str">
        <f>SUBSTITUTE(Github!L$712, ";", ", ")</f>
        <v>Hash Table, Depth-First Search, Breadth-First Search, Union Find, Hash Function, </v>
      </c>
      <c r="I1795" s="10" t="str">
        <f>Github!E$712</f>
        <v>Hard</v>
      </c>
      <c r="J1795" s="10" t="str">
        <f>IF(TRIM(Github!D$712)="TRUE","FALSE","TRUE")</f>
        <v>FALSE</v>
      </c>
      <c r="K1795" s="10" t="b">
        <f>Github!M$712</f>
        <v>0</v>
      </c>
      <c r="L1795" s="10" t="b">
        <f>Github!N$712</f>
        <v>0</v>
      </c>
      <c r="M1795" s="10" t="str">
        <f>ROUND(Github!O$712, 2)&amp;"%"</f>
        <v>50.88%</v>
      </c>
      <c r="N1795" s="10">
        <f>Github!P$712</f>
        <v>8059</v>
      </c>
      <c r="O1795" s="10">
        <f>Github!Q$712</f>
        <v>15840</v>
      </c>
    </row>
    <row r="1796">
      <c r="A1796" s="10">
        <f>Github!J$1814</f>
        <v>1813</v>
      </c>
      <c r="B1796" s="11" t="str">
        <f>HYPERLINK(CONCAT("http://leetcode.com/problems/",Github!C$1814), Github!B$1814)</f>
        <v>Sentence Similarity III</v>
      </c>
      <c r="C1796" s="10">
        <f>Github!F$1814</f>
        <v>207</v>
      </c>
      <c r="D1796" s="10">
        <f>Github!G$1814</f>
        <v>38</v>
      </c>
      <c r="E1796" s="10">
        <f>Github!F$1814+Github!G$1814</f>
        <v>245</v>
      </c>
      <c r="F1796" s="12">
        <f t="shared" si="1"/>
        <v>5.45</v>
      </c>
      <c r="G1796" s="10" t="str">
        <f>Github!H$1814</f>
        <v>Algorithms</v>
      </c>
      <c r="H1796" s="13" t="str">
        <f>SUBSTITUTE(Github!L$1814, ";", ", ")</f>
        <v>Array, Two Pointers, String, </v>
      </c>
      <c r="I1796" s="10" t="str">
        <f>Github!E$1814</f>
        <v>Medium</v>
      </c>
      <c r="J1796" s="10" t="str">
        <f>IF(TRIM(Github!D$1814)="TRUE","FALSE","TRUE")</f>
        <v>TRUE</v>
      </c>
      <c r="K1796" s="10" t="b">
        <f>Github!M$1814</f>
        <v>0</v>
      </c>
      <c r="L1796" s="10" t="b">
        <f>Github!N$1814</f>
        <v>0</v>
      </c>
      <c r="M1796" s="10" t="str">
        <f>ROUND(Github!O$1814, 2)&amp;"%"</f>
        <v>32.24%</v>
      </c>
      <c r="N1796" s="10">
        <f>Github!P$1814</f>
        <v>9139</v>
      </c>
      <c r="O1796" s="10">
        <f>Github!Q$1814</f>
        <v>28351</v>
      </c>
    </row>
    <row r="1797">
      <c r="A1797" s="10">
        <f>Github!J$1953</f>
        <v>1952</v>
      </c>
      <c r="B1797" s="11" t="str">
        <f>HYPERLINK(CONCAT("http://leetcode.com/problems/",Github!C$1953), Github!B$1953)</f>
        <v>Three Divisors</v>
      </c>
      <c r="C1797" s="10">
        <f>Github!F$1953</f>
        <v>206</v>
      </c>
      <c r="D1797" s="10">
        <f>Github!G$1953</f>
        <v>15</v>
      </c>
      <c r="E1797" s="10">
        <f>Github!F$1953+Github!G$1953</f>
        <v>221</v>
      </c>
      <c r="F1797" s="12">
        <f t="shared" si="1"/>
        <v>13.73</v>
      </c>
      <c r="G1797" s="10" t="str">
        <f>Github!H$1953</f>
        <v>Algorithms</v>
      </c>
      <c r="H1797" s="13" t="str">
        <f>SUBSTITUTE(Github!L$1953, ";", ", ")</f>
        <v>Math, </v>
      </c>
      <c r="I1797" s="10" t="str">
        <f>Github!E$1953</f>
        <v>Easy</v>
      </c>
      <c r="J1797" s="10" t="str">
        <f>IF(TRIM(Github!D$1953)="TRUE","FALSE","TRUE")</f>
        <v>TRUE</v>
      </c>
      <c r="K1797" s="10" t="b">
        <f>Github!M$1953</f>
        <v>0</v>
      </c>
      <c r="L1797" s="10" t="b">
        <f>Github!N$1953</f>
        <v>0</v>
      </c>
      <c r="M1797" s="10" t="str">
        <f>ROUND(Github!O$1953, 2)&amp;"%"</f>
        <v>56.5%</v>
      </c>
      <c r="N1797" s="10">
        <f>Github!P$1953</f>
        <v>24310</v>
      </c>
      <c r="O1797" s="10">
        <f>Github!Q$1953</f>
        <v>43024</v>
      </c>
    </row>
    <row r="1798">
      <c r="A1798" s="10">
        <f>Github!J$611</f>
        <v>610</v>
      </c>
      <c r="B1798" s="11" t="str">
        <f>HYPERLINK(CONCAT("http://leetcode.com/problems/",Github!C$611), Github!B$611)</f>
        <v>Triangle Judgement</v>
      </c>
      <c r="C1798" s="10">
        <f>Github!F$611</f>
        <v>205</v>
      </c>
      <c r="D1798" s="10">
        <f>Github!G$611</f>
        <v>46</v>
      </c>
      <c r="E1798" s="10">
        <f>Github!F$611+Github!G$611</f>
        <v>251</v>
      </c>
      <c r="F1798" s="12">
        <f t="shared" si="1"/>
        <v>4.46</v>
      </c>
      <c r="G1798" s="10" t="str">
        <f>Github!H$611</f>
        <v>Database</v>
      </c>
      <c r="H1798" s="13" t="str">
        <f>SUBSTITUTE(Github!L$611, ";", ", ")</f>
        <v>Database, </v>
      </c>
      <c r="I1798" s="10" t="str">
        <f>Github!E$611</f>
        <v>Easy</v>
      </c>
      <c r="J1798" s="10" t="str">
        <f>IF(TRIM(Github!D$611)="TRUE","FALSE","TRUE")</f>
        <v>FALSE</v>
      </c>
      <c r="K1798" s="10" t="b">
        <f>Github!M$611</f>
        <v>1</v>
      </c>
      <c r="L1798" s="10" t="b">
        <f>Github!N$611</f>
        <v>0</v>
      </c>
      <c r="M1798" s="10" t="str">
        <f>ROUND(Github!O$611, 2)&amp;"%"</f>
        <v>70.7%</v>
      </c>
      <c r="N1798" s="10">
        <f>Github!P$611</f>
        <v>47857</v>
      </c>
      <c r="O1798" s="10">
        <f>Github!Q$611</f>
        <v>67689</v>
      </c>
    </row>
    <row r="1799">
      <c r="A1799" s="10">
        <f>Github!J$2173</f>
        <v>2172</v>
      </c>
      <c r="B1799" s="11" t="str">
        <f>HYPERLINK(CONCAT("http://leetcode.com/problems/",Github!C$2173), Github!B$2173)</f>
        <v>Maximum AND Sum of Array</v>
      </c>
      <c r="C1799" s="10">
        <f>Github!F$2173</f>
        <v>205</v>
      </c>
      <c r="D1799" s="10">
        <f>Github!G$2173</f>
        <v>9</v>
      </c>
      <c r="E1799" s="10">
        <f>Github!F$2173+Github!G$2173</f>
        <v>214</v>
      </c>
      <c r="F1799" s="12">
        <f t="shared" si="1"/>
        <v>22.78</v>
      </c>
      <c r="G1799" s="10" t="str">
        <f>Github!H$2173</f>
        <v>Algorithms</v>
      </c>
      <c r="H1799" s="13" t="str">
        <f>SUBSTITUTE(Github!L$2173, ";", ", ")</f>
        <v>Array, Dynamic Programming, Bit Manipulation, Bitmask, </v>
      </c>
      <c r="I1799" s="10" t="str">
        <f>Github!E$2173</f>
        <v>Hard</v>
      </c>
      <c r="J1799" s="10" t="str">
        <f>IF(TRIM(Github!D$2173)="TRUE","FALSE","TRUE")</f>
        <v>TRUE</v>
      </c>
      <c r="K1799" s="10" t="b">
        <f>Github!M$2173</f>
        <v>0</v>
      </c>
      <c r="L1799" s="10" t="b">
        <f>Github!N$2173</f>
        <v>0</v>
      </c>
      <c r="M1799" s="10" t="str">
        <f>ROUND(Github!O$2173, 2)&amp;"%"</f>
        <v>42.85%</v>
      </c>
      <c r="N1799" s="10">
        <f>Github!P$2173</f>
        <v>4901</v>
      </c>
      <c r="O1799" s="10">
        <f>Github!Q$2173</f>
        <v>11437</v>
      </c>
    </row>
    <row r="1800">
      <c r="A1800" s="10">
        <f>Github!J$1304</f>
        <v>1303</v>
      </c>
      <c r="B1800" s="11" t="str">
        <f>HYPERLINK(CONCAT("http://leetcode.com/problems/",Github!C$1304), Github!B$1304)</f>
        <v>Find the Team Size</v>
      </c>
      <c r="C1800" s="10">
        <f>Github!F$1304</f>
        <v>204</v>
      </c>
      <c r="D1800" s="10">
        <f>Github!G$1304</f>
        <v>12</v>
      </c>
      <c r="E1800" s="10">
        <f>Github!F$1304+Github!G$1304</f>
        <v>216</v>
      </c>
      <c r="F1800" s="12">
        <f t="shared" si="1"/>
        <v>17</v>
      </c>
      <c r="G1800" s="10" t="str">
        <f>Github!H$1304</f>
        <v>Database</v>
      </c>
      <c r="H1800" s="13" t="str">
        <f>SUBSTITUTE(Github!L$1304, ";", ", ")</f>
        <v>Database, </v>
      </c>
      <c r="I1800" s="10" t="str">
        <f>Github!E$1304</f>
        <v>Easy</v>
      </c>
      <c r="J1800" s="10" t="str">
        <f>IF(TRIM(Github!D$1304)="TRUE","FALSE","TRUE")</f>
        <v>FALSE</v>
      </c>
      <c r="K1800" s="10" t="b">
        <f>Github!M$1304</f>
        <v>0</v>
      </c>
      <c r="L1800" s="10" t="b">
        <f>Github!N$1304</f>
        <v>0</v>
      </c>
      <c r="M1800" s="10" t="str">
        <f>ROUND(Github!O$1304, 2)&amp;"%"</f>
        <v>90.64%</v>
      </c>
      <c r="N1800" s="10">
        <f>Github!P$1304</f>
        <v>38277</v>
      </c>
      <c r="O1800" s="10">
        <f>Github!Q$1304</f>
        <v>42229</v>
      </c>
    </row>
    <row r="1801">
      <c r="A1801" s="10">
        <f>Github!J$1895</f>
        <v>1894</v>
      </c>
      <c r="B1801" s="11" t="str">
        <f>HYPERLINK(CONCAT("http://leetcode.com/problems/",Github!C$1895), Github!B$1895)</f>
        <v>Find the Student that Will Replace the Chalk</v>
      </c>
      <c r="C1801" s="10">
        <f>Github!F$1895</f>
        <v>204</v>
      </c>
      <c r="D1801" s="10">
        <f>Github!G$1895</f>
        <v>34</v>
      </c>
      <c r="E1801" s="10">
        <f>Github!F$1895+Github!G$1895</f>
        <v>238</v>
      </c>
      <c r="F1801" s="12">
        <f t="shared" si="1"/>
        <v>6</v>
      </c>
      <c r="G1801" s="10" t="str">
        <f>Github!H$1895</f>
        <v>Algorithms</v>
      </c>
      <c r="H1801" s="13" t="str">
        <f>SUBSTITUTE(Github!L$1895, ";", ", ")</f>
        <v>Array, Binary Search, Simulation, Prefix Sum, </v>
      </c>
      <c r="I1801" s="10" t="str">
        <f>Github!E$1895</f>
        <v>Medium</v>
      </c>
      <c r="J1801" s="10" t="str">
        <f>IF(TRIM(Github!D$1895)="TRUE","FALSE","TRUE")</f>
        <v>TRUE</v>
      </c>
      <c r="K1801" s="10" t="b">
        <f>Github!M$1895</f>
        <v>0</v>
      </c>
      <c r="L1801" s="10" t="b">
        <f>Github!N$1895</f>
        <v>0</v>
      </c>
      <c r="M1801" s="10" t="str">
        <f>ROUND(Github!O$1895, 2)&amp;"%"</f>
        <v>40.46%</v>
      </c>
      <c r="N1801" s="10">
        <f>Github!P$1895</f>
        <v>15202</v>
      </c>
      <c r="O1801" s="10">
        <f>Github!Q$1895</f>
        <v>37572</v>
      </c>
    </row>
    <row r="1802">
      <c r="A1802" s="10">
        <f>Github!J$1958</f>
        <v>1957</v>
      </c>
      <c r="B1802" s="11" t="str">
        <f>HYPERLINK(CONCAT("http://leetcode.com/problems/",Github!C$1958), Github!B$1958)</f>
        <v>Delete Characters to Make Fancy String</v>
      </c>
      <c r="C1802" s="10">
        <f>Github!F$1958</f>
        <v>204</v>
      </c>
      <c r="D1802" s="10">
        <f>Github!G$1958</f>
        <v>10</v>
      </c>
      <c r="E1802" s="10">
        <f>Github!F$1958+Github!G$1958</f>
        <v>214</v>
      </c>
      <c r="F1802" s="12">
        <f t="shared" si="1"/>
        <v>20.4</v>
      </c>
      <c r="G1802" s="10" t="str">
        <f>Github!H$1958</f>
        <v>Algorithms</v>
      </c>
      <c r="H1802" s="13" t="str">
        <f>SUBSTITUTE(Github!L$1958, ";", ", ")</f>
        <v>String, </v>
      </c>
      <c r="I1802" s="10" t="str">
        <f>Github!E$1958</f>
        <v>Easy</v>
      </c>
      <c r="J1802" s="10" t="str">
        <f>IF(TRIM(Github!D$1958)="TRUE","FALSE","TRUE")</f>
        <v>TRUE</v>
      </c>
      <c r="K1802" s="10" t="b">
        <f>Github!M$1958</f>
        <v>0</v>
      </c>
      <c r="L1802" s="10" t="b">
        <f>Github!N$1958</f>
        <v>0</v>
      </c>
      <c r="M1802" s="10" t="str">
        <f>ROUND(Github!O$1958, 2)&amp;"%"</f>
        <v>56.52%</v>
      </c>
      <c r="N1802" s="10">
        <f>Github!P$1958</f>
        <v>17640</v>
      </c>
      <c r="O1802" s="10">
        <f>Github!Q$1958</f>
        <v>31212</v>
      </c>
    </row>
    <row r="1803">
      <c r="A1803" s="10">
        <f>Github!J$551</f>
        <v>550</v>
      </c>
      <c r="B1803" s="11" t="str">
        <f>HYPERLINK(CONCAT("http://leetcode.com/problems/",Github!C$551), Github!B$551)</f>
        <v>Game Play Analysis IV</v>
      </c>
      <c r="C1803" s="10">
        <f>Github!F$551</f>
        <v>203</v>
      </c>
      <c r="D1803" s="10">
        <f>Github!G$551</f>
        <v>59</v>
      </c>
      <c r="E1803" s="10">
        <f>Github!F$551+Github!G$551</f>
        <v>262</v>
      </c>
      <c r="F1803" s="12">
        <f t="shared" si="1"/>
        <v>3.44</v>
      </c>
      <c r="G1803" s="10" t="str">
        <f>Github!H$551</f>
        <v>Database</v>
      </c>
      <c r="H1803" s="13" t="str">
        <f>SUBSTITUTE(Github!L$551, ";", ", ")</f>
        <v>Database, </v>
      </c>
      <c r="I1803" s="10" t="str">
        <f>Github!E$551</f>
        <v>Medium</v>
      </c>
      <c r="J1803" s="10" t="str">
        <f>IF(TRIM(Github!D$551)="TRUE","FALSE","TRUE")</f>
        <v>FALSE</v>
      </c>
      <c r="K1803" s="10" t="b">
        <f>Github!M$551</f>
        <v>0</v>
      </c>
      <c r="L1803" s="10" t="b">
        <f>Github!N$551</f>
        <v>0</v>
      </c>
      <c r="M1803" s="10" t="str">
        <f>ROUND(Github!O$551, 2)&amp;"%"</f>
        <v>44.18%</v>
      </c>
      <c r="N1803" s="10">
        <f>Github!P$551</f>
        <v>36794</v>
      </c>
      <c r="O1803" s="10">
        <f>Github!Q$551</f>
        <v>83285</v>
      </c>
    </row>
    <row r="1804">
      <c r="A1804" s="10">
        <f>Github!J$2002</f>
        <v>2001</v>
      </c>
      <c r="B1804" s="11" t="str">
        <f>HYPERLINK(CONCAT("http://leetcode.com/problems/",Github!C$2002), Github!B$2002)</f>
        <v>Number of Pairs of Interchangeable Rectangles</v>
      </c>
      <c r="C1804" s="10">
        <f>Github!F$2002</f>
        <v>206</v>
      </c>
      <c r="D1804" s="10">
        <f>Github!G$2002</f>
        <v>20</v>
      </c>
      <c r="E1804" s="10">
        <f>Github!F$2002+Github!G$2002</f>
        <v>226</v>
      </c>
      <c r="F1804" s="12">
        <f t="shared" si="1"/>
        <v>10.3</v>
      </c>
      <c r="G1804" s="10" t="str">
        <f>Github!H$2002</f>
        <v>Algorithms</v>
      </c>
      <c r="H1804" s="13" t="str">
        <f>SUBSTITUTE(Github!L$2002, ";", ", ")</f>
        <v>Array, Hash Table, Math, Counting, Number Theory, </v>
      </c>
      <c r="I1804" s="10" t="str">
        <f>Github!E$2002</f>
        <v>Medium</v>
      </c>
      <c r="J1804" s="10" t="str">
        <f>IF(TRIM(Github!D$2002)="TRUE","FALSE","TRUE")</f>
        <v>TRUE</v>
      </c>
      <c r="K1804" s="10" t="b">
        <f>Github!M$2002</f>
        <v>0</v>
      </c>
      <c r="L1804" s="10" t="b">
        <f>Github!N$2002</f>
        <v>0</v>
      </c>
      <c r="M1804" s="10" t="str">
        <f>ROUND(Github!O$2002, 2)&amp;"%"</f>
        <v>42.52%</v>
      </c>
      <c r="N1804" s="10">
        <f>Github!P$2002</f>
        <v>14877</v>
      </c>
      <c r="O1804" s="10">
        <f>Github!Q$2002</f>
        <v>34989</v>
      </c>
    </row>
    <row r="1805">
      <c r="A1805" s="10">
        <f>Github!J$1485</f>
        <v>1484</v>
      </c>
      <c r="B1805" s="11" t="str">
        <f>HYPERLINK(CONCAT("http://leetcode.com/problems/",Github!C$1485), Github!B$1485)</f>
        <v>Group Sold Products By The Date</v>
      </c>
      <c r="C1805" s="10">
        <f>Github!F$1485</f>
        <v>202</v>
      </c>
      <c r="D1805" s="10">
        <f>Github!G$1485</f>
        <v>13</v>
      </c>
      <c r="E1805" s="10">
        <f>Github!F$1485+Github!G$1485</f>
        <v>215</v>
      </c>
      <c r="F1805" s="12">
        <f t="shared" si="1"/>
        <v>15.54</v>
      </c>
      <c r="G1805" s="10" t="str">
        <f>Github!H$1485</f>
        <v>Database</v>
      </c>
      <c r="H1805" s="13" t="str">
        <f>SUBSTITUTE(Github!L$1485, ";", ", ")</f>
        <v>Database, </v>
      </c>
      <c r="I1805" s="10" t="str">
        <f>Github!E$1485</f>
        <v>Easy</v>
      </c>
      <c r="J1805" s="10" t="str">
        <f>IF(TRIM(Github!D$1485)="TRUE","FALSE","TRUE")</f>
        <v>FALSE</v>
      </c>
      <c r="K1805" s="10" t="b">
        <f>Github!M$1485</f>
        <v>0</v>
      </c>
      <c r="L1805" s="10" t="b">
        <f>Github!N$1485</f>
        <v>0</v>
      </c>
      <c r="M1805" s="10" t="str">
        <f>ROUND(Github!O$1485, 2)&amp;"%"</f>
        <v>84.98%</v>
      </c>
      <c r="N1805" s="10">
        <f>Github!P$1485</f>
        <v>19280</v>
      </c>
      <c r="O1805" s="10">
        <f>Github!Q$1485</f>
        <v>22687</v>
      </c>
    </row>
    <row r="1806">
      <c r="A1806" s="10">
        <f>Github!J$1312</f>
        <v>1311</v>
      </c>
      <c r="B1806" s="11" t="str">
        <f>HYPERLINK(CONCAT("http://leetcode.com/problems/",Github!C$1312), Github!B$1312)</f>
        <v>Get Watched Videos by Your Friends</v>
      </c>
      <c r="C1806" s="10">
        <f>Github!F$1312</f>
        <v>201</v>
      </c>
      <c r="D1806" s="10">
        <f>Github!G$1312</f>
        <v>285</v>
      </c>
      <c r="E1806" s="10">
        <f>Github!F$1312+Github!G$1312</f>
        <v>486</v>
      </c>
      <c r="F1806" s="12">
        <f t="shared" si="1"/>
        <v>0.71</v>
      </c>
      <c r="G1806" s="10" t="str">
        <f>Github!H$1312</f>
        <v>Algorithms</v>
      </c>
      <c r="H1806" s="13" t="str">
        <f>SUBSTITUTE(Github!L$1312, ";", ", ")</f>
        <v>Array, Hash Table, Breadth-First Search, Sorting, </v>
      </c>
      <c r="I1806" s="10" t="str">
        <f>Github!E$1312</f>
        <v>Medium</v>
      </c>
      <c r="J1806" s="10" t="str">
        <f>IF(TRIM(Github!D$1312)="TRUE","FALSE","TRUE")</f>
        <v>TRUE</v>
      </c>
      <c r="K1806" s="10" t="b">
        <f>Github!M$1312</f>
        <v>0</v>
      </c>
      <c r="L1806" s="10" t="b">
        <f>Github!N$1312</f>
        <v>0</v>
      </c>
      <c r="M1806" s="10" t="str">
        <f>ROUND(Github!O$1312, 2)&amp;"%"</f>
        <v>45.09%</v>
      </c>
      <c r="N1806" s="10">
        <f>Github!P$1312</f>
        <v>14684</v>
      </c>
      <c r="O1806" s="10">
        <f>Github!Q$1312</f>
        <v>32569</v>
      </c>
    </row>
    <row r="1807">
      <c r="A1807" s="10">
        <f>Github!J$1334</f>
        <v>1333</v>
      </c>
      <c r="B1807" s="11" t="str">
        <f>HYPERLINK(CONCAT("http://leetcode.com/problems/",Github!C$1334), Github!B$1334)</f>
        <v>Filter Restaurants by Vegan-Friendly, Price and Distance</v>
      </c>
      <c r="C1807" s="10">
        <f>Github!F$1334</f>
        <v>200</v>
      </c>
      <c r="D1807" s="10">
        <f>Github!G$1334</f>
        <v>171</v>
      </c>
      <c r="E1807" s="10">
        <f>Github!F$1334+Github!G$1334</f>
        <v>371</v>
      </c>
      <c r="F1807" s="12">
        <f t="shared" si="1"/>
        <v>1.17</v>
      </c>
      <c r="G1807" s="10" t="str">
        <f>Github!H$1334</f>
        <v>Algorithms</v>
      </c>
      <c r="H1807" s="13" t="str">
        <f>SUBSTITUTE(Github!L$1334, ";", ", ")</f>
        <v>Array, Sorting, </v>
      </c>
      <c r="I1807" s="10" t="str">
        <f>Github!E$1334</f>
        <v>Medium</v>
      </c>
      <c r="J1807" s="10" t="str">
        <f>IF(TRIM(Github!D$1334)="TRUE","FALSE","TRUE")</f>
        <v>TRUE</v>
      </c>
      <c r="K1807" s="10" t="b">
        <f>Github!M$1334</f>
        <v>0</v>
      </c>
      <c r="L1807" s="10" t="b">
        <f>Github!N$1334</f>
        <v>0</v>
      </c>
      <c r="M1807" s="10" t="str">
        <f>ROUND(Github!O$1334, 2)&amp;"%"</f>
        <v>58.62%</v>
      </c>
      <c r="N1807" s="10">
        <f>Github!P$1334</f>
        <v>21241</v>
      </c>
      <c r="O1807" s="10">
        <f>Github!Q$1334</f>
        <v>36233</v>
      </c>
    </row>
    <row r="1808">
      <c r="A1808" s="10">
        <f>Github!J$1884</f>
        <v>1883</v>
      </c>
      <c r="B1808" s="11" t="str">
        <f>HYPERLINK(CONCAT("http://leetcode.com/problems/",Github!C$1884), Github!B$1884)</f>
        <v>Minimum Skips to Arrive at Meeting On Time</v>
      </c>
      <c r="C1808" s="10">
        <f>Github!F$1884</f>
        <v>200</v>
      </c>
      <c r="D1808" s="10">
        <f>Github!G$1884</f>
        <v>39</v>
      </c>
      <c r="E1808" s="10">
        <f>Github!F$1884+Github!G$1884</f>
        <v>239</v>
      </c>
      <c r="F1808" s="12">
        <f t="shared" si="1"/>
        <v>5.13</v>
      </c>
      <c r="G1808" s="10" t="str">
        <f>Github!H$1884</f>
        <v>Algorithms</v>
      </c>
      <c r="H1808" s="13" t="str">
        <f>SUBSTITUTE(Github!L$1884, ";", ", ")</f>
        <v>Array, Dynamic Programming, </v>
      </c>
      <c r="I1808" s="10" t="str">
        <f>Github!E$1884</f>
        <v>Hard</v>
      </c>
      <c r="J1808" s="10" t="str">
        <f>IF(TRIM(Github!D$1884)="TRUE","FALSE","TRUE")</f>
        <v>TRUE</v>
      </c>
      <c r="K1808" s="10" t="b">
        <f>Github!M$1884</f>
        <v>0</v>
      </c>
      <c r="L1808" s="10" t="b">
        <f>Github!N$1884</f>
        <v>0</v>
      </c>
      <c r="M1808" s="10" t="str">
        <f>ROUND(Github!O$1884, 2)&amp;"%"</f>
        <v>38.68%</v>
      </c>
      <c r="N1808" s="10">
        <f>Github!P$1884</f>
        <v>4402</v>
      </c>
      <c r="O1808" s="10">
        <f>Github!Q$1884</f>
        <v>11381</v>
      </c>
    </row>
    <row r="1809">
      <c r="A1809" s="10">
        <f>Github!J$1656</f>
        <v>1655</v>
      </c>
      <c r="B1809" s="11" t="str">
        <f>HYPERLINK(CONCAT("http://leetcode.com/problems/",Github!C$1656), Github!B$1656)</f>
        <v>Distribute Repeating Integers</v>
      </c>
      <c r="C1809" s="10">
        <f>Github!F$1656</f>
        <v>199</v>
      </c>
      <c r="D1809" s="10">
        <f>Github!G$1656</f>
        <v>14</v>
      </c>
      <c r="E1809" s="10">
        <f>Github!F$1656+Github!G$1656</f>
        <v>213</v>
      </c>
      <c r="F1809" s="12">
        <f t="shared" si="1"/>
        <v>14.21</v>
      </c>
      <c r="G1809" s="10" t="str">
        <f>Github!H$1656</f>
        <v>Algorithms</v>
      </c>
      <c r="H1809" s="13" t="str">
        <f>SUBSTITUTE(Github!L$1656, ";", ", ")</f>
        <v>Array, Dynamic Programming, Backtracking, Bit Manipulation, Bitmask, </v>
      </c>
      <c r="I1809" s="10" t="str">
        <f>Github!E$1656</f>
        <v>Hard</v>
      </c>
      <c r="J1809" s="10" t="str">
        <f>IF(TRIM(Github!D$1656)="TRUE","FALSE","TRUE")</f>
        <v>TRUE</v>
      </c>
      <c r="K1809" s="10" t="b">
        <f>Github!M$1656</f>
        <v>0</v>
      </c>
      <c r="L1809" s="10" t="b">
        <f>Github!N$1656</f>
        <v>0</v>
      </c>
      <c r="M1809" s="10" t="str">
        <f>ROUND(Github!O$1656, 2)&amp;"%"</f>
        <v>40.26%</v>
      </c>
      <c r="N1809" s="10">
        <f>Github!P$1656</f>
        <v>7563</v>
      </c>
      <c r="O1809" s="10">
        <f>Github!Q$1656</f>
        <v>18786</v>
      </c>
    </row>
    <row r="1810">
      <c r="A1810" s="10">
        <f>Github!J$587</f>
        <v>586</v>
      </c>
      <c r="B1810" s="11" t="str">
        <f>HYPERLINK(CONCAT("http://leetcode.com/problems/",Github!C$587), Github!B$587)</f>
        <v>Customer Placing the Largest Number of Orders</v>
      </c>
      <c r="C1810" s="10">
        <f>Github!F$587</f>
        <v>198</v>
      </c>
      <c r="D1810" s="10">
        <f>Github!G$587</f>
        <v>16</v>
      </c>
      <c r="E1810" s="10">
        <f>Github!F$587+Github!G$587</f>
        <v>214</v>
      </c>
      <c r="F1810" s="12">
        <f t="shared" si="1"/>
        <v>12.38</v>
      </c>
      <c r="G1810" s="10" t="str">
        <f>Github!H$587</f>
        <v>Database</v>
      </c>
      <c r="H1810" s="13" t="str">
        <f>SUBSTITUTE(Github!L$587, ";", ", ")</f>
        <v>Database, </v>
      </c>
      <c r="I1810" s="10" t="str">
        <f>Github!E$587</f>
        <v>Easy</v>
      </c>
      <c r="J1810" s="10" t="str">
        <f>IF(TRIM(Github!D$587)="TRUE","FALSE","TRUE")</f>
        <v>FALSE</v>
      </c>
      <c r="K1810" s="10" t="b">
        <f>Github!M$587</f>
        <v>1</v>
      </c>
      <c r="L1810" s="10" t="b">
        <f>Github!N$587</f>
        <v>0</v>
      </c>
      <c r="M1810" s="10" t="str">
        <f>ROUND(Github!O$587, 2)&amp;"%"</f>
        <v>74.92%</v>
      </c>
      <c r="N1810" s="10">
        <f>Github!P$587</f>
        <v>62350</v>
      </c>
      <c r="O1810" s="10">
        <f>Github!Q$587</f>
        <v>83221</v>
      </c>
    </row>
    <row r="1811">
      <c r="A1811" s="10">
        <f>Github!J$1962</f>
        <v>1961</v>
      </c>
      <c r="B1811" s="11" t="str">
        <f>HYPERLINK(CONCAT("http://leetcode.com/problems/",Github!C$1962), Github!B$1962)</f>
        <v>Check If String Is a Prefix of Array</v>
      </c>
      <c r="C1811" s="10">
        <f>Github!F$1962</f>
        <v>198</v>
      </c>
      <c r="D1811" s="10">
        <f>Github!G$1962</f>
        <v>29</v>
      </c>
      <c r="E1811" s="10">
        <f>Github!F$1962+Github!G$1962</f>
        <v>227</v>
      </c>
      <c r="F1811" s="12">
        <f t="shared" si="1"/>
        <v>6.83</v>
      </c>
      <c r="G1811" s="10" t="str">
        <f>Github!H$1962</f>
        <v>Algorithms</v>
      </c>
      <c r="H1811" s="13" t="str">
        <f>SUBSTITUTE(Github!L$1962, ";", ", ")</f>
        <v>Array, String, </v>
      </c>
      <c r="I1811" s="10" t="str">
        <f>Github!E$1962</f>
        <v>Easy</v>
      </c>
      <c r="J1811" s="10" t="str">
        <f>IF(TRIM(Github!D$1962)="TRUE","FALSE","TRUE")</f>
        <v>TRUE</v>
      </c>
      <c r="K1811" s="10" t="b">
        <f>Github!M$1962</f>
        <v>0</v>
      </c>
      <c r="L1811" s="10" t="b">
        <f>Github!N$1962</f>
        <v>0</v>
      </c>
      <c r="M1811" s="10" t="str">
        <f>ROUND(Github!O$1962, 2)&amp;"%"</f>
        <v>54.73%</v>
      </c>
      <c r="N1811" s="10">
        <f>Github!P$1962</f>
        <v>23409</v>
      </c>
      <c r="O1811" s="10">
        <f>Github!Q$1962</f>
        <v>42775</v>
      </c>
    </row>
    <row r="1812">
      <c r="A1812" s="10">
        <f>Github!J$1995</f>
        <v>1994</v>
      </c>
      <c r="B1812" s="11" t="str">
        <f>HYPERLINK(CONCAT("http://leetcode.com/problems/",Github!C$1995), Github!B$1995)</f>
        <v>The Number of Good Subsets</v>
      </c>
      <c r="C1812" s="10">
        <f>Github!F$1995</f>
        <v>199</v>
      </c>
      <c r="D1812" s="10">
        <f>Github!G$1995</f>
        <v>4</v>
      </c>
      <c r="E1812" s="10">
        <f>Github!F$1995+Github!G$1995</f>
        <v>203</v>
      </c>
      <c r="F1812" s="12">
        <f t="shared" si="1"/>
        <v>49.75</v>
      </c>
      <c r="G1812" s="10" t="str">
        <f>Github!H$1995</f>
        <v>Algorithms</v>
      </c>
      <c r="H1812" s="13" t="str">
        <f>SUBSTITUTE(Github!L$1995, ";", ", ")</f>
        <v>Array, Math, Dynamic Programming, Bit Manipulation, Bitmask, </v>
      </c>
      <c r="I1812" s="10" t="str">
        <f>Github!E$1995</f>
        <v>Hard</v>
      </c>
      <c r="J1812" s="10" t="str">
        <f>IF(TRIM(Github!D$1995)="TRUE","FALSE","TRUE")</f>
        <v>TRUE</v>
      </c>
      <c r="K1812" s="10" t="b">
        <f>Github!M$1995</f>
        <v>0</v>
      </c>
      <c r="L1812" s="10" t="b">
        <f>Github!N$1995</f>
        <v>0</v>
      </c>
      <c r="M1812" s="10" t="str">
        <f>ROUND(Github!O$1995, 2)&amp;"%"</f>
        <v>33.98%</v>
      </c>
      <c r="N1812" s="10">
        <f>Github!P$1995</f>
        <v>3451</v>
      </c>
      <c r="O1812" s="10">
        <f>Github!Q$1995</f>
        <v>10156</v>
      </c>
    </row>
    <row r="1813">
      <c r="A1813" s="10">
        <f>Github!J$2029</f>
        <v>2028</v>
      </c>
      <c r="B1813" s="11" t="str">
        <f>HYPERLINK(CONCAT("http://leetcode.com/problems/",Github!C$2029), Github!B$2029)</f>
        <v>Find Missing Observations</v>
      </c>
      <c r="C1813" s="10">
        <f>Github!F$2029</f>
        <v>198</v>
      </c>
      <c r="D1813" s="10">
        <f>Github!G$2029</f>
        <v>9</v>
      </c>
      <c r="E1813" s="10">
        <f>Github!F$2029+Github!G$2029</f>
        <v>207</v>
      </c>
      <c r="F1813" s="12">
        <f t="shared" si="1"/>
        <v>22</v>
      </c>
      <c r="G1813" s="10" t="str">
        <f>Github!H$2029</f>
        <v>Algorithms</v>
      </c>
      <c r="H1813" s="13" t="str">
        <f>SUBSTITUTE(Github!L$2029, ";", ", ")</f>
        <v>Array, Math, Simulation, </v>
      </c>
      <c r="I1813" s="10" t="str">
        <f>Github!E$2029</f>
        <v>Medium</v>
      </c>
      <c r="J1813" s="10" t="str">
        <f>IF(TRIM(Github!D$2029)="TRUE","FALSE","TRUE")</f>
        <v>TRUE</v>
      </c>
      <c r="K1813" s="10" t="b">
        <f>Github!M$2029</f>
        <v>0</v>
      </c>
      <c r="L1813" s="10" t="b">
        <f>Github!N$2029</f>
        <v>0</v>
      </c>
      <c r="M1813" s="10" t="str">
        <f>ROUND(Github!O$2029, 2)&amp;"%"</f>
        <v>41.56%</v>
      </c>
      <c r="N1813" s="10">
        <f>Github!P$2029</f>
        <v>12231</v>
      </c>
      <c r="O1813" s="10">
        <f>Github!Q$2029</f>
        <v>29432</v>
      </c>
    </row>
    <row r="1814">
      <c r="A1814" s="10">
        <f>Github!J$2133</f>
        <v>2132</v>
      </c>
      <c r="B1814" s="11" t="str">
        <f>HYPERLINK(CONCAT("http://leetcode.com/problems/",Github!C$2133), Github!B$2133)</f>
        <v>Stamping the Grid</v>
      </c>
      <c r="C1814" s="10">
        <f>Github!F$2133</f>
        <v>199</v>
      </c>
      <c r="D1814" s="10">
        <f>Github!G$2133</f>
        <v>17</v>
      </c>
      <c r="E1814" s="10">
        <f>Github!F$2133+Github!G$2133</f>
        <v>216</v>
      </c>
      <c r="F1814" s="12">
        <f t="shared" si="1"/>
        <v>11.71</v>
      </c>
      <c r="G1814" s="10" t="str">
        <f>Github!H$2133</f>
        <v>Algorithms</v>
      </c>
      <c r="H1814" s="13" t="str">
        <f>SUBSTITUTE(Github!L$2133, ";", ", ")</f>
        <v>Array, Greedy, Matrix, Prefix Sum, </v>
      </c>
      <c r="I1814" s="10" t="str">
        <f>Github!E$2133</f>
        <v>Hard</v>
      </c>
      <c r="J1814" s="10" t="str">
        <f>IF(TRIM(Github!D$2133)="TRUE","FALSE","TRUE")</f>
        <v>TRUE</v>
      </c>
      <c r="K1814" s="10" t="b">
        <f>Github!M$2133</f>
        <v>0</v>
      </c>
      <c r="L1814" s="10" t="b">
        <f>Github!N$2133</f>
        <v>0</v>
      </c>
      <c r="M1814" s="10" t="str">
        <f>ROUND(Github!O$2133, 2)&amp;"%"</f>
        <v>27.71%</v>
      </c>
      <c r="N1814" s="10">
        <f>Github!P$2133</f>
        <v>3133</v>
      </c>
      <c r="O1814" s="10">
        <f>Github!Q$2133</f>
        <v>11306</v>
      </c>
    </row>
    <row r="1815">
      <c r="A1815" s="10">
        <f>Github!J$1054</f>
        <v>1053</v>
      </c>
      <c r="B1815" s="11" t="str">
        <f>HYPERLINK(CONCAT("http://leetcode.com/problems/",Github!C$1054), Github!B$1054)</f>
        <v>Previous Permutation With One Swap</v>
      </c>
      <c r="C1815" s="10">
        <f>Github!F$1054</f>
        <v>197</v>
      </c>
      <c r="D1815" s="10">
        <f>Github!G$1054</f>
        <v>22</v>
      </c>
      <c r="E1815" s="10">
        <f>Github!F$1054+Github!G$1054</f>
        <v>219</v>
      </c>
      <c r="F1815" s="12">
        <f t="shared" si="1"/>
        <v>8.95</v>
      </c>
      <c r="G1815" s="10" t="str">
        <f>Github!H$1054</f>
        <v>Algorithms</v>
      </c>
      <c r="H1815" s="13" t="str">
        <f>SUBSTITUTE(Github!L$1054, ";", ", ")</f>
        <v>Array, Greedy, </v>
      </c>
      <c r="I1815" s="10" t="str">
        <f>Github!E$1054</f>
        <v>Medium</v>
      </c>
      <c r="J1815" s="10" t="str">
        <f>IF(TRIM(Github!D$1054)="TRUE","FALSE","TRUE")</f>
        <v>TRUE</v>
      </c>
      <c r="K1815" s="10" t="b">
        <f>Github!M$1054</f>
        <v>0</v>
      </c>
      <c r="L1815" s="10" t="b">
        <f>Github!N$1054</f>
        <v>0</v>
      </c>
      <c r="M1815" s="10" t="str">
        <f>ROUND(Github!O$1054, 2)&amp;"%"</f>
        <v>51.92%</v>
      </c>
      <c r="N1815" s="10">
        <f>Github!P$1054</f>
        <v>29574</v>
      </c>
      <c r="O1815" s="10">
        <f>Github!Q$1054</f>
        <v>56958</v>
      </c>
    </row>
    <row r="1816">
      <c r="A1816" s="10">
        <f>Github!J$1955</f>
        <v>1954</v>
      </c>
      <c r="B1816" s="11" t="str">
        <f>HYPERLINK(CONCAT("http://leetcode.com/problems/",Github!C$1955), Github!B$1955)</f>
        <v>Minimum Garden Perimeter to Collect Enough Apples</v>
      </c>
      <c r="C1816" s="10">
        <f>Github!F$1955</f>
        <v>197</v>
      </c>
      <c r="D1816" s="10">
        <f>Github!G$1955</f>
        <v>64</v>
      </c>
      <c r="E1816" s="10">
        <f>Github!F$1955+Github!G$1955</f>
        <v>261</v>
      </c>
      <c r="F1816" s="12">
        <f t="shared" si="1"/>
        <v>3.08</v>
      </c>
      <c r="G1816" s="10" t="str">
        <f>Github!H$1955</f>
        <v>Algorithms</v>
      </c>
      <c r="H1816" s="13" t="str">
        <f>SUBSTITUTE(Github!L$1955, ";", ", ")</f>
        <v>Math, Binary Search, </v>
      </c>
      <c r="I1816" s="10" t="str">
        <f>Github!E$1955</f>
        <v>Medium</v>
      </c>
      <c r="J1816" s="10" t="str">
        <f>IF(TRIM(Github!D$1955)="TRUE","FALSE","TRUE")</f>
        <v>TRUE</v>
      </c>
      <c r="K1816" s="10" t="b">
        <f>Github!M$1955</f>
        <v>0</v>
      </c>
      <c r="L1816" s="10" t="b">
        <f>Github!N$1955</f>
        <v>0</v>
      </c>
      <c r="M1816" s="10" t="str">
        <f>ROUND(Github!O$1955, 2)&amp;"%"</f>
        <v>52.42%</v>
      </c>
      <c r="N1816" s="10">
        <f>Github!P$1955</f>
        <v>10537</v>
      </c>
      <c r="O1816" s="10">
        <f>Github!Q$1955</f>
        <v>20101</v>
      </c>
    </row>
    <row r="1817">
      <c r="A1817" s="10">
        <f>Github!J$2120</f>
        <v>2119</v>
      </c>
      <c r="B1817" s="11" t="str">
        <f>HYPERLINK(CONCAT("http://leetcode.com/problems/",Github!C$2120), Github!B$2120)</f>
        <v>A Number After a Double Reversal</v>
      </c>
      <c r="C1817" s="10">
        <f>Github!F$2120</f>
        <v>197</v>
      </c>
      <c r="D1817" s="10">
        <f>Github!G$2120</f>
        <v>14</v>
      </c>
      <c r="E1817" s="10">
        <f>Github!F$2120+Github!G$2120</f>
        <v>211</v>
      </c>
      <c r="F1817" s="12">
        <f t="shared" si="1"/>
        <v>14.07</v>
      </c>
      <c r="G1817" s="10" t="str">
        <f>Github!H$2120</f>
        <v>Algorithms</v>
      </c>
      <c r="H1817" s="13" t="str">
        <f>SUBSTITUTE(Github!L$2120, ";", ", ")</f>
        <v>Math, </v>
      </c>
      <c r="I1817" s="10" t="str">
        <f>Github!E$2120</f>
        <v>Easy</v>
      </c>
      <c r="J1817" s="10" t="str">
        <f>IF(TRIM(Github!D$2120)="TRUE","FALSE","TRUE")</f>
        <v>TRUE</v>
      </c>
      <c r="K1817" s="10" t="b">
        <f>Github!M$2120</f>
        <v>0</v>
      </c>
      <c r="L1817" s="10" t="b">
        <f>Github!N$2120</f>
        <v>0</v>
      </c>
      <c r="M1817" s="10" t="str">
        <f>ROUND(Github!O$2120, 2)&amp;"%"</f>
        <v>77.16%</v>
      </c>
      <c r="N1817" s="10">
        <f>Github!P$2120</f>
        <v>24022</v>
      </c>
      <c r="O1817" s="10">
        <f>Github!Q$2120</f>
        <v>31131</v>
      </c>
    </row>
    <row r="1818">
      <c r="A1818" s="10">
        <f>Github!J$1391</f>
        <v>1390</v>
      </c>
      <c r="B1818" s="11" t="str">
        <f>HYPERLINK(CONCAT("http://leetcode.com/problems/",Github!C$1391), Github!B$1391)</f>
        <v>Four Divisors</v>
      </c>
      <c r="C1818" s="10">
        <f>Github!F$1391</f>
        <v>196</v>
      </c>
      <c r="D1818" s="10">
        <f>Github!G$1391</f>
        <v>143</v>
      </c>
      <c r="E1818" s="10">
        <f>Github!F$1391+Github!G$1391</f>
        <v>339</v>
      </c>
      <c r="F1818" s="12">
        <f t="shared" si="1"/>
        <v>1.37</v>
      </c>
      <c r="G1818" s="10" t="str">
        <f>Github!H$1391</f>
        <v>Algorithms</v>
      </c>
      <c r="H1818" s="13" t="str">
        <f>SUBSTITUTE(Github!L$1391, ";", ", ")</f>
        <v>Array, Math, </v>
      </c>
      <c r="I1818" s="10" t="str">
        <f>Github!E$1391</f>
        <v>Medium</v>
      </c>
      <c r="J1818" s="10" t="str">
        <f>IF(TRIM(Github!D$1391)="TRUE","FALSE","TRUE")</f>
        <v>TRUE</v>
      </c>
      <c r="K1818" s="10" t="b">
        <f>Github!M$1391</f>
        <v>0</v>
      </c>
      <c r="L1818" s="10" t="b">
        <f>Github!N$1391</f>
        <v>0</v>
      </c>
      <c r="M1818" s="10" t="str">
        <f>ROUND(Github!O$1391, 2)&amp;"%"</f>
        <v>40.65%</v>
      </c>
      <c r="N1818" s="10">
        <f>Github!P$1391</f>
        <v>19574</v>
      </c>
      <c r="O1818" s="10">
        <f>Github!Q$1391</f>
        <v>48149</v>
      </c>
    </row>
    <row r="1819">
      <c r="A1819" s="10">
        <f>Github!J$1561</f>
        <v>1560</v>
      </c>
      <c r="B1819" s="11" t="str">
        <f>HYPERLINK(CONCAT("http://leetcode.com/problems/",Github!C$1561), Github!B$1561)</f>
        <v>Most Visited Sector in  a Circular Track</v>
      </c>
      <c r="C1819" s="10">
        <f>Github!F$1561</f>
        <v>196</v>
      </c>
      <c r="D1819" s="10">
        <f>Github!G$1561</f>
        <v>414</v>
      </c>
      <c r="E1819" s="10">
        <f>Github!F$1561+Github!G$1561</f>
        <v>610</v>
      </c>
      <c r="F1819" s="12">
        <f t="shared" si="1"/>
        <v>0.47</v>
      </c>
      <c r="G1819" s="10" t="str">
        <f>Github!H$1561</f>
        <v>Algorithms</v>
      </c>
      <c r="H1819" s="13" t="str">
        <f>SUBSTITUTE(Github!L$1561, ";", ", ")</f>
        <v>Array, Simulation, </v>
      </c>
      <c r="I1819" s="10" t="str">
        <f>Github!E$1561</f>
        <v>Easy</v>
      </c>
      <c r="J1819" s="10" t="str">
        <f>IF(TRIM(Github!D$1561)="TRUE","FALSE","TRUE")</f>
        <v>TRUE</v>
      </c>
      <c r="K1819" s="10" t="b">
        <f>Github!M$1561</f>
        <v>0</v>
      </c>
      <c r="L1819" s="10" t="b">
        <f>Github!N$1561</f>
        <v>0</v>
      </c>
      <c r="M1819" s="10" t="str">
        <f>ROUND(Github!O$1561, 2)&amp;"%"</f>
        <v>58%</v>
      </c>
      <c r="N1819" s="10">
        <f>Github!P$1561</f>
        <v>20600</v>
      </c>
      <c r="O1819" s="10">
        <f>Github!Q$1561</f>
        <v>35515</v>
      </c>
    </row>
    <row r="1820">
      <c r="A1820" s="10">
        <f>Github!J$1695</f>
        <v>1694</v>
      </c>
      <c r="B1820" s="11" t="str">
        <f>HYPERLINK(CONCAT("http://leetcode.com/problems/",Github!C$1695), Github!B$1695)</f>
        <v>Reformat Phone Number</v>
      </c>
      <c r="C1820" s="10">
        <f>Github!F$1695</f>
        <v>195</v>
      </c>
      <c r="D1820" s="10">
        <f>Github!G$1695</f>
        <v>153</v>
      </c>
      <c r="E1820" s="10">
        <f>Github!F$1695+Github!G$1695</f>
        <v>348</v>
      </c>
      <c r="F1820" s="12">
        <f t="shared" si="1"/>
        <v>1.27</v>
      </c>
      <c r="G1820" s="10" t="str">
        <f>Github!H$1695</f>
        <v>Algorithms</v>
      </c>
      <c r="H1820" s="13" t="str">
        <f>SUBSTITUTE(Github!L$1695, ";", ", ")</f>
        <v>String, </v>
      </c>
      <c r="I1820" s="10" t="str">
        <f>Github!E$1695</f>
        <v>Easy</v>
      </c>
      <c r="J1820" s="10" t="str">
        <f>IF(TRIM(Github!D$1695)="TRUE","FALSE","TRUE")</f>
        <v>TRUE</v>
      </c>
      <c r="K1820" s="10" t="b">
        <f>Github!M$1695</f>
        <v>0</v>
      </c>
      <c r="L1820" s="10" t="b">
        <f>Github!N$1695</f>
        <v>0</v>
      </c>
      <c r="M1820" s="10" t="str">
        <f>ROUND(Github!O$1695, 2)&amp;"%"</f>
        <v>65.16%</v>
      </c>
      <c r="N1820" s="10">
        <f>Github!P$1695</f>
        <v>23473</v>
      </c>
      <c r="O1820" s="10">
        <f>Github!Q$1695</f>
        <v>36025</v>
      </c>
    </row>
    <row r="1821">
      <c r="A1821" s="10">
        <f>Github!J$1869</f>
        <v>1868</v>
      </c>
      <c r="B1821" s="11" t="str">
        <f>HYPERLINK(CONCAT("http://leetcode.com/problems/",Github!C$1869), Github!B$1869)</f>
        <v>Product of Two Run-Length Encoded Arrays</v>
      </c>
      <c r="C1821" s="10">
        <f>Github!F$1869</f>
        <v>195</v>
      </c>
      <c r="D1821" s="10">
        <f>Github!G$1869</f>
        <v>26</v>
      </c>
      <c r="E1821" s="10">
        <f>Github!F$1869+Github!G$1869</f>
        <v>221</v>
      </c>
      <c r="F1821" s="12">
        <f t="shared" si="1"/>
        <v>7.5</v>
      </c>
      <c r="G1821" s="10" t="str">
        <f>Github!H$1869</f>
        <v>Algorithms</v>
      </c>
      <c r="H1821" s="13" t="str">
        <f>SUBSTITUTE(Github!L$1869, ";", ", ")</f>
        <v>Array, Two Pointers, </v>
      </c>
      <c r="I1821" s="10" t="str">
        <f>Github!E$1869</f>
        <v>Medium</v>
      </c>
      <c r="J1821" s="10" t="str">
        <f>IF(TRIM(Github!D$1869)="TRUE","FALSE","TRUE")</f>
        <v>FALSE</v>
      </c>
      <c r="K1821" s="10" t="b">
        <f>Github!M$1869</f>
        <v>0</v>
      </c>
      <c r="L1821" s="10" t="b">
        <f>Github!N$1869</f>
        <v>0</v>
      </c>
      <c r="M1821" s="10" t="str">
        <f>ROUND(Github!O$1869, 2)&amp;"%"</f>
        <v>58.39%</v>
      </c>
      <c r="N1821" s="10">
        <f>Github!P$1869</f>
        <v>15958</v>
      </c>
      <c r="O1821" s="10">
        <f>Github!Q$1869</f>
        <v>27332</v>
      </c>
    </row>
    <row r="1822">
      <c r="A1822" s="10">
        <f>Github!J$1994</f>
        <v>1993</v>
      </c>
      <c r="B1822" s="11" t="str">
        <f>HYPERLINK(CONCAT("http://leetcode.com/problems/",Github!C$1994), Github!B$1994)</f>
        <v>Operations on Tree</v>
      </c>
      <c r="C1822" s="10">
        <f>Github!F$1994</f>
        <v>195</v>
      </c>
      <c r="D1822" s="10">
        <f>Github!G$1994</f>
        <v>35</v>
      </c>
      <c r="E1822" s="10">
        <f>Github!F$1994+Github!G$1994</f>
        <v>230</v>
      </c>
      <c r="F1822" s="12">
        <f t="shared" si="1"/>
        <v>5.57</v>
      </c>
      <c r="G1822" s="10" t="str">
        <f>Github!H$1994</f>
        <v>Algorithms</v>
      </c>
      <c r="H1822" s="13" t="str">
        <f>SUBSTITUTE(Github!L$1994, ";", ", ")</f>
        <v>Hash Table, Tree, Breadth-First Search, Design, </v>
      </c>
      <c r="I1822" s="10" t="str">
        <f>Github!E$1994</f>
        <v>Medium</v>
      </c>
      <c r="J1822" s="10" t="str">
        <f>IF(TRIM(Github!D$1994)="TRUE","FALSE","TRUE")</f>
        <v>TRUE</v>
      </c>
      <c r="K1822" s="10" t="b">
        <f>Github!M$1994</f>
        <v>0</v>
      </c>
      <c r="L1822" s="10" t="b">
        <f>Github!N$1994</f>
        <v>0</v>
      </c>
      <c r="M1822" s="10" t="str">
        <f>ROUND(Github!O$1994, 2)&amp;"%"</f>
        <v>41.86%</v>
      </c>
      <c r="N1822" s="10">
        <f>Github!P$1994</f>
        <v>6302</v>
      </c>
      <c r="O1822" s="10">
        <f>Github!Q$1994</f>
        <v>15054</v>
      </c>
    </row>
    <row r="1823">
      <c r="A1823" s="10">
        <f>Github!J$2095</f>
        <v>2094</v>
      </c>
      <c r="B1823" s="11" t="str">
        <f>HYPERLINK(CONCAT("http://leetcode.com/problems/",Github!C$2095), Github!B$2095)</f>
        <v>Finding 3-Digit Even Numbers</v>
      </c>
      <c r="C1823" s="10">
        <f>Github!F$2095</f>
        <v>196</v>
      </c>
      <c r="D1823" s="10">
        <f>Github!G$2095</f>
        <v>164</v>
      </c>
      <c r="E1823" s="10">
        <f>Github!F$2095+Github!G$2095</f>
        <v>360</v>
      </c>
      <c r="F1823" s="12">
        <f t="shared" si="1"/>
        <v>1.2</v>
      </c>
      <c r="G1823" s="10" t="str">
        <f>Github!H$2095</f>
        <v>Algorithms</v>
      </c>
      <c r="H1823" s="13" t="str">
        <f>SUBSTITUTE(Github!L$2095, ";", ", ")</f>
        <v>Array, Hash Table, Sorting, Enumeration, </v>
      </c>
      <c r="I1823" s="10" t="str">
        <f>Github!E$2095</f>
        <v>Easy</v>
      </c>
      <c r="J1823" s="10" t="str">
        <f>IF(TRIM(Github!D$2095)="TRUE","FALSE","TRUE")</f>
        <v>TRUE</v>
      </c>
      <c r="K1823" s="10" t="b">
        <f>Github!M$2095</f>
        <v>0</v>
      </c>
      <c r="L1823" s="10" t="b">
        <f>Github!N$2095</f>
        <v>0</v>
      </c>
      <c r="M1823" s="10" t="str">
        <f>ROUND(Github!O$2095, 2)&amp;"%"</f>
        <v>55.95%</v>
      </c>
      <c r="N1823" s="10">
        <f>Github!P$2095</f>
        <v>14043</v>
      </c>
      <c r="O1823" s="10">
        <f>Github!Q$2095</f>
        <v>25100</v>
      </c>
    </row>
    <row r="1824">
      <c r="A1824" s="10">
        <f>Github!J$1807</f>
        <v>1806</v>
      </c>
      <c r="B1824" s="11" t="str">
        <f>HYPERLINK(CONCAT("http://leetcode.com/problems/",Github!C$1807), Github!B$1807)</f>
        <v>Minimum Number of Operations to Reinitialize a Permutation</v>
      </c>
      <c r="C1824" s="10">
        <f>Github!F$1807</f>
        <v>194</v>
      </c>
      <c r="D1824" s="10">
        <f>Github!G$1807</f>
        <v>107</v>
      </c>
      <c r="E1824" s="10">
        <f>Github!F$1807+Github!G$1807</f>
        <v>301</v>
      </c>
      <c r="F1824" s="12">
        <f t="shared" si="1"/>
        <v>1.81</v>
      </c>
      <c r="G1824" s="10" t="str">
        <f>Github!H$1807</f>
        <v>Algorithms</v>
      </c>
      <c r="H1824" s="13" t="str">
        <f>SUBSTITUTE(Github!L$1807, ";", ", ")</f>
        <v>Array, Math, Simulation, </v>
      </c>
      <c r="I1824" s="10" t="str">
        <f>Github!E$1807</f>
        <v>Medium</v>
      </c>
      <c r="J1824" s="10" t="str">
        <f>IF(TRIM(Github!D$1807)="TRUE","FALSE","TRUE")</f>
        <v>TRUE</v>
      </c>
      <c r="K1824" s="10" t="b">
        <f>Github!M$1807</f>
        <v>0</v>
      </c>
      <c r="L1824" s="10" t="b">
        <f>Github!N$1807</f>
        <v>0</v>
      </c>
      <c r="M1824" s="10" t="str">
        <f>ROUND(Github!O$1807, 2)&amp;"%"</f>
        <v>70.87%</v>
      </c>
      <c r="N1824" s="10">
        <f>Github!P$1807</f>
        <v>12620</v>
      </c>
      <c r="O1824" s="10">
        <f>Github!Q$1807</f>
        <v>17807</v>
      </c>
    </row>
    <row r="1825">
      <c r="A1825" s="10">
        <f>Github!J$1765</f>
        <v>1764</v>
      </c>
      <c r="B1825" s="11" t="str">
        <f>HYPERLINK(CONCAT("http://leetcode.com/problems/",Github!C$1765), Github!B$1765)</f>
        <v>Form Array by Concatenating Subarrays of Another Array</v>
      </c>
      <c r="C1825" s="10">
        <f>Github!F$1765</f>
        <v>193</v>
      </c>
      <c r="D1825" s="10">
        <f>Github!G$1765</f>
        <v>21</v>
      </c>
      <c r="E1825" s="10">
        <f>Github!F$1765+Github!G$1765</f>
        <v>214</v>
      </c>
      <c r="F1825" s="12">
        <f t="shared" si="1"/>
        <v>9.19</v>
      </c>
      <c r="G1825" s="10" t="str">
        <f>Github!H$1765</f>
        <v>Algorithms</v>
      </c>
      <c r="H1825" s="13" t="str">
        <f>SUBSTITUTE(Github!L$1765, ";", ", ")</f>
        <v>Array, Greedy, String Matching, </v>
      </c>
      <c r="I1825" s="10" t="str">
        <f>Github!E$1765</f>
        <v>Medium</v>
      </c>
      <c r="J1825" s="10" t="str">
        <f>IF(TRIM(Github!D$1765)="TRUE","FALSE","TRUE")</f>
        <v>TRUE</v>
      </c>
      <c r="K1825" s="10" t="b">
        <f>Github!M$1765</f>
        <v>0</v>
      </c>
      <c r="L1825" s="10" t="b">
        <f>Github!N$1765</f>
        <v>0</v>
      </c>
      <c r="M1825" s="10" t="str">
        <f>ROUND(Github!O$1765, 2)&amp;"%"</f>
        <v>52.93%</v>
      </c>
      <c r="N1825" s="10">
        <f>Github!P$1765</f>
        <v>9989</v>
      </c>
      <c r="O1825" s="10">
        <f>Github!Q$1765</f>
        <v>18871</v>
      </c>
    </row>
    <row r="1826">
      <c r="A1826" s="10">
        <f>Github!J$2145</f>
        <v>2144</v>
      </c>
      <c r="B1826" s="11" t="str">
        <f>HYPERLINK(CONCAT("http://leetcode.com/problems/",Github!C$2145), Github!B$2145)</f>
        <v>Minimum Cost of Buying Candies With Discount</v>
      </c>
      <c r="C1826" s="10">
        <f>Github!F$2145</f>
        <v>193</v>
      </c>
      <c r="D1826" s="10">
        <f>Github!G$2145</f>
        <v>8</v>
      </c>
      <c r="E1826" s="10">
        <f>Github!F$2145+Github!G$2145</f>
        <v>201</v>
      </c>
      <c r="F1826" s="12">
        <f t="shared" si="1"/>
        <v>24.13</v>
      </c>
      <c r="G1826" s="10" t="str">
        <f>Github!H$2145</f>
        <v>Algorithms</v>
      </c>
      <c r="H1826" s="13" t="str">
        <f>SUBSTITUTE(Github!L$2145, ";", ", ")</f>
        <v>Array, Greedy, Sorting, </v>
      </c>
      <c r="I1826" s="10" t="str">
        <f>Github!E$2145</f>
        <v>Easy</v>
      </c>
      <c r="J1826" s="10" t="str">
        <f>IF(TRIM(Github!D$2145)="TRUE","FALSE","TRUE")</f>
        <v>TRUE</v>
      </c>
      <c r="K1826" s="10" t="b">
        <f>Github!M$2145</f>
        <v>0</v>
      </c>
      <c r="L1826" s="10" t="b">
        <f>Github!N$2145</f>
        <v>0</v>
      </c>
      <c r="M1826" s="10" t="str">
        <f>ROUND(Github!O$2145, 2)&amp;"%"</f>
        <v>60.52%</v>
      </c>
      <c r="N1826" s="10">
        <f>Github!P$2145</f>
        <v>19038</v>
      </c>
      <c r="O1826" s="10">
        <f>Github!Q$2145</f>
        <v>31458</v>
      </c>
    </row>
    <row r="1827">
      <c r="A1827" s="10">
        <f>Github!J$1211</f>
        <v>1210</v>
      </c>
      <c r="B1827" s="11" t="str">
        <f>HYPERLINK(CONCAT("http://leetcode.com/problems/",Github!C$1211), Github!B$1211)</f>
        <v>Minimum Moves to Reach Target with Rotations</v>
      </c>
      <c r="C1827" s="10">
        <f>Github!F$1211</f>
        <v>192</v>
      </c>
      <c r="D1827" s="10">
        <f>Github!G$1211</f>
        <v>56</v>
      </c>
      <c r="E1827" s="10">
        <f>Github!F$1211+Github!G$1211</f>
        <v>248</v>
      </c>
      <c r="F1827" s="12">
        <f t="shared" si="1"/>
        <v>3.43</v>
      </c>
      <c r="G1827" s="10" t="str">
        <f>Github!H$1211</f>
        <v>Algorithms</v>
      </c>
      <c r="H1827" s="13" t="str">
        <f>SUBSTITUTE(Github!L$1211, ";", ", ")</f>
        <v>Array, Breadth-First Search, Matrix, </v>
      </c>
      <c r="I1827" s="10" t="str">
        <f>Github!E$1211</f>
        <v>Hard</v>
      </c>
      <c r="J1827" s="10" t="str">
        <f>IF(TRIM(Github!D$1211)="TRUE","FALSE","TRUE")</f>
        <v>TRUE</v>
      </c>
      <c r="K1827" s="10" t="b">
        <f>Github!M$1211</f>
        <v>0</v>
      </c>
      <c r="L1827" s="10" t="b">
        <f>Github!N$1211</f>
        <v>0</v>
      </c>
      <c r="M1827" s="10" t="str">
        <f>ROUND(Github!O$1211, 2)&amp;"%"</f>
        <v>47.93%</v>
      </c>
      <c r="N1827" s="10">
        <f>Github!P$1211</f>
        <v>7078</v>
      </c>
      <c r="O1827" s="10">
        <f>Github!Q$1211</f>
        <v>14767</v>
      </c>
    </row>
    <row r="1828">
      <c r="A1828" s="10">
        <f>Github!J$1740</f>
        <v>1739</v>
      </c>
      <c r="B1828" s="11" t="str">
        <f>HYPERLINK(CONCAT("http://leetcode.com/problems/",Github!C$1740), Github!B$1740)</f>
        <v>Building Boxes</v>
      </c>
      <c r="C1828" s="10">
        <f>Github!F$1740</f>
        <v>192</v>
      </c>
      <c r="D1828" s="10">
        <f>Github!G$1740</f>
        <v>33</v>
      </c>
      <c r="E1828" s="10">
        <f>Github!F$1740+Github!G$1740</f>
        <v>225</v>
      </c>
      <c r="F1828" s="12">
        <f t="shared" si="1"/>
        <v>5.82</v>
      </c>
      <c r="G1828" s="10" t="str">
        <f>Github!H$1740</f>
        <v>Algorithms</v>
      </c>
      <c r="H1828" s="13" t="str">
        <f>SUBSTITUTE(Github!L$1740, ";", ", ")</f>
        <v>Math, Binary Search, Greedy, </v>
      </c>
      <c r="I1828" s="10" t="str">
        <f>Github!E$1740</f>
        <v>Hard</v>
      </c>
      <c r="J1828" s="10" t="str">
        <f>IF(TRIM(Github!D$1740)="TRUE","FALSE","TRUE")</f>
        <v>TRUE</v>
      </c>
      <c r="K1828" s="10" t="b">
        <f>Github!M$1740</f>
        <v>0</v>
      </c>
      <c r="L1828" s="10" t="b">
        <f>Github!N$1740</f>
        <v>0</v>
      </c>
      <c r="M1828" s="10" t="str">
        <f>ROUND(Github!O$1740, 2)&amp;"%"</f>
        <v>50.67%</v>
      </c>
      <c r="N1828" s="10">
        <f>Github!P$1740</f>
        <v>4708</v>
      </c>
      <c r="O1828" s="10">
        <f>Github!Q$1740</f>
        <v>9292</v>
      </c>
    </row>
    <row r="1829">
      <c r="A1829" s="10">
        <f>Github!J$1783</f>
        <v>1782</v>
      </c>
      <c r="B1829" s="11" t="str">
        <f>HYPERLINK(CONCAT("http://leetcode.com/problems/",Github!C$1783), Github!B$1783)</f>
        <v>Count Pairs Of Nodes</v>
      </c>
      <c r="C1829" s="10">
        <f>Github!F$1783</f>
        <v>192</v>
      </c>
      <c r="D1829" s="10">
        <f>Github!G$1783</f>
        <v>122</v>
      </c>
      <c r="E1829" s="10">
        <f>Github!F$1783+Github!G$1783</f>
        <v>314</v>
      </c>
      <c r="F1829" s="12">
        <f t="shared" si="1"/>
        <v>1.57</v>
      </c>
      <c r="G1829" s="10" t="str">
        <f>Github!H$1783</f>
        <v>Algorithms</v>
      </c>
      <c r="H1829" s="13" t="str">
        <f>SUBSTITUTE(Github!L$1783, ";", ", ")</f>
        <v>Two Pointers, Binary Search, Graph, </v>
      </c>
      <c r="I1829" s="10" t="str">
        <f>Github!E$1783</f>
        <v>Hard</v>
      </c>
      <c r="J1829" s="10" t="str">
        <f>IF(TRIM(Github!D$1783)="TRUE","FALSE","TRUE")</f>
        <v>TRUE</v>
      </c>
      <c r="K1829" s="10" t="b">
        <f>Github!M$1783</f>
        <v>0</v>
      </c>
      <c r="L1829" s="10" t="b">
        <f>Github!N$1783</f>
        <v>0</v>
      </c>
      <c r="M1829" s="10" t="str">
        <f>ROUND(Github!O$1783, 2)&amp;"%"</f>
        <v>37.1%</v>
      </c>
      <c r="N1829" s="10">
        <f>Github!P$1783</f>
        <v>4197</v>
      </c>
      <c r="O1829" s="10">
        <f>Github!Q$1783</f>
        <v>11313</v>
      </c>
    </row>
    <row r="1830">
      <c r="A1830" s="10">
        <f>Github!J$1468</f>
        <v>1467</v>
      </c>
      <c r="B1830" s="11" t="str">
        <f>HYPERLINK(CONCAT("http://leetcode.com/problems/",Github!C$1468), Github!B$1468)</f>
        <v>Probability of a Two Boxes Having The Same Number of Distinct Balls</v>
      </c>
      <c r="C1830" s="10">
        <f>Github!F$1468</f>
        <v>191</v>
      </c>
      <c r="D1830" s="10">
        <f>Github!G$1468</f>
        <v>140</v>
      </c>
      <c r="E1830" s="10">
        <f>Github!F$1468+Github!G$1468</f>
        <v>331</v>
      </c>
      <c r="F1830" s="12">
        <f t="shared" si="1"/>
        <v>1.36</v>
      </c>
      <c r="G1830" s="10" t="str">
        <f>Github!H$1468</f>
        <v>Algorithms</v>
      </c>
      <c r="H1830" s="13" t="str">
        <f>SUBSTITUTE(Github!L$1468, ";", ", ")</f>
        <v>Math, Dynamic Programming, Backtracking, Combinatorics, Probability and Statistics, </v>
      </c>
      <c r="I1830" s="10" t="str">
        <f>Github!E$1468</f>
        <v>Hard</v>
      </c>
      <c r="J1830" s="10" t="str">
        <f>IF(TRIM(Github!D$1468)="TRUE","FALSE","TRUE")</f>
        <v>TRUE</v>
      </c>
      <c r="K1830" s="10" t="b">
        <f>Github!M$1468</f>
        <v>0</v>
      </c>
      <c r="L1830" s="10" t="b">
        <f>Github!N$1468</f>
        <v>0</v>
      </c>
      <c r="M1830" s="10" t="str">
        <f>ROUND(Github!O$1468, 2)&amp;"%"</f>
        <v>60.78%</v>
      </c>
      <c r="N1830" s="10">
        <f>Github!P$1468</f>
        <v>5832</v>
      </c>
      <c r="O1830" s="10">
        <f>Github!Q$1468</f>
        <v>9596</v>
      </c>
    </row>
    <row r="1831">
      <c r="A1831" s="10">
        <f>Github!J$1737</f>
        <v>1736</v>
      </c>
      <c r="B1831" s="11" t="str">
        <f>HYPERLINK(CONCAT("http://leetcode.com/problems/",Github!C$1737), Github!B$1737)</f>
        <v>Latest Time by Replacing Hidden Digits</v>
      </c>
      <c r="C1831" s="10">
        <f>Github!F$1737</f>
        <v>191</v>
      </c>
      <c r="D1831" s="10">
        <f>Github!G$1737</f>
        <v>112</v>
      </c>
      <c r="E1831" s="10">
        <f>Github!F$1737+Github!G$1737</f>
        <v>303</v>
      </c>
      <c r="F1831" s="12">
        <f t="shared" si="1"/>
        <v>1.71</v>
      </c>
      <c r="G1831" s="10" t="str">
        <f>Github!H$1737</f>
        <v>Algorithms</v>
      </c>
      <c r="H1831" s="13" t="str">
        <f>SUBSTITUTE(Github!L$1737, ";", ", ")</f>
        <v>String, Greedy, </v>
      </c>
      <c r="I1831" s="10" t="str">
        <f>Github!E$1737</f>
        <v>Easy</v>
      </c>
      <c r="J1831" s="10" t="str">
        <f>IF(TRIM(Github!D$1737)="TRUE","FALSE","TRUE")</f>
        <v>TRUE</v>
      </c>
      <c r="K1831" s="10" t="b">
        <f>Github!M$1737</f>
        <v>0</v>
      </c>
      <c r="L1831" s="10" t="b">
        <f>Github!N$1737</f>
        <v>0</v>
      </c>
      <c r="M1831" s="10" t="str">
        <f>ROUND(Github!O$1737, 2)&amp;"%"</f>
        <v>41.94%</v>
      </c>
      <c r="N1831" s="10">
        <f>Github!P$1737</f>
        <v>21320</v>
      </c>
      <c r="O1831" s="10">
        <f>Github!Q$1737</f>
        <v>50837</v>
      </c>
    </row>
    <row r="1832">
      <c r="A1832" s="10">
        <f>Github!J$1847</f>
        <v>1846</v>
      </c>
      <c r="B1832" s="11" t="str">
        <f>HYPERLINK(CONCAT("http://leetcode.com/problems/",Github!C$1847), Github!B$1847)</f>
        <v>Maximum Element After Decreasing and Rearranging</v>
      </c>
      <c r="C1832" s="10">
        <f>Github!F$1847</f>
        <v>191</v>
      </c>
      <c r="D1832" s="10">
        <f>Github!G$1847</f>
        <v>43</v>
      </c>
      <c r="E1832" s="10">
        <f>Github!F$1847+Github!G$1847</f>
        <v>234</v>
      </c>
      <c r="F1832" s="12">
        <f t="shared" si="1"/>
        <v>4.44</v>
      </c>
      <c r="G1832" s="10" t="str">
        <f>Github!H$1847</f>
        <v>Algorithms</v>
      </c>
      <c r="H1832" s="13" t="str">
        <f>SUBSTITUTE(Github!L$1847, ";", ", ")</f>
        <v>Array, Greedy, Sorting, </v>
      </c>
      <c r="I1832" s="10" t="str">
        <f>Github!E$1847</f>
        <v>Medium</v>
      </c>
      <c r="J1832" s="10" t="str">
        <f>IF(TRIM(Github!D$1847)="TRUE","FALSE","TRUE")</f>
        <v>TRUE</v>
      </c>
      <c r="K1832" s="10" t="b">
        <f>Github!M$1847</f>
        <v>0</v>
      </c>
      <c r="L1832" s="10" t="b">
        <f>Github!N$1847</f>
        <v>0</v>
      </c>
      <c r="M1832" s="10" t="str">
        <f>ROUND(Github!O$1847, 2)&amp;"%"</f>
        <v>57.42%</v>
      </c>
      <c r="N1832" s="10">
        <f>Github!P$1847</f>
        <v>12998</v>
      </c>
      <c r="O1832" s="10">
        <f>Github!Q$1847</f>
        <v>22635</v>
      </c>
    </row>
    <row r="1833">
      <c r="A1833" s="10">
        <f>Github!J$2178</f>
        <v>2177</v>
      </c>
      <c r="B1833" s="11" t="str">
        <f>HYPERLINK(CONCAT("http://leetcode.com/problems/",Github!C$2178), Github!B$2178)</f>
        <v>Find Three Consecutive Integers That Sum to a Given Number</v>
      </c>
      <c r="C1833" s="10">
        <f>Github!F$2178</f>
        <v>193</v>
      </c>
      <c r="D1833" s="10">
        <f>Github!G$2178</f>
        <v>41</v>
      </c>
      <c r="E1833" s="10">
        <f>Github!F$2178+Github!G$2178</f>
        <v>234</v>
      </c>
      <c r="F1833" s="12">
        <f t="shared" si="1"/>
        <v>4.71</v>
      </c>
      <c r="G1833" s="10" t="str">
        <f>Github!H$2178</f>
        <v>Algorithms</v>
      </c>
      <c r="H1833" s="13" t="str">
        <f>SUBSTITUTE(Github!L$2178, ";", ", ")</f>
        <v>Math, Simulation, </v>
      </c>
      <c r="I1833" s="10" t="str">
        <f>Github!E$2178</f>
        <v>Medium</v>
      </c>
      <c r="J1833" s="10" t="str">
        <f>IF(TRIM(Github!D$2178)="TRUE","FALSE","TRUE")</f>
        <v>TRUE</v>
      </c>
      <c r="K1833" s="10" t="b">
        <f>Github!M$2178</f>
        <v>0</v>
      </c>
      <c r="L1833" s="10" t="b">
        <f>Github!N$2178</f>
        <v>0</v>
      </c>
      <c r="M1833" s="10" t="str">
        <f>ROUND(Github!O$2178, 2)&amp;"%"</f>
        <v>59.61%</v>
      </c>
      <c r="N1833" s="10">
        <f>Github!P$2178</f>
        <v>16696</v>
      </c>
      <c r="O1833" s="10">
        <f>Github!Q$2178</f>
        <v>28008</v>
      </c>
    </row>
    <row r="1834">
      <c r="A1834" s="10">
        <f>Github!J$1826</f>
        <v>1825</v>
      </c>
      <c r="B1834" s="11" t="str">
        <f>HYPERLINK(CONCAT("http://leetcode.com/problems/",Github!C$1826), Github!B$1826)</f>
        <v>Finding MK Average</v>
      </c>
      <c r="C1834" s="10">
        <f>Github!F$1826</f>
        <v>190</v>
      </c>
      <c r="D1834" s="10">
        <f>Github!G$1826</f>
        <v>79</v>
      </c>
      <c r="E1834" s="10">
        <f>Github!F$1826+Github!G$1826</f>
        <v>269</v>
      </c>
      <c r="F1834" s="12">
        <f t="shared" si="1"/>
        <v>2.41</v>
      </c>
      <c r="G1834" s="10" t="str">
        <f>Github!H$1826</f>
        <v>Algorithms</v>
      </c>
      <c r="H1834" s="13" t="str">
        <f>SUBSTITUTE(Github!L$1826, ";", ", ")</f>
        <v>Design, Queue, Heap (Priority Queue), Ordered Set, </v>
      </c>
      <c r="I1834" s="10" t="str">
        <f>Github!E$1826</f>
        <v>Hard</v>
      </c>
      <c r="J1834" s="10" t="str">
        <f>IF(TRIM(Github!D$1826)="TRUE","FALSE","TRUE")</f>
        <v>TRUE</v>
      </c>
      <c r="K1834" s="10" t="b">
        <f>Github!M$1826</f>
        <v>0</v>
      </c>
      <c r="L1834" s="10" t="b">
        <f>Github!N$1826</f>
        <v>0</v>
      </c>
      <c r="M1834" s="10" t="str">
        <f>ROUND(Github!O$1826, 2)&amp;"%"</f>
        <v>32.9%</v>
      </c>
      <c r="N1834" s="10">
        <f>Github!P$1826</f>
        <v>6489</v>
      </c>
      <c r="O1834" s="10">
        <f>Github!Q$1826</f>
        <v>19724</v>
      </c>
    </row>
    <row r="1835">
      <c r="A1835" s="10">
        <f>Github!J$2039</f>
        <v>2038</v>
      </c>
      <c r="B1835" s="11" t="str">
        <f>HYPERLINK(CONCAT("http://leetcode.com/problems/",Github!C$2039), Github!B$2039)</f>
        <v>Remove Colored Pieces if Both Neighbors are the Same Color</v>
      </c>
      <c r="C1835" s="10">
        <f>Github!F$2039</f>
        <v>190</v>
      </c>
      <c r="D1835" s="10">
        <f>Github!G$2039</f>
        <v>16</v>
      </c>
      <c r="E1835" s="10">
        <f>Github!F$2039+Github!G$2039</f>
        <v>206</v>
      </c>
      <c r="F1835" s="12">
        <f t="shared" si="1"/>
        <v>11.88</v>
      </c>
      <c r="G1835" s="10" t="str">
        <f>Github!H$2039</f>
        <v>Algorithms</v>
      </c>
      <c r="H1835" s="13" t="str">
        <f>SUBSTITUTE(Github!L$2039, ";", ", ")</f>
        <v>Math, String, Greedy, Game Theory, </v>
      </c>
      <c r="I1835" s="10" t="str">
        <f>Github!E$2039</f>
        <v>Medium</v>
      </c>
      <c r="J1835" s="10" t="str">
        <f>IF(TRIM(Github!D$2039)="TRUE","FALSE","TRUE")</f>
        <v>TRUE</v>
      </c>
      <c r="K1835" s="10" t="b">
        <f>Github!M$2039</f>
        <v>0</v>
      </c>
      <c r="L1835" s="10" t="b">
        <f>Github!N$2039</f>
        <v>0</v>
      </c>
      <c r="M1835" s="10" t="str">
        <f>ROUND(Github!O$2039, 2)&amp;"%"</f>
        <v>55.21%</v>
      </c>
      <c r="N1835" s="10">
        <f>Github!P$2039</f>
        <v>10027</v>
      </c>
      <c r="O1835" s="10">
        <f>Github!Q$2039</f>
        <v>18162</v>
      </c>
    </row>
    <row r="1836">
      <c r="A1836" s="10">
        <f>Github!J$586</f>
        <v>585</v>
      </c>
      <c r="B1836" s="11" t="str">
        <f>HYPERLINK(CONCAT("http://leetcode.com/problems/",Github!C$586), Github!B$586)</f>
        <v>Investments in 2016</v>
      </c>
      <c r="C1836" s="10">
        <f>Github!F$586</f>
        <v>188</v>
      </c>
      <c r="D1836" s="10">
        <f>Github!G$586</f>
        <v>189</v>
      </c>
      <c r="E1836" s="10">
        <f>Github!F$586+Github!G$586</f>
        <v>377</v>
      </c>
      <c r="F1836" s="12">
        <f t="shared" si="1"/>
        <v>0.99</v>
      </c>
      <c r="G1836" s="10" t="str">
        <f>Github!H$586</f>
        <v>Database</v>
      </c>
      <c r="H1836" s="13" t="str">
        <f>SUBSTITUTE(Github!L$586, ";", ", ")</f>
        <v>Database, </v>
      </c>
      <c r="I1836" s="10" t="str">
        <f>Github!E$586</f>
        <v>Medium</v>
      </c>
      <c r="J1836" s="10" t="str">
        <f>IF(TRIM(Github!D$586)="TRUE","FALSE","TRUE")</f>
        <v>FALSE</v>
      </c>
      <c r="K1836" s="10" t="b">
        <f>Github!M$586</f>
        <v>1</v>
      </c>
      <c r="L1836" s="10" t="b">
        <f>Github!N$586</f>
        <v>0</v>
      </c>
      <c r="M1836" s="10" t="str">
        <f>ROUND(Github!O$586, 2)&amp;"%"</f>
        <v>55.47%</v>
      </c>
      <c r="N1836" s="10">
        <f>Github!P$586</f>
        <v>31082</v>
      </c>
      <c r="O1836" s="10">
        <f>Github!Q$586</f>
        <v>56038</v>
      </c>
    </row>
    <row r="1837">
      <c r="A1837" s="10">
        <f>Github!J$1205</f>
        <v>1204</v>
      </c>
      <c r="B1837" s="11" t="str">
        <f>HYPERLINK(CONCAT("http://leetcode.com/problems/",Github!C$1205), Github!B$1205)</f>
        <v>Last Person to Fit in the Bus</v>
      </c>
      <c r="C1837" s="10">
        <f>Github!F$1205</f>
        <v>188</v>
      </c>
      <c r="D1837" s="10">
        <f>Github!G$1205</f>
        <v>16</v>
      </c>
      <c r="E1837" s="10">
        <f>Github!F$1205+Github!G$1205</f>
        <v>204</v>
      </c>
      <c r="F1837" s="12">
        <f t="shared" si="1"/>
        <v>11.75</v>
      </c>
      <c r="G1837" s="10" t="str">
        <f>Github!H$1205</f>
        <v>Database</v>
      </c>
      <c r="H1837" s="13" t="str">
        <f>SUBSTITUTE(Github!L$1205, ";", ", ")</f>
        <v>Database, </v>
      </c>
      <c r="I1837" s="10" t="str">
        <f>Github!E$1205</f>
        <v>Medium</v>
      </c>
      <c r="J1837" s="10" t="str">
        <f>IF(TRIM(Github!D$1205)="TRUE","FALSE","TRUE")</f>
        <v>FALSE</v>
      </c>
      <c r="K1837" s="10" t="b">
        <f>Github!M$1205</f>
        <v>0</v>
      </c>
      <c r="L1837" s="10" t="b">
        <f>Github!N$1205</f>
        <v>0</v>
      </c>
      <c r="M1837" s="10" t="str">
        <f>ROUND(Github!O$1205, 2)&amp;"%"</f>
        <v>73.55%</v>
      </c>
      <c r="N1837" s="10">
        <f>Github!P$1205</f>
        <v>27410</v>
      </c>
      <c r="O1837" s="10">
        <f>Github!Q$1205</f>
        <v>37267</v>
      </c>
    </row>
    <row r="1838">
      <c r="A1838" s="10">
        <f>Github!J$1419</f>
        <v>1418</v>
      </c>
      <c r="B1838" s="11" t="str">
        <f>HYPERLINK(CONCAT("http://leetcode.com/problems/",Github!C$1419), Github!B$1419)</f>
        <v>Display Table of Food Orders in a Restaurant</v>
      </c>
      <c r="C1838" s="10">
        <f>Github!F$1419</f>
        <v>188</v>
      </c>
      <c r="D1838" s="10">
        <f>Github!G$1419</f>
        <v>327</v>
      </c>
      <c r="E1838" s="10">
        <f>Github!F$1419+Github!G$1419</f>
        <v>515</v>
      </c>
      <c r="F1838" s="12">
        <f t="shared" si="1"/>
        <v>0.57</v>
      </c>
      <c r="G1838" s="10" t="str">
        <f>Github!H$1419</f>
        <v>Algorithms</v>
      </c>
      <c r="H1838" s="13" t="str">
        <f>SUBSTITUTE(Github!L$1419, ";", ", ")</f>
        <v>Array, Hash Table, String, Sorting, Ordered Set, </v>
      </c>
      <c r="I1838" s="10" t="str">
        <f>Github!E$1419</f>
        <v>Medium</v>
      </c>
      <c r="J1838" s="10" t="str">
        <f>IF(TRIM(Github!D$1419)="TRUE","FALSE","TRUE")</f>
        <v>TRUE</v>
      </c>
      <c r="K1838" s="10" t="b">
        <f>Github!M$1419</f>
        <v>0</v>
      </c>
      <c r="L1838" s="10" t="b">
        <f>Github!N$1419</f>
        <v>0</v>
      </c>
      <c r="M1838" s="10" t="str">
        <f>ROUND(Github!O$1419, 2)&amp;"%"</f>
        <v>72.1%</v>
      </c>
      <c r="N1838" s="10">
        <f>Github!P$1419</f>
        <v>18210</v>
      </c>
      <c r="O1838" s="10">
        <f>Github!Q$1419</f>
        <v>25258</v>
      </c>
    </row>
    <row r="1839">
      <c r="A1839" s="10">
        <f>Github!J$1657</f>
        <v>1656</v>
      </c>
      <c r="B1839" s="11" t="str">
        <f>HYPERLINK(CONCAT("http://leetcode.com/problems/",Github!C$1657), Github!B$1657)</f>
        <v>Design an Ordered Stream</v>
      </c>
      <c r="C1839" s="10">
        <f>Github!F$1657</f>
        <v>188</v>
      </c>
      <c r="D1839" s="10">
        <f>Github!G$1657</f>
        <v>1610</v>
      </c>
      <c r="E1839" s="10">
        <f>Github!F$1657+Github!G$1657</f>
        <v>1798</v>
      </c>
      <c r="F1839" s="12">
        <f t="shared" si="1"/>
        <v>0.12</v>
      </c>
      <c r="G1839" s="10" t="str">
        <f>Github!H$1657</f>
        <v>Algorithms</v>
      </c>
      <c r="H1839" s="13" t="str">
        <f>SUBSTITUTE(Github!L$1657, ";", ", ")</f>
        <v>Array, Hash Table, Design, Data Stream, </v>
      </c>
      <c r="I1839" s="10" t="str">
        <f>Github!E$1657</f>
        <v>Easy</v>
      </c>
      <c r="J1839" s="10" t="str">
        <f>IF(TRIM(Github!D$1657)="TRUE","FALSE","TRUE")</f>
        <v>TRUE</v>
      </c>
      <c r="K1839" s="10" t="b">
        <f>Github!M$1657</f>
        <v>0</v>
      </c>
      <c r="L1839" s="10" t="b">
        <f>Github!N$1657</f>
        <v>0</v>
      </c>
      <c r="M1839" s="10" t="str">
        <f>ROUND(Github!O$1657, 2)&amp;"%"</f>
        <v>83.45%</v>
      </c>
      <c r="N1839" s="10">
        <f>Github!P$1657</f>
        <v>33564</v>
      </c>
      <c r="O1839" s="10">
        <f>Github!Q$1657</f>
        <v>40219</v>
      </c>
    </row>
    <row r="1840">
      <c r="A1840" s="10">
        <f>Github!J$2127</f>
        <v>2126</v>
      </c>
      <c r="B1840" s="11" t="str">
        <f>HYPERLINK(CONCAT("http://leetcode.com/problems/",Github!C$2127), Github!B$2127)</f>
        <v>Destroying Asteroids</v>
      </c>
      <c r="C1840" s="10">
        <f>Github!F$2127</f>
        <v>188</v>
      </c>
      <c r="D1840" s="10">
        <f>Github!G$2127</f>
        <v>96</v>
      </c>
      <c r="E1840" s="10">
        <f>Github!F$2127+Github!G$2127</f>
        <v>284</v>
      </c>
      <c r="F1840" s="12">
        <f t="shared" si="1"/>
        <v>1.96</v>
      </c>
      <c r="G1840" s="10" t="str">
        <f>Github!H$2127</f>
        <v>Algorithms</v>
      </c>
      <c r="H1840" s="13" t="str">
        <f>SUBSTITUTE(Github!L$2127, ";", ", ")</f>
        <v>Array, Greedy, Sorting, </v>
      </c>
      <c r="I1840" s="10" t="str">
        <f>Github!E$2127</f>
        <v>Medium</v>
      </c>
      <c r="J1840" s="10" t="str">
        <f>IF(TRIM(Github!D$2127)="TRUE","FALSE","TRUE")</f>
        <v>TRUE</v>
      </c>
      <c r="K1840" s="10" t="b">
        <f>Github!M$2127</f>
        <v>0</v>
      </c>
      <c r="L1840" s="10" t="b">
        <f>Github!N$2127</f>
        <v>0</v>
      </c>
      <c r="M1840" s="10" t="str">
        <f>ROUND(Github!O$2127, 2)&amp;"%"</f>
        <v>48.15%</v>
      </c>
      <c r="N1840" s="10">
        <f>Github!P$2127</f>
        <v>17330</v>
      </c>
      <c r="O1840" s="10">
        <f>Github!Q$2127</f>
        <v>35992</v>
      </c>
    </row>
    <row r="1841">
      <c r="A1841" s="10">
        <f>Github!J$2151</f>
        <v>2150</v>
      </c>
      <c r="B1841" s="11" t="str">
        <f>HYPERLINK(CONCAT("http://leetcode.com/problems/",Github!C$2151), Github!B$2151)</f>
        <v>Find All Lonely Numbers in the Array</v>
      </c>
      <c r="C1841" s="10">
        <f>Github!F$2151</f>
        <v>189</v>
      </c>
      <c r="D1841" s="10">
        <f>Github!G$2151</f>
        <v>27</v>
      </c>
      <c r="E1841" s="10">
        <f>Github!F$2151+Github!G$2151</f>
        <v>216</v>
      </c>
      <c r="F1841" s="12">
        <f t="shared" si="1"/>
        <v>7</v>
      </c>
      <c r="G1841" s="10" t="str">
        <f>Github!H$2151</f>
        <v>Algorithms</v>
      </c>
      <c r="H1841" s="13" t="str">
        <f>SUBSTITUTE(Github!L$2151, ";", ", ")</f>
        <v>Array, Hash Table, Counting, </v>
      </c>
      <c r="I1841" s="10" t="str">
        <f>Github!E$2151</f>
        <v>Medium</v>
      </c>
      <c r="J1841" s="10" t="str">
        <f>IF(TRIM(Github!D$2151)="TRUE","FALSE","TRUE")</f>
        <v>TRUE</v>
      </c>
      <c r="K1841" s="10" t="b">
        <f>Github!M$2151</f>
        <v>0</v>
      </c>
      <c r="L1841" s="10" t="b">
        <f>Github!N$2151</f>
        <v>0</v>
      </c>
      <c r="M1841" s="10" t="str">
        <f>ROUND(Github!O$2151, 2)&amp;"%"</f>
        <v>60.36%</v>
      </c>
      <c r="N1841" s="10">
        <f>Github!P$2151</f>
        <v>21377</v>
      </c>
      <c r="O1841" s="10">
        <f>Github!Q$2151</f>
        <v>35414</v>
      </c>
    </row>
    <row r="1842">
      <c r="A1842" s="10">
        <f>Github!J$1555</f>
        <v>1554</v>
      </c>
      <c r="B1842" s="11" t="str">
        <f>HYPERLINK(CONCAT("http://leetcode.com/problems/",Github!C$1555), Github!B$1555)</f>
        <v>Strings Differ by One Character</v>
      </c>
      <c r="C1842" s="10">
        <f>Github!F$1555</f>
        <v>191</v>
      </c>
      <c r="D1842" s="10">
        <f>Github!G$1555</f>
        <v>5</v>
      </c>
      <c r="E1842" s="10">
        <f>Github!F$1555+Github!G$1555</f>
        <v>196</v>
      </c>
      <c r="F1842" s="12">
        <f t="shared" si="1"/>
        <v>38.2</v>
      </c>
      <c r="G1842" s="10" t="str">
        <f>Github!H$1555</f>
        <v>Algorithms</v>
      </c>
      <c r="H1842" s="13" t="str">
        <f>SUBSTITUTE(Github!L$1555, ";", ", ")</f>
        <v>Hash Table, String, Rolling Hash, Hash Function, </v>
      </c>
      <c r="I1842" s="10" t="str">
        <f>Github!E$1555</f>
        <v>Medium</v>
      </c>
      <c r="J1842" s="10" t="str">
        <f>IF(TRIM(Github!D$1555)="TRUE","FALSE","TRUE")</f>
        <v>FALSE</v>
      </c>
      <c r="K1842" s="10" t="b">
        <f>Github!M$1555</f>
        <v>0</v>
      </c>
      <c r="L1842" s="10" t="b">
        <f>Github!N$1555</f>
        <v>0</v>
      </c>
      <c r="M1842" s="10" t="str">
        <f>ROUND(Github!O$1555, 2)&amp;"%"</f>
        <v>65.39%</v>
      </c>
      <c r="N1842" s="10">
        <f>Github!P$1555</f>
        <v>10460</v>
      </c>
      <c r="O1842" s="10">
        <f>Github!Q$1555</f>
        <v>15996</v>
      </c>
    </row>
    <row r="1843">
      <c r="A1843" s="10">
        <f>Github!J$2187</f>
        <v>2186</v>
      </c>
      <c r="B1843" s="11" t="str">
        <f>HYPERLINK(CONCAT("http://leetcode.com/problems/",Github!C$2187), Github!B$2187)</f>
        <v>Minimum Number of Steps to Make Two Strings Anagram II</v>
      </c>
      <c r="C1843" s="10">
        <f>Github!F$2187</f>
        <v>188</v>
      </c>
      <c r="D1843" s="10">
        <f>Github!G$2187</f>
        <v>4</v>
      </c>
      <c r="E1843" s="10">
        <f>Github!F$2187+Github!G$2187</f>
        <v>192</v>
      </c>
      <c r="F1843" s="12">
        <f t="shared" si="1"/>
        <v>47</v>
      </c>
      <c r="G1843" s="10" t="str">
        <f>Github!H$2187</f>
        <v>Algorithms</v>
      </c>
      <c r="H1843" s="13" t="str">
        <f>SUBSTITUTE(Github!L$2187, ";", ", ")</f>
        <v>Hash Table, String, Counting, </v>
      </c>
      <c r="I1843" s="10" t="str">
        <f>Github!E$2187</f>
        <v>Medium</v>
      </c>
      <c r="J1843" s="10" t="str">
        <f>IF(TRIM(Github!D$2187)="TRUE","FALSE","TRUE")</f>
        <v>TRUE</v>
      </c>
      <c r="K1843" s="10" t="b">
        <f>Github!M$2187</f>
        <v>0</v>
      </c>
      <c r="L1843" s="10" t="b">
        <f>Github!N$2187</f>
        <v>0</v>
      </c>
      <c r="M1843" s="10" t="str">
        <f>ROUND(Github!O$2187, 2)&amp;"%"</f>
        <v>69.68%</v>
      </c>
      <c r="N1843" s="10">
        <f>Github!P$2187</f>
        <v>19072</v>
      </c>
      <c r="O1843" s="10">
        <f>Github!Q$2187</f>
        <v>27370</v>
      </c>
    </row>
    <row r="1844">
      <c r="A1844" s="10">
        <f>Github!J$1274</f>
        <v>1273</v>
      </c>
      <c r="B1844" s="11" t="str">
        <f>HYPERLINK(CONCAT("http://leetcode.com/problems/",Github!C$1274), Github!B$1274)</f>
        <v>Delete Tree Nodes</v>
      </c>
      <c r="C1844" s="10">
        <f>Github!F$1274</f>
        <v>185</v>
      </c>
      <c r="D1844" s="10">
        <f>Github!G$1274</f>
        <v>58</v>
      </c>
      <c r="E1844" s="10">
        <f>Github!F$1274+Github!G$1274</f>
        <v>243</v>
      </c>
      <c r="F1844" s="12">
        <f t="shared" si="1"/>
        <v>3.19</v>
      </c>
      <c r="G1844" s="10" t="str">
        <f>Github!H$1274</f>
        <v>Algorithms</v>
      </c>
      <c r="H1844" s="13" t="str">
        <f>SUBSTITUTE(Github!L$1274, ";", ", ")</f>
        <v>Tree, Depth-First Search, Breadth-First Search, </v>
      </c>
      <c r="I1844" s="10" t="str">
        <f>Github!E$1274</f>
        <v>Medium</v>
      </c>
      <c r="J1844" s="10" t="str">
        <f>IF(TRIM(Github!D$1274)="TRUE","FALSE","TRUE")</f>
        <v>FALSE</v>
      </c>
      <c r="K1844" s="10" t="b">
        <f>Github!M$1274</f>
        <v>0</v>
      </c>
      <c r="L1844" s="10" t="b">
        <f>Github!N$1274</f>
        <v>0</v>
      </c>
      <c r="M1844" s="10" t="str">
        <f>ROUND(Github!O$1274, 2)&amp;"%"</f>
        <v>61.22%</v>
      </c>
      <c r="N1844" s="10">
        <f>Github!P$1274</f>
        <v>8178</v>
      </c>
      <c r="O1844" s="10">
        <f>Github!Q$1274</f>
        <v>13358</v>
      </c>
    </row>
    <row r="1845">
      <c r="A1845" s="10">
        <f>Github!J$2181</f>
        <v>2180</v>
      </c>
      <c r="B1845" s="11" t="str">
        <f>HYPERLINK(CONCAT("http://leetcode.com/problems/",Github!C$2181), Github!B$2181)</f>
        <v>Count Integers With Even Digit Sum</v>
      </c>
      <c r="C1845" s="10">
        <f>Github!F$2181</f>
        <v>183</v>
      </c>
      <c r="D1845" s="10">
        <f>Github!G$2181</f>
        <v>12</v>
      </c>
      <c r="E1845" s="10">
        <f>Github!F$2181+Github!G$2181</f>
        <v>195</v>
      </c>
      <c r="F1845" s="12">
        <f t="shared" si="1"/>
        <v>15.25</v>
      </c>
      <c r="G1845" s="10" t="str">
        <f>Github!H$2181</f>
        <v>Algorithms</v>
      </c>
      <c r="H1845" s="13" t="str">
        <f>SUBSTITUTE(Github!L$2181, ";", ", ")</f>
        <v>Math, Simulation, </v>
      </c>
      <c r="I1845" s="10" t="str">
        <f>Github!E$2181</f>
        <v>Easy</v>
      </c>
      <c r="J1845" s="10" t="str">
        <f>IF(TRIM(Github!D$2181)="TRUE","FALSE","TRUE")</f>
        <v>TRUE</v>
      </c>
      <c r="K1845" s="10" t="b">
        <f>Github!M$2181</f>
        <v>0</v>
      </c>
      <c r="L1845" s="10" t="b">
        <f>Github!N$2181</f>
        <v>0</v>
      </c>
      <c r="M1845" s="10" t="str">
        <f>ROUND(Github!O$2181, 2)&amp;"%"</f>
        <v>64.89%</v>
      </c>
      <c r="N1845" s="10">
        <f>Github!P$2181</f>
        <v>21313</v>
      </c>
      <c r="O1845" s="10">
        <f>Github!Q$2181</f>
        <v>32843</v>
      </c>
    </row>
    <row r="1846">
      <c r="A1846" s="10">
        <f>Github!J$1747</f>
        <v>1746</v>
      </c>
      <c r="B1846" s="11" t="str">
        <f>HYPERLINK(CONCAT("http://leetcode.com/problems/",Github!C$1747), Github!B$1747)</f>
        <v>Maximum Subarray Sum After One Operation</v>
      </c>
      <c r="C1846" s="10">
        <f>Github!F$1747</f>
        <v>181</v>
      </c>
      <c r="D1846" s="10">
        <f>Github!G$1747</f>
        <v>3</v>
      </c>
      <c r="E1846" s="10">
        <f>Github!F$1747+Github!G$1747</f>
        <v>184</v>
      </c>
      <c r="F1846" s="12">
        <f t="shared" si="1"/>
        <v>60.33</v>
      </c>
      <c r="G1846" s="10" t="str">
        <f>Github!H$1747</f>
        <v>Algorithms</v>
      </c>
      <c r="H1846" s="13" t="str">
        <f>SUBSTITUTE(Github!L$1747, ";", ", ")</f>
        <v>Array, Dynamic Programming, </v>
      </c>
      <c r="I1846" s="10" t="str">
        <f>Github!E$1747</f>
        <v>Medium</v>
      </c>
      <c r="J1846" s="10" t="str">
        <f>IF(TRIM(Github!D$1747)="TRUE","FALSE","TRUE")</f>
        <v>FALSE</v>
      </c>
      <c r="K1846" s="10" t="b">
        <f>Github!M$1747</f>
        <v>0</v>
      </c>
      <c r="L1846" s="10" t="b">
        <f>Github!N$1747</f>
        <v>0</v>
      </c>
      <c r="M1846" s="10" t="str">
        <f>ROUND(Github!O$1747, 2)&amp;"%"</f>
        <v>62.05%</v>
      </c>
      <c r="N1846" s="10">
        <f>Github!P$1747</f>
        <v>5019</v>
      </c>
      <c r="O1846" s="10">
        <f>Github!Q$1747</f>
        <v>8091</v>
      </c>
    </row>
    <row r="1847">
      <c r="A1847" s="10">
        <f>Github!J$1762</f>
        <v>1761</v>
      </c>
      <c r="B1847" s="11" t="str">
        <f>HYPERLINK(CONCAT("http://leetcode.com/problems/",Github!C$1762), Github!B$1762)</f>
        <v>Minimum Degree of a Connected Trio in a Graph</v>
      </c>
      <c r="C1847" s="10">
        <f>Github!F$1762</f>
        <v>181</v>
      </c>
      <c r="D1847" s="10">
        <f>Github!G$1762</f>
        <v>199</v>
      </c>
      <c r="E1847" s="10">
        <f>Github!F$1762+Github!G$1762</f>
        <v>380</v>
      </c>
      <c r="F1847" s="12">
        <f t="shared" si="1"/>
        <v>0.91</v>
      </c>
      <c r="G1847" s="10" t="str">
        <f>Github!H$1762</f>
        <v>Algorithms</v>
      </c>
      <c r="H1847" s="13" t="str">
        <f>SUBSTITUTE(Github!L$1762, ";", ", ")</f>
        <v>Graph, </v>
      </c>
      <c r="I1847" s="10" t="str">
        <f>Github!E$1762</f>
        <v>Hard</v>
      </c>
      <c r="J1847" s="10" t="str">
        <f>IF(TRIM(Github!D$1762)="TRUE","FALSE","TRUE")</f>
        <v>TRUE</v>
      </c>
      <c r="K1847" s="10" t="b">
        <f>Github!M$1762</f>
        <v>0</v>
      </c>
      <c r="L1847" s="10" t="b">
        <f>Github!N$1762</f>
        <v>0</v>
      </c>
      <c r="M1847" s="10" t="str">
        <f>ROUND(Github!O$1762, 2)&amp;"%"</f>
        <v>41.4%</v>
      </c>
      <c r="N1847" s="10">
        <f>Github!P$1762</f>
        <v>14204</v>
      </c>
      <c r="O1847" s="10">
        <f>Github!Q$1762</f>
        <v>34311</v>
      </c>
    </row>
    <row r="1848">
      <c r="A1848" s="10">
        <f>Github!J$2028</f>
        <v>2027</v>
      </c>
      <c r="B1848" s="11" t="str">
        <f>HYPERLINK(CONCAT("http://leetcode.com/problems/",Github!C$2028), Github!B$2028)</f>
        <v>Minimum Moves to Convert String</v>
      </c>
      <c r="C1848" s="10">
        <f>Github!F$2028</f>
        <v>181</v>
      </c>
      <c r="D1848" s="10">
        <f>Github!G$2028</f>
        <v>47</v>
      </c>
      <c r="E1848" s="10">
        <f>Github!F$2028+Github!G$2028</f>
        <v>228</v>
      </c>
      <c r="F1848" s="12">
        <f t="shared" si="1"/>
        <v>3.85</v>
      </c>
      <c r="G1848" s="10" t="str">
        <f>Github!H$2028</f>
        <v>Algorithms</v>
      </c>
      <c r="H1848" s="13" t="str">
        <f>SUBSTITUTE(Github!L$2028, ";", ", ")</f>
        <v>String, Greedy, </v>
      </c>
      <c r="I1848" s="10" t="str">
        <f>Github!E$2028</f>
        <v>Easy</v>
      </c>
      <c r="J1848" s="10" t="str">
        <f>IF(TRIM(Github!D$2028)="TRUE","FALSE","TRUE")</f>
        <v>TRUE</v>
      </c>
      <c r="K1848" s="10" t="b">
        <f>Github!M$2028</f>
        <v>0</v>
      </c>
      <c r="L1848" s="10" t="b">
        <f>Github!N$2028</f>
        <v>0</v>
      </c>
      <c r="M1848" s="10" t="str">
        <f>ROUND(Github!O$2028, 2)&amp;"%"</f>
        <v>53.2%</v>
      </c>
      <c r="N1848" s="10">
        <f>Github!P$2028</f>
        <v>16925</v>
      </c>
      <c r="O1848" s="10">
        <f>Github!Q$2028</f>
        <v>31813</v>
      </c>
    </row>
    <row r="1849">
      <c r="A1849" s="10">
        <f>Github!J$2192</f>
        <v>2191</v>
      </c>
      <c r="B1849" s="11" t="str">
        <f>HYPERLINK(CONCAT("http://leetcode.com/problems/",Github!C$2192), Github!B$2192)</f>
        <v>Sort the Jumbled Numbers</v>
      </c>
      <c r="C1849" s="10">
        <f>Github!F$2192</f>
        <v>182</v>
      </c>
      <c r="D1849" s="10">
        <f>Github!G$2192</f>
        <v>19</v>
      </c>
      <c r="E1849" s="10">
        <f>Github!F$2192+Github!G$2192</f>
        <v>201</v>
      </c>
      <c r="F1849" s="12">
        <f t="shared" si="1"/>
        <v>9.58</v>
      </c>
      <c r="G1849" s="10" t="str">
        <f>Github!H$2192</f>
        <v>Algorithms</v>
      </c>
      <c r="H1849" s="13" t="str">
        <f>SUBSTITUTE(Github!L$2192, ";", ", ")</f>
        <v>Array, Sorting, </v>
      </c>
      <c r="I1849" s="10" t="str">
        <f>Github!E$2192</f>
        <v>Medium</v>
      </c>
      <c r="J1849" s="10" t="str">
        <f>IF(TRIM(Github!D$2192)="TRUE","FALSE","TRUE")</f>
        <v>TRUE</v>
      </c>
      <c r="K1849" s="10" t="b">
        <f>Github!M$2192</f>
        <v>0</v>
      </c>
      <c r="L1849" s="10" t="b">
        <f>Github!N$2192</f>
        <v>0</v>
      </c>
      <c r="M1849" s="10" t="str">
        <f>ROUND(Github!O$2192, 2)&amp;"%"</f>
        <v>41.91%</v>
      </c>
      <c r="N1849" s="10">
        <f>Github!P$2192</f>
        <v>10101</v>
      </c>
      <c r="O1849" s="10">
        <f>Github!Q$2192</f>
        <v>24105</v>
      </c>
    </row>
    <row r="1850">
      <c r="A1850" s="10">
        <f>Github!J$1837</f>
        <v>1836</v>
      </c>
      <c r="B1850" s="11" t="str">
        <f>HYPERLINK(CONCAT("http://leetcode.com/problems/",Github!C$1837), Github!B$1837)</f>
        <v>Remove Duplicates From an Unsorted Linked List</v>
      </c>
      <c r="C1850" s="10">
        <f>Github!F$1837</f>
        <v>180</v>
      </c>
      <c r="D1850" s="10">
        <f>Github!G$1837</f>
        <v>5</v>
      </c>
      <c r="E1850" s="10">
        <f>Github!F$1837+Github!G$1837</f>
        <v>185</v>
      </c>
      <c r="F1850" s="12">
        <f t="shared" si="1"/>
        <v>36</v>
      </c>
      <c r="G1850" s="10" t="str">
        <f>Github!H$1837</f>
        <v>Algorithms</v>
      </c>
      <c r="H1850" s="13" t="str">
        <f>SUBSTITUTE(Github!L$1837, ";", ", ")</f>
        <v>Hash Table, Linked List, </v>
      </c>
      <c r="I1850" s="10" t="str">
        <f>Github!E$1837</f>
        <v>Medium</v>
      </c>
      <c r="J1850" s="10" t="str">
        <f>IF(TRIM(Github!D$1837)="TRUE","FALSE","TRUE")</f>
        <v>FALSE</v>
      </c>
      <c r="K1850" s="10" t="b">
        <f>Github!M$1837</f>
        <v>0</v>
      </c>
      <c r="L1850" s="10" t="b">
        <f>Github!N$1837</f>
        <v>0</v>
      </c>
      <c r="M1850" s="10" t="str">
        <f>ROUND(Github!O$1837, 2)&amp;"%"</f>
        <v>69.83%</v>
      </c>
      <c r="N1850" s="10">
        <f>Github!P$1837</f>
        <v>11081</v>
      </c>
      <c r="O1850" s="10">
        <f>Github!Q$1837</f>
        <v>15868</v>
      </c>
    </row>
    <row r="1851">
      <c r="A1851" s="10">
        <f>Github!J$1113</f>
        <v>1112</v>
      </c>
      <c r="B1851" s="11" t="str">
        <f>HYPERLINK(CONCAT("http://leetcode.com/problems/",Github!C$1113), Github!B$1113)</f>
        <v>Highest Grade For Each Student</v>
      </c>
      <c r="C1851" s="10">
        <f>Github!F$1113</f>
        <v>178</v>
      </c>
      <c r="D1851" s="10">
        <f>Github!G$1113</f>
        <v>7</v>
      </c>
      <c r="E1851" s="10">
        <f>Github!F$1113+Github!G$1113</f>
        <v>185</v>
      </c>
      <c r="F1851" s="12">
        <f t="shared" si="1"/>
        <v>25.43</v>
      </c>
      <c r="G1851" s="10" t="str">
        <f>Github!H$1113</f>
        <v>Database</v>
      </c>
      <c r="H1851" s="13" t="str">
        <f>SUBSTITUTE(Github!L$1113, ";", ", ")</f>
        <v>Database, </v>
      </c>
      <c r="I1851" s="10" t="str">
        <f>Github!E$1113</f>
        <v>Medium</v>
      </c>
      <c r="J1851" s="10" t="str">
        <f>IF(TRIM(Github!D$1113)="TRUE","FALSE","TRUE")</f>
        <v>FALSE</v>
      </c>
      <c r="K1851" s="10" t="b">
        <f>Github!M$1113</f>
        <v>0</v>
      </c>
      <c r="L1851" s="10" t="b">
        <f>Github!N$1113</f>
        <v>0</v>
      </c>
      <c r="M1851" s="10" t="str">
        <f>ROUND(Github!O$1113, 2)&amp;"%"</f>
        <v>73.27%</v>
      </c>
      <c r="N1851" s="10">
        <f>Github!P$1113</f>
        <v>31797</v>
      </c>
      <c r="O1851" s="10">
        <f>Github!Q$1113</f>
        <v>43399</v>
      </c>
    </row>
    <row r="1852">
      <c r="A1852" s="10">
        <f>Github!J$1237</f>
        <v>1236</v>
      </c>
      <c r="B1852" s="11" t="str">
        <f>HYPERLINK(CONCAT("http://leetcode.com/problems/",Github!C$1237), Github!B$1237)</f>
        <v>Web Crawler</v>
      </c>
      <c r="C1852" s="10">
        <f>Github!F$1237</f>
        <v>178</v>
      </c>
      <c r="D1852" s="10">
        <f>Github!G$1237</f>
        <v>195</v>
      </c>
      <c r="E1852" s="10">
        <f>Github!F$1237+Github!G$1237</f>
        <v>373</v>
      </c>
      <c r="F1852" s="12">
        <f t="shared" si="1"/>
        <v>0.91</v>
      </c>
      <c r="G1852" s="10" t="str">
        <f>Github!H$1237</f>
        <v>Algorithms</v>
      </c>
      <c r="H1852" s="13" t="str">
        <f>SUBSTITUTE(Github!L$1237, ";", ", ")</f>
        <v>String, Depth-First Search, Breadth-First Search, Interactive, </v>
      </c>
      <c r="I1852" s="10" t="str">
        <f>Github!E$1237</f>
        <v>Medium</v>
      </c>
      <c r="J1852" s="10" t="str">
        <f>IF(TRIM(Github!D$1237)="TRUE","FALSE","TRUE")</f>
        <v>FALSE</v>
      </c>
      <c r="K1852" s="10" t="b">
        <f>Github!M$1237</f>
        <v>0</v>
      </c>
      <c r="L1852" s="10" t="b">
        <f>Github!N$1237</f>
        <v>0</v>
      </c>
      <c r="M1852" s="10" t="str">
        <f>ROUND(Github!O$1237, 2)&amp;"%"</f>
        <v>65.5%</v>
      </c>
      <c r="N1852" s="10">
        <f>Github!P$1237</f>
        <v>21373</v>
      </c>
      <c r="O1852" s="10">
        <f>Github!Q$1237</f>
        <v>32629</v>
      </c>
    </row>
    <row r="1853">
      <c r="A1853" s="10">
        <f>Github!J$1333</f>
        <v>1332</v>
      </c>
      <c r="B1853" s="11" t="str">
        <f>HYPERLINK(CONCAT("http://leetcode.com/problems/",Github!C$1333), Github!B$1333)</f>
        <v>Remove Palindromic Subsequences</v>
      </c>
      <c r="C1853" s="10">
        <f>Github!F$1333</f>
        <v>178</v>
      </c>
      <c r="D1853" s="10">
        <f>Github!G$1333</f>
        <v>280</v>
      </c>
      <c r="E1853" s="10">
        <f>Github!F$1333+Github!G$1333</f>
        <v>458</v>
      </c>
      <c r="F1853" s="12">
        <f t="shared" si="1"/>
        <v>0.64</v>
      </c>
      <c r="G1853" s="10" t="str">
        <f>Github!H$1333</f>
        <v>Algorithms</v>
      </c>
      <c r="H1853" s="13" t="str">
        <f>SUBSTITUTE(Github!L$1333, ";", ", ")</f>
        <v>Two Pointers, String, </v>
      </c>
      <c r="I1853" s="10" t="str">
        <f>Github!E$1333</f>
        <v>Easy</v>
      </c>
      <c r="J1853" s="10" t="str">
        <f>IF(TRIM(Github!D$1333)="TRUE","FALSE","TRUE")</f>
        <v>TRUE</v>
      </c>
      <c r="K1853" s="10" t="b">
        <f>Github!M$1333</f>
        <v>1</v>
      </c>
      <c r="L1853" s="10" t="b">
        <f>Github!N$1333</f>
        <v>0</v>
      </c>
      <c r="M1853" s="10" t="str">
        <f>ROUND(Github!O$1333, 2)&amp;"%"</f>
        <v>69.46%</v>
      </c>
      <c r="N1853" s="10">
        <f>Github!P$1333</f>
        <v>53006</v>
      </c>
      <c r="O1853" s="10">
        <f>Github!Q$1333</f>
        <v>76307</v>
      </c>
    </row>
    <row r="1854">
      <c r="A1854" s="10">
        <f>Github!J$2069</f>
        <v>2068</v>
      </c>
      <c r="B1854" s="11" t="str">
        <f>HYPERLINK(CONCAT("http://leetcode.com/problems/",Github!C$2069), Github!B$2069)</f>
        <v>Check Whether Two Strings are Almost Equivalent</v>
      </c>
      <c r="C1854" s="10">
        <f>Github!F$2069</f>
        <v>179</v>
      </c>
      <c r="D1854" s="10">
        <f>Github!G$2069</f>
        <v>6</v>
      </c>
      <c r="E1854" s="10">
        <f>Github!F$2069+Github!G$2069</f>
        <v>185</v>
      </c>
      <c r="F1854" s="12">
        <f t="shared" si="1"/>
        <v>29.83</v>
      </c>
      <c r="G1854" s="10" t="str">
        <f>Github!H$2069</f>
        <v>Algorithms</v>
      </c>
      <c r="H1854" s="13" t="str">
        <f>SUBSTITUTE(Github!L$2069, ";", ", ")</f>
        <v>Hash Table, String, Counting, </v>
      </c>
      <c r="I1854" s="10" t="str">
        <f>Github!E$2069</f>
        <v>Easy</v>
      </c>
      <c r="J1854" s="10" t="str">
        <f>IF(TRIM(Github!D$2069)="TRUE","FALSE","TRUE")</f>
        <v>TRUE</v>
      </c>
      <c r="K1854" s="10" t="b">
        <f>Github!M$2069</f>
        <v>0</v>
      </c>
      <c r="L1854" s="10" t="b">
        <f>Github!N$2069</f>
        <v>0</v>
      </c>
      <c r="M1854" s="10" t="str">
        <f>ROUND(Github!O$2069, 2)&amp;"%"</f>
        <v>66.59%</v>
      </c>
      <c r="N1854" s="10">
        <f>Github!P$2069</f>
        <v>15112</v>
      </c>
      <c r="O1854" s="10">
        <f>Github!Q$2069</f>
        <v>22693</v>
      </c>
    </row>
    <row r="1855">
      <c r="A1855" s="10">
        <f>Github!J$2170</f>
        <v>2169</v>
      </c>
      <c r="B1855" s="11" t="str">
        <f>HYPERLINK(CONCAT("http://leetcode.com/problems/",Github!C$2170), Github!B$2170)</f>
        <v>Count Operations to Obtain Zero</v>
      </c>
      <c r="C1855" s="10">
        <f>Github!F$2170</f>
        <v>178</v>
      </c>
      <c r="D1855" s="10">
        <f>Github!G$2170</f>
        <v>4</v>
      </c>
      <c r="E1855" s="10">
        <f>Github!F$2170+Github!G$2170</f>
        <v>182</v>
      </c>
      <c r="F1855" s="12">
        <f t="shared" si="1"/>
        <v>44.5</v>
      </c>
      <c r="G1855" s="10" t="str">
        <f>Github!H$2170</f>
        <v>Algorithms</v>
      </c>
      <c r="H1855" s="13" t="str">
        <f>SUBSTITUTE(Github!L$2170, ";", ", ")</f>
        <v>Math, Simulation, </v>
      </c>
      <c r="I1855" s="10" t="str">
        <f>Github!E$2170</f>
        <v>Easy</v>
      </c>
      <c r="J1855" s="10" t="str">
        <f>IF(TRIM(Github!D$2170)="TRUE","FALSE","TRUE")</f>
        <v>TRUE</v>
      </c>
      <c r="K1855" s="10" t="b">
        <f>Github!M$2170</f>
        <v>0</v>
      </c>
      <c r="L1855" s="10" t="b">
        <f>Github!N$2170</f>
        <v>0</v>
      </c>
      <c r="M1855" s="10" t="str">
        <f>ROUND(Github!O$2170, 2)&amp;"%"</f>
        <v>75.11%</v>
      </c>
      <c r="N1855" s="10">
        <f>Github!P$2170</f>
        <v>24538</v>
      </c>
      <c r="O1855" s="10">
        <f>Github!Q$2170</f>
        <v>32668</v>
      </c>
    </row>
    <row r="1856">
      <c r="A1856" s="10">
        <f>Github!J$581</f>
        <v>580</v>
      </c>
      <c r="B1856" s="11" t="str">
        <f>HYPERLINK(CONCAT("http://leetcode.com/problems/",Github!C$581), Github!B$581)</f>
        <v>Count Student Number in Departments</v>
      </c>
      <c r="C1856" s="10">
        <f>Github!F$581</f>
        <v>177</v>
      </c>
      <c r="D1856" s="10">
        <f>Github!G$581</f>
        <v>29</v>
      </c>
      <c r="E1856" s="10">
        <f>Github!F$581+Github!G$581</f>
        <v>206</v>
      </c>
      <c r="F1856" s="12">
        <f t="shared" si="1"/>
        <v>6.1</v>
      </c>
      <c r="G1856" s="10" t="str">
        <f>Github!H$581</f>
        <v>Database</v>
      </c>
      <c r="H1856" s="13" t="str">
        <f>SUBSTITUTE(Github!L$581, ";", ", ")</f>
        <v>Database, </v>
      </c>
      <c r="I1856" s="10" t="str">
        <f>Github!E$581</f>
        <v>Medium</v>
      </c>
      <c r="J1856" s="10" t="str">
        <f>IF(TRIM(Github!D$581)="TRUE","FALSE","TRUE")</f>
        <v>FALSE</v>
      </c>
      <c r="K1856" s="10" t="b">
        <f>Github!M$581</f>
        <v>1</v>
      </c>
      <c r="L1856" s="10" t="b">
        <f>Github!N$581</f>
        <v>0</v>
      </c>
      <c r="M1856" s="10" t="str">
        <f>ROUND(Github!O$581, 2)&amp;"%"</f>
        <v>56.2%</v>
      </c>
      <c r="N1856" s="10">
        <f>Github!P$581</f>
        <v>42053</v>
      </c>
      <c r="O1856" s="10">
        <f>Github!Q$581</f>
        <v>74827</v>
      </c>
    </row>
    <row r="1857">
      <c r="A1857" s="10">
        <f>Github!J$1007</f>
        <v>1006</v>
      </c>
      <c r="B1857" s="11" t="str">
        <f>HYPERLINK(CONCAT("http://leetcode.com/problems/",Github!C$1007), Github!B$1007)</f>
        <v>Clumsy Factorial</v>
      </c>
      <c r="C1857" s="10">
        <f>Github!F$1007</f>
        <v>178</v>
      </c>
      <c r="D1857" s="10">
        <f>Github!G$1007</f>
        <v>222</v>
      </c>
      <c r="E1857" s="10">
        <f>Github!F$1007+Github!G$1007</f>
        <v>400</v>
      </c>
      <c r="F1857" s="12">
        <f t="shared" si="1"/>
        <v>0.8</v>
      </c>
      <c r="G1857" s="10" t="str">
        <f>Github!H$1007</f>
        <v>Algorithms</v>
      </c>
      <c r="H1857" s="13" t="str">
        <f>SUBSTITUTE(Github!L$1007, ";", ", ")</f>
        <v>Math, Stack, Simulation, </v>
      </c>
      <c r="I1857" s="10" t="str">
        <f>Github!E$1007</f>
        <v>Medium</v>
      </c>
      <c r="J1857" s="10" t="str">
        <f>IF(TRIM(Github!D$1007)="TRUE","FALSE","TRUE")</f>
        <v>TRUE</v>
      </c>
      <c r="K1857" s="10" t="b">
        <f>Github!M$1007</f>
        <v>0</v>
      </c>
      <c r="L1857" s="10" t="b">
        <f>Github!N$1007</f>
        <v>0</v>
      </c>
      <c r="M1857" s="10" t="str">
        <f>ROUND(Github!O$1007, 2)&amp;"%"</f>
        <v>54.54%</v>
      </c>
      <c r="N1857" s="10">
        <f>Github!P$1007</f>
        <v>19429</v>
      </c>
      <c r="O1857" s="10">
        <f>Github!Q$1007</f>
        <v>35625</v>
      </c>
    </row>
    <row r="1858">
      <c r="A1858" s="10">
        <f>Github!J$1062</f>
        <v>1061</v>
      </c>
      <c r="B1858" s="11" t="str">
        <f>HYPERLINK(CONCAT("http://leetcode.com/problems/",Github!C$1062), Github!B$1062)</f>
        <v>Lexicographically Smallest Equivalent String</v>
      </c>
      <c r="C1858" s="10">
        <f>Github!F$1062</f>
        <v>177</v>
      </c>
      <c r="D1858" s="10">
        <f>Github!G$1062</f>
        <v>9</v>
      </c>
      <c r="E1858" s="10">
        <f>Github!F$1062+Github!G$1062</f>
        <v>186</v>
      </c>
      <c r="F1858" s="12">
        <f t="shared" si="1"/>
        <v>19.67</v>
      </c>
      <c r="G1858" s="10" t="str">
        <f>Github!H$1062</f>
        <v>Algorithms</v>
      </c>
      <c r="H1858" s="13" t="str">
        <f>SUBSTITUTE(Github!L$1062, ";", ", ")</f>
        <v>String, Union Find, </v>
      </c>
      <c r="I1858" s="10" t="str">
        <f>Github!E$1062</f>
        <v>Medium</v>
      </c>
      <c r="J1858" s="10" t="str">
        <f>IF(TRIM(Github!D$1062)="TRUE","FALSE","TRUE")</f>
        <v>FALSE</v>
      </c>
      <c r="K1858" s="10" t="b">
        <f>Github!M$1062</f>
        <v>0</v>
      </c>
      <c r="L1858" s="10" t="b">
        <f>Github!N$1062</f>
        <v>0</v>
      </c>
      <c r="M1858" s="10" t="str">
        <f>ROUND(Github!O$1062, 2)&amp;"%"</f>
        <v>68.38%</v>
      </c>
      <c r="N1858" s="10">
        <f>Github!P$1062</f>
        <v>6987</v>
      </c>
      <c r="O1858" s="10">
        <f>Github!Q$1062</f>
        <v>10218</v>
      </c>
    </row>
    <row r="1859">
      <c r="A1859" s="10">
        <f>Github!J$1323</f>
        <v>1322</v>
      </c>
      <c r="B1859" s="11" t="str">
        <f>HYPERLINK(CONCAT("http://leetcode.com/problems/",Github!C$1323), Github!B$1323)</f>
        <v>Ads Performance</v>
      </c>
      <c r="C1859" s="10">
        <f>Github!F$1323</f>
        <v>176</v>
      </c>
      <c r="D1859" s="10">
        <f>Github!G$1323</f>
        <v>42</v>
      </c>
      <c r="E1859" s="10">
        <f>Github!F$1323+Github!G$1323</f>
        <v>218</v>
      </c>
      <c r="F1859" s="12">
        <f t="shared" si="1"/>
        <v>4.19</v>
      </c>
      <c r="G1859" s="10" t="str">
        <f>Github!H$1323</f>
        <v>Database</v>
      </c>
      <c r="H1859" s="13" t="str">
        <f>SUBSTITUTE(Github!L$1323, ";", ", ")</f>
        <v>Database, </v>
      </c>
      <c r="I1859" s="10" t="str">
        <f>Github!E$1323</f>
        <v>Easy</v>
      </c>
      <c r="J1859" s="10" t="str">
        <f>IF(TRIM(Github!D$1323)="TRUE","FALSE","TRUE")</f>
        <v>FALSE</v>
      </c>
      <c r="K1859" s="10" t="b">
        <f>Github!M$1323</f>
        <v>0</v>
      </c>
      <c r="L1859" s="10" t="b">
        <f>Github!N$1323</f>
        <v>0</v>
      </c>
      <c r="M1859" s="10" t="str">
        <f>ROUND(Github!O$1323, 2)&amp;"%"</f>
        <v>59.99%</v>
      </c>
      <c r="N1859" s="10">
        <f>Github!P$1323</f>
        <v>26801</v>
      </c>
      <c r="O1859" s="10">
        <f>Github!Q$1323</f>
        <v>44675</v>
      </c>
    </row>
    <row r="1860">
      <c r="A1860" s="10">
        <f>Github!J$1361</f>
        <v>1360</v>
      </c>
      <c r="B1860" s="11" t="str">
        <f>HYPERLINK(CONCAT("http://leetcode.com/problems/",Github!C$1361), Github!B$1361)</f>
        <v>Number of Days Between Two Dates</v>
      </c>
      <c r="C1860" s="10">
        <f>Github!F$1361</f>
        <v>178</v>
      </c>
      <c r="D1860" s="10">
        <f>Github!G$1361</f>
        <v>770</v>
      </c>
      <c r="E1860" s="10">
        <f>Github!F$1361+Github!G$1361</f>
        <v>948</v>
      </c>
      <c r="F1860" s="12">
        <f t="shared" si="1"/>
        <v>0.23</v>
      </c>
      <c r="G1860" s="10" t="str">
        <f>Github!H$1361</f>
        <v>Algorithms</v>
      </c>
      <c r="H1860" s="13" t="str">
        <f>SUBSTITUTE(Github!L$1361, ";", ", ")</f>
        <v>Math, String, </v>
      </c>
      <c r="I1860" s="10" t="str">
        <f>Github!E$1361</f>
        <v>Easy</v>
      </c>
      <c r="J1860" s="10" t="str">
        <f>IF(TRIM(Github!D$1361)="TRUE","FALSE","TRUE")</f>
        <v>TRUE</v>
      </c>
      <c r="K1860" s="10" t="b">
        <f>Github!M$1361</f>
        <v>0</v>
      </c>
      <c r="L1860" s="10" t="b">
        <f>Github!N$1361</f>
        <v>0</v>
      </c>
      <c r="M1860" s="10" t="str">
        <f>ROUND(Github!O$1361, 2)&amp;"%"</f>
        <v>46.7%</v>
      </c>
      <c r="N1860" s="10">
        <f>Github!P$1361</f>
        <v>27641</v>
      </c>
      <c r="O1860" s="10">
        <f>Github!Q$1361</f>
        <v>59187</v>
      </c>
    </row>
    <row r="1861">
      <c r="A1861" s="10">
        <f>Github!J$1896</f>
        <v>1895</v>
      </c>
      <c r="B1861" s="11" t="str">
        <f>HYPERLINK(CONCAT("http://leetcode.com/problems/",Github!C$1896), Github!B$1896)</f>
        <v>Largest Magic Square</v>
      </c>
      <c r="C1861" s="10">
        <f>Github!F$1896</f>
        <v>176</v>
      </c>
      <c r="D1861" s="10">
        <f>Github!G$1896</f>
        <v>195</v>
      </c>
      <c r="E1861" s="10">
        <f>Github!F$1896+Github!G$1896</f>
        <v>371</v>
      </c>
      <c r="F1861" s="12">
        <f t="shared" si="1"/>
        <v>0.9</v>
      </c>
      <c r="G1861" s="10" t="str">
        <f>Github!H$1896</f>
        <v>Algorithms</v>
      </c>
      <c r="H1861" s="13" t="str">
        <f>SUBSTITUTE(Github!L$1896, ";", ", ")</f>
        <v>Array, Matrix, Prefix Sum, </v>
      </c>
      <c r="I1861" s="10" t="str">
        <f>Github!E$1896</f>
        <v>Medium</v>
      </c>
      <c r="J1861" s="10" t="str">
        <f>IF(TRIM(Github!D$1896)="TRUE","FALSE","TRUE")</f>
        <v>TRUE</v>
      </c>
      <c r="K1861" s="10" t="b">
        <f>Github!M$1896</f>
        <v>0</v>
      </c>
      <c r="L1861" s="10" t="b">
        <f>Github!N$1896</f>
        <v>0</v>
      </c>
      <c r="M1861" s="10" t="str">
        <f>ROUND(Github!O$1896, 2)&amp;"%"</f>
        <v>51.12%</v>
      </c>
      <c r="N1861" s="10">
        <f>Github!P$1896</f>
        <v>7224</v>
      </c>
      <c r="O1861" s="10">
        <f>Github!Q$1896</f>
        <v>14132</v>
      </c>
    </row>
    <row r="1862">
      <c r="A1862" s="10">
        <f>Github!J$754</f>
        <v>753</v>
      </c>
      <c r="B1862" s="11" t="str">
        <f>HYPERLINK(CONCAT("http://leetcode.com/problems/",Github!C$754), Github!B$754)</f>
        <v>Cracking the Safe</v>
      </c>
      <c r="C1862" s="10">
        <f>Github!F$754</f>
        <v>175</v>
      </c>
      <c r="D1862" s="10">
        <f>Github!G$754</f>
        <v>27</v>
      </c>
      <c r="E1862" s="10">
        <f>Github!F$754+Github!G$754</f>
        <v>202</v>
      </c>
      <c r="F1862" s="12">
        <f t="shared" si="1"/>
        <v>6.48</v>
      </c>
      <c r="G1862" s="10" t="str">
        <f>Github!H$754</f>
        <v>Algorithms</v>
      </c>
      <c r="H1862" s="13" t="str">
        <f>SUBSTITUTE(Github!L$754, ";", ", ")</f>
        <v>Depth-First Search, Graph, Eulerian Circuit, </v>
      </c>
      <c r="I1862" s="10" t="str">
        <f>Github!E$754</f>
        <v>Hard</v>
      </c>
      <c r="J1862" s="10" t="str">
        <f>IF(TRIM(Github!D$754)="TRUE","FALSE","TRUE")</f>
        <v>TRUE</v>
      </c>
      <c r="K1862" s="10" t="b">
        <f>Github!M$754</f>
        <v>0</v>
      </c>
      <c r="L1862" s="10" t="b">
        <f>Github!N$754</f>
        <v>0</v>
      </c>
      <c r="M1862" s="10" t="str">
        <f>ROUND(Github!O$754, 2)&amp;"%"</f>
        <v>54.44%</v>
      </c>
      <c r="N1862" s="10">
        <f>Github!P$754</f>
        <v>44814</v>
      </c>
      <c r="O1862" s="10">
        <f>Github!Q$754</f>
        <v>82311</v>
      </c>
    </row>
    <row r="1863">
      <c r="A1863" s="10">
        <f>Github!J$1084</f>
        <v>1083</v>
      </c>
      <c r="B1863" s="11" t="str">
        <f>HYPERLINK(CONCAT("http://leetcode.com/problems/",Github!C$1084), Github!B$1084)</f>
        <v>Sales Analysis II</v>
      </c>
      <c r="C1863" s="10">
        <f>Github!F$1084</f>
        <v>175</v>
      </c>
      <c r="D1863" s="10">
        <f>Github!G$1084</f>
        <v>34</v>
      </c>
      <c r="E1863" s="10">
        <f>Github!F$1084+Github!G$1084</f>
        <v>209</v>
      </c>
      <c r="F1863" s="12">
        <f t="shared" si="1"/>
        <v>5.15</v>
      </c>
      <c r="G1863" s="10" t="str">
        <f>Github!H$1084</f>
        <v>Database</v>
      </c>
      <c r="H1863" s="13" t="str">
        <f>SUBSTITUTE(Github!L$1084, ";", ", ")</f>
        <v>Database, </v>
      </c>
      <c r="I1863" s="10" t="str">
        <f>Github!E$1084</f>
        <v>Easy</v>
      </c>
      <c r="J1863" s="10" t="str">
        <f>IF(TRIM(Github!D$1084)="TRUE","FALSE","TRUE")</f>
        <v>FALSE</v>
      </c>
      <c r="K1863" s="10" t="b">
        <f>Github!M$1084</f>
        <v>0</v>
      </c>
      <c r="L1863" s="10" t="b">
        <f>Github!N$1084</f>
        <v>0</v>
      </c>
      <c r="M1863" s="10" t="str">
        <f>ROUND(Github!O$1084, 2)&amp;"%"</f>
        <v>50.52%</v>
      </c>
      <c r="N1863" s="10">
        <f>Github!P$1084</f>
        <v>38897</v>
      </c>
      <c r="O1863" s="10">
        <f>Github!Q$1084</f>
        <v>76988</v>
      </c>
    </row>
    <row r="1864">
      <c r="A1864" s="10">
        <f>Github!J$482</f>
        <v>481</v>
      </c>
      <c r="B1864" s="11" t="str">
        <f>HYPERLINK(CONCAT("http://leetcode.com/problems/",Github!C$482), Github!B$482)</f>
        <v>Magical String</v>
      </c>
      <c r="C1864" s="10">
        <f>Github!F$482</f>
        <v>174</v>
      </c>
      <c r="D1864" s="10">
        <f>Github!G$482</f>
        <v>910</v>
      </c>
      <c r="E1864" s="10">
        <f>Github!F$482+Github!G$482</f>
        <v>1084</v>
      </c>
      <c r="F1864" s="12">
        <f t="shared" si="1"/>
        <v>0.19</v>
      </c>
      <c r="G1864" s="10" t="str">
        <f>Github!H$482</f>
        <v>Algorithms</v>
      </c>
      <c r="H1864" s="13" t="str">
        <f>SUBSTITUTE(Github!L$482, ";", ", ")</f>
        <v>Two Pointers, String, </v>
      </c>
      <c r="I1864" s="10" t="str">
        <f>Github!E$482</f>
        <v>Medium</v>
      </c>
      <c r="J1864" s="10" t="str">
        <f>IF(TRIM(Github!D$482)="TRUE","FALSE","TRUE")</f>
        <v>TRUE</v>
      </c>
      <c r="K1864" s="10" t="b">
        <f>Github!M$482</f>
        <v>0</v>
      </c>
      <c r="L1864" s="10" t="b">
        <f>Github!N$482</f>
        <v>0</v>
      </c>
      <c r="M1864" s="10" t="str">
        <f>ROUND(Github!O$482, 2)&amp;"%"</f>
        <v>49.49%</v>
      </c>
      <c r="N1864" s="10">
        <f>Github!P$482</f>
        <v>27251</v>
      </c>
      <c r="O1864" s="10">
        <f>Github!Q$482</f>
        <v>55067</v>
      </c>
    </row>
    <row r="1865">
      <c r="A1865" s="10">
        <f>Github!J$1127</f>
        <v>1126</v>
      </c>
      <c r="B1865" s="11" t="str">
        <f>HYPERLINK(CONCAT("http://leetcode.com/problems/",Github!C$1127), Github!B$1127)</f>
        <v>Active Businesses</v>
      </c>
      <c r="C1865" s="10">
        <f>Github!F$1127</f>
        <v>174</v>
      </c>
      <c r="D1865" s="10">
        <f>Github!G$1127</f>
        <v>19</v>
      </c>
      <c r="E1865" s="10">
        <f>Github!F$1127+Github!G$1127</f>
        <v>193</v>
      </c>
      <c r="F1865" s="12">
        <f t="shared" si="1"/>
        <v>9.16</v>
      </c>
      <c r="G1865" s="10" t="str">
        <f>Github!H$1127</f>
        <v>Database</v>
      </c>
      <c r="H1865" s="13" t="str">
        <f>SUBSTITUTE(Github!L$1127, ";", ", ")</f>
        <v>Database, </v>
      </c>
      <c r="I1865" s="10" t="str">
        <f>Github!E$1127</f>
        <v>Medium</v>
      </c>
      <c r="J1865" s="10" t="str">
        <f>IF(TRIM(Github!D$1127)="TRUE","FALSE","TRUE")</f>
        <v>FALSE</v>
      </c>
      <c r="K1865" s="10" t="b">
        <f>Github!M$1127</f>
        <v>0</v>
      </c>
      <c r="L1865" s="10" t="b">
        <f>Github!N$1127</f>
        <v>0</v>
      </c>
      <c r="M1865" s="10" t="str">
        <f>ROUND(Github!O$1127, 2)&amp;"%"</f>
        <v>67.88%</v>
      </c>
      <c r="N1865" s="10">
        <f>Github!P$1127</f>
        <v>28177</v>
      </c>
      <c r="O1865" s="10">
        <f>Github!Q$1127</f>
        <v>41510</v>
      </c>
    </row>
    <row r="1866">
      <c r="A1866" s="10">
        <f>Github!J$1363</f>
        <v>1362</v>
      </c>
      <c r="B1866" s="11" t="str">
        <f>HYPERLINK(CONCAT("http://leetcode.com/problems/",Github!C$1363), Github!B$1363)</f>
        <v>Closest Divisors</v>
      </c>
      <c r="C1866" s="10">
        <f>Github!F$1363</f>
        <v>175</v>
      </c>
      <c r="D1866" s="10">
        <f>Github!G$1363</f>
        <v>80</v>
      </c>
      <c r="E1866" s="10">
        <f>Github!F$1363+Github!G$1363</f>
        <v>255</v>
      </c>
      <c r="F1866" s="12">
        <f t="shared" si="1"/>
        <v>2.19</v>
      </c>
      <c r="G1866" s="10" t="str">
        <f>Github!H$1363</f>
        <v>Algorithms</v>
      </c>
      <c r="H1866" s="13" t="str">
        <f>SUBSTITUTE(Github!L$1363, ";", ", ")</f>
        <v>Math, </v>
      </c>
      <c r="I1866" s="10" t="str">
        <f>Github!E$1363</f>
        <v>Medium</v>
      </c>
      <c r="J1866" s="10" t="str">
        <f>IF(TRIM(Github!D$1363)="TRUE","FALSE","TRUE")</f>
        <v>TRUE</v>
      </c>
      <c r="K1866" s="10" t="b">
        <f>Github!M$1363</f>
        <v>0</v>
      </c>
      <c r="L1866" s="10" t="b">
        <f>Github!N$1363</f>
        <v>0</v>
      </c>
      <c r="M1866" s="10" t="str">
        <f>ROUND(Github!O$1363, 2)&amp;"%"</f>
        <v>59.1%</v>
      </c>
      <c r="N1866" s="10">
        <f>Github!P$1363</f>
        <v>15160</v>
      </c>
      <c r="O1866" s="10">
        <f>Github!Q$1363</f>
        <v>25650</v>
      </c>
    </row>
    <row r="1867">
      <c r="A1867" s="10">
        <f>Github!J$2162</f>
        <v>2161</v>
      </c>
      <c r="B1867" s="11" t="str">
        <f>HYPERLINK(CONCAT("http://leetcode.com/problems/",Github!C$2162), Github!B$2162)</f>
        <v>Partition Array According to Given Pivot</v>
      </c>
      <c r="C1867" s="10">
        <f>Github!F$2162</f>
        <v>176</v>
      </c>
      <c r="D1867" s="10">
        <f>Github!G$2162</f>
        <v>15</v>
      </c>
      <c r="E1867" s="10">
        <f>Github!F$2162+Github!G$2162</f>
        <v>191</v>
      </c>
      <c r="F1867" s="12">
        <f t="shared" si="1"/>
        <v>11.73</v>
      </c>
      <c r="G1867" s="10" t="str">
        <f>Github!H$2162</f>
        <v>Algorithms</v>
      </c>
      <c r="H1867" s="13" t="str">
        <f>SUBSTITUTE(Github!L$2162, ";", ", ")</f>
        <v>Array, Two Pointers, Simulation, </v>
      </c>
      <c r="I1867" s="10" t="str">
        <f>Github!E$2162</f>
        <v>Medium</v>
      </c>
      <c r="J1867" s="10" t="str">
        <f>IF(TRIM(Github!D$2162)="TRUE","FALSE","TRUE")</f>
        <v>TRUE</v>
      </c>
      <c r="K1867" s="10" t="b">
        <f>Github!M$2162</f>
        <v>0</v>
      </c>
      <c r="L1867" s="10" t="b">
        <f>Github!N$2162</f>
        <v>0</v>
      </c>
      <c r="M1867" s="10" t="str">
        <f>ROUND(Github!O$2162, 2)&amp;"%"</f>
        <v>81.84%</v>
      </c>
      <c r="N1867" s="10">
        <f>Github!P$2162</f>
        <v>16072</v>
      </c>
      <c r="O1867" s="10">
        <f>Github!Q$2162</f>
        <v>19638</v>
      </c>
    </row>
    <row r="1868">
      <c r="A1868" s="10">
        <f>Github!J$1299</f>
        <v>1298</v>
      </c>
      <c r="B1868" s="11" t="str">
        <f>HYPERLINK(CONCAT("http://leetcode.com/problems/",Github!C$1299), Github!B$1299)</f>
        <v>Maximum Candies You Can Get from Boxes</v>
      </c>
      <c r="C1868" s="10">
        <f>Github!F$1299</f>
        <v>173</v>
      </c>
      <c r="D1868" s="10">
        <f>Github!G$1299</f>
        <v>112</v>
      </c>
      <c r="E1868" s="10">
        <f>Github!F$1299+Github!G$1299</f>
        <v>285</v>
      </c>
      <c r="F1868" s="12">
        <f t="shared" si="1"/>
        <v>1.54</v>
      </c>
      <c r="G1868" s="10" t="str">
        <f>Github!H$1299</f>
        <v>Algorithms</v>
      </c>
      <c r="H1868" s="13" t="str">
        <f>SUBSTITUTE(Github!L$1299, ";", ", ")</f>
        <v>Array, Breadth-First Search, </v>
      </c>
      <c r="I1868" s="10" t="str">
        <f>Github!E$1299</f>
        <v>Hard</v>
      </c>
      <c r="J1868" s="10" t="str">
        <f>IF(TRIM(Github!D$1299)="TRUE","FALSE","TRUE")</f>
        <v>TRUE</v>
      </c>
      <c r="K1868" s="10" t="b">
        <f>Github!M$1299</f>
        <v>0</v>
      </c>
      <c r="L1868" s="10" t="b">
        <f>Github!N$1299</f>
        <v>0</v>
      </c>
      <c r="M1868" s="10" t="str">
        <f>ROUND(Github!O$1299, 2)&amp;"%"</f>
        <v>60.86%</v>
      </c>
      <c r="N1868" s="10">
        <f>Github!P$1299</f>
        <v>9874</v>
      </c>
      <c r="O1868" s="10">
        <f>Github!Q$1299</f>
        <v>16224</v>
      </c>
    </row>
    <row r="1869">
      <c r="A1869" s="10">
        <f>Github!J$1682</f>
        <v>1681</v>
      </c>
      <c r="B1869" s="11" t="str">
        <f>HYPERLINK(CONCAT("http://leetcode.com/problems/",Github!C$1682), Github!B$1682)</f>
        <v>Minimum Incompatibility</v>
      </c>
      <c r="C1869" s="10">
        <f>Github!F$1682</f>
        <v>173</v>
      </c>
      <c r="D1869" s="10">
        <f>Github!G$1682</f>
        <v>81</v>
      </c>
      <c r="E1869" s="10">
        <f>Github!F$1682+Github!G$1682</f>
        <v>254</v>
      </c>
      <c r="F1869" s="12">
        <f t="shared" si="1"/>
        <v>2.14</v>
      </c>
      <c r="G1869" s="10" t="str">
        <f>Github!H$1682</f>
        <v>Algorithms</v>
      </c>
      <c r="H1869" s="13" t="str">
        <f>SUBSTITUTE(Github!L$1682, ";", ", ")</f>
        <v>Array, Dynamic Programming, Bit Manipulation, Bitmask, </v>
      </c>
      <c r="I1869" s="10" t="str">
        <f>Github!E$1682</f>
        <v>Hard</v>
      </c>
      <c r="J1869" s="10" t="str">
        <f>IF(TRIM(Github!D$1682)="TRUE","FALSE","TRUE")</f>
        <v>TRUE</v>
      </c>
      <c r="K1869" s="10" t="b">
        <f>Github!M$1682</f>
        <v>0</v>
      </c>
      <c r="L1869" s="10" t="b">
        <f>Github!N$1682</f>
        <v>0</v>
      </c>
      <c r="M1869" s="10" t="str">
        <f>ROUND(Github!O$1682, 2)&amp;"%"</f>
        <v>37.03%</v>
      </c>
      <c r="N1869" s="10">
        <f>Github!P$1682</f>
        <v>5678</v>
      </c>
      <c r="O1869" s="10">
        <f>Github!Q$1682</f>
        <v>15332</v>
      </c>
    </row>
    <row r="1870">
      <c r="A1870" s="10">
        <f>Github!J$1227</f>
        <v>1226</v>
      </c>
      <c r="B1870" s="11" t="str">
        <f>HYPERLINK(CONCAT("http://leetcode.com/problems/",Github!C$1227), Github!B$1227)</f>
        <v>The Dining Philosophers</v>
      </c>
      <c r="C1870" s="10">
        <f>Github!F$1227</f>
        <v>172</v>
      </c>
      <c r="D1870" s="10">
        <f>Github!G$1227</f>
        <v>194</v>
      </c>
      <c r="E1870" s="10">
        <f>Github!F$1227+Github!G$1227</f>
        <v>366</v>
      </c>
      <c r="F1870" s="12">
        <f t="shared" si="1"/>
        <v>0.89</v>
      </c>
      <c r="G1870" s="10" t="str">
        <f>Github!H$1227</f>
        <v>Concurrency</v>
      </c>
      <c r="H1870" s="13" t="str">
        <f>SUBSTITUTE(Github!L$1227, ";", ", ")</f>
        <v>Concurrency, </v>
      </c>
      <c r="I1870" s="10" t="str">
        <f>Github!E$1227</f>
        <v>Medium</v>
      </c>
      <c r="J1870" s="10" t="str">
        <f>IF(TRIM(Github!D$1227)="TRUE","FALSE","TRUE")</f>
        <v>TRUE</v>
      </c>
      <c r="K1870" s="10" t="b">
        <f>Github!M$1227</f>
        <v>0</v>
      </c>
      <c r="L1870" s="10" t="b">
        <f>Github!N$1227</f>
        <v>0</v>
      </c>
      <c r="M1870" s="10" t="str">
        <f>ROUND(Github!O$1227, 2)&amp;"%"</f>
        <v>58.64%</v>
      </c>
      <c r="N1870" s="10">
        <f>Github!P$1227</f>
        <v>18058</v>
      </c>
      <c r="O1870" s="10">
        <f>Github!Q$1227</f>
        <v>30790</v>
      </c>
    </row>
    <row r="1871">
      <c r="A1871" s="10">
        <f>Github!J$1601</f>
        <v>1600</v>
      </c>
      <c r="B1871" s="11" t="str">
        <f>HYPERLINK(CONCAT("http://leetcode.com/problems/",Github!C$1601), Github!B$1601)</f>
        <v>Throne Inheritance</v>
      </c>
      <c r="C1871" s="10">
        <f>Github!F$1601</f>
        <v>172</v>
      </c>
      <c r="D1871" s="10">
        <f>Github!G$1601</f>
        <v>227</v>
      </c>
      <c r="E1871" s="10">
        <f>Github!F$1601+Github!G$1601</f>
        <v>399</v>
      </c>
      <c r="F1871" s="12">
        <f t="shared" si="1"/>
        <v>0.76</v>
      </c>
      <c r="G1871" s="10" t="str">
        <f>Github!H$1601</f>
        <v>Algorithms</v>
      </c>
      <c r="H1871" s="13" t="str">
        <f>SUBSTITUTE(Github!L$1601, ";", ", ")</f>
        <v>Hash Table, Tree, Depth-First Search, Design, </v>
      </c>
      <c r="I1871" s="10" t="str">
        <f>Github!E$1601</f>
        <v>Medium</v>
      </c>
      <c r="J1871" s="10" t="str">
        <f>IF(TRIM(Github!D$1601)="TRUE","FALSE","TRUE")</f>
        <v>TRUE</v>
      </c>
      <c r="K1871" s="10" t="b">
        <f>Github!M$1601</f>
        <v>0</v>
      </c>
      <c r="L1871" s="10" t="b">
        <f>Github!N$1601</f>
        <v>0</v>
      </c>
      <c r="M1871" s="10" t="str">
        <f>ROUND(Github!O$1601, 2)&amp;"%"</f>
        <v>62.91%</v>
      </c>
      <c r="N1871" s="10">
        <f>Github!P$1601</f>
        <v>11212</v>
      </c>
      <c r="O1871" s="10">
        <f>Github!Q$1601</f>
        <v>17823</v>
      </c>
    </row>
    <row r="1872">
      <c r="A1872" s="10">
        <f>Github!J$1317</f>
        <v>1316</v>
      </c>
      <c r="B1872" s="11" t="str">
        <f>HYPERLINK(CONCAT("http://leetcode.com/problems/",Github!C$1317), Github!B$1317)</f>
        <v>Distinct Echo Substrings</v>
      </c>
      <c r="C1872" s="10">
        <f>Github!F$1317</f>
        <v>172</v>
      </c>
      <c r="D1872" s="10">
        <f>Github!G$1317</f>
        <v>164</v>
      </c>
      <c r="E1872" s="10">
        <f>Github!F$1317+Github!G$1317</f>
        <v>336</v>
      </c>
      <c r="F1872" s="12">
        <f t="shared" si="1"/>
        <v>1.05</v>
      </c>
      <c r="G1872" s="10" t="str">
        <f>Github!H$1317</f>
        <v>Algorithms</v>
      </c>
      <c r="H1872" s="13" t="str">
        <f>SUBSTITUTE(Github!L$1317, ";", ", ")</f>
        <v>String, Dynamic Programming, Trie, Sliding Window, Rolling Hash, Hash Function, </v>
      </c>
      <c r="I1872" s="10" t="str">
        <f>Github!E$1317</f>
        <v>Hard</v>
      </c>
      <c r="J1872" s="10" t="str">
        <f>IF(TRIM(Github!D$1317)="TRUE","FALSE","TRUE")</f>
        <v>TRUE</v>
      </c>
      <c r="K1872" s="10" t="b">
        <f>Github!M$1317</f>
        <v>0</v>
      </c>
      <c r="L1872" s="10" t="b">
        <f>Github!N$1317</f>
        <v>0</v>
      </c>
      <c r="M1872" s="10" t="str">
        <f>ROUND(Github!O$1317, 2)&amp;"%"</f>
        <v>50.13%</v>
      </c>
      <c r="N1872" s="10">
        <f>Github!P$1317</f>
        <v>11210</v>
      </c>
      <c r="O1872" s="10">
        <f>Github!Q$1317</f>
        <v>22360</v>
      </c>
    </row>
    <row r="1873">
      <c r="A1873" s="10">
        <f>Github!J$2015</f>
        <v>2014</v>
      </c>
      <c r="B1873" s="11" t="str">
        <f>HYPERLINK(CONCAT("http://leetcode.com/problems/",Github!C$2015), Github!B$2015)</f>
        <v>Longest Subsequence Repeated k Times</v>
      </c>
      <c r="C1873" s="10">
        <f>Github!F$2015</f>
        <v>170</v>
      </c>
      <c r="D1873" s="10">
        <f>Github!G$2015</f>
        <v>50</v>
      </c>
      <c r="E1873" s="10">
        <f>Github!F$2015+Github!G$2015</f>
        <v>220</v>
      </c>
      <c r="F1873" s="12">
        <f t="shared" si="1"/>
        <v>3.4</v>
      </c>
      <c r="G1873" s="10" t="str">
        <f>Github!H$2015</f>
        <v>Algorithms</v>
      </c>
      <c r="H1873" s="13" t="str">
        <f>SUBSTITUTE(Github!L$2015, ";", ", ")</f>
        <v>String, Backtracking, Greedy, Counting, Enumeration, </v>
      </c>
      <c r="I1873" s="10" t="str">
        <f>Github!E$2015</f>
        <v>Hard</v>
      </c>
      <c r="J1873" s="10" t="str">
        <f>IF(TRIM(Github!D$2015)="TRUE","FALSE","TRUE")</f>
        <v>TRUE</v>
      </c>
      <c r="K1873" s="10" t="b">
        <f>Github!M$2015</f>
        <v>0</v>
      </c>
      <c r="L1873" s="10" t="b">
        <f>Github!N$2015</f>
        <v>0</v>
      </c>
      <c r="M1873" s="10" t="str">
        <f>ROUND(Github!O$2015, 2)&amp;"%"</f>
        <v>54.66%</v>
      </c>
      <c r="N1873" s="10">
        <f>Github!P$2015</f>
        <v>3824</v>
      </c>
      <c r="O1873" s="10">
        <f>Github!Q$2015</f>
        <v>6996</v>
      </c>
    </row>
    <row r="1874">
      <c r="A1874" s="10">
        <f>Github!J$580</f>
        <v>579</v>
      </c>
      <c r="B1874" s="11" t="str">
        <f>HYPERLINK(CONCAT("http://leetcode.com/problems/",Github!C$580), Github!B$580)</f>
        <v>Find Cumulative Salary of an Employee</v>
      </c>
      <c r="C1874" s="10">
        <f>Github!F$580</f>
        <v>170</v>
      </c>
      <c r="D1874" s="10">
        <f>Github!G$580</f>
        <v>371</v>
      </c>
      <c r="E1874" s="10">
        <f>Github!F$580+Github!G$580</f>
        <v>541</v>
      </c>
      <c r="F1874" s="12">
        <f t="shared" si="1"/>
        <v>0.46</v>
      </c>
      <c r="G1874" s="10" t="str">
        <f>Github!H$580</f>
        <v>Database</v>
      </c>
      <c r="H1874" s="13" t="str">
        <f>SUBSTITUTE(Github!L$580, ";", ", ")</f>
        <v>Database, </v>
      </c>
      <c r="I1874" s="10" t="str">
        <f>Github!E$580</f>
        <v>Hard</v>
      </c>
      <c r="J1874" s="10" t="str">
        <f>IF(TRIM(Github!D$580)="TRUE","FALSE","TRUE")</f>
        <v>FALSE</v>
      </c>
      <c r="K1874" s="10" t="b">
        <f>Github!M$580</f>
        <v>1</v>
      </c>
      <c r="L1874" s="10" t="b">
        <f>Github!N$580</f>
        <v>0</v>
      </c>
      <c r="M1874" s="10" t="str">
        <f>ROUND(Github!O$580, 2)&amp;"%"</f>
        <v>42.22%</v>
      </c>
      <c r="N1874" s="10">
        <f>Github!P$580</f>
        <v>24868</v>
      </c>
      <c r="O1874" s="10">
        <f>Github!Q$580</f>
        <v>58904</v>
      </c>
    </row>
    <row r="1875">
      <c r="A1875" s="10">
        <f>Github!J$632</f>
        <v>631</v>
      </c>
      <c r="B1875" s="11" t="str">
        <f>HYPERLINK(CONCAT("http://leetcode.com/problems/",Github!C$632), Github!B$632)</f>
        <v>Design Excel Sum Formula</v>
      </c>
      <c r="C1875" s="10">
        <f>Github!F$632</f>
        <v>169</v>
      </c>
      <c r="D1875" s="10">
        <f>Github!G$632</f>
        <v>208</v>
      </c>
      <c r="E1875" s="10">
        <f>Github!F$632+Github!G$632</f>
        <v>377</v>
      </c>
      <c r="F1875" s="12">
        <f t="shared" si="1"/>
        <v>0.81</v>
      </c>
      <c r="G1875" s="10" t="str">
        <f>Github!H$632</f>
        <v>Algorithms</v>
      </c>
      <c r="H1875" s="13" t="str">
        <f>SUBSTITUTE(Github!L$632, ";", ", ")</f>
        <v>Graph, Design, Topological Sort, </v>
      </c>
      <c r="I1875" s="10" t="str">
        <f>Github!E$632</f>
        <v>Hard</v>
      </c>
      <c r="J1875" s="10" t="str">
        <f>IF(TRIM(Github!D$632)="TRUE","FALSE","TRUE")</f>
        <v>FALSE</v>
      </c>
      <c r="K1875" s="10" t="b">
        <f>Github!M$632</f>
        <v>1</v>
      </c>
      <c r="L1875" s="10" t="b">
        <f>Github!N$632</f>
        <v>0</v>
      </c>
      <c r="M1875" s="10" t="str">
        <f>ROUND(Github!O$632, 2)&amp;"%"</f>
        <v>40.61%</v>
      </c>
      <c r="N1875" s="10">
        <f>Github!P$632</f>
        <v>10128</v>
      </c>
      <c r="O1875" s="10">
        <f>Github!Q$632</f>
        <v>24937</v>
      </c>
    </row>
    <row r="1876">
      <c r="A1876" s="10">
        <f>Github!J$2129</f>
        <v>2128</v>
      </c>
      <c r="B1876" s="11" t="str">
        <f>HYPERLINK(CONCAT("http://leetcode.com/problems/",Github!C$2129), Github!B$2129)</f>
        <v>Remove All Ones With Row and Column Flips</v>
      </c>
      <c r="C1876" s="10">
        <f>Github!F$2129</f>
        <v>170</v>
      </c>
      <c r="D1876" s="10">
        <f>Github!G$2129</f>
        <v>33</v>
      </c>
      <c r="E1876" s="10">
        <f>Github!F$2129+Github!G$2129</f>
        <v>203</v>
      </c>
      <c r="F1876" s="12">
        <f t="shared" si="1"/>
        <v>5.15</v>
      </c>
      <c r="G1876" s="10" t="str">
        <f>Github!H$2129</f>
        <v>Algorithms</v>
      </c>
      <c r="H1876" s="13" t="str">
        <f>SUBSTITUTE(Github!L$2129, ";", ", ")</f>
        <v>Array, Math, Bit Manipulation, Matrix, </v>
      </c>
      <c r="I1876" s="10" t="str">
        <f>Github!E$2129</f>
        <v>Medium</v>
      </c>
      <c r="J1876" s="10" t="str">
        <f>IF(TRIM(Github!D$2129)="TRUE","FALSE","TRUE")</f>
        <v>FALSE</v>
      </c>
      <c r="K1876" s="10" t="b">
        <f>Github!M$2129</f>
        <v>0</v>
      </c>
      <c r="L1876" s="10" t="b">
        <f>Github!N$2129</f>
        <v>0</v>
      </c>
      <c r="M1876" s="10" t="str">
        <f>ROUND(Github!O$2129, 2)&amp;"%"</f>
        <v>76.28%</v>
      </c>
      <c r="N1876" s="10">
        <f>Github!P$2129</f>
        <v>7157</v>
      </c>
      <c r="O1876" s="10">
        <f>Github!Q$2129</f>
        <v>9382</v>
      </c>
    </row>
    <row r="1877">
      <c r="A1877" s="10">
        <f>Github!J$616</f>
        <v>615</v>
      </c>
      <c r="B1877" s="11" t="str">
        <f>HYPERLINK(CONCAT("http://leetcode.com/problems/",Github!C$616), Github!B$616)</f>
        <v>Average Salary: Departments VS Company</v>
      </c>
      <c r="C1877" s="10">
        <f>Github!F$616</f>
        <v>168</v>
      </c>
      <c r="D1877" s="10">
        <f>Github!G$616</f>
        <v>58</v>
      </c>
      <c r="E1877" s="10">
        <f>Github!F$616+Github!G$616</f>
        <v>226</v>
      </c>
      <c r="F1877" s="12">
        <f t="shared" si="1"/>
        <v>2.9</v>
      </c>
      <c r="G1877" s="10" t="str">
        <f>Github!H$616</f>
        <v>Database</v>
      </c>
      <c r="H1877" s="13" t="str">
        <f>SUBSTITUTE(Github!L$616, ";", ", ")</f>
        <v>Database, </v>
      </c>
      <c r="I1877" s="10" t="str">
        <f>Github!E$616</f>
        <v>Hard</v>
      </c>
      <c r="J1877" s="10" t="str">
        <f>IF(TRIM(Github!D$616)="TRUE","FALSE","TRUE")</f>
        <v>FALSE</v>
      </c>
      <c r="K1877" s="10" t="b">
        <f>Github!M$616</f>
        <v>1</v>
      </c>
      <c r="L1877" s="10" t="b">
        <f>Github!N$616</f>
        <v>0</v>
      </c>
      <c r="M1877" s="10" t="str">
        <f>ROUND(Github!O$616, 2)&amp;"%"</f>
        <v>55.98%</v>
      </c>
      <c r="N1877" s="10">
        <f>Github!P$616</f>
        <v>24811</v>
      </c>
      <c r="O1877" s="10">
        <f>Github!Q$616</f>
        <v>44322</v>
      </c>
    </row>
    <row r="1878">
      <c r="A1878" s="10">
        <f>Github!J$1078</f>
        <v>1077</v>
      </c>
      <c r="B1878" s="11" t="str">
        <f>HYPERLINK(CONCAT("http://leetcode.com/problems/",Github!C$1078), Github!B$1078)</f>
        <v>Project Employees III</v>
      </c>
      <c r="C1878" s="10">
        <f>Github!F$1078</f>
        <v>168</v>
      </c>
      <c r="D1878" s="10">
        <f>Github!G$1078</f>
        <v>4</v>
      </c>
      <c r="E1878" s="10">
        <f>Github!F$1078+Github!G$1078</f>
        <v>172</v>
      </c>
      <c r="F1878" s="12">
        <f t="shared" si="1"/>
        <v>42</v>
      </c>
      <c r="G1878" s="10" t="str">
        <f>Github!H$1078</f>
        <v>Database</v>
      </c>
      <c r="H1878" s="13" t="str">
        <f>SUBSTITUTE(Github!L$1078, ";", ", ")</f>
        <v>Database, </v>
      </c>
      <c r="I1878" s="10" t="str">
        <f>Github!E$1078</f>
        <v>Medium</v>
      </c>
      <c r="J1878" s="10" t="str">
        <f>IF(TRIM(Github!D$1078)="TRUE","FALSE","TRUE")</f>
        <v>FALSE</v>
      </c>
      <c r="K1878" s="10" t="b">
        <f>Github!M$1078</f>
        <v>0</v>
      </c>
      <c r="L1878" s="10" t="b">
        <f>Github!N$1078</f>
        <v>0</v>
      </c>
      <c r="M1878" s="10" t="str">
        <f>ROUND(Github!O$1078, 2)&amp;"%"</f>
        <v>78.6%</v>
      </c>
      <c r="N1878" s="10">
        <f>Github!P$1078</f>
        <v>32668</v>
      </c>
      <c r="O1878" s="10">
        <f>Github!Q$1078</f>
        <v>41564</v>
      </c>
    </row>
    <row r="1879">
      <c r="A1879" s="10">
        <f>Github!J$1926</f>
        <v>1925</v>
      </c>
      <c r="B1879" s="11" t="str">
        <f>HYPERLINK(CONCAT("http://leetcode.com/problems/",Github!C$1926), Github!B$1926)</f>
        <v>Count Square Sum Triples</v>
      </c>
      <c r="C1879" s="10">
        <f>Github!F$1926</f>
        <v>167</v>
      </c>
      <c r="D1879" s="10">
        <f>Github!G$1926</f>
        <v>18</v>
      </c>
      <c r="E1879" s="10">
        <f>Github!F$1926+Github!G$1926</f>
        <v>185</v>
      </c>
      <c r="F1879" s="12">
        <f t="shared" si="1"/>
        <v>9.28</v>
      </c>
      <c r="G1879" s="10" t="str">
        <f>Github!H$1926</f>
        <v>Algorithms</v>
      </c>
      <c r="H1879" s="13" t="str">
        <f>SUBSTITUTE(Github!L$1926, ";", ", ")</f>
        <v>Math, Enumeration, </v>
      </c>
      <c r="I1879" s="10" t="str">
        <f>Github!E$1926</f>
        <v>Easy</v>
      </c>
      <c r="J1879" s="10" t="str">
        <f>IF(TRIM(Github!D$1926)="TRUE","FALSE","TRUE")</f>
        <v>TRUE</v>
      </c>
      <c r="K1879" s="10" t="b">
        <f>Github!M$1926</f>
        <v>0</v>
      </c>
      <c r="L1879" s="10" t="b">
        <f>Github!N$1926</f>
        <v>0</v>
      </c>
      <c r="M1879" s="10" t="str">
        <f>ROUND(Github!O$1926, 2)&amp;"%"</f>
        <v>67.13%</v>
      </c>
      <c r="N1879" s="10">
        <f>Github!P$1926</f>
        <v>19455</v>
      </c>
      <c r="O1879" s="10">
        <f>Github!Q$1926</f>
        <v>28981</v>
      </c>
    </row>
    <row r="1880">
      <c r="A1880" s="10">
        <f>Github!J$1046</f>
        <v>1045</v>
      </c>
      <c r="B1880" s="11" t="str">
        <f>HYPERLINK(CONCAT("http://leetcode.com/problems/",Github!C$1046), Github!B$1046)</f>
        <v>Customers Who Bought All Products</v>
      </c>
      <c r="C1880" s="10">
        <f>Github!F$1046</f>
        <v>166</v>
      </c>
      <c r="D1880" s="10">
        <f>Github!G$1046</f>
        <v>35</v>
      </c>
      <c r="E1880" s="10">
        <f>Github!F$1046+Github!G$1046</f>
        <v>201</v>
      </c>
      <c r="F1880" s="12">
        <f t="shared" si="1"/>
        <v>4.74</v>
      </c>
      <c r="G1880" s="10" t="str">
        <f>Github!H$1046</f>
        <v>Database</v>
      </c>
      <c r="H1880" s="13" t="str">
        <f>SUBSTITUTE(Github!L$1046, ";", ", ")</f>
        <v>Database, </v>
      </c>
      <c r="I1880" s="10" t="str">
        <f>Github!E$1046</f>
        <v>Medium</v>
      </c>
      <c r="J1880" s="10" t="str">
        <f>IF(TRIM(Github!D$1046)="TRUE","FALSE","TRUE")</f>
        <v>FALSE</v>
      </c>
      <c r="K1880" s="10" t="b">
        <f>Github!M$1046</f>
        <v>0</v>
      </c>
      <c r="L1880" s="10" t="b">
        <f>Github!N$1046</f>
        <v>0</v>
      </c>
      <c r="M1880" s="10" t="str">
        <f>ROUND(Github!O$1046, 2)&amp;"%"</f>
        <v>67.36%</v>
      </c>
      <c r="N1880" s="10">
        <f>Github!P$1046</f>
        <v>34123</v>
      </c>
      <c r="O1880" s="10">
        <f>Github!Q$1046</f>
        <v>50655</v>
      </c>
    </row>
    <row r="1881">
      <c r="A1881" s="10">
        <f>Github!J$1064</f>
        <v>1063</v>
      </c>
      <c r="B1881" s="11" t="str">
        <f>HYPERLINK(CONCAT("http://leetcode.com/problems/",Github!C$1064), Github!B$1064)</f>
        <v>Number of Valid Subarrays</v>
      </c>
      <c r="C1881" s="10">
        <f>Github!F$1064</f>
        <v>166</v>
      </c>
      <c r="D1881" s="10">
        <f>Github!G$1064</f>
        <v>8</v>
      </c>
      <c r="E1881" s="10">
        <f>Github!F$1064+Github!G$1064</f>
        <v>174</v>
      </c>
      <c r="F1881" s="12">
        <f t="shared" si="1"/>
        <v>20.75</v>
      </c>
      <c r="G1881" s="10" t="str">
        <f>Github!H$1064</f>
        <v>Algorithms</v>
      </c>
      <c r="H1881" s="13" t="str">
        <f>SUBSTITUTE(Github!L$1064, ";", ", ")</f>
        <v>Array, Stack, Monotonic Stack, </v>
      </c>
      <c r="I1881" s="10" t="str">
        <f>Github!E$1064</f>
        <v>Hard</v>
      </c>
      <c r="J1881" s="10" t="str">
        <f>IF(TRIM(Github!D$1064)="TRUE","FALSE","TRUE")</f>
        <v>FALSE</v>
      </c>
      <c r="K1881" s="10" t="b">
        <f>Github!M$1064</f>
        <v>0</v>
      </c>
      <c r="L1881" s="10" t="b">
        <f>Github!N$1064</f>
        <v>0</v>
      </c>
      <c r="M1881" s="10" t="str">
        <f>ROUND(Github!O$1064, 2)&amp;"%"</f>
        <v>73.43%</v>
      </c>
      <c r="N1881" s="10">
        <f>Github!P$1064</f>
        <v>5975</v>
      </c>
      <c r="O1881" s="10">
        <f>Github!Q$1064</f>
        <v>8137</v>
      </c>
    </row>
    <row r="1882">
      <c r="A1882" s="10">
        <f>Github!J$2148</f>
        <v>2147</v>
      </c>
      <c r="B1882" s="11" t="str">
        <f>HYPERLINK(CONCAT("http://leetcode.com/problems/",Github!C$2148), Github!B$2148)</f>
        <v>Number of Ways to Divide a Long Corridor</v>
      </c>
      <c r="C1882" s="10">
        <f>Github!F$2148</f>
        <v>165</v>
      </c>
      <c r="D1882" s="10">
        <f>Github!G$2148</f>
        <v>14</v>
      </c>
      <c r="E1882" s="10">
        <f>Github!F$2148+Github!G$2148</f>
        <v>179</v>
      </c>
      <c r="F1882" s="12">
        <f t="shared" si="1"/>
        <v>11.79</v>
      </c>
      <c r="G1882" s="10" t="str">
        <f>Github!H$2148</f>
        <v>Algorithms</v>
      </c>
      <c r="H1882" s="13" t="str">
        <f>SUBSTITUTE(Github!L$2148, ";", ", ")</f>
        <v>Math, String, Dynamic Programming, </v>
      </c>
      <c r="I1882" s="10" t="str">
        <f>Github!E$2148</f>
        <v>Hard</v>
      </c>
      <c r="J1882" s="10" t="str">
        <f>IF(TRIM(Github!D$2148)="TRUE","FALSE","TRUE")</f>
        <v>TRUE</v>
      </c>
      <c r="K1882" s="10" t="b">
        <f>Github!M$2148</f>
        <v>0</v>
      </c>
      <c r="L1882" s="10" t="b">
        <f>Github!N$2148</f>
        <v>0</v>
      </c>
      <c r="M1882" s="10" t="str">
        <f>ROUND(Github!O$2148, 2)&amp;"%"</f>
        <v>39.92%</v>
      </c>
      <c r="N1882" s="10">
        <f>Github!P$2148</f>
        <v>6109</v>
      </c>
      <c r="O1882" s="10">
        <f>Github!Q$2148</f>
        <v>15302</v>
      </c>
    </row>
    <row r="1883">
      <c r="A1883" s="10">
        <f>Github!J$2198</f>
        <v>2197</v>
      </c>
      <c r="B1883" s="11" t="str">
        <f>HYPERLINK(CONCAT("http://leetcode.com/problems/",Github!C$2198), Github!B$2198)</f>
        <v>Replace Non-Coprime Numbers in Array</v>
      </c>
      <c r="C1883" s="10">
        <f>Github!F$2198</f>
        <v>169</v>
      </c>
      <c r="D1883" s="10">
        <f>Github!G$2198</f>
        <v>5</v>
      </c>
      <c r="E1883" s="10">
        <f>Github!F$2198+Github!G$2198</f>
        <v>174</v>
      </c>
      <c r="F1883" s="12">
        <f t="shared" si="1"/>
        <v>33.8</v>
      </c>
      <c r="G1883" s="10" t="str">
        <f>Github!H$2198</f>
        <v>Algorithms</v>
      </c>
      <c r="H1883" s="13" t="str">
        <f>SUBSTITUTE(Github!L$2198, ";", ", ")</f>
        <v>Array, Math, Stack, Number Theory, </v>
      </c>
      <c r="I1883" s="10" t="str">
        <f>Github!E$2198</f>
        <v>Hard</v>
      </c>
      <c r="J1883" s="10" t="str">
        <f>IF(TRIM(Github!D$2198)="TRUE","FALSE","TRUE")</f>
        <v>TRUE</v>
      </c>
      <c r="K1883" s="10" t="b">
        <f>Github!M$2198</f>
        <v>0</v>
      </c>
      <c r="L1883" s="10" t="b">
        <f>Github!N$2198</f>
        <v>0</v>
      </c>
      <c r="M1883" s="10" t="str">
        <f>ROUND(Github!O$2198, 2)&amp;"%"</f>
        <v>33.26%</v>
      </c>
      <c r="N1883" s="10">
        <f>Github!P$2198</f>
        <v>5655</v>
      </c>
      <c r="O1883" s="10">
        <f>Github!Q$2198</f>
        <v>17014</v>
      </c>
    </row>
    <row r="1884">
      <c r="A1884" s="10">
        <f>Github!J$1915</f>
        <v>1914</v>
      </c>
      <c r="B1884" s="11" t="str">
        <f>HYPERLINK(CONCAT("http://leetcode.com/problems/",Github!C$1915), Github!B$1915)</f>
        <v>Cyclically Rotating a Grid</v>
      </c>
      <c r="C1884" s="10">
        <f>Github!F$1915</f>
        <v>164</v>
      </c>
      <c r="D1884" s="10">
        <f>Github!G$1915</f>
        <v>222</v>
      </c>
      <c r="E1884" s="10">
        <f>Github!F$1915+Github!G$1915</f>
        <v>386</v>
      </c>
      <c r="F1884" s="12">
        <f t="shared" si="1"/>
        <v>0.74</v>
      </c>
      <c r="G1884" s="10" t="str">
        <f>Github!H$1915</f>
        <v>Algorithms</v>
      </c>
      <c r="H1884" s="13" t="str">
        <f>SUBSTITUTE(Github!L$1915, ";", ", ")</f>
        <v>Array, Matrix, Simulation, </v>
      </c>
      <c r="I1884" s="10" t="str">
        <f>Github!E$1915</f>
        <v>Medium</v>
      </c>
      <c r="J1884" s="10" t="str">
        <f>IF(TRIM(Github!D$1915)="TRUE","FALSE","TRUE")</f>
        <v>TRUE</v>
      </c>
      <c r="K1884" s="10" t="b">
        <f>Github!M$1915</f>
        <v>0</v>
      </c>
      <c r="L1884" s="10" t="b">
        <f>Github!N$1915</f>
        <v>0</v>
      </c>
      <c r="M1884" s="10" t="str">
        <f>ROUND(Github!O$1915, 2)&amp;"%"</f>
        <v>46.51%</v>
      </c>
      <c r="N1884" s="10">
        <f>Github!P$1915</f>
        <v>8862</v>
      </c>
      <c r="O1884" s="10">
        <f>Github!Q$1915</f>
        <v>19052</v>
      </c>
    </row>
    <row r="1885">
      <c r="A1885" s="10">
        <f>Github!J$412</f>
        <v>411</v>
      </c>
      <c r="B1885" s="11" t="str">
        <f>HYPERLINK(CONCAT("http://leetcode.com/problems/",Github!C$412), Github!B$412)</f>
        <v>Minimum Unique Word Abbreviation</v>
      </c>
      <c r="C1885" s="10">
        <f>Github!F$412</f>
        <v>163</v>
      </c>
      <c r="D1885" s="10">
        <f>Github!G$412</f>
        <v>135</v>
      </c>
      <c r="E1885" s="10">
        <f>Github!F$412+Github!G$412</f>
        <v>298</v>
      </c>
      <c r="F1885" s="12">
        <f t="shared" si="1"/>
        <v>1.21</v>
      </c>
      <c r="G1885" s="10" t="str">
        <f>Github!H$412</f>
        <v>Algorithms</v>
      </c>
      <c r="H1885" s="13" t="str">
        <f>SUBSTITUTE(Github!L$412, ";", ", ")</f>
        <v>String, Backtracking, Bit Manipulation, </v>
      </c>
      <c r="I1885" s="10" t="str">
        <f>Github!E$412</f>
        <v>Hard</v>
      </c>
      <c r="J1885" s="10" t="str">
        <f>IF(TRIM(Github!D$412)="TRUE","FALSE","TRUE")</f>
        <v>FALSE</v>
      </c>
      <c r="K1885" s="10" t="b">
        <f>Github!M$412</f>
        <v>0</v>
      </c>
      <c r="L1885" s="10" t="b">
        <f>Github!N$412</f>
        <v>0</v>
      </c>
      <c r="M1885" s="10" t="str">
        <f>ROUND(Github!O$412, 2)&amp;"%"</f>
        <v>38.36%</v>
      </c>
      <c r="N1885" s="10">
        <f>Github!P$412</f>
        <v>13180</v>
      </c>
      <c r="O1885" s="10">
        <f>Github!Q$412</f>
        <v>34359</v>
      </c>
    </row>
    <row r="1886">
      <c r="A1886" s="10">
        <f>Github!J$1605</f>
        <v>1604</v>
      </c>
      <c r="B1886" s="11" t="str">
        <f>HYPERLINK(CONCAT("http://leetcode.com/problems/",Github!C$1605), Github!B$1605)</f>
        <v>Alert Using Same Key-Card Three or More Times in a One Hour Period</v>
      </c>
      <c r="C1886" s="10">
        <f>Github!F$1605</f>
        <v>163</v>
      </c>
      <c r="D1886" s="10">
        <f>Github!G$1605</f>
        <v>257</v>
      </c>
      <c r="E1886" s="10">
        <f>Github!F$1605+Github!G$1605</f>
        <v>420</v>
      </c>
      <c r="F1886" s="12">
        <f t="shared" si="1"/>
        <v>0.63</v>
      </c>
      <c r="G1886" s="10" t="str">
        <f>Github!H$1605</f>
        <v>Algorithms</v>
      </c>
      <c r="H1886" s="13" t="str">
        <f>SUBSTITUTE(Github!L$1605, ";", ", ")</f>
        <v>Array, Hash Table, String, Sorting, </v>
      </c>
      <c r="I1886" s="10" t="str">
        <f>Github!E$1605</f>
        <v>Medium</v>
      </c>
      <c r="J1886" s="10" t="str">
        <f>IF(TRIM(Github!D$1605)="TRUE","FALSE","TRUE")</f>
        <v>TRUE</v>
      </c>
      <c r="K1886" s="10" t="b">
        <f>Github!M$1605</f>
        <v>0</v>
      </c>
      <c r="L1886" s="10" t="b">
        <f>Github!N$1605</f>
        <v>0</v>
      </c>
      <c r="M1886" s="10" t="str">
        <f>ROUND(Github!O$1605, 2)&amp;"%"</f>
        <v>47.12%</v>
      </c>
      <c r="N1886" s="10">
        <f>Github!P$1605</f>
        <v>17900</v>
      </c>
      <c r="O1886" s="10">
        <f>Github!Q$1605</f>
        <v>37991</v>
      </c>
    </row>
    <row r="1887">
      <c r="A1887" s="10">
        <f>Github!J$635</f>
        <v>634</v>
      </c>
      <c r="B1887" s="11" t="str">
        <f>HYPERLINK(CONCAT("http://leetcode.com/problems/",Github!C$635), Github!B$635)</f>
        <v>Find the Derangement of An Array</v>
      </c>
      <c r="C1887" s="10">
        <f>Github!F$635</f>
        <v>162</v>
      </c>
      <c r="D1887" s="10">
        <f>Github!G$635</f>
        <v>132</v>
      </c>
      <c r="E1887" s="10">
        <f>Github!F$635+Github!G$635</f>
        <v>294</v>
      </c>
      <c r="F1887" s="12">
        <f t="shared" si="1"/>
        <v>1.23</v>
      </c>
      <c r="G1887" s="10" t="str">
        <f>Github!H$635</f>
        <v>Algorithms</v>
      </c>
      <c r="H1887" s="13" t="str">
        <f>SUBSTITUTE(Github!L$635, ";", ", ")</f>
        <v>Math, Dynamic Programming, </v>
      </c>
      <c r="I1887" s="10" t="str">
        <f>Github!E$635</f>
        <v>Medium</v>
      </c>
      <c r="J1887" s="10" t="str">
        <f>IF(TRIM(Github!D$635)="TRUE","FALSE","TRUE")</f>
        <v>FALSE</v>
      </c>
      <c r="K1887" s="10" t="b">
        <f>Github!M$635</f>
        <v>1</v>
      </c>
      <c r="L1887" s="10" t="b">
        <f>Github!N$635</f>
        <v>0</v>
      </c>
      <c r="M1887" s="10" t="str">
        <f>ROUND(Github!O$635, 2)&amp;"%"</f>
        <v>41.15%</v>
      </c>
      <c r="N1887" s="10">
        <f>Github!P$635</f>
        <v>8246</v>
      </c>
      <c r="O1887" s="10">
        <f>Github!Q$635</f>
        <v>20041</v>
      </c>
    </row>
    <row r="1888">
      <c r="A1888" s="10">
        <f>Github!J$1802</f>
        <v>1801</v>
      </c>
      <c r="B1888" s="11" t="str">
        <f>HYPERLINK(CONCAT("http://leetcode.com/problems/",Github!C$1802), Github!B$1802)</f>
        <v>Number of Orders in the Backlog</v>
      </c>
      <c r="C1888" s="10">
        <f>Github!F$1802</f>
        <v>162</v>
      </c>
      <c r="D1888" s="10">
        <f>Github!G$1802</f>
        <v>174</v>
      </c>
      <c r="E1888" s="10">
        <f>Github!F$1802+Github!G$1802</f>
        <v>336</v>
      </c>
      <c r="F1888" s="12">
        <f t="shared" si="1"/>
        <v>0.93</v>
      </c>
      <c r="G1888" s="10" t="str">
        <f>Github!H$1802</f>
        <v>Algorithms</v>
      </c>
      <c r="H1888" s="13" t="str">
        <f>SUBSTITUTE(Github!L$1802, ";", ", ")</f>
        <v>Array, Heap (Priority Queue), Simulation, </v>
      </c>
      <c r="I1888" s="10" t="str">
        <f>Github!E$1802</f>
        <v>Medium</v>
      </c>
      <c r="J1888" s="10" t="str">
        <f>IF(TRIM(Github!D$1802)="TRUE","FALSE","TRUE")</f>
        <v>TRUE</v>
      </c>
      <c r="K1888" s="10" t="b">
        <f>Github!M$1802</f>
        <v>0</v>
      </c>
      <c r="L1888" s="10" t="b">
        <f>Github!N$1802</f>
        <v>0</v>
      </c>
      <c r="M1888" s="10" t="str">
        <f>ROUND(Github!O$1802, 2)&amp;"%"</f>
        <v>45.72%</v>
      </c>
      <c r="N1888" s="10">
        <f>Github!P$1802</f>
        <v>11182</v>
      </c>
      <c r="O1888" s="10">
        <f>Github!Q$1802</f>
        <v>24459</v>
      </c>
    </row>
    <row r="1889">
      <c r="A1889" s="10">
        <f>Github!J$613</f>
        <v>612</v>
      </c>
      <c r="B1889" s="11" t="str">
        <f>HYPERLINK(CONCAT("http://leetcode.com/problems/",Github!C$613), Github!B$613)</f>
        <v>Shortest Distance in a Plane</v>
      </c>
      <c r="C1889" s="10">
        <f>Github!F$613</f>
        <v>161</v>
      </c>
      <c r="D1889" s="10">
        <f>Github!G$613</f>
        <v>61</v>
      </c>
      <c r="E1889" s="10">
        <f>Github!F$613+Github!G$613</f>
        <v>222</v>
      </c>
      <c r="F1889" s="12">
        <f t="shared" si="1"/>
        <v>2.64</v>
      </c>
      <c r="G1889" s="10" t="str">
        <f>Github!H$613</f>
        <v>Database</v>
      </c>
      <c r="H1889" s="13" t="str">
        <f>SUBSTITUTE(Github!L$613, ";", ", ")</f>
        <v>Database, </v>
      </c>
      <c r="I1889" s="10" t="str">
        <f>Github!E$613</f>
        <v>Medium</v>
      </c>
      <c r="J1889" s="10" t="str">
        <f>IF(TRIM(Github!D$613)="TRUE","FALSE","TRUE")</f>
        <v>FALSE</v>
      </c>
      <c r="K1889" s="10" t="b">
        <f>Github!M$613</f>
        <v>1</v>
      </c>
      <c r="L1889" s="10" t="b">
        <f>Github!N$613</f>
        <v>0</v>
      </c>
      <c r="M1889" s="10" t="str">
        <f>ROUND(Github!O$613, 2)&amp;"%"</f>
        <v>63.02%</v>
      </c>
      <c r="N1889" s="10">
        <f>Github!P$613</f>
        <v>28682</v>
      </c>
      <c r="O1889" s="10">
        <f>Github!Q$613</f>
        <v>45513</v>
      </c>
    </row>
    <row r="1890">
      <c r="A1890" s="10">
        <f>Github!J$1516</f>
        <v>1515</v>
      </c>
      <c r="B1890" s="11" t="str">
        <f>HYPERLINK(CONCAT("http://leetcode.com/problems/",Github!C$1516), Github!B$1516)</f>
        <v>Best Position for a Service Centre</v>
      </c>
      <c r="C1890" s="10">
        <f>Github!F$1516</f>
        <v>161</v>
      </c>
      <c r="D1890" s="10">
        <f>Github!G$1516</f>
        <v>192</v>
      </c>
      <c r="E1890" s="10">
        <f>Github!F$1516+Github!G$1516</f>
        <v>353</v>
      </c>
      <c r="F1890" s="12">
        <f t="shared" si="1"/>
        <v>0.84</v>
      </c>
      <c r="G1890" s="10" t="str">
        <f>Github!H$1516</f>
        <v>Algorithms</v>
      </c>
      <c r="H1890" s="13" t="str">
        <f>SUBSTITUTE(Github!L$1516, ";", ", ")</f>
        <v>Math, Geometry, Randomized, </v>
      </c>
      <c r="I1890" s="10" t="str">
        <f>Github!E$1516</f>
        <v>Hard</v>
      </c>
      <c r="J1890" s="10" t="str">
        <f>IF(TRIM(Github!D$1516)="TRUE","FALSE","TRUE")</f>
        <v>TRUE</v>
      </c>
      <c r="K1890" s="10" t="b">
        <f>Github!M$1516</f>
        <v>0</v>
      </c>
      <c r="L1890" s="10" t="b">
        <f>Github!N$1516</f>
        <v>0</v>
      </c>
      <c r="M1890" s="10" t="str">
        <f>ROUND(Github!O$1516, 2)&amp;"%"</f>
        <v>38.88%</v>
      </c>
      <c r="N1890" s="10">
        <f>Github!P$1516</f>
        <v>9063</v>
      </c>
      <c r="O1890" s="10">
        <f>Github!Q$1516</f>
        <v>23309</v>
      </c>
    </row>
    <row r="1891">
      <c r="A1891" s="10">
        <f>Github!J$1638</f>
        <v>1637</v>
      </c>
      <c r="B1891" s="11" t="str">
        <f>HYPERLINK(CONCAT("http://leetcode.com/problems/",Github!C$1638), Github!B$1638)</f>
        <v>Widest Vertical Area Between Two Points Containing No Points</v>
      </c>
      <c r="C1891" s="10">
        <f>Github!F$1638</f>
        <v>161</v>
      </c>
      <c r="D1891" s="10">
        <f>Github!G$1638</f>
        <v>475</v>
      </c>
      <c r="E1891" s="10">
        <f>Github!F$1638+Github!G$1638</f>
        <v>636</v>
      </c>
      <c r="F1891" s="12">
        <f t="shared" si="1"/>
        <v>0.34</v>
      </c>
      <c r="G1891" s="10" t="str">
        <f>Github!H$1638</f>
        <v>Algorithms</v>
      </c>
      <c r="H1891" s="13" t="str">
        <f>SUBSTITUTE(Github!L$1638, ";", ", ")</f>
        <v>Array, Sorting, </v>
      </c>
      <c r="I1891" s="10" t="str">
        <f>Github!E$1638</f>
        <v>Medium</v>
      </c>
      <c r="J1891" s="10" t="str">
        <f>IF(TRIM(Github!D$1638)="TRUE","FALSE","TRUE")</f>
        <v>TRUE</v>
      </c>
      <c r="K1891" s="10" t="b">
        <f>Github!M$1638</f>
        <v>0</v>
      </c>
      <c r="L1891" s="10" t="b">
        <f>Github!N$1638</f>
        <v>0</v>
      </c>
      <c r="M1891" s="10" t="str">
        <f>ROUND(Github!O$1638, 2)&amp;"%"</f>
        <v>83.97%</v>
      </c>
      <c r="N1891" s="10">
        <f>Github!P$1638</f>
        <v>27230</v>
      </c>
      <c r="O1891" s="10">
        <f>Github!Q$1638</f>
        <v>32429</v>
      </c>
    </row>
    <row r="1892">
      <c r="A1892" s="10">
        <f>Github!J$513</f>
        <v>512</v>
      </c>
      <c r="B1892" s="11" t="str">
        <f>HYPERLINK(CONCAT("http://leetcode.com/problems/",Github!C$513), Github!B$513)</f>
        <v>Game Play Analysis II</v>
      </c>
      <c r="C1892" s="10">
        <f>Github!F$513</f>
        <v>160</v>
      </c>
      <c r="D1892" s="10">
        <f>Github!G$513</f>
        <v>26</v>
      </c>
      <c r="E1892" s="10">
        <f>Github!F$513+Github!G$513</f>
        <v>186</v>
      </c>
      <c r="F1892" s="12">
        <f t="shared" si="1"/>
        <v>6.15</v>
      </c>
      <c r="G1892" s="10" t="str">
        <f>Github!H$513</f>
        <v>Database</v>
      </c>
      <c r="H1892" s="13" t="str">
        <f>SUBSTITUTE(Github!L$513, ";", ", ")</f>
        <v>Database, </v>
      </c>
      <c r="I1892" s="10" t="str">
        <f>Github!E$513</f>
        <v>Easy</v>
      </c>
      <c r="J1892" s="10" t="str">
        <f>IF(TRIM(Github!D$513)="TRUE","FALSE","TRUE")</f>
        <v>FALSE</v>
      </c>
      <c r="K1892" s="10" t="b">
        <f>Github!M$513</f>
        <v>0</v>
      </c>
      <c r="L1892" s="10" t="b">
        <f>Github!N$513</f>
        <v>0</v>
      </c>
      <c r="M1892" s="10" t="str">
        <f>ROUND(Github!O$513, 2)&amp;"%"</f>
        <v>54.46%</v>
      </c>
      <c r="N1892" s="10">
        <f>Github!P$513</f>
        <v>50783</v>
      </c>
      <c r="O1892" s="10">
        <f>Github!Q$513</f>
        <v>93250</v>
      </c>
    </row>
    <row r="1893">
      <c r="A1893" s="10">
        <f>Github!J$656</f>
        <v>655</v>
      </c>
      <c r="B1893" s="11" t="str">
        <f>HYPERLINK(CONCAT("http://leetcode.com/problems/",Github!C$656), Github!B$656)</f>
        <v>Print Binary Tree</v>
      </c>
      <c r="C1893" s="10">
        <f>Github!F$656</f>
        <v>160</v>
      </c>
      <c r="D1893" s="10">
        <f>Github!G$656</f>
        <v>183</v>
      </c>
      <c r="E1893" s="10">
        <f>Github!F$656+Github!G$656</f>
        <v>343</v>
      </c>
      <c r="F1893" s="12">
        <f t="shared" si="1"/>
        <v>0.87</v>
      </c>
      <c r="G1893" s="10" t="str">
        <f>Github!H$656</f>
        <v>Algorithms</v>
      </c>
      <c r="H1893" s="13" t="str">
        <f>SUBSTITUTE(Github!L$656, ";", ", ")</f>
        <v>Tree, Depth-First Search, Breadth-First Search, Binary Tree, </v>
      </c>
      <c r="I1893" s="10" t="str">
        <f>Github!E$656</f>
        <v>Medium</v>
      </c>
      <c r="J1893" s="10" t="str">
        <f>IF(TRIM(Github!D$656)="TRUE","FALSE","TRUE")</f>
        <v>TRUE</v>
      </c>
      <c r="K1893" s="10" t="b">
        <f>Github!M$656</f>
        <v>0</v>
      </c>
      <c r="L1893" s="10" t="b">
        <f>Github!N$656</f>
        <v>0</v>
      </c>
      <c r="M1893" s="10" t="str">
        <f>ROUND(Github!O$656, 2)&amp;"%"</f>
        <v>59.27%</v>
      </c>
      <c r="N1893" s="10">
        <f>Github!P$656</f>
        <v>48965</v>
      </c>
      <c r="O1893" s="10">
        <f>Github!Q$656</f>
        <v>82607</v>
      </c>
    </row>
    <row r="1894">
      <c r="A1894" s="10">
        <f>Github!J$1849</f>
        <v>1848</v>
      </c>
      <c r="B1894" s="11" t="str">
        <f>HYPERLINK(CONCAT("http://leetcode.com/problems/",Github!C$1849), Github!B$1849)</f>
        <v>Minimum Distance to the Target Element</v>
      </c>
      <c r="C1894" s="10">
        <f>Github!F$1849</f>
        <v>160</v>
      </c>
      <c r="D1894" s="10">
        <f>Github!G$1849</f>
        <v>37</v>
      </c>
      <c r="E1894" s="10">
        <f>Github!F$1849+Github!G$1849</f>
        <v>197</v>
      </c>
      <c r="F1894" s="12">
        <f t="shared" si="1"/>
        <v>4.32</v>
      </c>
      <c r="G1894" s="10" t="str">
        <f>Github!H$1849</f>
        <v>Algorithms</v>
      </c>
      <c r="H1894" s="13" t="str">
        <f>SUBSTITUTE(Github!L$1849, ";", ", ")</f>
        <v>Array, </v>
      </c>
      <c r="I1894" s="10" t="str">
        <f>Github!E$1849</f>
        <v>Easy</v>
      </c>
      <c r="J1894" s="10" t="str">
        <f>IF(TRIM(Github!D$1849)="TRUE","FALSE","TRUE")</f>
        <v>TRUE</v>
      </c>
      <c r="K1894" s="10" t="b">
        <f>Github!M$1849</f>
        <v>0</v>
      </c>
      <c r="L1894" s="10" t="b">
        <f>Github!N$1849</f>
        <v>0</v>
      </c>
      <c r="M1894" s="10" t="str">
        <f>ROUND(Github!O$1849, 2)&amp;"%"</f>
        <v>59.81%</v>
      </c>
      <c r="N1894" s="10">
        <f>Github!P$1849</f>
        <v>23753</v>
      </c>
      <c r="O1894" s="10">
        <f>Github!Q$1849</f>
        <v>39714</v>
      </c>
    </row>
    <row r="1895">
      <c r="A1895" s="10">
        <f>Github!J$2089</f>
        <v>2088</v>
      </c>
      <c r="B1895" s="11" t="str">
        <f>HYPERLINK(CONCAT("http://leetcode.com/problems/",Github!C$2089), Github!B$2089)</f>
        <v>Count Fertile Pyramids in a Land</v>
      </c>
      <c r="C1895" s="10">
        <f>Github!F$2089</f>
        <v>159</v>
      </c>
      <c r="D1895" s="10">
        <f>Github!G$2089</f>
        <v>6</v>
      </c>
      <c r="E1895" s="10">
        <f>Github!F$2089+Github!G$2089</f>
        <v>165</v>
      </c>
      <c r="F1895" s="12">
        <f t="shared" si="1"/>
        <v>26.5</v>
      </c>
      <c r="G1895" s="10" t="str">
        <f>Github!H$2089</f>
        <v>Algorithms</v>
      </c>
      <c r="H1895" s="13" t="str">
        <f>SUBSTITUTE(Github!L$2089, ";", ", ")</f>
        <v>Array, Dynamic Programming, Matrix, </v>
      </c>
      <c r="I1895" s="10" t="str">
        <f>Github!E$2089</f>
        <v>Hard</v>
      </c>
      <c r="J1895" s="10" t="str">
        <f>IF(TRIM(Github!D$2089)="TRUE","FALSE","TRUE")</f>
        <v>TRUE</v>
      </c>
      <c r="K1895" s="10" t="b">
        <f>Github!M$2089</f>
        <v>0</v>
      </c>
      <c r="L1895" s="10" t="b">
        <f>Github!N$2089</f>
        <v>0</v>
      </c>
      <c r="M1895" s="10" t="str">
        <f>ROUND(Github!O$2089, 2)&amp;"%"</f>
        <v>62.6%</v>
      </c>
      <c r="N1895" s="10">
        <f>Github!P$2089</f>
        <v>3517</v>
      </c>
      <c r="O1895" s="10">
        <f>Github!Q$2089</f>
        <v>5618</v>
      </c>
    </row>
    <row r="1896">
      <c r="A1896" s="10">
        <f>Github!J$1057</f>
        <v>1056</v>
      </c>
      <c r="B1896" s="11" t="str">
        <f>HYPERLINK(CONCAT("http://leetcode.com/problems/",Github!C$1057), Github!B$1057)</f>
        <v>Confusing Number</v>
      </c>
      <c r="C1896" s="10">
        <f>Github!F$1057</f>
        <v>158</v>
      </c>
      <c r="D1896" s="10">
        <f>Github!G$1057</f>
        <v>89</v>
      </c>
      <c r="E1896" s="10">
        <f>Github!F$1057+Github!G$1057</f>
        <v>247</v>
      </c>
      <c r="F1896" s="12">
        <f t="shared" si="1"/>
        <v>1.78</v>
      </c>
      <c r="G1896" s="10" t="str">
        <f>Github!H$1057</f>
        <v>Algorithms</v>
      </c>
      <c r="H1896" s="13" t="str">
        <f>SUBSTITUTE(Github!L$1057, ";", ", ")</f>
        <v>Math, </v>
      </c>
      <c r="I1896" s="10" t="str">
        <f>Github!E$1057</f>
        <v>Easy</v>
      </c>
      <c r="J1896" s="10" t="str">
        <f>IF(TRIM(Github!D$1057)="TRUE","FALSE","TRUE")</f>
        <v>FALSE</v>
      </c>
      <c r="K1896" s="10" t="b">
        <f>Github!M$1057</f>
        <v>0</v>
      </c>
      <c r="L1896" s="10" t="b">
        <f>Github!N$1057</f>
        <v>0</v>
      </c>
      <c r="M1896" s="10" t="str">
        <f>ROUND(Github!O$1057, 2)&amp;"%"</f>
        <v>46.12%</v>
      </c>
      <c r="N1896" s="10">
        <f>Github!P$1057</f>
        <v>24408</v>
      </c>
      <c r="O1896" s="10">
        <f>Github!Q$1057</f>
        <v>52921</v>
      </c>
    </row>
    <row r="1897">
      <c r="A1897" s="10">
        <f>Github!J$1661</f>
        <v>1660</v>
      </c>
      <c r="B1897" s="11" t="str">
        <f>HYPERLINK(CONCAT("http://leetcode.com/problems/",Github!C$1661), Github!B$1661)</f>
        <v>Correct a Binary Tree</v>
      </c>
      <c r="C1897" s="10">
        <f>Github!F$1661</f>
        <v>158</v>
      </c>
      <c r="D1897" s="10">
        <f>Github!G$1661</f>
        <v>22</v>
      </c>
      <c r="E1897" s="10">
        <f>Github!F$1661+Github!G$1661</f>
        <v>180</v>
      </c>
      <c r="F1897" s="12">
        <f t="shared" si="1"/>
        <v>7.18</v>
      </c>
      <c r="G1897" s="10" t="str">
        <f>Github!H$1661</f>
        <v>Algorithms</v>
      </c>
      <c r="H1897" s="13" t="str">
        <f>SUBSTITUTE(Github!L$1661, ";", ", ")</f>
        <v>Hash Table, Tree, Depth-First Search, Breadth-First Search, Binary Tree, </v>
      </c>
      <c r="I1897" s="10" t="str">
        <f>Github!E$1661</f>
        <v>Medium</v>
      </c>
      <c r="J1897" s="10" t="str">
        <f>IF(TRIM(Github!D$1661)="TRUE","FALSE","TRUE")</f>
        <v>FALSE</v>
      </c>
      <c r="K1897" s="10" t="b">
        <f>Github!M$1661</f>
        <v>0</v>
      </c>
      <c r="L1897" s="10" t="b">
        <f>Github!N$1661</f>
        <v>0</v>
      </c>
      <c r="M1897" s="10" t="str">
        <f>ROUND(Github!O$1661, 2)&amp;"%"</f>
        <v>72.62%</v>
      </c>
      <c r="N1897" s="10">
        <f>Github!P$1661</f>
        <v>9915</v>
      </c>
      <c r="O1897" s="10">
        <f>Github!Q$1661</f>
        <v>13653</v>
      </c>
    </row>
    <row r="1898">
      <c r="A1898" s="10">
        <f>Github!J$289</f>
        <v>288</v>
      </c>
      <c r="B1898" s="11" t="str">
        <f>HYPERLINK(CONCAT("http://leetcode.com/problems/",Github!C$289), Github!B$289)</f>
        <v>Unique Word Abbreviation</v>
      </c>
      <c r="C1898" s="10">
        <f>Github!F$289</f>
        <v>157</v>
      </c>
      <c r="D1898" s="10">
        <f>Github!G$289</f>
        <v>1625</v>
      </c>
      <c r="E1898" s="10">
        <f>Github!F$289+Github!G$289</f>
        <v>1782</v>
      </c>
      <c r="F1898" s="12">
        <f t="shared" si="1"/>
        <v>0.1</v>
      </c>
      <c r="G1898" s="10" t="str">
        <f>Github!H$289</f>
        <v>Algorithms</v>
      </c>
      <c r="H1898" s="13" t="str">
        <f>SUBSTITUTE(Github!L$289, ";", ", ")</f>
        <v>Array, Hash Table, String, Design, </v>
      </c>
      <c r="I1898" s="10" t="str">
        <f>Github!E$289</f>
        <v>Medium</v>
      </c>
      <c r="J1898" s="10" t="str">
        <f>IF(TRIM(Github!D$289)="TRUE","FALSE","TRUE")</f>
        <v>FALSE</v>
      </c>
      <c r="K1898" s="10" t="b">
        <f>Github!M$289</f>
        <v>0</v>
      </c>
      <c r="L1898" s="10" t="b">
        <f>Github!N$289</f>
        <v>0</v>
      </c>
      <c r="M1898" s="10" t="str">
        <f>ROUND(Github!O$289, 2)&amp;"%"</f>
        <v>24.59%</v>
      </c>
      <c r="N1898" s="10">
        <f>Github!P$289</f>
        <v>63654</v>
      </c>
      <c r="O1898" s="10">
        <f>Github!Q$289</f>
        <v>258860</v>
      </c>
    </row>
    <row r="1899">
      <c r="A1899" s="10">
        <f>Github!J$294</f>
        <v>293</v>
      </c>
      <c r="B1899" s="11" t="str">
        <f>HYPERLINK(CONCAT("http://leetcode.com/problems/",Github!C$294), Github!B$294)</f>
        <v>Flip Game</v>
      </c>
      <c r="C1899" s="10">
        <f>Github!F$294</f>
        <v>157</v>
      </c>
      <c r="D1899" s="10">
        <f>Github!G$294</f>
        <v>374</v>
      </c>
      <c r="E1899" s="10">
        <f>Github!F$294+Github!G$294</f>
        <v>531</v>
      </c>
      <c r="F1899" s="12">
        <f t="shared" si="1"/>
        <v>0.42</v>
      </c>
      <c r="G1899" s="10" t="str">
        <f>Github!H$294</f>
        <v>Algorithms</v>
      </c>
      <c r="H1899" s="13" t="str">
        <f>SUBSTITUTE(Github!L$294, ";", ", ")</f>
        <v>String, </v>
      </c>
      <c r="I1899" s="10" t="str">
        <f>Github!E$294</f>
        <v>Easy</v>
      </c>
      <c r="J1899" s="10" t="str">
        <f>IF(TRIM(Github!D$294)="TRUE","FALSE","TRUE")</f>
        <v>FALSE</v>
      </c>
      <c r="K1899" s="10" t="b">
        <f>Github!M$294</f>
        <v>0</v>
      </c>
      <c r="L1899" s="10" t="b">
        <f>Github!N$294</f>
        <v>0</v>
      </c>
      <c r="M1899" s="10" t="str">
        <f>ROUND(Github!O$294, 2)&amp;"%"</f>
        <v>62.42%</v>
      </c>
      <c r="N1899" s="10">
        <f>Github!P$294</f>
        <v>58582</v>
      </c>
      <c r="O1899" s="10">
        <f>Github!Q$294</f>
        <v>93858</v>
      </c>
    </row>
    <row r="1900">
      <c r="A1900" s="10">
        <f>Github!J$1901</f>
        <v>1900</v>
      </c>
      <c r="B1900" s="11" t="str">
        <f>HYPERLINK(CONCAT("http://leetcode.com/problems/",Github!C$1901), Github!B$1901)</f>
        <v>The Earliest and Latest Rounds Where Players Compete</v>
      </c>
      <c r="C1900" s="10">
        <f>Github!F$1901</f>
        <v>157</v>
      </c>
      <c r="D1900" s="10">
        <f>Github!G$1901</f>
        <v>13</v>
      </c>
      <c r="E1900" s="10">
        <f>Github!F$1901+Github!G$1901</f>
        <v>170</v>
      </c>
      <c r="F1900" s="12">
        <f t="shared" si="1"/>
        <v>12.08</v>
      </c>
      <c r="G1900" s="10" t="str">
        <f>Github!H$1901</f>
        <v>Algorithms</v>
      </c>
      <c r="H1900" s="13" t="str">
        <f>SUBSTITUTE(Github!L$1901, ";", ", ")</f>
        <v>Dynamic Programming, Memoization, </v>
      </c>
      <c r="I1900" s="10" t="str">
        <f>Github!E$1901</f>
        <v>Hard</v>
      </c>
      <c r="J1900" s="10" t="str">
        <f>IF(TRIM(Github!D$1901)="TRUE","FALSE","TRUE")</f>
        <v>TRUE</v>
      </c>
      <c r="K1900" s="10" t="b">
        <f>Github!M$1901</f>
        <v>0</v>
      </c>
      <c r="L1900" s="10" t="b">
        <f>Github!N$1901</f>
        <v>0</v>
      </c>
      <c r="M1900" s="10" t="str">
        <f>ROUND(Github!O$1901, 2)&amp;"%"</f>
        <v>51.39%</v>
      </c>
      <c r="N1900" s="10">
        <f>Github!P$1901</f>
        <v>3764</v>
      </c>
      <c r="O1900" s="10">
        <f>Github!Q$1901</f>
        <v>7325</v>
      </c>
    </row>
    <row r="1901">
      <c r="A1901" s="10">
        <f>Github!J$1949</f>
        <v>1948</v>
      </c>
      <c r="B1901" s="11" t="str">
        <f>HYPERLINK(CONCAT("http://leetcode.com/problems/",Github!C$1949), Github!B$1949)</f>
        <v>Delete Duplicate Folders in System</v>
      </c>
      <c r="C1901" s="10">
        <f>Github!F$1949</f>
        <v>157</v>
      </c>
      <c r="D1901" s="10">
        <f>Github!G$1949</f>
        <v>46</v>
      </c>
      <c r="E1901" s="10">
        <f>Github!F$1949+Github!G$1949</f>
        <v>203</v>
      </c>
      <c r="F1901" s="12">
        <f t="shared" si="1"/>
        <v>3.41</v>
      </c>
      <c r="G1901" s="10" t="str">
        <f>Github!H$1949</f>
        <v>Algorithms</v>
      </c>
      <c r="H1901" s="13" t="str">
        <f>SUBSTITUTE(Github!L$1949, ";", ", ")</f>
        <v>Array, Hash Table, String, Trie, Hash Function, </v>
      </c>
      <c r="I1901" s="10" t="str">
        <f>Github!E$1949</f>
        <v>Hard</v>
      </c>
      <c r="J1901" s="10" t="str">
        <f>IF(TRIM(Github!D$1949)="TRUE","FALSE","TRUE")</f>
        <v>TRUE</v>
      </c>
      <c r="K1901" s="10" t="b">
        <f>Github!M$1949</f>
        <v>0</v>
      </c>
      <c r="L1901" s="10" t="b">
        <f>Github!N$1949</f>
        <v>0</v>
      </c>
      <c r="M1901" s="10" t="str">
        <f>ROUND(Github!O$1949, 2)&amp;"%"</f>
        <v>58.92%</v>
      </c>
      <c r="N1901" s="10">
        <f>Github!P$1949</f>
        <v>4165</v>
      </c>
      <c r="O1901" s="10">
        <f>Github!Q$1949</f>
        <v>7069</v>
      </c>
    </row>
    <row r="1902">
      <c r="A1902" s="10">
        <f>Github!J$1216</f>
        <v>1215</v>
      </c>
      <c r="B1902" s="11" t="str">
        <f>HYPERLINK(CONCAT("http://leetcode.com/problems/",Github!C$1216), Github!B$1216)</f>
        <v>Stepping Numbers</v>
      </c>
      <c r="C1902" s="10">
        <f>Github!F$1216</f>
        <v>156</v>
      </c>
      <c r="D1902" s="10">
        <f>Github!G$1216</f>
        <v>16</v>
      </c>
      <c r="E1902" s="10">
        <f>Github!F$1216+Github!G$1216</f>
        <v>172</v>
      </c>
      <c r="F1902" s="12">
        <f t="shared" si="1"/>
        <v>9.75</v>
      </c>
      <c r="G1902" s="10" t="str">
        <f>Github!H$1216</f>
        <v>Algorithms</v>
      </c>
      <c r="H1902" s="13" t="str">
        <f>SUBSTITUTE(Github!L$1216, ";", ", ")</f>
        <v>Backtracking, Breadth-First Search, </v>
      </c>
      <c r="I1902" s="10" t="str">
        <f>Github!E$1216</f>
        <v>Medium</v>
      </c>
      <c r="J1902" s="10" t="str">
        <f>IF(TRIM(Github!D$1216)="TRUE","FALSE","TRUE")</f>
        <v>FALSE</v>
      </c>
      <c r="K1902" s="10" t="b">
        <f>Github!M$1216</f>
        <v>0</v>
      </c>
      <c r="L1902" s="10" t="b">
        <f>Github!N$1216</f>
        <v>0</v>
      </c>
      <c r="M1902" s="10" t="str">
        <f>ROUND(Github!O$1216, 2)&amp;"%"</f>
        <v>45.31%</v>
      </c>
      <c r="N1902" s="10">
        <f>Github!P$1216</f>
        <v>7392</v>
      </c>
      <c r="O1902" s="10">
        <f>Github!Q$1216</f>
        <v>16315</v>
      </c>
    </row>
    <row r="1903">
      <c r="A1903" s="10">
        <f>Github!J$1785</f>
        <v>1784</v>
      </c>
      <c r="B1903" s="11" t="str">
        <f>HYPERLINK(CONCAT("http://leetcode.com/problems/",Github!C$1785), Github!B$1785)</f>
        <v>Check if Binary String Has at Most One Segment of Ones</v>
      </c>
      <c r="C1903" s="10">
        <f>Github!F$1785</f>
        <v>155</v>
      </c>
      <c r="D1903" s="10">
        <f>Github!G$1785</f>
        <v>488</v>
      </c>
      <c r="E1903" s="10">
        <f>Github!F$1785+Github!G$1785</f>
        <v>643</v>
      </c>
      <c r="F1903" s="12">
        <f t="shared" si="1"/>
        <v>0.32</v>
      </c>
      <c r="G1903" s="10" t="str">
        <f>Github!H$1785</f>
        <v>Algorithms</v>
      </c>
      <c r="H1903" s="13" t="str">
        <f>SUBSTITUTE(Github!L$1785, ";", ", ")</f>
        <v>String, </v>
      </c>
      <c r="I1903" s="10" t="str">
        <f>Github!E$1785</f>
        <v>Easy</v>
      </c>
      <c r="J1903" s="10" t="str">
        <f>IF(TRIM(Github!D$1785)="TRUE","FALSE","TRUE")</f>
        <v>TRUE</v>
      </c>
      <c r="K1903" s="10" t="b">
        <f>Github!M$1785</f>
        <v>0</v>
      </c>
      <c r="L1903" s="10" t="b">
        <f>Github!N$1785</f>
        <v>0</v>
      </c>
      <c r="M1903" s="10" t="str">
        <f>ROUND(Github!O$1785, 2)&amp;"%"</f>
        <v>40.96%</v>
      </c>
      <c r="N1903" s="10">
        <f>Github!P$1785</f>
        <v>22734</v>
      </c>
      <c r="O1903" s="10">
        <f>Github!Q$1785</f>
        <v>55503</v>
      </c>
    </row>
    <row r="1904">
      <c r="A1904" s="10">
        <f>Github!J$2075</f>
        <v>2074</v>
      </c>
      <c r="B1904" s="11" t="str">
        <f>HYPERLINK(CONCAT("http://leetcode.com/problems/",Github!C$2075), Github!B$2075)</f>
        <v>Reverse Nodes in Even Length Groups</v>
      </c>
      <c r="C1904" s="10">
        <f>Github!F$2075</f>
        <v>155</v>
      </c>
      <c r="D1904" s="10">
        <f>Github!G$2075</f>
        <v>179</v>
      </c>
      <c r="E1904" s="10">
        <f>Github!F$2075+Github!G$2075</f>
        <v>334</v>
      </c>
      <c r="F1904" s="12">
        <f t="shared" si="1"/>
        <v>0.87</v>
      </c>
      <c r="G1904" s="10" t="str">
        <f>Github!H$2075</f>
        <v>Algorithms</v>
      </c>
      <c r="H1904" s="13" t="str">
        <f>SUBSTITUTE(Github!L$2075, ";", ", ")</f>
        <v>Linked List, </v>
      </c>
      <c r="I1904" s="10" t="str">
        <f>Github!E$2075</f>
        <v>Medium</v>
      </c>
      <c r="J1904" s="10" t="str">
        <f>IF(TRIM(Github!D$2075)="TRUE","FALSE","TRUE")</f>
        <v>TRUE</v>
      </c>
      <c r="K1904" s="10" t="b">
        <f>Github!M$2075</f>
        <v>0</v>
      </c>
      <c r="L1904" s="10" t="b">
        <f>Github!N$2075</f>
        <v>0</v>
      </c>
      <c r="M1904" s="10" t="str">
        <f>ROUND(Github!O$2075, 2)&amp;"%"</f>
        <v>49.71%</v>
      </c>
      <c r="N1904" s="10">
        <f>Github!P$2075</f>
        <v>8768</v>
      </c>
      <c r="O1904" s="10">
        <f>Github!Q$2075</f>
        <v>17637</v>
      </c>
    </row>
    <row r="1905">
      <c r="A1905" s="10">
        <f>Github!J$1399</f>
        <v>1398</v>
      </c>
      <c r="B1905" s="11" t="str">
        <f>HYPERLINK(CONCAT("http://leetcode.com/problems/",Github!C$1399), Github!B$1399)</f>
        <v>Customers Who Bought Products A and B but Not C</v>
      </c>
      <c r="C1905" s="10">
        <f>Github!F$1399</f>
        <v>153</v>
      </c>
      <c r="D1905" s="10">
        <f>Github!G$1399</f>
        <v>7</v>
      </c>
      <c r="E1905" s="10">
        <f>Github!F$1399+Github!G$1399</f>
        <v>160</v>
      </c>
      <c r="F1905" s="12">
        <f t="shared" si="1"/>
        <v>21.86</v>
      </c>
      <c r="G1905" s="10" t="str">
        <f>Github!H$1399</f>
        <v>Database</v>
      </c>
      <c r="H1905" s="13" t="str">
        <f>SUBSTITUTE(Github!L$1399, ";", ", ")</f>
        <v>Database, </v>
      </c>
      <c r="I1905" s="10" t="str">
        <f>Github!E$1399</f>
        <v>Medium</v>
      </c>
      <c r="J1905" s="10" t="str">
        <f>IF(TRIM(Github!D$1399)="TRUE","FALSE","TRUE")</f>
        <v>FALSE</v>
      </c>
      <c r="K1905" s="10" t="b">
        <f>Github!M$1399</f>
        <v>0</v>
      </c>
      <c r="L1905" s="10" t="b">
        <f>Github!N$1399</f>
        <v>0</v>
      </c>
      <c r="M1905" s="10" t="str">
        <f>ROUND(Github!O$1399, 2)&amp;"%"</f>
        <v>79.03%</v>
      </c>
      <c r="N1905" s="10">
        <f>Github!P$1399</f>
        <v>26306</v>
      </c>
      <c r="O1905" s="10">
        <f>Github!Q$1399</f>
        <v>33284</v>
      </c>
    </row>
    <row r="1906">
      <c r="A1906" s="10">
        <f>Github!J$578</f>
        <v>577</v>
      </c>
      <c r="B1906" s="11" t="str">
        <f>HYPERLINK(CONCAT("http://leetcode.com/problems/",Github!C$578), Github!B$578)</f>
        <v>Employee Bonus</v>
      </c>
      <c r="C1906" s="10">
        <f>Github!F$578</f>
        <v>152</v>
      </c>
      <c r="D1906" s="10">
        <f>Github!G$578</f>
        <v>87</v>
      </c>
      <c r="E1906" s="10">
        <f>Github!F$578+Github!G$578</f>
        <v>239</v>
      </c>
      <c r="F1906" s="12">
        <f t="shared" si="1"/>
        <v>1.75</v>
      </c>
      <c r="G1906" s="10" t="str">
        <f>Github!H$578</f>
        <v>Database</v>
      </c>
      <c r="H1906" s="13" t="str">
        <f>SUBSTITUTE(Github!L$578, ";", ", ")</f>
        <v>Database, </v>
      </c>
      <c r="I1906" s="10" t="str">
        <f>Github!E$578</f>
        <v>Easy</v>
      </c>
      <c r="J1906" s="10" t="str">
        <f>IF(TRIM(Github!D$578)="TRUE","FALSE","TRUE")</f>
        <v>FALSE</v>
      </c>
      <c r="K1906" s="10" t="b">
        <f>Github!M$578</f>
        <v>1</v>
      </c>
      <c r="L1906" s="10" t="b">
        <f>Github!N$578</f>
        <v>0</v>
      </c>
      <c r="M1906" s="10" t="str">
        <f>ROUND(Github!O$578, 2)&amp;"%"</f>
        <v>74.74%</v>
      </c>
      <c r="N1906" s="10">
        <f>Github!P$578</f>
        <v>55933</v>
      </c>
      <c r="O1906" s="10">
        <f>Github!Q$578</f>
        <v>74840</v>
      </c>
    </row>
    <row r="1907">
      <c r="A1907" s="10">
        <f>Github!J$1085</f>
        <v>1084</v>
      </c>
      <c r="B1907" s="11" t="str">
        <f>HYPERLINK(CONCAT("http://leetcode.com/problems/",Github!C$1085), Github!B$1085)</f>
        <v>Sales Analysis III</v>
      </c>
      <c r="C1907" s="10">
        <f>Github!F$1085</f>
        <v>151</v>
      </c>
      <c r="D1907" s="10">
        <f>Github!G$1085</f>
        <v>52</v>
      </c>
      <c r="E1907" s="10">
        <f>Github!F$1085+Github!G$1085</f>
        <v>203</v>
      </c>
      <c r="F1907" s="12">
        <f t="shared" si="1"/>
        <v>2.9</v>
      </c>
      <c r="G1907" s="10" t="str">
        <f>Github!H$1085</f>
        <v>Database</v>
      </c>
      <c r="H1907" s="13" t="str">
        <f>SUBSTITUTE(Github!L$1085, ";", ", ")</f>
        <v>Database, </v>
      </c>
      <c r="I1907" s="10" t="str">
        <f>Github!E$1085</f>
        <v>Easy</v>
      </c>
      <c r="J1907" s="10" t="str">
        <f>IF(TRIM(Github!D$1085)="TRUE","FALSE","TRUE")</f>
        <v>FALSE</v>
      </c>
      <c r="K1907" s="10" t="b">
        <f>Github!M$1085</f>
        <v>0</v>
      </c>
      <c r="L1907" s="10" t="b">
        <f>Github!N$1085</f>
        <v>0</v>
      </c>
      <c r="M1907" s="10" t="str">
        <f>ROUND(Github!O$1085, 2)&amp;"%"</f>
        <v>53.65%</v>
      </c>
      <c r="N1907" s="10">
        <f>Github!P$1085</f>
        <v>37608</v>
      </c>
      <c r="O1907" s="10">
        <f>Github!Q$1085</f>
        <v>70101</v>
      </c>
    </row>
    <row r="1908">
      <c r="A1908" s="10">
        <f>Github!J$1135</f>
        <v>1134</v>
      </c>
      <c r="B1908" s="11" t="str">
        <f>HYPERLINK(CONCAT("http://leetcode.com/problems/",Github!C$1135), Github!B$1135)</f>
        <v>Armstrong Number</v>
      </c>
      <c r="C1908" s="10">
        <f>Github!F$1135</f>
        <v>149</v>
      </c>
      <c r="D1908" s="10">
        <f>Github!G$1135</f>
        <v>17</v>
      </c>
      <c r="E1908" s="10">
        <f>Github!F$1135+Github!G$1135</f>
        <v>166</v>
      </c>
      <c r="F1908" s="12">
        <f t="shared" si="1"/>
        <v>8.76</v>
      </c>
      <c r="G1908" s="10" t="str">
        <f>Github!H$1135</f>
        <v>Algorithms</v>
      </c>
      <c r="H1908" s="13" t="str">
        <f>SUBSTITUTE(Github!L$1135, ";", ", ")</f>
        <v>Math, </v>
      </c>
      <c r="I1908" s="10" t="str">
        <f>Github!E$1135</f>
        <v>Easy</v>
      </c>
      <c r="J1908" s="10" t="str">
        <f>IF(TRIM(Github!D$1135)="TRUE","FALSE","TRUE")</f>
        <v>FALSE</v>
      </c>
      <c r="K1908" s="10" t="b">
        <f>Github!M$1135</f>
        <v>1</v>
      </c>
      <c r="L1908" s="10" t="b">
        <f>Github!N$1135</f>
        <v>0</v>
      </c>
      <c r="M1908" s="10" t="str">
        <f>ROUND(Github!O$1135, 2)&amp;"%"</f>
        <v>78.33%</v>
      </c>
      <c r="N1908" s="10">
        <f>Github!P$1135</f>
        <v>27258</v>
      </c>
      <c r="O1908" s="10">
        <f>Github!Q$1135</f>
        <v>34797</v>
      </c>
    </row>
    <row r="1909">
      <c r="A1909" s="10">
        <f>Github!J$1897</f>
        <v>1896</v>
      </c>
      <c r="B1909" s="11" t="str">
        <f>HYPERLINK(CONCAT("http://leetcode.com/problems/",Github!C$1897), Github!B$1897)</f>
        <v>Minimum Cost to Change the Final Value of Expression</v>
      </c>
      <c r="C1909" s="10">
        <f>Github!F$1897</f>
        <v>149</v>
      </c>
      <c r="D1909" s="10">
        <f>Github!G$1897</f>
        <v>33</v>
      </c>
      <c r="E1909" s="10">
        <f>Github!F$1897+Github!G$1897</f>
        <v>182</v>
      </c>
      <c r="F1909" s="12">
        <f t="shared" si="1"/>
        <v>4.52</v>
      </c>
      <c r="G1909" s="10" t="str">
        <f>Github!H$1897</f>
        <v>Algorithms</v>
      </c>
      <c r="H1909" s="13" t="str">
        <f>SUBSTITUTE(Github!L$1897, ";", ", ")</f>
        <v>Math, String, Dynamic Programming, Stack, </v>
      </c>
      <c r="I1909" s="10" t="str">
        <f>Github!E$1897</f>
        <v>Hard</v>
      </c>
      <c r="J1909" s="10" t="str">
        <f>IF(TRIM(Github!D$1897)="TRUE","FALSE","TRUE")</f>
        <v>TRUE</v>
      </c>
      <c r="K1909" s="10" t="b">
        <f>Github!M$1897</f>
        <v>0</v>
      </c>
      <c r="L1909" s="10" t="b">
        <f>Github!N$1897</f>
        <v>0</v>
      </c>
      <c r="M1909" s="10" t="str">
        <f>ROUND(Github!O$1897, 2)&amp;"%"</f>
        <v>53.33%</v>
      </c>
      <c r="N1909" s="10">
        <f>Github!P$1897</f>
        <v>2423</v>
      </c>
      <c r="O1909" s="10">
        <f>Github!Q$1897</f>
        <v>4543</v>
      </c>
    </row>
    <row r="1910">
      <c r="A1910" s="10">
        <f>Github!J$2186</f>
        <v>2185</v>
      </c>
      <c r="B1910" s="11" t="str">
        <f>HYPERLINK(CONCAT("http://leetcode.com/problems/",Github!C$2186), Github!B$2186)</f>
        <v>Counting Words With a Given Prefix</v>
      </c>
      <c r="C1910" s="10">
        <f>Github!F$2186</f>
        <v>153</v>
      </c>
      <c r="D1910" s="10">
        <f>Github!G$2186</f>
        <v>2</v>
      </c>
      <c r="E1910" s="10">
        <f>Github!F$2186+Github!G$2186</f>
        <v>155</v>
      </c>
      <c r="F1910" s="12">
        <f t="shared" si="1"/>
        <v>76.5</v>
      </c>
      <c r="G1910" s="10" t="str">
        <f>Github!H$2186</f>
        <v>Algorithms</v>
      </c>
      <c r="H1910" s="13" t="str">
        <f>SUBSTITUTE(Github!L$2186, ";", ", ")</f>
        <v>Array, String, </v>
      </c>
      <c r="I1910" s="10" t="str">
        <f>Github!E$2186</f>
        <v>Easy</v>
      </c>
      <c r="J1910" s="10" t="str">
        <f>IF(TRIM(Github!D$2186)="TRUE","FALSE","TRUE")</f>
        <v>TRUE</v>
      </c>
      <c r="K1910" s="10" t="b">
        <f>Github!M$2186</f>
        <v>0</v>
      </c>
      <c r="L1910" s="10" t="b">
        <f>Github!N$2186</f>
        <v>0</v>
      </c>
      <c r="M1910" s="10" t="str">
        <f>ROUND(Github!O$2186, 2)&amp;"%"</f>
        <v>77.68%</v>
      </c>
      <c r="N1910" s="10">
        <f>Github!P$2186</f>
        <v>22962</v>
      </c>
      <c r="O1910" s="10">
        <f>Github!Q$2186</f>
        <v>29560</v>
      </c>
    </row>
    <row r="1911">
      <c r="A1911" s="10">
        <f>Github!J$1174</f>
        <v>1173</v>
      </c>
      <c r="B1911" s="11" t="str">
        <f>HYPERLINK(CONCAT("http://leetcode.com/problems/",Github!C$1174), Github!B$1174)</f>
        <v>Immediate Food Delivery I</v>
      </c>
      <c r="C1911" s="10">
        <f>Github!F$1174</f>
        <v>148</v>
      </c>
      <c r="D1911" s="10">
        <f>Github!G$1174</f>
        <v>8</v>
      </c>
      <c r="E1911" s="10">
        <f>Github!F$1174+Github!G$1174</f>
        <v>156</v>
      </c>
      <c r="F1911" s="12">
        <f t="shared" si="1"/>
        <v>18.5</v>
      </c>
      <c r="G1911" s="10" t="str">
        <f>Github!H$1174</f>
        <v>Database</v>
      </c>
      <c r="H1911" s="13" t="str">
        <f>SUBSTITUTE(Github!L$1174, ";", ", ")</f>
        <v>Database, </v>
      </c>
      <c r="I1911" s="10" t="str">
        <f>Github!E$1174</f>
        <v>Easy</v>
      </c>
      <c r="J1911" s="10" t="str">
        <f>IF(TRIM(Github!D$1174)="TRUE","FALSE","TRUE")</f>
        <v>FALSE</v>
      </c>
      <c r="K1911" s="10" t="b">
        <f>Github!M$1174</f>
        <v>0</v>
      </c>
      <c r="L1911" s="10" t="b">
        <f>Github!N$1174</f>
        <v>0</v>
      </c>
      <c r="M1911" s="10" t="str">
        <f>ROUND(Github!O$1174, 2)&amp;"%"</f>
        <v>83.19%</v>
      </c>
      <c r="N1911" s="10">
        <f>Github!P$1174</f>
        <v>35763</v>
      </c>
      <c r="O1911" s="10">
        <f>Github!Q$1174</f>
        <v>42987</v>
      </c>
    </row>
    <row r="1912">
      <c r="A1912" s="10">
        <f>Github!J$1584</f>
        <v>1583</v>
      </c>
      <c r="B1912" s="11" t="str">
        <f>HYPERLINK(CONCAT("http://leetcode.com/problems/",Github!C$1584), Github!B$1584)</f>
        <v>Count Unhappy Friends</v>
      </c>
      <c r="C1912" s="10">
        <f>Github!F$1584</f>
        <v>149</v>
      </c>
      <c r="D1912" s="10">
        <f>Github!G$1584</f>
        <v>548</v>
      </c>
      <c r="E1912" s="10">
        <f>Github!F$1584+Github!G$1584</f>
        <v>697</v>
      </c>
      <c r="F1912" s="12">
        <f t="shared" si="1"/>
        <v>0.27</v>
      </c>
      <c r="G1912" s="10" t="str">
        <f>Github!H$1584</f>
        <v>Algorithms</v>
      </c>
      <c r="H1912" s="13" t="str">
        <f>SUBSTITUTE(Github!L$1584, ";", ", ")</f>
        <v>Array, Simulation, </v>
      </c>
      <c r="I1912" s="10" t="str">
        <f>Github!E$1584</f>
        <v>Medium</v>
      </c>
      <c r="J1912" s="10" t="str">
        <f>IF(TRIM(Github!D$1584)="TRUE","FALSE","TRUE")</f>
        <v>TRUE</v>
      </c>
      <c r="K1912" s="10" t="b">
        <f>Github!M$1584</f>
        <v>0</v>
      </c>
      <c r="L1912" s="10" t="b">
        <f>Github!N$1584</f>
        <v>0</v>
      </c>
      <c r="M1912" s="10" t="str">
        <f>ROUND(Github!O$1584, 2)&amp;"%"</f>
        <v>57.49%</v>
      </c>
      <c r="N1912" s="10">
        <f>Github!P$1584</f>
        <v>15450</v>
      </c>
      <c r="O1912" s="10">
        <f>Github!Q$1584</f>
        <v>26875</v>
      </c>
    </row>
    <row r="1913">
      <c r="A1913" s="10">
        <f>Github!J$1502</f>
        <v>1501</v>
      </c>
      <c r="B1913" s="11" t="str">
        <f>HYPERLINK(CONCAT("http://leetcode.com/problems/",Github!C$1502), Github!B$1502)</f>
        <v>Countries You Can Safely Invest In</v>
      </c>
      <c r="C1913" s="10">
        <f>Github!F$1502</f>
        <v>147</v>
      </c>
      <c r="D1913" s="10">
        <f>Github!G$1502</f>
        <v>19</v>
      </c>
      <c r="E1913" s="10">
        <f>Github!F$1502+Github!G$1502</f>
        <v>166</v>
      </c>
      <c r="F1913" s="12">
        <f t="shared" si="1"/>
        <v>7.74</v>
      </c>
      <c r="G1913" s="10" t="str">
        <f>Github!H$1502</f>
        <v>Database</v>
      </c>
      <c r="H1913" s="13" t="str">
        <f>SUBSTITUTE(Github!L$1502, ";", ", ")</f>
        <v>Database, </v>
      </c>
      <c r="I1913" s="10" t="str">
        <f>Github!E$1502</f>
        <v>Medium</v>
      </c>
      <c r="J1913" s="10" t="str">
        <f>IF(TRIM(Github!D$1502)="TRUE","FALSE","TRUE")</f>
        <v>FALSE</v>
      </c>
      <c r="K1913" s="10" t="b">
        <f>Github!M$1502</f>
        <v>0</v>
      </c>
      <c r="L1913" s="10" t="b">
        <f>Github!N$1502</f>
        <v>0</v>
      </c>
      <c r="M1913" s="10" t="str">
        <f>ROUND(Github!O$1502, 2)&amp;"%"</f>
        <v>58.27%</v>
      </c>
      <c r="N1913" s="10">
        <f>Github!P$1502</f>
        <v>14762</v>
      </c>
      <c r="O1913" s="10">
        <f>Github!Q$1502</f>
        <v>25333</v>
      </c>
    </row>
    <row r="1914">
      <c r="A1914" s="10">
        <f>Github!J$1597</f>
        <v>1596</v>
      </c>
      <c r="B1914" s="11" t="str">
        <f>HYPERLINK(CONCAT("http://leetcode.com/problems/",Github!C$1597), Github!B$1597)</f>
        <v>The Most Frequently Ordered Products for Each Customer</v>
      </c>
      <c r="C1914" s="10">
        <f>Github!F$1597</f>
        <v>147</v>
      </c>
      <c r="D1914" s="10">
        <f>Github!G$1597</f>
        <v>12</v>
      </c>
      <c r="E1914" s="10">
        <f>Github!F$1597+Github!G$1597</f>
        <v>159</v>
      </c>
      <c r="F1914" s="12">
        <f t="shared" si="1"/>
        <v>12.25</v>
      </c>
      <c r="G1914" s="10" t="str">
        <f>Github!H$1597</f>
        <v>Database</v>
      </c>
      <c r="H1914" s="13" t="str">
        <f>SUBSTITUTE(Github!L$1597, ";", ", ")</f>
        <v>Database, </v>
      </c>
      <c r="I1914" s="10" t="str">
        <f>Github!E$1597</f>
        <v>Medium</v>
      </c>
      <c r="J1914" s="10" t="str">
        <f>IF(TRIM(Github!D$1597)="TRUE","FALSE","TRUE")</f>
        <v>FALSE</v>
      </c>
      <c r="K1914" s="10" t="b">
        <f>Github!M$1597</f>
        <v>0</v>
      </c>
      <c r="L1914" s="10" t="b">
        <f>Github!N$1597</f>
        <v>0</v>
      </c>
      <c r="M1914" s="10" t="str">
        <f>ROUND(Github!O$1597, 2)&amp;"%"</f>
        <v>84.77%</v>
      </c>
      <c r="N1914" s="10">
        <f>Github!P$1597</f>
        <v>17421</v>
      </c>
      <c r="O1914" s="10">
        <f>Github!Q$1597</f>
        <v>20550</v>
      </c>
    </row>
    <row r="1915">
      <c r="A1915" s="10">
        <f>Github!J$1736</f>
        <v>1735</v>
      </c>
      <c r="B1915" s="11" t="str">
        <f>HYPERLINK(CONCAT("http://leetcode.com/problems/",Github!C$1736), Github!B$1736)</f>
        <v>Count Ways to Make Array With Product</v>
      </c>
      <c r="C1915" s="10">
        <f>Github!F$1736</f>
        <v>147</v>
      </c>
      <c r="D1915" s="10">
        <f>Github!G$1736</f>
        <v>24</v>
      </c>
      <c r="E1915" s="10">
        <f>Github!F$1736+Github!G$1736</f>
        <v>171</v>
      </c>
      <c r="F1915" s="12">
        <f t="shared" si="1"/>
        <v>6.13</v>
      </c>
      <c r="G1915" s="10" t="str">
        <f>Github!H$1736</f>
        <v>Algorithms</v>
      </c>
      <c r="H1915" s="13" t="str">
        <f>SUBSTITUTE(Github!L$1736, ";", ", ")</f>
        <v>Array, Math, Dynamic Programming, </v>
      </c>
      <c r="I1915" s="10" t="str">
        <f>Github!E$1736</f>
        <v>Hard</v>
      </c>
      <c r="J1915" s="10" t="str">
        <f>IF(TRIM(Github!D$1736)="TRUE","FALSE","TRUE")</f>
        <v>TRUE</v>
      </c>
      <c r="K1915" s="10" t="b">
        <f>Github!M$1736</f>
        <v>0</v>
      </c>
      <c r="L1915" s="10" t="b">
        <f>Github!N$1736</f>
        <v>0</v>
      </c>
      <c r="M1915" s="10" t="str">
        <f>ROUND(Github!O$1736, 2)&amp;"%"</f>
        <v>49.49%</v>
      </c>
      <c r="N1915" s="10">
        <f>Github!P$1736</f>
        <v>3104</v>
      </c>
      <c r="O1915" s="10">
        <f>Github!Q$1736</f>
        <v>6272</v>
      </c>
    </row>
    <row r="1916">
      <c r="A1916" s="10">
        <f>Github!J$2019</f>
        <v>2018</v>
      </c>
      <c r="B1916" s="11" t="str">
        <f>HYPERLINK(CONCAT("http://leetcode.com/problems/",Github!C$2019), Github!B$2019)</f>
        <v>Check if Word Can Be Placed In Crossword</v>
      </c>
      <c r="C1916" s="10">
        <f>Github!F$2019</f>
        <v>146</v>
      </c>
      <c r="D1916" s="10">
        <f>Github!G$2019</f>
        <v>147</v>
      </c>
      <c r="E1916" s="10">
        <f>Github!F$2019+Github!G$2019</f>
        <v>293</v>
      </c>
      <c r="F1916" s="12">
        <f t="shared" si="1"/>
        <v>0.99</v>
      </c>
      <c r="G1916" s="10" t="str">
        <f>Github!H$2019</f>
        <v>Algorithms</v>
      </c>
      <c r="H1916" s="13" t="str">
        <f>SUBSTITUTE(Github!L$2019, ";", ", ")</f>
        <v>Array, Matrix, Enumeration, </v>
      </c>
      <c r="I1916" s="10" t="str">
        <f>Github!E$2019</f>
        <v>Medium</v>
      </c>
      <c r="J1916" s="10" t="str">
        <f>IF(TRIM(Github!D$2019)="TRUE","FALSE","TRUE")</f>
        <v>TRUE</v>
      </c>
      <c r="K1916" s="10" t="b">
        <f>Github!M$2019</f>
        <v>0</v>
      </c>
      <c r="L1916" s="10" t="b">
        <f>Github!N$2019</f>
        <v>0</v>
      </c>
      <c r="M1916" s="10" t="str">
        <f>ROUND(Github!O$2019, 2)&amp;"%"</f>
        <v>47.73%</v>
      </c>
      <c r="N1916" s="10">
        <f>Github!P$2019</f>
        <v>7520</v>
      </c>
      <c r="O1916" s="10">
        <f>Github!Q$2019</f>
        <v>15756</v>
      </c>
    </row>
    <row r="1917">
      <c r="A1917" s="10">
        <f>Github!J$1034</f>
        <v>1033</v>
      </c>
      <c r="B1917" s="11" t="str">
        <f>HYPERLINK(CONCAT("http://leetcode.com/problems/",Github!C$1034), Github!B$1034)</f>
        <v>Moving Stones Until Consecutive</v>
      </c>
      <c r="C1917" s="10">
        <f>Github!F$1034</f>
        <v>145</v>
      </c>
      <c r="D1917" s="10">
        <f>Github!G$1034</f>
        <v>575</v>
      </c>
      <c r="E1917" s="10">
        <f>Github!F$1034+Github!G$1034</f>
        <v>720</v>
      </c>
      <c r="F1917" s="12">
        <f t="shared" si="1"/>
        <v>0.25</v>
      </c>
      <c r="G1917" s="10" t="str">
        <f>Github!H$1034</f>
        <v>Algorithms</v>
      </c>
      <c r="H1917" s="13" t="str">
        <f>SUBSTITUTE(Github!L$1034, ";", ", ")</f>
        <v>Math, Brainteaser, </v>
      </c>
      <c r="I1917" s="10" t="str">
        <f>Github!E$1034</f>
        <v>Medium</v>
      </c>
      <c r="J1917" s="10" t="str">
        <f>IF(TRIM(Github!D$1034)="TRUE","FALSE","TRUE")</f>
        <v>TRUE</v>
      </c>
      <c r="K1917" s="10" t="b">
        <f>Github!M$1034</f>
        <v>0</v>
      </c>
      <c r="L1917" s="10" t="b">
        <f>Github!N$1034</f>
        <v>0</v>
      </c>
      <c r="M1917" s="10" t="str">
        <f>ROUND(Github!O$1034, 2)&amp;"%"</f>
        <v>44.81%</v>
      </c>
      <c r="N1917" s="10">
        <f>Github!P$1034</f>
        <v>19254</v>
      </c>
      <c r="O1917" s="10">
        <f>Github!Q$1034</f>
        <v>42966</v>
      </c>
    </row>
    <row r="1918">
      <c r="A1918" s="10">
        <f>Github!J$1197</f>
        <v>1196</v>
      </c>
      <c r="B1918" s="11" t="str">
        <f>HYPERLINK(CONCAT("http://leetcode.com/problems/",Github!C$1197), Github!B$1197)</f>
        <v>How Many Apples Can You Put into the Basket</v>
      </c>
      <c r="C1918" s="10">
        <f>Github!F$1197</f>
        <v>145</v>
      </c>
      <c r="D1918" s="10">
        <f>Github!G$1197</f>
        <v>13</v>
      </c>
      <c r="E1918" s="10">
        <f>Github!F$1197+Github!G$1197</f>
        <v>158</v>
      </c>
      <c r="F1918" s="12">
        <f t="shared" si="1"/>
        <v>11.15</v>
      </c>
      <c r="G1918" s="10" t="str">
        <f>Github!H$1197</f>
        <v>Algorithms</v>
      </c>
      <c r="H1918" s="13" t="str">
        <f>SUBSTITUTE(Github!L$1197, ";", ", ")</f>
        <v>Array, Greedy, Sorting, </v>
      </c>
      <c r="I1918" s="10" t="str">
        <f>Github!E$1197</f>
        <v>Easy</v>
      </c>
      <c r="J1918" s="10" t="str">
        <f>IF(TRIM(Github!D$1197)="TRUE","FALSE","TRUE")</f>
        <v>FALSE</v>
      </c>
      <c r="K1918" s="10" t="b">
        <f>Github!M$1197</f>
        <v>1</v>
      </c>
      <c r="L1918" s="10" t="b">
        <f>Github!N$1197</f>
        <v>0</v>
      </c>
      <c r="M1918" s="10" t="str">
        <f>ROUND(Github!O$1197, 2)&amp;"%"</f>
        <v>67.55%</v>
      </c>
      <c r="N1918" s="10">
        <f>Github!P$1197</f>
        <v>18407</v>
      </c>
      <c r="O1918" s="10">
        <f>Github!Q$1197</f>
        <v>27251</v>
      </c>
    </row>
    <row r="1919">
      <c r="A1919" s="10">
        <f>Github!J$1729</f>
        <v>1728</v>
      </c>
      <c r="B1919" s="11" t="str">
        <f>HYPERLINK(CONCAT("http://leetcode.com/problems/",Github!C$1729), Github!B$1729)</f>
        <v>Cat and Mouse II</v>
      </c>
      <c r="C1919" s="10">
        <f>Github!F$1729</f>
        <v>144</v>
      </c>
      <c r="D1919" s="10">
        <f>Github!G$1729</f>
        <v>24</v>
      </c>
      <c r="E1919" s="10">
        <f>Github!F$1729+Github!G$1729</f>
        <v>168</v>
      </c>
      <c r="F1919" s="12">
        <f t="shared" si="1"/>
        <v>6</v>
      </c>
      <c r="G1919" s="10" t="str">
        <f>Github!H$1729</f>
        <v>Algorithms</v>
      </c>
      <c r="H1919" s="13" t="str">
        <f>SUBSTITUTE(Github!L$1729, ";", ", ")</f>
        <v>Math, Dynamic Programming, Breadth-First Search, Graph, Memoization, Game Theory, </v>
      </c>
      <c r="I1919" s="10" t="str">
        <f>Github!E$1729</f>
        <v>Hard</v>
      </c>
      <c r="J1919" s="10" t="str">
        <f>IF(TRIM(Github!D$1729)="TRUE","FALSE","TRUE")</f>
        <v>TRUE</v>
      </c>
      <c r="K1919" s="10" t="b">
        <f>Github!M$1729</f>
        <v>0</v>
      </c>
      <c r="L1919" s="10" t="b">
        <f>Github!N$1729</f>
        <v>0</v>
      </c>
      <c r="M1919" s="10" t="str">
        <f>ROUND(Github!O$1729, 2)&amp;"%"</f>
        <v>40.31%</v>
      </c>
      <c r="N1919" s="10">
        <f>Github!P$1729</f>
        <v>4297</v>
      </c>
      <c r="O1919" s="10">
        <f>Github!Q$1729</f>
        <v>10659</v>
      </c>
    </row>
    <row r="1920">
      <c r="A1920" s="10">
        <f>Github!J$1786</f>
        <v>1785</v>
      </c>
      <c r="B1920" s="11" t="str">
        <f>HYPERLINK(CONCAT("http://leetcode.com/problems/",Github!C$1786), Github!B$1786)</f>
        <v>Minimum Elements to Add to Form a Given Sum</v>
      </c>
      <c r="C1920" s="10">
        <f>Github!F$1786</f>
        <v>144</v>
      </c>
      <c r="D1920" s="10">
        <f>Github!G$1786</f>
        <v>140</v>
      </c>
      <c r="E1920" s="10">
        <f>Github!F$1786+Github!G$1786</f>
        <v>284</v>
      </c>
      <c r="F1920" s="12">
        <f t="shared" si="1"/>
        <v>1.03</v>
      </c>
      <c r="G1920" s="10" t="str">
        <f>Github!H$1786</f>
        <v>Algorithms</v>
      </c>
      <c r="H1920" s="13" t="str">
        <f>SUBSTITUTE(Github!L$1786, ";", ", ")</f>
        <v>Array, Greedy, </v>
      </c>
      <c r="I1920" s="10" t="str">
        <f>Github!E$1786</f>
        <v>Medium</v>
      </c>
      <c r="J1920" s="10" t="str">
        <f>IF(TRIM(Github!D$1786)="TRUE","FALSE","TRUE")</f>
        <v>TRUE</v>
      </c>
      <c r="K1920" s="10" t="b">
        <f>Github!M$1786</f>
        <v>0</v>
      </c>
      <c r="L1920" s="10" t="b">
        <f>Github!N$1786</f>
        <v>0</v>
      </c>
      <c r="M1920" s="10" t="str">
        <f>ROUND(Github!O$1786, 2)&amp;"%"</f>
        <v>41.42%</v>
      </c>
      <c r="N1920" s="10">
        <f>Github!P$1786</f>
        <v>13694</v>
      </c>
      <c r="O1920" s="10">
        <f>Github!Q$1786</f>
        <v>33062</v>
      </c>
    </row>
    <row r="1921">
      <c r="A1921" s="10">
        <f>Github!J$1905</f>
        <v>1904</v>
      </c>
      <c r="B1921" s="11" t="str">
        <f>HYPERLINK(CONCAT("http://leetcode.com/problems/",Github!C$1905), Github!B$1905)</f>
        <v>The Number of Full Rounds You Have Played</v>
      </c>
      <c r="C1921" s="10">
        <f>Github!F$1905</f>
        <v>144</v>
      </c>
      <c r="D1921" s="10">
        <f>Github!G$1905</f>
        <v>201</v>
      </c>
      <c r="E1921" s="10">
        <f>Github!F$1905+Github!G$1905</f>
        <v>345</v>
      </c>
      <c r="F1921" s="12">
        <f t="shared" si="1"/>
        <v>0.72</v>
      </c>
      <c r="G1921" s="10" t="str">
        <f>Github!H$1905</f>
        <v>Algorithms</v>
      </c>
      <c r="H1921" s="13" t="str">
        <f>SUBSTITUTE(Github!L$1905, ";", ", ")</f>
        <v>Math, String, </v>
      </c>
      <c r="I1921" s="10" t="str">
        <f>Github!E$1905</f>
        <v>Medium</v>
      </c>
      <c r="J1921" s="10" t="str">
        <f>IF(TRIM(Github!D$1905)="TRUE","FALSE","TRUE")</f>
        <v>TRUE</v>
      </c>
      <c r="K1921" s="10" t="b">
        <f>Github!M$1905</f>
        <v>0</v>
      </c>
      <c r="L1921" s="10" t="b">
        <f>Github!N$1905</f>
        <v>0</v>
      </c>
      <c r="M1921" s="10" t="str">
        <f>ROUND(Github!O$1905, 2)&amp;"%"</f>
        <v>47.39%</v>
      </c>
      <c r="N1921" s="10">
        <f>Github!P$1905</f>
        <v>15383</v>
      </c>
      <c r="O1921" s="10">
        <f>Github!Q$1905</f>
        <v>32460</v>
      </c>
    </row>
    <row r="1922">
      <c r="A1922" s="10">
        <f>Github!J$1083</f>
        <v>1082</v>
      </c>
      <c r="B1922" s="11" t="str">
        <f>HYPERLINK(CONCAT("http://leetcode.com/problems/",Github!C$1083), Github!B$1083)</f>
        <v>Sales Analysis I</v>
      </c>
      <c r="C1922" s="10">
        <f>Github!F$1083</f>
        <v>143</v>
      </c>
      <c r="D1922" s="10">
        <f>Github!G$1083</f>
        <v>50</v>
      </c>
      <c r="E1922" s="10">
        <f>Github!F$1083+Github!G$1083</f>
        <v>193</v>
      </c>
      <c r="F1922" s="12">
        <f t="shared" si="1"/>
        <v>2.86</v>
      </c>
      <c r="G1922" s="10" t="str">
        <f>Github!H$1083</f>
        <v>Database</v>
      </c>
      <c r="H1922" s="13" t="str">
        <f>SUBSTITUTE(Github!L$1083, ";", ", ")</f>
        <v>Database, </v>
      </c>
      <c r="I1922" s="10" t="str">
        <f>Github!E$1083</f>
        <v>Easy</v>
      </c>
      <c r="J1922" s="10" t="str">
        <f>IF(TRIM(Github!D$1083)="TRUE","FALSE","TRUE")</f>
        <v>FALSE</v>
      </c>
      <c r="K1922" s="10" t="b">
        <f>Github!M$1083</f>
        <v>0</v>
      </c>
      <c r="L1922" s="10" t="b">
        <f>Github!N$1083</f>
        <v>0</v>
      </c>
      <c r="M1922" s="10" t="str">
        <f>ROUND(Github!O$1083, 2)&amp;"%"</f>
        <v>75.17%</v>
      </c>
      <c r="N1922" s="10">
        <f>Github!P$1083</f>
        <v>38689</v>
      </c>
      <c r="O1922" s="10">
        <f>Github!Q$1083</f>
        <v>51471</v>
      </c>
    </row>
    <row r="1923">
      <c r="A1923" s="10">
        <f>Github!J$1587</f>
        <v>1586</v>
      </c>
      <c r="B1923" s="11" t="str">
        <f>HYPERLINK(CONCAT("http://leetcode.com/problems/",Github!C$1587), Github!B$1587)</f>
        <v>Binary Search Tree Iterator II</v>
      </c>
      <c r="C1923" s="10">
        <f>Github!F$1587</f>
        <v>142</v>
      </c>
      <c r="D1923" s="10">
        <f>Github!G$1587</f>
        <v>20</v>
      </c>
      <c r="E1923" s="10">
        <f>Github!F$1587+Github!G$1587</f>
        <v>162</v>
      </c>
      <c r="F1923" s="12">
        <f t="shared" si="1"/>
        <v>7.1</v>
      </c>
      <c r="G1923" s="10" t="str">
        <f>Github!H$1587</f>
        <v>Algorithms</v>
      </c>
      <c r="H1923" s="13" t="str">
        <f>SUBSTITUTE(Github!L$1587, ";", ", ")</f>
        <v>Stack, Tree, Design, Binary Search Tree, Binary Tree, Iterator, </v>
      </c>
      <c r="I1923" s="10" t="str">
        <f>Github!E$1587</f>
        <v>Medium</v>
      </c>
      <c r="J1923" s="10" t="str">
        <f>IF(TRIM(Github!D$1587)="TRUE","FALSE","TRUE")</f>
        <v>FALSE</v>
      </c>
      <c r="K1923" s="10" t="b">
        <f>Github!M$1587</f>
        <v>1</v>
      </c>
      <c r="L1923" s="10" t="b">
        <f>Github!N$1587</f>
        <v>0</v>
      </c>
      <c r="M1923" s="10" t="str">
        <f>ROUND(Github!O$1587, 2)&amp;"%"</f>
        <v>67.34%</v>
      </c>
      <c r="N1923" s="10">
        <f>Github!P$1587</f>
        <v>6288</v>
      </c>
      <c r="O1923" s="10">
        <f>Github!Q$1587</f>
        <v>9337</v>
      </c>
    </row>
    <row r="1924">
      <c r="A1924" s="10">
        <f>Github!J$1757</f>
        <v>1756</v>
      </c>
      <c r="B1924" s="11" t="str">
        <f>HYPERLINK(CONCAT("http://leetcode.com/problems/",Github!C$1757), Github!B$1757)</f>
        <v>Design Most Recently Used Queue</v>
      </c>
      <c r="C1924" s="10">
        <f>Github!F$1757</f>
        <v>142</v>
      </c>
      <c r="D1924" s="10">
        <f>Github!G$1757</f>
        <v>12</v>
      </c>
      <c r="E1924" s="10">
        <f>Github!F$1757+Github!G$1757</f>
        <v>154</v>
      </c>
      <c r="F1924" s="12">
        <f t="shared" si="1"/>
        <v>11.83</v>
      </c>
      <c r="G1924" s="10" t="str">
        <f>Github!H$1757</f>
        <v>Algorithms</v>
      </c>
      <c r="H1924" s="13" t="str">
        <f>SUBSTITUTE(Github!L$1757, ";", ", ")</f>
        <v>Array, Hash Table, Stack, Design, Binary Indexed Tree, Ordered Set, </v>
      </c>
      <c r="I1924" s="10" t="str">
        <f>Github!E$1757</f>
        <v>Medium</v>
      </c>
      <c r="J1924" s="10" t="str">
        <f>IF(TRIM(Github!D$1757)="TRUE","FALSE","TRUE")</f>
        <v>FALSE</v>
      </c>
      <c r="K1924" s="10" t="b">
        <f>Github!M$1757</f>
        <v>0</v>
      </c>
      <c r="L1924" s="10" t="b">
        <f>Github!N$1757</f>
        <v>0</v>
      </c>
      <c r="M1924" s="10" t="str">
        <f>ROUND(Github!O$1757, 2)&amp;"%"</f>
        <v>78.99%</v>
      </c>
      <c r="N1924" s="10">
        <f>Github!P$1757</f>
        <v>5183</v>
      </c>
      <c r="O1924" s="10">
        <f>Github!Q$1757</f>
        <v>6562</v>
      </c>
    </row>
    <row r="1925">
      <c r="A1925" s="10">
        <f>Github!J$1805</f>
        <v>1804</v>
      </c>
      <c r="B1925" s="11" t="str">
        <f>HYPERLINK(CONCAT("http://leetcode.com/problems/",Github!C$1805), Github!B$1805)</f>
        <v>Implement Trie II (Prefix Tree)</v>
      </c>
      <c r="C1925" s="10">
        <f>Github!F$1805</f>
        <v>142</v>
      </c>
      <c r="D1925" s="10">
        <f>Github!G$1805</f>
        <v>7</v>
      </c>
      <c r="E1925" s="10">
        <f>Github!F$1805+Github!G$1805</f>
        <v>149</v>
      </c>
      <c r="F1925" s="12">
        <f t="shared" si="1"/>
        <v>20.29</v>
      </c>
      <c r="G1925" s="10" t="str">
        <f>Github!H$1805</f>
        <v>Algorithms</v>
      </c>
      <c r="H1925" s="13" t="str">
        <f>SUBSTITUTE(Github!L$1805, ";", ", ")</f>
        <v>Hash Table, String, Design, Trie, </v>
      </c>
      <c r="I1925" s="10" t="str">
        <f>Github!E$1805</f>
        <v>Medium</v>
      </c>
      <c r="J1925" s="10" t="str">
        <f>IF(TRIM(Github!D$1805)="TRUE","FALSE","TRUE")</f>
        <v>FALSE</v>
      </c>
      <c r="K1925" s="10" t="b">
        <f>Github!M$1805</f>
        <v>0</v>
      </c>
      <c r="L1925" s="10" t="b">
        <f>Github!N$1805</f>
        <v>0</v>
      </c>
      <c r="M1925" s="10" t="str">
        <f>ROUND(Github!O$1805, 2)&amp;"%"</f>
        <v>58.79%</v>
      </c>
      <c r="N1925" s="10">
        <f>Github!P$1805</f>
        <v>6520</v>
      </c>
      <c r="O1925" s="10">
        <f>Github!Q$1805</f>
        <v>11090</v>
      </c>
    </row>
    <row r="1926">
      <c r="A1926" s="10">
        <f>Github!J$1413</f>
        <v>1412</v>
      </c>
      <c r="B1926" s="11" t="str">
        <f>HYPERLINK(CONCAT("http://leetcode.com/problems/",Github!C$1413), Github!B$1413)</f>
        <v>Find the Quiet Students in All Exams</v>
      </c>
      <c r="C1926" s="10">
        <f>Github!F$1413</f>
        <v>141</v>
      </c>
      <c r="D1926" s="10">
        <f>Github!G$1413</f>
        <v>11</v>
      </c>
      <c r="E1926" s="10">
        <f>Github!F$1413+Github!G$1413</f>
        <v>152</v>
      </c>
      <c r="F1926" s="12">
        <f t="shared" si="1"/>
        <v>12.82</v>
      </c>
      <c r="G1926" s="10" t="str">
        <f>Github!H$1413</f>
        <v>Database</v>
      </c>
      <c r="H1926" s="13" t="str">
        <f>SUBSTITUTE(Github!L$1413, ";", ", ")</f>
        <v>Database, </v>
      </c>
      <c r="I1926" s="10" t="str">
        <f>Github!E$1413</f>
        <v>Hard</v>
      </c>
      <c r="J1926" s="10" t="str">
        <f>IF(TRIM(Github!D$1413)="TRUE","FALSE","TRUE")</f>
        <v>FALSE</v>
      </c>
      <c r="K1926" s="10" t="b">
        <f>Github!M$1413</f>
        <v>0</v>
      </c>
      <c r="L1926" s="10" t="b">
        <f>Github!N$1413</f>
        <v>0</v>
      </c>
      <c r="M1926" s="10" t="str">
        <f>ROUND(Github!O$1413, 2)&amp;"%"</f>
        <v>62.64%</v>
      </c>
      <c r="N1926" s="10">
        <f>Github!P$1413</f>
        <v>15869</v>
      </c>
      <c r="O1926" s="10">
        <f>Github!Q$1413</f>
        <v>25336</v>
      </c>
    </row>
    <row r="1927">
      <c r="A1927" s="10">
        <f>Github!J$1431</f>
        <v>1430</v>
      </c>
      <c r="B1927" s="11" t="str">
        <f>HYPERLINK(CONCAT("http://leetcode.com/problems/",Github!C$1431), Github!B$1431)</f>
        <v>Check If a String Is a Valid Sequence from Root to Leaves Path in a Binary Tree</v>
      </c>
      <c r="C1927" s="10">
        <f>Github!F$1431</f>
        <v>140</v>
      </c>
      <c r="D1927" s="10">
        <f>Github!G$1431</f>
        <v>9</v>
      </c>
      <c r="E1927" s="10">
        <f>Github!F$1431+Github!G$1431</f>
        <v>149</v>
      </c>
      <c r="F1927" s="12">
        <f t="shared" si="1"/>
        <v>15.56</v>
      </c>
      <c r="G1927" s="10" t="str">
        <f>Github!H$1431</f>
        <v>Algorithms</v>
      </c>
      <c r="H1927" s="13" t="str">
        <f>SUBSTITUTE(Github!L$1431, ";", ", ")</f>
        <v>Tree, Depth-First Search, Breadth-First Search, Binary Tree, </v>
      </c>
      <c r="I1927" s="10" t="str">
        <f>Github!E$1431</f>
        <v>Medium</v>
      </c>
      <c r="J1927" s="10" t="str">
        <f>IF(TRIM(Github!D$1431)="TRUE","FALSE","TRUE")</f>
        <v>FALSE</v>
      </c>
      <c r="K1927" s="10" t="b">
        <f>Github!M$1431</f>
        <v>0</v>
      </c>
      <c r="L1927" s="10" t="b">
        <f>Github!N$1431</f>
        <v>0</v>
      </c>
      <c r="M1927" s="10" t="str">
        <f>ROUND(Github!O$1431, 2)&amp;"%"</f>
        <v>45.65%</v>
      </c>
      <c r="N1927" s="10">
        <f>Github!P$1431</f>
        <v>39073</v>
      </c>
      <c r="O1927" s="10">
        <f>Github!Q$1431</f>
        <v>85598</v>
      </c>
    </row>
    <row r="1928">
      <c r="A1928" s="10">
        <f>Github!J$1099</f>
        <v>1098</v>
      </c>
      <c r="B1928" s="11" t="str">
        <f>HYPERLINK(CONCAT("http://leetcode.com/problems/",Github!C$1099), Github!B$1099)</f>
        <v>Unpopular Books</v>
      </c>
      <c r="C1928" s="10">
        <f>Github!F$1099</f>
        <v>139</v>
      </c>
      <c r="D1928" s="10">
        <f>Github!G$1099</f>
        <v>384</v>
      </c>
      <c r="E1928" s="10">
        <f>Github!F$1099+Github!G$1099</f>
        <v>523</v>
      </c>
      <c r="F1928" s="12">
        <f t="shared" si="1"/>
        <v>0.36</v>
      </c>
      <c r="G1928" s="10" t="str">
        <f>Github!H$1099</f>
        <v>Database</v>
      </c>
      <c r="H1928" s="13" t="str">
        <f>SUBSTITUTE(Github!L$1099, ";", ", ")</f>
        <v>Database, </v>
      </c>
      <c r="I1928" s="10" t="str">
        <f>Github!E$1099</f>
        <v>Medium</v>
      </c>
      <c r="J1928" s="10" t="str">
        <f>IF(TRIM(Github!D$1099)="TRUE","FALSE","TRUE")</f>
        <v>FALSE</v>
      </c>
      <c r="K1928" s="10" t="b">
        <f>Github!M$1099</f>
        <v>0</v>
      </c>
      <c r="L1928" s="10" t="b">
        <f>Github!N$1099</f>
        <v>0</v>
      </c>
      <c r="M1928" s="10" t="str">
        <f>ROUND(Github!O$1099, 2)&amp;"%"</f>
        <v>45.3%</v>
      </c>
      <c r="N1928" s="10">
        <f>Github!P$1099</f>
        <v>25581</v>
      </c>
      <c r="O1928" s="10">
        <f>Github!Q$1099</f>
        <v>56468</v>
      </c>
    </row>
    <row r="1929">
      <c r="A1929" s="10">
        <f>Github!J$1200</f>
        <v>1199</v>
      </c>
      <c r="B1929" s="11" t="str">
        <f>HYPERLINK(CONCAT("http://leetcode.com/problems/",Github!C$1200), Github!B$1200)</f>
        <v>Minimum Time to Build Blocks</v>
      </c>
      <c r="C1929" s="10">
        <f>Github!F$1200</f>
        <v>139</v>
      </c>
      <c r="D1929" s="10">
        <f>Github!G$1200</f>
        <v>18</v>
      </c>
      <c r="E1929" s="10">
        <f>Github!F$1200+Github!G$1200</f>
        <v>157</v>
      </c>
      <c r="F1929" s="12">
        <f t="shared" si="1"/>
        <v>7.72</v>
      </c>
      <c r="G1929" s="10" t="str">
        <f>Github!H$1200</f>
        <v>Algorithms</v>
      </c>
      <c r="H1929" s="13" t="str">
        <f>SUBSTITUTE(Github!L$1200, ";", ", ")</f>
        <v>Math, Greedy, Heap (Priority Queue), </v>
      </c>
      <c r="I1929" s="10" t="str">
        <f>Github!E$1200</f>
        <v>Hard</v>
      </c>
      <c r="J1929" s="10" t="str">
        <f>IF(TRIM(Github!D$1200)="TRUE","FALSE","TRUE")</f>
        <v>FALSE</v>
      </c>
      <c r="K1929" s="10" t="b">
        <f>Github!M$1200</f>
        <v>0</v>
      </c>
      <c r="L1929" s="10" t="b">
        <f>Github!N$1200</f>
        <v>0</v>
      </c>
      <c r="M1929" s="10" t="str">
        <f>ROUND(Github!O$1200, 2)&amp;"%"</f>
        <v>40.16%</v>
      </c>
      <c r="N1929" s="10">
        <f>Github!P$1200</f>
        <v>3333</v>
      </c>
      <c r="O1929" s="10">
        <f>Github!Q$1200</f>
        <v>8300</v>
      </c>
    </row>
    <row r="1930">
      <c r="A1930" s="10">
        <f>Github!J$585</f>
        <v>584</v>
      </c>
      <c r="B1930" s="11" t="str">
        <f>HYPERLINK(CONCAT("http://leetcode.com/problems/",Github!C$585), Github!B$585)</f>
        <v>Find Customer Referee</v>
      </c>
      <c r="C1930" s="10">
        <f>Github!F$585</f>
        <v>138</v>
      </c>
      <c r="D1930" s="10">
        <f>Github!G$585</f>
        <v>80</v>
      </c>
      <c r="E1930" s="10">
        <f>Github!F$585+Github!G$585</f>
        <v>218</v>
      </c>
      <c r="F1930" s="12">
        <f t="shared" si="1"/>
        <v>1.73</v>
      </c>
      <c r="G1930" s="10" t="str">
        <f>Github!H$585</f>
        <v>Database</v>
      </c>
      <c r="H1930" s="13" t="str">
        <f>SUBSTITUTE(Github!L$585, ";", ", ")</f>
        <v>Database, </v>
      </c>
      <c r="I1930" s="10" t="str">
        <f>Github!E$585</f>
        <v>Easy</v>
      </c>
      <c r="J1930" s="10" t="str">
        <f>IF(TRIM(Github!D$585)="TRUE","FALSE","TRUE")</f>
        <v>FALSE</v>
      </c>
      <c r="K1930" s="10" t="b">
        <f>Github!M$585</f>
        <v>1</v>
      </c>
      <c r="L1930" s="10" t="b">
        <f>Github!N$585</f>
        <v>0</v>
      </c>
      <c r="M1930" s="10" t="str">
        <f>ROUND(Github!O$585, 2)&amp;"%"</f>
        <v>76.36%</v>
      </c>
      <c r="N1930" s="10">
        <f>Github!P$585</f>
        <v>49961</v>
      </c>
      <c r="O1930" s="10">
        <f>Github!Q$585</f>
        <v>65425</v>
      </c>
    </row>
    <row r="1931">
      <c r="A1931" s="10">
        <f>Github!J$1077</f>
        <v>1076</v>
      </c>
      <c r="B1931" s="11" t="str">
        <f>HYPERLINK(CONCAT("http://leetcode.com/problems/",Github!C$1077), Github!B$1077)</f>
        <v>Project Employees II</v>
      </c>
      <c r="C1931" s="10">
        <f>Github!F$1077</f>
        <v>138</v>
      </c>
      <c r="D1931" s="10">
        <f>Github!G$1077</f>
        <v>44</v>
      </c>
      <c r="E1931" s="10">
        <f>Github!F$1077+Github!G$1077</f>
        <v>182</v>
      </c>
      <c r="F1931" s="12">
        <f t="shared" si="1"/>
        <v>3.14</v>
      </c>
      <c r="G1931" s="10" t="str">
        <f>Github!H$1077</f>
        <v>Database</v>
      </c>
      <c r="H1931" s="13" t="str">
        <f>SUBSTITUTE(Github!L$1077, ";", ", ")</f>
        <v>Database, </v>
      </c>
      <c r="I1931" s="10" t="str">
        <f>Github!E$1077</f>
        <v>Easy</v>
      </c>
      <c r="J1931" s="10" t="str">
        <f>IF(TRIM(Github!D$1077)="TRUE","FALSE","TRUE")</f>
        <v>FALSE</v>
      </c>
      <c r="K1931" s="10" t="b">
        <f>Github!M$1077</f>
        <v>0</v>
      </c>
      <c r="L1931" s="10" t="b">
        <f>Github!N$1077</f>
        <v>0</v>
      </c>
      <c r="M1931" s="10" t="str">
        <f>ROUND(Github!O$1077, 2)&amp;"%"</f>
        <v>51.4%</v>
      </c>
      <c r="N1931" s="10">
        <f>Github!P$1077</f>
        <v>37300</v>
      </c>
      <c r="O1931" s="10">
        <f>Github!Q$1077</f>
        <v>72562</v>
      </c>
    </row>
    <row r="1932">
      <c r="A1932" s="10">
        <f>Github!J$1428</f>
        <v>1427</v>
      </c>
      <c r="B1932" s="11" t="str">
        <f>HYPERLINK(CONCAT("http://leetcode.com/problems/",Github!C$1428), Github!B$1428)</f>
        <v>Perform String Shifts</v>
      </c>
      <c r="C1932" s="10">
        <f>Github!F$1428</f>
        <v>138</v>
      </c>
      <c r="D1932" s="10">
        <f>Github!G$1428</f>
        <v>2</v>
      </c>
      <c r="E1932" s="10">
        <f>Github!F$1428+Github!G$1428</f>
        <v>140</v>
      </c>
      <c r="F1932" s="12">
        <f t="shared" si="1"/>
        <v>69</v>
      </c>
      <c r="G1932" s="10" t="str">
        <f>Github!H$1428</f>
        <v>Algorithms</v>
      </c>
      <c r="H1932" s="13" t="str">
        <f>SUBSTITUTE(Github!L$1428, ";", ", ")</f>
        <v>Array, Math, String, </v>
      </c>
      <c r="I1932" s="10" t="str">
        <f>Github!E$1428</f>
        <v>Easy</v>
      </c>
      <c r="J1932" s="10" t="str">
        <f>IF(TRIM(Github!D$1428)="TRUE","FALSE","TRUE")</f>
        <v>FALSE</v>
      </c>
      <c r="K1932" s="10" t="b">
        <f>Github!M$1428</f>
        <v>1</v>
      </c>
      <c r="L1932" s="10" t="b">
        <f>Github!N$1428</f>
        <v>0</v>
      </c>
      <c r="M1932" s="10" t="str">
        <f>ROUND(Github!O$1428, 2)&amp;"%"</f>
        <v>53.98%</v>
      </c>
      <c r="N1932" s="10">
        <f>Github!P$1428</f>
        <v>69270</v>
      </c>
      <c r="O1932" s="10">
        <f>Github!Q$1428</f>
        <v>128331</v>
      </c>
    </row>
    <row r="1933">
      <c r="A1933" s="10">
        <f>Github!J$1913</f>
        <v>1912</v>
      </c>
      <c r="B1933" s="11" t="str">
        <f>HYPERLINK(CONCAT("http://leetcode.com/problems/",Github!C$1913), Github!B$1913)</f>
        <v>Design Movie Rental System</v>
      </c>
      <c r="C1933" s="10">
        <f>Github!F$1913</f>
        <v>138</v>
      </c>
      <c r="D1933" s="10">
        <f>Github!G$1913</f>
        <v>27</v>
      </c>
      <c r="E1933" s="10">
        <f>Github!F$1913+Github!G$1913</f>
        <v>165</v>
      </c>
      <c r="F1933" s="12">
        <f t="shared" si="1"/>
        <v>5.11</v>
      </c>
      <c r="G1933" s="10" t="str">
        <f>Github!H$1913</f>
        <v>Algorithms</v>
      </c>
      <c r="H1933" s="13" t="str">
        <f>SUBSTITUTE(Github!L$1913, ";", ", ")</f>
        <v>Array, Hash Table, Design, Heap (Priority Queue), Ordered Set, </v>
      </c>
      <c r="I1933" s="10" t="str">
        <f>Github!E$1913</f>
        <v>Hard</v>
      </c>
      <c r="J1933" s="10" t="str">
        <f>IF(TRIM(Github!D$1913)="TRUE","FALSE","TRUE")</f>
        <v>TRUE</v>
      </c>
      <c r="K1933" s="10" t="b">
        <f>Github!M$1913</f>
        <v>0</v>
      </c>
      <c r="L1933" s="10" t="b">
        <f>Github!N$1913</f>
        <v>0</v>
      </c>
      <c r="M1933" s="10" t="str">
        <f>ROUND(Github!O$1913, 2)&amp;"%"</f>
        <v>42.73%</v>
      </c>
      <c r="N1933" s="10">
        <f>Github!P$1913</f>
        <v>3738</v>
      </c>
      <c r="O1933" s="10">
        <f>Github!Q$1913</f>
        <v>8748</v>
      </c>
    </row>
    <row r="1934">
      <c r="A1934" s="10">
        <f>Github!J$1798</f>
        <v>1797</v>
      </c>
      <c r="B1934" s="11" t="str">
        <f>HYPERLINK(CONCAT("http://leetcode.com/problems/",Github!C$1798), Github!B$1798)</f>
        <v>Design Authentication Manager</v>
      </c>
      <c r="C1934" s="10">
        <f>Github!F$1798</f>
        <v>137</v>
      </c>
      <c r="D1934" s="10">
        <f>Github!G$1798</f>
        <v>25</v>
      </c>
      <c r="E1934" s="10">
        <f>Github!F$1798+Github!G$1798</f>
        <v>162</v>
      </c>
      <c r="F1934" s="12">
        <f t="shared" si="1"/>
        <v>5.48</v>
      </c>
      <c r="G1934" s="10" t="str">
        <f>Github!H$1798</f>
        <v>Algorithms</v>
      </c>
      <c r="H1934" s="13" t="str">
        <f>SUBSTITUTE(Github!L$1798, ";", ", ")</f>
        <v>Hash Table, Design, </v>
      </c>
      <c r="I1934" s="10" t="str">
        <f>Github!E$1798</f>
        <v>Medium</v>
      </c>
      <c r="J1934" s="10" t="str">
        <f>IF(TRIM(Github!D$1798)="TRUE","FALSE","TRUE")</f>
        <v>TRUE</v>
      </c>
      <c r="K1934" s="10" t="b">
        <f>Github!M$1798</f>
        <v>0</v>
      </c>
      <c r="L1934" s="10" t="b">
        <f>Github!N$1798</f>
        <v>0</v>
      </c>
      <c r="M1934" s="10" t="str">
        <f>ROUND(Github!O$1798, 2)&amp;"%"</f>
        <v>52.62%</v>
      </c>
      <c r="N1934" s="10">
        <f>Github!P$1798</f>
        <v>9313</v>
      </c>
      <c r="O1934" s="10">
        <f>Github!Q$1798</f>
        <v>17697</v>
      </c>
    </row>
    <row r="1935">
      <c r="A1935" s="10">
        <f>Github!J$1265</f>
        <v>1264</v>
      </c>
      <c r="B1935" s="11" t="str">
        <f>HYPERLINK(CONCAT("http://leetcode.com/problems/",Github!C$1265), Github!B$1265)</f>
        <v>Page Recommendations</v>
      </c>
      <c r="C1935" s="10">
        <f>Github!F$1265</f>
        <v>136</v>
      </c>
      <c r="D1935" s="10">
        <f>Github!G$1265</f>
        <v>10</v>
      </c>
      <c r="E1935" s="10">
        <f>Github!F$1265+Github!G$1265</f>
        <v>146</v>
      </c>
      <c r="F1935" s="12">
        <f t="shared" si="1"/>
        <v>13.6</v>
      </c>
      <c r="G1935" s="10" t="str">
        <f>Github!H$1265</f>
        <v>Database</v>
      </c>
      <c r="H1935" s="13" t="str">
        <f>SUBSTITUTE(Github!L$1265, ";", ", ")</f>
        <v>Database, </v>
      </c>
      <c r="I1935" s="10" t="str">
        <f>Github!E$1265</f>
        <v>Medium</v>
      </c>
      <c r="J1935" s="10" t="str">
        <f>IF(TRIM(Github!D$1265)="TRUE","FALSE","TRUE")</f>
        <v>FALSE</v>
      </c>
      <c r="K1935" s="10" t="b">
        <f>Github!M$1265</f>
        <v>0</v>
      </c>
      <c r="L1935" s="10" t="b">
        <f>Github!N$1265</f>
        <v>0</v>
      </c>
      <c r="M1935" s="10" t="str">
        <f>ROUND(Github!O$1265, 2)&amp;"%"</f>
        <v>67.59%</v>
      </c>
      <c r="N1935" s="10">
        <f>Github!P$1265</f>
        <v>21413</v>
      </c>
      <c r="O1935" s="10">
        <f>Github!Q$1265</f>
        <v>31681</v>
      </c>
    </row>
    <row r="1936">
      <c r="A1936" s="10">
        <f>Github!J$1433</f>
        <v>1432</v>
      </c>
      <c r="B1936" s="11" t="str">
        <f>HYPERLINK(CONCAT("http://leetcode.com/problems/",Github!C$1433), Github!B$1433)</f>
        <v>Max Difference You Can Get From Changing an Integer</v>
      </c>
      <c r="C1936" s="10">
        <f>Github!F$1433</f>
        <v>136</v>
      </c>
      <c r="D1936" s="10">
        <f>Github!G$1433</f>
        <v>183</v>
      </c>
      <c r="E1936" s="10">
        <f>Github!F$1433+Github!G$1433</f>
        <v>319</v>
      </c>
      <c r="F1936" s="12">
        <f t="shared" si="1"/>
        <v>0.74</v>
      </c>
      <c r="G1936" s="10" t="str">
        <f>Github!H$1433</f>
        <v>Algorithms</v>
      </c>
      <c r="H1936" s="13" t="str">
        <f>SUBSTITUTE(Github!L$1433, ";", ", ")</f>
        <v>Math, Greedy, </v>
      </c>
      <c r="I1936" s="10" t="str">
        <f>Github!E$1433</f>
        <v>Medium</v>
      </c>
      <c r="J1936" s="10" t="str">
        <f>IF(TRIM(Github!D$1433)="TRUE","FALSE","TRUE")</f>
        <v>TRUE</v>
      </c>
      <c r="K1936" s="10" t="b">
        <f>Github!M$1433</f>
        <v>0</v>
      </c>
      <c r="L1936" s="10" t="b">
        <f>Github!N$1433</f>
        <v>0</v>
      </c>
      <c r="M1936" s="10" t="str">
        <f>ROUND(Github!O$1433, 2)&amp;"%"</f>
        <v>43.32%</v>
      </c>
      <c r="N1936" s="10">
        <f>Github!P$1433</f>
        <v>12044</v>
      </c>
      <c r="O1936" s="10">
        <f>Github!Q$1433</f>
        <v>27800</v>
      </c>
    </row>
    <row r="1937">
      <c r="A1937" s="10">
        <f>Github!J$1809</f>
        <v>1808</v>
      </c>
      <c r="B1937" s="11" t="str">
        <f>HYPERLINK(CONCAT("http://leetcode.com/problems/",Github!C$1809), Github!B$1809)</f>
        <v>Maximize Number of Nice Divisors</v>
      </c>
      <c r="C1937" s="10">
        <f>Github!F$1809</f>
        <v>136</v>
      </c>
      <c r="D1937" s="10">
        <f>Github!G$1809</f>
        <v>133</v>
      </c>
      <c r="E1937" s="10">
        <f>Github!F$1809+Github!G$1809</f>
        <v>269</v>
      </c>
      <c r="F1937" s="12">
        <f t="shared" si="1"/>
        <v>1.02</v>
      </c>
      <c r="G1937" s="10" t="str">
        <f>Github!H$1809</f>
        <v>Algorithms</v>
      </c>
      <c r="H1937" s="13" t="str">
        <f>SUBSTITUTE(Github!L$1809, ";", ", ")</f>
        <v>Math, Recursion, </v>
      </c>
      <c r="I1937" s="10" t="str">
        <f>Github!E$1809</f>
        <v>Hard</v>
      </c>
      <c r="J1937" s="10" t="str">
        <f>IF(TRIM(Github!D$1809)="TRUE","FALSE","TRUE")</f>
        <v>TRUE</v>
      </c>
      <c r="K1937" s="10" t="b">
        <f>Github!M$1809</f>
        <v>0</v>
      </c>
      <c r="L1937" s="10" t="b">
        <f>Github!N$1809</f>
        <v>0</v>
      </c>
      <c r="M1937" s="10" t="str">
        <f>ROUND(Github!O$1809, 2)&amp;"%"</f>
        <v>30.07%</v>
      </c>
      <c r="N1937" s="10">
        <f>Github!P$1809</f>
        <v>4504</v>
      </c>
      <c r="O1937" s="10">
        <f>Github!Q$1809</f>
        <v>14979</v>
      </c>
    </row>
    <row r="1938">
      <c r="A1938" s="10">
        <f>Github!J$2076</f>
        <v>2075</v>
      </c>
      <c r="B1938" s="11" t="str">
        <f>HYPERLINK(CONCAT("http://leetcode.com/problems/",Github!C$2076), Github!B$2076)</f>
        <v>Decode the Slanted Ciphertext</v>
      </c>
      <c r="C1938" s="10">
        <f>Github!F$2076</f>
        <v>137</v>
      </c>
      <c r="D1938" s="10">
        <f>Github!G$2076</f>
        <v>29</v>
      </c>
      <c r="E1938" s="10">
        <f>Github!F$2076+Github!G$2076</f>
        <v>166</v>
      </c>
      <c r="F1938" s="12">
        <f t="shared" si="1"/>
        <v>4.72</v>
      </c>
      <c r="G1938" s="10" t="str">
        <f>Github!H$2076</f>
        <v>Algorithms</v>
      </c>
      <c r="H1938" s="13" t="str">
        <f>SUBSTITUTE(Github!L$2076, ";", ", ")</f>
        <v>String, Simulation, </v>
      </c>
      <c r="I1938" s="10" t="str">
        <f>Github!E$2076</f>
        <v>Medium</v>
      </c>
      <c r="J1938" s="10" t="str">
        <f>IF(TRIM(Github!D$2076)="TRUE","FALSE","TRUE")</f>
        <v>TRUE</v>
      </c>
      <c r="K1938" s="10" t="b">
        <f>Github!M$2076</f>
        <v>0</v>
      </c>
      <c r="L1938" s="10" t="b">
        <f>Github!N$2076</f>
        <v>0</v>
      </c>
      <c r="M1938" s="10" t="str">
        <f>ROUND(Github!O$2076, 2)&amp;"%"</f>
        <v>49.91%</v>
      </c>
      <c r="N1938" s="10">
        <f>Github!P$2076</f>
        <v>7487</v>
      </c>
      <c r="O1938" s="10">
        <f>Github!Q$2076</f>
        <v>15000</v>
      </c>
    </row>
    <row r="1939">
      <c r="A1939" s="10">
        <f>Github!J$661</f>
        <v>660</v>
      </c>
      <c r="B1939" s="11" t="str">
        <f>HYPERLINK(CONCAT("http://leetcode.com/problems/",Github!C$661), Github!B$661)</f>
        <v>Remove 9</v>
      </c>
      <c r="C1939" s="10">
        <f>Github!F$661</f>
        <v>133</v>
      </c>
      <c r="D1939" s="10">
        <f>Github!G$661</f>
        <v>165</v>
      </c>
      <c r="E1939" s="10">
        <f>Github!F$661+Github!G$661</f>
        <v>298</v>
      </c>
      <c r="F1939" s="12">
        <f t="shared" si="1"/>
        <v>0.81</v>
      </c>
      <c r="G1939" s="10" t="str">
        <f>Github!H$661</f>
        <v>Algorithms</v>
      </c>
      <c r="H1939" s="13" t="str">
        <f>SUBSTITUTE(Github!L$661, ";", ", ")</f>
        <v>Math, </v>
      </c>
      <c r="I1939" s="10" t="str">
        <f>Github!E$661</f>
        <v>Hard</v>
      </c>
      <c r="J1939" s="10" t="str">
        <f>IF(TRIM(Github!D$661)="TRUE","FALSE","TRUE")</f>
        <v>FALSE</v>
      </c>
      <c r="K1939" s="10" t="b">
        <f>Github!M$661</f>
        <v>1</v>
      </c>
      <c r="L1939" s="10" t="b">
        <f>Github!N$661</f>
        <v>0</v>
      </c>
      <c r="M1939" s="10" t="str">
        <f>ROUND(Github!O$661, 2)&amp;"%"</f>
        <v>55.45%</v>
      </c>
      <c r="N1939" s="10">
        <f>Github!P$661</f>
        <v>8662</v>
      </c>
      <c r="O1939" s="10">
        <f>Github!Q$661</f>
        <v>15622</v>
      </c>
    </row>
    <row r="1940">
      <c r="A1940" s="10">
        <f>Github!J$1598</f>
        <v>1597</v>
      </c>
      <c r="B1940" s="11" t="str">
        <f>HYPERLINK(CONCAT("http://leetcode.com/problems/",Github!C$1598), Github!B$1598)</f>
        <v>Build Binary Expression Tree From Infix Expression</v>
      </c>
      <c r="C1940" s="10">
        <f>Github!F$1598</f>
        <v>133</v>
      </c>
      <c r="D1940" s="10">
        <f>Github!G$1598</f>
        <v>26</v>
      </c>
      <c r="E1940" s="10">
        <f>Github!F$1598+Github!G$1598</f>
        <v>159</v>
      </c>
      <c r="F1940" s="12">
        <f t="shared" si="1"/>
        <v>5.12</v>
      </c>
      <c r="G1940" s="10" t="str">
        <f>Github!H$1598</f>
        <v>Algorithms</v>
      </c>
      <c r="H1940" s="13" t="str">
        <f>SUBSTITUTE(Github!L$1598, ";", ", ")</f>
        <v>String, Stack, Tree, Binary Tree, </v>
      </c>
      <c r="I1940" s="10" t="str">
        <f>Github!E$1598</f>
        <v>Hard</v>
      </c>
      <c r="J1940" s="10" t="str">
        <f>IF(TRIM(Github!D$1598)="TRUE","FALSE","TRUE")</f>
        <v>FALSE</v>
      </c>
      <c r="K1940" s="10" t="b">
        <f>Github!M$1598</f>
        <v>0</v>
      </c>
      <c r="L1940" s="10" t="b">
        <f>Github!N$1598</f>
        <v>0</v>
      </c>
      <c r="M1940" s="10" t="str">
        <f>ROUND(Github!O$1598, 2)&amp;"%"</f>
        <v>59.54%</v>
      </c>
      <c r="N1940" s="10">
        <f>Github!P$1598</f>
        <v>6082</v>
      </c>
      <c r="O1940" s="10">
        <f>Github!Q$1598</f>
        <v>10215</v>
      </c>
    </row>
    <row r="1941">
      <c r="A1941" s="10">
        <f>Github!J$2061</f>
        <v>2060</v>
      </c>
      <c r="B1941" s="11" t="str">
        <f>HYPERLINK(CONCAT("http://leetcode.com/problems/",Github!C$2061), Github!B$2061)</f>
        <v>Check if an Original String Exists Given Two Encoded Strings</v>
      </c>
      <c r="C1941" s="10">
        <f>Github!F$2061</f>
        <v>133</v>
      </c>
      <c r="D1941" s="10">
        <f>Github!G$2061</f>
        <v>62</v>
      </c>
      <c r="E1941" s="10">
        <f>Github!F$2061+Github!G$2061</f>
        <v>195</v>
      </c>
      <c r="F1941" s="12">
        <f t="shared" si="1"/>
        <v>2.15</v>
      </c>
      <c r="G1941" s="10" t="str">
        <f>Github!H$2061</f>
        <v>Algorithms</v>
      </c>
      <c r="H1941" s="13" t="str">
        <f>SUBSTITUTE(Github!L$2061, ";", ", ")</f>
        <v>String, Dynamic Programming, </v>
      </c>
      <c r="I1941" s="10" t="str">
        <f>Github!E$2061</f>
        <v>Hard</v>
      </c>
      <c r="J1941" s="10" t="str">
        <f>IF(TRIM(Github!D$2061)="TRUE","FALSE","TRUE")</f>
        <v>TRUE</v>
      </c>
      <c r="K1941" s="10" t="b">
        <f>Github!M$2061</f>
        <v>0</v>
      </c>
      <c r="L1941" s="10" t="b">
        <f>Github!N$2061</f>
        <v>0</v>
      </c>
      <c r="M1941" s="10" t="str">
        <f>ROUND(Github!O$2061, 2)&amp;"%"</f>
        <v>39.42%</v>
      </c>
      <c r="N1941" s="10">
        <f>Github!P$2061</f>
        <v>4065</v>
      </c>
      <c r="O1941" s="10">
        <f>Github!Q$2061</f>
        <v>10311</v>
      </c>
    </row>
    <row r="1942">
      <c r="A1942" s="10">
        <f>Github!J$2177</f>
        <v>2176</v>
      </c>
      <c r="B1942" s="11" t="str">
        <f>HYPERLINK(CONCAT("http://leetcode.com/problems/",Github!C$2177), Github!B$2177)</f>
        <v>Count Equal and Divisible Pairs in an Array</v>
      </c>
      <c r="C1942" s="10">
        <f>Github!F$2177</f>
        <v>135</v>
      </c>
      <c r="D1942" s="10">
        <f>Github!G$2177</f>
        <v>3</v>
      </c>
      <c r="E1942" s="10">
        <f>Github!F$2177+Github!G$2177</f>
        <v>138</v>
      </c>
      <c r="F1942" s="12">
        <f t="shared" si="1"/>
        <v>45</v>
      </c>
      <c r="G1942" s="10" t="str">
        <f>Github!H$2177</f>
        <v>Algorithms</v>
      </c>
      <c r="H1942" s="13" t="str">
        <f>SUBSTITUTE(Github!L$2177, ";", ", ")</f>
        <v>Array, </v>
      </c>
      <c r="I1942" s="10" t="str">
        <f>Github!E$2177</f>
        <v>Easy</v>
      </c>
      <c r="J1942" s="10" t="str">
        <f>IF(TRIM(Github!D$2177)="TRUE","FALSE","TRUE")</f>
        <v>TRUE</v>
      </c>
      <c r="K1942" s="10" t="b">
        <f>Github!M$2177</f>
        <v>0</v>
      </c>
      <c r="L1942" s="10" t="b">
        <f>Github!N$2177</f>
        <v>0</v>
      </c>
      <c r="M1942" s="10" t="str">
        <f>ROUND(Github!O$2177, 2)&amp;"%"</f>
        <v>79.93%</v>
      </c>
      <c r="N1942" s="10">
        <f>Github!P$2177</f>
        <v>18363</v>
      </c>
      <c r="O1942" s="10">
        <f>Github!Q$2177</f>
        <v>22974</v>
      </c>
    </row>
    <row r="1943">
      <c r="A1943" s="10">
        <f>Github!J$1128</f>
        <v>1127</v>
      </c>
      <c r="B1943" s="11" t="str">
        <f>HYPERLINK(CONCAT("http://leetcode.com/problems/",Github!C$1128), Github!B$1128)</f>
        <v>User Purchase Platform</v>
      </c>
      <c r="C1943" s="10">
        <f>Github!F$1128</f>
        <v>132</v>
      </c>
      <c r="D1943" s="10">
        <f>Github!G$1128</f>
        <v>97</v>
      </c>
      <c r="E1943" s="10">
        <f>Github!F$1128+Github!G$1128</f>
        <v>229</v>
      </c>
      <c r="F1943" s="12">
        <f t="shared" si="1"/>
        <v>1.36</v>
      </c>
      <c r="G1943" s="10" t="str">
        <f>Github!H$1128</f>
        <v>Database</v>
      </c>
      <c r="H1943" s="13" t="str">
        <f>SUBSTITUTE(Github!L$1128, ";", ", ")</f>
        <v>Database, </v>
      </c>
      <c r="I1943" s="10" t="str">
        <f>Github!E$1128</f>
        <v>Hard</v>
      </c>
      <c r="J1943" s="10" t="str">
        <f>IF(TRIM(Github!D$1128)="TRUE","FALSE","TRUE")</f>
        <v>FALSE</v>
      </c>
      <c r="K1943" s="10" t="b">
        <f>Github!M$1128</f>
        <v>0</v>
      </c>
      <c r="L1943" s="10" t="b">
        <f>Github!N$1128</f>
        <v>0</v>
      </c>
      <c r="M1943" s="10" t="str">
        <f>ROUND(Github!O$1128, 2)&amp;"%"</f>
        <v>51.22%</v>
      </c>
      <c r="N1943" s="10">
        <f>Github!P$1128</f>
        <v>10632</v>
      </c>
      <c r="O1943" s="10">
        <f>Github!Q$1128</f>
        <v>20759</v>
      </c>
    </row>
    <row r="1944">
      <c r="A1944" s="10">
        <f>Github!J$1385</f>
        <v>1384</v>
      </c>
      <c r="B1944" s="11" t="str">
        <f>HYPERLINK(CONCAT("http://leetcode.com/problems/",Github!C$1385), Github!B$1385)</f>
        <v>Total Sales Amount by Year</v>
      </c>
      <c r="C1944" s="10">
        <f>Github!F$1385</f>
        <v>132</v>
      </c>
      <c r="D1944" s="10">
        <f>Github!G$1385</f>
        <v>64</v>
      </c>
      <c r="E1944" s="10">
        <f>Github!F$1385+Github!G$1385</f>
        <v>196</v>
      </c>
      <c r="F1944" s="12">
        <f t="shared" si="1"/>
        <v>2.06</v>
      </c>
      <c r="G1944" s="10" t="str">
        <f>Github!H$1385</f>
        <v>Database</v>
      </c>
      <c r="H1944" s="13" t="str">
        <f>SUBSTITUTE(Github!L$1385, ";", ", ")</f>
        <v>Database, </v>
      </c>
      <c r="I1944" s="10" t="str">
        <f>Github!E$1385</f>
        <v>Hard</v>
      </c>
      <c r="J1944" s="10" t="str">
        <f>IF(TRIM(Github!D$1385)="TRUE","FALSE","TRUE")</f>
        <v>FALSE</v>
      </c>
      <c r="K1944" s="10" t="b">
        <f>Github!M$1385</f>
        <v>0</v>
      </c>
      <c r="L1944" s="10" t="b">
        <f>Github!N$1385</f>
        <v>0</v>
      </c>
      <c r="M1944" s="10" t="str">
        <f>ROUND(Github!O$1385, 2)&amp;"%"</f>
        <v>65.89%</v>
      </c>
      <c r="N1944" s="10">
        <f>Github!P$1385</f>
        <v>8944</v>
      </c>
      <c r="O1944" s="10">
        <f>Github!Q$1385</f>
        <v>13574</v>
      </c>
    </row>
    <row r="1945">
      <c r="A1945" s="10">
        <f>Github!J$1581</f>
        <v>1580</v>
      </c>
      <c r="B1945" s="11" t="str">
        <f>HYPERLINK(CONCAT("http://leetcode.com/problems/",Github!C$1581), Github!B$1581)</f>
        <v>Put Boxes Into the Warehouse II</v>
      </c>
      <c r="C1945" s="10">
        <f>Github!F$1581</f>
        <v>132</v>
      </c>
      <c r="D1945" s="10">
        <f>Github!G$1581</f>
        <v>2</v>
      </c>
      <c r="E1945" s="10">
        <f>Github!F$1581+Github!G$1581</f>
        <v>134</v>
      </c>
      <c r="F1945" s="12">
        <f t="shared" si="1"/>
        <v>66</v>
      </c>
      <c r="G1945" s="10" t="str">
        <f>Github!H$1581</f>
        <v>Algorithms</v>
      </c>
      <c r="H1945" s="13" t="str">
        <f>SUBSTITUTE(Github!L$1581, ";", ", ")</f>
        <v>Array, Greedy, Sorting, </v>
      </c>
      <c r="I1945" s="10" t="str">
        <f>Github!E$1581</f>
        <v>Medium</v>
      </c>
      <c r="J1945" s="10" t="str">
        <f>IF(TRIM(Github!D$1581)="TRUE","FALSE","TRUE")</f>
        <v>FALSE</v>
      </c>
      <c r="K1945" s="10" t="b">
        <f>Github!M$1581</f>
        <v>0</v>
      </c>
      <c r="L1945" s="10" t="b">
        <f>Github!N$1581</f>
        <v>0</v>
      </c>
      <c r="M1945" s="10" t="str">
        <f>ROUND(Github!O$1581, 2)&amp;"%"</f>
        <v>63.62%</v>
      </c>
      <c r="N1945" s="10">
        <f>Github!P$1581</f>
        <v>3002</v>
      </c>
      <c r="O1945" s="10">
        <f>Github!Q$1581</f>
        <v>4719</v>
      </c>
    </row>
    <row r="1946">
      <c r="A1946" s="10">
        <f>Github!J$1309</f>
        <v>1308</v>
      </c>
      <c r="B1946" s="11" t="str">
        <f>HYPERLINK(CONCAT("http://leetcode.com/problems/",Github!C$1309), Github!B$1309)</f>
        <v>Running Total for Different Genders</v>
      </c>
      <c r="C1946" s="10">
        <f>Github!F$1309</f>
        <v>131</v>
      </c>
      <c r="D1946" s="10">
        <f>Github!G$1309</f>
        <v>31</v>
      </c>
      <c r="E1946" s="10">
        <f>Github!F$1309+Github!G$1309</f>
        <v>162</v>
      </c>
      <c r="F1946" s="12">
        <f t="shared" si="1"/>
        <v>4.23</v>
      </c>
      <c r="G1946" s="10" t="str">
        <f>Github!H$1309</f>
        <v>Database</v>
      </c>
      <c r="H1946" s="13" t="str">
        <f>SUBSTITUTE(Github!L$1309, ";", ", ")</f>
        <v>Database, </v>
      </c>
      <c r="I1946" s="10" t="str">
        <f>Github!E$1309</f>
        <v>Medium</v>
      </c>
      <c r="J1946" s="10" t="str">
        <f>IF(TRIM(Github!D$1309)="TRUE","FALSE","TRUE")</f>
        <v>FALSE</v>
      </c>
      <c r="K1946" s="10" t="b">
        <f>Github!M$1309</f>
        <v>0</v>
      </c>
      <c r="L1946" s="10" t="b">
        <f>Github!N$1309</f>
        <v>0</v>
      </c>
      <c r="M1946" s="10" t="str">
        <f>ROUND(Github!O$1309, 2)&amp;"%"</f>
        <v>88.24%</v>
      </c>
      <c r="N1946" s="10">
        <f>Github!P$1309</f>
        <v>22245</v>
      </c>
      <c r="O1946" s="10">
        <f>Github!Q$1309</f>
        <v>25210</v>
      </c>
    </row>
    <row r="1947">
      <c r="A1947" s="10">
        <f>Github!J$1947</f>
        <v>1946</v>
      </c>
      <c r="B1947" s="11" t="str">
        <f>HYPERLINK(CONCAT("http://leetcode.com/problems/",Github!C$1947), Github!B$1947)</f>
        <v>Largest Number After Mutating Substring</v>
      </c>
      <c r="C1947" s="10">
        <f>Github!F$1947</f>
        <v>131</v>
      </c>
      <c r="D1947" s="10">
        <f>Github!G$1947</f>
        <v>159</v>
      </c>
      <c r="E1947" s="10">
        <f>Github!F$1947+Github!G$1947</f>
        <v>290</v>
      </c>
      <c r="F1947" s="12">
        <f t="shared" si="1"/>
        <v>0.82</v>
      </c>
      <c r="G1947" s="10" t="str">
        <f>Github!H$1947</f>
        <v>Algorithms</v>
      </c>
      <c r="H1947" s="13" t="str">
        <f>SUBSTITUTE(Github!L$1947, ";", ", ")</f>
        <v>Array, String, Greedy, </v>
      </c>
      <c r="I1947" s="10" t="str">
        <f>Github!E$1947</f>
        <v>Medium</v>
      </c>
      <c r="J1947" s="10" t="str">
        <f>IF(TRIM(Github!D$1947)="TRUE","FALSE","TRUE")</f>
        <v>TRUE</v>
      </c>
      <c r="K1947" s="10" t="b">
        <f>Github!M$1947</f>
        <v>0</v>
      </c>
      <c r="L1947" s="10" t="b">
        <f>Github!N$1947</f>
        <v>0</v>
      </c>
      <c r="M1947" s="10" t="str">
        <f>ROUND(Github!O$1947, 2)&amp;"%"</f>
        <v>33.76%</v>
      </c>
      <c r="N1947" s="10">
        <f>Github!P$1947</f>
        <v>13774</v>
      </c>
      <c r="O1947" s="10">
        <f>Github!Q$1947</f>
        <v>40795</v>
      </c>
    </row>
    <row r="1948">
      <c r="A1948" s="10">
        <f>Github!J$2020</f>
        <v>2019</v>
      </c>
      <c r="B1948" s="11" t="str">
        <f>HYPERLINK(CONCAT("http://leetcode.com/problems/",Github!C$2020), Github!B$2020)</f>
        <v>The Score of Students Solving Math Expression</v>
      </c>
      <c r="C1948" s="10">
        <f>Github!F$2020</f>
        <v>131</v>
      </c>
      <c r="D1948" s="10">
        <f>Github!G$2020</f>
        <v>58</v>
      </c>
      <c r="E1948" s="10">
        <f>Github!F$2020+Github!G$2020</f>
        <v>189</v>
      </c>
      <c r="F1948" s="12">
        <f t="shared" si="1"/>
        <v>2.26</v>
      </c>
      <c r="G1948" s="10" t="str">
        <f>Github!H$2020</f>
        <v>Algorithms</v>
      </c>
      <c r="H1948" s="13" t="str">
        <f>SUBSTITUTE(Github!L$2020, ";", ", ")</f>
        <v>Array, Math, String, Dynamic Programming, Stack, Memoization, </v>
      </c>
      <c r="I1948" s="10" t="str">
        <f>Github!E$2020</f>
        <v>Hard</v>
      </c>
      <c r="J1948" s="10" t="str">
        <f>IF(TRIM(Github!D$2020)="TRUE","FALSE","TRUE")</f>
        <v>TRUE</v>
      </c>
      <c r="K1948" s="10" t="b">
        <f>Github!M$2020</f>
        <v>0</v>
      </c>
      <c r="L1948" s="10" t="b">
        <f>Github!N$2020</f>
        <v>0</v>
      </c>
      <c r="M1948" s="10" t="str">
        <f>ROUND(Github!O$2020, 2)&amp;"%"</f>
        <v>33.46%</v>
      </c>
      <c r="N1948" s="10">
        <f>Github!P$2020</f>
        <v>3855</v>
      </c>
      <c r="O1948" s="10">
        <f>Github!Q$2020</f>
        <v>11524</v>
      </c>
    </row>
    <row r="1949">
      <c r="A1949" s="10">
        <f>Github!J$2030</f>
        <v>2029</v>
      </c>
      <c r="B1949" s="11" t="str">
        <f>HYPERLINK(CONCAT("http://leetcode.com/problems/",Github!C$2030), Github!B$2030)</f>
        <v>Stone Game IX</v>
      </c>
      <c r="C1949" s="10">
        <f>Github!F$2030</f>
        <v>131</v>
      </c>
      <c r="D1949" s="10">
        <f>Github!G$2030</f>
        <v>188</v>
      </c>
      <c r="E1949" s="10">
        <f>Github!F$2030+Github!G$2030</f>
        <v>319</v>
      </c>
      <c r="F1949" s="12">
        <f t="shared" si="1"/>
        <v>0.7</v>
      </c>
      <c r="G1949" s="10" t="str">
        <f>Github!H$2030</f>
        <v>Algorithms</v>
      </c>
      <c r="H1949" s="13" t="str">
        <f>SUBSTITUTE(Github!L$2030, ";", ", ")</f>
        <v>Array, Math, Greedy, Counting, Game Theory, </v>
      </c>
      <c r="I1949" s="10" t="str">
        <f>Github!E$2030</f>
        <v>Medium</v>
      </c>
      <c r="J1949" s="10" t="str">
        <f>IF(TRIM(Github!D$2030)="TRUE","FALSE","TRUE")</f>
        <v>TRUE</v>
      </c>
      <c r="K1949" s="10" t="b">
        <f>Github!M$2030</f>
        <v>0</v>
      </c>
      <c r="L1949" s="10" t="b">
        <f>Github!N$2030</f>
        <v>0</v>
      </c>
      <c r="M1949" s="10" t="str">
        <f>ROUND(Github!O$2030, 2)&amp;"%"</f>
        <v>24.49%</v>
      </c>
      <c r="N1949" s="10">
        <f>Github!P$2030</f>
        <v>4581</v>
      </c>
      <c r="O1949" s="10">
        <f>Github!Q$2030</f>
        <v>18708</v>
      </c>
    </row>
    <row r="1950">
      <c r="A1950" s="10">
        <f>Github!J$592</f>
        <v>591</v>
      </c>
      <c r="B1950" s="11" t="str">
        <f>HYPERLINK(CONCAT("http://leetcode.com/problems/",Github!C$592), Github!B$592)</f>
        <v>Tag Validator</v>
      </c>
      <c r="C1950" s="10">
        <f>Github!F$592</f>
        <v>130</v>
      </c>
      <c r="D1950" s="10">
        <f>Github!G$592</f>
        <v>551</v>
      </c>
      <c r="E1950" s="10">
        <f>Github!F$592+Github!G$592</f>
        <v>681</v>
      </c>
      <c r="F1950" s="12">
        <f t="shared" si="1"/>
        <v>0.24</v>
      </c>
      <c r="G1950" s="10" t="str">
        <f>Github!H$592</f>
        <v>Algorithms</v>
      </c>
      <c r="H1950" s="13" t="str">
        <f>SUBSTITUTE(Github!L$592, ";", ", ")</f>
        <v>String, Stack, </v>
      </c>
      <c r="I1950" s="10" t="str">
        <f>Github!E$592</f>
        <v>Hard</v>
      </c>
      <c r="J1950" s="10" t="str">
        <f>IF(TRIM(Github!D$592)="TRUE","FALSE","TRUE")</f>
        <v>TRUE</v>
      </c>
      <c r="K1950" s="10" t="b">
        <f>Github!M$592</f>
        <v>1</v>
      </c>
      <c r="L1950" s="10" t="b">
        <f>Github!N$592</f>
        <v>0</v>
      </c>
      <c r="M1950" s="10" t="str">
        <f>ROUND(Github!O$592, 2)&amp;"%"</f>
        <v>36.18%</v>
      </c>
      <c r="N1950" s="10">
        <f>Github!P$592</f>
        <v>10839</v>
      </c>
      <c r="O1950" s="10">
        <f>Github!Q$592</f>
        <v>29957</v>
      </c>
    </row>
    <row r="1951">
      <c r="A1951" s="10">
        <f>Github!J$1411</f>
        <v>1410</v>
      </c>
      <c r="B1951" s="11" t="str">
        <f>HYPERLINK(CONCAT("http://leetcode.com/problems/",Github!C$1411), Github!B$1411)</f>
        <v>HTML Entity Parser</v>
      </c>
      <c r="C1951" s="10">
        <f>Github!F$1411</f>
        <v>130</v>
      </c>
      <c r="D1951" s="10">
        <f>Github!G$1411</f>
        <v>251</v>
      </c>
      <c r="E1951" s="10">
        <f>Github!F$1411+Github!G$1411</f>
        <v>381</v>
      </c>
      <c r="F1951" s="12">
        <f t="shared" si="1"/>
        <v>0.52</v>
      </c>
      <c r="G1951" s="10" t="str">
        <f>Github!H$1411</f>
        <v>Algorithms</v>
      </c>
      <c r="H1951" s="13" t="str">
        <f>SUBSTITUTE(Github!L$1411, ";", ", ")</f>
        <v>Hash Table, String, </v>
      </c>
      <c r="I1951" s="10" t="str">
        <f>Github!E$1411</f>
        <v>Medium</v>
      </c>
      <c r="J1951" s="10" t="str">
        <f>IF(TRIM(Github!D$1411)="TRUE","FALSE","TRUE")</f>
        <v>TRUE</v>
      </c>
      <c r="K1951" s="10" t="b">
        <f>Github!M$1411</f>
        <v>0</v>
      </c>
      <c r="L1951" s="10" t="b">
        <f>Github!N$1411</f>
        <v>0</v>
      </c>
      <c r="M1951" s="10" t="str">
        <f>ROUND(Github!O$1411, 2)&amp;"%"</f>
        <v>52.74%</v>
      </c>
      <c r="N1951" s="10">
        <f>Github!P$1411</f>
        <v>18535</v>
      </c>
      <c r="O1951" s="10">
        <f>Github!Q$1411</f>
        <v>35147</v>
      </c>
    </row>
    <row r="1952">
      <c r="A1952" s="10">
        <f>Github!J$1734</f>
        <v>1733</v>
      </c>
      <c r="B1952" s="11" t="str">
        <f>HYPERLINK(CONCAT("http://leetcode.com/problems/",Github!C$1734), Github!B$1734)</f>
        <v>Minimum Number of People to Teach</v>
      </c>
      <c r="C1952" s="10">
        <f>Github!F$1734</f>
        <v>130</v>
      </c>
      <c r="D1952" s="10">
        <f>Github!G$1734</f>
        <v>293</v>
      </c>
      <c r="E1952" s="10">
        <f>Github!F$1734+Github!G$1734</f>
        <v>423</v>
      </c>
      <c r="F1952" s="12">
        <f t="shared" si="1"/>
        <v>0.44</v>
      </c>
      <c r="G1952" s="10" t="str">
        <f>Github!H$1734</f>
        <v>Algorithms</v>
      </c>
      <c r="H1952" s="13" t="str">
        <f>SUBSTITUTE(Github!L$1734, ";", ", ")</f>
        <v>Array, Greedy, </v>
      </c>
      <c r="I1952" s="10" t="str">
        <f>Github!E$1734</f>
        <v>Medium</v>
      </c>
      <c r="J1952" s="10" t="str">
        <f>IF(TRIM(Github!D$1734)="TRUE","FALSE","TRUE")</f>
        <v>TRUE</v>
      </c>
      <c r="K1952" s="10" t="b">
        <f>Github!M$1734</f>
        <v>0</v>
      </c>
      <c r="L1952" s="10" t="b">
        <f>Github!N$1734</f>
        <v>0</v>
      </c>
      <c r="M1952" s="10" t="str">
        <f>ROUND(Github!O$1734, 2)&amp;"%"</f>
        <v>40.56%</v>
      </c>
      <c r="N1952" s="10">
        <f>Github!P$1734</f>
        <v>5874</v>
      </c>
      <c r="O1952" s="10">
        <f>Github!Q$1734</f>
        <v>14482</v>
      </c>
    </row>
    <row r="1953">
      <c r="A1953" s="10">
        <f>Github!J$1861</f>
        <v>1860</v>
      </c>
      <c r="B1953" s="11" t="str">
        <f>HYPERLINK(CONCAT("http://leetcode.com/problems/",Github!C$1861), Github!B$1861)</f>
        <v>Incremental Memory Leak</v>
      </c>
      <c r="C1953" s="10">
        <f>Github!F$1861</f>
        <v>128</v>
      </c>
      <c r="D1953" s="10">
        <f>Github!G$1861</f>
        <v>56</v>
      </c>
      <c r="E1953" s="10">
        <f>Github!F$1861+Github!G$1861</f>
        <v>184</v>
      </c>
      <c r="F1953" s="12">
        <f t="shared" si="1"/>
        <v>2.29</v>
      </c>
      <c r="G1953" s="10" t="str">
        <f>Github!H$1861</f>
        <v>Algorithms</v>
      </c>
      <c r="H1953" s="13" t="str">
        <f>SUBSTITUTE(Github!L$1861, ";", ", ")</f>
        <v>Simulation, </v>
      </c>
      <c r="I1953" s="10" t="str">
        <f>Github!E$1861</f>
        <v>Medium</v>
      </c>
      <c r="J1953" s="10" t="str">
        <f>IF(TRIM(Github!D$1861)="TRUE","FALSE","TRUE")</f>
        <v>TRUE</v>
      </c>
      <c r="K1953" s="10" t="b">
        <f>Github!M$1861</f>
        <v>0</v>
      </c>
      <c r="L1953" s="10" t="b">
        <f>Github!N$1861</f>
        <v>0</v>
      </c>
      <c r="M1953" s="10" t="str">
        <f>ROUND(Github!O$1861, 2)&amp;"%"</f>
        <v>70.82%</v>
      </c>
      <c r="N1953" s="10">
        <f>Github!P$1861</f>
        <v>11850</v>
      </c>
      <c r="O1953" s="10">
        <f>Github!Q$1861</f>
        <v>16732</v>
      </c>
    </row>
    <row r="1954">
      <c r="A1954" s="10">
        <f>Github!J$2058</f>
        <v>2057</v>
      </c>
      <c r="B1954" s="11" t="str">
        <f>HYPERLINK(CONCAT("http://leetcode.com/problems/",Github!C$2058), Github!B$2058)</f>
        <v>Smallest Index With Equal Value</v>
      </c>
      <c r="C1954" s="10">
        <f>Github!F$2058</f>
        <v>129</v>
      </c>
      <c r="D1954" s="10">
        <f>Github!G$2058</f>
        <v>62</v>
      </c>
      <c r="E1954" s="10">
        <f>Github!F$2058+Github!G$2058</f>
        <v>191</v>
      </c>
      <c r="F1954" s="12">
        <f t="shared" si="1"/>
        <v>2.08</v>
      </c>
      <c r="G1954" s="10" t="str">
        <f>Github!H$2058</f>
        <v>Algorithms</v>
      </c>
      <c r="H1954" s="13" t="str">
        <f>SUBSTITUTE(Github!L$2058, ";", ", ")</f>
        <v>Array, </v>
      </c>
      <c r="I1954" s="10" t="str">
        <f>Github!E$2058</f>
        <v>Easy</v>
      </c>
      <c r="J1954" s="10" t="str">
        <f>IF(TRIM(Github!D$2058)="TRUE","FALSE","TRUE")</f>
        <v>TRUE</v>
      </c>
      <c r="K1954" s="10" t="b">
        <f>Github!M$2058</f>
        <v>0</v>
      </c>
      <c r="L1954" s="10" t="b">
        <f>Github!N$2058</f>
        <v>0</v>
      </c>
      <c r="M1954" s="10" t="str">
        <f>ROUND(Github!O$2058, 2)&amp;"%"</f>
        <v>73.59%</v>
      </c>
      <c r="N1954" s="10">
        <f>Github!P$2058</f>
        <v>21604</v>
      </c>
      <c r="O1954" s="10">
        <f>Github!Q$2058</f>
        <v>29352</v>
      </c>
    </row>
    <row r="1955">
      <c r="A1955" s="10">
        <f>Github!J$1059</f>
        <v>1058</v>
      </c>
      <c r="B1955" s="11" t="str">
        <f>HYPERLINK(CONCAT("http://leetcode.com/problems/",Github!C$1059), Github!B$1059)</f>
        <v>Minimize Rounding Error to Meet Target</v>
      </c>
      <c r="C1955" s="10">
        <f>Github!F$1059</f>
        <v>127</v>
      </c>
      <c r="D1955" s="10">
        <f>Github!G$1059</f>
        <v>122</v>
      </c>
      <c r="E1955" s="10">
        <f>Github!F$1059+Github!G$1059</f>
        <v>249</v>
      </c>
      <c r="F1955" s="12">
        <f t="shared" si="1"/>
        <v>1.04</v>
      </c>
      <c r="G1955" s="10" t="str">
        <f>Github!H$1059</f>
        <v>Algorithms</v>
      </c>
      <c r="H1955" s="13" t="str">
        <f>SUBSTITUTE(Github!L$1059, ";", ", ")</f>
        <v>Array, Math, String, Greedy, </v>
      </c>
      <c r="I1955" s="10" t="str">
        <f>Github!E$1059</f>
        <v>Medium</v>
      </c>
      <c r="J1955" s="10" t="str">
        <f>IF(TRIM(Github!D$1059)="TRUE","FALSE","TRUE")</f>
        <v>FALSE</v>
      </c>
      <c r="K1955" s="10" t="b">
        <f>Github!M$1059</f>
        <v>0</v>
      </c>
      <c r="L1955" s="10" t="b">
        <f>Github!N$1059</f>
        <v>0</v>
      </c>
      <c r="M1955" s="10" t="str">
        <f>ROUND(Github!O$1059, 2)&amp;"%"</f>
        <v>44.48%</v>
      </c>
      <c r="N1955" s="10">
        <f>Github!P$1059</f>
        <v>7234</v>
      </c>
      <c r="O1955" s="10">
        <f>Github!Q$1059</f>
        <v>16264</v>
      </c>
    </row>
    <row r="1956">
      <c r="A1956" s="10">
        <f>Github!J$1351</f>
        <v>1350</v>
      </c>
      <c r="B1956" s="11" t="str">
        <f>HYPERLINK(CONCAT("http://leetcode.com/problems/",Github!C$1351), Github!B$1351)</f>
        <v>Students With Invalid Departments</v>
      </c>
      <c r="C1956" s="10">
        <f>Github!F$1351</f>
        <v>126</v>
      </c>
      <c r="D1956" s="10">
        <f>Github!G$1351</f>
        <v>7</v>
      </c>
      <c r="E1956" s="10">
        <f>Github!F$1351+Github!G$1351</f>
        <v>133</v>
      </c>
      <c r="F1956" s="12">
        <f t="shared" si="1"/>
        <v>18</v>
      </c>
      <c r="G1956" s="10" t="str">
        <f>Github!H$1351</f>
        <v>Database</v>
      </c>
      <c r="H1956" s="13" t="str">
        <f>SUBSTITUTE(Github!L$1351, ";", ", ")</f>
        <v>Database, </v>
      </c>
      <c r="I1956" s="10" t="str">
        <f>Github!E$1351</f>
        <v>Easy</v>
      </c>
      <c r="J1956" s="10" t="str">
        <f>IF(TRIM(Github!D$1351)="TRUE","FALSE","TRUE")</f>
        <v>FALSE</v>
      </c>
      <c r="K1956" s="10" t="b">
        <f>Github!M$1351</f>
        <v>0</v>
      </c>
      <c r="L1956" s="10" t="b">
        <f>Github!N$1351</f>
        <v>0</v>
      </c>
      <c r="M1956" s="10" t="str">
        <f>ROUND(Github!O$1351, 2)&amp;"%"</f>
        <v>90.46%</v>
      </c>
      <c r="N1956" s="10">
        <f>Github!P$1351</f>
        <v>37775</v>
      </c>
      <c r="O1956" s="10">
        <f>Github!Q$1351</f>
        <v>41758</v>
      </c>
    </row>
    <row r="1957">
      <c r="A1957" s="10">
        <f>Github!J$559</f>
        <v>558</v>
      </c>
      <c r="B1957" s="11" t="str">
        <f>HYPERLINK(CONCAT("http://leetcode.com/problems/",Github!C$559), Github!B$559)</f>
        <v>Logical OR of Two Binary Grids Represented as Quad-Trees</v>
      </c>
      <c r="C1957" s="10">
        <f>Github!F$559</f>
        <v>125</v>
      </c>
      <c r="D1957" s="10">
        <f>Github!G$559</f>
        <v>403</v>
      </c>
      <c r="E1957" s="10">
        <f>Github!F$559+Github!G$559</f>
        <v>528</v>
      </c>
      <c r="F1957" s="12">
        <f t="shared" si="1"/>
        <v>0.31</v>
      </c>
      <c r="G1957" s="10" t="str">
        <f>Github!H$559</f>
        <v>Algorithms</v>
      </c>
      <c r="H1957" s="13" t="str">
        <f>SUBSTITUTE(Github!L$559, ";", ", ")</f>
        <v>Divide and Conquer, Tree, </v>
      </c>
      <c r="I1957" s="10" t="str">
        <f>Github!E$559</f>
        <v>Medium</v>
      </c>
      <c r="J1957" s="10" t="str">
        <f>IF(TRIM(Github!D$559)="TRUE","FALSE","TRUE")</f>
        <v>TRUE</v>
      </c>
      <c r="K1957" s="10" t="b">
        <f>Github!M$559</f>
        <v>0</v>
      </c>
      <c r="L1957" s="10" t="b">
        <f>Github!N$559</f>
        <v>0</v>
      </c>
      <c r="M1957" s="10" t="str">
        <f>ROUND(Github!O$559, 2)&amp;"%"</f>
        <v>47.08%</v>
      </c>
      <c r="N1957" s="10">
        <f>Github!P$559</f>
        <v>10966</v>
      </c>
      <c r="O1957" s="10">
        <f>Github!Q$559</f>
        <v>23294</v>
      </c>
    </row>
    <row r="1958">
      <c r="A1958" s="10">
        <f>Github!J$2163</f>
        <v>2162</v>
      </c>
      <c r="B1958" s="11" t="str">
        <f>HYPERLINK(CONCAT("http://leetcode.com/problems/",Github!C$2163), Github!B$2163)</f>
        <v>Minimum Cost to Set Cooking Time</v>
      </c>
      <c r="C1958" s="10">
        <f>Github!F$2163</f>
        <v>125</v>
      </c>
      <c r="D1958" s="10">
        <f>Github!G$2163</f>
        <v>387</v>
      </c>
      <c r="E1958" s="10">
        <f>Github!F$2163+Github!G$2163</f>
        <v>512</v>
      </c>
      <c r="F1958" s="12">
        <f t="shared" si="1"/>
        <v>0.32</v>
      </c>
      <c r="G1958" s="10" t="str">
        <f>Github!H$2163</f>
        <v>Algorithms</v>
      </c>
      <c r="H1958" s="13" t="str">
        <f>SUBSTITUTE(Github!L$2163, ";", ", ")</f>
        <v>Math, Enumeration, </v>
      </c>
      <c r="I1958" s="10" t="str">
        <f>Github!E$2163</f>
        <v>Medium</v>
      </c>
      <c r="J1958" s="10" t="str">
        <f>IF(TRIM(Github!D$2163)="TRUE","FALSE","TRUE")</f>
        <v>TRUE</v>
      </c>
      <c r="K1958" s="10" t="b">
        <f>Github!M$2163</f>
        <v>0</v>
      </c>
      <c r="L1958" s="10" t="b">
        <f>Github!N$2163</f>
        <v>0</v>
      </c>
      <c r="M1958" s="10" t="str">
        <f>ROUND(Github!O$2163, 2)&amp;"%"</f>
        <v>33.28%</v>
      </c>
      <c r="N1958" s="10">
        <f>Github!P$2163</f>
        <v>6439</v>
      </c>
      <c r="O1958" s="10">
        <f>Github!Q$2163</f>
        <v>19349</v>
      </c>
    </row>
    <row r="1959">
      <c r="A1959" s="10">
        <f>Github!J$2194</f>
        <v>2193</v>
      </c>
      <c r="B1959" s="11" t="str">
        <f>HYPERLINK(CONCAT("http://leetcode.com/problems/",Github!C$2194), Github!B$2194)</f>
        <v>Minimum Number of Moves to Make Palindrome</v>
      </c>
      <c r="C1959" s="10">
        <f>Github!F$2194</f>
        <v>127</v>
      </c>
      <c r="D1959" s="10">
        <f>Github!G$2194</f>
        <v>47</v>
      </c>
      <c r="E1959" s="10">
        <f>Github!F$2194+Github!G$2194</f>
        <v>174</v>
      </c>
      <c r="F1959" s="12">
        <f t="shared" si="1"/>
        <v>2.7</v>
      </c>
      <c r="G1959" s="10" t="str">
        <f>Github!H$2194</f>
        <v>Algorithms</v>
      </c>
      <c r="H1959" s="13" t="str">
        <f>SUBSTITUTE(Github!L$2194, ";", ", ")</f>
        <v>Two Pointers, String, Greedy, Binary Indexed Tree, </v>
      </c>
      <c r="I1959" s="10" t="str">
        <f>Github!E$2194</f>
        <v>Hard</v>
      </c>
      <c r="J1959" s="10" t="str">
        <f>IF(TRIM(Github!D$2194)="TRUE","FALSE","TRUE")</f>
        <v>TRUE</v>
      </c>
      <c r="K1959" s="10" t="b">
        <f>Github!M$2194</f>
        <v>0</v>
      </c>
      <c r="L1959" s="10" t="b">
        <f>Github!N$2194</f>
        <v>0</v>
      </c>
      <c r="M1959" s="10" t="str">
        <f>ROUND(Github!O$2194, 2)&amp;"%"</f>
        <v>39%</v>
      </c>
      <c r="N1959" s="10">
        <f>Github!P$2194</f>
        <v>3641</v>
      </c>
      <c r="O1959" s="10">
        <f>Github!Q$2194</f>
        <v>9341</v>
      </c>
    </row>
    <row r="1960">
      <c r="A1960" s="10">
        <f>Github!J$1879</f>
        <v>1878</v>
      </c>
      <c r="B1960" s="11" t="str">
        <f>HYPERLINK(CONCAT("http://leetcode.com/problems/",Github!C$1879), Github!B$1879)</f>
        <v>Get Biggest Three Rhombus Sums in a Grid</v>
      </c>
      <c r="C1960" s="10">
        <f>Github!F$1879</f>
        <v>124</v>
      </c>
      <c r="D1960" s="10">
        <f>Github!G$1879</f>
        <v>323</v>
      </c>
      <c r="E1960" s="10">
        <f>Github!F$1879+Github!G$1879</f>
        <v>447</v>
      </c>
      <c r="F1960" s="12">
        <f t="shared" si="1"/>
        <v>0.38</v>
      </c>
      <c r="G1960" s="10" t="str">
        <f>Github!H$1879</f>
        <v>Algorithms</v>
      </c>
      <c r="H1960" s="13" t="str">
        <f>SUBSTITUTE(Github!L$1879, ";", ", ")</f>
        <v>Array, Math, Sorting, Heap (Priority Queue), Matrix, Prefix Sum, </v>
      </c>
      <c r="I1960" s="10" t="str">
        <f>Github!E$1879</f>
        <v>Medium</v>
      </c>
      <c r="J1960" s="10" t="str">
        <f>IF(TRIM(Github!D$1879)="TRUE","FALSE","TRUE")</f>
        <v>TRUE</v>
      </c>
      <c r="K1960" s="10" t="b">
        <f>Github!M$1879</f>
        <v>0</v>
      </c>
      <c r="L1960" s="10" t="b">
        <f>Github!N$1879</f>
        <v>0</v>
      </c>
      <c r="M1960" s="10" t="str">
        <f>ROUND(Github!O$1879, 2)&amp;"%"</f>
        <v>44.71%</v>
      </c>
      <c r="N1960" s="10">
        <f>Github!P$1879</f>
        <v>8476</v>
      </c>
      <c r="O1960" s="10">
        <f>Github!Q$1879</f>
        <v>18960</v>
      </c>
    </row>
    <row r="1961">
      <c r="A1961" s="10">
        <f>Github!J$512</f>
        <v>511</v>
      </c>
      <c r="B1961" s="11" t="str">
        <f>HYPERLINK(CONCAT("http://leetcode.com/problems/",Github!C$512), Github!B$512)</f>
        <v>Game Play Analysis I</v>
      </c>
      <c r="C1961" s="10">
        <f>Github!F$512</f>
        <v>123</v>
      </c>
      <c r="D1961" s="10">
        <f>Github!G$512</f>
        <v>8</v>
      </c>
      <c r="E1961" s="10">
        <f>Github!F$512+Github!G$512</f>
        <v>131</v>
      </c>
      <c r="F1961" s="12">
        <f t="shared" si="1"/>
        <v>15.38</v>
      </c>
      <c r="G1961" s="10" t="str">
        <f>Github!H$512</f>
        <v>Database</v>
      </c>
      <c r="H1961" s="13" t="str">
        <f>SUBSTITUTE(Github!L$512, ";", ", ")</f>
        <v>Database, </v>
      </c>
      <c r="I1961" s="10" t="str">
        <f>Github!E$512</f>
        <v>Easy</v>
      </c>
      <c r="J1961" s="10" t="str">
        <f>IF(TRIM(Github!D$512)="TRUE","FALSE","TRUE")</f>
        <v>FALSE</v>
      </c>
      <c r="K1961" s="10" t="b">
        <f>Github!M$512</f>
        <v>0</v>
      </c>
      <c r="L1961" s="10" t="b">
        <f>Github!N$512</f>
        <v>0</v>
      </c>
      <c r="M1961" s="10" t="str">
        <f>ROUND(Github!O$512, 2)&amp;"%"</f>
        <v>80.87%</v>
      </c>
      <c r="N1961" s="10">
        <f>Github!P$512</f>
        <v>54285</v>
      </c>
      <c r="O1961" s="10">
        <f>Github!Q$512</f>
        <v>67129</v>
      </c>
    </row>
    <row r="1962">
      <c r="A1962" s="10">
        <f>Github!J$575</f>
        <v>574</v>
      </c>
      <c r="B1962" s="11" t="str">
        <f>HYPERLINK(CONCAT("http://leetcode.com/problems/",Github!C$575), Github!B$575)</f>
        <v>Winning Candidate</v>
      </c>
      <c r="C1962" s="10">
        <f>Github!F$575</f>
        <v>123</v>
      </c>
      <c r="D1962" s="10">
        <f>Github!G$575</f>
        <v>378</v>
      </c>
      <c r="E1962" s="10">
        <f>Github!F$575+Github!G$575</f>
        <v>501</v>
      </c>
      <c r="F1962" s="12">
        <f t="shared" si="1"/>
        <v>0.33</v>
      </c>
      <c r="G1962" s="10" t="str">
        <f>Github!H$575</f>
        <v>Database</v>
      </c>
      <c r="H1962" s="13" t="str">
        <f>SUBSTITUTE(Github!L$575, ";", ", ")</f>
        <v>Database, </v>
      </c>
      <c r="I1962" s="10" t="str">
        <f>Github!E$575</f>
        <v>Medium</v>
      </c>
      <c r="J1962" s="10" t="str">
        <f>IF(TRIM(Github!D$575)="TRUE","FALSE","TRUE")</f>
        <v>FALSE</v>
      </c>
      <c r="K1962" s="10" t="b">
        <f>Github!M$575</f>
        <v>1</v>
      </c>
      <c r="L1962" s="10" t="b">
        <f>Github!N$575</f>
        <v>0</v>
      </c>
      <c r="M1962" s="10" t="str">
        <f>ROUND(Github!O$575, 2)&amp;"%"</f>
        <v>57.69%</v>
      </c>
      <c r="N1962" s="10">
        <f>Github!P$575</f>
        <v>43947</v>
      </c>
      <c r="O1962" s="10">
        <f>Github!Q$575</f>
        <v>76174</v>
      </c>
    </row>
    <row r="1963">
      <c r="A1963" s="10">
        <f>Github!J$1446</f>
        <v>1445</v>
      </c>
      <c r="B1963" s="11" t="str">
        <f>HYPERLINK(CONCAT("http://leetcode.com/problems/",Github!C$1446), Github!B$1446)</f>
        <v>Apples &amp; Oranges</v>
      </c>
      <c r="C1963" s="10">
        <f>Github!F$1446</f>
        <v>123</v>
      </c>
      <c r="D1963" s="10">
        <f>Github!G$1446</f>
        <v>17</v>
      </c>
      <c r="E1963" s="10">
        <f>Github!F$1446+Github!G$1446</f>
        <v>140</v>
      </c>
      <c r="F1963" s="12">
        <f t="shared" si="1"/>
        <v>7.24</v>
      </c>
      <c r="G1963" s="10" t="str">
        <f>Github!H$1446</f>
        <v>Database</v>
      </c>
      <c r="H1963" s="13" t="str">
        <f>SUBSTITUTE(Github!L$1446, ";", ", ")</f>
        <v>Database, </v>
      </c>
      <c r="I1963" s="10" t="str">
        <f>Github!E$1446</f>
        <v>Medium</v>
      </c>
      <c r="J1963" s="10" t="str">
        <f>IF(TRIM(Github!D$1446)="TRUE","FALSE","TRUE")</f>
        <v>FALSE</v>
      </c>
      <c r="K1963" s="10" t="b">
        <f>Github!M$1446</f>
        <v>0</v>
      </c>
      <c r="L1963" s="10" t="b">
        <f>Github!N$1446</f>
        <v>0</v>
      </c>
      <c r="M1963" s="10" t="str">
        <f>ROUND(Github!O$1446, 2)&amp;"%"</f>
        <v>91.5%</v>
      </c>
      <c r="N1963" s="10">
        <f>Github!P$1446</f>
        <v>24003</v>
      </c>
      <c r="O1963" s="10">
        <f>Github!Q$1446</f>
        <v>26232</v>
      </c>
    </row>
    <row r="1964">
      <c r="A1964" s="10">
        <f>Github!J$480</f>
        <v>479</v>
      </c>
      <c r="B1964" s="11" t="str">
        <f>HYPERLINK(CONCAT("http://leetcode.com/problems/",Github!C$480), Github!B$480)</f>
        <v>Largest Palindrome Product</v>
      </c>
      <c r="C1964" s="10">
        <f>Github!F$480</f>
        <v>121</v>
      </c>
      <c r="D1964" s="10">
        <f>Github!G$480</f>
        <v>1437</v>
      </c>
      <c r="E1964" s="10">
        <f>Github!F$480+Github!G$480</f>
        <v>1558</v>
      </c>
      <c r="F1964" s="12">
        <f t="shared" si="1"/>
        <v>0.08</v>
      </c>
      <c r="G1964" s="10" t="str">
        <f>Github!H$480</f>
        <v>Algorithms</v>
      </c>
      <c r="H1964" s="13" t="str">
        <f>SUBSTITUTE(Github!L$480, ";", ", ")</f>
        <v>Math, </v>
      </c>
      <c r="I1964" s="10" t="str">
        <f>Github!E$480</f>
        <v>Hard</v>
      </c>
      <c r="J1964" s="10" t="str">
        <f>IF(TRIM(Github!D$480)="TRUE","FALSE","TRUE")</f>
        <v>TRUE</v>
      </c>
      <c r="K1964" s="10" t="b">
        <f>Github!M$480</f>
        <v>0</v>
      </c>
      <c r="L1964" s="10" t="b">
        <f>Github!N$480</f>
        <v>0</v>
      </c>
      <c r="M1964" s="10" t="str">
        <f>ROUND(Github!O$480, 2)&amp;"%"</f>
        <v>30.82%</v>
      </c>
      <c r="N1964" s="10">
        <f>Github!P$480</f>
        <v>19830</v>
      </c>
      <c r="O1964" s="10">
        <f>Github!Q$480</f>
        <v>64334</v>
      </c>
    </row>
    <row r="1965">
      <c r="A1965" s="10">
        <f>Github!J$811</f>
        <v>810</v>
      </c>
      <c r="B1965" s="11" t="str">
        <f>HYPERLINK(CONCAT("http://leetcode.com/problems/",Github!C$811), Github!B$811)</f>
        <v>Chalkboard XOR Game</v>
      </c>
      <c r="C1965" s="10">
        <f>Github!F$811</f>
        <v>121</v>
      </c>
      <c r="D1965" s="10">
        <f>Github!G$811</f>
        <v>232</v>
      </c>
      <c r="E1965" s="10">
        <f>Github!F$811+Github!G$811</f>
        <v>353</v>
      </c>
      <c r="F1965" s="12">
        <f t="shared" si="1"/>
        <v>0.52</v>
      </c>
      <c r="G1965" s="10" t="str">
        <f>Github!H$811</f>
        <v>Algorithms</v>
      </c>
      <c r="H1965" s="13" t="str">
        <f>SUBSTITUTE(Github!L$811, ";", ", ")</f>
        <v>Array, Math, Bit Manipulation, Brainteaser, Game Theory, </v>
      </c>
      <c r="I1965" s="10" t="str">
        <f>Github!E$811</f>
        <v>Hard</v>
      </c>
      <c r="J1965" s="10" t="str">
        <f>IF(TRIM(Github!D$811)="TRUE","FALSE","TRUE")</f>
        <v>TRUE</v>
      </c>
      <c r="K1965" s="10" t="b">
        <f>Github!M$811</f>
        <v>1</v>
      </c>
      <c r="L1965" s="10" t="b">
        <f>Github!N$811</f>
        <v>0</v>
      </c>
      <c r="M1965" s="10" t="str">
        <f>ROUND(Github!O$811, 2)&amp;"%"</f>
        <v>52.95%</v>
      </c>
      <c r="N1965" s="10">
        <f>Github!P$811</f>
        <v>6299</v>
      </c>
      <c r="O1965" s="10">
        <f>Github!Q$811</f>
        <v>11897</v>
      </c>
    </row>
    <row r="1966">
      <c r="A1966" s="10">
        <f>Github!J$1394</f>
        <v>1393</v>
      </c>
      <c r="B1966" s="11" t="str">
        <f>HYPERLINK(CONCAT("http://leetcode.com/problems/",Github!C$1394), Github!B$1394)</f>
        <v>Capital Gain/Loss</v>
      </c>
      <c r="C1966" s="10">
        <f>Github!F$1394</f>
        <v>121</v>
      </c>
      <c r="D1966" s="10">
        <f>Github!G$1394</f>
        <v>19</v>
      </c>
      <c r="E1966" s="10">
        <f>Github!F$1394+Github!G$1394</f>
        <v>140</v>
      </c>
      <c r="F1966" s="12">
        <f t="shared" si="1"/>
        <v>6.37</v>
      </c>
      <c r="G1966" s="10" t="str">
        <f>Github!H$1394</f>
        <v>Database</v>
      </c>
      <c r="H1966" s="13" t="str">
        <f>SUBSTITUTE(Github!L$1394, ";", ", ")</f>
        <v>Database, </v>
      </c>
      <c r="I1966" s="10" t="str">
        <f>Github!E$1394</f>
        <v>Medium</v>
      </c>
      <c r="J1966" s="10" t="str">
        <f>IF(TRIM(Github!D$1394)="TRUE","FALSE","TRUE")</f>
        <v>FALSE</v>
      </c>
      <c r="K1966" s="10" t="b">
        <f>Github!M$1394</f>
        <v>0</v>
      </c>
      <c r="L1966" s="10" t="b">
        <f>Github!N$1394</f>
        <v>0</v>
      </c>
      <c r="M1966" s="10" t="str">
        <f>ROUND(Github!O$1394, 2)&amp;"%"</f>
        <v>91.36%</v>
      </c>
      <c r="N1966" s="10">
        <f>Github!P$1394</f>
        <v>21352</v>
      </c>
      <c r="O1966" s="10">
        <f>Github!Q$1394</f>
        <v>23372</v>
      </c>
    </row>
    <row r="1967">
      <c r="A1967" s="10">
        <f>Github!J$1614</f>
        <v>1613</v>
      </c>
      <c r="B1967" s="11" t="str">
        <f>HYPERLINK(CONCAT("http://leetcode.com/problems/",Github!C$1614), Github!B$1614)</f>
        <v>Find the Missing IDs</v>
      </c>
      <c r="C1967" s="10">
        <f>Github!F$1614</f>
        <v>121</v>
      </c>
      <c r="D1967" s="10">
        <f>Github!G$1614</f>
        <v>19</v>
      </c>
      <c r="E1967" s="10">
        <f>Github!F$1614+Github!G$1614</f>
        <v>140</v>
      </c>
      <c r="F1967" s="12">
        <f t="shared" si="1"/>
        <v>6.37</v>
      </c>
      <c r="G1967" s="10" t="str">
        <f>Github!H$1614</f>
        <v>Database</v>
      </c>
      <c r="H1967" s="13" t="str">
        <f>SUBSTITUTE(Github!L$1614, ";", ", ")</f>
        <v>Database, </v>
      </c>
      <c r="I1967" s="10" t="str">
        <f>Github!E$1614</f>
        <v>Medium</v>
      </c>
      <c r="J1967" s="10" t="str">
        <f>IF(TRIM(Github!D$1614)="TRUE","FALSE","TRUE")</f>
        <v>FALSE</v>
      </c>
      <c r="K1967" s="10" t="b">
        <f>Github!M$1614</f>
        <v>0</v>
      </c>
      <c r="L1967" s="10" t="b">
        <f>Github!N$1614</f>
        <v>0</v>
      </c>
      <c r="M1967" s="10" t="str">
        <f>ROUND(Github!O$1614, 2)&amp;"%"</f>
        <v>75.92%</v>
      </c>
      <c r="N1967" s="10">
        <f>Github!P$1614</f>
        <v>9529</v>
      </c>
      <c r="O1967" s="10">
        <f>Github!Q$1614</f>
        <v>12551</v>
      </c>
    </row>
    <row r="1968">
      <c r="A1968" s="10">
        <f>Github!J$1242</f>
        <v>1241</v>
      </c>
      <c r="B1968" s="11" t="str">
        <f>HYPERLINK(CONCAT("http://leetcode.com/problems/",Github!C$1242), Github!B$1242)</f>
        <v>Number of Comments per Post</v>
      </c>
      <c r="C1968" s="10">
        <f>Github!F$1242</f>
        <v>120</v>
      </c>
      <c r="D1968" s="10">
        <f>Github!G$1242</f>
        <v>372</v>
      </c>
      <c r="E1968" s="10">
        <f>Github!F$1242+Github!G$1242</f>
        <v>492</v>
      </c>
      <c r="F1968" s="12">
        <f t="shared" si="1"/>
        <v>0.32</v>
      </c>
      <c r="G1968" s="10" t="str">
        <f>Github!H$1242</f>
        <v>Database</v>
      </c>
      <c r="H1968" s="13" t="str">
        <f>SUBSTITUTE(Github!L$1242, ";", ", ")</f>
        <v>Database, </v>
      </c>
      <c r="I1968" s="10" t="str">
        <f>Github!E$1242</f>
        <v>Easy</v>
      </c>
      <c r="J1968" s="10" t="str">
        <f>IF(TRIM(Github!D$1242)="TRUE","FALSE","TRUE")</f>
        <v>FALSE</v>
      </c>
      <c r="K1968" s="10" t="b">
        <f>Github!M$1242</f>
        <v>0</v>
      </c>
      <c r="L1968" s="10" t="b">
        <f>Github!N$1242</f>
        <v>0</v>
      </c>
      <c r="M1968" s="10" t="str">
        <f>ROUND(Github!O$1242, 2)&amp;"%"</f>
        <v>67.84%</v>
      </c>
      <c r="N1968" s="10">
        <f>Github!P$1242</f>
        <v>24714</v>
      </c>
      <c r="O1968" s="10">
        <f>Github!Q$1242</f>
        <v>36432</v>
      </c>
    </row>
    <row r="1969">
      <c r="A1969" s="10">
        <f>Github!J$626</f>
        <v>625</v>
      </c>
      <c r="B1969" s="11" t="str">
        <f>HYPERLINK(CONCAT("http://leetcode.com/problems/",Github!C$626), Github!B$626)</f>
        <v>Minimum Factorization</v>
      </c>
      <c r="C1969" s="10">
        <f>Github!F$626</f>
        <v>118</v>
      </c>
      <c r="D1969" s="10">
        <f>Github!G$626</f>
        <v>98</v>
      </c>
      <c r="E1969" s="10">
        <f>Github!F$626+Github!G$626</f>
        <v>216</v>
      </c>
      <c r="F1969" s="12">
        <f t="shared" si="1"/>
        <v>1.2</v>
      </c>
      <c r="G1969" s="10" t="str">
        <f>Github!H$626</f>
        <v>Algorithms</v>
      </c>
      <c r="H1969" s="13" t="str">
        <f>SUBSTITUTE(Github!L$626, ";", ", ")</f>
        <v>Math, Greedy, </v>
      </c>
      <c r="I1969" s="10" t="str">
        <f>Github!E$626</f>
        <v>Medium</v>
      </c>
      <c r="J1969" s="10" t="str">
        <f>IF(TRIM(Github!D$626)="TRUE","FALSE","TRUE")</f>
        <v>FALSE</v>
      </c>
      <c r="K1969" s="10" t="b">
        <f>Github!M$626</f>
        <v>1</v>
      </c>
      <c r="L1969" s="10" t="b">
        <f>Github!N$626</f>
        <v>0</v>
      </c>
      <c r="M1969" s="10" t="str">
        <f>ROUND(Github!O$626, 2)&amp;"%"</f>
        <v>33.24%</v>
      </c>
      <c r="N1969" s="10">
        <f>Github!P$626</f>
        <v>10035</v>
      </c>
      <c r="O1969" s="10">
        <f>Github!Q$626</f>
        <v>30194</v>
      </c>
    </row>
    <row r="1970">
      <c r="A1970" s="10">
        <f>Github!J$1051</f>
        <v>1050</v>
      </c>
      <c r="B1970" s="11" t="str">
        <f>HYPERLINK(CONCAT("http://leetcode.com/problems/",Github!C$1051), Github!B$1051)</f>
        <v>Actors and Directors Who Cooperated At Least Three Times</v>
      </c>
      <c r="C1970" s="10">
        <f>Github!F$1051</f>
        <v>117</v>
      </c>
      <c r="D1970" s="10">
        <f>Github!G$1051</f>
        <v>22</v>
      </c>
      <c r="E1970" s="10">
        <f>Github!F$1051+Github!G$1051</f>
        <v>139</v>
      </c>
      <c r="F1970" s="12">
        <f t="shared" si="1"/>
        <v>5.32</v>
      </c>
      <c r="G1970" s="10" t="str">
        <f>Github!H$1051</f>
        <v>Database</v>
      </c>
      <c r="H1970" s="13" t="str">
        <f>SUBSTITUTE(Github!L$1051, ";", ", ")</f>
        <v>Database, </v>
      </c>
      <c r="I1970" s="10" t="str">
        <f>Github!E$1051</f>
        <v>Easy</v>
      </c>
      <c r="J1970" s="10" t="str">
        <f>IF(TRIM(Github!D$1051)="TRUE","FALSE","TRUE")</f>
        <v>FALSE</v>
      </c>
      <c r="K1970" s="10" t="b">
        <f>Github!M$1051</f>
        <v>0</v>
      </c>
      <c r="L1970" s="10" t="b">
        <f>Github!N$1051</f>
        <v>0</v>
      </c>
      <c r="M1970" s="10" t="str">
        <f>ROUND(Github!O$1051, 2)&amp;"%"</f>
        <v>72.42%</v>
      </c>
      <c r="N1970" s="10">
        <f>Github!P$1051</f>
        <v>40085</v>
      </c>
      <c r="O1970" s="10">
        <f>Github!Q$1051</f>
        <v>55347</v>
      </c>
    </row>
    <row r="1971">
      <c r="A1971" s="10">
        <f>Github!J$1098</f>
        <v>1097</v>
      </c>
      <c r="B1971" s="11" t="str">
        <f>HYPERLINK(CONCAT("http://leetcode.com/problems/",Github!C$1098), Github!B$1098)</f>
        <v>Game Play Analysis V</v>
      </c>
      <c r="C1971" s="10">
        <f>Github!F$1098</f>
        <v>117</v>
      </c>
      <c r="D1971" s="10">
        <f>Github!G$1098</f>
        <v>26</v>
      </c>
      <c r="E1971" s="10">
        <f>Github!F$1098+Github!G$1098</f>
        <v>143</v>
      </c>
      <c r="F1971" s="12">
        <f t="shared" si="1"/>
        <v>4.5</v>
      </c>
      <c r="G1971" s="10" t="str">
        <f>Github!H$1098</f>
        <v>Database</v>
      </c>
      <c r="H1971" s="13" t="str">
        <f>SUBSTITUTE(Github!L$1098, ";", ", ")</f>
        <v>Database, </v>
      </c>
      <c r="I1971" s="10" t="str">
        <f>Github!E$1098</f>
        <v>Hard</v>
      </c>
      <c r="J1971" s="10" t="str">
        <f>IF(TRIM(Github!D$1098)="TRUE","FALSE","TRUE")</f>
        <v>FALSE</v>
      </c>
      <c r="K1971" s="10" t="b">
        <f>Github!M$1098</f>
        <v>0</v>
      </c>
      <c r="L1971" s="10" t="b">
        <f>Github!N$1098</f>
        <v>0</v>
      </c>
      <c r="M1971" s="10" t="str">
        <f>ROUND(Github!O$1098, 2)&amp;"%"</f>
        <v>55.7%</v>
      </c>
      <c r="N1971" s="10">
        <f>Github!P$1098</f>
        <v>14238</v>
      </c>
      <c r="O1971" s="10">
        <f>Github!Q$1098</f>
        <v>25561</v>
      </c>
    </row>
    <row r="1972">
      <c r="A1972" s="10">
        <f>Github!J$1177</f>
        <v>1176</v>
      </c>
      <c r="B1972" s="11" t="str">
        <f>HYPERLINK(CONCAT("http://leetcode.com/problems/",Github!C$1177), Github!B$1177)</f>
        <v>Diet Plan Performance</v>
      </c>
      <c r="C1972" s="10">
        <f>Github!F$1177</f>
        <v>117</v>
      </c>
      <c r="D1972" s="10">
        <f>Github!G$1177</f>
        <v>252</v>
      </c>
      <c r="E1972" s="10">
        <f>Github!F$1177+Github!G$1177</f>
        <v>369</v>
      </c>
      <c r="F1972" s="12">
        <f t="shared" si="1"/>
        <v>0.46</v>
      </c>
      <c r="G1972" s="10" t="str">
        <f>Github!H$1177</f>
        <v>Algorithms</v>
      </c>
      <c r="H1972" s="13" t="str">
        <f>SUBSTITUTE(Github!L$1177, ";", ", ")</f>
        <v>Array, Sliding Window, </v>
      </c>
      <c r="I1972" s="10" t="str">
        <f>Github!E$1177</f>
        <v>Easy</v>
      </c>
      <c r="J1972" s="10" t="str">
        <f>IF(TRIM(Github!D$1177)="TRUE","FALSE","TRUE")</f>
        <v>FALSE</v>
      </c>
      <c r="K1972" s="10" t="b">
        <f>Github!M$1177</f>
        <v>0</v>
      </c>
      <c r="L1972" s="10" t="b">
        <f>Github!N$1177</f>
        <v>0</v>
      </c>
      <c r="M1972" s="10" t="str">
        <f>ROUND(Github!O$1177, 2)&amp;"%"</f>
        <v>52.72%</v>
      </c>
      <c r="N1972" s="10">
        <f>Github!P$1177</f>
        <v>23551</v>
      </c>
      <c r="O1972" s="10">
        <f>Github!Q$1177</f>
        <v>44675</v>
      </c>
    </row>
    <row r="1973">
      <c r="A1973" s="10">
        <f>Github!J$1961</f>
        <v>1960</v>
      </c>
      <c r="B1973" s="11" t="str">
        <f>HYPERLINK(CONCAT("http://leetcode.com/problems/",Github!C$1961), Github!B$1961)</f>
        <v>Maximum Product of the Length of Two Palindromic Substrings</v>
      </c>
      <c r="C1973" s="10">
        <f>Github!F$1961</f>
        <v>116</v>
      </c>
      <c r="D1973" s="10">
        <f>Github!G$1961</f>
        <v>25</v>
      </c>
      <c r="E1973" s="10">
        <f>Github!F$1961+Github!G$1961</f>
        <v>141</v>
      </c>
      <c r="F1973" s="12">
        <f t="shared" si="1"/>
        <v>4.64</v>
      </c>
      <c r="G1973" s="10" t="str">
        <f>Github!H$1961</f>
        <v>Algorithms</v>
      </c>
      <c r="H1973" s="13" t="str">
        <f>SUBSTITUTE(Github!L$1961, ";", ", ")</f>
        <v>String, Rolling Hash, Hash Function, </v>
      </c>
      <c r="I1973" s="10" t="str">
        <f>Github!E$1961</f>
        <v>Hard</v>
      </c>
      <c r="J1973" s="10" t="str">
        <f>IF(TRIM(Github!D$1961)="TRUE","FALSE","TRUE")</f>
        <v>TRUE</v>
      </c>
      <c r="K1973" s="10" t="b">
        <f>Github!M$1961</f>
        <v>0</v>
      </c>
      <c r="L1973" s="10" t="b">
        <f>Github!N$1961</f>
        <v>0</v>
      </c>
      <c r="M1973" s="10" t="str">
        <f>ROUND(Github!O$1961, 2)&amp;"%"</f>
        <v>28.8%</v>
      </c>
      <c r="N1973" s="10">
        <f>Github!P$1961</f>
        <v>1903</v>
      </c>
      <c r="O1973" s="10">
        <f>Github!Q$1961</f>
        <v>6608</v>
      </c>
    </row>
    <row r="1974">
      <c r="A1974" s="10">
        <f>Github!J$615</f>
        <v>614</v>
      </c>
      <c r="B1974" s="11" t="str">
        <f>HYPERLINK(CONCAT("http://leetcode.com/problems/",Github!C$615), Github!B$615)</f>
        <v>Second Degree Follower</v>
      </c>
      <c r="C1974" s="10">
        <f>Github!F$615</f>
        <v>115</v>
      </c>
      <c r="D1974" s="10">
        <f>Github!G$615</f>
        <v>691</v>
      </c>
      <c r="E1974" s="10">
        <f>Github!F$615+Github!G$615</f>
        <v>806</v>
      </c>
      <c r="F1974" s="12">
        <f t="shared" si="1"/>
        <v>0.17</v>
      </c>
      <c r="G1974" s="10" t="str">
        <f>Github!H$615</f>
        <v>Database</v>
      </c>
      <c r="H1974" s="13" t="str">
        <f>SUBSTITUTE(Github!L$615, ";", ", ")</f>
        <v>Database, </v>
      </c>
      <c r="I1974" s="10" t="str">
        <f>Github!E$615</f>
        <v>Medium</v>
      </c>
      <c r="J1974" s="10" t="str">
        <f>IF(TRIM(Github!D$615)="TRUE","FALSE","TRUE")</f>
        <v>FALSE</v>
      </c>
      <c r="K1974" s="10" t="b">
        <f>Github!M$615</f>
        <v>0</v>
      </c>
      <c r="L1974" s="10" t="b">
        <f>Github!N$615</f>
        <v>0</v>
      </c>
      <c r="M1974" s="10" t="str">
        <f>ROUND(Github!O$615, 2)&amp;"%"</f>
        <v>35.18%</v>
      </c>
      <c r="N1974" s="10">
        <f>Github!P$615</f>
        <v>38111</v>
      </c>
      <c r="O1974" s="10">
        <f>Github!Q$615</f>
        <v>108319</v>
      </c>
    </row>
    <row r="1975">
      <c r="A1975" s="10">
        <f>Github!J$619</f>
        <v>618</v>
      </c>
      <c r="B1975" s="11" t="str">
        <f>HYPERLINK(CONCAT("http://leetcode.com/problems/",Github!C$619), Github!B$619)</f>
        <v>Students Report By Geography</v>
      </c>
      <c r="C1975" s="10">
        <f>Github!F$619</f>
        <v>115</v>
      </c>
      <c r="D1975" s="10">
        <f>Github!G$619</f>
        <v>129</v>
      </c>
      <c r="E1975" s="10">
        <f>Github!F$619+Github!G$619</f>
        <v>244</v>
      </c>
      <c r="F1975" s="12">
        <f t="shared" si="1"/>
        <v>0.89</v>
      </c>
      <c r="G1975" s="10" t="str">
        <f>Github!H$619</f>
        <v>Database</v>
      </c>
      <c r="H1975" s="13" t="str">
        <f>SUBSTITUTE(Github!L$619, ";", ", ")</f>
        <v>Database, </v>
      </c>
      <c r="I1975" s="10" t="str">
        <f>Github!E$619</f>
        <v>Hard</v>
      </c>
      <c r="J1975" s="10" t="str">
        <f>IF(TRIM(Github!D$619)="TRUE","FALSE","TRUE")</f>
        <v>FALSE</v>
      </c>
      <c r="K1975" s="10" t="b">
        <f>Github!M$619</f>
        <v>1</v>
      </c>
      <c r="L1975" s="10" t="b">
        <f>Github!N$619</f>
        <v>0</v>
      </c>
      <c r="M1975" s="10" t="str">
        <f>ROUND(Github!O$619, 2)&amp;"%"</f>
        <v>63.07%</v>
      </c>
      <c r="N1975" s="10">
        <f>Github!P$619</f>
        <v>15671</v>
      </c>
      <c r="O1975" s="10">
        <f>Github!Q$619</f>
        <v>24848</v>
      </c>
    </row>
    <row r="1976">
      <c r="A1976" s="10">
        <f>Github!J$620</f>
        <v>619</v>
      </c>
      <c r="B1976" s="11" t="str">
        <f>HYPERLINK(CONCAT("http://leetcode.com/problems/",Github!C$620), Github!B$620)</f>
        <v>Biggest Single Number</v>
      </c>
      <c r="C1976" s="10">
        <f>Github!F$620</f>
        <v>115</v>
      </c>
      <c r="D1976" s="10">
        <f>Github!G$620</f>
        <v>104</v>
      </c>
      <c r="E1976" s="10">
        <f>Github!F$620+Github!G$620</f>
        <v>219</v>
      </c>
      <c r="F1976" s="12">
        <f t="shared" si="1"/>
        <v>1.11</v>
      </c>
      <c r="G1976" s="10" t="str">
        <f>Github!H$620</f>
        <v>Database</v>
      </c>
      <c r="H1976" s="13" t="str">
        <f>SUBSTITUTE(Github!L$620, ";", ", ")</f>
        <v>Database, </v>
      </c>
      <c r="I1976" s="10" t="str">
        <f>Github!E$620</f>
        <v>Easy</v>
      </c>
      <c r="J1976" s="10" t="str">
        <f>IF(TRIM(Github!D$620)="TRUE","FALSE","TRUE")</f>
        <v>FALSE</v>
      </c>
      <c r="K1976" s="10" t="b">
        <f>Github!M$620</f>
        <v>1</v>
      </c>
      <c r="L1976" s="10" t="b">
        <f>Github!N$620</f>
        <v>0</v>
      </c>
      <c r="M1976" s="10" t="str">
        <f>ROUND(Github!O$620, 2)&amp;"%"</f>
        <v>47.23%</v>
      </c>
      <c r="N1976" s="10">
        <f>Github!P$620</f>
        <v>43462</v>
      </c>
      <c r="O1976" s="10">
        <f>Github!Q$620</f>
        <v>92019</v>
      </c>
    </row>
    <row r="1977">
      <c r="A1977" s="10">
        <f>Github!J$832</f>
        <v>831</v>
      </c>
      <c r="B1977" s="11" t="str">
        <f>HYPERLINK(CONCAT("http://leetcode.com/problems/",Github!C$832), Github!B$832)</f>
        <v>Masking Personal Information</v>
      </c>
      <c r="C1977" s="10">
        <f>Github!F$832</f>
        <v>115</v>
      </c>
      <c r="D1977" s="10">
        <f>Github!G$832</f>
        <v>396</v>
      </c>
      <c r="E1977" s="10">
        <f>Github!F$832+Github!G$832</f>
        <v>511</v>
      </c>
      <c r="F1977" s="12">
        <f t="shared" si="1"/>
        <v>0.29</v>
      </c>
      <c r="G1977" s="10" t="str">
        <f>Github!H$832</f>
        <v>Algorithms</v>
      </c>
      <c r="H1977" s="13" t="str">
        <f>SUBSTITUTE(Github!L$832, ";", ", ")</f>
        <v>String, </v>
      </c>
      <c r="I1977" s="10" t="str">
        <f>Github!E$832</f>
        <v>Medium</v>
      </c>
      <c r="J1977" s="10" t="str">
        <f>IF(TRIM(Github!D$832)="TRUE","FALSE","TRUE")</f>
        <v>TRUE</v>
      </c>
      <c r="K1977" s="10" t="b">
        <f>Github!M$832</f>
        <v>0</v>
      </c>
      <c r="L1977" s="10" t="b">
        <f>Github!N$832</f>
        <v>0</v>
      </c>
      <c r="M1977" s="10" t="str">
        <f>ROUND(Github!O$832, 2)&amp;"%"</f>
        <v>45.85%</v>
      </c>
      <c r="N1977" s="10">
        <f>Github!P$832</f>
        <v>14051</v>
      </c>
      <c r="O1977" s="10">
        <f>Github!Q$832</f>
        <v>30644</v>
      </c>
    </row>
    <row r="1978">
      <c r="A1978" s="10">
        <f>Github!J$1358</f>
        <v>1357</v>
      </c>
      <c r="B1978" s="11" t="str">
        <f>HYPERLINK(CONCAT("http://leetcode.com/problems/",Github!C$1358), Github!B$1358)</f>
        <v>Apply Discount Every n Orders</v>
      </c>
      <c r="C1978" s="10">
        <f>Github!F$1358</f>
        <v>113</v>
      </c>
      <c r="D1978" s="10">
        <f>Github!G$1358</f>
        <v>156</v>
      </c>
      <c r="E1978" s="10">
        <f>Github!F$1358+Github!G$1358</f>
        <v>269</v>
      </c>
      <c r="F1978" s="12">
        <f t="shared" si="1"/>
        <v>0.72</v>
      </c>
      <c r="G1978" s="10" t="str">
        <f>Github!H$1358</f>
        <v>Algorithms</v>
      </c>
      <c r="H1978" s="13" t="str">
        <f>SUBSTITUTE(Github!L$1358, ";", ", ")</f>
        <v>Array, Hash Table, Design, </v>
      </c>
      <c r="I1978" s="10" t="str">
        <f>Github!E$1358</f>
        <v>Medium</v>
      </c>
      <c r="J1978" s="10" t="str">
        <f>IF(TRIM(Github!D$1358)="TRUE","FALSE","TRUE")</f>
        <v>TRUE</v>
      </c>
      <c r="K1978" s="10" t="b">
        <f>Github!M$1358</f>
        <v>0</v>
      </c>
      <c r="L1978" s="10" t="b">
        <f>Github!N$1358</f>
        <v>0</v>
      </c>
      <c r="M1978" s="10" t="str">
        <f>ROUND(Github!O$1358, 2)&amp;"%"</f>
        <v>68.7%</v>
      </c>
      <c r="N1978" s="10">
        <f>Github!P$1358</f>
        <v>13999</v>
      </c>
      <c r="O1978" s="10">
        <f>Github!Q$1358</f>
        <v>20377</v>
      </c>
    </row>
    <row r="1979">
      <c r="A1979" s="10">
        <f>Github!J$1831</f>
        <v>1830</v>
      </c>
      <c r="B1979" s="11" t="str">
        <f>HYPERLINK(CONCAT("http://leetcode.com/problems/",Github!C$1831), Github!B$1831)</f>
        <v>Minimum Number of Operations to Make String Sorted</v>
      </c>
      <c r="C1979" s="10">
        <f>Github!F$1831</f>
        <v>113</v>
      </c>
      <c r="D1979" s="10">
        <f>Github!G$1831</f>
        <v>90</v>
      </c>
      <c r="E1979" s="10">
        <f>Github!F$1831+Github!G$1831</f>
        <v>203</v>
      </c>
      <c r="F1979" s="12">
        <f t="shared" si="1"/>
        <v>1.26</v>
      </c>
      <c r="G1979" s="10" t="str">
        <f>Github!H$1831</f>
        <v>Algorithms</v>
      </c>
      <c r="H1979" s="13" t="str">
        <f>SUBSTITUTE(Github!L$1831, ";", ", ")</f>
        <v>Math, String, Combinatorics, </v>
      </c>
      <c r="I1979" s="10" t="str">
        <f>Github!E$1831</f>
        <v>Hard</v>
      </c>
      <c r="J1979" s="10" t="str">
        <f>IF(TRIM(Github!D$1831)="TRUE","FALSE","TRUE")</f>
        <v>TRUE</v>
      </c>
      <c r="K1979" s="10" t="b">
        <f>Github!M$1831</f>
        <v>0</v>
      </c>
      <c r="L1979" s="10" t="b">
        <f>Github!N$1831</f>
        <v>0</v>
      </c>
      <c r="M1979" s="10" t="str">
        <f>ROUND(Github!O$1831, 2)&amp;"%"</f>
        <v>47.76%</v>
      </c>
      <c r="N1979" s="10">
        <f>Github!P$1831</f>
        <v>2143</v>
      </c>
      <c r="O1979" s="10">
        <f>Github!Q$1831</f>
        <v>4487</v>
      </c>
    </row>
    <row r="1980">
      <c r="A1980" s="10">
        <f>Github!J$1720</f>
        <v>1719</v>
      </c>
      <c r="B1980" s="11" t="str">
        <f>HYPERLINK(CONCAT("http://leetcode.com/problems/",Github!C$1720), Github!B$1720)</f>
        <v>Number Of Ways To Reconstruct A Tree</v>
      </c>
      <c r="C1980" s="10">
        <f>Github!F$1720</f>
        <v>112</v>
      </c>
      <c r="D1980" s="10">
        <f>Github!G$1720</f>
        <v>86</v>
      </c>
      <c r="E1980" s="10">
        <f>Github!F$1720+Github!G$1720</f>
        <v>198</v>
      </c>
      <c r="F1980" s="12">
        <f t="shared" si="1"/>
        <v>1.3</v>
      </c>
      <c r="G1980" s="10" t="str">
        <f>Github!H$1720</f>
        <v>Algorithms</v>
      </c>
      <c r="H1980" s="13" t="str">
        <f>SUBSTITUTE(Github!L$1720, ";", ", ")</f>
        <v>Tree, Graph, Topological Sort, </v>
      </c>
      <c r="I1980" s="10" t="str">
        <f>Github!E$1720</f>
        <v>Hard</v>
      </c>
      <c r="J1980" s="10" t="str">
        <f>IF(TRIM(Github!D$1720)="TRUE","FALSE","TRUE")</f>
        <v>TRUE</v>
      </c>
      <c r="K1980" s="10" t="b">
        <f>Github!M$1720</f>
        <v>0</v>
      </c>
      <c r="L1980" s="10" t="b">
        <f>Github!N$1720</f>
        <v>0</v>
      </c>
      <c r="M1980" s="10" t="str">
        <f>ROUND(Github!O$1720, 2)&amp;"%"</f>
        <v>42.08%</v>
      </c>
      <c r="N1980" s="10">
        <f>Github!P$1720</f>
        <v>2371</v>
      </c>
      <c r="O1980" s="10">
        <f>Github!Q$1720</f>
        <v>5635</v>
      </c>
    </row>
    <row r="1981">
      <c r="A1981" s="10">
        <f>Github!J$771</f>
        <v>770</v>
      </c>
      <c r="B1981" s="11" t="str">
        <f>HYPERLINK(CONCAT("http://leetcode.com/problems/",Github!C$771), Github!B$771)</f>
        <v>Basic Calculator IV</v>
      </c>
      <c r="C1981" s="10">
        <f>Github!F$771</f>
        <v>111</v>
      </c>
      <c r="D1981" s="10">
        <f>Github!G$771</f>
        <v>1155</v>
      </c>
      <c r="E1981" s="10">
        <f>Github!F$771+Github!G$771</f>
        <v>1266</v>
      </c>
      <c r="F1981" s="12">
        <f t="shared" si="1"/>
        <v>0.1</v>
      </c>
      <c r="G1981" s="10" t="str">
        <f>Github!H$771</f>
        <v>Algorithms</v>
      </c>
      <c r="H1981" s="13" t="str">
        <f>SUBSTITUTE(Github!L$771, ";", ", ")</f>
        <v>Hash Table, Math, String, Stack, Recursion, </v>
      </c>
      <c r="I1981" s="10" t="str">
        <f>Github!E$771</f>
        <v>Hard</v>
      </c>
      <c r="J1981" s="10" t="str">
        <f>IF(TRIM(Github!D$771)="TRUE","FALSE","TRUE")</f>
        <v>TRUE</v>
      </c>
      <c r="K1981" s="10" t="b">
        <f>Github!M$771</f>
        <v>0</v>
      </c>
      <c r="L1981" s="10" t="b">
        <f>Github!N$771</f>
        <v>0</v>
      </c>
      <c r="M1981" s="10" t="str">
        <f>ROUND(Github!O$771, 2)&amp;"%"</f>
        <v>55.54%</v>
      </c>
      <c r="N1981" s="10">
        <f>Github!P$771</f>
        <v>7929</v>
      </c>
      <c r="O1981" s="10">
        <f>Github!Q$771</f>
        <v>14277</v>
      </c>
    </row>
    <row r="1982">
      <c r="A1982" s="10">
        <f>Github!J$1133</f>
        <v>1132</v>
      </c>
      <c r="B1982" s="11" t="str">
        <f>HYPERLINK(CONCAT("http://leetcode.com/problems/",Github!C$1133), Github!B$1133)</f>
        <v>Reported Posts II</v>
      </c>
      <c r="C1982" s="10">
        <f>Github!F$1133</f>
        <v>110</v>
      </c>
      <c r="D1982" s="10">
        <f>Github!G$1133</f>
        <v>392</v>
      </c>
      <c r="E1982" s="10">
        <f>Github!F$1133+Github!G$1133</f>
        <v>502</v>
      </c>
      <c r="F1982" s="12">
        <f t="shared" si="1"/>
        <v>0.28</v>
      </c>
      <c r="G1982" s="10" t="str">
        <f>Github!H$1133</f>
        <v>Database</v>
      </c>
      <c r="H1982" s="13" t="str">
        <f>SUBSTITUTE(Github!L$1133, ";", ", ")</f>
        <v>Database, </v>
      </c>
      <c r="I1982" s="10" t="str">
        <f>Github!E$1133</f>
        <v>Medium</v>
      </c>
      <c r="J1982" s="10" t="str">
        <f>IF(TRIM(Github!D$1133)="TRUE","FALSE","TRUE")</f>
        <v>FALSE</v>
      </c>
      <c r="K1982" s="10" t="b">
        <f>Github!M$1133</f>
        <v>0</v>
      </c>
      <c r="L1982" s="10" t="b">
        <f>Github!N$1133</f>
        <v>0</v>
      </c>
      <c r="M1982" s="10" t="str">
        <f>ROUND(Github!O$1133, 2)&amp;"%"</f>
        <v>33.8%</v>
      </c>
      <c r="N1982" s="10">
        <f>Github!P$1133</f>
        <v>25452</v>
      </c>
      <c r="O1982" s="10">
        <f>Github!Q$1133</f>
        <v>75309</v>
      </c>
    </row>
    <row r="1983">
      <c r="A1983" s="10">
        <f>Github!J$1244</f>
        <v>1243</v>
      </c>
      <c r="B1983" s="11" t="str">
        <f>HYPERLINK(CONCAT("http://leetcode.com/problems/",Github!C$1244), Github!B$1244)</f>
        <v>Array Transformation</v>
      </c>
      <c r="C1983" s="10">
        <f>Github!F$1244</f>
        <v>110</v>
      </c>
      <c r="D1983" s="10">
        <f>Github!G$1244</f>
        <v>49</v>
      </c>
      <c r="E1983" s="10">
        <f>Github!F$1244+Github!G$1244</f>
        <v>159</v>
      </c>
      <c r="F1983" s="12">
        <f t="shared" si="1"/>
        <v>2.24</v>
      </c>
      <c r="G1983" s="10" t="str">
        <f>Github!H$1244</f>
        <v>Algorithms</v>
      </c>
      <c r="H1983" s="13" t="str">
        <f>SUBSTITUTE(Github!L$1244, ";", ", ")</f>
        <v>Array, Simulation, </v>
      </c>
      <c r="I1983" s="10" t="str">
        <f>Github!E$1244</f>
        <v>Easy</v>
      </c>
      <c r="J1983" s="10" t="str">
        <f>IF(TRIM(Github!D$1244)="TRUE","FALSE","TRUE")</f>
        <v>FALSE</v>
      </c>
      <c r="K1983" s="10" t="b">
        <f>Github!M$1244</f>
        <v>0</v>
      </c>
      <c r="L1983" s="10" t="b">
        <f>Github!N$1244</f>
        <v>0</v>
      </c>
      <c r="M1983" s="10" t="str">
        <f>ROUND(Github!O$1244, 2)&amp;"%"</f>
        <v>50.3%</v>
      </c>
      <c r="N1983" s="10">
        <f>Github!P$1244</f>
        <v>9869</v>
      </c>
      <c r="O1983" s="10">
        <f>Github!Q$1244</f>
        <v>19621</v>
      </c>
    </row>
    <row r="1984">
      <c r="A1984" s="10">
        <f>Github!J$1779</f>
        <v>1778</v>
      </c>
      <c r="B1984" s="11" t="str">
        <f>HYPERLINK(CONCAT("http://leetcode.com/problems/",Github!C$1779), Github!B$1779)</f>
        <v>Shortest Path in a Hidden Grid</v>
      </c>
      <c r="C1984" s="10">
        <f>Github!F$1779</f>
        <v>109</v>
      </c>
      <c r="D1984" s="10">
        <f>Github!G$1779</f>
        <v>43</v>
      </c>
      <c r="E1984" s="10">
        <f>Github!F$1779+Github!G$1779</f>
        <v>152</v>
      </c>
      <c r="F1984" s="12">
        <f t="shared" si="1"/>
        <v>2.53</v>
      </c>
      <c r="G1984" s="10" t="str">
        <f>Github!H$1779</f>
        <v>Algorithms</v>
      </c>
      <c r="H1984" s="13" t="str">
        <f>SUBSTITUTE(Github!L$1779, ";", ", ")</f>
        <v>Depth-First Search, Breadth-First Search, Graph, Interactive, </v>
      </c>
      <c r="I1984" s="10" t="str">
        <f>Github!E$1779</f>
        <v>Medium</v>
      </c>
      <c r="J1984" s="10" t="str">
        <f>IF(TRIM(Github!D$1779)="TRUE","FALSE","TRUE")</f>
        <v>FALSE</v>
      </c>
      <c r="K1984" s="10" t="b">
        <f>Github!M$1779</f>
        <v>0</v>
      </c>
      <c r="L1984" s="10" t="b">
        <f>Github!N$1779</f>
        <v>0</v>
      </c>
      <c r="M1984" s="10" t="str">
        <f>ROUND(Github!O$1779, 2)&amp;"%"</f>
        <v>41.63%</v>
      </c>
      <c r="N1984" s="10">
        <f>Github!P$1779</f>
        <v>3734</v>
      </c>
      <c r="O1984" s="10">
        <f>Github!Q$1779</f>
        <v>8969</v>
      </c>
    </row>
    <row r="1985">
      <c r="A1985" s="10">
        <f>Github!J$1454</f>
        <v>1453</v>
      </c>
      <c r="B1985" s="11" t="str">
        <f>HYPERLINK(CONCAT("http://leetcode.com/problems/",Github!C$1454), Github!B$1454)</f>
        <v>Maximum Number of Darts Inside of a Circular Dartboard</v>
      </c>
      <c r="C1985" s="10">
        <f>Github!F$1454</f>
        <v>108</v>
      </c>
      <c r="D1985" s="10">
        <f>Github!G$1454</f>
        <v>237</v>
      </c>
      <c r="E1985" s="10">
        <f>Github!F$1454+Github!G$1454</f>
        <v>345</v>
      </c>
      <c r="F1985" s="12">
        <f t="shared" si="1"/>
        <v>0.46</v>
      </c>
      <c r="G1985" s="10" t="str">
        <f>Github!H$1454</f>
        <v>Algorithms</v>
      </c>
      <c r="H1985" s="13" t="str">
        <f>SUBSTITUTE(Github!L$1454, ";", ", ")</f>
        <v>Array, Math, Geometry, </v>
      </c>
      <c r="I1985" s="10" t="str">
        <f>Github!E$1454</f>
        <v>Hard</v>
      </c>
      <c r="J1985" s="10" t="str">
        <f>IF(TRIM(Github!D$1454)="TRUE","FALSE","TRUE")</f>
        <v>TRUE</v>
      </c>
      <c r="K1985" s="10" t="b">
        <f>Github!M$1454</f>
        <v>0</v>
      </c>
      <c r="L1985" s="10" t="b">
        <f>Github!N$1454</f>
        <v>0</v>
      </c>
      <c r="M1985" s="10" t="str">
        <f>ROUND(Github!O$1454, 2)&amp;"%"</f>
        <v>36.3%</v>
      </c>
      <c r="N1985" s="10">
        <f>Github!P$1454</f>
        <v>4487</v>
      </c>
      <c r="O1985" s="10">
        <f>Github!Q$1454</f>
        <v>12362</v>
      </c>
    </row>
    <row r="1986">
      <c r="A1986" s="10">
        <f>Github!J$2048</f>
        <v>2047</v>
      </c>
      <c r="B1986" s="11" t="str">
        <f>HYPERLINK(CONCAT("http://leetcode.com/problems/",Github!C$2048), Github!B$2048)</f>
        <v>Number of Valid Words in a Sentence</v>
      </c>
      <c r="C1986" s="10">
        <f>Github!F$2048</f>
        <v>109</v>
      </c>
      <c r="D1986" s="10">
        <f>Github!G$2048</f>
        <v>448</v>
      </c>
      <c r="E1986" s="10">
        <f>Github!F$2048+Github!G$2048</f>
        <v>557</v>
      </c>
      <c r="F1986" s="12">
        <f t="shared" si="1"/>
        <v>0.24</v>
      </c>
      <c r="G1986" s="10" t="str">
        <f>Github!H$2048</f>
        <v>Algorithms</v>
      </c>
      <c r="H1986" s="13" t="str">
        <f>SUBSTITUTE(Github!L$2048, ";", ", ")</f>
        <v>String, </v>
      </c>
      <c r="I1986" s="10" t="str">
        <f>Github!E$2048</f>
        <v>Easy</v>
      </c>
      <c r="J1986" s="10" t="str">
        <f>IF(TRIM(Github!D$2048)="TRUE","FALSE","TRUE")</f>
        <v>TRUE</v>
      </c>
      <c r="K1986" s="10" t="b">
        <f>Github!M$2048</f>
        <v>0</v>
      </c>
      <c r="L1986" s="10" t="b">
        <f>Github!N$2048</f>
        <v>0</v>
      </c>
      <c r="M1986" s="10" t="str">
        <f>ROUND(Github!O$2048, 2)&amp;"%"</f>
        <v>29.31%</v>
      </c>
      <c r="N1986" s="10">
        <f>Github!P$2048</f>
        <v>12885</v>
      </c>
      <c r="O1986" s="10">
        <f>Github!Q$2048</f>
        <v>43968</v>
      </c>
    </row>
    <row r="1987">
      <c r="A1987" s="10">
        <f>Github!J$2103</f>
        <v>2102</v>
      </c>
      <c r="B1987" s="11" t="str">
        <f>HYPERLINK(CONCAT("http://leetcode.com/problems/",Github!C$2103), Github!B$2103)</f>
        <v>Sequentially Ordinal Rank Tracker</v>
      </c>
      <c r="C1987" s="10">
        <f>Github!F$2103</f>
        <v>107</v>
      </c>
      <c r="D1987" s="10">
        <f>Github!G$2103</f>
        <v>24</v>
      </c>
      <c r="E1987" s="10">
        <f>Github!F$2103+Github!G$2103</f>
        <v>131</v>
      </c>
      <c r="F1987" s="12">
        <f t="shared" si="1"/>
        <v>4.46</v>
      </c>
      <c r="G1987" s="10" t="str">
        <f>Github!H$2103</f>
        <v>Algorithms</v>
      </c>
      <c r="H1987" s="13" t="str">
        <f>SUBSTITUTE(Github!L$2103, ";", ", ")</f>
        <v>Design, Heap (Priority Queue), Data Stream, Ordered Set, </v>
      </c>
      <c r="I1987" s="10" t="str">
        <f>Github!E$2103</f>
        <v>Hard</v>
      </c>
      <c r="J1987" s="10" t="str">
        <f>IF(TRIM(Github!D$2103)="TRUE","FALSE","TRUE")</f>
        <v>TRUE</v>
      </c>
      <c r="K1987" s="10" t="b">
        <f>Github!M$2103</f>
        <v>0</v>
      </c>
      <c r="L1987" s="10" t="b">
        <f>Github!N$2103</f>
        <v>0</v>
      </c>
      <c r="M1987" s="10" t="str">
        <f>ROUND(Github!O$2103, 2)&amp;"%"</f>
        <v>61.03%</v>
      </c>
      <c r="N1987" s="10">
        <f>Github!P$2103</f>
        <v>3486</v>
      </c>
      <c r="O1987" s="10">
        <f>Github!Q$2103</f>
        <v>5712</v>
      </c>
    </row>
    <row r="1988">
      <c r="A1988" s="10">
        <f>Github!J$823</f>
        <v>822</v>
      </c>
      <c r="B1988" s="11" t="str">
        <f>HYPERLINK(CONCAT("http://leetcode.com/problems/",Github!C$823), Github!B$823)</f>
        <v>Card Flipping Game</v>
      </c>
      <c r="C1988" s="10">
        <f>Github!F$823</f>
        <v>107</v>
      </c>
      <c r="D1988" s="10">
        <f>Github!G$823</f>
        <v>619</v>
      </c>
      <c r="E1988" s="10">
        <f>Github!F$823+Github!G$823</f>
        <v>726</v>
      </c>
      <c r="F1988" s="12">
        <f t="shared" si="1"/>
        <v>0.17</v>
      </c>
      <c r="G1988" s="10" t="str">
        <f>Github!H$823</f>
        <v>Algorithms</v>
      </c>
      <c r="H1988" s="13" t="str">
        <f>SUBSTITUTE(Github!L$823, ";", ", ")</f>
        <v>Array, Hash Table, </v>
      </c>
      <c r="I1988" s="10" t="str">
        <f>Github!E$823</f>
        <v>Medium</v>
      </c>
      <c r="J1988" s="10" t="str">
        <f>IF(TRIM(Github!D$823)="TRUE","FALSE","TRUE")</f>
        <v>TRUE</v>
      </c>
      <c r="K1988" s="10" t="b">
        <f>Github!M$823</f>
        <v>0</v>
      </c>
      <c r="L1988" s="10" t="b">
        <f>Github!N$823</f>
        <v>0</v>
      </c>
      <c r="M1988" s="10" t="str">
        <f>ROUND(Github!O$823, 2)&amp;"%"</f>
        <v>44.62%</v>
      </c>
      <c r="N1988" s="10">
        <f>Github!P$823</f>
        <v>12689</v>
      </c>
      <c r="O1988" s="10">
        <f>Github!Q$823</f>
        <v>28437</v>
      </c>
    </row>
    <row r="1989">
      <c r="A1989" s="10">
        <f>Github!J$1441</f>
        <v>1440</v>
      </c>
      <c r="B1989" s="11" t="str">
        <f>HYPERLINK(CONCAT("http://leetcode.com/problems/",Github!C$1441), Github!B$1441)</f>
        <v>Evaluate Boolean Expression</v>
      </c>
      <c r="C1989" s="10">
        <f>Github!F$1441</f>
        <v>106</v>
      </c>
      <c r="D1989" s="10">
        <f>Github!G$1441</f>
        <v>6</v>
      </c>
      <c r="E1989" s="10">
        <f>Github!F$1441+Github!G$1441</f>
        <v>112</v>
      </c>
      <c r="F1989" s="12">
        <f t="shared" si="1"/>
        <v>17.67</v>
      </c>
      <c r="G1989" s="10" t="str">
        <f>Github!H$1441</f>
        <v>Database</v>
      </c>
      <c r="H1989" s="13" t="str">
        <f>SUBSTITUTE(Github!L$1441, ";", ", ")</f>
        <v>Database, </v>
      </c>
      <c r="I1989" s="10" t="str">
        <f>Github!E$1441</f>
        <v>Medium</v>
      </c>
      <c r="J1989" s="10" t="str">
        <f>IF(TRIM(Github!D$1441)="TRUE","FALSE","TRUE")</f>
        <v>FALSE</v>
      </c>
      <c r="K1989" s="10" t="b">
        <f>Github!M$1441</f>
        <v>0</v>
      </c>
      <c r="L1989" s="10" t="b">
        <f>Github!N$1441</f>
        <v>0</v>
      </c>
      <c r="M1989" s="10" t="str">
        <f>ROUND(Github!O$1441, 2)&amp;"%"</f>
        <v>75.53%</v>
      </c>
      <c r="N1989" s="10">
        <f>Github!P$1441</f>
        <v>11500</v>
      </c>
      <c r="O1989" s="10">
        <f>Github!Q$1441</f>
        <v>15227</v>
      </c>
    </row>
    <row r="1990">
      <c r="A1990" s="10">
        <f>Github!J$2106</f>
        <v>2105</v>
      </c>
      <c r="B1990" s="11" t="str">
        <f>HYPERLINK(CONCAT("http://leetcode.com/problems/",Github!C$2106), Github!B$2106)</f>
        <v>Watering Plants II</v>
      </c>
      <c r="C1990" s="10">
        <f>Github!F$2106</f>
        <v>106</v>
      </c>
      <c r="D1990" s="10">
        <f>Github!G$2106</f>
        <v>114</v>
      </c>
      <c r="E1990" s="10">
        <f>Github!F$2106+Github!G$2106</f>
        <v>220</v>
      </c>
      <c r="F1990" s="12">
        <f t="shared" si="1"/>
        <v>0.93</v>
      </c>
      <c r="G1990" s="10" t="str">
        <f>Github!H$2106</f>
        <v>Algorithms</v>
      </c>
      <c r="H1990" s="13" t="str">
        <f>SUBSTITUTE(Github!L$2106, ";", ", ")</f>
        <v>Array, Two Pointers, Simulation, </v>
      </c>
      <c r="I1990" s="10" t="str">
        <f>Github!E$2106</f>
        <v>Medium</v>
      </c>
      <c r="J1990" s="10" t="str">
        <f>IF(TRIM(Github!D$2106)="TRUE","FALSE","TRUE")</f>
        <v>TRUE</v>
      </c>
      <c r="K1990" s="10" t="b">
        <f>Github!M$2106</f>
        <v>0</v>
      </c>
      <c r="L1990" s="10" t="b">
        <f>Github!N$2106</f>
        <v>0</v>
      </c>
      <c r="M1990" s="10" t="str">
        <f>ROUND(Github!O$2106, 2)&amp;"%"</f>
        <v>51.33%</v>
      </c>
      <c r="N1990" s="10">
        <f>Github!P$2106</f>
        <v>10164</v>
      </c>
      <c r="O1990" s="10">
        <f>Github!Q$2106</f>
        <v>19801</v>
      </c>
    </row>
    <row r="1991">
      <c r="A1991" s="10">
        <f>Github!J$157</f>
        <v>156</v>
      </c>
      <c r="B1991" s="11" t="str">
        <f>HYPERLINK(CONCAT("http://leetcode.com/problems/",Github!C$157), Github!B$157)</f>
        <v>Binary Tree Upside Down</v>
      </c>
      <c r="C1991" s="10">
        <f>Github!F$157</f>
        <v>104</v>
      </c>
      <c r="D1991" s="10">
        <f>Github!G$157</f>
        <v>188</v>
      </c>
      <c r="E1991" s="10">
        <f>Github!F$157+Github!G$157</f>
        <v>292</v>
      </c>
      <c r="F1991" s="12">
        <f t="shared" si="1"/>
        <v>0.55</v>
      </c>
      <c r="G1991" s="10" t="str">
        <f>Github!H$157</f>
        <v>Algorithms</v>
      </c>
      <c r="H1991" s="13" t="str">
        <f>SUBSTITUTE(Github!L$157, ";", ", ")</f>
        <v>Tree, Depth-First Search, Binary Tree, </v>
      </c>
      <c r="I1991" s="10" t="str">
        <f>Github!E$157</f>
        <v>Medium</v>
      </c>
      <c r="J1991" s="10" t="str">
        <f>IF(TRIM(Github!D$157)="TRUE","FALSE","TRUE")</f>
        <v>FALSE</v>
      </c>
      <c r="K1991" s="10" t="b">
        <f>Github!M$157</f>
        <v>0</v>
      </c>
      <c r="L1991" s="10" t="b">
        <f>Github!N$157</f>
        <v>0</v>
      </c>
      <c r="M1991" s="10" t="str">
        <f>ROUND(Github!O$157, 2)&amp;"%"</f>
        <v>59.81%</v>
      </c>
      <c r="N1991" s="10">
        <f>Github!P$157</f>
        <v>83602</v>
      </c>
      <c r="O1991" s="10">
        <f>Github!Q$157</f>
        <v>139773</v>
      </c>
    </row>
    <row r="1992">
      <c r="A1992" s="10">
        <f>Github!J$1108</f>
        <v>1107</v>
      </c>
      <c r="B1992" s="11" t="str">
        <f>HYPERLINK(CONCAT("http://leetcode.com/problems/",Github!C$1108), Github!B$1108)</f>
        <v>New Users Daily Count</v>
      </c>
      <c r="C1992" s="10">
        <f>Github!F$1108</f>
        <v>104</v>
      </c>
      <c r="D1992" s="10">
        <f>Github!G$1108</f>
        <v>99</v>
      </c>
      <c r="E1992" s="10">
        <f>Github!F$1108+Github!G$1108</f>
        <v>203</v>
      </c>
      <c r="F1992" s="12">
        <f t="shared" si="1"/>
        <v>1.05</v>
      </c>
      <c r="G1992" s="10" t="str">
        <f>Github!H$1108</f>
        <v>Database</v>
      </c>
      <c r="H1992" s="13" t="str">
        <f>SUBSTITUTE(Github!L$1108, ";", ", ")</f>
        <v>Database, </v>
      </c>
      <c r="I1992" s="10" t="str">
        <f>Github!E$1108</f>
        <v>Medium</v>
      </c>
      <c r="J1992" s="10" t="str">
        <f>IF(TRIM(Github!D$1108)="TRUE","FALSE","TRUE")</f>
        <v>FALSE</v>
      </c>
      <c r="K1992" s="10" t="b">
        <f>Github!M$1108</f>
        <v>0</v>
      </c>
      <c r="L1992" s="10" t="b">
        <f>Github!N$1108</f>
        <v>0</v>
      </c>
      <c r="M1992" s="10" t="str">
        <f>ROUND(Github!O$1108, 2)&amp;"%"</f>
        <v>45.72%</v>
      </c>
      <c r="N1992" s="10">
        <f>Github!P$1108</f>
        <v>23576</v>
      </c>
      <c r="O1992" s="10">
        <f>Github!Q$1108</f>
        <v>51570</v>
      </c>
    </row>
    <row r="1993">
      <c r="A1993" s="10">
        <f>Github!J$1436</f>
        <v>1435</v>
      </c>
      <c r="B1993" s="11" t="str">
        <f>HYPERLINK(CONCAT("http://leetcode.com/problems/",Github!C$1436), Github!B$1436)</f>
        <v>Create a Session Bar Chart</v>
      </c>
      <c r="C1993" s="10">
        <f>Github!F$1436</f>
        <v>104</v>
      </c>
      <c r="D1993" s="10">
        <f>Github!G$1436</f>
        <v>181</v>
      </c>
      <c r="E1993" s="10">
        <f>Github!F$1436+Github!G$1436</f>
        <v>285</v>
      </c>
      <c r="F1993" s="12">
        <f t="shared" si="1"/>
        <v>0.57</v>
      </c>
      <c r="G1993" s="10" t="str">
        <f>Github!H$1436</f>
        <v>Database</v>
      </c>
      <c r="H1993" s="13" t="str">
        <f>SUBSTITUTE(Github!L$1436, ";", ", ")</f>
        <v>Database, </v>
      </c>
      <c r="I1993" s="10" t="str">
        <f>Github!E$1436</f>
        <v>Easy</v>
      </c>
      <c r="J1993" s="10" t="str">
        <f>IF(TRIM(Github!D$1436)="TRUE","FALSE","TRUE")</f>
        <v>FALSE</v>
      </c>
      <c r="K1993" s="10" t="b">
        <f>Github!M$1436</f>
        <v>0</v>
      </c>
      <c r="L1993" s="10" t="b">
        <f>Github!N$1436</f>
        <v>0</v>
      </c>
      <c r="M1993" s="10" t="str">
        <f>ROUND(Github!O$1436, 2)&amp;"%"</f>
        <v>78.33%</v>
      </c>
      <c r="N1993" s="10">
        <f>Github!P$1436</f>
        <v>15042</v>
      </c>
      <c r="O1993" s="10">
        <f>Github!Q$1436</f>
        <v>19203</v>
      </c>
    </row>
    <row r="1994">
      <c r="A1994" s="10">
        <f>Github!J$1700</f>
        <v>1699</v>
      </c>
      <c r="B1994" s="11" t="str">
        <f>HYPERLINK(CONCAT("http://leetcode.com/problems/",Github!C$1700), Github!B$1700)</f>
        <v>Number of Calls Between Two Persons</v>
      </c>
      <c r="C1994" s="10">
        <f>Github!F$1700</f>
        <v>104</v>
      </c>
      <c r="D1994" s="10">
        <f>Github!G$1700</f>
        <v>3</v>
      </c>
      <c r="E1994" s="10">
        <f>Github!F$1700+Github!G$1700</f>
        <v>107</v>
      </c>
      <c r="F1994" s="12">
        <f t="shared" si="1"/>
        <v>34.67</v>
      </c>
      <c r="G1994" s="10" t="str">
        <f>Github!H$1700</f>
        <v>Database</v>
      </c>
      <c r="H1994" s="13" t="str">
        <f>SUBSTITUTE(Github!L$1700, ";", ", ")</f>
        <v>Database, </v>
      </c>
      <c r="I1994" s="10" t="str">
        <f>Github!E$1700</f>
        <v>Medium</v>
      </c>
      <c r="J1994" s="10" t="str">
        <f>IF(TRIM(Github!D$1700)="TRUE","FALSE","TRUE")</f>
        <v>FALSE</v>
      </c>
      <c r="K1994" s="10" t="b">
        <f>Github!M$1700</f>
        <v>0</v>
      </c>
      <c r="L1994" s="10" t="b">
        <f>Github!N$1700</f>
        <v>0</v>
      </c>
      <c r="M1994" s="10" t="str">
        <f>ROUND(Github!O$1700, 2)&amp;"%"</f>
        <v>86.14%</v>
      </c>
      <c r="N1994" s="10">
        <f>Github!P$1700</f>
        <v>14980</v>
      </c>
      <c r="O1994" s="10">
        <f>Github!Q$1700</f>
        <v>17390</v>
      </c>
    </row>
    <row r="1995">
      <c r="A1995" s="10">
        <f>Github!J$1812</f>
        <v>1811</v>
      </c>
      <c r="B1995" s="11" t="str">
        <f>HYPERLINK(CONCAT("http://leetcode.com/problems/",Github!C$1812), Github!B$1812)</f>
        <v>Find Interview Candidates</v>
      </c>
      <c r="C1995" s="10">
        <f>Github!F$1812</f>
        <v>103</v>
      </c>
      <c r="D1995" s="10">
        <f>Github!G$1812</f>
        <v>15</v>
      </c>
      <c r="E1995" s="10">
        <f>Github!F$1812+Github!G$1812</f>
        <v>118</v>
      </c>
      <c r="F1995" s="12">
        <f t="shared" si="1"/>
        <v>6.87</v>
      </c>
      <c r="G1995" s="10" t="str">
        <f>Github!H$1812</f>
        <v>Database</v>
      </c>
      <c r="H1995" s="13" t="str">
        <f>SUBSTITUTE(Github!L$1812, ";", ", ")</f>
        <v>Database, </v>
      </c>
      <c r="I1995" s="10" t="str">
        <f>Github!E$1812</f>
        <v>Medium</v>
      </c>
      <c r="J1995" s="10" t="str">
        <f>IF(TRIM(Github!D$1812)="TRUE","FALSE","TRUE")</f>
        <v>FALSE</v>
      </c>
      <c r="K1995" s="10" t="b">
        <f>Github!M$1812</f>
        <v>0</v>
      </c>
      <c r="L1995" s="10" t="b">
        <f>Github!N$1812</f>
        <v>0</v>
      </c>
      <c r="M1995" s="10" t="str">
        <f>ROUND(Github!O$1812, 2)&amp;"%"</f>
        <v>65.38%</v>
      </c>
      <c r="N1995" s="10">
        <f>Github!P$1812</f>
        <v>7240</v>
      </c>
      <c r="O1995" s="10">
        <f>Github!Q$1812</f>
        <v>11074</v>
      </c>
    </row>
    <row r="1996">
      <c r="A1996" s="10">
        <f>Github!J$2070</f>
        <v>2069</v>
      </c>
      <c r="B1996" s="11" t="str">
        <f>HYPERLINK(CONCAT("http://leetcode.com/problems/",Github!C$2070), Github!B$2070)</f>
        <v>Walking Robot Simulation II</v>
      </c>
      <c r="C1996" s="10">
        <f>Github!F$2070</f>
        <v>103</v>
      </c>
      <c r="D1996" s="10">
        <f>Github!G$2070</f>
        <v>229</v>
      </c>
      <c r="E1996" s="10">
        <f>Github!F$2070+Github!G$2070</f>
        <v>332</v>
      </c>
      <c r="F1996" s="12">
        <f t="shared" si="1"/>
        <v>0.45</v>
      </c>
      <c r="G1996" s="10" t="str">
        <f>Github!H$2070</f>
        <v>Algorithms</v>
      </c>
      <c r="H1996" s="13" t="str">
        <f>SUBSTITUTE(Github!L$2070, ";", ", ")</f>
        <v>Design, Simulation, </v>
      </c>
      <c r="I1996" s="10" t="str">
        <f>Github!E$2070</f>
        <v>Medium</v>
      </c>
      <c r="J1996" s="10" t="str">
        <f>IF(TRIM(Github!D$2070)="TRUE","FALSE","TRUE")</f>
        <v>TRUE</v>
      </c>
      <c r="K1996" s="10" t="b">
        <f>Github!M$2070</f>
        <v>0</v>
      </c>
      <c r="L1996" s="10" t="b">
        <f>Github!N$2070</f>
        <v>0</v>
      </c>
      <c r="M1996" s="10" t="str">
        <f>ROUND(Github!O$2070, 2)&amp;"%"</f>
        <v>21.37%</v>
      </c>
      <c r="N1996" s="10">
        <f>Github!P$2070</f>
        <v>5309</v>
      </c>
      <c r="O1996" s="10">
        <f>Github!Q$2070</f>
        <v>24842</v>
      </c>
    </row>
    <row r="1997">
      <c r="A1997" s="10">
        <f>Github!J$2191</f>
        <v>2190</v>
      </c>
      <c r="B1997" s="11" t="str">
        <f>HYPERLINK(CONCAT("http://leetcode.com/problems/",Github!C$2191), Github!B$2191)</f>
        <v>Most Frequent Number Following Key In an Array</v>
      </c>
      <c r="C1997" s="10">
        <f>Github!F$2191</f>
        <v>104</v>
      </c>
      <c r="D1997" s="10">
        <f>Github!G$2191</f>
        <v>50</v>
      </c>
      <c r="E1997" s="10">
        <f>Github!F$2191+Github!G$2191</f>
        <v>154</v>
      </c>
      <c r="F1997" s="12">
        <f t="shared" si="1"/>
        <v>2.08</v>
      </c>
      <c r="G1997" s="10" t="str">
        <f>Github!H$2191</f>
        <v>Algorithms</v>
      </c>
      <c r="H1997" s="13" t="str">
        <f>SUBSTITUTE(Github!L$2191, ";", ", ")</f>
        <v>Array, Hash Table, Counting, </v>
      </c>
      <c r="I1997" s="10" t="str">
        <f>Github!E$2191</f>
        <v>Easy</v>
      </c>
      <c r="J1997" s="10" t="str">
        <f>IF(TRIM(Github!D$2191)="TRUE","FALSE","TRUE")</f>
        <v>TRUE</v>
      </c>
      <c r="K1997" s="10" t="b">
        <f>Github!M$2191</f>
        <v>0</v>
      </c>
      <c r="L1997" s="10" t="b">
        <f>Github!N$2191</f>
        <v>0</v>
      </c>
      <c r="M1997" s="10" t="str">
        <f>ROUND(Github!O$2191, 2)&amp;"%"</f>
        <v>60.11%</v>
      </c>
      <c r="N1997" s="10">
        <f>Github!P$2191</f>
        <v>13466</v>
      </c>
      <c r="O1997" s="10">
        <f>Github!Q$2191</f>
        <v>22406</v>
      </c>
    </row>
    <row r="1998">
      <c r="A1998" s="10">
        <f>Github!J$1970</f>
        <v>1969</v>
      </c>
      <c r="B1998" s="11" t="str">
        <f>HYPERLINK(CONCAT("http://leetcode.com/problems/",Github!C$1970), Github!B$1970)</f>
        <v>Minimum Non-Zero Product of the Array Elements</v>
      </c>
      <c r="C1998" s="10">
        <f>Github!F$1970</f>
        <v>102</v>
      </c>
      <c r="D1998" s="10">
        <f>Github!G$1970</f>
        <v>272</v>
      </c>
      <c r="E1998" s="10">
        <f>Github!F$1970+Github!G$1970</f>
        <v>374</v>
      </c>
      <c r="F1998" s="12">
        <f t="shared" si="1"/>
        <v>0.38</v>
      </c>
      <c r="G1998" s="10" t="str">
        <f>Github!H$1970</f>
        <v>Algorithms</v>
      </c>
      <c r="H1998" s="13" t="str">
        <f>SUBSTITUTE(Github!L$1970, ";", ", ")</f>
        <v>Math, Greedy, Recursion, </v>
      </c>
      <c r="I1998" s="10" t="str">
        <f>Github!E$1970</f>
        <v>Medium</v>
      </c>
      <c r="J1998" s="10" t="str">
        <f>IF(TRIM(Github!D$1970)="TRUE","FALSE","TRUE")</f>
        <v>TRUE</v>
      </c>
      <c r="K1998" s="10" t="b">
        <f>Github!M$1970</f>
        <v>0</v>
      </c>
      <c r="L1998" s="10" t="b">
        <f>Github!N$1970</f>
        <v>0</v>
      </c>
      <c r="M1998" s="10" t="str">
        <f>ROUND(Github!O$1970, 2)&amp;"%"</f>
        <v>32.18%</v>
      </c>
      <c r="N1998" s="10">
        <f>Github!P$1970</f>
        <v>6618</v>
      </c>
      <c r="O1998" s="10">
        <f>Github!Q$1970</f>
        <v>20565</v>
      </c>
    </row>
    <row r="1999">
      <c r="A1999" s="10">
        <f>Github!J$1194</f>
        <v>1193</v>
      </c>
      <c r="B1999" s="11" t="str">
        <f>HYPERLINK(CONCAT("http://leetcode.com/problems/",Github!C$1194), Github!B$1194)</f>
        <v>Monthly Transactions I</v>
      </c>
      <c r="C1999" s="10">
        <f>Github!F$1194</f>
        <v>100</v>
      </c>
      <c r="D1999" s="10">
        <f>Github!G$1194</f>
        <v>20</v>
      </c>
      <c r="E1999" s="10">
        <f>Github!F$1194+Github!G$1194</f>
        <v>120</v>
      </c>
      <c r="F1999" s="12">
        <f t="shared" si="1"/>
        <v>5</v>
      </c>
      <c r="G1999" s="10" t="str">
        <f>Github!H$1194</f>
        <v>Database</v>
      </c>
      <c r="H1999" s="13" t="str">
        <f>SUBSTITUTE(Github!L$1194, ";", ", ")</f>
        <v>Database, </v>
      </c>
      <c r="I1999" s="10" t="str">
        <f>Github!E$1194</f>
        <v>Medium</v>
      </c>
      <c r="J1999" s="10" t="str">
        <f>IF(TRIM(Github!D$1194)="TRUE","FALSE","TRUE")</f>
        <v>FALSE</v>
      </c>
      <c r="K1999" s="10" t="b">
        <f>Github!M$1194</f>
        <v>0</v>
      </c>
      <c r="L1999" s="10" t="b">
        <f>Github!N$1194</f>
        <v>0</v>
      </c>
      <c r="M1999" s="10" t="str">
        <f>ROUND(Github!O$1194, 2)&amp;"%"</f>
        <v>67.47%</v>
      </c>
      <c r="N1999" s="10">
        <f>Github!P$1194</f>
        <v>20753</v>
      </c>
      <c r="O1999" s="10">
        <f>Github!Q$1194</f>
        <v>30760</v>
      </c>
    </row>
    <row r="2000">
      <c r="A2000" s="10">
        <f>Github!J$1370</f>
        <v>1369</v>
      </c>
      <c r="B2000" s="11" t="str">
        <f>HYPERLINK(CONCAT("http://leetcode.com/problems/",Github!C$1370), Github!B$1370)</f>
        <v>Get the Second Most Recent Activity</v>
      </c>
      <c r="C2000" s="10">
        <f>Github!F$1370</f>
        <v>101</v>
      </c>
      <c r="D2000" s="10">
        <f>Github!G$1370</f>
        <v>8</v>
      </c>
      <c r="E2000" s="10">
        <f>Github!F$1370+Github!G$1370</f>
        <v>109</v>
      </c>
      <c r="F2000" s="12">
        <f t="shared" si="1"/>
        <v>12.63</v>
      </c>
      <c r="G2000" s="10" t="str">
        <f>Github!H$1370</f>
        <v>Database</v>
      </c>
      <c r="H2000" s="13" t="str">
        <f>SUBSTITUTE(Github!L$1370, ";", ", ")</f>
        <v>Database, </v>
      </c>
      <c r="I2000" s="10" t="str">
        <f>Github!E$1370</f>
        <v>Hard</v>
      </c>
      <c r="J2000" s="10" t="str">
        <f>IF(TRIM(Github!D$1370)="TRUE","FALSE","TRUE")</f>
        <v>FALSE</v>
      </c>
      <c r="K2000" s="10" t="b">
        <f>Github!M$1370</f>
        <v>0</v>
      </c>
      <c r="L2000" s="10" t="b">
        <f>Github!N$1370</f>
        <v>0</v>
      </c>
      <c r="M2000" s="10" t="str">
        <f>ROUND(Github!O$1370, 2)&amp;"%"</f>
        <v>68.8%</v>
      </c>
      <c r="N2000" s="10">
        <f>Github!P$1370</f>
        <v>12658</v>
      </c>
      <c r="O2000" s="10">
        <f>Github!Q$1370</f>
        <v>18397</v>
      </c>
    </row>
    <row r="2001">
      <c r="A2001" s="10">
        <f>Github!J$1159</f>
        <v>1158</v>
      </c>
      <c r="B2001" s="11" t="str">
        <f>HYPERLINK(CONCAT("http://leetcode.com/problems/",Github!C$1159), Github!B$1159)</f>
        <v>Market Analysis I</v>
      </c>
      <c r="C2001" s="10">
        <f>Github!F$1159</f>
        <v>99</v>
      </c>
      <c r="D2001" s="10">
        <f>Github!G$1159</f>
        <v>30</v>
      </c>
      <c r="E2001" s="10">
        <f>Github!F$1159+Github!G$1159</f>
        <v>129</v>
      </c>
      <c r="F2001" s="12">
        <f t="shared" si="1"/>
        <v>3.3</v>
      </c>
      <c r="G2001" s="10" t="str">
        <f>Github!H$1159</f>
        <v>Database</v>
      </c>
      <c r="H2001" s="13" t="str">
        <f>SUBSTITUTE(Github!L$1159, ";", ", ")</f>
        <v>Database, </v>
      </c>
      <c r="I2001" s="10" t="str">
        <f>Github!E$1159</f>
        <v>Medium</v>
      </c>
      <c r="J2001" s="10" t="str">
        <f>IF(TRIM(Github!D$1159)="TRUE","FALSE","TRUE")</f>
        <v>FALSE</v>
      </c>
      <c r="K2001" s="10" t="b">
        <f>Github!M$1159</f>
        <v>0</v>
      </c>
      <c r="L2001" s="10" t="b">
        <f>Github!N$1159</f>
        <v>0</v>
      </c>
      <c r="M2001" s="10" t="str">
        <f>ROUND(Github!O$1159, 2)&amp;"%"</f>
        <v>65.41%</v>
      </c>
      <c r="N2001" s="10">
        <f>Github!P$1159</f>
        <v>21837</v>
      </c>
      <c r="O2001" s="10">
        <f>Github!Q$1159</f>
        <v>33386</v>
      </c>
    </row>
    <row r="2002">
      <c r="A2002" s="10">
        <f>Github!J$1260</f>
        <v>1259</v>
      </c>
      <c r="B2002" s="11" t="str">
        <f>HYPERLINK(CONCAT("http://leetcode.com/problems/",Github!C$1260), Github!B$1260)</f>
        <v>Handshakes That Don't Cross</v>
      </c>
      <c r="C2002" s="10">
        <f>Github!F$1260</f>
        <v>99</v>
      </c>
      <c r="D2002" s="10">
        <f>Github!G$1260</f>
        <v>8</v>
      </c>
      <c r="E2002" s="10">
        <f>Github!F$1260+Github!G$1260</f>
        <v>107</v>
      </c>
      <c r="F2002" s="12">
        <f t="shared" si="1"/>
        <v>12.38</v>
      </c>
      <c r="G2002" s="10" t="str">
        <f>Github!H$1260</f>
        <v>Algorithms</v>
      </c>
      <c r="H2002" s="13" t="str">
        <f>SUBSTITUTE(Github!L$1260, ";", ", ")</f>
        <v>Math, Dynamic Programming, </v>
      </c>
      <c r="I2002" s="10" t="str">
        <f>Github!E$1260</f>
        <v>Hard</v>
      </c>
      <c r="J2002" s="10" t="str">
        <f>IF(TRIM(Github!D$1260)="TRUE","FALSE","TRUE")</f>
        <v>FALSE</v>
      </c>
      <c r="K2002" s="10" t="b">
        <f>Github!M$1260</f>
        <v>0</v>
      </c>
      <c r="L2002" s="10" t="b">
        <f>Github!N$1260</f>
        <v>0</v>
      </c>
      <c r="M2002" s="10" t="str">
        <f>ROUND(Github!O$1260, 2)&amp;"%"</f>
        <v>55.5%</v>
      </c>
      <c r="N2002" s="10">
        <f>Github!P$1260</f>
        <v>4709</v>
      </c>
      <c r="O2002" s="10">
        <f>Github!Q$1260</f>
        <v>8486</v>
      </c>
    </row>
    <row r="2003">
      <c r="A2003" s="10">
        <f>Github!J$1349</f>
        <v>1348</v>
      </c>
      <c r="B2003" s="11" t="str">
        <f>HYPERLINK(CONCAT("http://leetcode.com/problems/",Github!C$1349), Github!B$1349)</f>
        <v>Tweet Counts Per Frequency</v>
      </c>
      <c r="C2003" s="10">
        <f>Github!F$1349</f>
        <v>99</v>
      </c>
      <c r="D2003" s="10">
        <f>Github!G$1349</f>
        <v>184</v>
      </c>
      <c r="E2003" s="10">
        <f>Github!F$1349+Github!G$1349</f>
        <v>283</v>
      </c>
      <c r="F2003" s="12">
        <f t="shared" si="1"/>
        <v>0.54</v>
      </c>
      <c r="G2003" s="10" t="str">
        <f>Github!H$1349</f>
        <v>Algorithms</v>
      </c>
      <c r="H2003" s="13" t="str">
        <f>SUBSTITUTE(Github!L$1349, ";", ", ")</f>
        <v>Hash Table, Binary Search, Design, Sorting, Ordered Set, </v>
      </c>
      <c r="I2003" s="10" t="str">
        <f>Github!E$1349</f>
        <v>Medium</v>
      </c>
      <c r="J2003" s="10" t="str">
        <f>IF(TRIM(Github!D$1349)="TRUE","FALSE","TRUE")</f>
        <v>TRUE</v>
      </c>
      <c r="K2003" s="10" t="b">
        <f>Github!M$1349</f>
        <v>0</v>
      </c>
      <c r="L2003" s="10" t="b">
        <f>Github!N$1349</f>
        <v>0</v>
      </c>
      <c r="M2003" s="10" t="str">
        <f>ROUND(Github!O$1349, 2)&amp;"%"</f>
        <v>42.74%</v>
      </c>
      <c r="N2003" s="10">
        <f>Github!P$1349</f>
        <v>25823</v>
      </c>
      <c r="O2003" s="10">
        <f>Github!Q$1349</f>
        <v>60414</v>
      </c>
    </row>
    <row r="2004">
      <c r="A2004" s="10">
        <f>Github!J$1758</f>
        <v>1757</v>
      </c>
      <c r="B2004" s="11" t="str">
        <f>HYPERLINK(CONCAT("http://leetcode.com/problems/",Github!C$1758), Github!B$1758)</f>
        <v>Recyclable and Low Fat Products</v>
      </c>
      <c r="C2004" s="10">
        <f>Github!F$1758</f>
        <v>99</v>
      </c>
      <c r="D2004" s="10">
        <f>Github!G$1758</f>
        <v>50</v>
      </c>
      <c r="E2004" s="10">
        <f>Github!F$1758+Github!G$1758</f>
        <v>149</v>
      </c>
      <c r="F2004" s="12">
        <f t="shared" si="1"/>
        <v>1.98</v>
      </c>
      <c r="G2004" s="10" t="str">
        <f>Github!H$1758</f>
        <v>Database</v>
      </c>
      <c r="H2004" s="13" t="str">
        <f>SUBSTITUTE(Github!L$1758, ";", ", ")</f>
        <v>Database, </v>
      </c>
      <c r="I2004" s="10" t="str">
        <f>Github!E$1758</f>
        <v>Easy</v>
      </c>
      <c r="J2004" s="10" t="str">
        <f>IF(TRIM(Github!D$1758)="TRUE","FALSE","TRUE")</f>
        <v>FALSE</v>
      </c>
      <c r="K2004" s="10" t="b">
        <f>Github!M$1758</f>
        <v>0</v>
      </c>
      <c r="L2004" s="10" t="b">
        <f>Github!N$1758</f>
        <v>0</v>
      </c>
      <c r="M2004" s="10" t="str">
        <f>ROUND(Github!O$1758, 2)&amp;"%"</f>
        <v>95.81%</v>
      </c>
      <c r="N2004" s="10">
        <f>Github!P$1758</f>
        <v>28204</v>
      </c>
      <c r="O2004" s="10">
        <f>Github!Q$1758</f>
        <v>29439</v>
      </c>
    </row>
    <row r="2005">
      <c r="A2005" s="10">
        <f>Github!J$1919</f>
        <v>1918</v>
      </c>
      <c r="B2005" s="11" t="str">
        <f>HYPERLINK(CONCAT("http://leetcode.com/problems/",Github!C$1919), Github!B$1919)</f>
        <v>Kth Smallest Subarray Sum</v>
      </c>
      <c r="C2005" s="10">
        <f>Github!F$1919</f>
        <v>99</v>
      </c>
      <c r="D2005" s="10">
        <f>Github!G$1919</f>
        <v>4</v>
      </c>
      <c r="E2005" s="10">
        <f>Github!F$1919+Github!G$1919</f>
        <v>103</v>
      </c>
      <c r="F2005" s="12">
        <f t="shared" si="1"/>
        <v>24.75</v>
      </c>
      <c r="G2005" s="10" t="str">
        <f>Github!H$1919</f>
        <v>Algorithms</v>
      </c>
      <c r="H2005" s="13" t="str">
        <f>SUBSTITUTE(Github!L$1919, ";", ", ")</f>
        <v>Array, Binary Search, Sliding Window, </v>
      </c>
      <c r="I2005" s="10" t="str">
        <f>Github!E$1919</f>
        <v>Medium</v>
      </c>
      <c r="J2005" s="10" t="str">
        <f>IF(TRIM(Github!D$1919)="TRUE","FALSE","TRUE")</f>
        <v>FALSE</v>
      </c>
      <c r="K2005" s="10" t="b">
        <f>Github!M$1919</f>
        <v>0</v>
      </c>
      <c r="L2005" s="10" t="b">
        <f>Github!N$1919</f>
        <v>0</v>
      </c>
      <c r="M2005" s="10" t="str">
        <f>ROUND(Github!O$1919, 2)&amp;"%"</f>
        <v>54.7%</v>
      </c>
      <c r="N2005" s="10">
        <f>Github!P$1919</f>
        <v>1874</v>
      </c>
      <c r="O2005" s="10">
        <f>Github!Q$1919</f>
        <v>3426</v>
      </c>
    </row>
    <row r="2006">
      <c r="A2006" s="10">
        <f>Github!J$195</f>
        <v>194</v>
      </c>
      <c r="B2006" s="11" t="str">
        <f>HYPERLINK(CONCAT("http://leetcode.com/problems/",Github!C$195), Github!B$195)</f>
        <v>Transpose File</v>
      </c>
      <c r="C2006" s="10">
        <f>Github!F$195</f>
        <v>98</v>
      </c>
      <c r="D2006" s="10">
        <f>Github!G$195</f>
        <v>237</v>
      </c>
      <c r="E2006" s="10">
        <f>Github!F$195+Github!G$195</f>
        <v>335</v>
      </c>
      <c r="F2006" s="12">
        <f t="shared" si="1"/>
        <v>0.41</v>
      </c>
      <c r="G2006" s="10" t="str">
        <f>Github!H$195</f>
        <v>Shell</v>
      </c>
      <c r="H2006" s="13" t="str">
        <f>SUBSTITUTE(Github!L$195, ";", ", ")</f>
        <v>Shell, </v>
      </c>
      <c r="I2006" s="10" t="str">
        <f>Github!E$195</f>
        <v>Medium</v>
      </c>
      <c r="J2006" s="10" t="str">
        <f>IF(TRIM(Github!D$195)="TRUE","FALSE","TRUE")</f>
        <v>TRUE</v>
      </c>
      <c r="K2006" s="10" t="b">
        <f>Github!M$195</f>
        <v>0</v>
      </c>
      <c r="L2006" s="10" t="b">
        <f>Github!N$195</f>
        <v>0</v>
      </c>
      <c r="M2006" s="10" t="str">
        <f>ROUND(Github!O$195, 2)&amp;"%"</f>
        <v>25%</v>
      </c>
      <c r="N2006" s="10">
        <f>Github!P$195</f>
        <v>17963</v>
      </c>
      <c r="O2006" s="10">
        <f>Github!Q$195</f>
        <v>71856</v>
      </c>
    </row>
    <row r="2007">
      <c r="A2007" s="10">
        <f>Github!J$1184</f>
        <v>1183</v>
      </c>
      <c r="B2007" s="11" t="str">
        <f>HYPERLINK(CONCAT("http://leetcode.com/problems/",Github!C$1184), Github!B$1184)</f>
        <v>Maximum Number of Ones</v>
      </c>
      <c r="C2007" s="10">
        <f>Github!F$1184</f>
        <v>98</v>
      </c>
      <c r="D2007" s="10">
        <f>Github!G$1184</f>
        <v>9</v>
      </c>
      <c r="E2007" s="10">
        <f>Github!F$1184+Github!G$1184</f>
        <v>107</v>
      </c>
      <c r="F2007" s="12">
        <f t="shared" si="1"/>
        <v>10.89</v>
      </c>
      <c r="G2007" s="10" t="str">
        <f>Github!H$1184</f>
        <v>Algorithms</v>
      </c>
      <c r="H2007" s="13" t="str">
        <f>SUBSTITUTE(Github!L$1184, ";", ", ")</f>
        <v>Greedy, Heap (Priority Queue), </v>
      </c>
      <c r="I2007" s="10" t="str">
        <f>Github!E$1184</f>
        <v>Hard</v>
      </c>
      <c r="J2007" s="10" t="str">
        <f>IF(TRIM(Github!D$1184)="TRUE","FALSE","TRUE")</f>
        <v>FALSE</v>
      </c>
      <c r="K2007" s="10" t="b">
        <f>Github!M$1184</f>
        <v>0</v>
      </c>
      <c r="L2007" s="10" t="b">
        <f>Github!N$1184</f>
        <v>0</v>
      </c>
      <c r="M2007" s="10" t="str">
        <f>ROUND(Github!O$1184, 2)&amp;"%"</f>
        <v>59.88%</v>
      </c>
      <c r="N2007" s="10">
        <f>Github!P$1184</f>
        <v>2103</v>
      </c>
      <c r="O2007" s="10">
        <f>Github!Q$1184</f>
        <v>3512</v>
      </c>
    </row>
    <row r="2008">
      <c r="A2008" s="10">
        <f>Github!J$1206</f>
        <v>1205</v>
      </c>
      <c r="B2008" s="11" t="str">
        <f>HYPERLINK(CONCAT("http://leetcode.com/problems/",Github!C$1206), Github!B$1206)</f>
        <v>Monthly Transactions II</v>
      </c>
      <c r="C2008" s="10">
        <f>Github!F$1206</f>
        <v>98</v>
      </c>
      <c r="D2008" s="10">
        <f>Github!G$1206</f>
        <v>366</v>
      </c>
      <c r="E2008" s="10">
        <f>Github!F$1206+Github!G$1206</f>
        <v>464</v>
      </c>
      <c r="F2008" s="12">
        <f t="shared" si="1"/>
        <v>0.27</v>
      </c>
      <c r="G2008" s="10" t="str">
        <f>Github!H$1206</f>
        <v>Database</v>
      </c>
      <c r="H2008" s="13" t="str">
        <f>SUBSTITUTE(Github!L$1206, ";", ", ")</f>
        <v>Database, </v>
      </c>
      <c r="I2008" s="10" t="str">
        <f>Github!E$1206</f>
        <v>Medium</v>
      </c>
      <c r="J2008" s="10" t="str">
        <f>IF(TRIM(Github!D$1206)="TRUE","FALSE","TRUE")</f>
        <v>FALSE</v>
      </c>
      <c r="K2008" s="10" t="b">
        <f>Github!M$1206</f>
        <v>0</v>
      </c>
      <c r="L2008" s="10" t="b">
        <f>Github!N$1206</f>
        <v>0</v>
      </c>
      <c r="M2008" s="10" t="str">
        <f>ROUND(Github!O$1206, 2)&amp;"%"</f>
        <v>44.79%</v>
      </c>
      <c r="N2008" s="10">
        <f>Github!P$1206</f>
        <v>14518</v>
      </c>
      <c r="O2008" s="10">
        <f>Github!Q$1206</f>
        <v>32414</v>
      </c>
    </row>
    <row r="2009">
      <c r="A2009" s="10">
        <f>Github!J$1699</f>
        <v>1698</v>
      </c>
      <c r="B2009" s="11" t="str">
        <f>HYPERLINK(CONCAT("http://leetcode.com/problems/",Github!C$1699), Github!B$1699)</f>
        <v>Number of Distinct Substrings in a String</v>
      </c>
      <c r="C2009" s="10">
        <f>Github!F$1699</f>
        <v>98</v>
      </c>
      <c r="D2009" s="10">
        <f>Github!G$1699</f>
        <v>24</v>
      </c>
      <c r="E2009" s="10">
        <f>Github!F$1699+Github!G$1699</f>
        <v>122</v>
      </c>
      <c r="F2009" s="12">
        <f t="shared" si="1"/>
        <v>4.08</v>
      </c>
      <c r="G2009" s="10" t="str">
        <f>Github!H$1699</f>
        <v>Algorithms</v>
      </c>
      <c r="H2009" s="13" t="str">
        <f>SUBSTITUTE(Github!L$1699, ";", ", ")</f>
        <v>String, Trie, Rolling Hash, Suffix Array, Hash Function, </v>
      </c>
      <c r="I2009" s="10" t="str">
        <f>Github!E$1699</f>
        <v>Medium</v>
      </c>
      <c r="J2009" s="10" t="str">
        <f>IF(TRIM(Github!D$1699)="TRUE","FALSE","TRUE")</f>
        <v>FALSE</v>
      </c>
      <c r="K2009" s="10" t="b">
        <f>Github!M$1699</f>
        <v>0</v>
      </c>
      <c r="L2009" s="10" t="b">
        <f>Github!N$1699</f>
        <v>0</v>
      </c>
      <c r="M2009" s="10" t="str">
        <f>ROUND(Github!O$1699, 2)&amp;"%"</f>
        <v>62.5%</v>
      </c>
      <c r="N2009" s="10">
        <f>Github!P$1699</f>
        <v>4060</v>
      </c>
      <c r="O2009" s="10">
        <f>Github!Q$1699</f>
        <v>6496</v>
      </c>
    </row>
    <row r="2010">
      <c r="A2010" s="10">
        <f>Github!J$2044</f>
        <v>2043</v>
      </c>
      <c r="B2010" s="11" t="str">
        <f>HYPERLINK(CONCAT("http://leetcode.com/problems/",Github!C$2044), Github!B$2044)</f>
        <v>Simple Bank System</v>
      </c>
      <c r="C2010" s="10">
        <f>Github!F$2044</f>
        <v>96</v>
      </c>
      <c r="D2010" s="10">
        <f>Github!G$2044</f>
        <v>108</v>
      </c>
      <c r="E2010" s="10">
        <f>Github!F$2044+Github!G$2044</f>
        <v>204</v>
      </c>
      <c r="F2010" s="12">
        <f t="shared" si="1"/>
        <v>0.89</v>
      </c>
      <c r="G2010" s="10" t="str">
        <f>Github!H$2044</f>
        <v>Algorithms</v>
      </c>
      <c r="H2010" s="13" t="str">
        <f>SUBSTITUTE(Github!L$2044, ";", ", ")</f>
        <v>Array, Hash Table, Design, Simulation, </v>
      </c>
      <c r="I2010" s="10" t="str">
        <f>Github!E$2044</f>
        <v>Medium</v>
      </c>
      <c r="J2010" s="10" t="str">
        <f>IF(TRIM(Github!D$2044)="TRUE","FALSE","TRUE")</f>
        <v>TRUE</v>
      </c>
      <c r="K2010" s="10" t="b">
        <f>Github!M$2044</f>
        <v>0</v>
      </c>
      <c r="L2010" s="10" t="b">
        <f>Github!N$2044</f>
        <v>0</v>
      </c>
      <c r="M2010" s="10" t="str">
        <f>ROUND(Github!O$2044, 2)&amp;"%"</f>
        <v>64.69%</v>
      </c>
      <c r="N2010" s="10">
        <f>Github!P$2044</f>
        <v>11648</v>
      </c>
      <c r="O2010" s="10">
        <f>Github!Q$2044</f>
        <v>18007</v>
      </c>
    </row>
    <row r="2011">
      <c r="A2011" s="10">
        <f>Github!J$1408</f>
        <v>1407</v>
      </c>
      <c r="B2011" s="11" t="str">
        <f>HYPERLINK(CONCAT("http://leetcode.com/problems/",Github!C$1408), Github!B$1408)</f>
        <v>Top Travellers</v>
      </c>
      <c r="C2011" s="10">
        <f>Github!F$1408</f>
        <v>95</v>
      </c>
      <c r="D2011" s="10">
        <f>Github!G$1408</f>
        <v>9</v>
      </c>
      <c r="E2011" s="10">
        <f>Github!F$1408+Github!G$1408</f>
        <v>104</v>
      </c>
      <c r="F2011" s="12">
        <f t="shared" si="1"/>
        <v>10.56</v>
      </c>
      <c r="G2011" s="10" t="str">
        <f>Github!H$1408</f>
        <v>Database</v>
      </c>
      <c r="H2011" s="13" t="str">
        <f>SUBSTITUTE(Github!L$1408, ";", ", ")</f>
        <v>Database, </v>
      </c>
      <c r="I2011" s="10" t="str">
        <f>Github!E$1408</f>
        <v>Easy</v>
      </c>
      <c r="J2011" s="10" t="str">
        <f>IF(TRIM(Github!D$1408)="TRUE","FALSE","TRUE")</f>
        <v>FALSE</v>
      </c>
      <c r="K2011" s="10" t="b">
        <f>Github!M$1408</f>
        <v>0</v>
      </c>
      <c r="L2011" s="10" t="b">
        <f>Github!N$1408</f>
        <v>0</v>
      </c>
      <c r="M2011" s="10" t="str">
        <f>ROUND(Github!O$1408, 2)&amp;"%"</f>
        <v>83.39%</v>
      </c>
      <c r="N2011" s="10">
        <f>Github!P$1408</f>
        <v>23427</v>
      </c>
      <c r="O2011" s="10">
        <f>Github!Q$1408</f>
        <v>28092</v>
      </c>
    </row>
    <row r="2012">
      <c r="A2012" s="10">
        <f>Github!J$1683</f>
        <v>1682</v>
      </c>
      <c r="B2012" s="11" t="str">
        <f>HYPERLINK(CONCAT("http://leetcode.com/problems/",Github!C$1683), Github!B$1683)</f>
        <v>Longest Palindromic Subsequence II</v>
      </c>
      <c r="C2012" s="10">
        <f>Github!F$1683</f>
        <v>93</v>
      </c>
      <c r="D2012" s="10">
        <f>Github!G$1683</f>
        <v>18</v>
      </c>
      <c r="E2012" s="10">
        <f>Github!F$1683+Github!G$1683</f>
        <v>111</v>
      </c>
      <c r="F2012" s="12">
        <f t="shared" si="1"/>
        <v>5.17</v>
      </c>
      <c r="G2012" s="10" t="str">
        <f>Github!H$1683</f>
        <v>Algorithms</v>
      </c>
      <c r="H2012" s="13" t="str">
        <f>SUBSTITUTE(Github!L$1683, ";", ", ")</f>
        <v>String, Dynamic Programming, </v>
      </c>
      <c r="I2012" s="10" t="str">
        <f>Github!E$1683</f>
        <v>Medium</v>
      </c>
      <c r="J2012" s="10" t="str">
        <f>IF(TRIM(Github!D$1683)="TRUE","FALSE","TRUE")</f>
        <v>FALSE</v>
      </c>
      <c r="K2012" s="10" t="b">
        <f>Github!M$1683</f>
        <v>0</v>
      </c>
      <c r="L2012" s="10" t="b">
        <f>Github!N$1683</f>
        <v>0</v>
      </c>
      <c r="M2012" s="10" t="str">
        <f>ROUND(Github!O$1683, 2)&amp;"%"</f>
        <v>50.83%</v>
      </c>
      <c r="N2012" s="10">
        <f>Github!P$1683</f>
        <v>3079</v>
      </c>
      <c r="O2012" s="10">
        <f>Github!Q$1683</f>
        <v>6058</v>
      </c>
    </row>
    <row r="2013">
      <c r="A2013" s="10">
        <f>Github!J$1784</f>
        <v>1783</v>
      </c>
      <c r="B2013" s="11" t="str">
        <f>HYPERLINK(CONCAT("http://leetcode.com/problems/",Github!C$1784), Github!B$1784)</f>
        <v>Grand Slam Titles</v>
      </c>
      <c r="C2013" s="10">
        <f>Github!F$1784</f>
        <v>93</v>
      </c>
      <c r="D2013" s="10">
        <f>Github!G$1784</f>
        <v>2</v>
      </c>
      <c r="E2013" s="10">
        <f>Github!F$1784+Github!G$1784</f>
        <v>95</v>
      </c>
      <c r="F2013" s="12">
        <f t="shared" si="1"/>
        <v>46.5</v>
      </c>
      <c r="G2013" s="10" t="str">
        <f>Github!H$1784</f>
        <v>Database</v>
      </c>
      <c r="H2013" s="13" t="str">
        <f>SUBSTITUTE(Github!L$1784, ";", ", ")</f>
        <v>Database, </v>
      </c>
      <c r="I2013" s="10" t="str">
        <f>Github!E$1784</f>
        <v>Medium</v>
      </c>
      <c r="J2013" s="10" t="str">
        <f>IF(TRIM(Github!D$1784)="TRUE","FALSE","TRUE")</f>
        <v>FALSE</v>
      </c>
      <c r="K2013" s="10" t="b">
        <f>Github!M$1784</f>
        <v>0</v>
      </c>
      <c r="L2013" s="10" t="b">
        <f>Github!N$1784</f>
        <v>0</v>
      </c>
      <c r="M2013" s="10" t="str">
        <f>ROUND(Github!O$1784, 2)&amp;"%"</f>
        <v>89.37%</v>
      </c>
      <c r="N2013" s="10">
        <f>Github!P$1784</f>
        <v>9447</v>
      </c>
      <c r="O2013" s="10">
        <f>Github!Q$1784</f>
        <v>10571</v>
      </c>
    </row>
    <row r="2014">
      <c r="A2014" s="10">
        <f>Github!J$1480</f>
        <v>1479</v>
      </c>
      <c r="B2014" s="11" t="str">
        <f>HYPERLINK(CONCAT("http://leetcode.com/problems/",Github!C$1480), Github!B$1480)</f>
        <v>Sales by Day of the Week</v>
      </c>
      <c r="C2014" s="10">
        <f>Github!F$1480</f>
        <v>92</v>
      </c>
      <c r="D2014" s="10">
        <f>Github!G$1480</f>
        <v>33</v>
      </c>
      <c r="E2014" s="10">
        <f>Github!F$1480+Github!G$1480</f>
        <v>125</v>
      </c>
      <c r="F2014" s="12">
        <f t="shared" si="1"/>
        <v>2.79</v>
      </c>
      <c r="G2014" s="10" t="str">
        <f>Github!H$1480</f>
        <v>Database</v>
      </c>
      <c r="H2014" s="13" t="str">
        <f>SUBSTITUTE(Github!L$1480, ";", ", ")</f>
        <v>Database, </v>
      </c>
      <c r="I2014" s="10" t="str">
        <f>Github!E$1480</f>
        <v>Hard</v>
      </c>
      <c r="J2014" s="10" t="str">
        <f>IF(TRIM(Github!D$1480)="TRUE","FALSE","TRUE")</f>
        <v>FALSE</v>
      </c>
      <c r="K2014" s="10" t="b">
        <f>Github!M$1480</f>
        <v>0</v>
      </c>
      <c r="L2014" s="10" t="b">
        <f>Github!N$1480</f>
        <v>0</v>
      </c>
      <c r="M2014" s="10" t="str">
        <f>ROUND(Github!O$1480, 2)&amp;"%"</f>
        <v>82.41%</v>
      </c>
      <c r="N2014" s="10">
        <f>Github!P$1480</f>
        <v>12024</v>
      </c>
      <c r="O2014" s="10">
        <f>Github!Q$1480</f>
        <v>14590</v>
      </c>
    </row>
    <row r="2015">
      <c r="A2015" s="10">
        <f>Github!J$1518</f>
        <v>1517</v>
      </c>
      <c r="B2015" s="11" t="str">
        <f>HYPERLINK(CONCAT("http://leetcode.com/problems/",Github!C$1518), Github!B$1518)</f>
        <v>Find Users With Valid E-Mails</v>
      </c>
      <c r="C2015" s="10">
        <f>Github!F$1518</f>
        <v>92</v>
      </c>
      <c r="D2015" s="10">
        <f>Github!G$1518</f>
        <v>59</v>
      </c>
      <c r="E2015" s="10">
        <f>Github!F$1518+Github!G$1518</f>
        <v>151</v>
      </c>
      <c r="F2015" s="12">
        <f t="shared" si="1"/>
        <v>1.56</v>
      </c>
      <c r="G2015" s="10" t="str">
        <f>Github!H$1518</f>
        <v>Database</v>
      </c>
      <c r="H2015" s="13" t="str">
        <f>SUBSTITUTE(Github!L$1518, ";", ", ")</f>
        <v>Database, </v>
      </c>
      <c r="I2015" s="10" t="str">
        <f>Github!E$1518</f>
        <v>Easy</v>
      </c>
      <c r="J2015" s="10" t="str">
        <f>IF(TRIM(Github!D$1518)="TRUE","FALSE","TRUE")</f>
        <v>FALSE</v>
      </c>
      <c r="K2015" s="10" t="b">
        <f>Github!M$1518</f>
        <v>0</v>
      </c>
      <c r="L2015" s="10" t="b">
        <f>Github!N$1518</f>
        <v>0</v>
      </c>
      <c r="M2015" s="10" t="str">
        <f>ROUND(Github!O$1518, 2)&amp;"%"</f>
        <v>62.48%</v>
      </c>
      <c r="N2015" s="10">
        <f>Github!P$1518</f>
        <v>17434</v>
      </c>
      <c r="O2015" s="10">
        <f>Github!Q$1518</f>
        <v>27905</v>
      </c>
    </row>
    <row r="2016">
      <c r="A2016" s="10">
        <f>Github!J$1613</f>
        <v>1612</v>
      </c>
      <c r="B2016" s="11" t="str">
        <f>HYPERLINK(CONCAT("http://leetcode.com/problems/",Github!C$1613), Github!B$1613)</f>
        <v>Check If Two Expression Trees are Equivalent</v>
      </c>
      <c r="C2016" s="10">
        <f>Github!F$1613</f>
        <v>92</v>
      </c>
      <c r="D2016" s="10">
        <f>Github!G$1613</f>
        <v>17</v>
      </c>
      <c r="E2016" s="10">
        <f>Github!F$1613+Github!G$1613</f>
        <v>109</v>
      </c>
      <c r="F2016" s="12">
        <f t="shared" si="1"/>
        <v>5.41</v>
      </c>
      <c r="G2016" s="10" t="str">
        <f>Github!H$1613</f>
        <v>Algorithms</v>
      </c>
      <c r="H2016" s="13" t="str">
        <f>SUBSTITUTE(Github!L$1613, ";", ", ")</f>
        <v>Tree, Depth-First Search, Binary Tree, </v>
      </c>
      <c r="I2016" s="10" t="str">
        <f>Github!E$1613</f>
        <v>Medium</v>
      </c>
      <c r="J2016" s="10" t="str">
        <f>IF(TRIM(Github!D$1613)="TRUE","FALSE","TRUE")</f>
        <v>FALSE</v>
      </c>
      <c r="K2016" s="10" t="b">
        <f>Github!M$1613</f>
        <v>0</v>
      </c>
      <c r="L2016" s="10" t="b">
        <f>Github!N$1613</f>
        <v>0</v>
      </c>
      <c r="M2016" s="10" t="str">
        <f>ROUND(Github!O$1613, 2)&amp;"%"</f>
        <v>69.26%</v>
      </c>
      <c r="N2016" s="10">
        <f>Github!P$1613</f>
        <v>4636</v>
      </c>
      <c r="O2016" s="10">
        <f>Github!Q$1613</f>
        <v>6694</v>
      </c>
    </row>
    <row r="2017">
      <c r="A2017" s="10">
        <f>Github!J$1859</f>
        <v>1858</v>
      </c>
      <c r="B2017" s="11" t="str">
        <f>HYPERLINK(CONCAT("http://leetcode.com/problems/",Github!C$1859), Github!B$1859)</f>
        <v>Longest Word With All Prefixes</v>
      </c>
      <c r="C2017" s="10">
        <f>Github!F$1859</f>
        <v>92</v>
      </c>
      <c r="D2017" s="10">
        <f>Github!G$1859</f>
        <v>3</v>
      </c>
      <c r="E2017" s="10">
        <f>Github!F$1859+Github!G$1859</f>
        <v>95</v>
      </c>
      <c r="F2017" s="12">
        <f t="shared" si="1"/>
        <v>30.67</v>
      </c>
      <c r="G2017" s="10" t="str">
        <f>Github!H$1859</f>
        <v>Algorithms</v>
      </c>
      <c r="H2017" s="13" t="str">
        <f>SUBSTITUTE(Github!L$1859, ";", ", ")</f>
        <v>Depth-First Search, Trie, </v>
      </c>
      <c r="I2017" s="10" t="str">
        <f>Github!E$1859</f>
        <v>Medium</v>
      </c>
      <c r="J2017" s="10" t="str">
        <f>IF(TRIM(Github!D$1859)="TRUE","FALSE","TRUE")</f>
        <v>FALSE</v>
      </c>
      <c r="K2017" s="10" t="b">
        <f>Github!M$1859</f>
        <v>0</v>
      </c>
      <c r="L2017" s="10" t="b">
        <f>Github!N$1859</f>
        <v>0</v>
      </c>
      <c r="M2017" s="10" t="str">
        <f>ROUND(Github!O$1859, 2)&amp;"%"</f>
        <v>66.23%</v>
      </c>
      <c r="N2017" s="10">
        <f>Github!P$1859</f>
        <v>3395</v>
      </c>
      <c r="O2017" s="10">
        <f>Github!Q$1859</f>
        <v>5126</v>
      </c>
    </row>
    <row r="2018">
      <c r="A2018" s="10">
        <f>Github!J$1356</f>
        <v>1355</v>
      </c>
      <c r="B2018" s="11" t="str">
        <f>HYPERLINK(CONCAT("http://leetcode.com/problems/",Github!C$1356), Github!B$1356)</f>
        <v>Activity Participants</v>
      </c>
      <c r="C2018" s="10">
        <f>Github!F$1356</f>
        <v>91</v>
      </c>
      <c r="D2018" s="10">
        <f>Github!G$1356</f>
        <v>34</v>
      </c>
      <c r="E2018" s="10">
        <f>Github!F$1356+Github!G$1356</f>
        <v>125</v>
      </c>
      <c r="F2018" s="12">
        <f t="shared" si="1"/>
        <v>2.68</v>
      </c>
      <c r="G2018" s="10" t="str">
        <f>Github!H$1356</f>
        <v>Database</v>
      </c>
      <c r="H2018" s="13" t="str">
        <f>SUBSTITUTE(Github!L$1356, ";", ", ")</f>
        <v>Database, </v>
      </c>
      <c r="I2018" s="10" t="str">
        <f>Github!E$1356</f>
        <v>Medium</v>
      </c>
      <c r="J2018" s="10" t="str">
        <f>IF(TRIM(Github!D$1356)="TRUE","FALSE","TRUE")</f>
        <v>FALSE</v>
      </c>
      <c r="K2018" s="10" t="b">
        <f>Github!M$1356</f>
        <v>0</v>
      </c>
      <c r="L2018" s="10" t="b">
        <f>Github!N$1356</f>
        <v>0</v>
      </c>
      <c r="M2018" s="10" t="str">
        <f>ROUND(Github!O$1356, 2)&amp;"%"</f>
        <v>74.49%</v>
      </c>
      <c r="N2018" s="10">
        <f>Github!P$1356</f>
        <v>19740</v>
      </c>
      <c r="O2018" s="10">
        <f>Github!Q$1356</f>
        <v>26499</v>
      </c>
    </row>
    <row r="2019">
      <c r="A2019" s="10">
        <f>Github!J$2049</f>
        <v>2048</v>
      </c>
      <c r="B2019" s="11" t="str">
        <f>HYPERLINK(CONCAT("http://leetcode.com/problems/",Github!C$2049), Github!B$2049)</f>
        <v>Next Greater Numerically Balanced Number</v>
      </c>
      <c r="C2019" s="10">
        <f>Github!F$2049</f>
        <v>91</v>
      </c>
      <c r="D2019" s="10">
        <f>Github!G$2049</f>
        <v>213</v>
      </c>
      <c r="E2019" s="10">
        <f>Github!F$2049+Github!G$2049</f>
        <v>304</v>
      </c>
      <c r="F2019" s="12">
        <f t="shared" si="1"/>
        <v>0.43</v>
      </c>
      <c r="G2019" s="10" t="str">
        <f>Github!H$2049</f>
        <v>Algorithms</v>
      </c>
      <c r="H2019" s="13" t="str">
        <f>SUBSTITUTE(Github!L$2049, ";", ", ")</f>
        <v>Math, Backtracking, Enumeration, </v>
      </c>
      <c r="I2019" s="10" t="str">
        <f>Github!E$2049</f>
        <v>Medium</v>
      </c>
      <c r="J2019" s="10" t="str">
        <f>IF(TRIM(Github!D$2049)="TRUE","FALSE","TRUE")</f>
        <v>TRUE</v>
      </c>
      <c r="K2019" s="10" t="b">
        <f>Github!M$2049</f>
        <v>0</v>
      </c>
      <c r="L2019" s="10" t="b">
        <f>Github!N$2049</f>
        <v>0</v>
      </c>
      <c r="M2019" s="10" t="str">
        <f>ROUND(Github!O$2049, 2)&amp;"%"</f>
        <v>46.1%</v>
      </c>
      <c r="N2019" s="10">
        <f>Github!P$2049</f>
        <v>8074</v>
      </c>
      <c r="O2019" s="10">
        <f>Github!Q$2049</f>
        <v>17515</v>
      </c>
    </row>
    <row r="2020">
      <c r="A2020" s="10">
        <f>Github!J$836</f>
        <v>835</v>
      </c>
      <c r="B2020" s="11" t="str">
        <f>HYPERLINK(CONCAT("http://leetcode.com/problems/",Github!C$836), Github!B$836)</f>
        <v>Image Overlap</v>
      </c>
      <c r="C2020" s="10">
        <f>Github!F$836</f>
        <v>90</v>
      </c>
      <c r="D2020" s="10">
        <f>Github!G$836</f>
        <v>25</v>
      </c>
      <c r="E2020" s="10">
        <f>Github!F$836+Github!G$836</f>
        <v>115</v>
      </c>
      <c r="F2020" s="12">
        <f t="shared" si="1"/>
        <v>3.6</v>
      </c>
      <c r="G2020" s="10" t="str">
        <f>Github!H$836</f>
        <v>Algorithms</v>
      </c>
      <c r="H2020" s="13" t="str">
        <f>SUBSTITUTE(Github!L$836, ";", ", ")</f>
        <v>Array, Matrix, </v>
      </c>
      <c r="I2020" s="10" t="str">
        <f>Github!E$836</f>
        <v>Medium</v>
      </c>
      <c r="J2020" s="10" t="str">
        <f>IF(TRIM(Github!D$836)="TRUE","FALSE","TRUE")</f>
        <v>TRUE</v>
      </c>
      <c r="K2020" s="10" t="b">
        <f>Github!M$836</f>
        <v>1</v>
      </c>
      <c r="L2020" s="10" t="b">
        <f>Github!N$836</f>
        <v>0</v>
      </c>
      <c r="M2020" s="10" t="str">
        <f>ROUND(Github!O$836, 2)&amp;"%"</f>
        <v>61.28%</v>
      </c>
      <c r="N2020" s="10">
        <f>Github!P$836</f>
        <v>46920</v>
      </c>
      <c r="O2020" s="10">
        <f>Github!Q$836</f>
        <v>76566</v>
      </c>
    </row>
    <row r="2021">
      <c r="A2021" s="10">
        <f>Github!J$1941</f>
        <v>1940</v>
      </c>
      <c r="B2021" s="11" t="str">
        <f>HYPERLINK(CONCAT("http://leetcode.com/problems/",Github!C$1941), Github!B$1941)</f>
        <v>Longest Common Subsequence Between Sorted Arrays</v>
      </c>
      <c r="C2021" s="10">
        <f>Github!F$1941</f>
        <v>89</v>
      </c>
      <c r="D2021" s="10">
        <f>Github!G$1941</f>
        <v>3</v>
      </c>
      <c r="E2021" s="10">
        <f>Github!F$1941+Github!G$1941</f>
        <v>92</v>
      </c>
      <c r="F2021" s="12">
        <f t="shared" si="1"/>
        <v>29.67</v>
      </c>
      <c r="G2021" s="10" t="str">
        <f>Github!H$1941</f>
        <v>Algorithms</v>
      </c>
      <c r="H2021" s="13" t="str">
        <f>SUBSTITUTE(Github!L$1941, ";", ", ")</f>
        <v>Array, Hash Table, Counting, </v>
      </c>
      <c r="I2021" s="10" t="str">
        <f>Github!E$1941</f>
        <v>Medium</v>
      </c>
      <c r="J2021" s="10" t="str">
        <f>IF(TRIM(Github!D$1941)="TRUE","FALSE","TRUE")</f>
        <v>FALSE</v>
      </c>
      <c r="K2021" s="10" t="b">
        <f>Github!M$1941</f>
        <v>0</v>
      </c>
      <c r="L2021" s="10" t="b">
        <f>Github!N$1941</f>
        <v>0</v>
      </c>
      <c r="M2021" s="10" t="str">
        <f>ROUND(Github!O$1941, 2)&amp;"%"</f>
        <v>79.74%</v>
      </c>
      <c r="N2021" s="10">
        <f>Github!P$1941</f>
        <v>3144</v>
      </c>
      <c r="O2021" s="10">
        <f>Github!Q$1941</f>
        <v>3943</v>
      </c>
    </row>
    <row r="2022">
      <c r="A2022" s="10">
        <f>Github!J$1142</f>
        <v>1141</v>
      </c>
      <c r="B2022" s="11" t="str">
        <f>HYPERLINK(CONCAT("http://leetcode.com/problems/",Github!C$1142), Github!B$1142)</f>
        <v>User Activity for the Past 30 Days I</v>
      </c>
      <c r="C2022" s="10">
        <f>Github!F$1142</f>
        <v>88</v>
      </c>
      <c r="D2022" s="10">
        <f>Github!G$1142</f>
        <v>86</v>
      </c>
      <c r="E2022" s="10">
        <f>Github!F$1142+Github!G$1142</f>
        <v>174</v>
      </c>
      <c r="F2022" s="12">
        <f t="shared" si="1"/>
        <v>1.02</v>
      </c>
      <c r="G2022" s="10" t="str">
        <f>Github!H$1142</f>
        <v>Database</v>
      </c>
      <c r="H2022" s="13" t="str">
        <f>SUBSTITUTE(Github!L$1142, ";", ", ")</f>
        <v>Database, </v>
      </c>
      <c r="I2022" s="10" t="str">
        <f>Github!E$1142</f>
        <v>Easy</v>
      </c>
      <c r="J2022" s="10" t="str">
        <f>IF(TRIM(Github!D$1142)="TRUE","FALSE","TRUE")</f>
        <v>FALSE</v>
      </c>
      <c r="K2022" s="10" t="b">
        <f>Github!M$1142</f>
        <v>0</v>
      </c>
      <c r="L2022" s="10" t="b">
        <f>Github!N$1142</f>
        <v>0</v>
      </c>
      <c r="M2022" s="10" t="str">
        <f>ROUND(Github!O$1142, 2)&amp;"%"</f>
        <v>54.06%</v>
      </c>
      <c r="N2022" s="10">
        <f>Github!P$1142</f>
        <v>31102</v>
      </c>
      <c r="O2022" s="10">
        <f>Github!Q$1142</f>
        <v>57531</v>
      </c>
    </row>
    <row r="2023">
      <c r="A2023" s="10">
        <f>Github!J$1195</f>
        <v>1194</v>
      </c>
      <c r="B2023" s="11" t="str">
        <f>HYPERLINK(CONCAT("http://leetcode.com/problems/",Github!C$1195), Github!B$1195)</f>
        <v>Tournament Winners</v>
      </c>
      <c r="C2023" s="10">
        <f>Github!F$1195</f>
        <v>88</v>
      </c>
      <c r="D2023" s="10">
        <f>Github!G$1195</f>
        <v>42</v>
      </c>
      <c r="E2023" s="10">
        <f>Github!F$1195+Github!G$1195</f>
        <v>130</v>
      </c>
      <c r="F2023" s="12">
        <f t="shared" si="1"/>
        <v>2.1</v>
      </c>
      <c r="G2023" s="10" t="str">
        <f>Github!H$1195</f>
        <v>Database</v>
      </c>
      <c r="H2023" s="13" t="str">
        <f>SUBSTITUTE(Github!L$1195, ";", ", ")</f>
        <v>Database, </v>
      </c>
      <c r="I2023" s="10" t="str">
        <f>Github!E$1195</f>
        <v>Hard</v>
      </c>
      <c r="J2023" s="10" t="str">
        <f>IF(TRIM(Github!D$1195)="TRUE","FALSE","TRUE")</f>
        <v>FALSE</v>
      </c>
      <c r="K2023" s="10" t="b">
        <f>Github!M$1195</f>
        <v>0</v>
      </c>
      <c r="L2023" s="10" t="b">
        <f>Github!N$1195</f>
        <v>0</v>
      </c>
      <c r="M2023" s="10" t="str">
        <f>ROUND(Github!O$1195, 2)&amp;"%"</f>
        <v>52.01%</v>
      </c>
      <c r="N2023" s="10">
        <f>Github!P$1195</f>
        <v>12435</v>
      </c>
      <c r="O2023" s="10">
        <f>Github!Q$1195</f>
        <v>23910</v>
      </c>
    </row>
    <row r="2024">
      <c r="A2024" s="10">
        <f>Github!J$1710</f>
        <v>1709</v>
      </c>
      <c r="B2024" s="11" t="str">
        <f>HYPERLINK(CONCAT("http://leetcode.com/problems/",Github!C$1710), Github!B$1710)</f>
        <v>Biggest Window Between Visits</v>
      </c>
      <c r="C2024" s="10">
        <f>Github!F$1710</f>
        <v>88</v>
      </c>
      <c r="D2024" s="10">
        <f>Github!G$1710</f>
        <v>4</v>
      </c>
      <c r="E2024" s="10">
        <f>Github!F$1710+Github!G$1710</f>
        <v>92</v>
      </c>
      <c r="F2024" s="12">
        <f t="shared" si="1"/>
        <v>22</v>
      </c>
      <c r="G2024" s="10" t="str">
        <f>Github!H$1710</f>
        <v>Database</v>
      </c>
      <c r="H2024" s="13" t="str">
        <f>SUBSTITUTE(Github!L$1710, ";", ", ")</f>
        <v>Database, </v>
      </c>
      <c r="I2024" s="10" t="str">
        <f>Github!E$1710</f>
        <v>Medium</v>
      </c>
      <c r="J2024" s="10" t="str">
        <f>IF(TRIM(Github!D$1710)="TRUE","FALSE","TRUE")</f>
        <v>FALSE</v>
      </c>
      <c r="K2024" s="10" t="b">
        <f>Github!M$1710</f>
        <v>0</v>
      </c>
      <c r="L2024" s="10" t="b">
        <f>Github!N$1710</f>
        <v>0</v>
      </c>
      <c r="M2024" s="10" t="str">
        <f>ROUND(Github!O$1710, 2)&amp;"%"</f>
        <v>78.09%</v>
      </c>
      <c r="N2024" s="10">
        <f>Github!P$1710</f>
        <v>9026</v>
      </c>
      <c r="O2024" s="10">
        <f>Github!Q$1710</f>
        <v>11559</v>
      </c>
    </row>
    <row r="2025">
      <c r="A2025" s="10">
        <f>Github!J$1122</f>
        <v>1121</v>
      </c>
      <c r="B2025" s="11" t="str">
        <f>HYPERLINK(CONCAT("http://leetcode.com/problems/",Github!C$1122), Github!B$1122)</f>
        <v>Divide Array Into Increasing Sequences</v>
      </c>
      <c r="C2025" s="10">
        <f>Github!F$1122</f>
        <v>87</v>
      </c>
      <c r="D2025" s="10">
        <f>Github!G$1122</f>
        <v>25</v>
      </c>
      <c r="E2025" s="10">
        <f>Github!F$1122+Github!G$1122</f>
        <v>112</v>
      </c>
      <c r="F2025" s="12">
        <f t="shared" si="1"/>
        <v>3.48</v>
      </c>
      <c r="G2025" s="10" t="str">
        <f>Github!H$1122</f>
        <v>Algorithms</v>
      </c>
      <c r="H2025" s="13" t="str">
        <f>SUBSTITUTE(Github!L$1122, ";", ", ")</f>
        <v>Array, Greedy, </v>
      </c>
      <c r="I2025" s="10" t="str">
        <f>Github!E$1122</f>
        <v>Hard</v>
      </c>
      <c r="J2025" s="10" t="str">
        <f>IF(TRIM(Github!D$1122)="TRUE","FALSE","TRUE")</f>
        <v>FALSE</v>
      </c>
      <c r="K2025" s="10" t="b">
        <f>Github!M$1122</f>
        <v>0</v>
      </c>
      <c r="L2025" s="10" t="b">
        <f>Github!N$1122</f>
        <v>0</v>
      </c>
      <c r="M2025" s="10" t="str">
        <f>ROUND(Github!O$1122, 2)&amp;"%"</f>
        <v>59.65%</v>
      </c>
      <c r="N2025" s="10">
        <f>Github!P$1122</f>
        <v>3811</v>
      </c>
      <c r="O2025" s="10">
        <f>Github!Q$1122</f>
        <v>6389</v>
      </c>
    </row>
    <row r="2026">
      <c r="A2026" s="10">
        <f>Github!J$1342</f>
        <v>1341</v>
      </c>
      <c r="B2026" s="11" t="str">
        <f>HYPERLINK(CONCAT("http://leetcode.com/problems/",Github!C$1342), Github!B$1342)</f>
        <v>Movie Rating</v>
      </c>
      <c r="C2026" s="10">
        <f>Github!F$1342</f>
        <v>86</v>
      </c>
      <c r="D2026" s="10">
        <f>Github!G$1342</f>
        <v>59</v>
      </c>
      <c r="E2026" s="10">
        <f>Github!F$1342+Github!G$1342</f>
        <v>145</v>
      </c>
      <c r="F2026" s="12">
        <f t="shared" si="1"/>
        <v>1.46</v>
      </c>
      <c r="G2026" s="10" t="str">
        <f>Github!H$1342</f>
        <v>Database</v>
      </c>
      <c r="H2026" s="13" t="str">
        <f>SUBSTITUTE(Github!L$1342, ";", ", ")</f>
        <v>Database, </v>
      </c>
      <c r="I2026" s="10" t="str">
        <f>Github!E$1342</f>
        <v>Medium</v>
      </c>
      <c r="J2026" s="10" t="str">
        <f>IF(TRIM(Github!D$1342)="TRUE","FALSE","TRUE")</f>
        <v>FALSE</v>
      </c>
      <c r="K2026" s="10" t="b">
        <f>Github!M$1342</f>
        <v>0</v>
      </c>
      <c r="L2026" s="10" t="b">
        <f>Github!N$1342</f>
        <v>0</v>
      </c>
      <c r="M2026" s="10" t="str">
        <f>ROUND(Github!O$1342, 2)&amp;"%"</f>
        <v>57.96%</v>
      </c>
      <c r="N2026" s="10">
        <f>Github!P$1342</f>
        <v>17930</v>
      </c>
      <c r="O2026" s="10">
        <f>Github!Q$1342</f>
        <v>30933</v>
      </c>
    </row>
    <row r="2027">
      <c r="A2027" s="10">
        <f>Github!J$1212</f>
        <v>1211</v>
      </c>
      <c r="B2027" s="11" t="str">
        <f>HYPERLINK(CONCAT("http://leetcode.com/problems/",Github!C$1212), Github!B$1212)</f>
        <v>Queries Quality and Percentage</v>
      </c>
      <c r="C2027" s="10">
        <f>Github!F$1212</f>
        <v>85</v>
      </c>
      <c r="D2027" s="10">
        <f>Github!G$1212</f>
        <v>142</v>
      </c>
      <c r="E2027" s="10">
        <f>Github!F$1212+Github!G$1212</f>
        <v>227</v>
      </c>
      <c r="F2027" s="12">
        <f t="shared" si="1"/>
        <v>0.6</v>
      </c>
      <c r="G2027" s="10" t="str">
        <f>Github!H$1212</f>
        <v>Database</v>
      </c>
      <c r="H2027" s="13" t="str">
        <f>SUBSTITUTE(Github!L$1212, ";", ", ")</f>
        <v>Database, </v>
      </c>
      <c r="I2027" s="10" t="str">
        <f>Github!E$1212</f>
        <v>Easy</v>
      </c>
      <c r="J2027" s="10" t="str">
        <f>IF(TRIM(Github!D$1212)="TRUE","FALSE","TRUE")</f>
        <v>FALSE</v>
      </c>
      <c r="K2027" s="10" t="b">
        <f>Github!M$1212</f>
        <v>0</v>
      </c>
      <c r="L2027" s="10" t="b">
        <f>Github!N$1212</f>
        <v>0</v>
      </c>
      <c r="M2027" s="10" t="str">
        <f>ROUND(Github!O$1212, 2)&amp;"%"</f>
        <v>70.68%</v>
      </c>
      <c r="N2027" s="10">
        <f>Github!P$1212</f>
        <v>22877</v>
      </c>
      <c r="O2027" s="10">
        <f>Github!Q$1212</f>
        <v>32369</v>
      </c>
    </row>
    <row r="2028">
      <c r="A2028" s="10">
        <f>Github!J$1556</f>
        <v>1555</v>
      </c>
      <c r="B2028" s="11" t="str">
        <f>HYPERLINK(CONCAT("http://leetcode.com/problems/",Github!C$1556), Github!B$1556)</f>
        <v>Bank Account Summary</v>
      </c>
      <c r="C2028" s="10">
        <f>Github!F$1556</f>
        <v>84</v>
      </c>
      <c r="D2028" s="10">
        <f>Github!G$1556</f>
        <v>21</v>
      </c>
      <c r="E2028" s="10">
        <f>Github!F$1556+Github!G$1556</f>
        <v>105</v>
      </c>
      <c r="F2028" s="12">
        <f t="shared" si="1"/>
        <v>4</v>
      </c>
      <c r="G2028" s="10" t="str">
        <f>Github!H$1556</f>
        <v>Database</v>
      </c>
      <c r="H2028" s="13" t="str">
        <f>SUBSTITUTE(Github!L$1556, ";", ", ")</f>
        <v>Database, </v>
      </c>
      <c r="I2028" s="10" t="str">
        <f>Github!E$1556</f>
        <v>Medium</v>
      </c>
      <c r="J2028" s="10" t="str">
        <f>IF(TRIM(Github!D$1556)="TRUE","FALSE","TRUE")</f>
        <v>FALSE</v>
      </c>
      <c r="K2028" s="10" t="b">
        <f>Github!M$1556</f>
        <v>0</v>
      </c>
      <c r="L2028" s="10" t="b">
        <f>Github!N$1556</f>
        <v>0</v>
      </c>
      <c r="M2028" s="10" t="str">
        <f>ROUND(Github!O$1556, 2)&amp;"%"</f>
        <v>53.32%</v>
      </c>
      <c r="N2028" s="10">
        <f>Github!P$1556</f>
        <v>9918</v>
      </c>
      <c r="O2028" s="10">
        <f>Github!Q$1556</f>
        <v>18602</v>
      </c>
    </row>
    <row r="2029">
      <c r="A2029" s="10">
        <f>Github!J$1662</f>
        <v>1661</v>
      </c>
      <c r="B2029" s="11" t="str">
        <f>HYPERLINK(CONCAT("http://leetcode.com/problems/",Github!C$1662), Github!B$1662)</f>
        <v>Average Time of Process per Machine</v>
      </c>
      <c r="C2029" s="10">
        <f>Github!F$1662</f>
        <v>84</v>
      </c>
      <c r="D2029" s="10">
        <f>Github!G$1662</f>
        <v>19</v>
      </c>
      <c r="E2029" s="10">
        <f>Github!F$1662+Github!G$1662</f>
        <v>103</v>
      </c>
      <c r="F2029" s="12">
        <f t="shared" si="1"/>
        <v>4.42</v>
      </c>
      <c r="G2029" s="10" t="str">
        <f>Github!H$1662</f>
        <v>Database</v>
      </c>
      <c r="H2029" s="13" t="str">
        <f>SUBSTITUTE(Github!L$1662, ";", ", ")</f>
        <v>Database, </v>
      </c>
      <c r="I2029" s="10" t="str">
        <f>Github!E$1662</f>
        <v>Easy</v>
      </c>
      <c r="J2029" s="10" t="str">
        <f>IF(TRIM(Github!D$1662)="TRUE","FALSE","TRUE")</f>
        <v>FALSE</v>
      </c>
      <c r="K2029" s="10" t="b">
        <f>Github!M$1662</f>
        <v>0</v>
      </c>
      <c r="L2029" s="10" t="b">
        <f>Github!N$1662</f>
        <v>0</v>
      </c>
      <c r="M2029" s="10" t="str">
        <f>ROUND(Github!O$1662, 2)&amp;"%"</f>
        <v>79.75%</v>
      </c>
      <c r="N2029" s="10">
        <f>Github!P$1662</f>
        <v>14552</v>
      </c>
      <c r="O2029" s="10">
        <f>Github!Q$1662</f>
        <v>18247</v>
      </c>
    </row>
    <row r="2030">
      <c r="A2030" s="10">
        <f>Github!J$1974</f>
        <v>1973</v>
      </c>
      <c r="B2030" s="11" t="str">
        <f>HYPERLINK(CONCAT("http://leetcode.com/problems/",Github!C$1974), Github!B$1974)</f>
        <v>Count Nodes Equal to Sum of Descendants</v>
      </c>
      <c r="C2030" s="10">
        <f>Github!F$1974</f>
        <v>84</v>
      </c>
      <c r="D2030" s="10">
        <f>Github!G$1974</f>
        <v>2</v>
      </c>
      <c r="E2030" s="10">
        <f>Github!F$1974+Github!G$1974</f>
        <v>86</v>
      </c>
      <c r="F2030" s="12">
        <f t="shared" si="1"/>
        <v>42</v>
      </c>
      <c r="G2030" s="10" t="str">
        <f>Github!H$1974</f>
        <v>Algorithms</v>
      </c>
      <c r="H2030" s="13" t="str">
        <f>SUBSTITUTE(Github!L$1974, ";", ", ")</f>
        <v>Tree, Depth-First Search, Binary Search Tree, Binary Tree, </v>
      </c>
      <c r="I2030" s="10" t="str">
        <f>Github!E$1974</f>
        <v>Medium</v>
      </c>
      <c r="J2030" s="10" t="str">
        <f>IF(TRIM(Github!D$1974)="TRUE","FALSE","TRUE")</f>
        <v>FALSE</v>
      </c>
      <c r="K2030" s="10" t="b">
        <f>Github!M$1974</f>
        <v>0</v>
      </c>
      <c r="L2030" s="10" t="b">
        <f>Github!N$1974</f>
        <v>0</v>
      </c>
      <c r="M2030" s="10" t="str">
        <f>ROUND(Github!O$1974, 2)&amp;"%"</f>
        <v>74.88%</v>
      </c>
      <c r="N2030" s="10">
        <f>Github!P$1974</f>
        <v>4403</v>
      </c>
      <c r="O2030" s="10">
        <f>Github!Q$1974</f>
        <v>5880</v>
      </c>
    </row>
    <row r="2031">
      <c r="A2031" s="10">
        <f>Github!J$2195</f>
        <v>2194</v>
      </c>
      <c r="B2031" s="11" t="str">
        <f>HYPERLINK(CONCAT("http://leetcode.com/problems/",Github!C$2195), Github!B$2195)</f>
        <v>Cells in a Range on an Excel Sheet</v>
      </c>
      <c r="C2031" s="10">
        <f>Github!F$2195</f>
        <v>87</v>
      </c>
      <c r="D2031" s="10">
        <f>Github!G$2195</f>
        <v>24</v>
      </c>
      <c r="E2031" s="10">
        <f>Github!F$2195+Github!G$2195</f>
        <v>111</v>
      </c>
      <c r="F2031" s="12">
        <f t="shared" si="1"/>
        <v>3.63</v>
      </c>
      <c r="G2031" s="10" t="str">
        <f>Github!H$2195</f>
        <v>Algorithms</v>
      </c>
      <c r="H2031" s="13" t="str">
        <f>SUBSTITUTE(Github!L$2195, ";", ", ")</f>
        <v>String, </v>
      </c>
      <c r="I2031" s="10" t="str">
        <f>Github!E$2195</f>
        <v>Easy</v>
      </c>
      <c r="J2031" s="10" t="str">
        <f>IF(TRIM(Github!D$2195)="TRUE","FALSE","TRUE")</f>
        <v>TRUE</v>
      </c>
      <c r="K2031" s="10" t="b">
        <f>Github!M$2195</f>
        <v>0</v>
      </c>
      <c r="L2031" s="10" t="b">
        <f>Github!N$2195</f>
        <v>0</v>
      </c>
      <c r="M2031" s="10" t="str">
        <f>ROUND(Github!O$2195, 2)&amp;"%"</f>
        <v>85.05%</v>
      </c>
      <c r="N2031" s="10">
        <f>Github!P$2195</f>
        <v>15864</v>
      </c>
      <c r="O2031" s="10">
        <f>Github!Q$2195</f>
        <v>18654</v>
      </c>
    </row>
    <row r="2032">
      <c r="A2032" s="10">
        <f>Github!J$352</f>
        <v>351</v>
      </c>
      <c r="B2032" s="11" t="str">
        <f>HYPERLINK(CONCAT("http://leetcode.com/problems/",Github!C$352), Github!B$352)</f>
        <v>Android Unlock Patterns</v>
      </c>
      <c r="C2032" s="10">
        <f>Github!F$352</f>
        <v>84</v>
      </c>
      <c r="D2032" s="10">
        <f>Github!G$352</f>
        <v>73</v>
      </c>
      <c r="E2032" s="10">
        <f>Github!F$352+Github!G$352</f>
        <v>157</v>
      </c>
      <c r="F2032" s="12">
        <f t="shared" si="1"/>
        <v>1.15</v>
      </c>
      <c r="G2032" s="10" t="str">
        <f>Github!H$352</f>
        <v>Algorithms</v>
      </c>
      <c r="H2032" s="13" t="str">
        <f>SUBSTITUTE(Github!L$352, ";", ", ")</f>
        <v>Dynamic Programming, Backtracking, </v>
      </c>
      <c r="I2032" s="10" t="str">
        <f>Github!E$352</f>
        <v>Medium</v>
      </c>
      <c r="J2032" s="10" t="str">
        <f>IF(TRIM(Github!D$352)="TRUE","FALSE","TRUE")</f>
        <v>FALSE</v>
      </c>
      <c r="K2032" s="10" t="b">
        <f>Github!M$352</f>
        <v>0</v>
      </c>
      <c r="L2032" s="10" t="b">
        <f>Github!N$352</f>
        <v>0</v>
      </c>
      <c r="M2032" s="10" t="str">
        <f>ROUND(Github!O$352, 2)&amp;"%"</f>
        <v>50.88%</v>
      </c>
      <c r="N2032" s="10">
        <f>Github!P$352</f>
        <v>62533</v>
      </c>
      <c r="O2032" s="10">
        <f>Github!Q$352</f>
        <v>122909</v>
      </c>
    </row>
    <row r="2033">
      <c r="A2033" s="10">
        <f>Github!J$470</f>
        <v>469</v>
      </c>
      <c r="B2033" s="11" t="str">
        <f>HYPERLINK(CONCAT("http://leetcode.com/problems/",Github!C$470), Github!B$470)</f>
        <v>Convex Polygon</v>
      </c>
      <c r="C2033" s="10">
        <f>Github!F$470</f>
        <v>83</v>
      </c>
      <c r="D2033" s="10">
        <f>Github!G$470</f>
        <v>214</v>
      </c>
      <c r="E2033" s="10">
        <f>Github!F$470+Github!G$470</f>
        <v>297</v>
      </c>
      <c r="F2033" s="12">
        <f t="shared" si="1"/>
        <v>0.39</v>
      </c>
      <c r="G2033" s="10" t="str">
        <f>Github!H$470</f>
        <v>Algorithms</v>
      </c>
      <c r="H2033" s="13" t="str">
        <f>SUBSTITUTE(Github!L$470, ";", ", ")</f>
        <v>Math, Geometry, </v>
      </c>
      <c r="I2033" s="10" t="str">
        <f>Github!E$470</f>
        <v>Medium</v>
      </c>
      <c r="J2033" s="10" t="str">
        <f>IF(TRIM(Github!D$470)="TRUE","FALSE","TRUE")</f>
        <v>FALSE</v>
      </c>
      <c r="K2033" s="10" t="b">
        <f>Github!M$470</f>
        <v>0</v>
      </c>
      <c r="L2033" s="10" t="b">
        <f>Github!N$470</f>
        <v>0</v>
      </c>
      <c r="M2033" s="10" t="str">
        <f>ROUND(Github!O$470, 2)&amp;"%"</f>
        <v>38.22%</v>
      </c>
      <c r="N2033" s="10">
        <f>Github!P$470</f>
        <v>9438</v>
      </c>
      <c r="O2033" s="10">
        <f>Github!Q$470</f>
        <v>24696</v>
      </c>
    </row>
    <row r="2034">
      <c r="A2034" s="10">
        <f>Github!J$579</f>
        <v>578</v>
      </c>
      <c r="B2034" s="11" t="str">
        <f>HYPERLINK(CONCAT("http://leetcode.com/problems/",Github!C$579), Github!B$579)</f>
        <v>Get Highest Answer Rate Question</v>
      </c>
      <c r="C2034" s="10">
        <f>Github!F$579</f>
        <v>83</v>
      </c>
      <c r="D2034" s="10">
        <f>Github!G$579</f>
        <v>788</v>
      </c>
      <c r="E2034" s="10">
        <f>Github!F$579+Github!G$579</f>
        <v>871</v>
      </c>
      <c r="F2034" s="12">
        <f t="shared" si="1"/>
        <v>0.11</v>
      </c>
      <c r="G2034" s="10" t="str">
        <f>Github!H$579</f>
        <v>Database</v>
      </c>
      <c r="H2034" s="13" t="str">
        <f>SUBSTITUTE(Github!L$579, ";", ", ")</f>
        <v>Database, </v>
      </c>
      <c r="I2034" s="10" t="str">
        <f>Github!E$579</f>
        <v>Medium</v>
      </c>
      <c r="J2034" s="10" t="str">
        <f>IF(TRIM(Github!D$579)="TRUE","FALSE","TRUE")</f>
        <v>FALSE</v>
      </c>
      <c r="K2034" s="10" t="b">
        <f>Github!M$579</f>
        <v>0</v>
      </c>
      <c r="L2034" s="10" t="b">
        <f>Github!N$579</f>
        <v>0</v>
      </c>
      <c r="M2034" s="10" t="str">
        <f>ROUND(Github!O$579, 2)&amp;"%"</f>
        <v>43%</v>
      </c>
      <c r="N2034" s="10">
        <f>Github!P$579</f>
        <v>38079</v>
      </c>
      <c r="O2034" s="10">
        <f>Github!Q$579</f>
        <v>88558</v>
      </c>
    </row>
    <row r="2035">
      <c r="A2035" s="10">
        <f>Github!J$1175</f>
        <v>1174</v>
      </c>
      <c r="B2035" s="11" t="str">
        <f>HYPERLINK(CONCAT("http://leetcode.com/problems/",Github!C$1175), Github!B$1175)</f>
        <v>Immediate Food Delivery II</v>
      </c>
      <c r="C2035" s="10">
        <f>Github!F$1175</f>
        <v>83</v>
      </c>
      <c r="D2035" s="10">
        <f>Github!G$1175</f>
        <v>43</v>
      </c>
      <c r="E2035" s="10">
        <f>Github!F$1175+Github!G$1175</f>
        <v>126</v>
      </c>
      <c r="F2035" s="12">
        <f t="shared" si="1"/>
        <v>1.93</v>
      </c>
      <c r="G2035" s="10" t="str">
        <f>Github!H$1175</f>
        <v>Database</v>
      </c>
      <c r="H2035" s="13" t="str">
        <f>SUBSTITUTE(Github!L$1175, ";", ", ")</f>
        <v>Database, </v>
      </c>
      <c r="I2035" s="10" t="str">
        <f>Github!E$1175</f>
        <v>Medium</v>
      </c>
      <c r="J2035" s="10" t="str">
        <f>IF(TRIM(Github!D$1175)="TRUE","FALSE","TRUE")</f>
        <v>FALSE</v>
      </c>
      <c r="K2035" s="10" t="b">
        <f>Github!M$1175</f>
        <v>0</v>
      </c>
      <c r="L2035" s="10" t="b">
        <f>Github!N$1175</f>
        <v>0</v>
      </c>
      <c r="M2035" s="10" t="str">
        <f>ROUND(Github!O$1175, 2)&amp;"%"</f>
        <v>63.6%</v>
      </c>
      <c r="N2035" s="10">
        <f>Github!P$1175</f>
        <v>21471</v>
      </c>
      <c r="O2035" s="10">
        <f>Github!Q$1175</f>
        <v>33758</v>
      </c>
    </row>
    <row r="2036">
      <c r="A2036" s="10">
        <f>Github!J$1427</f>
        <v>1426</v>
      </c>
      <c r="B2036" s="11" t="str">
        <f>HYPERLINK(CONCAT("http://leetcode.com/problems/",Github!C$1427), Github!B$1427)</f>
        <v>Counting Elements</v>
      </c>
      <c r="C2036" s="10">
        <f>Github!F$1427</f>
        <v>83</v>
      </c>
      <c r="D2036" s="10">
        <f>Github!G$1427</f>
        <v>16</v>
      </c>
      <c r="E2036" s="10">
        <f>Github!F$1427+Github!G$1427</f>
        <v>99</v>
      </c>
      <c r="F2036" s="12">
        <f t="shared" si="1"/>
        <v>5.19</v>
      </c>
      <c r="G2036" s="10" t="str">
        <f>Github!H$1427</f>
        <v>Algorithms</v>
      </c>
      <c r="H2036" s="13" t="str">
        <f>SUBSTITUTE(Github!L$1427, ";", ", ")</f>
        <v>Array, Hash Table, </v>
      </c>
      <c r="I2036" s="10" t="str">
        <f>Github!E$1427</f>
        <v>Easy</v>
      </c>
      <c r="J2036" s="10" t="str">
        <f>IF(TRIM(Github!D$1427)="TRUE","FALSE","TRUE")</f>
        <v>FALSE</v>
      </c>
      <c r="K2036" s="10" t="b">
        <f>Github!M$1427</f>
        <v>1</v>
      </c>
      <c r="L2036" s="10" t="b">
        <f>Github!N$1427</f>
        <v>0</v>
      </c>
      <c r="M2036" s="10" t="str">
        <f>ROUND(Github!O$1427, 2)&amp;"%"</f>
        <v>59.46%</v>
      </c>
      <c r="N2036" s="10">
        <f>Github!P$1427</f>
        <v>89327</v>
      </c>
      <c r="O2036" s="10">
        <f>Github!Q$1427</f>
        <v>150233</v>
      </c>
    </row>
    <row r="2037">
      <c r="A2037" s="10">
        <f>Github!J$1875</f>
        <v>1874</v>
      </c>
      <c r="B2037" s="11" t="str">
        <f>HYPERLINK(CONCAT("http://leetcode.com/problems/",Github!C$1875), Github!B$1875)</f>
        <v>Minimize Product Sum of Two Arrays</v>
      </c>
      <c r="C2037" s="10">
        <f>Github!F$1875</f>
        <v>83</v>
      </c>
      <c r="D2037" s="10">
        <f>Github!G$1875</f>
        <v>9</v>
      </c>
      <c r="E2037" s="10">
        <f>Github!F$1875+Github!G$1875</f>
        <v>92</v>
      </c>
      <c r="F2037" s="12">
        <f t="shared" si="1"/>
        <v>9.22</v>
      </c>
      <c r="G2037" s="10" t="str">
        <f>Github!H$1875</f>
        <v>Algorithms</v>
      </c>
      <c r="H2037" s="13" t="str">
        <f>SUBSTITUTE(Github!L$1875, ";", ", ")</f>
        <v>Array, Greedy, Sorting, </v>
      </c>
      <c r="I2037" s="10" t="str">
        <f>Github!E$1875</f>
        <v>Medium</v>
      </c>
      <c r="J2037" s="10" t="str">
        <f>IF(TRIM(Github!D$1875)="TRUE","FALSE","TRUE")</f>
        <v>FALSE</v>
      </c>
      <c r="K2037" s="10" t="b">
        <f>Github!M$1875</f>
        <v>0</v>
      </c>
      <c r="L2037" s="10" t="b">
        <f>Github!N$1875</f>
        <v>0</v>
      </c>
      <c r="M2037" s="10" t="str">
        <f>ROUND(Github!O$1875, 2)&amp;"%"</f>
        <v>89.49%</v>
      </c>
      <c r="N2037" s="10">
        <f>Github!P$1875</f>
        <v>5796</v>
      </c>
      <c r="O2037" s="10">
        <f>Github!Q$1875</f>
        <v>6477</v>
      </c>
    </row>
    <row r="2038">
      <c r="A2038" s="10">
        <f>Github!J$790</f>
        <v>789</v>
      </c>
      <c r="B2038" s="11" t="str">
        <f>HYPERLINK(CONCAT("http://leetcode.com/problems/",Github!C$790), Github!B$790)</f>
        <v>Escape The Ghosts</v>
      </c>
      <c r="C2038" s="10">
        <f>Github!F$790</f>
        <v>82</v>
      </c>
      <c r="D2038" s="10">
        <f>Github!G$790</f>
        <v>13</v>
      </c>
      <c r="E2038" s="10">
        <f>Github!F$790+Github!G$790</f>
        <v>95</v>
      </c>
      <c r="F2038" s="12">
        <f t="shared" si="1"/>
        <v>6.31</v>
      </c>
      <c r="G2038" s="10" t="str">
        <f>Github!H$790</f>
        <v>Algorithms</v>
      </c>
      <c r="H2038" s="13" t="str">
        <f>SUBSTITUTE(Github!L$790, ";", ", ")</f>
        <v>Array, Math, </v>
      </c>
      <c r="I2038" s="10" t="str">
        <f>Github!E$790</f>
        <v>Medium</v>
      </c>
      <c r="J2038" s="10" t="str">
        <f>IF(TRIM(Github!D$790)="TRUE","FALSE","TRUE")</f>
        <v>TRUE</v>
      </c>
      <c r="K2038" s="10" t="b">
        <f>Github!M$790</f>
        <v>1</v>
      </c>
      <c r="L2038" s="10" t="b">
        <f>Github!N$790</f>
        <v>0</v>
      </c>
      <c r="M2038" s="10" t="str">
        <f>ROUND(Github!O$790, 2)&amp;"%"</f>
        <v>60.05%</v>
      </c>
      <c r="N2038" s="10">
        <f>Github!P$790</f>
        <v>20574</v>
      </c>
      <c r="O2038" s="10">
        <f>Github!Q$790</f>
        <v>34259</v>
      </c>
    </row>
    <row r="2039">
      <c r="A2039" s="10">
        <f>Github!J$1086</f>
        <v>1085</v>
      </c>
      <c r="B2039" s="11" t="str">
        <f>HYPERLINK(CONCAT("http://leetcode.com/problems/",Github!C$1086), Github!B$1086)</f>
        <v>Sum of Digits in the Minimum Number</v>
      </c>
      <c r="C2039" s="10">
        <f>Github!F$1086</f>
        <v>81</v>
      </c>
      <c r="D2039" s="10">
        <f>Github!G$1086</f>
        <v>138</v>
      </c>
      <c r="E2039" s="10">
        <f>Github!F$1086+Github!G$1086</f>
        <v>219</v>
      </c>
      <c r="F2039" s="12">
        <f t="shared" si="1"/>
        <v>0.59</v>
      </c>
      <c r="G2039" s="10" t="str">
        <f>Github!H$1086</f>
        <v>Algorithms</v>
      </c>
      <c r="H2039" s="13" t="str">
        <f>SUBSTITUTE(Github!L$1086, ";", ", ")</f>
        <v>Array, Math, </v>
      </c>
      <c r="I2039" s="10" t="str">
        <f>Github!E$1086</f>
        <v>Easy</v>
      </c>
      <c r="J2039" s="10" t="str">
        <f>IF(TRIM(Github!D$1086)="TRUE","FALSE","TRUE")</f>
        <v>FALSE</v>
      </c>
      <c r="K2039" s="10" t="b">
        <f>Github!M$1086</f>
        <v>0</v>
      </c>
      <c r="L2039" s="10" t="b">
        <f>Github!N$1086</f>
        <v>0</v>
      </c>
      <c r="M2039" s="10" t="str">
        <f>ROUND(Github!O$1086, 2)&amp;"%"</f>
        <v>75.56%</v>
      </c>
      <c r="N2039" s="10">
        <f>Github!P$1086</f>
        <v>19484</v>
      </c>
      <c r="O2039" s="10">
        <f>Github!Q$1086</f>
        <v>25786</v>
      </c>
    </row>
    <row r="2040">
      <c r="A2040" s="10">
        <f>Github!J$1160</f>
        <v>1159</v>
      </c>
      <c r="B2040" s="11" t="str">
        <f>HYPERLINK(CONCAT("http://leetcode.com/problems/",Github!C$1160), Github!B$1160)</f>
        <v>Market Analysis II</v>
      </c>
      <c r="C2040" s="10">
        <f>Github!F$1160</f>
        <v>81</v>
      </c>
      <c r="D2040" s="10">
        <f>Github!G$1160</f>
        <v>38</v>
      </c>
      <c r="E2040" s="10">
        <f>Github!F$1160+Github!G$1160</f>
        <v>119</v>
      </c>
      <c r="F2040" s="12">
        <f t="shared" si="1"/>
        <v>2.13</v>
      </c>
      <c r="G2040" s="10" t="str">
        <f>Github!H$1160</f>
        <v>Database</v>
      </c>
      <c r="H2040" s="13" t="str">
        <f>SUBSTITUTE(Github!L$1160, ";", ", ")</f>
        <v>Database, </v>
      </c>
      <c r="I2040" s="10" t="str">
        <f>Github!E$1160</f>
        <v>Hard</v>
      </c>
      <c r="J2040" s="10" t="str">
        <f>IF(TRIM(Github!D$1160)="TRUE","FALSE","TRUE")</f>
        <v>FALSE</v>
      </c>
      <c r="K2040" s="10" t="b">
        <f>Github!M$1160</f>
        <v>0</v>
      </c>
      <c r="L2040" s="10" t="b">
        <f>Github!N$1160</f>
        <v>0</v>
      </c>
      <c r="M2040" s="10" t="str">
        <f>ROUND(Github!O$1160, 2)&amp;"%"</f>
        <v>57.65%</v>
      </c>
      <c r="N2040" s="10">
        <f>Github!P$1160</f>
        <v>12973</v>
      </c>
      <c r="O2040" s="10">
        <f>Github!Q$1160</f>
        <v>22504</v>
      </c>
    </row>
    <row r="2041">
      <c r="A2041" s="10">
        <f>Github!J$1572</f>
        <v>1571</v>
      </c>
      <c r="B2041" s="11" t="str">
        <f>HYPERLINK(CONCAT("http://leetcode.com/problems/",Github!C$1572), Github!B$1572)</f>
        <v>Warehouse Manager</v>
      </c>
      <c r="C2041" s="10">
        <f>Github!F$1572</f>
        <v>81</v>
      </c>
      <c r="D2041" s="10">
        <f>Github!G$1572</f>
        <v>7</v>
      </c>
      <c r="E2041" s="10">
        <f>Github!F$1572+Github!G$1572</f>
        <v>88</v>
      </c>
      <c r="F2041" s="12">
        <f t="shared" si="1"/>
        <v>11.57</v>
      </c>
      <c r="G2041" s="10" t="str">
        <f>Github!H$1572</f>
        <v>Database</v>
      </c>
      <c r="H2041" s="13" t="str">
        <f>SUBSTITUTE(Github!L$1572, ";", ", ")</f>
        <v>Database, </v>
      </c>
      <c r="I2041" s="10" t="str">
        <f>Github!E$1572</f>
        <v>Easy</v>
      </c>
      <c r="J2041" s="10" t="str">
        <f>IF(TRIM(Github!D$1572)="TRUE","FALSE","TRUE")</f>
        <v>FALSE</v>
      </c>
      <c r="K2041" s="10" t="b">
        <f>Github!M$1572</f>
        <v>0</v>
      </c>
      <c r="L2041" s="10" t="b">
        <f>Github!N$1572</f>
        <v>0</v>
      </c>
      <c r="M2041" s="10" t="str">
        <f>ROUND(Github!O$1572, 2)&amp;"%"</f>
        <v>89.75%</v>
      </c>
      <c r="N2041" s="10">
        <f>Github!P$1572</f>
        <v>18578</v>
      </c>
      <c r="O2041" s="10">
        <f>Github!Q$1572</f>
        <v>20699</v>
      </c>
    </row>
    <row r="2042">
      <c r="A2042" s="10">
        <f>Github!J$1069</f>
        <v>1068</v>
      </c>
      <c r="B2042" s="11" t="str">
        <f>HYPERLINK(CONCAT("http://leetcode.com/problems/",Github!C$1069), Github!B$1069)</f>
        <v>Product Sales Analysis I</v>
      </c>
      <c r="C2042" s="10">
        <f>Github!F$1069</f>
        <v>80</v>
      </c>
      <c r="D2042" s="10">
        <f>Github!G$1069</f>
        <v>89</v>
      </c>
      <c r="E2042" s="10">
        <f>Github!F$1069+Github!G$1069</f>
        <v>169</v>
      </c>
      <c r="F2042" s="12">
        <f t="shared" si="1"/>
        <v>0.9</v>
      </c>
      <c r="G2042" s="10" t="str">
        <f>Github!H$1069</f>
        <v>Database</v>
      </c>
      <c r="H2042" s="13" t="str">
        <f>SUBSTITUTE(Github!L$1069, ";", ", ")</f>
        <v>Database, </v>
      </c>
      <c r="I2042" s="10" t="str">
        <f>Github!E$1069</f>
        <v>Easy</v>
      </c>
      <c r="J2042" s="10" t="str">
        <f>IF(TRIM(Github!D$1069)="TRUE","FALSE","TRUE")</f>
        <v>FALSE</v>
      </c>
      <c r="K2042" s="10" t="b">
        <f>Github!M$1069</f>
        <v>0</v>
      </c>
      <c r="L2042" s="10" t="b">
        <f>Github!N$1069</f>
        <v>0</v>
      </c>
      <c r="M2042" s="10" t="str">
        <f>ROUND(Github!O$1069, 2)&amp;"%"</f>
        <v>81.05%</v>
      </c>
      <c r="N2042" s="10">
        <f>Github!P$1069</f>
        <v>46189</v>
      </c>
      <c r="O2042" s="10">
        <f>Github!Q$1069</f>
        <v>56986</v>
      </c>
    </row>
    <row r="2043">
      <c r="A2043" s="10">
        <f>Github!J$1533</f>
        <v>1532</v>
      </c>
      <c r="B2043" s="11" t="str">
        <f>HYPERLINK(CONCAT("http://leetcode.com/problems/",Github!C$1533), Github!B$1533)</f>
        <v>The Most Recent Three Orders</v>
      </c>
      <c r="C2043" s="10">
        <f>Github!F$1533</f>
        <v>80</v>
      </c>
      <c r="D2043" s="10">
        <f>Github!G$1533</f>
        <v>5</v>
      </c>
      <c r="E2043" s="10">
        <f>Github!F$1533+Github!G$1533</f>
        <v>85</v>
      </c>
      <c r="F2043" s="12">
        <f t="shared" si="1"/>
        <v>16</v>
      </c>
      <c r="G2043" s="10" t="str">
        <f>Github!H$1533</f>
        <v>Database</v>
      </c>
      <c r="H2043" s="13" t="str">
        <f>SUBSTITUTE(Github!L$1533, ";", ", ")</f>
        <v>Database, </v>
      </c>
      <c r="I2043" s="10" t="str">
        <f>Github!E$1533</f>
        <v>Medium</v>
      </c>
      <c r="J2043" s="10" t="str">
        <f>IF(TRIM(Github!D$1533)="TRUE","FALSE","TRUE")</f>
        <v>FALSE</v>
      </c>
      <c r="K2043" s="10" t="b">
        <f>Github!M$1533</f>
        <v>0</v>
      </c>
      <c r="L2043" s="10" t="b">
        <f>Github!N$1533</f>
        <v>0</v>
      </c>
      <c r="M2043" s="10" t="str">
        <f>ROUND(Github!O$1533, 2)&amp;"%"</f>
        <v>71.2%</v>
      </c>
      <c r="N2043" s="10">
        <f>Github!P$1533</f>
        <v>14221</v>
      </c>
      <c r="O2043" s="10">
        <f>Github!Q$1533</f>
        <v>19974</v>
      </c>
    </row>
    <row r="2044">
      <c r="A2044" s="10">
        <f>Github!J$1534</f>
        <v>1533</v>
      </c>
      <c r="B2044" s="11" t="str">
        <f>HYPERLINK(CONCAT("http://leetcode.com/problems/",Github!C$1534), Github!B$1534)</f>
        <v>Find the Index of the Large Integer</v>
      </c>
      <c r="C2044" s="10">
        <f>Github!F$1534</f>
        <v>80</v>
      </c>
      <c r="D2044" s="10">
        <f>Github!G$1534</f>
        <v>11</v>
      </c>
      <c r="E2044" s="10">
        <f>Github!F$1534+Github!G$1534</f>
        <v>91</v>
      </c>
      <c r="F2044" s="12">
        <f t="shared" si="1"/>
        <v>7.27</v>
      </c>
      <c r="G2044" s="10" t="str">
        <f>Github!H$1534</f>
        <v>Algorithms</v>
      </c>
      <c r="H2044" s="13" t="str">
        <f>SUBSTITUTE(Github!L$1534, ";", ", ")</f>
        <v>Array, Binary Search, Interactive, </v>
      </c>
      <c r="I2044" s="10" t="str">
        <f>Github!E$1534</f>
        <v>Medium</v>
      </c>
      <c r="J2044" s="10" t="str">
        <f>IF(TRIM(Github!D$1534)="TRUE","FALSE","TRUE")</f>
        <v>FALSE</v>
      </c>
      <c r="K2044" s="10" t="b">
        <f>Github!M$1534</f>
        <v>0</v>
      </c>
      <c r="L2044" s="10" t="b">
        <f>Github!N$1534</f>
        <v>0</v>
      </c>
      <c r="M2044" s="10" t="str">
        <f>ROUND(Github!O$1534, 2)&amp;"%"</f>
        <v>50.72%</v>
      </c>
      <c r="N2044" s="10">
        <f>Github!P$1534</f>
        <v>3859</v>
      </c>
      <c r="O2044" s="10">
        <f>Github!Q$1534</f>
        <v>7609</v>
      </c>
    </row>
    <row r="2045">
      <c r="A2045" s="10">
        <f>Github!J$1619</f>
        <v>1618</v>
      </c>
      <c r="B2045" s="11" t="str">
        <f>HYPERLINK(CONCAT("http://leetcode.com/problems/",Github!C$1619), Github!B$1619)</f>
        <v>Maximum Font to Fit a Sentence in a Screen</v>
      </c>
      <c r="C2045" s="10">
        <f>Github!F$1619</f>
        <v>80</v>
      </c>
      <c r="D2045" s="10">
        <f>Github!G$1619</f>
        <v>14</v>
      </c>
      <c r="E2045" s="10">
        <f>Github!F$1619+Github!G$1619</f>
        <v>94</v>
      </c>
      <c r="F2045" s="12">
        <f t="shared" si="1"/>
        <v>5.71</v>
      </c>
      <c r="G2045" s="10" t="str">
        <f>Github!H$1619</f>
        <v>Algorithms</v>
      </c>
      <c r="H2045" s="13" t="str">
        <f>SUBSTITUTE(Github!L$1619, ";", ", ")</f>
        <v>Array, String, Binary Search, Interactive, </v>
      </c>
      <c r="I2045" s="10" t="str">
        <f>Github!E$1619</f>
        <v>Medium</v>
      </c>
      <c r="J2045" s="10" t="str">
        <f>IF(TRIM(Github!D$1619)="TRUE","FALSE","TRUE")</f>
        <v>FALSE</v>
      </c>
      <c r="K2045" s="10" t="b">
        <f>Github!M$1619</f>
        <v>0</v>
      </c>
      <c r="L2045" s="10" t="b">
        <f>Github!N$1619</f>
        <v>0</v>
      </c>
      <c r="M2045" s="10" t="str">
        <f>ROUND(Github!O$1619, 2)&amp;"%"</f>
        <v>57.78%</v>
      </c>
      <c r="N2045" s="10">
        <f>Github!P$1619</f>
        <v>4688</v>
      </c>
      <c r="O2045" s="10">
        <f>Github!Q$1619</f>
        <v>8114</v>
      </c>
    </row>
    <row r="2046">
      <c r="A2046" s="10">
        <f>Github!J$1745</f>
        <v>1744</v>
      </c>
      <c r="B2046" s="11" t="str">
        <f>HYPERLINK(CONCAT("http://leetcode.com/problems/",Github!C$1745), Github!B$1745)</f>
        <v>Can You Eat Your Favorite Candy on Your Favorite Day?</v>
      </c>
      <c r="C2046" s="10">
        <f>Github!F$1745</f>
        <v>81</v>
      </c>
      <c r="D2046" s="10">
        <f>Github!G$1745</f>
        <v>257</v>
      </c>
      <c r="E2046" s="10">
        <f>Github!F$1745+Github!G$1745</f>
        <v>338</v>
      </c>
      <c r="F2046" s="12">
        <f t="shared" si="1"/>
        <v>0.32</v>
      </c>
      <c r="G2046" s="10" t="str">
        <f>Github!H$1745</f>
        <v>Algorithms</v>
      </c>
      <c r="H2046" s="13" t="str">
        <f>SUBSTITUTE(Github!L$1745, ";", ", ")</f>
        <v>Array, Prefix Sum, </v>
      </c>
      <c r="I2046" s="10" t="str">
        <f>Github!E$1745</f>
        <v>Medium</v>
      </c>
      <c r="J2046" s="10" t="str">
        <f>IF(TRIM(Github!D$1745)="TRUE","FALSE","TRUE")</f>
        <v>TRUE</v>
      </c>
      <c r="K2046" s="10" t="b">
        <f>Github!M$1745</f>
        <v>0</v>
      </c>
      <c r="L2046" s="10" t="b">
        <f>Github!N$1745</f>
        <v>0</v>
      </c>
      <c r="M2046" s="10" t="str">
        <f>ROUND(Github!O$1745, 2)&amp;"%"</f>
        <v>32.07%</v>
      </c>
      <c r="N2046" s="10">
        <f>Github!P$1745</f>
        <v>7685</v>
      </c>
      <c r="O2046" s="10">
        <f>Github!Q$1745</f>
        <v>23964</v>
      </c>
    </row>
    <row r="2047">
      <c r="A2047" s="10">
        <f>Github!J$801</f>
        <v>800</v>
      </c>
      <c r="B2047" s="11" t="str">
        <f>HYPERLINK(CONCAT("http://leetcode.com/problems/",Github!C$801), Github!B$801)</f>
        <v>Similar RGB Color</v>
      </c>
      <c r="C2047" s="10">
        <f>Github!F$801</f>
        <v>79</v>
      </c>
      <c r="D2047" s="10">
        <f>Github!G$801</f>
        <v>483</v>
      </c>
      <c r="E2047" s="10">
        <f>Github!F$801+Github!G$801</f>
        <v>562</v>
      </c>
      <c r="F2047" s="12">
        <f t="shared" si="1"/>
        <v>0.16</v>
      </c>
      <c r="G2047" s="10" t="str">
        <f>Github!H$801</f>
        <v>Algorithms</v>
      </c>
      <c r="H2047" s="13" t="str">
        <f>SUBSTITUTE(Github!L$801, ";", ", ")</f>
        <v>Math, String, Enumeration, </v>
      </c>
      <c r="I2047" s="10" t="str">
        <f>Github!E$801</f>
        <v>Easy</v>
      </c>
      <c r="J2047" s="10" t="str">
        <f>IF(TRIM(Github!D$801)="TRUE","FALSE","TRUE")</f>
        <v>FALSE</v>
      </c>
      <c r="K2047" s="10" t="b">
        <f>Github!M$801</f>
        <v>0</v>
      </c>
      <c r="L2047" s="10" t="b">
        <f>Github!N$801</f>
        <v>0</v>
      </c>
      <c r="M2047" s="10" t="str">
        <f>ROUND(Github!O$801, 2)&amp;"%"</f>
        <v>63.65%</v>
      </c>
      <c r="N2047" s="10">
        <f>Github!P$801</f>
        <v>12436</v>
      </c>
      <c r="O2047" s="10">
        <f>Github!Q$801</f>
        <v>19538</v>
      </c>
    </row>
    <row r="2048">
      <c r="A2048" s="10">
        <f>Github!J$1149</f>
        <v>1148</v>
      </c>
      <c r="B2048" s="11" t="str">
        <f>HYPERLINK(CONCAT("http://leetcode.com/problems/",Github!C$1149), Github!B$1149)</f>
        <v>Article Views I</v>
      </c>
      <c r="C2048" s="10">
        <f>Github!F$1149</f>
        <v>79</v>
      </c>
      <c r="D2048" s="10">
        <f>Github!G$1149</f>
        <v>12</v>
      </c>
      <c r="E2048" s="10">
        <f>Github!F$1149+Github!G$1149</f>
        <v>91</v>
      </c>
      <c r="F2048" s="12">
        <f t="shared" si="1"/>
        <v>6.58</v>
      </c>
      <c r="G2048" s="10" t="str">
        <f>Github!H$1149</f>
        <v>Database</v>
      </c>
      <c r="H2048" s="13" t="str">
        <f>SUBSTITUTE(Github!L$1149, ";", ", ")</f>
        <v>Database, </v>
      </c>
      <c r="I2048" s="10" t="str">
        <f>Github!E$1149</f>
        <v>Easy</v>
      </c>
      <c r="J2048" s="10" t="str">
        <f>IF(TRIM(Github!D$1149)="TRUE","FALSE","TRUE")</f>
        <v>FALSE</v>
      </c>
      <c r="K2048" s="10" t="b">
        <f>Github!M$1149</f>
        <v>0</v>
      </c>
      <c r="L2048" s="10" t="b">
        <f>Github!N$1149</f>
        <v>0</v>
      </c>
      <c r="M2048" s="10" t="str">
        <f>ROUND(Github!O$1149, 2)&amp;"%"</f>
        <v>76.72%</v>
      </c>
      <c r="N2048" s="10">
        <f>Github!P$1149</f>
        <v>31997</v>
      </c>
      <c r="O2048" s="10">
        <f>Github!Q$1149</f>
        <v>41708</v>
      </c>
    </row>
    <row r="2049">
      <c r="A2049" s="10">
        <f>Github!J$1768</f>
        <v>1767</v>
      </c>
      <c r="B2049" s="11" t="str">
        <f>HYPERLINK(CONCAT("http://leetcode.com/problems/",Github!C$1768), Github!B$1768)</f>
        <v>Find the Subtasks That Did Not Execute</v>
      </c>
      <c r="C2049" s="10">
        <f>Github!F$1768</f>
        <v>79</v>
      </c>
      <c r="D2049" s="10">
        <f>Github!G$1768</f>
        <v>7</v>
      </c>
      <c r="E2049" s="10">
        <f>Github!F$1768+Github!G$1768</f>
        <v>86</v>
      </c>
      <c r="F2049" s="12">
        <f t="shared" si="1"/>
        <v>11.29</v>
      </c>
      <c r="G2049" s="10" t="str">
        <f>Github!H$1768</f>
        <v>Database</v>
      </c>
      <c r="H2049" s="13" t="str">
        <f>SUBSTITUTE(Github!L$1768, ";", ", ")</f>
        <v>Database, </v>
      </c>
      <c r="I2049" s="10" t="str">
        <f>Github!E$1768</f>
        <v>Hard</v>
      </c>
      <c r="J2049" s="10" t="str">
        <f>IF(TRIM(Github!D$1768)="TRUE","FALSE","TRUE")</f>
        <v>FALSE</v>
      </c>
      <c r="K2049" s="10" t="b">
        <f>Github!M$1768</f>
        <v>0</v>
      </c>
      <c r="L2049" s="10" t="b">
        <f>Github!N$1768</f>
        <v>0</v>
      </c>
      <c r="M2049" s="10" t="str">
        <f>ROUND(Github!O$1768, 2)&amp;"%"</f>
        <v>83.76%</v>
      </c>
      <c r="N2049" s="10">
        <f>Github!P$1768</f>
        <v>4264</v>
      </c>
      <c r="O2049" s="10">
        <f>Github!Q$1768</f>
        <v>5091</v>
      </c>
    </row>
    <row r="2050">
      <c r="A2050" s="10">
        <f>Github!J$1959</f>
        <v>1958</v>
      </c>
      <c r="B2050" s="11" t="str">
        <f>HYPERLINK(CONCAT("http://leetcode.com/problems/",Github!C$1959), Github!B$1959)</f>
        <v>Check if Move is Legal</v>
      </c>
      <c r="C2050" s="10">
        <f>Github!F$1959</f>
        <v>78</v>
      </c>
      <c r="D2050" s="10">
        <f>Github!G$1959</f>
        <v>166</v>
      </c>
      <c r="E2050" s="10">
        <f>Github!F$1959+Github!G$1959</f>
        <v>244</v>
      </c>
      <c r="F2050" s="12">
        <f t="shared" si="1"/>
        <v>0.47</v>
      </c>
      <c r="G2050" s="10" t="str">
        <f>Github!H$1959</f>
        <v>Algorithms</v>
      </c>
      <c r="H2050" s="13" t="str">
        <f>SUBSTITUTE(Github!L$1959, ";", ", ")</f>
        <v>Array, Matrix, Enumeration, </v>
      </c>
      <c r="I2050" s="10" t="str">
        <f>Github!E$1959</f>
        <v>Medium</v>
      </c>
      <c r="J2050" s="10" t="str">
        <f>IF(TRIM(Github!D$1959)="TRUE","FALSE","TRUE")</f>
        <v>TRUE</v>
      </c>
      <c r="K2050" s="10" t="b">
        <f>Github!M$1959</f>
        <v>0</v>
      </c>
      <c r="L2050" s="10" t="b">
        <f>Github!N$1959</f>
        <v>0</v>
      </c>
      <c r="M2050" s="10" t="str">
        <f>ROUND(Github!O$1959, 2)&amp;"%"</f>
        <v>43.09%</v>
      </c>
      <c r="N2050" s="10">
        <f>Github!P$1959</f>
        <v>6682</v>
      </c>
      <c r="O2050" s="10">
        <f>Github!Q$1959</f>
        <v>15508</v>
      </c>
    </row>
    <row r="2051">
      <c r="A2051" s="10">
        <f>Github!J$1076</f>
        <v>1075</v>
      </c>
      <c r="B2051" s="11" t="str">
        <f>HYPERLINK(CONCAT("http://leetcode.com/problems/",Github!C$1076), Github!B$1076)</f>
        <v>Project Employees I</v>
      </c>
      <c r="C2051" s="10">
        <f>Github!F$1076</f>
        <v>77</v>
      </c>
      <c r="D2051" s="10">
        <f>Github!G$1076</f>
        <v>61</v>
      </c>
      <c r="E2051" s="10">
        <f>Github!F$1076+Github!G$1076</f>
        <v>138</v>
      </c>
      <c r="F2051" s="12">
        <f t="shared" si="1"/>
        <v>1.26</v>
      </c>
      <c r="G2051" s="10" t="str">
        <f>Github!H$1076</f>
        <v>Database</v>
      </c>
      <c r="H2051" s="13" t="str">
        <f>SUBSTITUTE(Github!L$1076, ";", ", ")</f>
        <v>Database, </v>
      </c>
      <c r="I2051" s="10" t="str">
        <f>Github!E$1076</f>
        <v>Easy</v>
      </c>
      <c r="J2051" s="10" t="str">
        <f>IF(TRIM(Github!D$1076)="TRUE","FALSE","TRUE")</f>
        <v>FALSE</v>
      </c>
      <c r="K2051" s="10" t="b">
        <f>Github!M$1076</f>
        <v>0</v>
      </c>
      <c r="L2051" s="10" t="b">
        <f>Github!N$1076</f>
        <v>0</v>
      </c>
      <c r="M2051" s="10" t="str">
        <f>ROUND(Github!O$1076, 2)&amp;"%"</f>
        <v>66.85%</v>
      </c>
      <c r="N2051" s="10">
        <f>Github!P$1076</f>
        <v>35192</v>
      </c>
      <c r="O2051" s="10">
        <f>Github!Q$1076</f>
        <v>52644</v>
      </c>
    </row>
    <row r="2052">
      <c r="A2052" s="10">
        <f>Github!J$1150</f>
        <v>1149</v>
      </c>
      <c r="B2052" s="11" t="str">
        <f>HYPERLINK(CONCAT("http://leetcode.com/problems/",Github!C$1150), Github!B$1150)</f>
        <v>Article Views II</v>
      </c>
      <c r="C2052" s="10">
        <f>Github!F$1150</f>
        <v>77</v>
      </c>
      <c r="D2052" s="10">
        <f>Github!G$1150</f>
        <v>25</v>
      </c>
      <c r="E2052" s="10">
        <f>Github!F$1150+Github!G$1150</f>
        <v>102</v>
      </c>
      <c r="F2052" s="12">
        <f t="shared" si="1"/>
        <v>3.08</v>
      </c>
      <c r="G2052" s="10" t="str">
        <f>Github!H$1150</f>
        <v>Database</v>
      </c>
      <c r="H2052" s="13" t="str">
        <f>SUBSTITUTE(Github!L$1150, ";", ", ")</f>
        <v>Database, </v>
      </c>
      <c r="I2052" s="10" t="str">
        <f>Github!E$1150</f>
        <v>Medium</v>
      </c>
      <c r="J2052" s="10" t="str">
        <f>IF(TRIM(Github!D$1150)="TRUE","FALSE","TRUE")</f>
        <v>FALSE</v>
      </c>
      <c r="K2052" s="10" t="b">
        <f>Github!M$1150</f>
        <v>0</v>
      </c>
      <c r="L2052" s="10" t="b">
        <f>Github!N$1150</f>
        <v>0</v>
      </c>
      <c r="M2052" s="10" t="str">
        <f>ROUND(Github!O$1150, 2)&amp;"%"</f>
        <v>47.93%</v>
      </c>
      <c r="N2052" s="10">
        <f>Github!P$1150</f>
        <v>23247</v>
      </c>
      <c r="O2052" s="10">
        <f>Github!Q$1150</f>
        <v>48501</v>
      </c>
    </row>
    <row r="2053">
      <c r="A2053" s="10">
        <f>Github!J$1328</f>
        <v>1327</v>
      </c>
      <c r="B2053" s="11" t="str">
        <f>HYPERLINK(CONCAT("http://leetcode.com/problems/",Github!C$1328), Github!B$1328)</f>
        <v>List the Products Ordered in a Period</v>
      </c>
      <c r="C2053" s="10">
        <f>Github!F$1328</f>
        <v>77</v>
      </c>
      <c r="D2053" s="10">
        <f>Github!G$1328</f>
        <v>18</v>
      </c>
      <c r="E2053" s="10">
        <f>Github!F$1328+Github!G$1328</f>
        <v>95</v>
      </c>
      <c r="F2053" s="12">
        <f t="shared" si="1"/>
        <v>4.28</v>
      </c>
      <c r="G2053" s="10" t="str">
        <f>Github!H$1328</f>
        <v>Database</v>
      </c>
      <c r="H2053" s="13" t="str">
        <f>SUBSTITUTE(Github!L$1328, ";", ", ")</f>
        <v>Database, </v>
      </c>
      <c r="I2053" s="10" t="str">
        <f>Github!E$1328</f>
        <v>Easy</v>
      </c>
      <c r="J2053" s="10" t="str">
        <f>IF(TRIM(Github!D$1328)="TRUE","FALSE","TRUE")</f>
        <v>FALSE</v>
      </c>
      <c r="K2053" s="10" t="b">
        <f>Github!M$1328</f>
        <v>0</v>
      </c>
      <c r="L2053" s="10" t="b">
        <f>Github!N$1328</f>
        <v>0</v>
      </c>
      <c r="M2053" s="10" t="str">
        <f>ROUND(Github!O$1328, 2)&amp;"%"</f>
        <v>77.35%</v>
      </c>
      <c r="N2053" s="10">
        <f>Github!P$1328</f>
        <v>26652</v>
      </c>
      <c r="O2053" s="10">
        <f>Github!Q$1328</f>
        <v>34456</v>
      </c>
    </row>
    <row r="2054">
      <c r="A2054" s="10">
        <f>Github!J$1469</f>
        <v>1468</v>
      </c>
      <c r="B2054" s="11" t="str">
        <f>HYPERLINK(CONCAT("http://leetcode.com/problems/",Github!C$1469), Github!B$1469)</f>
        <v>Calculate Salaries</v>
      </c>
      <c r="C2054" s="10">
        <f>Github!F$1469</f>
        <v>77</v>
      </c>
      <c r="D2054" s="10">
        <f>Github!G$1469</f>
        <v>16</v>
      </c>
      <c r="E2054" s="10">
        <f>Github!F$1469+Github!G$1469</f>
        <v>93</v>
      </c>
      <c r="F2054" s="12">
        <f t="shared" si="1"/>
        <v>4.81</v>
      </c>
      <c r="G2054" s="10" t="str">
        <f>Github!H$1469</f>
        <v>Database</v>
      </c>
      <c r="H2054" s="13" t="str">
        <f>SUBSTITUTE(Github!L$1469, ";", ", ")</f>
        <v>Database, </v>
      </c>
      <c r="I2054" s="10" t="str">
        <f>Github!E$1469</f>
        <v>Medium</v>
      </c>
      <c r="J2054" s="10" t="str">
        <f>IF(TRIM(Github!D$1469)="TRUE","FALSE","TRUE")</f>
        <v>FALSE</v>
      </c>
      <c r="K2054" s="10" t="b">
        <f>Github!M$1469</f>
        <v>0</v>
      </c>
      <c r="L2054" s="10" t="b">
        <f>Github!N$1469</f>
        <v>0</v>
      </c>
      <c r="M2054" s="10" t="str">
        <f>ROUND(Github!O$1469, 2)&amp;"%"</f>
        <v>82.42%</v>
      </c>
      <c r="N2054" s="10">
        <f>Github!P$1469</f>
        <v>14319</v>
      </c>
      <c r="O2054" s="10">
        <f>Github!Q$1469</f>
        <v>17374</v>
      </c>
    </row>
    <row r="2055">
      <c r="A2055" s="10">
        <f>Github!J$1295</f>
        <v>1294</v>
      </c>
      <c r="B2055" s="11" t="str">
        <f>HYPERLINK(CONCAT("http://leetcode.com/problems/",Github!C$1295), Github!B$1295)</f>
        <v>Weather Type in Each Country</v>
      </c>
      <c r="C2055" s="10">
        <f>Github!F$1295</f>
        <v>76</v>
      </c>
      <c r="D2055" s="10">
        <f>Github!G$1295</f>
        <v>17</v>
      </c>
      <c r="E2055" s="10">
        <f>Github!F$1295+Github!G$1295</f>
        <v>93</v>
      </c>
      <c r="F2055" s="12">
        <f t="shared" si="1"/>
        <v>4.47</v>
      </c>
      <c r="G2055" s="10" t="str">
        <f>Github!H$1295</f>
        <v>Database</v>
      </c>
      <c r="H2055" s="13" t="str">
        <f>SUBSTITUTE(Github!L$1295, ";", ", ")</f>
        <v>Database, </v>
      </c>
      <c r="I2055" s="10" t="str">
        <f>Github!E$1295</f>
        <v>Easy</v>
      </c>
      <c r="J2055" s="10" t="str">
        <f>IF(TRIM(Github!D$1295)="TRUE","FALSE","TRUE")</f>
        <v>FALSE</v>
      </c>
      <c r="K2055" s="10" t="b">
        <f>Github!M$1295</f>
        <v>0</v>
      </c>
      <c r="L2055" s="10" t="b">
        <f>Github!N$1295</f>
        <v>0</v>
      </c>
      <c r="M2055" s="10" t="str">
        <f>ROUND(Github!O$1295, 2)&amp;"%"</f>
        <v>67.42%</v>
      </c>
      <c r="N2055" s="10">
        <f>Github!P$1295</f>
        <v>22164</v>
      </c>
      <c r="O2055" s="10">
        <f>Github!Q$1295</f>
        <v>32876</v>
      </c>
    </row>
    <row r="2056">
      <c r="A2056" s="10">
        <f>Github!J$1635</f>
        <v>1634</v>
      </c>
      <c r="B2056" s="11" t="str">
        <f>HYPERLINK(CONCAT("http://leetcode.com/problems/",Github!C$1635), Github!B$1635)</f>
        <v>Add Two Polynomials Represented as Linked Lists</v>
      </c>
      <c r="C2056" s="10">
        <f>Github!F$1635</f>
        <v>76</v>
      </c>
      <c r="D2056" s="10">
        <f>Github!G$1635</f>
        <v>5</v>
      </c>
      <c r="E2056" s="10">
        <f>Github!F$1635+Github!G$1635</f>
        <v>81</v>
      </c>
      <c r="F2056" s="12">
        <f t="shared" si="1"/>
        <v>15.2</v>
      </c>
      <c r="G2056" s="10" t="str">
        <f>Github!H$1635</f>
        <v>Algorithms</v>
      </c>
      <c r="H2056" s="13" t="str">
        <f>SUBSTITUTE(Github!L$1635, ";", ", ")</f>
        <v>Linked List, Math, Two Pointers, </v>
      </c>
      <c r="I2056" s="10" t="str">
        <f>Github!E$1635</f>
        <v>Medium</v>
      </c>
      <c r="J2056" s="10" t="str">
        <f>IF(TRIM(Github!D$1635)="TRUE","FALSE","TRUE")</f>
        <v>FALSE</v>
      </c>
      <c r="K2056" s="10" t="b">
        <f>Github!M$1635</f>
        <v>0</v>
      </c>
      <c r="L2056" s="10" t="b">
        <f>Github!N$1635</f>
        <v>0</v>
      </c>
      <c r="M2056" s="10" t="str">
        <f>ROUND(Github!O$1635, 2)&amp;"%"</f>
        <v>53.81%</v>
      </c>
      <c r="N2056" s="10">
        <f>Github!P$1635</f>
        <v>4878</v>
      </c>
      <c r="O2056" s="10">
        <f>Github!Q$1635</f>
        <v>9065</v>
      </c>
    </row>
    <row r="2057">
      <c r="A2057" s="10">
        <f>Github!J$2022</f>
        <v>2021</v>
      </c>
      <c r="B2057" s="11" t="str">
        <f>HYPERLINK(CONCAT("http://leetcode.com/problems/",Github!C$2022), Github!B$2022)</f>
        <v>Brightest Position on Street</v>
      </c>
      <c r="C2057" s="10">
        <f>Github!F$2022</f>
        <v>76</v>
      </c>
      <c r="D2057" s="10">
        <f>Github!G$2022</f>
        <v>2</v>
      </c>
      <c r="E2057" s="10">
        <f>Github!F$2022+Github!G$2022</f>
        <v>78</v>
      </c>
      <c r="F2057" s="12">
        <f t="shared" si="1"/>
        <v>38</v>
      </c>
      <c r="G2057" s="10" t="str">
        <f>Github!H$2022</f>
        <v>Algorithms</v>
      </c>
      <c r="H2057" s="13" t="str">
        <f>SUBSTITUTE(Github!L$2022, ";", ", ")</f>
        <v>Array, Prefix Sum, Ordered Set, </v>
      </c>
      <c r="I2057" s="10" t="str">
        <f>Github!E$2022</f>
        <v>Medium</v>
      </c>
      <c r="J2057" s="10" t="str">
        <f>IF(TRIM(Github!D$2022)="TRUE","FALSE","TRUE")</f>
        <v>FALSE</v>
      </c>
      <c r="K2057" s="10" t="b">
        <f>Github!M$2022</f>
        <v>0</v>
      </c>
      <c r="L2057" s="10" t="b">
        <f>Github!N$2022</f>
        <v>0</v>
      </c>
      <c r="M2057" s="10" t="str">
        <f>ROUND(Github!O$2022, 2)&amp;"%"</f>
        <v>63.3%</v>
      </c>
      <c r="N2057" s="10">
        <f>Github!P$2022</f>
        <v>2194</v>
      </c>
      <c r="O2057" s="10">
        <f>Github!Q$2022</f>
        <v>3466</v>
      </c>
    </row>
    <row r="2058">
      <c r="A2058" s="10">
        <f>Github!J$1951</f>
        <v>1950</v>
      </c>
      <c r="B2058" s="11" t="str">
        <f>HYPERLINK(CONCAT("http://leetcode.com/problems/",Github!C$1951), Github!B$1951)</f>
        <v>Maximum of Minimum Values in All Subarrays</v>
      </c>
      <c r="C2058" s="10">
        <f>Github!F$1951</f>
        <v>75</v>
      </c>
      <c r="D2058" s="10">
        <f>Github!G$1951</f>
        <v>11</v>
      </c>
      <c r="E2058" s="10">
        <f>Github!F$1951+Github!G$1951</f>
        <v>86</v>
      </c>
      <c r="F2058" s="12">
        <f t="shared" si="1"/>
        <v>6.82</v>
      </c>
      <c r="G2058" s="10" t="str">
        <f>Github!H$1951</f>
        <v>Algorithms</v>
      </c>
      <c r="H2058" s="13" t="str">
        <f>SUBSTITUTE(Github!L$1951, ";", ", ")</f>
        <v>Array, Stack, Monotonic Stack, </v>
      </c>
      <c r="I2058" s="10" t="str">
        <f>Github!E$1951</f>
        <v>Medium</v>
      </c>
      <c r="J2058" s="10" t="str">
        <f>IF(TRIM(Github!D$1951)="TRUE","FALSE","TRUE")</f>
        <v>FALSE</v>
      </c>
      <c r="K2058" s="10" t="b">
        <f>Github!M$1951</f>
        <v>0</v>
      </c>
      <c r="L2058" s="10" t="b">
        <f>Github!N$1951</f>
        <v>0</v>
      </c>
      <c r="M2058" s="10" t="str">
        <f>ROUND(Github!O$1951, 2)&amp;"%"</f>
        <v>51.8%</v>
      </c>
      <c r="N2058" s="10">
        <f>Github!P$1951</f>
        <v>1009</v>
      </c>
      <c r="O2058" s="10">
        <f>Github!Q$1951</f>
        <v>1947</v>
      </c>
    </row>
    <row r="2059">
      <c r="A2059" s="10">
        <f>Github!J$2082</f>
        <v>2081</v>
      </c>
      <c r="B2059" s="11" t="str">
        <f>HYPERLINK(CONCAT("http://leetcode.com/problems/",Github!C$2082), Github!B$2082)</f>
        <v>Sum of k-Mirror Numbers</v>
      </c>
      <c r="C2059" s="10">
        <f>Github!F$2082</f>
        <v>75</v>
      </c>
      <c r="D2059" s="10">
        <f>Github!G$2082</f>
        <v>112</v>
      </c>
      <c r="E2059" s="10">
        <f>Github!F$2082+Github!G$2082</f>
        <v>187</v>
      </c>
      <c r="F2059" s="12">
        <f t="shared" si="1"/>
        <v>0.67</v>
      </c>
      <c r="G2059" s="10" t="str">
        <f>Github!H$2082</f>
        <v>Algorithms</v>
      </c>
      <c r="H2059" s="13" t="str">
        <f>SUBSTITUTE(Github!L$2082, ";", ", ")</f>
        <v>Math, Enumeration, </v>
      </c>
      <c r="I2059" s="10" t="str">
        <f>Github!E$2082</f>
        <v>Hard</v>
      </c>
      <c r="J2059" s="10" t="str">
        <f>IF(TRIM(Github!D$2082)="TRUE","FALSE","TRUE")</f>
        <v>TRUE</v>
      </c>
      <c r="K2059" s="10" t="b">
        <f>Github!M$2082</f>
        <v>0</v>
      </c>
      <c r="L2059" s="10" t="b">
        <f>Github!N$2082</f>
        <v>0</v>
      </c>
      <c r="M2059" s="10" t="str">
        <f>ROUND(Github!O$2082, 2)&amp;"%"</f>
        <v>39.75%</v>
      </c>
      <c r="N2059" s="10">
        <f>Github!P$2082</f>
        <v>4475</v>
      </c>
      <c r="O2059" s="10">
        <f>Github!Q$2082</f>
        <v>11259</v>
      </c>
    </row>
    <row r="2060">
      <c r="A2060" s="10">
        <f>Github!J$1778</f>
        <v>1777</v>
      </c>
      <c r="B2060" s="11" t="str">
        <f>HYPERLINK(CONCAT("http://leetcode.com/problems/",Github!C$1778), Github!B$1778)</f>
        <v>Product's Price for Each Store</v>
      </c>
      <c r="C2060" s="10">
        <f>Github!F$1778</f>
        <v>72</v>
      </c>
      <c r="D2060" s="10">
        <f>Github!G$1778</f>
        <v>6</v>
      </c>
      <c r="E2060" s="10">
        <f>Github!F$1778+Github!G$1778</f>
        <v>78</v>
      </c>
      <c r="F2060" s="12">
        <f t="shared" si="1"/>
        <v>12</v>
      </c>
      <c r="G2060" s="10" t="str">
        <f>Github!H$1778</f>
        <v>Database</v>
      </c>
      <c r="H2060" s="13" t="str">
        <f>SUBSTITUTE(Github!L$1778, ";", ", ")</f>
        <v>Database, </v>
      </c>
      <c r="I2060" s="10" t="str">
        <f>Github!E$1778</f>
        <v>Easy</v>
      </c>
      <c r="J2060" s="10" t="str">
        <f>IF(TRIM(Github!D$1778)="TRUE","FALSE","TRUE")</f>
        <v>FALSE</v>
      </c>
      <c r="K2060" s="10" t="b">
        <f>Github!M$1778</f>
        <v>0</v>
      </c>
      <c r="L2060" s="10" t="b">
        <f>Github!N$1778</f>
        <v>0</v>
      </c>
      <c r="M2060" s="10" t="str">
        <f>ROUND(Github!O$1778, 2)&amp;"%"</f>
        <v>85.92%</v>
      </c>
      <c r="N2060" s="10">
        <f>Github!P$1778</f>
        <v>10432</v>
      </c>
      <c r="O2060" s="10">
        <f>Github!Q$1778</f>
        <v>12141</v>
      </c>
    </row>
    <row r="2061">
      <c r="A2061" s="10">
        <f>Github!J$1796</f>
        <v>1795</v>
      </c>
      <c r="B2061" s="11" t="str">
        <f>HYPERLINK(CONCAT("http://leetcode.com/problems/",Github!C$1796), Github!B$1796)</f>
        <v>Rearrange Products Table</v>
      </c>
      <c r="C2061" s="10">
        <f>Github!F$1796</f>
        <v>72</v>
      </c>
      <c r="D2061" s="10">
        <f>Github!G$1796</f>
        <v>5</v>
      </c>
      <c r="E2061" s="10">
        <f>Github!F$1796+Github!G$1796</f>
        <v>77</v>
      </c>
      <c r="F2061" s="12">
        <f t="shared" si="1"/>
        <v>14.4</v>
      </c>
      <c r="G2061" s="10" t="str">
        <f>Github!H$1796</f>
        <v>Database</v>
      </c>
      <c r="H2061" s="13" t="str">
        <f>SUBSTITUTE(Github!L$1796, ";", ", ")</f>
        <v>Database, </v>
      </c>
      <c r="I2061" s="10" t="str">
        <f>Github!E$1796</f>
        <v>Easy</v>
      </c>
      <c r="J2061" s="10" t="str">
        <f>IF(TRIM(Github!D$1796)="TRUE","FALSE","TRUE")</f>
        <v>FALSE</v>
      </c>
      <c r="K2061" s="10" t="b">
        <f>Github!M$1796</f>
        <v>0</v>
      </c>
      <c r="L2061" s="10" t="b">
        <f>Github!N$1796</f>
        <v>0</v>
      </c>
      <c r="M2061" s="10" t="str">
        <f>ROUND(Github!O$1796, 2)&amp;"%"</f>
        <v>90.22%</v>
      </c>
      <c r="N2061" s="10">
        <f>Github!P$1796</f>
        <v>9409</v>
      </c>
      <c r="O2061" s="10">
        <f>Github!Q$1796</f>
        <v>10429</v>
      </c>
    </row>
    <row r="2062">
      <c r="A2062" s="10">
        <f>Github!J$1853</f>
        <v>1852</v>
      </c>
      <c r="B2062" s="11" t="str">
        <f>HYPERLINK(CONCAT("http://leetcode.com/problems/",Github!C$1853), Github!B$1853)</f>
        <v>Distinct Numbers in Each Subarray</v>
      </c>
      <c r="C2062" s="10">
        <f>Github!F$1853</f>
        <v>72</v>
      </c>
      <c r="D2062" s="10">
        <f>Github!G$1853</f>
        <v>3</v>
      </c>
      <c r="E2062" s="10">
        <f>Github!F$1853+Github!G$1853</f>
        <v>75</v>
      </c>
      <c r="F2062" s="12">
        <f t="shared" si="1"/>
        <v>24</v>
      </c>
      <c r="G2062" s="10" t="str">
        <f>Github!H$1853</f>
        <v>Algorithms</v>
      </c>
      <c r="H2062" s="13" t="str">
        <f>SUBSTITUTE(Github!L$1853, ";", ", ")</f>
        <v>Array, Hash Table, Sliding Window, </v>
      </c>
      <c r="I2062" s="10" t="str">
        <f>Github!E$1853</f>
        <v>Medium</v>
      </c>
      <c r="J2062" s="10" t="str">
        <f>IF(TRIM(Github!D$1853)="TRUE","FALSE","TRUE")</f>
        <v>FALSE</v>
      </c>
      <c r="K2062" s="10" t="b">
        <f>Github!M$1853</f>
        <v>0</v>
      </c>
      <c r="L2062" s="10" t="b">
        <f>Github!N$1853</f>
        <v>0</v>
      </c>
      <c r="M2062" s="10" t="str">
        <f>ROUND(Github!O$1853, 2)&amp;"%"</f>
        <v>72.73%</v>
      </c>
      <c r="N2062" s="10">
        <f>Github!P$1853</f>
        <v>3482</v>
      </c>
      <c r="O2062" s="10">
        <f>Github!Q$1853</f>
        <v>4787</v>
      </c>
    </row>
    <row r="2063">
      <c r="A2063" s="10">
        <f>Github!J$534</f>
        <v>533</v>
      </c>
      <c r="B2063" s="11" t="str">
        <f>HYPERLINK(CONCAT("http://leetcode.com/problems/",Github!C$534), Github!B$534)</f>
        <v>Lonely Pixel II</v>
      </c>
      <c r="C2063" s="10">
        <f>Github!F$534</f>
        <v>71</v>
      </c>
      <c r="D2063" s="10">
        <f>Github!G$534</f>
        <v>672</v>
      </c>
      <c r="E2063" s="10">
        <f>Github!F$534+Github!G$534</f>
        <v>743</v>
      </c>
      <c r="F2063" s="12">
        <f t="shared" si="1"/>
        <v>0.11</v>
      </c>
      <c r="G2063" s="10" t="str">
        <f>Github!H$534</f>
        <v>Algorithms</v>
      </c>
      <c r="H2063" s="13" t="str">
        <f>SUBSTITUTE(Github!L$534, ";", ", ")</f>
        <v>Array, Hash Table, Matrix, </v>
      </c>
      <c r="I2063" s="10" t="str">
        <f>Github!E$534</f>
        <v>Medium</v>
      </c>
      <c r="J2063" s="10" t="str">
        <f>IF(TRIM(Github!D$534)="TRUE","FALSE","TRUE")</f>
        <v>FALSE</v>
      </c>
      <c r="K2063" s="10" t="b">
        <f>Github!M$534</f>
        <v>0</v>
      </c>
      <c r="L2063" s="10" t="b">
        <f>Github!N$534</f>
        <v>0</v>
      </c>
      <c r="M2063" s="10" t="str">
        <f>ROUND(Github!O$534, 2)&amp;"%"</f>
        <v>48.38%</v>
      </c>
      <c r="N2063" s="10">
        <f>Github!P$534</f>
        <v>11906</v>
      </c>
      <c r="O2063" s="10">
        <f>Github!Q$534</f>
        <v>24609</v>
      </c>
    </row>
    <row r="2064">
      <c r="A2064" s="10">
        <f>Github!J$1886</f>
        <v>1885</v>
      </c>
      <c r="B2064" s="11" t="str">
        <f>HYPERLINK(CONCAT("http://leetcode.com/problems/",Github!C$1886), Github!B$1886)</f>
        <v>Count Pairs in Two Arrays</v>
      </c>
      <c r="C2064" s="10">
        <f>Github!F$1886</f>
        <v>71</v>
      </c>
      <c r="D2064" s="10">
        <f>Github!G$1886</f>
        <v>4</v>
      </c>
      <c r="E2064" s="10">
        <f>Github!F$1886+Github!G$1886</f>
        <v>75</v>
      </c>
      <c r="F2064" s="12">
        <f t="shared" si="1"/>
        <v>17.75</v>
      </c>
      <c r="G2064" s="10" t="str">
        <f>Github!H$1886</f>
        <v>Algorithms</v>
      </c>
      <c r="H2064" s="13" t="str">
        <f>SUBSTITUTE(Github!L$1886, ";", ", ")</f>
        <v>Array, Binary Search, Sorting, </v>
      </c>
      <c r="I2064" s="10" t="str">
        <f>Github!E$1886</f>
        <v>Medium</v>
      </c>
      <c r="J2064" s="10" t="str">
        <f>IF(TRIM(Github!D$1886)="TRUE","FALSE","TRUE")</f>
        <v>FALSE</v>
      </c>
      <c r="K2064" s="10" t="b">
        <f>Github!M$1886</f>
        <v>0</v>
      </c>
      <c r="L2064" s="10" t="b">
        <f>Github!N$1886</f>
        <v>0</v>
      </c>
      <c r="M2064" s="10" t="str">
        <f>ROUND(Github!O$1886, 2)&amp;"%"</f>
        <v>57.8%</v>
      </c>
      <c r="N2064" s="10">
        <f>Github!P$1886</f>
        <v>1809</v>
      </c>
      <c r="O2064" s="10">
        <f>Github!Q$1886</f>
        <v>3130</v>
      </c>
    </row>
    <row r="2065">
      <c r="A2065" s="10">
        <f>Github!J$1071</f>
        <v>1070</v>
      </c>
      <c r="B2065" s="11" t="str">
        <f>HYPERLINK(CONCAT("http://leetcode.com/problems/",Github!C$1071), Github!B$1071)</f>
        <v>Product Sales Analysis III</v>
      </c>
      <c r="C2065" s="10">
        <f>Github!F$1071</f>
        <v>70</v>
      </c>
      <c r="D2065" s="10">
        <f>Github!G$1071</f>
        <v>258</v>
      </c>
      <c r="E2065" s="10">
        <f>Github!F$1071+Github!G$1071</f>
        <v>328</v>
      </c>
      <c r="F2065" s="12">
        <f t="shared" si="1"/>
        <v>0.27</v>
      </c>
      <c r="G2065" s="10" t="str">
        <f>Github!H$1071</f>
        <v>Database</v>
      </c>
      <c r="H2065" s="13" t="str">
        <f>SUBSTITUTE(Github!L$1071, ";", ", ")</f>
        <v>Database, </v>
      </c>
      <c r="I2065" s="10" t="str">
        <f>Github!E$1071</f>
        <v>Medium</v>
      </c>
      <c r="J2065" s="10" t="str">
        <f>IF(TRIM(Github!D$1071)="TRUE","FALSE","TRUE")</f>
        <v>FALSE</v>
      </c>
      <c r="K2065" s="10" t="b">
        <f>Github!M$1071</f>
        <v>0</v>
      </c>
      <c r="L2065" s="10" t="b">
        <f>Github!N$1071</f>
        <v>0</v>
      </c>
      <c r="M2065" s="10" t="str">
        <f>ROUND(Github!O$1071, 2)&amp;"%"</f>
        <v>49.66%</v>
      </c>
      <c r="N2065" s="10">
        <f>Github!P$1071</f>
        <v>28924</v>
      </c>
      <c r="O2065" s="10">
        <f>Github!Q$1071</f>
        <v>58249</v>
      </c>
    </row>
    <row r="2066">
      <c r="A2066" s="10">
        <f>Github!J$1114</f>
        <v>1113</v>
      </c>
      <c r="B2066" s="11" t="str">
        <f>HYPERLINK(CONCAT("http://leetcode.com/problems/",Github!C$1114), Github!B$1114)</f>
        <v>Reported Posts</v>
      </c>
      <c r="C2066" s="10">
        <f>Github!F$1114</f>
        <v>70</v>
      </c>
      <c r="D2066" s="10">
        <f>Github!G$1114</f>
        <v>281</v>
      </c>
      <c r="E2066" s="10">
        <f>Github!F$1114+Github!G$1114</f>
        <v>351</v>
      </c>
      <c r="F2066" s="12">
        <f t="shared" si="1"/>
        <v>0.25</v>
      </c>
      <c r="G2066" s="10" t="str">
        <f>Github!H$1114</f>
        <v>Database</v>
      </c>
      <c r="H2066" s="13" t="str">
        <f>SUBSTITUTE(Github!L$1114, ";", ", ")</f>
        <v>Database, </v>
      </c>
      <c r="I2066" s="10" t="str">
        <f>Github!E$1114</f>
        <v>Easy</v>
      </c>
      <c r="J2066" s="10" t="str">
        <f>IF(TRIM(Github!D$1114)="TRUE","FALSE","TRUE")</f>
        <v>FALSE</v>
      </c>
      <c r="K2066" s="10" t="b">
        <f>Github!M$1114</f>
        <v>0</v>
      </c>
      <c r="L2066" s="10" t="b">
        <f>Github!N$1114</f>
        <v>0</v>
      </c>
      <c r="M2066" s="10" t="str">
        <f>ROUND(Github!O$1114, 2)&amp;"%"</f>
        <v>66.29%</v>
      </c>
      <c r="N2066" s="10">
        <f>Github!P$1114</f>
        <v>31054</v>
      </c>
      <c r="O2066" s="10">
        <f>Github!Q$1114</f>
        <v>46843</v>
      </c>
    </row>
    <row r="2067">
      <c r="A2067" s="10">
        <f>Github!J$1742</f>
        <v>1741</v>
      </c>
      <c r="B2067" s="11" t="str">
        <f>HYPERLINK(CONCAT("http://leetcode.com/problems/",Github!C$1742), Github!B$1742)</f>
        <v>Find Total Time Spent by Each Employee</v>
      </c>
      <c r="C2067" s="10">
        <f>Github!F$1742</f>
        <v>70</v>
      </c>
      <c r="D2067" s="10">
        <f>Github!G$1742</f>
        <v>3</v>
      </c>
      <c r="E2067" s="10">
        <f>Github!F$1742+Github!G$1742</f>
        <v>73</v>
      </c>
      <c r="F2067" s="12">
        <f t="shared" si="1"/>
        <v>23.33</v>
      </c>
      <c r="G2067" s="10" t="str">
        <f>Github!H$1742</f>
        <v>Database</v>
      </c>
      <c r="H2067" s="13" t="str">
        <f>SUBSTITUTE(Github!L$1742, ";", ", ")</f>
        <v>Database, </v>
      </c>
      <c r="I2067" s="10" t="str">
        <f>Github!E$1742</f>
        <v>Easy</v>
      </c>
      <c r="J2067" s="10" t="str">
        <f>IF(TRIM(Github!D$1742)="TRUE","FALSE","TRUE")</f>
        <v>FALSE</v>
      </c>
      <c r="K2067" s="10" t="b">
        <f>Github!M$1742</f>
        <v>0</v>
      </c>
      <c r="L2067" s="10" t="b">
        <f>Github!N$1742</f>
        <v>0</v>
      </c>
      <c r="M2067" s="10" t="str">
        <f>ROUND(Github!O$1742, 2)&amp;"%"</f>
        <v>91.39%</v>
      </c>
      <c r="N2067" s="10">
        <f>Github!P$1742</f>
        <v>15254</v>
      </c>
      <c r="O2067" s="10">
        <f>Github!Q$1742</f>
        <v>16691</v>
      </c>
    </row>
    <row r="2068">
      <c r="A2068" s="10">
        <f>Github!J$1950</f>
        <v>1949</v>
      </c>
      <c r="B2068" s="11" t="str">
        <f>HYPERLINK(CONCAT("http://leetcode.com/problems/",Github!C$1950), Github!B$1950)</f>
        <v>Strong Friendship</v>
      </c>
      <c r="C2068" s="10">
        <f>Github!F$1950</f>
        <v>70</v>
      </c>
      <c r="D2068" s="10">
        <f>Github!G$1950</f>
        <v>25</v>
      </c>
      <c r="E2068" s="10">
        <f>Github!F$1950+Github!G$1950</f>
        <v>95</v>
      </c>
      <c r="F2068" s="12">
        <f t="shared" si="1"/>
        <v>2.8</v>
      </c>
      <c r="G2068" s="10" t="str">
        <f>Github!H$1950</f>
        <v>Database</v>
      </c>
      <c r="H2068" s="13" t="str">
        <f>SUBSTITUTE(Github!L$1950, ";", ", ")</f>
        <v>Database, </v>
      </c>
      <c r="I2068" s="10" t="str">
        <f>Github!E$1950</f>
        <v>Medium</v>
      </c>
      <c r="J2068" s="10" t="str">
        <f>IF(TRIM(Github!D$1950)="TRUE","FALSE","TRUE")</f>
        <v>FALSE</v>
      </c>
      <c r="K2068" s="10" t="b">
        <f>Github!M$1950</f>
        <v>0</v>
      </c>
      <c r="L2068" s="10" t="b">
        <f>Github!N$1950</f>
        <v>0</v>
      </c>
      <c r="M2068" s="10" t="str">
        <f>ROUND(Github!O$1950, 2)&amp;"%"</f>
        <v>60.17%</v>
      </c>
      <c r="N2068" s="10">
        <f>Github!P$1950</f>
        <v>4044</v>
      </c>
      <c r="O2068" s="10">
        <f>Github!Q$1950</f>
        <v>6721</v>
      </c>
    </row>
    <row r="2069">
      <c r="A2069" s="10">
        <f>Github!J$2032</f>
        <v>2031</v>
      </c>
      <c r="B2069" s="11" t="str">
        <f>HYPERLINK(CONCAT("http://leetcode.com/problems/",Github!C$2032), Github!B$2032)</f>
        <v>Count Subarrays With More Ones Than Zeros</v>
      </c>
      <c r="C2069" s="10">
        <f>Github!F$2032</f>
        <v>70</v>
      </c>
      <c r="D2069" s="10">
        <f>Github!G$2032</f>
        <v>4</v>
      </c>
      <c r="E2069" s="10">
        <f>Github!F$2032+Github!G$2032</f>
        <v>74</v>
      </c>
      <c r="F2069" s="12">
        <f t="shared" si="1"/>
        <v>17.5</v>
      </c>
      <c r="G2069" s="10" t="str">
        <f>Github!H$2032</f>
        <v>Algorithms</v>
      </c>
      <c r="H2069" s="13" t="str">
        <f>SUBSTITUTE(Github!L$2032, ";", ", ")</f>
        <v>Array, Binary Search, Divide and Conquer, Binary Indexed Tree, Segment Tree, Merge Sort, Ordered Set, </v>
      </c>
      <c r="I2069" s="10" t="str">
        <f>Github!E$2032</f>
        <v>Medium</v>
      </c>
      <c r="J2069" s="10" t="str">
        <f>IF(TRIM(Github!D$2032)="TRUE","FALSE","TRUE")</f>
        <v>FALSE</v>
      </c>
      <c r="K2069" s="10" t="b">
        <f>Github!M$2032</f>
        <v>0</v>
      </c>
      <c r="L2069" s="10" t="b">
        <f>Github!N$2032</f>
        <v>0</v>
      </c>
      <c r="M2069" s="10" t="str">
        <f>ROUND(Github!O$2032, 2)&amp;"%"</f>
        <v>52.88%</v>
      </c>
      <c r="N2069" s="10">
        <f>Github!P$2032</f>
        <v>1275</v>
      </c>
      <c r="O2069" s="10">
        <f>Github!Q$2032</f>
        <v>2411</v>
      </c>
    </row>
    <row r="2070">
      <c r="A2070" s="10">
        <f>Github!J$2094</f>
        <v>2093</v>
      </c>
      <c r="B2070" s="11" t="str">
        <f>HYPERLINK(CONCAT("http://leetcode.com/problems/",Github!C$2094), Github!B$2094)</f>
        <v>Minimum Cost to Reach City With Discounts</v>
      </c>
      <c r="C2070" s="10">
        <f>Github!F$2094</f>
        <v>70</v>
      </c>
      <c r="D2070" s="10">
        <f>Github!G$2094</f>
        <v>5</v>
      </c>
      <c r="E2070" s="10">
        <f>Github!F$2094+Github!G$2094</f>
        <v>75</v>
      </c>
      <c r="F2070" s="12">
        <f t="shared" si="1"/>
        <v>14</v>
      </c>
      <c r="G2070" s="10" t="str">
        <f>Github!H$2094</f>
        <v>Algorithms</v>
      </c>
      <c r="H2070" s="13" t="str">
        <f>SUBSTITUTE(Github!L$2094, ";", ", ")</f>
        <v>Graph, Shortest Path, </v>
      </c>
      <c r="I2070" s="10" t="str">
        <f>Github!E$2094</f>
        <v>Medium</v>
      </c>
      <c r="J2070" s="10" t="str">
        <f>IF(TRIM(Github!D$2094)="TRUE","FALSE","TRUE")</f>
        <v>FALSE</v>
      </c>
      <c r="K2070" s="10" t="b">
        <f>Github!M$2094</f>
        <v>0</v>
      </c>
      <c r="L2070" s="10" t="b">
        <f>Github!N$2094</f>
        <v>0</v>
      </c>
      <c r="M2070" s="10" t="str">
        <f>ROUND(Github!O$2094, 2)&amp;"%"</f>
        <v>56.6%</v>
      </c>
      <c r="N2070" s="10">
        <f>Github!P$2094</f>
        <v>1552</v>
      </c>
      <c r="O2070" s="10">
        <f>Github!Q$2094</f>
        <v>2742</v>
      </c>
    </row>
    <row r="2071">
      <c r="A2071" s="10">
        <f>Github!J$1143</f>
        <v>1142</v>
      </c>
      <c r="B2071" s="11" t="str">
        <f>HYPERLINK(CONCAT("http://leetcode.com/problems/",Github!C$1143), Github!B$1143)</f>
        <v>User Activity for the Past 30 Days II</v>
      </c>
      <c r="C2071" s="10">
        <f>Github!F$1143</f>
        <v>68</v>
      </c>
      <c r="D2071" s="10">
        <f>Github!G$1143</f>
        <v>278</v>
      </c>
      <c r="E2071" s="10">
        <f>Github!F$1143+Github!G$1143</f>
        <v>346</v>
      </c>
      <c r="F2071" s="12">
        <f t="shared" si="1"/>
        <v>0.24</v>
      </c>
      <c r="G2071" s="10" t="str">
        <f>Github!H$1143</f>
        <v>Database</v>
      </c>
      <c r="H2071" s="13" t="str">
        <f>SUBSTITUTE(Github!L$1143, ";", ", ")</f>
        <v>Database, </v>
      </c>
      <c r="I2071" s="10" t="str">
        <f>Github!E$1143</f>
        <v>Easy</v>
      </c>
      <c r="J2071" s="10" t="str">
        <f>IF(TRIM(Github!D$1143)="TRUE","FALSE","TRUE")</f>
        <v>FALSE</v>
      </c>
      <c r="K2071" s="10" t="b">
        <f>Github!M$1143</f>
        <v>0</v>
      </c>
      <c r="L2071" s="10" t="b">
        <f>Github!N$1143</f>
        <v>0</v>
      </c>
      <c r="M2071" s="10" t="str">
        <f>ROUND(Github!O$1143, 2)&amp;"%"</f>
        <v>35.93%</v>
      </c>
      <c r="N2071" s="10">
        <f>Github!P$1143</f>
        <v>29553</v>
      </c>
      <c r="O2071" s="10">
        <f>Github!Q$1143</f>
        <v>82259</v>
      </c>
    </row>
    <row r="2072">
      <c r="A2072" s="10">
        <f>Github!J$1582</f>
        <v>1581</v>
      </c>
      <c r="B2072" s="11" t="str">
        <f>HYPERLINK(CONCAT("http://leetcode.com/problems/",Github!C$1582), Github!B$1582)</f>
        <v>Customer Who Visited but Did Not Make Any Transactions</v>
      </c>
      <c r="C2072" s="10">
        <f>Github!F$1582</f>
        <v>68</v>
      </c>
      <c r="D2072" s="10">
        <f>Github!G$1582</f>
        <v>25</v>
      </c>
      <c r="E2072" s="10">
        <f>Github!F$1582+Github!G$1582</f>
        <v>93</v>
      </c>
      <c r="F2072" s="12">
        <f t="shared" si="1"/>
        <v>2.72</v>
      </c>
      <c r="G2072" s="10" t="str">
        <f>Github!H$1582</f>
        <v>Database</v>
      </c>
      <c r="H2072" s="13" t="str">
        <f>SUBSTITUTE(Github!L$1582, ";", ", ")</f>
        <v>Database, </v>
      </c>
      <c r="I2072" s="10" t="str">
        <f>Github!E$1582</f>
        <v>Easy</v>
      </c>
      <c r="J2072" s="10" t="str">
        <f>IF(TRIM(Github!D$1582)="TRUE","FALSE","TRUE")</f>
        <v>FALSE</v>
      </c>
      <c r="K2072" s="10" t="b">
        <f>Github!M$1582</f>
        <v>0</v>
      </c>
      <c r="L2072" s="10" t="b">
        <f>Github!N$1582</f>
        <v>0</v>
      </c>
      <c r="M2072" s="10" t="str">
        <f>ROUND(Github!O$1582, 2)&amp;"%"</f>
        <v>89.71%</v>
      </c>
      <c r="N2072" s="10">
        <f>Github!P$1582</f>
        <v>17334</v>
      </c>
      <c r="O2072" s="10">
        <f>Github!Q$1582</f>
        <v>19322</v>
      </c>
    </row>
    <row r="2073">
      <c r="A2073" s="10">
        <f>Github!J$1748</f>
        <v>1747</v>
      </c>
      <c r="B2073" s="11" t="str">
        <f>HYPERLINK(CONCAT("http://leetcode.com/problems/",Github!C$1748), Github!B$1748)</f>
        <v>Leetflex Banned Accounts</v>
      </c>
      <c r="C2073" s="10">
        <f>Github!F$1748</f>
        <v>68</v>
      </c>
      <c r="D2073" s="10">
        <f>Github!G$1748</f>
        <v>4</v>
      </c>
      <c r="E2073" s="10">
        <f>Github!F$1748+Github!G$1748</f>
        <v>72</v>
      </c>
      <c r="F2073" s="12">
        <f t="shared" si="1"/>
        <v>17</v>
      </c>
      <c r="G2073" s="10" t="str">
        <f>Github!H$1748</f>
        <v>Database</v>
      </c>
      <c r="H2073" s="13" t="str">
        <f>SUBSTITUTE(Github!L$1748, ";", ", ")</f>
        <v>Database, </v>
      </c>
      <c r="I2073" s="10" t="str">
        <f>Github!E$1748</f>
        <v>Medium</v>
      </c>
      <c r="J2073" s="10" t="str">
        <f>IF(TRIM(Github!D$1748)="TRUE","FALSE","TRUE")</f>
        <v>FALSE</v>
      </c>
      <c r="K2073" s="10" t="b">
        <f>Github!M$1748</f>
        <v>0</v>
      </c>
      <c r="L2073" s="10" t="b">
        <f>Github!N$1748</f>
        <v>0</v>
      </c>
      <c r="M2073" s="10" t="str">
        <f>ROUND(Github!O$1748, 2)&amp;"%"</f>
        <v>67.4%</v>
      </c>
      <c r="N2073" s="10">
        <f>Github!P$1748</f>
        <v>7043</v>
      </c>
      <c r="O2073" s="10">
        <f>Github!Q$1748</f>
        <v>10449</v>
      </c>
    </row>
    <row r="2074">
      <c r="A2074" s="10">
        <f>Github!J$1600</f>
        <v>1599</v>
      </c>
      <c r="B2074" s="11" t="str">
        <f>HYPERLINK(CONCAT("http://leetcode.com/problems/",Github!C$1600), Github!B$1600)</f>
        <v>Maximum Profit of Operating a Centennial Wheel</v>
      </c>
      <c r="C2074" s="10">
        <f>Github!F$1600</f>
        <v>67</v>
      </c>
      <c r="D2074" s="10">
        <f>Github!G$1600</f>
        <v>206</v>
      </c>
      <c r="E2074" s="10">
        <f>Github!F$1600+Github!G$1600</f>
        <v>273</v>
      </c>
      <c r="F2074" s="12">
        <f t="shared" si="1"/>
        <v>0.33</v>
      </c>
      <c r="G2074" s="10" t="str">
        <f>Github!H$1600</f>
        <v>Algorithms</v>
      </c>
      <c r="H2074" s="13" t="str">
        <f>SUBSTITUTE(Github!L$1600, ";", ", ")</f>
        <v>Array, Simulation, </v>
      </c>
      <c r="I2074" s="10" t="str">
        <f>Github!E$1600</f>
        <v>Medium</v>
      </c>
      <c r="J2074" s="10" t="str">
        <f>IF(TRIM(Github!D$1600)="TRUE","FALSE","TRUE")</f>
        <v>TRUE</v>
      </c>
      <c r="K2074" s="10" t="b">
        <f>Github!M$1600</f>
        <v>0</v>
      </c>
      <c r="L2074" s="10" t="b">
        <f>Github!N$1600</f>
        <v>0</v>
      </c>
      <c r="M2074" s="10" t="str">
        <f>ROUND(Github!O$1600, 2)&amp;"%"</f>
        <v>43.94%</v>
      </c>
      <c r="N2074" s="10">
        <f>Github!P$1600</f>
        <v>9542</v>
      </c>
      <c r="O2074" s="10">
        <f>Github!Q$1600</f>
        <v>21717</v>
      </c>
    </row>
    <row r="2075">
      <c r="A2075" s="10">
        <f>Github!J$973</f>
        <v>972</v>
      </c>
      <c r="B2075" s="11" t="str">
        <f>HYPERLINK(CONCAT("http://leetcode.com/problems/",Github!C$973), Github!B$973)</f>
        <v>Equal Rational Numbers</v>
      </c>
      <c r="C2075" s="10">
        <f>Github!F$973</f>
        <v>66</v>
      </c>
      <c r="D2075" s="10">
        <f>Github!G$973</f>
        <v>182</v>
      </c>
      <c r="E2075" s="10">
        <f>Github!F$973+Github!G$973</f>
        <v>248</v>
      </c>
      <c r="F2075" s="12">
        <f t="shared" si="1"/>
        <v>0.36</v>
      </c>
      <c r="G2075" s="10" t="str">
        <f>Github!H$973</f>
        <v>Algorithms</v>
      </c>
      <c r="H2075" s="13" t="str">
        <f>SUBSTITUTE(Github!L$973, ";", ", ")</f>
        <v>Math, String, </v>
      </c>
      <c r="I2075" s="10" t="str">
        <f>Github!E$973</f>
        <v>Hard</v>
      </c>
      <c r="J2075" s="10" t="str">
        <f>IF(TRIM(Github!D$973)="TRUE","FALSE","TRUE")</f>
        <v>TRUE</v>
      </c>
      <c r="K2075" s="10" t="b">
        <f>Github!M$973</f>
        <v>1</v>
      </c>
      <c r="L2075" s="10" t="b">
        <f>Github!N$973</f>
        <v>0</v>
      </c>
      <c r="M2075" s="10" t="str">
        <f>ROUND(Github!O$973, 2)&amp;"%"</f>
        <v>42.49%</v>
      </c>
      <c r="N2075" s="10">
        <f>Github!P$973</f>
        <v>5264</v>
      </c>
      <c r="O2075" s="10">
        <f>Github!Q$973</f>
        <v>12389</v>
      </c>
    </row>
    <row r="2076">
      <c r="A2076" s="10">
        <f>Github!J$1588</f>
        <v>1587</v>
      </c>
      <c r="B2076" s="11" t="str">
        <f>HYPERLINK(CONCAT("http://leetcode.com/problems/",Github!C$1588), Github!B$1588)</f>
        <v>Bank Account Summary II</v>
      </c>
      <c r="C2076" s="10">
        <f>Github!F$1588</f>
        <v>64</v>
      </c>
      <c r="D2076" s="10">
        <f>Github!G$1588</f>
        <v>2</v>
      </c>
      <c r="E2076" s="10">
        <f>Github!F$1588+Github!G$1588</f>
        <v>66</v>
      </c>
      <c r="F2076" s="12">
        <f t="shared" si="1"/>
        <v>32</v>
      </c>
      <c r="G2076" s="10" t="str">
        <f>Github!H$1588</f>
        <v>Database</v>
      </c>
      <c r="H2076" s="13" t="str">
        <f>SUBSTITUTE(Github!L$1588, ";", ", ")</f>
        <v>Database, </v>
      </c>
      <c r="I2076" s="10" t="str">
        <f>Github!E$1588</f>
        <v>Easy</v>
      </c>
      <c r="J2076" s="10" t="str">
        <f>IF(TRIM(Github!D$1588)="TRUE","FALSE","TRUE")</f>
        <v>FALSE</v>
      </c>
      <c r="K2076" s="10" t="b">
        <f>Github!M$1588</f>
        <v>0</v>
      </c>
      <c r="L2076" s="10" t="b">
        <f>Github!N$1588</f>
        <v>0</v>
      </c>
      <c r="M2076" s="10" t="str">
        <f>ROUND(Github!O$1588, 2)&amp;"%"</f>
        <v>90.17%</v>
      </c>
      <c r="N2076" s="10">
        <f>Github!P$1588</f>
        <v>18242</v>
      </c>
      <c r="O2076" s="10">
        <f>Github!Q$1588</f>
        <v>20230</v>
      </c>
    </row>
    <row r="2077">
      <c r="A2077" s="10">
        <f>Github!J$1539</f>
        <v>1538</v>
      </c>
      <c r="B2077" s="11" t="str">
        <f>HYPERLINK(CONCAT("http://leetcode.com/problems/",Github!C$1539), Github!B$1539)</f>
        <v>Guess the Majority in a Hidden Array</v>
      </c>
      <c r="C2077" s="10">
        <f>Github!F$1539</f>
        <v>63</v>
      </c>
      <c r="D2077" s="10">
        <f>Github!G$1539</f>
        <v>33</v>
      </c>
      <c r="E2077" s="10">
        <f>Github!F$1539+Github!G$1539</f>
        <v>96</v>
      </c>
      <c r="F2077" s="12">
        <f t="shared" si="1"/>
        <v>1.91</v>
      </c>
      <c r="G2077" s="10" t="str">
        <f>Github!H$1539</f>
        <v>Algorithms</v>
      </c>
      <c r="H2077" s="13" t="str">
        <f>SUBSTITUTE(Github!L$1539, ";", ", ")</f>
        <v>Array, Math, Interactive, </v>
      </c>
      <c r="I2077" s="10" t="str">
        <f>Github!E$1539</f>
        <v>Medium</v>
      </c>
      <c r="J2077" s="10" t="str">
        <f>IF(TRIM(Github!D$1539)="TRUE","FALSE","TRUE")</f>
        <v>FALSE</v>
      </c>
      <c r="K2077" s="10" t="b">
        <f>Github!M$1539</f>
        <v>0</v>
      </c>
      <c r="L2077" s="10" t="b">
        <f>Github!N$1539</f>
        <v>0</v>
      </c>
      <c r="M2077" s="10" t="str">
        <f>ROUND(Github!O$1539, 2)&amp;"%"</f>
        <v>61.86%</v>
      </c>
      <c r="N2077" s="10">
        <f>Github!P$1539</f>
        <v>1304</v>
      </c>
      <c r="O2077" s="10">
        <f>Github!Q$1539</f>
        <v>2108</v>
      </c>
    </row>
    <row r="2078">
      <c r="A2078" s="10">
        <f>Github!J$1709</f>
        <v>1708</v>
      </c>
      <c r="B2078" s="11" t="str">
        <f>HYPERLINK(CONCAT("http://leetcode.com/problems/",Github!C$1709), Github!B$1709)</f>
        <v>Largest Subarray Length K</v>
      </c>
      <c r="C2078" s="10">
        <f>Github!F$1709</f>
        <v>63</v>
      </c>
      <c r="D2078" s="10">
        <f>Github!G$1709</f>
        <v>75</v>
      </c>
      <c r="E2078" s="10">
        <f>Github!F$1709+Github!G$1709</f>
        <v>138</v>
      </c>
      <c r="F2078" s="12">
        <f t="shared" si="1"/>
        <v>0.84</v>
      </c>
      <c r="G2078" s="10" t="str">
        <f>Github!H$1709</f>
        <v>Algorithms</v>
      </c>
      <c r="H2078" s="13" t="str">
        <f>SUBSTITUTE(Github!L$1709, ";", ", ")</f>
        <v>Array, Greedy, </v>
      </c>
      <c r="I2078" s="10" t="str">
        <f>Github!E$1709</f>
        <v>Easy</v>
      </c>
      <c r="J2078" s="10" t="str">
        <f>IF(TRIM(Github!D$1709)="TRUE","FALSE","TRUE")</f>
        <v>FALSE</v>
      </c>
      <c r="K2078" s="10" t="b">
        <f>Github!M$1709</f>
        <v>0</v>
      </c>
      <c r="L2078" s="10" t="b">
        <f>Github!N$1709</f>
        <v>0</v>
      </c>
      <c r="M2078" s="10" t="str">
        <f>ROUND(Github!O$1709, 2)&amp;"%"</f>
        <v>63.56%</v>
      </c>
      <c r="N2078" s="10">
        <f>Github!P$1709</f>
        <v>5101</v>
      </c>
      <c r="O2078" s="10">
        <f>Github!Q$1709</f>
        <v>8025</v>
      </c>
    </row>
    <row r="2079">
      <c r="A2079" s="10">
        <f>Github!J$556</f>
        <v>555</v>
      </c>
      <c r="B2079" s="11" t="str">
        <f>HYPERLINK(CONCAT("http://leetcode.com/problems/",Github!C$556), Github!B$556)</f>
        <v>Split Concatenated Strings</v>
      </c>
      <c r="C2079" s="10">
        <f>Github!F$556</f>
        <v>62</v>
      </c>
      <c r="D2079" s="10">
        <f>Github!G$556</f>
        <v>233</v>
      </c>
      <c r="E2079" s="10">
        <f>Github!F$556+Github!G$556</f>
        <v>295</v>
      </c>
      <c r="F2079" s="12">
        <f t="shared" si="1"/>
        <v>0.27</v>
      </c>
      <c r="G2079" s="10" t="str">
        <f>Github!H$556</f>
        <v>Algorithms</v>
      </c>
      <c r="H2079" s="13" t="str">
        <f>SUBSTITUTE(Github!L$556, ";", ", ")</f>
        <v>Array, String, Greedy, </v>
      </c>
      <c r="I2079" s="10" t="str">
        <f>Github!E$556</f>
        <v>Medium</v>
      </c>
      <c r="J2079" s="10" t="str">
        <f>IF(TRIM(Github!D$556)="TRUE","FALSE","TRUE")</f>
        <v>FALSE</v>
      </c>
      <c r="K2079" s="10" t="b">
        <f>Github!M$556</f>
        <v>0</v>
      </c>
      <c r="L2079" s="10" t="b">
        <f>Github!N$556</f>
        <v>0</v>
      </c>
      <c r="M2079" s="10" t="str">
        <f>ROUND(Github!O$556, 2)&amp;"%"</f>
        <v>43.19%</v>
      </c>
      <c r="N2079" s="10">
        <f>Github!P$556</f>
        <v>5854</v>
      </c>
      <c r="O2079" s="10">
        <f>Github!Q$556</f>
        <v>13555</v>
      </c>
    </row>
    <row r="2080">
      <c r="A2080" s="10">
        <f>Github!J$1257</f>
        <v>1256</v>
      </c>
      <c r="B2080" s="11" t="str">
        <f>HYPERLINK(CONCAT("http://leetcode.com/problems/",Github!C$1257), Github!B$1257)</f>
        <v>Encode Number</v>
      </c>
      <c r="C2080" s="10">
        <f>Github!F$1257</f>
        <v>62</v>
      </c>
      <c r="D2080" s="10">
        <f>Github!G$1257</f>
        <v>206</v>
      </c>
      <c r="E2080" s="10">
        <f>Github!F$1257+Github!G$1257</f>
        <v>268</v>
      </c>
      <c r="F2080" s="12">
        <f t="shared" si="1"/>
        <v>0.3</v>
      </c>
      <c r="G2080" s="10" t="str">
        <f>Github!H$1257</f>
        <v>Algorithms</v>
      </c>
      <c r="H2080" s="13" t="str">
        <f>SUBSTITUTE(Github!L$1257, ";", ", ")</f>
        <v>Math, String, Bit Manipulation, </v>
      </c>
      <c r="I2080" s="10" t="str">
        <f>Github!E$1257</f>
        <v>Medium</v>
      </c>
      <c r="J2080" s="10" t="str">
        <f>IF(TRIM(Github!D$1257)="TRUE","FALSE","TRUE")</f>
        <v>FALSE</v>
      </c>
      <c r="K2080" s="10" t="b">
        <f>Github!M$1257</f>
        <v>0</v>
      </c>
      <c r="L2080" s="10" t="b">
        <f>Github!N$1257</f>
        <v>0</v>
      </c>
      <c r="M2080" s="10" t="str">
        <f>ROUND(Github!O$1257, 2)&amp;"%"</f>
        <v>69.34%</v>
      </c>
      <c r="N2080" s="10">
        <f>Github!P$1257</f>
        <v>6186</v>
      </c>
      <c r="O2080" s="10">
        <f>Github!Q$1257</f>
        <v>8921</v>
      </c>
    </row>
    <row r="2081">
      <c r="A2081" s="10">
        <f>Github!J$1182</f>
        <v>1181</v>
      </c>
      <c r="B2081" s="11" t="str">
        <f>HYPERLINK(CONCAT("http://leetcode.com/problems/",Github!C$1182), Github!B$1182)</f>
        <v>Before and After Puzzle</v>
      </c>
      <c r="C2081" s="10">
        <f>Github!F$1182</f>
        <v>61</v>
      </c>
      <c r="D2081" s="10">
        <f>Github!G$1182</f>
        <v>140</v>
      </c>
      <c r="E2081" s="10">
        <f>Github!F$1182+Github!G$1182</f>
        <v>201</v>
      </c>
      <c r="F2081" s="12">
        <f t="shared" si="1"/>
        <v>0.44</v>
      </c>
      <c r="G2081" s="10" t="str">
        <f>Github!H$1182</f>
        <v>Algorithms</v>
      </c>
      <c r="H2081" s="13" t="str">
        <f>SUBSTITUTE(Github!L$1182, ";", ", ")</f>
        <v>Array, Hash Table, String, Sorting, </v>
      </c>
      <c r="I2081" s="10" t="str">
        <f>Github!E$1182</f>
        <v>Medium</v>
      </c>
      <c r="J2081" s="10" t="str">
        <f>IF(TRIM(Github!D$1182)="TRUE","FALSE","TRUE")</f>
        <v>FALSE</v>
      </c>
      <c r="K2081" s="10" t="b">
        <f>Github!M$1182</f>
        <v>0</v>
      </c>
      <c r="L2081" s="10" t="b">
        <f>Github!N$1182</f>
        <v>0</v>
      </c>
      <c r="M2081" s="10" t="str">
        <f>ROUND(Github!O$1182, 2)&amp;"%"</f>
        <v>44.92%</v>
      </c>
      <c r="N2081" s="10">
        <f>Github!P$1182</f>
        <v>8861</v>
      </c>
      <c r="O2081" s="10">
        <f>Github!Q$1182</f>
        <v>19727</v>
      </c>
    </row>
    <row r="2082">
      <c r="A2082" s="10">
        <f>Github!J$1694</f>
        <v>1693</v>
      </c>
      <c r="B2082" s="11" t="str">
        <f>HYPERLINK(CONCAT("http://leetcode.com/problems/",Github!C$1694), Github!B$1694)</f>
        <v>Daily Leads and Partners</v>
      </c>
      <c r="C2082" s="10">
        <f>Github!F$1694</f>
        <v>60</v>
      </c>
      <c r="D2082" s="10">
        <f>Github!G$1694</f>
        <v>9</v>
      </c>
      <c r="E2082" s="10">
        <f>Github!F$1694+Github!G$1694</f>
        <v>69</v>
      </c>
      <c r="F2082" s="12">
        <f t="shared" si="1"/>
        <v>6.67</v>
      </c>
      <c r="G2082" s="10" t="str">
        <f>Github!H$1694</f>
        <v>Database</v>
      </c>
      <c r="H2082" s="13" t="str">
        <f>SUBSTITUTE(Github!L$1694, ";", ", ")</f>
        <v>Database, </v>
      </c>
      <c r="I2082" s="10" t="str">
        <f>Github!E$1694</f>
        <v>Easy</v>
      </c>
      <c r="J2082" s="10" t="str">
        <f>IF(TRIM(Github!D$1694)="TRUE","FALSE","TRUE")</f>
        <v>FALSE</v>
      </c>
      <c r="K2082" s="10" t="b">
        <f>Github!M$1694</f>
        <v>0</v>
      </c>
      <c r="L2082" s="10" t="b">
        <f>Github!N$1694</f>
        <v>0</v>
      </c>
      <c r="M2082" s="10" t="str">
        <f>ROUND(Github!O$1694, 2)&amp;"%"</f>
        <v>91.41%</v>
      </c>
      <c r="N2082" s="10">
        <f>Github!P$1694</f>
        <v>13341</v>
      </c>
      <c r="O2082" s="10">
        <f>Github!Q$1694</f>
        <v>14594</v>
      </c>
    </row>
    <row r="2083">
      <c r="A2083" s="10">
        <f>Github!J$1068</f>
        <v>1067</v>
      </c>
      <c r="B2083" s="11" t="str">
        <f>HYPERLINK(CONCAT("http://leetcode.com/problems/",Github!C$1068), Github!B$1068)</f>
        <v>Digit Count in Range</v>
      </c>
      <c r="C2083" s="10">
        <f>Github!F$1068</f>
        <v>59</v>
      </c>
      <c r="D2083" s="10">
        <f>Github!G$1068</f>
        <v>14</v>
      </c>
      <c r="E2083" s="10">
        <f>Github!F$1068+Github!G$1068</f>
        <v>73</v>
      </c>
      <c r="F2083" s="12">
        <f t="shared" si="1"/>
        <v>4.21</v>
      </c>
      <c r="G2083" s="10" t="str">
        <f>Github!H$1068</f>
        <v>Algorithms</v>
      </c>
      <c r="H2083" s="13" t="str">
        <f>SUBSTITUTE(Github!L$1068, ";", ", ")</f>
        <v>Math, Dynamic Programming, </v>
      </c>
      <c r="I2083" s="10" t="str">
        <f>Github!E$1068</f>
        <v>Hard</v>
      </c>
      <c r="J2083" s="10" t="str">
        <f>IF(TRIM(Github!D$1068)="TRUE","FALSE","TRUE")</f>
        <v>FALSE</v>
      </c>
      <c r="K2083" s="10" t="b">
        <f>Github!M$1068</f>
        <v>0</v>
      </c>
      <c r="L2083" s="10" t="b">
        <f>Github!N$1068</f>
        <v>0</v>
      </c>
      <c r="M2083" s="10" t="str">
        <f>ROUND(Github!O$1068, 2)&amp;"%"</f>
        <v>42.5%</v>
      </c>
      <c r="N2083" s="10">
        <f>Github!P$1068</f>
        <v>2589</v>
      </c>
      <c r="O2083" s="10">
        <f>Github!Q$1068</f>
        <v>6092</v>
      </c>
    </row>
    <row r="2084">
      <c r="A2084" s="10">
        <f>Github!J$1379</f>
        <v>1378</v>
      </c>
      <c r="B2084" s="11" t="str">
        <f>HYPERLINK(CONCAT("http://leetcode.com/problems/",Github!C$1379), Github!B$1379)</f>
        <v>Replace Employee ID With The Unique Identifier</v>
      </c>
      <c r="C2084" s="10">
        <f>Github!F$1379</f>
        <v>58</v>
      </c>
      <c r="D2084" s="10">
        <f>Github!G$1379</f>
        <v>30</v>
      </c>
      <c r="E2084" s="10">
        <f>Github!F$1379+Github!G$1379</f>
        <v>88</v>
      </c>
      <c r="F2084" s="12">
        <f t="shared" si="1"/>
        <v>1.93</v>
      </c>
      <c r="G2084" s="10" t="str">
        <f>Github!H$1379</f>
        <v>Database</v>
      </c>
      <c r="H2084" s="13" t="str">
        <f>SUBSTITUTE(Github!L$1379, ";", ", ")</f>
        <v>Database, </v>
      </c>
      <c r="I2084" s="10" t="str">
        <f>Github!E$1379</f>
        <v>Easy</v>
      </c>
      <c r="J2084" s="10" t="str">
        <f>IF(TRIM(Github!D$1379)="TRUE","FALSE","TRUE")</f>
        <v>FALSE</v>
      </c>
      <c r="K2084" s="10" t="b">
        <f>Github!M$1379</f>
        <v>0</v>
      </c>
      <c r="L2084" s="10" t="b">
        <f>Github!N$1379</f>
        <v>0</v>
      </c>
      <c r="M2084" s="10" t="str">
        <f>ROUND(Github!O$1379, 2)&amp;"%"</f>
        <v>91.07%</v>
      </c>
      <c r="N2084" s="10">
        <f>Github!P$1379</f>
        <v>27138</v>
      </c>
      <c r="O2084" s="10">
        <f>Github!Q$1379</f>
        <v>29798</v>
      </c>
    </row>
    <row r="2085">
      <c r="A2085" s="10">
        <f>Github!J$1621</f>
        <v>1620</v>
      </c>
      <c r="B2085" s="11" t="str">
        <f>HYPERLINK(CONCAT("http://leetcode.com/problems/",Github!C$1621), Github!B$1621)</f>
        <v>Coordinate With Maximum Network Quality</v>
      </c>
      <c r="C2085" s="10">
        <f>Github!F$1621</f>
        <v>58</v>
      </c>
      <c r="D2085" s="10">
        <f>Github!G$1621</f>
        <v>196</v>
      </c>
      <c r="E2085" s="10">
        <f>Github!F$1621+Github!G$1621</f>
        <v>254</v>
      </c>
      <c r="F2085" s="12">
        <f t="shared" si="1"/>
        <v>0.3</v>
      </c>
      <c r="G2085" s="10" t="str">
        <f>Github!H$1621</f>
        <v>Algorithms</v>
      </c>
      <c r="H2085" s="13" t="str">
        <f>SUBSTITUTE(Github!L$1621, ";", ", ")</f>
        <v>Array, Enumeration, </v>
      </c>
      <c r="I2085" s="10" t="str">
        <f>Github!E$1621</f>
        <v>Medium</v>
      </c>
      <c r="J2085" s="10" t="str">
        <f>IF(TRIM(Github!D$1621)="TRUE","FALSE","TRUE")</f>
        <v>TRUE</v>
      </c>
      <c r="K2085" s="10" t="b">
        <f>Github!M$1621</f>
        <v>0</v>
      </c>
      <c r="L2085" s="10" t="b">
        <f>Github!N$1621</f>
        <v>0</v>
      </c>
      <c r="M2085" s="10" t="str">
        <f>ROUND(Github!O$1621, 2)&amp;"%"</f>
        <v>37.05%</v>
      </c>
      <c r="N2085" s="10">
        <f>Github!P$1621</f>
        <v>6274</v>
      </c>
      <c r="O2085" s="10">
        <f>Github!Q$1621</f>
        <v>16933</v>
      </c>
    </row>
    <row r="2086">
      <c r="A2086" s="10">
        <f>Github!J$1272</f>
        <v>1271</v>
      </c>
      <c r="B2086" s="11" t="str">
        <f>HYPERLINK(CONCAT("http://leetcode.com/problems/",Github!C$1272), Github!B$1272)</f>
        <v>Hexspeak</v>
      </c>
      <c r="C2086" s="10">
        <f>Github!F$1272</f>
        <v>57</v>
      </c>
      <c r="D2086" s="10">
        <f>Github!G$1272</f>
        <v>101</v>
      </c>
      <c r="E2086" s="10">
        <f>Github!F$1272+Github!G$1272</f>
        <v>158</v>
      </c>
      <c r="F2086" s="12">
        <f t="shared" si="1"/>
        <v>0.56</v>
      </c>
      <c r="G2086" s="10" t="str">
        <f>Github!H$1272</f>
        <v>Algorithms</v>
      </c>
      <c r="H2086" s="13" t="str">
        <f>SUBSTITUTE(Github!L$1272, ";", ", ")</f>
        <v>Math, String, </v>
      </c>
      <c r="I2086" s="10" t="str">
        <f>Github!E$1272</f>
        <v>Easy</v>
      </c>
      <c r="J2086" s="10" t="str">
        <f>IF(TRIM(Github!D$1272)="TRUE","FALSE","TRUE")</f>
        <v>FALSE</v>
      </c>
      <c r="K2086" s="10" t="b">
        <f>Github!M$1272</f>
        <v>0</v>
      </c>
      <c r="L2086" s="10" t="b">
        <f>Github!N$1272</f>
        <v>0</v>
      </c>
      <c r="M2086" s="10" t="str">
        <f>ROUND(Github!O$1272, 2)&amp;"%"</f>
        <v>56.31%</v>
      </c>
      <c r="N2086" s="10">
        <f>Github!P$1272</f>
        <v>7692</v>
      </c>
      <c r="O2086" s="10">
        <f>Github!Q$1272</f>
        <v>13661</v>
      </c>
    </row>
    <row r="2087">
      <c r="A2087" s="10">
        <f>Github!J$1337</f>
        <v>1336</v>
      </c>
      <c r="B2087" s="11" t="str">
        <f>HYPERLINK(CONCAT("http://leetcode.com/problems/",Github!C$1337), Github!B$1337)</f>
        <v>Number of Transactions per Visit</v>
      </c>
      <c r="C2087" s="10">
        <f>Github!F$1337</f>
        <v>57</v>
      </c>
      <c r="D2087" s="10">
        <f>Github!G$1337</f>
        <v>235</v>
      </c>
      <c r="E2087" s="10">
        <f>Github!F$1337+Github!G$1337</f>
        <v>292</v>
      </c>
      <c r="F2087" s="12">
        <f t="shared" si="1"/>
        <v>0.24</v>
      </c>
      <c r="G2087" s="10" t="str">
        <f>Github!H$1337</f>
        <v>Database</v>
      </c>
      <c r="H2087" s="13" t="str">
        <f>SUBSTITUTE(Github!L$1337, ";", ", ")</f>
        <v>Database, </v>
      </c>
      <c r="I2087" s="10" t="str">
        <f>Github!E$1337</f>
        <v>Hard</v>
      </c>
      <c r="J2087" s="10" t="str">
        <f>IF(TRIM(Github!D$1337)="TRUE","FALSE","TRUE")</f>
        <v>FALSE</v>
      </c>
      <c r="K2087" s="10" t="b">
        <f>Github!M$1337</f>
        <v>0</v>
      </c>
      <c r="L2087" s="10" t="b">
        <f>Github!N$1337</f>
        <v>0</v>
      </c>
      <c r="M2087" s="10" t="str">
        <f>ROUND(Github!O$1337, 2)&amp;"%"</f>
        <v>51.25%</v>
      </c>
      <c r="N2087" s="10">
        <f>Github!P$1337</f>
        <v>8438</v>
      </c>
      <c r="O2087" s="10">
        <f>Github!Q$1337</f>
        <v>16464</v>
      </c>
    </row>
    <row r="2088">
      <c r="A2088" s="10">
        <f>Github!J$1550</f>
        <v>1549</v>
      </c>
      <c r="B2088" s="11" t="str">
        <f>HYPERLINK(CONCAT("http://leetcode.com/problems/",Github!C$1550), Github!B$1550)</f>
        <v>The Most Recent Orders for Each Product</v>
      </c>
      <c r="C2088" s="10">
        <f>Github!F$1550</f>
        <v>57</v>
      </c>
      <c r="D2088" s="10">
        <f>Github!G$1550</f>
        <v>4</v>
      </c>
      <c r="E2088" s="10">
        <f>Github!F$1550+Github!G$1550</f>
        <v>61</v>
      </c>
      <c r="F2088" s="12">
        <f t="shared" si="1"/>
        <v>14.25</v>
      </c>
      <c r="G2088" s="10" t="str">
        <f>Github!H$1550</f>
        <v>Database</v>
      </c>
      <c r="H2088" s="13" t="str">
        <f>SUBSTITUTE(Github!L$1550, ";", ", ")</f>
        <v>Database, </v>
      </c>
      <c r="I2088" s="10" t="str">
        <f>Github!E$1550</f>
        <v>Medium</v>
      </c>
      <c r="J2088" s="10" t="str">
        <f>IF(TRIM(Github!D$1550)="TRUE","FALSE","TRUE")</f>
        <v>FALSE</v>
      </c>
      <c r="K2088" s="10" t="b">
        <f>Github!M$1550</f>
        <v>0</v>
      </c>
      <c r="L2088" s="10" t="b">
        <f>Github!N$1550</f>
        <v>0</v>
      </c>
      <c r="M2088" s="10" t="str">
        <f>ROUND(Github!O$1550, 2)&amp;"%"</f>
        <v>67.77%</v>
      </c>
      <c r="N2088" s="10">
        <f>Github!P$1550</f>
        <v>11832</v>
      </c>
      <c r="O2088" s="10">
        <f>Github!Q$1550</f>
        <v>17460</v>
      </c>
    </row>
    <row r="2089">
      <c r="A2089" s="10">
        <f>Github!J$1821</f>
        <v>1820</v>
      </c>
      <c r="B2089" s="11" t="str">
        <f>HYPERLINK(CONCAT("http://leetcode.com/problems/",Github!C$1821), Github!B$1821)</f>
        <v>Maximum Number of Accepted Invitations</v>
      </c>
      <c r="C2089" s="10">
        <f>Github!F$1821</f>
        <v>57</v>
      </c>
      <c r="D2089" s="10">
        <f>Github!G$1821</f>
        <v>13</v>
      </c>
      <c r="E2089" s="10">
        <f>Github!F$1821+Github!G$1821</f>
        <v>70</v>
      </c>
      <c r="F2089" s="12">
        <f t="shared" si="1"/>
        <v>4.38</v>
      </c>
      <c r="G2089" s="10" t="str">
        <f>Github!H$1821</f>
        <v>Algorithms</v>
      </c>
      <c r="H2089" s="13" t="str">
        <f>SUBSTITUTE(Github!L$1821, ";", ", ")</f>
        <v>Array, Backtracking, Matrix, </v>
      </c>
      <c r="I2089" s="10" t="str">
        <f>Github!E$1821</f>
        <v>Medium</v>
      </c>
      <c r="J2089" s="10" t="str">
        <f>IF(TRIM(Github!D$1821)="TRUE","FALSE","TRUE")</f>
        <v>FALSE</v>
      </c>
      <c r="K2089" s="10" t="b">
        <f>Github!M$1821</f>
        <v>0</v>
      </c>
      <c r="L2089" s="10" t="b">
        <f>Github!N$1821</f>
        <v>0</v>
      </c>
      <c r="M2089" s="10" t="str">
        <f>ROUND(Github!O$1821, 2)&amp;"%"</f>
        <v>46.6%</v>
      </c>
      <c r="N2089" s="10">
        <f>Github!P$1821</f>
        <v>1015</v>
      </c>
      <c r="O2089" s="10">
        <f>Github!Q$1821</f>
        <v>2178</v>
      </c>
    </row>
    <row r="2090">
      <c r="A2090" s="10">
        <f>Github!J$1903</f>
        <v>1902</v>
      </c>
      <c r="B2090" s="11" t="str">
        <f>HYPERLINK(CONCAT("http://leetcode.com/problems/",Github!C$1903), Github!B$1903)</f>
        <v>Depth of BST Given Insertion Order</v>
      </c>
      <c r="C2090" s="10">
        <f>Github!F$1903</f>
        <v>57</v>
      </c>
      <c r="D2090" s="10">
        <f>Github!G$1903</f>
        <v>5</v>
      </c>
      <c r="E2090" s="10">
        <f>Github!F$1903+Github!G$1903</f>
        <v>62</v>
      </c>
      <c r="F2090" s="12">
        <f t="shared" si="1"/>
        <v>11.4</v>
      </c>
      <c r="G2090" s="10" t="str">
        <f>Github!H$1903</f>
        <v>Algorithms</v>
      </c>
      <c r="H2090" s="13" t="str">
        <f>SUBSTITUTE(Github!L$1903, ";", ", ")</f>
        <v>Tree, Binary Search Tree, Binary Tree, Ordered Set, </v>
      </c>
      <c r="I2090" s="10" t="str">
        <f>Github!E$1903</f>
        <v>Medium</v>
      </c>
      <c r="J2090" s="10" t="str">
        <f>IF(TRIM(Github!D$1903)="TRUE","FALSE","TRUE")</f>
        <v>FALSE</v>
      </c>
      <c r="K2090" s="10" t="b">
        <f>Github!M$1903</f>
        <v>0</v>
      </c>
      <c r="L2090" s="10" t="b">
        <f>Github!N$1903</f>
        <v>0</v>
      </c>
      <c r="M2090" s="10" t="str">
        <f>ROUND(Github!O$1903, 2)&amp;"%"</f>
        <v>46.56%</v>
      </c>
      <c r="N2090" s="10">
        <f>Github!P$1903</f>
        <v>1272</v>
      </c>
      <c r="O2090" s="10">
        <f>Github!Q$1903</f>
        <v>2732</v>
      </c>
    </row>
    <row r="2091">
      <c r="A2091" s="10">
        <f>Github!J$2047</f>
        <v>2046</v>
      </c>
      <c r="B2091" s="11" t="str">
        <f>HYPERLINK(CONCAT("http://leetcode.com/problems/",Github!C$2047), Github!B$2047)</f>
        <v>Sort Linked List Already Sorted Using Absolute Values</v>
      </c>
      <c r="C2091" s="10">
        <f>Github!F$2047</f>
        <v>57</v>
      </c>
      <c r="D2091" s="10">
        <f>Github!G$2047</f>
        <v>0</v>
      </c>
      <c r="E2091" s="10">
        <f>Github!F$2047+Github!G$2047</f>
        <v>57</v>
      </c>
      <c r="F2091" s="12">
        <f t="shared" si="1"/>
        <v>57</v>
      </c>
      <c r="G2091" s="10" t="str">
        <f>Github!H$2047</f>
        <v>Algorithms</v>
      </c>
      <c r="H2091" s="13" t="str">
        <f>SUBSTITUTE(Github!L$2047, ";", ", ")</f>
        <v>Linked List, Two Pointers, Sorting, </v>
      </c>
      <c r="I2091" s="10" t="str">
        <f>Github!E$2047</f>
        <v>Medium</v>
      </c>
      <c r="J2091" s="10" t="str">
        <f>IF(TRIM(Github!D$2047)="TRUE","FALSE","TRUE")</f>
        <v>FALSE</v>
      </c>
      <c r="K2091" s="10" t="b">
        <f>Github!M$2047</f>
        <v>0</v>
      </c>
      <c r="L2091" s="10" t="b">
        <f>Github!N$2047</f>
        <v>0</v>
      </c>
      <c r="M2091" s="10" t="str">
        <f>ROUND(Github!O$2047, 2)&amp;"%"</f>
        <v>70.48%</v>
      </c>
      <c r="N2091" s="10">
        <f>Github!P$2047</f>
        <v>2230</v>
      </c>
      <c r="O2091" s="10">
        <f>Github!Q$2047</f>
        <v>3164</v>
      </c>
    </row>
    <row r="2092">
      <c r="A2092" s="10">
        <f>Github!J$875</f>
        <v>874</v>
      </c>
      <c r="B2092" s="11" t="str">
        <f>HYPERLINK(CONCAT("http://leetcode.com/problems/",Github!C$875), Github!B$875)</f>
        <v>Walking Robot Simulation</v>
      </c>
      <c r="C2092" s="10">
        <f>Github!F$875</f>
        <v>58</v>
      </c>
      <c r="D2092" s="10">
        <f>Github!G$875</f>
        <v>10</v>
      </c>
      <c r="E2092" s="10">
        <f>Github!F$875+Github!G$875</f>
        <v>68</v>
      </c>
      <c r="F2092" s="12">
        <f t="shared" si="1"/>
        <v>5.8</v>
      </c>
      <c r="G2092" s="10" t="str">
        <f>Github!H$875</f>
        <v>Algorithms</v>
      </c>
      <c r="H2092" s="13" t="str">
        <f>SUBSTITUTE(Github!L$875, ";", ", ")</f>
        <v>Array, Simulation, </v>
      </c>
      <c r="I2092" s="10" t="str">
        <f>Github!E$875</f>
        <v>Medium</v>
      </c>
      <c r="J2092" s="10" t="str">
        <f>IF(TRIM(Github!D$875)="TRUE","FALSE","TRUE")</f>
        <v>TRUE</v>
      </c>
      <c r="K2092" s="10" t="b">
        <f>Github!M$875</f>
        <v>0</v>
      </c>
      <c r="L2092" s="10" t="b">
        <f>Github!N$875</f>
        <v>0</v>
      </c>
      <c r="M2092" s="10" t="str">
        <f>ROUND(Github!O$875, 2)&amp;"%"</f>
        <v>37.65%</v>
      </c>
      <c r="N2092" s="10">
        <f>Github!P$875</f>
        <v>31025</v>
      </c>
      <c r="O2092" s="10">
        <f>Github!Q$875</f>
        <v>82407</v>
      </c>
    </row>
    <row r="2093">
      <c r="A2093" s="10">
        <f>Github!J$2084</f>
        <v>2083</v>
      </c>
      <c r="B2093" s="11" t="str">
        <f>HYPERLINK(CONCAT("http://leetcode.com/problems/",Github!C$2084), Github!B$2084)</f>
        <v>Substrings That Begin and End With the Same Letter</v>
      </c>
      <c r="C2093" s="10">
        <f>Github!F$2084</f>
        <v>56</v>
      </c>
      <c r="D2093" s="10">
        <f>Github!G$2084</f>
        <v>2</v>
      </c>
      <c r="E2093" s="10">
        <f>Github!F$2084+Github!G$2084</f>
        <v>58</v>
      </c>
      <c r="F2093" s="12">
        <f t="shared" si="1"/>
        <v>28</v>
      </c>
      <c r="G2093" s="10" t="str">
        <f>Github!H$2084</f>
        <v>Algorithms</v>
      </c>
      <c r="H2093" s="13" t="str">
        <f>SUBSTITUTE(Github!L$2084, ";", ", ")</f>
        <v>Hash Table, Math, String, Counting, Prefix Sum, </v>
      </c>
      <c r="I2093" s="10" t="str">
        <f>Github!E$2084</f>
        <v>Medium</v>
      </c>
      <c r="J2093" s="10" t="str">
        <f>IF(TRIM(Github!D$2084)="TRUE","FALSE","TRUE")</f>
        <v>FALSE</v>
      </c>
      <c r="K2093" s="10" t="b">
        <f>Github!M$2084</f>
        <v>0</v>
      </c>
      <c r="L2093" s="10" t="b">
        <f>Github!N$2084</f>
        <v>0</v>
      </c>
      <c r="M2093" s="10" t="str">
        <f>ROUND(Github!O$2084, 2)&amp;"%"</f>
        <v>69.3%</v>
      </c>
      <c r="N2093" s="10">
        <f>Github!P$2084</f>
        <v>2586</v>
      </c>
      <c r="O2093" s="10">
        <f>Github!Q$2084</f>
        <v>3732</v>
      </c>
    </row>
    <row r="2094">
      <c r="A2094" s="10">
        <f>Github!J$1684</f>
        <v>1683</v>
      </c>
      <c r="B2094" s="11" t="str">
        <f>HYPERLINK(CONCAT("http://leetcode.com/problems/",Github!C$1684), Github!B$1684)</f>
        <v>Invalid Tweets</v>
      </c>
      <c r="C2094" s="10">
        <f>Github!F$1684</f>
        <v>55</v>
      </c>
      <c r="D2094" s="10">
        <f>Github!G$1684</f>
        <v>64</v>
      </c>
      <c r="E2094" s="10">
        <f>Github!F$1684+Github!G$1684</f>
        <v>119</v>
      </c>
      <c r="F2094" s="12">
        <f t="shared" si="1"/>
        <v>0.86</v>
      </c>
      <c r="G2094" s="10" t="str">
        <f>Github!H$1684</f>
        <v>Database</v>
      </c>
      <c r="H2094" s="13" t="str">
        <f>SUBSTITUTE(Github!L$1684, ";", ", ")</f>
        <v>Database, </v>
      </c>
      <c r="I2094" s="10" t="str">
        <f>Github!E$1684</f>
        <v>Easy</v>
      </c>
      <c r="J2094" s="10" t="str">
        <f>IF(TRIM(Github!D$1684)="TRUE","FALSE","TRUE")</f>
        <v>FALSE</v>
      </c>
      <c r="K2094" s="10" t="b">
        <f>Github!M$1684</f>
        <v>0</v>
      </c>
      <c r="L2094" s="10" t="b">
        <f>Github!N$1684</f>
        <v>0</v>
      </c>
      <c r="M2094" s="10" t="str">
        <f>ROUND(Github!O$1684, 2)&amp;"%"</f>
        <v>90.94%</v>
      </c>
      <c r="N2094" s="10">
        <f>Github!P$1684</f>
        <v>16526</v>
      </c>
      <c r="O2094" s="10">
        <f>Github!Q$1684</f>
        <v>18173</v>
      </c>
    </row>
    <row r="2095">
      <c r="A2095" s="10">
        <f>Github!J$1070</f>
        <v>1069</v>
      </c>
      <c r="B2095" s="11" t="str">
        <f>HYPERLINK(CONCAT("http://leetcode.com/problems/",Github!C$1070), Github!B$1070)</f>
        <v>Product Sales Analysis II</v>
      </c>
      <c r="C2095" s="10">
        <f>Github!F$1070</f>
        <v>54</v>
      </c>
      <c r="D2095" s="10">
        <f>Github!G$1070</f>
        <v>139</v>
      </c>
      <c r="E2095" s="10">
        <f>Github!F$1070+Github!G$1070</f>
        <v>193</v>
      </c>
      <c r="F2095" s="12">
        <f t="shared" si="1"/>
        <v>0.39</v>
      </c>
      <c r="G2095" s="10" t="str">
        <f>Github!H$1070</f>
        <v>Database</v>
      </c>
      <c r="H2095" s="13" t="str">
        <f>SUBSTITUTE(Github!L$1070, ";", ", ")</f>
        <v>Database, </v>
      </c>
      <c r="I2095" s="10" t="str">
        <f>Github!E$1070</f>
        <v>Easy</v>
      </c>
      <c r="J2095" s="10" t="str">
        <f>IF(TRIM(Github!D$1070)="TRUE","FALSE","TRUE")</f>
        <v>FALSE</v>
      </c>
      <c r="K2095" s="10" t="b">
        <f>Github!M$1070</f>
        <v>0</v>
      </c>
      <c r="L2095" s="10" t="b">
        <f>Github!N$1070</f>
        <v>0</v>
      </c>
      <c r="M2095" s="10" t="str">
        <f>ROUND(Github!O$1070, 2)&amp;"%"</f>
        <v>82.59%</v>
      </c>
      <c r="N2095" s="10">
        <f>Github!P$1070</f>
        <v>37688</v>
      </c>
      <c r="O2095" s="10">
        <f>Github!Q$1070</f>
        <v>45635</v>
      </c>
    </row>
    <row r="2096">
      <c r="A2096" s="10">
        <f>Github!J$1636</f>
        <v>1635</v>
      </c>
      <c r="B2096" s="11" t="str">
        <f>HYPERLINK(CONCAT("http://leetcode.com/problems/",Github!C$1636), Github!B$1636)</f>
        <v>Hopper Company Queries I</v>
      </c>
      <c r="C2096" s="10">
        <f>Github!F$1636</f>
        <v>54</v>
      </c>
      <c r="D2096" s="10">
        <f>Github!G$1636</f>
        <v>21</v>
      </c>
      <c r="E2096" s="10">
        <f>Github!F$1636+Github!G$1636</f>
        <v>75</v>
      </c>
      <c r="F2096" s="12">
        <f t="shared" si="1"/>
        <v>2.57</v>
      </c>
      <c r="G2096" s="10" t="str">
        <f>Github!H$1636</f>
        <v>Database</v>
      </c>
      <c r="H2096" s="13" t="str">
        <f>SUBSTITUTE(Github!L$1636, ";", ", ")</f>
        <v>Database, </v>
      </c>
      <c r="I2096" s="10" t="str">
        <f>Github!E$1636</f>
        <v>Hard</v>
      </c>
      <c r="J2096" s="10" t="str">
        <f>IF(TRIM(Github!D$1636)="TRUE","FALSE","TRUE")</f>
        <v>FALSE</v>
      </c>
      <c r="K2096" s="10" t="b">
        <f>Github!M$1636</f>
        <v>0</v>
      </c>
      <c r="L2096" s="10" t="b">
        <f>Github!N$1636</f>
        <v>0</v>
      </c>
      <c r="M2096" s="10" t="str">
        <f>ROUND(Github!O$1636, 2)&amp;"%"</f>
        <v>53.97%</v>
      </c>
      <c r="N2096" s="10">
        <f>Github!P$1636</f>
        <v>4899</v>
      </c>
      <c r="O2096" s="10">
        <f>Github!Q$1636</f>
        <v>9078</v>
      </c>
    </row>
    <row r="2097">
      <c r="A2097" s="10">
        <f>Github!J$1790</f>
        <v>1789</v>
      </c>
      <c r="B2097" s="11" t="str">
        <f>HYPERLINK(CONCAT("http://leetcode.com/problems/",Github!C$1790), Github!B$1790)</f>
        <v>Primary Department for Each Employee</v>
      </c>
      <c r="C2097" s="10">
        <f>Github!F$1790</f>
        <v>55</v>
      </c>
      <c r="D2097" s="10">
        <f>Github!G$1790</f>
        <v>23</v>
      </c>
      <c r="E2097" s="10">
        <f>Github!F$1790+Github!G$1790</f>
        <v>78</v>
      </c>
      <c r="F2097" s="12">
        <f t="shared" si="1"/>
        <v>2.39</v>
      </c>
      <c r="G2097" s="10" t="str">
        <f>Github!H$1790</f>
        <v>Database</v>
      </c>
      <c r="H2097" s="13" t="str">
        <f>SUBSTITUTE(Github!L$1790, ";", ", ")</f>
        <v>Database, </v>
      </c>
      <c r="I2097" s="10" t="str">
        <f>Github!E$1790</f>
        <v>Easy</v>
      </c>
      <c r="J2097" s="10" t="str">
        <f>IF(TRIM(Github!D$1790)="TRUE","FALSE","TRUE")</f>
        <v>FALSE</v>
      </c>
      <c r="K2097" s="10" t="b">
        <f>Github!M$1790</f>
        <v>0</v>
      </c>
      <c r="L2097" s="10" t="b">
        <f>Github!N$1790</f>
        <v>0</v>
      </c>
      <c r="M2097" s="10" t="str">
        <f>ROUND(Github!O$1790, 2)&amp;"%"</f>
        <v>78.58%</v>
      </c>
      <c r="N2097" s="10">
        <f>Github!P$1790</f>
        <v>8241</v>
      </c>
      <c r="O2097" s="10">
        <f>Github!Q$1790</f>
        <v>10487</v>
      </c>
    </row>
    <row r="2098">
      <c r="A2098" s="10">
        <f>Github!J$1544</f>
        <v>1543</v>
      </c>
      <c r="B2098" s="11" t="str">
        <f>HYPERLINK(CONCAT("http://leetcode.com/problems/",Github!C$1544), Github!B$1544)</f>
        <v>Fix Product Name Format</v>
      </c>
      <c r="C2098" s="10">
        <f>Github!F$1544</f>
        <v>53</v>
      </c>
      <c r="D2098" s="10">
        <f>Github!G$1544</f>
        <v>32</v>
      </c>
      <c r="E2098" s="10">
        <f>Github!F$1544+Github!G$1544</f>
        <v>85</v>
      </c>
      <c r="F2098" s="12">
        <f t="shared" si="1"/>
        <v>1.66</v>
      </c>
      <c r="G2098" s="10" t="str">
        <f>Github!H$1544</f>
        <v>Database</v>
      </c>
      <c r="H2098" s="13" t="str">
        <f>SUBSTITUTE(Github!L$1544, ";", ", ")</f>
        <v>Database, </v>
      </c>
      <c r="I2098" s="10" t="str">
        <f>Github!E$1544</f>
        <v>Easy</v>
      </c>
      <c r="J2098" s="10" t="str">
        <f>IF(TRIM(Github!D$1544)="TRUE","FALSE","TRUE")</f>
        <v>FALSE</v>
      </c>
      <c r="K2098" s="10" t="b">
        <f>Github!M$1544</f>
        <v>0</v>
      </c>
      <c r="L2098" s="10" t="b">
        <f>Github!N$1544</f>
        <v>0</v>
      </c>
      <c r="M2098" s="10" t="str">
        <f>ROUND(Github!O$1544, 2)&amp;"%"</f>
        <v>63.28%</v>
      </c>
      <c r="N2098" s="10">
        <f>Github!P$1544</f>
        <v>12231</v>
      </c>
      <c r="O2098" s="10">
        <f>Github!Q$1544</f>
        <v>19327</v>
      </c>
    </row>
    <row r="2099">
      <c r="A2099" s="10">
        <f>Github!J$1732</f>
        <v>1731</v>
      </c>
      <c r="B2099" s="11" t="str">
        <f>HYPERLINK(CONCAT("http://leetcode.com/problems/",Github!C$1732), Github!B$1732)</f>
        <v>The Number of Employees Which Report to Each Employee</v>
      </c>
      <c r="C2099" s="10">
        <f>Github!F$1732</f>
        <v>53</v>
      </c>
      <c r="D2099" s="10">
        <f>Github!G$1732</f>
        <v>14</v>
      </c>
      <c r="E2099" s="10">
        <f>Github!F$1732+Github!G$1732</f>
        <v>67</v>
      </c>
      <c r="F2099" s="12">
        <f t="shared" si="1"/>
        <v>3.79</v>
      </c>
      <c r="G2099" s="10" t="str">
        <f>Github!H$1732</f>
        <v>Database</v>
      </c>
      <c r="H2099" s="13" t="str">
        <f>SUBSTITUTE(Github!L$1732, ";", ", ")</f>
        <v>Database, </v>
      </c>
      <c r="I2099" s="10" t="str">
        <f>Github!E$1732</f>
        <v>Easy</v>
      </c>
      <c r="J2099" s="10" t="str">
        <f>IF(TRIM(Github!D$1732)="TRUE","FALSE","TRUE")</f>
        <v>FALSE</v>
      </c>
      <c r="K2099" s="10" t="b">
        <f>Github!M$1732</f>
        <v>0</v>
      </c>
      <c r="L2099" s="10" t="b">
        <f>Github!N$1732</f>
        <v>0</v>
      </c>
      <c r="M2099" s="10" t="str">
        <f>ROUND(Github!O$1732, 2)&amp;"%"</f>
        <v>48.89%</v>
      </c>
      <c r="N2099" s="10">
        <f>Github!P$1732</f>
        <v>8790</v>
      </c>
      <c r="O2099" s="10">
        <f>Github!Q$1732</f>
        <v>17980</v>
      </c>
    </row>
    <row r="2100">
      <c r="A2100" s="10">
        <f>Github!J$1365</f>
        <v>1364</v>
      </c>
      <c r="B2100" s="11" t="str">
        <f>HYPERLINK(CONCAT("http://leetcode.com/problems/",Github!C$1365), Github!B$1365)</f>
        <v>Number of Trusted Contacts of a Customer</v>
      </c>
      <c r="C2100" s="10">
        <f>Github!F$1365</f>
        <v>52</v>
      </c>
      <c r="D2100" s="10">
        <f>Github!G$1365</f>
        <v>265</v>
      </c>
      <c r="E2100" s="10">
        <f>Github!F$1365+Github!G$1365</f>
        <v>317</v>
      </c>
      <c r="F2100" s="12">
        <f t="shared" si="1"/>
        <v>0.2</v>
      </c>
      <c r="G2100" s="10" t="str">
        <f>Github!H$1365</f>
        <v>Database</v>
      </c>
      <c r="H2100" s="13" t="str">
        <f>SUBSTITUTE(Github!L$1365, ";", ", ")</f>
        <v>Database, </v>
      </c>
      <c r="I2100" s="10" t="str">
        <f>Github!E$1365</f>
        <v>Medium</v>
      </c>
      <c r="J2100" s="10" t="str">
        <f>IF(TRIM(Github!D$1365)="TRUE","FALSE","TRUE")</f>
        <v>FALSE</v>
      </c>
      <c r="K2100" s="10" t="b">
        <f>Github!M$1365</f>
        <v>0</v>
      </c>
      <c r="L2100" s="10" t="b">
        <f>Github!N$1365</f>
        <v>0</v>
      </c>
      <c r="M2100" s="10" t="str">
        <f>ROUND(Github!O$1365, 2)&amp;"%"</f>
        <v>78.57%</v>
      </c>
      <c r="N2100" s="10">
        <f>Github!P$1365</f>
        <v>12386</v>
      </c>
      <c r="O2100" s="10">
        <f>Github!Q$1365</f>
        <v>15764</v>
      </c>
    </row>
    <row r="2101">
      <c r="A2101" s="10">
        <f>Github!J$1566</f>
        <v>1565</v>
      </c>
      <c r="B2101" s="11" t="str">
        <f>HYPERLINK(CONCAT("http://leetcode.com/problems/",Github!C$1566), Github!B$1566)</f>
        <v>Unique Orders and Customers Per Month</v>
      </c>
      <c r="C2101" s="10">
        <f>Github!F$1566</f>
        <v>52</v>
      </c>
      <c r="D2101" s="10">
        <f>Github!G$1566</f>
        <v>26</v>
      </c>
      <c r="E2101" s="10">
        <f>Github!F$1566+Github!G$1566</f>
        <v>78</v>
      </c>
      <c r="F2101" s="12">
        <f t="shared" si="1"/>
        <v>2</v>
      </c>
      <c r="G2101" s="10" t="str">
        <f>Github!H$1566</f>
        <v>Database</v>
      </c>
      <c r="H2101" s="13" t="str">
        <f>SUBSTITUTE(Github!L$1566, ";", ", ")</f>
        <v>Database, </v>
      </c>
      <c r="I2101" s="10" t="str">
        <f>Github!E$1566</f>
        <v>Easy</v>
      </c>
      <c r="J2101" s="10" t="str">
        <f>IF(TRIM(Github!D$1566)="TRUE","FALSE","TRUE")</f>
        <v>FALSE</v>
      </c>
      <c r="K2101" s="10" t="b">
        <f>Github!M$1566</f>
        <v>0</v>
      </c>
      <c r="L2101" s="10" t="b">
        <f>Github!N$1566</f>
        <v>0</v>
      </c>
      <c r="M2101" s="10" t="str">
        <f>ROUND(Github!O$1566, 2)&amp;"%"</f>
        <v>83.11%</v>
      </c>
      <c r="N2101" s="10">
        <f>Github!P$1566</f>
        <v>13488</v>
      </c>
      <c r="O2101" s="10">
        <f>Github!Q$1566</f>
        <v>16230</v>
      </c>
    </row>
    <row r="2102">
      <c r="A2102" s="10">
        <f>Github!J$1811</f>
        <v>1810</v>
      </c>
      <c r="B2102" s="11" t="str">
        <f>HYPERLINK(CONCAT("http://leetcode.com/problems/",Github!C$1811), Github!B$1811)</f>
        <v>Minimum Path Cost in a Hidden Grid</v>
      </c>
      <c r="C2102" s="10">
        <f>Github!F$1811</f>
        <v>51</v>
      </c>
      <c r="D2102" s="10">
        <f>Github!G$1811</f>
        <v>16</v>
      </c>
      <c r="E2102" s="10">
        <f>Github!F$1811+Github!G$1811</f>
        <v>67</v>
      </c>
      <c r="F2102" s="12">
        <f t="shared" si="1"/>
        <v>3.19</v>
      </c>
      <c r="G2102" s="10" t="str">
        <f>Github!H$1811</f>
        <v>Algorithms</v>
      </c>
      <c r="H2102" s="13" t="str">
        <f>SUBSTITUTE(Github!L$1811, ";", ", ")</f>
        <v>Depth-First Search, Breadth-First Search, Graph, Heap (Priority Queue), Interactive, </v>
      </c>
      <c r="I2102" s="10" t="str">
        <f>Github!E$1811</f>
        <v>Medium</v>
      </c>
      <c r="J2102" s="10" t="str">
        <f>IF(TRIM(Github!D$1811)="TRUE","FALSE","TRUE")</f>
        <v>FALSE</v>
      </c>
      <c r="K2102" s="10" t="b">
        <f>Github!M$1811</f>
        <v>0</v>
      </c>
      <c r="L2102" s="10" t="b">
        <f>Github!N$1811</f>
        <v>0</v>
      </c>
      <c r="M2102" s="10" t="str">
        <f>ROUND(Github!O$1811, 2)&amp;"%"</f>
        <v>53.64%</v>
      </c>
      <c r="N2102" s="10">
        <f>Github!P$1811</f>
        <v>1716</v>
      </c>
      <c r="O2102" s="10">
        <f>Github!Q$1811</f>
        <v>3199</v>
      </c>
    </row>
    <row r="2103">
      <c r="A2103" s="10">
        <f>Github!J$2118</f>
        <v>2117</v>
      </c>
      <c r="B2103" s="11" t="str">
        <f>HYPERLINK(CONCAT("http://leetcode.com/problems/",Github!C$2118), Github!B$2118)</f>
        <v>Abbreviating the Product of a Range</v>
      </c>
      <c r="C2103" s="10">
        <f>Github!F$2118</f>
        <v>51</v>
      </c>
      <c r="D2103" s="10">
        <f>Github!G$2118</f>
        <v>89</v>
      </c>
      <c r="E2103" s="10">
        <f>Github!F$2118+Github!G$2118</f>
        <v>140</v>
      </c>
      <c r="F2103" s="12">
        <f t="shared" si="1"/>
        <v>0.57</v>
      </c>
      <c r="G2103" s="10" t="str">
        <f>Github!H$2118</f>
        <v>Algorithms</v>
      </c>
      <c r="H2103" s="13" t="str">
        <f>SUBSTITUTE(Github!L$2118, ";", ", ")</f>
        <v>Math, </v>
      </c>
      <c r="I2103" s="10" t="str">
        <f>Github!E$2118</f>
        <v>Hard</v>
      </c>
      <c r="J2103" s="10" t="str">
        <f>IF(TRIM(Github!D$2118)="TRUE","FALSE","TRUE")</f>
        <v>TRUE</v>
      </c>
      <c r="K2103" s="10" t="b">
        <f>Github!M$2118</f>
        <v>0</v>
      </c>
      <c r="L2103" s="10" t="b">
        <f>Github!N$2118</f>
        <v>0</v>
      </c>
      <c r="M2103" s="10" t="str">
        <f>ROUND(Github!O$2118, 2)&amp;"%"</f>
        <v>28.26%</v>
      </c>
      <c r="N2103" s="10">
        <f>Github!P$2118</f>
        <v>1776</v>
      </c>
      <c r="O2103" s="10">
        <f>Github!Q$2118</f>
        <v>6285</v>
      </c>
    </row>
    <row r="2104">
      <c r="A2104" s="10">
        <f>Github!J$1496</f>
        <v>1495</v>
      </c>
      <c r="B2104" s="11" t="str">
        <f>HYPERLINK(CONCAT("http://leetcode.com/problems/",Github!C$1496), Github!B$1496)</f>
        <v>Friendly Movies Streamed Last Month</v>
      </c>
      <c r="C2104" s="10">
        <f>Github!F$1496</f>
        <v>50</v>
      </c>
      <c r="D2104" s="10">
        <f>Github!G$1496</f>
        <v>8</v>
      </c>
      <c r="E2104" s="10">
        <f>Github!F$1496+Github!G$1496</f>
        <v>58</v>
      </c>
      <c r="F2104" s="12">
        <f t="shared" si="1"/>
        <v>6.25</v>
      </c>
      <c r="G2104" s="10" t="str">
        <f>Github!H$1496</f>
        <v>Database</v>
      </c>
      <c r="H2104" s="13" t="str">
        <f>SUBSTITUTE(Github!L$1496, ";", ", ")</f>
        <v>Database, </v>
      </c>
      <c r="I2104" s="10" t="str">
        <f>Github!E$1496</f>
        <v>Easy</v>
      </c>
      <c r="J2104" s="10" t="str">
        <f>IF(TRIM(Github!D$1496)="TRUE","FALSE","TRUE")</f>
        <v>FALSE</v>
      </c>
      <c r="K2104" s="10" t="b">
        <f>Github!M$1496</f>
        <v>0</v>
      </c>
      <c r="L2104" s="10" t="b">
        <f>Github!N$1496</f>
        <v>0</v>
      </c>
      <c r="M2104" s="10" t="str">
        <f>ROUND(Github!O$1496, 2)&amp;"%"</f>
        <v>50.45%</v>
      </c>
      <c r="N2104" s="10">
        <f>Github!P$1496</f>
        <v>17342</v>
      </c>
      <c r="O2104" s="10">
        <f>Github!Q$1496</f>
        <v>34377</v>
      </c>
    </row>
    <row r="2105">
      <c r="A2105" s="10">
        <f>Github!J$1608</f>
        <v>1607</v>
      </c>
      <c r="B2105" s="11" t="str">
        <f>HYPERLINK(CONCAT("http://leetcode.com/problems/",Github!C$1608), Github!B$1608)</f>
        <v>Sellers With No Sales</v>
      </c>
      <c r="C2105" s="10">
        <f>Github!F$1608</f>
        <v>50</v>
      </c>
      <c r="D2105" s="10">
        <f>Github!G$1608</f>
        <v>8</v>
      </c>
      <c r="E2105" s="10">
        <f>Github!F$1608+Github!G$1608</f>
        <v>58</v>
      </c>
      <c r="F2105" s="12">
        <f t="shared" si="1"/>
        <v>6.25</v>
      </c>
      <c r="G2105" s="10" t="str">
        <f>Github!H$1608</f>
        <v>Database</v>
      </c>
      <c r="H2105" s="13" t="str">
        <f>SUBSTITUTE(Github!L$1608, ";", ", ")</f>
        <v>Database, </v>
      </c>
      <c r="I2105" s="10" t="str">
        <f>Github!E$1608</f>
        <v>Easy</v>
      </c>
      <c r="J2105" s="10" t="str">
        <f>IF(TRIM(Github!D$1608)="TRUE","FALSE","TRUE")</f>
        <v>FALSE</v>
      </c>
      <c r="K2105" s="10" t="b">
        <f>Github!M$1608</f>
        <v>0</v>
      </c>
      <c r="L2105" s="10" t="b">
        <f>Github!N$1608</f>
        <v>0</v>
      </c>
      <c r="M2105" s="10" t="str">
        <f>ROUND(Github!O$1608, 2)&amp;"%"</f>
        <v>54.47%</v>
      </c>
      <c r="N2105" s="10">
        <f>Github!P$1608</f>
        <v>12247</v>
      </c>
      <c r="O2105" s="10">
        <f>Github!Q$1608</f>
        <v>22483</v>
      </c>
    </row>
    <row r="2106">
      <c r="A2106" s="10">
        <f>Github!J$1280</f>
        <v>1279</v>
      </c>
      <c r="B2106" s="11" t="str">
        <f>HYPERLINK(CONCAT("http://leetcode.com/problems/",Github!C$1280), Github!B$1280)</f>
        <v>Traffic Light Controlled Intersection</v>
      </c>
      <c r="C2106" s="10">
        <f>Github!F$1280</f>
        <v>49</v>
      </c>
      <c r="D2106" s="10">
        <f>Github!G$1280</f>
        <v>236</v>
      </c>
      <c r="E2106" s="10">
        <f>Github!F$1280+Github!G$1280</f>
        <v>285</v>
      </c>
      <c r="F2106" s="12">
        <f t="shared" si="1"/>
        <v>0.21</v>
      </c>
      <c r="G2106" s="10" t="str">
        <f>Github!H$1280</f>
        <v>Concurrency</v>
      </c>
      <c r="H2106" s="13" t="str">
        <f>SUBSTITUTE(Github!L$1280, ";", ", ")</f>
        <v>Concurrency, </v>
      </c>
      <c r="I2106" s="10" t="str">
        <f>Github!E$1280</f>
        <v>Easy</v>
      </c>
      <c r="J2106" s="10" t="str">
        <f>IF(TRIM(Github!D$1280)="TRUE","FALSE","TRUE")</f>
        <v>FALSE</v>
      </c>
      <c r="K2106" s="10" t="b">
        <f>Github!M$1280</f>
        <v>0</v>
      </c>
      <c r="L2106" s="10" t="b">
        <f>Github!N$1280</f>
        <v>0</v>
      </c>
      <c r="M2106" s="10" t="str">
        <f>ROUND(Github!O$1280, 2)&amp;"%"</f>
        <v>75.48%</v>
      </c>
      <c r="N2106" s="10">
        <f>Github!P$1280</f>
        <v>8252</v>
      </c>
      <c r="O2106" s="10">
        <f>Github!Q$1280</f>
        <v>10933</v>
      </c>
    </row>
    <row r="2107">
      <c r="A2107" s="10">
        <f>Github!J$1460</f>
        <v>1459</v>
      </c>
      <c r="B2107" s="11" t="str">
        <f>HYPERLINK(CONCAT("http://leetcode.com/problems/",Github!C$1460), Github!B$1460)</f>
        <v>Rectangles Area</v>
      </c>
      <c r="C2107" s="10">
        <f>Github!F$1460</f>
        <v>49</v>
      </c>
      <c r="D2107" s="10">
        <f>Github!G$1460</f>
        <v>87</v>
      </c>
      <c r="E2107" s="10">
        <f>Github!F$1460+Github!G$1460</f>
        <v>136</v>
      </c>
      <c r="F2107" s="12">
        <f t="shared" si="1"/>
        <v>0.56</v>
      </c>
      <c r="G2107" s="10" t="str">
        <f>Github!H$1460</f>
        <v>Database</v>
      </c>
      <c r="H2107" s="13" t="str">
        <f>SUBSTITUTE(Github!L$1460, ";", ", ")</f>
        <v>Database, </v>
      </c>
      <c r="I2107" s="10" t="str">
        <f>Github!E$1460</f>
        <v>Medium</v>
      </c>
      <c r="J2107" s="10" t="str">
        <f>IF(TRIM(Github!D$1460)="TRUE","FALSE","TRUE")</f>
        <v>FALSE</v>
      </c>
      <c r="K2107" s="10" t="b">
        <f>Github!M$1460</f>
        <v>0</v>
      </c>
      <c r="L2107" s="10" t="b">
        <f>Github!N$1460</f>
        <v>0</v>
      </c>
      <c r="M2107" s="10" t="str">
        <f>ROUND(Github!O$1460, 2)&amp;"%"</f>
        <v>68.24%</v>
      </c>
      <c r="N2107" s="10">
        <f>Github!P$1460</f>
        <v>8480</v>
      </c>
      <c r="O2107" s="10">
        <f>Github!Q$1460</f>
        <v>12429</v>
      </c>
    </row>
    <row r="2108">
      <c r="A2108" s="10">
        <f>Github!J$2005</f>
        <v>2004</v>
      </c>
      <c r="B2108" s="11" t="str">
        <f>HYPERLINK(CONCAT("http://leetcode.com/problems/",Github!C$2005), Github!B$2005)</f>
        <v>The Number of Seniors and Juniors to Join the Company</v>
      </c>
      <c r="C2108" s="10">
        <f>Github!F$2005</f>
        <v>49</v>
      </c>
      <c r="D2108" s="10">
        <f>Github!G$2005</f>
        <v>4</v>
      </c>
      <c r="E2108" s="10">
        <f>Github!F$2005+Github!G$2005</f>
        <v>53</v>
      </c>
      <c r="F2108" s="12">
        <f t="shared" si="1"/>
        <v>12.25</v>
      </c>
      <c r="G2108" s="10" t="str">
        <f>Github!H$2005</f>
        <v>Database</v>
      </c>
      <c r="H2108" s="13" t="str">
        <f>SUBSTITUTE(Github!L$2005, ";", ", ")</f>
        <v>Database, </v>
      </c>
      <c r="I2108" s="10" t="str">
        <f>Github!E$2005</f>
        <v>Hard</v>
      </c>
      <c r="J2108" s="10" t="str">
        <f>IF(TRIM(Github!D$2005)="TRUE","FALSE","TRUE")</f>
        <v>FALSE</v>
      </c>
      <c r="K2108" s="10" t="b">
        <f>Github!M$2005</f>
        <v>0</v>
      </c>
      <c r="L2108" s="10" t="b">
        <f>Github!N$2005</f>
        <v>0</v>
      </c>
      <c r="M2108" s="10" t="str">
        <f>ROUND(Github!O$2005, 2)&amp;"%"</f>
        <v>37.95%</v>
      </c>
      <c r="N2108" s="10">
        <f>Github!P$2005</f>
        <v>2511</v>
      </c>
      <c r="O2108" s="10">
        <f>Github!Q$2005</f>
        <v>6617</v>
      </c>
    </row>
    <row r="2109">
      <c r="A2109" s="10">
        <f>Github!J$1842</f>
        <v>1841</v>
      </c>
      <c r="B2109" s="11" t="str">
        <f>HYPERLINK(CONCAT("http://leetcode.com/problems/",Github!C$1842), Github!B$1842)</f>
        <v>League Statistics</v>
      </c>
      <c r="C2109" s="10">
        <f>Github!F$1842</f>
        <v>48</v>
      </c>
      <c r="D2109" s="10">
        <f>Github!G$1842</f>
        <v>29</v>
      </c>
      <c r="E2109" s="10">
        <f>Github!F$1842+Github!G$1842</f>
        <v>77</v>
      </c>
      <c r="F2109" s="12">
        <f t="shared" si="1"/>
        <v>1.66</v>
      </c>
      <c r="G2109" s="10" t="str">
        <f>Github!H$1842</f>
        <v>Database</v>
      </c>
      <c r="H2109" s="13" t="str">
        <f>SUBSTITUTE(Github!L$1842, ";", ", ")</f>
        <v>Database, </v>
      </c>
      <c r="I2109" s="10" t="str">
        <f>Github!E$1842</f>
        <v>Medium</v>
      </c>
      <c r="J2109" s="10" t="str">
        <f>IF(TRIM(Github!D$1842)="TRUE","FALSE","TRUE")</f>
        <v>FALSE</v>
      </c>
      <c r="K2109" s="10" t="b">
        <f>Github!M$1842</f>
        <v>0</v>
      </c>
      <c r="L2109" s="10" t="b">
        <f>Github!N$1842</f>
        <v>0</v>
      </c>
      <c r="M2109" s="10" t="str">
        <f>ROUND(Github!O$1842, 2)&amp;"%"</f>
        <v>58.75%</v>
      </c>
      <c r="N2109" s="10">
        <f>Github!P$1842</f>
        <v>4946</v>
      </c>
      <c r="O2109" s="10">
        <f>Github!Q$1842</f>
        <v>8419</v>
      </c>
    </row>
    <row r="2110">
      <c r="A2110" s="10">
        <f>Github!J$1624</f>
        <v>1623</v>
      </c>
      <c r="B2110" s="11" t="str">
        <f>HYPERLINK(CONCAT("http://leetcode.com/problems/",Github!C$1624), Github!B$1624)</f>
        <v>All Valid Triplets That Can Represent a Country</v>
      </c>
      <c r="C2110" s="10">
        <f>Github!F$1624</f>
        <v>47</v>
      </c>
      <c r="D2110" s="10">
        <f>Github!G$1624</f>
        <v>83</v>
      </c>
      <c r="E2110" s="10">
        <f>Github!F$1624+Github!G$1624</f>
        <v>130</v>
      </c>
      <c r="F2110" s="12">
        <f t="shared" si="1"/>
        <v>0.57</v>
      </c>
      <c r="G2110" s="10" t="str">
        <f>Github!H$1624</f>
        <v>Database</v>
      </c>
      <c r="H2110" s="13" t="str">
        <f>SUBSTITUTE(Github!L$1624, ";", ", ")</f>
        <v>Database, </v>
      </c>
      <c r="I2110" s="10" t="str">
        <f>Github!E$1624</f>
        <v>Easy</v>
      </c>
      <c r="J2110" s="10" t="str">
        <f>IF(TRIM(Github!D$1624)="TRUE","FALSE","TRUE")</f>
        <v>FALSE</v>
      </c>
      <c r="K2110" s="10" t="b">
        <f>Github!M$1624</f>
        <v>0</v>
      </c>
      <c r="L2110" s="10" t="b">
        <f>Github!N$1624</f>
        <v>0</v>
      </c>
      <c r="M2110" s="10" t="str">
        <f>ROUND(Github!O$1624, 2)&amp;"%"</f>
        <v>88.45%</v>
      </c>
      <c r="N2110" s="10">
        <f>Github!P$1624</f>
        <v>12238</v>
      </c>
      <c r="O2110" s="10">
        <f>Github!Q$1624</f>
        <v>13836</v>
      </c>
    </row>
    <row r="2111">
      <c r="A2111" s="10">
        <f>Github!J$1716</f>
        <v>1715</v>
      </c>
      <c r="B2111" s="11" t="str">
        <f>HYPERLINK(CONCAT("http://leetcode.com/problems/",Github!C$1716), Github!B$1716)</f>
        <v>Count Apples and Oranges</v>
      </c>
      <c r="C2111" s="10">
        <f>Github!F$1716</f>
        <v>47</v>
      </c>
      <c r="D2111" s="10">
        <f>Github!G$1716</f>
        <v>7</v>
      </c>
      <c r="E2111" s="10">
        <f>Github!F$1716+Github!G$1716</f>
        <v>54</v>
      </c>
      <c r="F2111" s="12">
        <f t="shared" si="1"/>
        <v>6.71</v>
      </c>
      <c r="G2111" s="10" t="str">
        <f>Github!H$1716</f>
        <v>Database</v>
      </c>
      <c r="H2111" s="13" t="str">
        <f>SUBSTITUTE(Github!L$1716, ";", ", ")</f>
        <v>Database, </v>
      </c>
      <c r="I2111" s="10" t="str">
        <f>Github!E$1716</f>
        <v>Medium</v>
      </c>
      <c r="J2111" s="10" t="str">
        <f>IF(TRIM(Github!D$1716)="TRUE","FALSE","TRUE")</f>
        <v>FALSE</v>
      </c>
      <c r="K2111" s="10" t="b">
        <f>Github!M$1716</f>
        <v>0</v>
      </c>
      <c r="L2111" s="10" t="b">
        <f>Github!N$1716</f>
        <v>0</v>
      </c>
      <c r="M2111" s="10" t="str">
        <f>ROUND(Github!O$1716, 2)&amp;"%"</f>
        <v>77.95%</v>
      </c>
      <c r="N2111" s="10">
        <f>Github!P$1716</f>
        <v>7852</v>
      </c>
      <c r="O2111" s="10">
        <f>Github!Q$1716</f>
        <v>10073</v>
      </c>
    </row>
    <row r="2112">
      <c r="A2112" s="10">
        <f>Github!J$1810</f>
        <v>1809</v>
      </c>
      <c r="B2112" s="11" t="str">
        <f>HYPERLINK(CONCAT("http://leetcode.com/problems/",Github!C$1810), Github!B$1810)</f>
        <v>Ad-Free Sessions</v>
      </c>
      <c r="C2112" s="10">
        <f>Github!F$1810</f>
        <v>47</v>
      </c>
      <c r="D2112" s="10">
        <f>Github!G$1810</f>
        <v>23</v>
      </c>
      <c r="E2112" s="10">
        <f>Github!F$1810+Github!G$1810</f>
        <v>70</v>
      </c>
      <c r="F2112" s="12">
        <f t="shared" si="1"/>
        <v>2.04</v>
      </c>
      <c r="G2112" s="10" t="str">
        <f>Github!H$1810</f>
        <v>Database</v>
      </c>
      <c r="H2112" s="13" t="str">
        <f>SUBSTITUTE(Github!L$1810, ";", ", ")</f>
        <v>Database, </v>
      </c>
      <c r="I2112" s="10" t="str">
        <f>Github!E$1810</f>
        <v>Easy</v>
      </c>
      <c r="J2112" s="10" t="str">
        <f>IF(TRIM(Github!D$1810)="TRUE","FALSE","TRUE")</f>
        <v>FALSE</v>
      </c>
      <c r="K2112" s="10" t="b">
        <f>Github!M$1810</f>
        <v>0</v>
      </c>
      <c r="L2112" s="10" t="b">
        <f>Github!N$1810</f>
        <v>0</v>
      </c>
      <c r="M2112" s="10" t="str">
        <f>ROUND(Github!O$1810, 2)&amp;"%"</f>
        <v>59.97%</v>
      </c>
      <c r="N2112" s="10">
        <f>Github!P$1810</f>
        <v>8023</v>
      </c>
      <c r="O2112" s="10">
        <f>Github!Q$1810</f>
        <v>13380</v>
      </c>
    </row>
    <row r="2113">
      <c r="A2113" s="10">
        <f>Github!J$1874</f>
        <v>1873</v>
      </c>
      <c r="B2113" s="11" t="str">
        <f>HYPERLINK(CONCAT("http://leetcode.com/problems/",Github!C$1874), Github!B$1874)</f>
        <v>Calculate Special Bonus</v>
      </c>
      <c r="C2113" s="10">
        <f>Github!F$1874</f>
        <v>47</v>
      </c>
      <c r="D2113" s="10">
        <f>Github!G$1874</f>
        <v>1</v>
      </c>
      <c r="E2113" s="10">
        <f>Github!F$1874+Github!G$1874</f>
        <v>48</v>
      </c>
      <c r="F2113" s="12">
        <f t="shared" si="1"/>
        <v>47</v>
      </c>
      <c r="G2113" s="10" t="str">
        <f>Github!H$1874</f>
        <v>Database</v>
      </c>
      <c r="H2113" s="13" t="str">
        <f>SUBSTITUTE(Github!L$1874, ";", ", ")</f>
        <v>Database, </v>
      </c>
      <c r="I2113" s="10" t="str">
        <f>Github!E$1874</f>
        <v>Easy</v>
      </c>
      <c r="J2113" s="10" t="str">
        <f>IF(TRIM(Github!D$1874)="TRUE","FALSE","TRUE")</f>
        <v>FALSE</v>
      </c>
      <c r="K2113" s="10" t="b">
        <f>Github!M$1874</f>
        <v>0</v>
      </c>
      <c r="L2113" s="10" t="b">
        <f>Github!N$1874</f>
        <v>0</v>
      </c>
      <c r="M2113" s="10" t="str">
        <f>ROUND(Github!O$1874, 2)&amp;"%"</f>
        <v>91.1%</v>
      </c>
      <c r="N2113" s="10">
        <f>Github!P$1874</f>
        <v>8029</v>
      </c>
      <c r="O2113" s="10">
        <f>Github!Q$1874</f>
        <v>8813</v>
      </c>
    </row>
    <row r="2114">
      <c r="A2114" s="10">
        <f>Github!J$1893</f>
        <v>1892</v>
      </c>
      <c r="B2114" s="11" t="str">
        <f>HYPERLINK(CONCAT("http://leetcode.com/problems/",Github!C$1893), Github!B$1893)</f>
        <v>Page Recommendations II</v>
      </c>
      <c r="C2114" s="10">
        <f>Github!F$1893</f>
        <v>47</v>
      </c>
      <c r="D2114" s="10">
        <f>Github!G$1893</f>
        <v>11</v>
      </c>
      <c r="E2114" s="10">
        <f>Github!F$1893+Github!G$1893</f>
        <v>58</v>
      </c>
      <c r="F2114" s="12">
        <f t="shared" si="1"/>
        <v>4.27</v>
      </c>
      <c r="G2114" s="10" t="str">
        <f>Github!H$1893</f>
        <v>Database</v>
      </c>
      <c r="H2114" s="13" t="str">
        <f>SUBSTITUTE(Github!L$1893, ";", ", ")</f>
        <v>Database, </v>
      </c>
      <c r="I2114" s="10" t="str">
        <f>Github!E$1893</f>
        <v>Hard</v>
      </c>
      <c r="J2114" s="10" t="str">
        <f>IF(TRIM(Github!D$1893)="TRUE","FALSE","TRUE")</f>
        <v>FALSE</v>
      </c>
      <c r="K2114" s="10" t="b">
        <f>Github!M$1893</f>
        <v>0</v>
      </c>
      <c r="L2114" s="10" t="b">
        <f>Github!N$1893</f>
        <v>0</v>
      </c>
      <c r="M2114" s="10" t="str">
        <f>ROUND(Github!O$1893, 2)&amp;"%"</f>
        <v>43.99%</v>
      </c>
      <c r="N2114" s="10">
        <f>Github!P$1893</f>
        <v>3225</v>
      </c>
      <c r="O2114" s="10">
        <f>Github!Q$1893</f>
        <v>7331</v>
      </c>
    </row>
    <row r="2115">
      <c r="A2115" s="10">
        <f>Github!J$2062</f>
        <v>2061</v>
      </c>
      <c r="B2115" s="11" t="str">
        <f>HYPERLINK(CONCAT("http://leetcode.com/problems/",Github!C$2062), Github!B$2062)</f>
        <v>Number of Spaces Cleaning Robot Cleaned</v>
      </c>
      <c r="C2115" s="10">
        <f>Github!F$2062</f>
        <v>47</v>
      </c>
      <c r="D2115" s="10">
        <f>Github!G$2062</f>
        <v>12</v>
      </c>
      <c r="E2115" s="10">
        <f>Github!F$2062+Github!G$2062</f>
        <v>59</v>
      </c>
      <c r="F2115" s="12">
        <f t="shared" si="1"/>
        <v>3.92</v>
      </c>
      <c r="G2115" s="10" t="str">
        <f>Github!H$2062</f>
        <v>Algorithms</v>
      </c>
      <c r="H2115" s="13" t="str">
        <f>SUBSTITUTE(Github!L$2062, ";", ", ")</f>
        <v>Array, Matrix, Simulation, </v>
      </c>
      <c r="I2115" s="10" t="str">
        <f>Github!E$2062</f>
        <v>Medium</v>
      </c>
      <c r="J2115" s="10" t="str">
        <f>IF(TRIM(Github!D$2062)="TRUE","FALSE","TRUE")</f>
        <v>FALSE</v>
      </c>
      <c r="K2115" s="10" t="b">
        <f>Github!M$2062</f>
        <v>0</v>
      </c>
      <c r="L2115" s="10" t="b">
        <f>Github!N$2062</f>
        <v>0</v>
      </c>
      <c r="M2115" s="10" t="str">
        <f>ROUND(Github!O$2062, 2)&amp;"%"</f>
        <v>54.98%</v>
      </c>
      <c r="N2115" s="10">
        <f>Github!P$2062</f>
        <v>1981</v>
      </c>
      <c r="O2115" s="10">
        <f>Github!Q$2062</f>
        <v>3603</v>
      </c>
    </row>
    <row r="2116">
      <c r="A2116" s="10">
        <f>Github!J$1634</f>
        <v>1633</v>
      </c>
      <c r="B2116" s="11" t="str">
        <f>HYPERLINK(CONCAT("http://leetcode.com/problems/",Github!C$1634), Github!B$1634)</f>
        <v>Percentage of Users Attended a Contest</v>
      </c>
      <c r="C2116" s="10">
        <f>Github!F$1634</f>
        <v>46</v>
      </c>
      <c r="D2116" s="10">
        <f>Github!G$1634</f>
        <v>12</v>
      </c>
      <c r="E2116" s="10">
        <f>Github!F$1634+Github!G$1634</f>
        <v>58</v>
      </c>
      <c r="F2116" s="12">
        <f t="shared" si="1"/>
        <v>3.83</v>
      </c>
      <c r="G2116" s="10" t="str">
        <f>Github!H$1634</f>
        <v>Database</v>
      </c>
      <c r="H2116" s="13" t="str">
        <f>SUBSTITUTE(Github!L$1634, ";", ", ")</f>
        <v>Database, </v>
      </c>
      <c r="I2116" s="10" t="str">
        <f>Github!E$1634</f>
        <v>Easy</v>
      </c>
      <c r="J2116" s="10" t="str">
        <f>IF(TRIM(Github!D$1634)="TRUE","FALSE","TRUE")</f>
        <v>FALSE</v>
      </c>
      <c r="K2116" s="10" t="b">
        <f>Github!M$1634</f>
        <v>0</v>
      </c>
      <c r="L2116" s="10" t="b">
        <f>Github!N$1634</f>
        <v>0</v>
      </c>
      <c r="M2116" s="10" t="str">
        <f>ROUND(Github!O$1634, 2)&amp;"%"</f>
        <v>69.34%</v>
      </c>
      <c r="N2116" s="10">
        <f>Github!P$1634</f>
        <v>10925</v>
      </c>
      <c r="O2116" s="10">
        <f>Github!Q$1634</f>
        <v>15756</v>
      </c>
    </row>
    <row r="2117">
      <c r="A2117" s="10">
        <f>Github!J$1973</f>
        <v>1972</v>
      </c>
      <c r="B2117" s="11" t="str">
        <f>HYPERLINK(CONCAT("http://leetcode.com/problems/",Github!C$1973), Github!B$1973)</f>
        <v>First and Last Call On the Same Day</v>
      </c>
      <c r="C2117" s="10">
        <f>Github!F$1973</f>
        <v>46</v>
      </c>
      <c r="D2117" s="10">
        <f>Github!G$1973</f>
        <v>8</v>
      </c>
      <c r="E2117" s="10">
        <f>Github!F$1973+Github!G$1973</f>
        <v>54</v>
      </c>
      <c r="F2117" s="12">
        <f t="shared" si="1"/>
        <v>5.75</v>
      </c>
      <c r="G2117" s="10" t="str">
        <f>Github!H$1973</f>
        <v>Database</v>
      </c>
      <c r="H2117" s="13" t="str">
        <f>SUBSTITUTE(Github!L$1973, ";", ", ")</f>
        <v>Database, </v>
      </c>
      <c r="I2117" s="10" t="str">
        <f>Github!E$1973</f>
        <v>Hard</v>
      </c>
      <c r="J2117" s="10" t="str">
        <f>IF(TRIM(Github!D$1973)="TRUE","FALSE","TRUE")</f>
        <v>FALSE</v>
      </c>
      <c r="K2117" s="10" t="b">
        <f>Github!M$1973</f>
        <v>0</v>
      </c>
      <c r="L2117" s="10" t="b">
        <f>Github!N$1973</f>
        <v>0</v>
      </c>
      <c r="M2117" s="10" t="str">
        <f>ROUND(Github!O$1973, 2)&amp;"%"</f>
        <v>51.38%</v>
      </c>
      <c r="N2117" s="10">
        <f>Github!P$1973</f>
        <v>2436</v>
      </c>
      <c r="O2117" s="10">
        <f>Github!Q$1973</f>
        <v>4741</v>
      </c>
    </row>
    <row r="2118">
      <c r="A2118" s="10">
        <f>Github!J$1094</f>
        <v>1093</v>
      </c>
      <c r="B2118" s="11" t="str">
        <f>HYPERLINK(CONCAT("http://leetcode.com/problems/",Github!C$1094), Github!B$1094)</f>
        <v>Statistics from a Large Sample</v>
      </c>
      <c r="C2118" s="10">
        <f>Github!F$1094</f>
        <v>45</v>
      </c>
      <c r="D2118" s="10">
        <f>Github!G$1094</f>
        <v>50</v>
      </c>
      <c r="E2118" s="10">
        <f>Github!F$1094+Github!G$1094</f>
        <v>95</v>
      </c>
      <c r="F2118" s="12">
        <f t="shared" si="1"/>
        <v>0.9</v>
      </c>
      <c r="G2118" s="10" t="str">
        <f>Github!H$1094</f>
        <v>Algorithms</v>
      </c>
      <c r="H2118" s="13" t="str">
        <f>SUBSTITUTE(Github!L$1094, ";", ", ")</f>
        <v>Math, Two Pointers, Probability and Statistics, </v>
      </c>
      <c r="I2118" s="10" t="str">
        <f>Github!E$1094</f>
        <v>Medium</v>
      </c>
      <c r="J2118" s="10" t="str">
        <f>IF(TRIM(Github!D$1094)="TRUE","FALSE","TRUE")</f>
        <v>TRUE</v>
      </c>
      <c r="K2118" s="10" t="b">
        <f>Github!M$1094</f>
        <v>0</v>
      </c>
      <c r="L2118" s="10" t="b">
        <f>Github!N$1094</f>
        <v>0</v>
      </c>
      <c r="M2118" s="10" t="str">
        <f>ROUND(Github!O$1094, 2)&amp;"%"</f>
        <v>46.09%</v>
      </c>
      <c r="N2118" s="10">
        <f>Github!P$1094</f>
        <v>13001</v>
      </c>
      <c r="O2118" s="10">
        <f>Github!Q$1094</f>
        <v>28210</v>
      </c>
    </row>
    <row r="2119">
      <c r="A2119" s="10">
        <f>Github!J$1667</f>
        <v>1666</v>
      </c>
      <c r="B2119" s="11" t="str">
        <f>HYPERLINK(CONCAT("http://leetcode.com/problems/",Github!C$1667), Github!B$1667)</f>
        <v>Change the Root of a Binary Tree</v>
      </c>
      <c r="C2119" s="10">
        <f>Github!F$1667</f>
        <v>43</v>
      </c>
      <c r="D2119" s="10">
        <f>Github!G$1667</f>
        <v>106</v>
      </c>
      <c r="E2119" s="10">
        <f>Github!F$1667+Github!G$1667</f>
        <v>149</v>
      </c>
      <c r="F2119" s="12">
        <f t="shared" si="1"/>
        <v>0.41</v>
      </c>
      <c r="G2119" s="10" t="str">
        <f>Github!H$1667</f>
        <v>Algorithms</v>
      </c>
      <c r="H2119" s="13" t="str">
        <f>SUBSTITUTE(Github!L$1667, ";", ", ")</f>
        <v>Tree, Depth-First Search, Binary Tree, </v>
      </c>
      <c r="I2119" s="10" t="str">
        <f>Github!E$1667</f>
        <v>Medium</v>
      </c>
      <c r="J2119" s="10" t="str">
        <f>IF(TRIM(Github!D$1667)="TRUE","FALSE","TRUE")</f>
        <v>FALSE</v>
      </c>
      <c r="K2119" s="10" t="b">
        <f>Github!M$1667</f>
        <v>0</v>
      </c>
      <c r="L2119" s="10" t="b">
        <f>Github!N$1667</f>
        <v>0</v>
      </c>
      <c r="M2119" s="10" t="str">
        <f>ROUND(Github!O$1667, 2)&amp;"%"</f>
        <v>67.67%</v>
      </c>
      <c r="N2119" s="10">
        <f>Github!P$1667</f>
        <v>2228</v>
      </c>
      <c r="O2119" s="10">
        <f>Github!Q$1667</f>
        <v>3293</v>
      </c>
    </row>
    <row r="2120">
      <c r="A2120" s="10">
        <f>Github!J$1725</f>
        <v>1724</v>
      </c>
      <c r="B2120" s="11" t="str">
        <f>HYPERLINK(CONCAT("http://leetcode.com/problems/",Github!C$1725), Github!B$1725)</f>
        <v>Checking Existence of Edge Length Limited Paths II</v>
      </c>
      <c r="C2120" s="10">
        <f>Github!F$1725</f>
        <v>43</v>
      </c>
      <c r="D2120" s="10">
        <f>Github!G$1725</f>
        <v>6</v>
      </c>
      <c r="E2120" s="10">
        <f>Github!F$1725+Github!G$1725</f>
        <v>49</v>
      </c>
      <c r="F2120" s="12">
        <f t="shared" si="1"/>
        <v>7.17</v>
      </c>
      <c r="G2120" s="10" t="str">
        <f>Github!H$1725</f>
        <v>Algorithms</v>
      </c>
      <c r="H2120" s="13" t="str">
        <f>SUBSTITUTE(Github!L$1725, ";", ", ")</f>
        <v>Union Find, Graph, Minimum Spanning Tree, </v>
      </c>
      <c r="I2120" s="10" t="str">
        <f>Github!E$1725</f>
        <v>Hard</v>
      </c>
      <c r="J2120" s="10" t="str">
        <f>IF(TRIM(Github!D$1725)="TRUE","FALSE","TRUE")</f>
        <v>FALSE</v>
      </c>
      <c r="K2120" s="10" t="b">
        <f>Github!M$1725</f>
        <v>0</v>
      </c>
      <c r="L2120" s="10" t="b">
        <f>Github!N$1725</f>
        <v>0</v>
      </c>
      <c r="M2120" s="10" t="str">
        <f>ROUND(Github!O$1725, 2)&amp;"%"</f>
        <v>52.31%</v>
      </c>
      <c r="N2120" s="10">
        <f>Github!P$1725</f>
        <v>1564</v>
      </c>
      <c r="O2120" s="10">
        <f>Github!Q$1725</f>
        <v>2990</v>
      </c>
    </row>
    <row r="2121">
      <c r="A2121" s="10">
        <f>Github!J$1773</f>
        <v>1772</v>
      </c>
      <c r="B2121" s="11" t="str">
        <f>HYPERLINK(CONCAT("http://leetcode.com/problems/",Github!C$1773), Github!B$1773)</f>
        <v>Sort Features by Popularity</v>
      </c>
      <c r="C2121" s="10">
        <f>Github!F$1773</f>
        <v>43</v>
      </c>
      <c r="D2121" s="10">
        <f>Github!G$1773</f>
        <v>35</v>
      </c>
      <c r="E2121" s="10">
        <f>Github!F$1773+Github!G$1773</f>
        <v>78</v>
      </c>
      <c r="F2121" s="12">
        <f t="shared" si="1"/>
        <v>1.23</v>
      </c>
      <c r="G2121" s="10" t="str">
        <f>Github!H$1773</f>
        <v>Algorithms</v>
      </c>
      <c r="H2121" s="13" t="str">
        <f>SUBSTITUTE(Github!L$1773, ";", ", ")</f>
        <v>Array, Hash Table, String, Sorting, </v>
      </c>
      <c r="I2121" s="10" t="str">
        <f>Github!E$1773</f>
        <v>Medium</v>
      </c>
      <c r="J2121" s="10" t="str">
        <f>IF(TRIM(Github!D$1773)="TRUE","FALSE","TRUE")</f>
        <v>FALSE</v>
      </c>
      <c r="K2121" s="10" t="b">
        <f>Github!M$1773</f>
        <v>0</v>
      </c>
      <c r="L2121" s="10" t="b">
        <f>Github!N$1773</f>
        <v>0</v>
      </c>
      <c r="M2121" s="10" t="str">
        <f>ROUND(Github!O$1773, 2)&amp;"%"</f>
        <v>65.3%</v>
      </c>
      <c r="N2121" s="10">
        <f>Github!P$1773</f>
        <v>3406</v>
      </c>
      <c r="O2121" s="10">
        <f>Github!Q$1773</f>
        <v>5216</v>
      </c>
    </row>
    <row r="2122">
      <c r="A2122" s="10">
        <f>Github!J$1789</f>
        <v>1788</v>
      </c>
      <c r="B2122" s="11" t="str">
        <f>HYPERLINK(CONCAT("http://leetcode.com/problems/",Github!C$1789), Github!B$1789)</f>
        <v>Maximize the Beauty of the Garden</v>
      </c>
      <c r="C2122" s="10">
        <f>Github!F$1789</f>
        <v>43</v>
      </c>
      <c r="D2122" s="10">
        <f>Github!G$1789</f>
        <v>4</v>
      </c>
      <c r="E2122" s="10">
        <f>Github!F$1789+Github!G$1789</f>
        <v>47</v>
      </c>
      <c r="F2122" s="12">
        <f t="shared" si="1"/>
        <v>10.75</v>
      </c>
      <c r="G2122" s="10" t="str">
        <f>Github!H$1789</f>
        <v>Algorithms</v>
      </c>
      <c r="H2122" s="13" t="str">
        <f>SUBSTITUTE(Github!L$1789, ";", ", ")</f>
        <v>Array, Greedy, Prefix Sum, </v>
      </c>
      <c r="I2122" s="10" t="str">
        <f>Github!E$1789</f>
        <v>Hard</v>
      </c>
      <c r="J2122" s="10" t="str">
        <f>IF(TRIM(Github!D$1789)="TRUE","FALSE","TRUE")</f>
        <v>FALSE</v>
      </c>
      <c r="K2122" s="10" t="b">
        <f>Github!M$1789</f>
        <v>0</v>
      </c>
      <c r="L2122" s="10" t="b">
        <f>Github!N$1789</f>
        <v>0</v>
      </c>
      <c r="M2122" s="10" t="str">
        <f>ROUND(Github!O$1789, 2)&amp;"%"</f>
        <v>67.15%</v>
      </c>
      <c r="N2122" s="10">
        <f>Github!P$1789</f>
        <v>1298</v>
      </c>
      <c r="O2122" s="10">
        <f>Github!Q$1789</f>
        <v>1933</v>
      </c>
    </row>
    <row r="2123">
      <c r="A2123" s="10">
        <f>Github!J$1827</f>
        <v>1826</v>
      </c>
      <c r="B2123" s="11" t="str">
        <f>HYPERLINK(CONCAT("http://leetcode.com/problems/",Github!C$1827), Github!B$1827)</f>
        <v>Faulty Sensor</v>
      </c>
      <c r="C2123" s="10">
        <f>Github!F$1827</f>
        <v>43</v>
      </c>
      <c r="D2123" s="10">
        <f>Github!G$1827</f>
        <v>35</v>
      </c>
      <c r="E2123" s="10">
        <f>Github!F$1827+Github!G$1827</f>
        <v>78</v>
      </c>
      <c r="F2123" s="12">
        <f t="shared" si="1"/>
        <v>1.23</v>
      </c>
      <c r="G2123" s="10" t="str">
        <f>Github!H$1827</f>
        <v>Algorithms</v>
      </c>
      <c r="H2123" s="13" t="str">
        <f>SUBSTITUTE(Github!L$1827, ";", ", ")</f>
        <v>Array, Two Pointers, </v>
      </c>
      <c r="I2123" s="10" t="str">
        <f>Github!E$1827</f>
        <v>Easy</v>
      </c>
      <c r="J2123" s="10" t="str">
        <f>IF(TRIM(Github!D$1827)="TRUE","FALSE","TRUE")</f>
        <v>FALSE</v>
      </c>
      <c r="K2123" s="10" t="b">
        <f>Github!M$1827</f>
        <v>0</v>
      </c>
      <c r="L2123" s="10" t="b">
        <f>Github!N$1827</f>
        <v>0</v>
      </c>
      <c r="M2123" s="10" t="str">
        <f>ROUND(Github!O$1827, 2)&amp;"%"</f>
        <v>49.87%</v>
      </c>
      <c r="N2123" s="10">
        <f>Github!P$1827</f>
        <v>2503</v>
      </c>
      <c r="O2123" s="10">
        <f>Github!Q$1827</f>
        <v>5019</v>
      </c>
    </row>
    <row r="2124">
      <c r="A2124" s="10">
        <f>Github!J$2068</f>
        <v>2067</v>
      </c>
      <c r="B2124" s="11" t="str">
        <f>HYPERLINK(CONCAT("http://leetcode.com/problems/",Github!C$2068), Github!B$2068)</f>
        <v>Number of Equal Count Substrings</v>
      </c>
      <c r="C2124" s="10">
        <f>Github!F$2068</f>
        <v>42</v>
      </c>
      <c r="D2124" s="10">
        <f>Github!G$2068</f>
        <v>4</v>
      </c>
      <c r="E2124" s="10">
        <f>Github!F$2068+Github!G$2068</f>
        <v>46</v>
      </c>
      <c r="F2124" s="12">
        <f t="shared" si="1"/>
        <v>10.5</v>
      </c>
      <c r="G2124" s="10" t="str">
        <f>Github!H$2068</f>
        <v>Algorithms</v>
      </c>
      <c r="H2124" s="13" t="str">
        <f>SUBSTITUTE(Github!L$2068, ";", ", ")</f>
        <v>String, Counting, Prefix Sum, </v>
      </c>
      <c r="I2124" s="10" t="str">
        <f>Github!E$2068</f>
        <v>Medium</v>
      </c>
      <c r="J2124" s="10" t="str">
        <f>IF(TRIM(Github!D$2068)="TRUE","FALSE","TRUE")</f>
        <v>FALSE</v>
      </c>
      <c r="K2124" s="10" t="b">
        <f>Github!M$2068</f>
        <v>0</v>
      </c>
      <c r="L2124" s="10" t="b">
        <f>Github!N$2068</f>
        <v>0</v>
      </c>
      <c r="M2124" s="10" t="str">
        <f>ROUND(Github!O$2068, 2)&amp;"%"</f>
        <v>50.94%</v>
      </c>
      <c r="N2124" s="10">
        <f>Github!P$2068</f>
        <v>893</v>
      </c>
      <c r="O2124" s="10">
        <f>Github!Q$2068</f>
        <v>1751</v>
      </c>
    </row>
    <row r="2125">
      <c r="A2125" s="10">
        <f>Github!J$2078</f>
        <v>2077</v>
      </c>
      <c r="B2125" s="11" t="str">
        <f>HYPERLINK(CONCAT("http://leetcode.com/problems/",Github!C$2078), Github!B$2078)</f>
        <v>Paths in Maze That Lead to Same Room</v>
      </c>
      <c r="C2125" s="10">
        <f>Github!F$2078</f>
        <v>42</v>
      </c>
      <c r="D2125" s="10">
        <f>Github!G$2078</f>
        <v>4</v>
      </c>
      <c r="E2125" s="10">
        <f>Github!F$2078+Github!G$2078</f>
        <v>46</v>
      </c>
      <c r="F2125" s="12">
        <f t="shared" si="1"/>
        <v>10.5</v>
      </c>
      <c r="G2125" s="10" t="str">
        <f>Github!H$2078</f>
        <v>Algorithms</v>
      </c>
      <c r="H2125" s="13" t="str">
        <f>SUBSTITUTE(Github!L$2078, ";", ", ")</f>
        <v>Graph, </v>
      </c>
      <c r="I2125" s="10" t="str">
        <f>Github!E$2078</f>
        <v>Medium</v>
      </c>
      <c r="J2125" s="10" t="str">
        <f>IF(TRIM(Github!D$2078)="TRUE","FALSE","TRUE")</f>
        <v>FALSE</v>
      </c>
      <c r="K2125" s="10" t="b">
        <f>Github!M$2078</f>
        <v>0</v>
      </c>
      <c r="L2125" s="10" t="b">
        <f>Github!N$2078</f>
        <v>0</v>
      </c>
      <c r="M2125" s="10" t="str">
        <f>ROUND(Github!O$2078, 2)&amp;"%"</f>
        <v>58.39%</v>
      </c>
      <c r="N2125" s="10">
        <f>Github!P$2078</f>
        <v>1402</v>
      </c>
      <c r="O2125" s="10">
        <f>Github!Q$2078</f>
        <v>2401</v>
      </c>
    </row>
    <row r="2126">
      <c r="A2126" s="10">
        <f>Github!J$1844</f>
        <v>1843</v>
      </c>
      <c r="B2126" s="11" t="str">
        <f>HYPERLINK(CONCAT("http://leetcode.com/problems/",Github!C$1844), Github!B$1844)</f>
        <v>Suspicious Bank Accounts</v>
      </c>
      <c r="C2126" s="10">
        <f>Github!F$1844</f>
        <v>40</v>
      </c>
      <c r="D2126" s="10">
        <f>Github!G$1844</f>
        <v>23</v>
      </c>
      <c r="E2126" s="10">
        <f>Github!F$1844+Github!G$1844</f>
        <v>63</v>
      </c>
      <c r="F2126" s="12">
        <f t="shared" si="1"/>
        <v>1.74</v>
      </c>
      <c r="G2126" s="10" t="str">
        <f>Github!H$1844</f>
        <v>Database</v>
      </c>
      <c r="H2126" s="13" t="str">
        <f>SUBSTITUTE(Github!L$1844, ";", ", ")</f>
        <v>Database, </v>
      </c>
      <c r="I2126" s="10" t="str">
        <f>Github!E$1844</f>
        <v>Medium</v>
      </c>
      <c r="J2126" s="10" t="str">
        <f>IF(TRIM(Github!D$1844)="TRUE","FALSE","TRUE")</f>
        <v>FALSE</v>
      </c>
      <c r="K2126" s="10" t="b">
        <f>Github!M$1844</f>
        <v>0</v>
      </c>
      <c r="L2126" s="10" t="b">
        <f>Github!N$1844</f>
        <v>0</v>
      </c>
      <c r="M2126" s="10" t="str">
        <f>ROUND(Github!O$1844, 2)&amp;"%"</f>
        <v>49.08%</v>
      </c>
      <c r="N2126" s="10">
        <f>Github!P$1844</f>
        <v>4790</v>
      </c>
      <c r="O2126" s="10">
        <f>Github!Q$1844</f>
        <v>9760</v>
      </c>
    </row>
    <row r="2127">
      <c r="A2127" s="10">
        <f>Github!J$1984</f>
        <v>1983</v>
      </c>
      <c r="B2127" s="11" t="str">
        <f>HYPERLINK(CONCAT("http://leetcode.com/problems/",Github!C$1984), Github!B$1984)</f>
        <v>Widest Pair of Indices With Equal Range Sum</v>
      </c>
      <c r="C2127" s="10">
        <f>Github!F$1984</f>
        <v>40</v>
      </c>
      <c r="D2127" s="10">
        <f>Github!G$1984</f>
        <v>0</v>
      </c>
      <c r="E2127" s="10">
        <f>Github!F$1984+Github!G$1984</f>
        <v>40</v>
      </c>
      <c r="F2127" s="12">
        <f t="shared" si="1"/>
        <v>40</v>
      </c>
      <c r="G2127" s="10" t="str">
        <f>Github!H$1984</f>
        <v>Algorithms</v>
      </c>
      <c r="H2127" s="13" t="str">
        <f>SUBSTITUTE(Github!L$1984, ";", ", ")</f>
        <v>Array, Hash Table, Prefix Sum, </v>
      </c>
      <c r="I2127" s="10" t="str">
        <f>Github!E$1984</f>
        <v>Medium</v>
      </c>
      <c r="J2127" s="10" t="str">
        <f>IF(TRIM(Github!D$1984)="TRUE","FALSE","TRUE")</f>
        <v>FALSE</v>
      </c>
      <c r="K2127" s="10" t="b">
        <f>Github!M$1984</f>
        <v>0</v>
      </c>
      <c r="L2127" s="10" t="b">
        <f>Github!N$1984</f>
        <v>0</v>
      </c>
      <c r="M2127" s="10" t="str">
        <f>ROUND(Github!O$1984, 2)&amp;"%"</f>
        <v>54.11%</v>
      </c>
      <c r="N2127" s="10">
        <f>Github!P$1984</f>
        <v>994</v>
      </c>
      <c r="O2127" s="10">
        <f>Github!Q$1984</f>
        <v>1837</v>
      </c>
    </row>
    <row r="2128">
      <c r="A2128" s="10">
        <f>Github!J$2138</f>
        <v>2137</v>
      </c>
      <c r="B2128" s="11" t="str">
        <f>HYPERLINK(CONCAT("http://leetcode.com/problems/",Github!C$2138), Github!B$2138)</f>
        <v>Pour Water Between Buckets to Make Water Levels Equal</v>
      </c>
      <c r="C2128" s="10">
        <f>Github!F$2138</f>
        <v>40</v>
      </c>
      <c r="D2128" s="10">
        <f>Github!G$2138</f>
        <v>2</v>
      </c>
      <c r="E2128" s="10">
        <f>Github!F$2138+Github!G$2138</f>
        <v>42</v>
      </c>
      <c r="F2128" s="12">
        <f t="shared" si="1"/>
        <v>20</v>
      </c>
      <c r="G2128" s="10" t="str">
        <f>Github!H$2138</f>
        <v>Algorithms</v>
      </c>
      <c r="H2128" s="13" t="str">
        <f>SUBSTITUTE(Github!L$2138, ";", ", ")</f>
        <v>Array, Binary Search, </v>
      </c>
      <c r="I2128" s="10" t="str">
        <f>Github!E$2138</f>
        <v>Medium</v>
      </c>
      <c r="J2128" s="10" t="str">
        <f>IF(TRIM(Github!D$2138)="TRUE","FALSE","TRUE")</f>
        <v>FALSE</v>
      </c>
      <c r="K2128" s="10" t="b">
        <f>Github!M$2138</f>
        <v>0</v>
      </c>
      <c r="L2128" s="10" t="b">
        <f>Github!N$2138</f>
        <v>0</v>
      </c>
      <c r="M2128" s="10" t="str">
        <f>ROUND(Github!O$2138, 2)&amp;"%"</f>
        <v>67.89%</v>
      </c>
      <c r="N2128" s="10">
        <f>Github!P$2138</f>
        <v>742</v>
      </c>
      <c r="O2128" s="10">
        <f>Github!Q$2138</f>
        <v>1093</v>
      </c>
    </row>
    <row r="2129">
      <c r="A2129" s="10">
        <f>Github!J$1843</f>
        <v>1842</v>
      </c>
      <c r="B2129" s="11" t="str">
        <f>HYPERLINK(CONCAT("http://leetcode.com/problems/",Github!C$1843), Github!B$1843)</f>
        <v>Next Palindrome Using Same Digits</v>
      </c>
      <c r="C2129" s="10">
        <f>Github!F$1843</f>
        <v>40</v>
      </c>
      <c r="D2129" s="10">
        <f>Github!G$1843</f>
        <v>5</v>
      </c>
      <c r="E2129" s="10">
        <f>Github!F$1843+Github!G$1843</f>
        <v>45</v>
      </c>
      <c r="F2129" s="12">
        <f t="shared" si="1"/>
        <v>8</v>
      </c>
      <c r="G2129" s="10" t="str">
        <f>Github!H$1843</f>
        <v>Algorithms</v>
      </c>
      <c r="H2129" s="13" t="str">
        <f>SUBSTITUTE(Github!L$1843, ";", ", ")</f>
        <v>Two Pointers, String, </v>
      </c>
      <c r="I2129" s="10" t="str">
        <f>Github!E$1843</f>
        <v>Hard</v>
      </c>
      <c r="J2129" s="10" t="str">
        <f>IF(TRIM(Github!D$1843)="TRUE","FALSE","TRUE")</f>
        <v>FALSE</v>
      </c>
      <c r="K2129" s="10" t="b">
        <f>Github!M$1843</f>
        <v>0</v>
      </c>
      <c r="L2129" s="10" t="b">
        <f>Github!N$1843</f>
        <v>0</v>
      </c>
      <c r="M2129" s="10" t="str">
        <f>ROUND(Github!O$1843, 2)&amp;"%"</f>
        <v>56.88%</v>
      </c>
      <c r="N2129" s="10">
        <f>Github!P$1843</f>
        <v>1257</v>
      </c>
      <c r="O2129" s="10">
        <f>Github!Q$1843</f>
        <v>2210</v>
      </c>
    </row>
    <row r="2130">
      <c r="A2130" s="10">
        <f>Github!J$1967</f>
        <v>1966</v>
      </c>
      <c r="B2130" s="11" t="str">
        <f>HYPERLINK(CONCAT("http://leetcode.com/problems/",Github!C$1967), Github!B$1967)</f>
        <v>Binary Searchable Numbers in an Unsorted Array</v>
      </c>
      <c r="C2130" s="10">
        <f>Github!F$1967</f>
        <v>39</v>
      </c>
      <c r="D2130" s="10">
        <f>Github!G$1967</f>
        <v>5</v>
      </c>
      <c r="E2130" s="10">
        <f>Github!F$1967+Github!G$1967</f>
        <v>44</v>
      </c>
      <c r="F2130" s="12">
        <f t="shared" si="1"/>
        <v>7.8</v>
      </c>
      <c r="G2130" s="10" t="str">
        <f>Github!H$1967</f>
        <v>Algorithms</v>
      </c>
      <c r="H2130" s="13" t="str">
        <f>SUBSTITUTE(Github!L$1967, ";", ", ")</f>
        <v>Array, Binary Search, </v>
      </c>
      <c r="I2130" s="10" t="str">
        <f>Github!E$1967</f>
        <v>Medium</v>
      </c>
      <c r="J2130" s="10" t="str">
        <f>IF(TRIM(Github!D$1967)="TRUE","FALSE","TRUE")</f>
        <v>FALSE</v>
      </c>
      <c r="K2130" s="10" t="b">
        <f>Github!M$1967</f>
        <v>0</v>
      </c>
      <c r="L2130" s="10" t="b">
        <f>Github!N$1967</f>
        <v>0</v>
      </c>
      <c r="M2130" s="10" t="str">
        <f>ROUND(Github!O$1967, 2)&amp;"%"</f>
        <v>66.33%</v>
      </c>
      <c r="N2130" s="10">
        <f>Github!P$1967</f>
        <v>1320</v>
      </c>
      <c r="O2130" s="10">
        <f>Github!Q$1967</f>
        <v>1990</v>
      </c>
    </row>
    <row r="2131">
      <c r="A2131" s="10">
        <f>Github!J$1528</f>
        <v>1527</v>
      </c>
      <c r="B2131" s="11" t="str">
        <f>HYPERLINK(CONCAT("http://leetcode.com/problems/",Github!C$1528), Github!B$1528)</f>
        <v>Patients With a Condition</v>
      </c>
      <c r="C2131" s="10">
        <f>Github!F$1528</f>
        <v>38</v>
      </c>
      <c r="D2131" s="10">
        <f>Github!G$1528</f>
        <v>93</v>
      </c>
      <c r="E2131" s="10">
        <f>Github!F$1528+Github!G$1528</f>
        <v>131</v>
      </c>
      <c r="F2131" s="12">
        <f t="shared" si="1"/>
        <v>0.41</v>
      </c>
      <c r="G2131" s="10" t="str">
        <f>Github!H$1528</f>
        <v>Database</v>
      </c>
      <c r="H2131" s="13" t="str">
        <f>SUBSTITUTE(Github!L$1528, ";", ", ")</f>
        <v>Database, </v>
      </c>
      <c r="I2131" s="10" t="str">
        <f>Github!E$1528</f>
        <v>Easy</v>
      </c>
      <c r="J2131" s="10" t="str">
        <f>IF(TRIM(Github!D$1528)="TRUE","FALSE","TRUE")</f>
        <v>FALSE</v>
      </c>
      <c r="K2131" s="10" t="b">
        <f>Github!M$1528</f>
        <v>0</v>
      </c>
      <c r="L2131" s="10" t="b">
        <f>Github!N$1528</f>
        <v>0</v>
      </c>
      <c r="M2131" s="10" t="str">
        <f>ROUND(Github!O$1528, 2)&amp;"%"</f>
        <v>51.45%</v>
      </c>
      <c r="N2131" s="10">
        <f>Github!P$1528</f>
        <v>15310</v>
      </c>
      <c r="O2131" s="10">
        <f>Github!Q$1528</f>
        <v>29755</v>
      </c>
    </row>
    <row r="2132">
      <c r="A2132" s="10">
        <f>Github!J$1668</f>
        <v>1667</v>
      </c>
      <c r="B2132" s="11" t="str">
        <f>HYPERLINK(CONCAT("http://leetcode.com/problems/",Github!C$1668), Github!B$1668)</f>
        <v>Fix Names in a Table</v>
      </c>
      <c r="C2132" s="10">
        <f>Github!F$1668</f>
        <v>38</v>
      </c>
      <c r="D2132" s="10">
        <f>Github!G$1668</f>
        <v>33</v>
      </c>
      <c r="E2132" s="10">
        <f>Github!F$1668+Github!G$1668</f>
        <v>71</v>
      </c>
      <c r="F2132" s="12">
        <f t="shared" si="1"/>
        <v>1.15</v>
      </c>
      <c r="G2132" s="10" t="str">
        <f>Github!H$1668</f>
        <v>Database</v>
      </c>
      <c r="H2132" s="13" t="str">
        <f>SUBSTITUTE(Github!L$1668, ";", ", ")</f>
        <v>Database, </v>
      </c>
      <c r="I2132" s="10" t="str">
        <f>Github!E$1668</f>
        <v>Easy</v>
      </c>
      <c r="J2132" s="10" t="str">
        <f>IF(TRIM(Github!D$1668)="TRUE","FALSE","TRUE")</f>
        <v>FALSE</v>
      </c>
      <c r="K2132" s="10" t="b">
        <f>Github!M$1668</f>
        <v>0</v>
      </c>
      <c r="L2132" s="10" t="b">
        <f>Github!N$1668</f>
        <v>0</v>
      </c>
      <c r="M2132" s="10" t="str">
        <f>ROUND(Github!O$1668, 2)&amp;"%"</f>
        <v>62.57%</v>
      </c>
      <c r="N2132" s="10">
        <f>Github!P$1668</f>
        <v>9798</v>
      </c>
      <c r="O2132" s="10">
        <f>Github!Q$1668</f>
        <v>15659</v>
      </c>
    </row>
    <row r="2133">
      <c r="A2133" s="10">
        <f>Github!J$1693</f>
        <v>1692</v>
      </c>
      <c r="B2133" s="11" t="str">
        <f>HYPERLINK(CONCAT("http://leetcode.com/problems/",Github!C$1693), Github!B$1693)</f>
        <v>Count Ways to Distribute Candies</v>
      </c>
      <c r="C2133" s="10">
        <f>Github!F$1693</f>
        <v>38</v>
      </c>
      <c r="D2133" s="10">
        <f>Github!G$1693</f>
        <v>5</v>
      </c>
      <c r="E2133" s="10">
        <f>Github!F$1693+Github!G$1693</f>
        <v>43</v>
      </c>
      <c r="F2133" s="12">
        <f t="shared" si="1"/>
        <v>7.6</v>
      </c>
      <c r="G2133" s="10" t="str">
        <f>Github!H$1693</f>
        <v>Algorithms</v>
      </c>
      <c r="H2133" s="13" t="str">
        <f>SUBSTITUTE(Github!L$1693, ";", ", ")</f>
        <v>Dynamic Programming, </v>
      </c>
      <c r="I2133" s="10" t="str">
        <f>Github!E$1693</f>
        <v>Hard</v>
      </c>
      <c r="J2133" s="10" t="str">
        <f>IF(TRIM(Github!D$1693)="TRUE","FALSE","TRUE")</f>
        <v>FALSE</v>
      </c>
      <c r="K2133" s="10" t="b">
        <f>Github!M$1693</f>
        <v>0</v>
      </c>
      <c r="L2133" s="10" t="b">
        <f>Github!N$1693</f>
        <v>0</v>
      </c>
      <c r="M2133" s="10" t="str">
        <f>ROUND(Github!O$1693, 2)&amp;"%"</f>
        <v>60.74%</v>
      </c>
      <c r="N2133" s="10">
        <f>Github!P$1693</f>
        <v>1369</v>
      </c>
      <c r="O2133" s="10">
        <f>Github!Q$1693</f>
        <v>2254</v>
      </c>
    </row>
    <row r="2134">
      <c r="A2134" s="10">
        <f>Github!J$1990</f>
        <v>1989</v>
      </c>
      <c r="B2134" s="11" t="str">
        <f>HYPERLINK(CONCAT("http://leetcode.com/problems/",Github!C$1990), Github!B$1990)</f>
        <v>Maximum Number of People That Can Be Caught in Tag</v>
      </c>
      <c r="C2134" s="10">
        <f>Github!F$1990</f>
        <v>38</v>
      </c>
      <c r="D2134" s="10">
        <f>Github!G$1990</f>
        <v>5</v>
      </c>
      <c r="E2134" s="10">
        <f>Github!F$1990+Github!G$1990</f>
        <v>43</v>
      </c>
      <c r="F2134" s="12">
        <f t="shared" si="1"/>
        <v>7.6</v>
      </c>
      <c r="G2134" s="10" t="str">
        <f>Github!H$1990</f>
        <v>Algorithms</v>
      </c>
      <c r="H2134" s="13" t="str">
        <f>SUBSTITUTE(Github!L$1990, ";", ", ")</f>
        <v>Array, Greedy, </v>
      </c>
      <c r="I2134" s="10" t="str">
        <f>Github!E$1990</f>
        <v>Medium</v>
      </c>
      <c r="J2134" s="10" t="str">
        <f>IF(TRIM(Github!D$1990)="TRUE","FALSE","TRUE")</f>
        <v>FALSE</v>
      </c>
      <c r="K2134" s="10" t="b">
        <f>Github!M$1990</f>
        <v>0</v>
      </c>
      <c r="L2134" s="10" t="b">
        <f>Github!N$1990</f>
        <v>0</v>
      </c>
      <c r="M2134" s="10" t="str">
        <f>ROUND(Github!O$1990, 2)&amp;"%"</f>
        <v>55.49%</v>
      </c>
      <c r="N2134" s="10">
        <f>Github!P$1990</f>
        <v>950</v>
      </c>
      <c r="O2134" s="10">
        <f>Github!Q$1990</f>
        <v>1712</v>
      </c>
    </row>
    <row r="2135">
      <c r="A2135" s="10">
        <f>Github!J$2037</f>
        <v>2036</v>
      </c>
      <c r="B2135" s="11" t="str">
        <f>HYPERLINK(CONCAT("http://leetcode.com/problems/",Github!C$2037), Github!B$2037)</f>
        <v>Maximum Alternating Subarray Sum</v>
      </c>
      <c r="C2135" s="10">
        <f>Github!F$2037</f>
        <v>38</v>
      </c>
      <c r="D2135" s="10">
        <f>Github!G$2037</f>
        <v>2</v>
      </c>
      <c r="E2135" s="10">
        <f>Github!F$2037+Github!G$2037</f>
        <v>40</v>
      </c>
      <c r="F2135" s="12">
        <f t="shared" si="1"/>
        <v>19</v>
      </c>
      <c r="G2135" s="10" t="str">
        <f>Github!H$2037</f>
        <v>Algorithms</v>
      </c>
      <c r="H2135" s="13" t="str">
        <f>SUBSTITUTE(Github!L$2037, ";", ", ")</f>
        <v>Array, Dynamic Programming, </v>
      </c>
      <c r="I2135" s="10" t="str">
        <f>Github!E$2037</f>
        <v>Medium</v>
      </c>
      <c r="J2135" s="10" t="str">
        <f>IF(TRIM(Github!D$2037)="TRUE","FALSE","TRUE")</f>
        <v>FALSE</v>
      </c>
      <c r="K2135" s="10" t="b">
        <f>Github!M$2037</f>
        <v>0</v>
      </c>
      <c r="L2135" s="10" t="b">
        <f>Github!N$2037</f>
        <v>0</v>
      </c>
      <c r="M2135" s="10" t="str">
        <f>ROUND(Github!O$2037, 2)&amp;"%"</f>
        <v>41.06%</v>
      </c>
      <c r="N2135" s="10">
        <f>Github!P$2037</f>
        <v>976</v>
      </c>
      <c r="O2135" s="10">
        <f>Github!Q$2037</f>
        <v>2377</v>
      </c>
    </row>
    <row r="2136">
      <c r="A2136" s="10">
        <f>Github!J$2108</f>
        <v>2107</v>
      </c>
      <c r="B2136" s="11" t="str">
        <f>HYPERLINK(CONCAT("http://leetcode.com/problems/",Github!C$2108), Github!B$2108)</f>
        <v>Number of Unique Flavors After Sharing K Candies</v>
      </c>
      <c r="C2136" s="10">
        <f>Github!F$2108</f>
        <v>38</v>
      </c>
      <c r="D2136" s="10">
        <f>Github!G$2108</f>
        <v>0</v>
      </c>
      <c r="E2136" s="10">
        <f>Github!F$2108+Github!G$2108</f>
        <v>38</v>
      </c>
      <c r="F2136" s="12">
        <f t="shared" si="1"/>
        <v>38</v>
      </c>
      <c r="G2136" s="10" t="str">
        <f>Github!H$2108</f>
        <v>Algorithms</v>
      </c>
      <c r="H2136" s="13" t="str">
        <f>SUBSTITUTE(Github!L$2108, ";", ", ")</f>
        <v>Array, Hash Table, Sliding Window, </v>
      </c>
      <c r="I2136" s="10" t="str">
        <f>Github!E$2108</f>
        <v>Medium</v>
      </c>
      <c r="J2136" s="10" t="str">
        <f>IF(TRIM(Github!D$2108)="TRUE","FALSE","TRUE")</f>
        <v>FALSE</v>
      </c>
      <c r="K2136" s="10" t="b">
        <f>Github!M$2108</f>
        <v>0</v>
      </c>
      <c r="L2136" s="10" t="b">
        <f>Github!N$2108</f>
        <v>0</v>
      </c>
      <c r="M2136" s="10" t="str">
        <f>ROUND(Github!O$2108, 2)&amp;"%"</f>
        <v>58.41%</v>
      </c>
      <c r="N2136" s="10">
        <f>Github!P$2108</f>
        <v>1087</v>
      </c>
      <c r="O2136" s="10">
        <f>Github!Q$2108</f>
        <v>1861</v>
      </c>
    </row>
    <row r="2137">
      <c r="A2137" s="10">
        <f>Github!J$1501</f>
        <v>1500</v>
      </c>
      <c r="B2137" s="11" t="str">
        <f>HYPERLINK(CONCAT("http://leetcode.com/problems/",Github!C$1501), Github!B$1501)</f>
        <v>Design a File Sharing System</v>
      </c>
      <c r="C2137" s="10">
        <f>Github!F$1501</f>
        <v>37</v>
      </c>
      <c r="D2137" s="10">
        <f>Github!G$1501</f>
        <v>87</v>
      </c>
      <c r="E2137" s="10">
        <f>Github!F$1501+Github!G$1501</f>
        <v>124</v>
      </c>
      <c r="F2137" s="12">
        <f t="shared" si="1"/>
        <v>0.43</v>
      </c>
      <c r="G2137" s="10" t="str">
        <f>Github!H$1501</f>
        <v>Algorithms</v>
      </c>
      <c r="H2137" s="13" t="str">
        <f>SUBSTITUTE(Github!L$1501, ";", ", ")</f>
        <v>Hash Table, Design, Heap (Priority Queue), Data Stream, </v>
      </c>
      <c r="I2137" s="10" t="str">
        <f>Github!E$1501</f>
        <v>Medium</v>
      </c>
      <c r="J2137" s="10" t="str">
        <f>IF(TRIM(Github!D$1501)="TRUE","FALSE","TRUE")</f>
        <v>FALSE</v>
      </c>
      <c r="K2137" s="10" t="b">
        <f>Github!M$1501</f>
        <v>0</v>
      </c>
      <c r="L2137" s="10" t="b">
        <f>Github!N$1501</f>
        <v>0</v>
      </c>
      <c r="M2137" s="10" t="str">
        <f>ROUND(Github!O$1501, 2)&amp;"%"</f>
        <v>45.08%</v>
      </c>
      <c r="N2137" s="10">
        <f>Github!P$1501</f>
        <v>2796</v>
      </c>
      <c r="O2137" s="10">
        <f>Github!Q$1501</f>
        <v>6202</v>
      </c>
    </row>
    <row r="2138">
      <c r="A2138" s="10">
        <f>Github!J$1730</f>
        <v>1729</v>
      </c>
      <c r="B2138" s="11" t="str">
        <f>HYPERLINK(CONCAT("http://leetcode.com/problems/",Github!C$1730), Github!B$1730)</f>
        <v>Find Followers Count</v>
      </c>
      <c r="C2138" s="10">
        <f>Github!F$1730</f>
        <v>37</v>
      </c>
      <c r="D2138" s="10">
        <f>Github!G$1730</f>
        <v>7</v>
      </c>
      <c r="E2138" s="10">
        <f>Github!F$1730+Github!G$1730</f>
        <v>44</v>
      </c>
      <c r="F2138" s="12">
        <f t="shared" si="1"/>
        <v>5.29</v>
      </c>
      <c r="G2138" s="10" t="str">
        <f>Github!H$1730</f>
        <v>Database</v>
      </c>
      <c r="H2138" s="13" t="str">
        <f>SUBSTITUTE(Github!L$1730, ";", ", ")</f>
        <v>Database, </v>
      </c>
      <c r="I2138" s="10" t="str">
        <f>Github!E$1730</f>
        <v>Easy</v>
      </c>
      <c r="J2138" s="10" t="str">
        <f>IF(TRIM(Github!D$1730)="TRUE","FALSE","TRUE")</f>
        <v>FALSE</v>
      </c>
      <c r="K2138" s="10" t="b">
        <f>Github!M$1730</f>
        <v>0</v>
      </c>
      <c r="L2138" s="10" t="b">
        <f>Github!N$1730</f>
        <v>0</v>
      </c>
      <c r="M2138" s="10" t="str">
        <f>ROUND(Github!O$1730, 2)&amp;"%"</f>
        <v>71.42%</v>
      </c>
      <c r="N2138" s="10">
        <f>Github!P$1730</f>
        <v>9772</v>
      </c>
      <c r="O2138" s="10">
        <f>Github!Q$1730</f>
        <v>13682</v>
      </c>
    </row>
    <row r="2139">
      <c r="A2139" s="10">
        <f>Github!J$1876</f>
        <v>1875</v>
      </c>
      <c r="B2139" s="11" t="str">
        <f>HYPERLINK(CONCAT("http://leetcode.com/problems/",Github!C$1876), Github!B$1876)</f>
        <v>Group Employees of the Same Salary</v>
      </c>
      <c r="C2139" s="10">
        <f>Github!F$1876</f>
        <v>36</v>
      </c>
      <c r="D2139" s="10">
        <f>Github!G$1876</f>
        <v>3</v>
      </c>
      <c r="E2139" s="10">
        <f>Github!F$1876+Github!G$1876</f>
        <v>39</v>
      </c>
      <c r="F2139" s="12">
        <f t="shared" si="1"/>
        <v>12</v>
      </c>
      <c r="G2139" s="10" t="str">
        <f>Github!H$1876</f>
        <v>Database</v>
      </c>
      <c r="H2139" s="13" t="str">
        <f>SUBSTITUTE(Github!L$1876, ";", ", ")</f>
        <v>Database, </v>
      </c>
      <c r="I2139" s="10" t="str">
        <f>Github!E$1876</f>
        <v>Medium</v>
      </c>
      <c r="J2139" s="10" t="str">
        <f>IF(TRIM(Github!D$1876)="TRUE","FALSE","TRUE")</f>
        <v>FALSE</v>
      </c>
      <c r="K2139" s="10" t="b">
        <f>Github!M$1876</f>
        <v>0</v>
      </c>
      <c r="L2139" s="10" t="b">
        <f>Github!N$1876</f>
        <v>0</v>
      </c>
      <c r="M2139" s="10" t="str">
        <f>ROUND(Github!O$1876, 2)&amp;"%"</f>
        <v>75.3%</v>
      </c>
      <c r="N2139" s="10">
        <f>Github!P$1876</f>
        <v>4781</v>
      </c>
      <c r="O2139" s="10">
        <f>Github!Q$1876</f>
        <v>6349</v>
      </c>
    </row>
    <row r="2140">
      <c r="A2140" s="10">
        <f>Github!J$2159</f>
        <v>2158</v>
      </c>
      <c r="B2140" s="11" t="str">
        <f>HYPERLINK(CONCAT("http://leetcode.com/problems/",Github!C$2159), Github!B$2159)</f>
        <v>Amount of New Area Painted Each Day</v>
      </c>
      <c r="C2140" s="10">
        <f>Github!F$2159</f>
        <v>37</v>
      </c>
      <c r="D2140" s="10">
        <f>Github!G$2159</f>
        <v>7</v>
      </c>
      <c r="E2140" s="10">
        <f>Github!F$2159+Github!G$2159</f>
        <v>44</v>
      </c>
      <c r="F2140" s="12">
        <f t="shared" si="1"/>
        <v>5.29</v>
      </c>
      <c r="G2140" s="10" t="str">
        <f>Github!H$2159</f>
        <v>Algorithms</v>
      </c>
      <c r="H2140" s="13" t="str">
        <f>SUBSTITUTE(Github!L$2159, ";", ", ")</f>
        <v>Array, Segment Tree, Ordered Set, </v>
      </c>
      <c r="I2140" s="10" t="str">
        <f>Github!E$2159</f>
        <v>Hard</v>
      </c>
      <c r="J2140" s="10" t="str">
        <f>IF(TRIM(Github!D$2159)="TRUE","FALSE","TRUE")</f>
        <v>FALSE</v>
      </c>
      <c r="K2140" s="10" t="b">
        <f>Github!M$2159</f>
        <v>0</v>
      </c>
      <c r="L2140" s="10" t="b">
        <f>Github!N$2159</f>
        <v>0</v>
      </c>
      <c r="M2140" s="10" t="str">
        <f>ROUND(Github!O$2159, 2)&amp;"%"</f>
        <v>60.94%</v>
      </c>
      <c r="N2140" s="10">
        <f>Github!P$2159</f>
        <v>1451</v>
      </c>
      <c r="O2140" s="10">
        <f>Github!Q$2159</f>
        <v>2381</v>
      </c>
    </row>
    <row r="2141">
      <c r="A2141" s="10">
        <f>Github!J$1646</f>
        <v>1645</v>
      </c>
      <c r="B2141" s="11" t="str">
        <f>HYPERLINK(CONCAT("http://leetcode.com/problems/",Github!C$1646), Github!B$1646)</f>
        <v>Hopper Company Queries II</v>
      </c>
      <c r="C2141" s="10">
        <f>Github!F$1646</f>
        <v>35</v>
      </c>
      <c r="D2141" s="10">
        <f>Github!G$1646</f>
        <v>10</v>
      </c>
      <c r="E2141" s="10">
        <f>Github!F$1646+Github!G$1646</f>
        <v>45</v>
      </c>
      <c r="F2141" s="12">
        <f t="shared" si="1"/>
        <v>3.5</v>
      </c>
      <c r="G2141" s="10" t="str">
        <f>Github!H$1646</f>
        <v>Database</v>
      </c>
      <c r="H2141" s="13" t="str">
        <f>SUBSTITUTE(Github!L$1646, ";", ", ")</f>
        <v>Database, </v>
      </c>
      <c r="I2141" s="10" t="str">
        <f>Github!E$1646</f>
        <v>Hard</v>
      </c>
      <c r="J2141" s="10" t="str">
        <f>IF(TRIM(Github!D$1646)="TRUE","FALSE","TRUE")</f>
        <v>FALSE</v>
      </c>
      <c r="K2141" s="10" t="b">
        <f>Github!M$1646</f>
        <v>0</v>
      </c>
      <c r="L2141" s="10" t="b">
        <f>Github!N$1646</f>
        <v>0</v>
      </c>
      <c r="M2141" s="10" t="str">
        <f>ROUND(Github!O$1646, 2)&amp;"%"</f>
        <v>38.78%</v>
      </c>
      <c r="N2141" s="10">
        <f>Github!P$1646</f>
        <v>3707</v>
      </c>
      <c r="O2141" s="10">
        <f>Github!Q$1646</f>
        <v>9558</v>
      </c>
    </row>
    <row r="2142">
      <c r="A2142" s="10">
        <f>Github!J$1832</f>
        <v>1831</v>
      </c>
      <c r="B2142" s="11" t="str">
        <f>HYPERLINK(CONCAT("http://leetcode.com/problems/",Github!C$1832), Github!B$1832)</f>
        <v>Maximum Transaction Each Day</v>
      </c>
      <c r="C2142" s="10">
        <f>Github!F$1832</f>
        <v>35</v>
      </c>
      <c r="D2142" s="10">
        <f>Github!G$1832</f>
        <v>1</v>
      </c>
      <c r="E2142" s="10">
        <f>Github!F$1832+Github!G$1832</f>
        <v>36</v>
      </c>
      <c r="F2142" s="12">
        <f t="shared" si="1"/>
        <v>35</v>
      </c>
      <c r="G2142" s="10" t="str">
        <f>Github!H$1832</f>
        <v>Database</v>
      </c>
      <c r="H2142" s="13" t="str">
        <f>SUBSTITUTE(Github!L$1832, ";", ", ")</f>
        <v>Database, </v>
      </c>
      <c r="I2142" s="10" t="str">
        <f>Github!E$1832</f>
        <v>Medium</v>
      </c>
      <c r="J2142" s="10" t="str">
        <f>IF(TRIM(Github!D$1832)="TRUE","FALSE","TRUE")</f>
        <v>FALSE</v>
      </c>
      <c r="K2142" s="10" t="b">
        <f>Github!M$1832</f>
        <v>0</v>
      </c>
      <c r="L2142" s="10" t="b">
        <f>Github!N$1832</f>
        <v>0</v>
      </c>
      <c r="M2142" s="10" t="str">
        <f>ROUND(Github!O$1832, 2)&amp;"%"</f>
        <v>83.25%</v>
      </c>
      <c r="N2142" s="10">
        <f>Github!P$1832</f>
        <v>6516</v>
      </c>
      <c r="O2142" s="10">
        <f>Github!Q$1832</f>
        <v>7827</v>
      </c>
    </row>
    <row r="2143">
      <c r="A2143" s="10">
        <f>Github!J$2114</f>
        <v>2113</v>
      </c>
      <c r="B2143" s="11" t="str">
        <f>HYPERLINK(CONCAT("http://leetcode.com/problems/",Github!C$2114), Github!B$2114)</f>
        <v>Elements in Array After Removing and Replacing Elements</v>
      </c>
      <c r="C2143" s="10">
        <f>Github!F$2114</f>
        <v>34</v>
      </c>
      <c r="D2143" s="10">
        <f>Github!G$2114</f>
        <v>5</v>
      </c>
      <c r="E2143" s="10">
        <f>Github!F$2114+Github!G$2114</f>
        <v>39</v>
      </c>
      <c r="F2143" s="12">
        <f t="shared" si="1"/>
        <v>6.8</v>
      </c>
      <c r="G2143" s="10" t="str">
        <f>Github!H$2114</f>
        <v>Algorithms</v>
      </c>
      <c r="H2143" s="13" t="str">
        <f>SUBSTITUTE(Github!L$2114, ";", ", ")</f>
        <v>Array, </v>
      </c>
      <c r="I2143" s="10" t="str">
        <f>Github!E$2114</f>
        <v>Medium</v>
      </c>
      <c r="J2143" s="10" t="str">
        <f>IF(TRIM(Github!D$2114)="TRUE","FALSE","TRUE")</f>
        <v>FALSE</v>
      </c>
      <c r="K2143" s="10" t="b">
        <f>Github!M$2114</f>
        <v>0</v>
      </c>
      <c r="L2143" s="10" t="b">
        <f>Github!N$2114</f>
        <v>0</v>
      </c>
      <c r="M2143" s="10" t="str">
        <f>ROUND(Github!O$2114, 2)&amp;"%"</f>
        <v>73.75%</v>
      </c>
      <c r="N2143" s="10">
        <f>Github!P$2114</f>
        <v>823</v>
      </c>
      <c r="O2143" s="10">
        <f>Github!Q$2114</f>
        <v>1116</v>
      </c>
    </row>
    <row r="2144">
      <c r="A2144" s="10">
        <f>Github!J$1891</f>
        <v>1890</v>
      </c>
      <c r="B2144" s="11" t="str">
        <f>HYPERLINK(CONCAT("http://leetcode.com/problems/",Github!C$1891), Github!B$1891)</f>
        <v>The Latest Login in 2020</v>
      </c>
      <c r="C2144" s="10">
        <f>Github!F$1891</f>
        <v>31</v>
      </c>
      <c r="D2144" s="10">
        <f>Github!G$1891</f>
        <v>0</v>
      </c>
      <c r="E2144" s="10">
        <f>Github!F$1891+Github!G$1891</f>
        <v>31</v>
      </c>
      <c r="F2144" s="12">
        <f t="shared" si="1"/>
        <v>31</v>
      </c>
      <c r="G2144" s="10" t="str">
        <f>Github!H$1891</f>
        <v>Database</v>
      </c>
      <c r="H2144" s="13" t="str">
        <f>SUBSTITUTE(Github!L$1891, ";", ", ")</f>
        <v>Database, </v>
      </c>
      <c r="I2144" s="10" t="str">
        <f>Github!E$1891</f>
        <v>Easy</v>
      </c>
      <c r="J2144" s="10" t="str">
        <f>IF(TRIM(Github!D$1891)="TRUE","FALSE","TRUE")</f>
        <v>FALSE</v>
      </c>
      <c r="K2144" s="10" t="b">
        <f>Github!M$1891</f>
        <v>0</v>
      </c>
      <c r="L2144" s="10" t="b">
        <f>Github!N$1891</f>
        <v>0</v>
      </c>
      <c r="M2144" s="10" t="str">
        <f>ROUND(Github!O$1891, 2)&amp;"%"</f>
        <v>83.92%</v>
      </c>
      <c r="N2144" s="10">
        <f>Github!P$1891</f>
        <v>6263</v>
      </c>
      <c r="O2144" s="10">
        <f>Github!Q$1891</f>
        <v>7463</v>
      </c>
    </row>
    <row r="2145">
      <c r="A2145" s="10">
        <f>Github!J$1918</f>
        <v>1917</v>
      </c>
      <c r="B2145" s="11" t="str">
        <f>HYPERLINK(CONCAT("http://leetcode.com/problems/",Github!C$1918), Github!B$1918)</f>
        <v>Leetcodify Friends Recommendations</v>
      </c>
      <c r="C2145" s="10">
        <f>Github!F$1918</f>
        <v>31</v>
      </c>
      <c r="D2145" s="10">
        <f>Github!G$1918</f>
        <v>18</v>
      </c>
      <c r="E2145" s="10">
        <f>Github!F$1918+Github!G$1918</f>
        <v>49</v>
      </c>
      <c r="F2145" s="12">
        <f t="shared" si="1"/>
        <v>1.72</v>
      </c>
      <c r="G2145" s="10" t="str">
        <f>Github!H$1918</f>
        <v>Database</v>
      </c>
      <c r="H2145" s="13" t="str">
        <f>SUBSTITUTE(Github!L$1918, ";", ", ")</f>
        <v>Database, </v>
      </c>
      <c r="I2145" s="10" t="str">
        <f>Github!E$1918</f>
        <v>Hard</v>
      </c>
      <c r="J2145" s="10" t="str">
        <f>IF(TRIM(Github!D$1918)="TRUE","FALSE","TRUE")</f>
        <v>FALSE</v>
      </c>
      <c r="K2145" s="10" t="b">
        <f>Github!M$1918</f>
        <v>0</v>
      </c>
      <c r="L2145" s="10" t="b">
        <f>Github!N$1918</f>
        <v>0</v>
      </c>
      <c r="M2145" s="10" t="str">
        <f>ROUND(Github!O$1918, 2)&amp;"%"</f>
        <v>30.22%</v>
      </c>
      <c r="N2145" s="10">
        <f>Github!P$1918</f>
        <v>2918</v>
      </c>
      <c r="O2145" s="10">
        <f>Github!Q$1918</f>
        <v>9656</v>
      </c>
    </row>
    <row r="2146">
      <c r="A2146" s="10">
        <f>Github!J$1934</f>
        <v>1933</v>
      </c>
      <c r="B2146" s="11" t="str">
        <f>HYPERLINK(CONCAT("http://leetcode.com/problems/",Github!C$1934), Github!B$1934)</f>
        <v>Check if String Is Decomposable Into Value-Equal Substrings</v>
      </c>
      <c r="C2146" s="10">
        <f>Github!F$1934</f>
        <v>31</v>
      </c>
      <c r="D2146" s="10">
        <f>Github!G$1934</f>
        <v>6</v>
      </c>
      <c r="E2146" s="10">
        <f>Github!F$1934+Github!G$1934</f>
        <v>37</v>
      </c>
      <c r="F2146" s="12">
        <f t="shared" si="1"/>
        <v>5.17</v>
      </c>
      <c r="G2146" s="10" t="str">
        <f>Github!H$1934</f>
        <v>Algorithms</v>
      </c>
      <c r="H2146" s="13" t="str">
        <f>SUBSTITUTE(Github!L$1934, ";", ", ")</f>
        <v>String, </v>
      </c>
      <c r="I2146" s="10" t="str">
        <f>Github!E$1934</f>
        <v>Easy</v>
      </c>
      <c r="J2146" s="10" t="str">
        <f>IF(TRIM(Github!D$1934)="TRUE","FALSE","TRUE")</f>
        <v>FALSE</v>
      </c>
      <c r="K2146" s="10" t="b">
        <f>Github!M$1934</f>
        <v>0</v>
      </c>
      <c r="L2146" s="10" t="b">
        <f>Github!N$1934</f>
        <v>0</v>
      </c>
      <c r="M2146" s="10" t="str">
        <f>ROUND(Github!O$1934, 2)&amp;"%"</f>
        <v>51.63%</v>
      </c>
      <c r="N2146" s="10">
        <f>Github!P$1934</f>
        <v>1895</v>
      </c>
      <c r="O2146" s="10">
        <f>Github!Q$1934</f>
        <v>3670</v>
      </c>
    </row>
    <row r="2147">
      <c r="A2147" s="10">
        <f>Github!J$1966</f>
        <v>1965</v>
      </c>
      <c r="B2147" s="11" t="str">
        <f>HYPERLINK(CONCAT("http://leetcode.com/problems/",Github!C$1966), Github!B$1966)</f>
        <v>Employees With Missing Information</v>
      </c>
      <c r="C2147" s="10">
        <f>Github!F$1966</f>
        <v>30</v>
      </c>
      <c r="D2147" s="10">
        <f>Github!G$1966</f>
        <v>0</v>
      </c>
      <c r="E2147" s="10">
        <f>Github!F$1966+Github!G$1966</f>
        <v>30</v>
      </c>
      <c r="F2147" s="12">
        <f t="shared" si="1"/>
        <v>30</v>
      </c>
      <c r="G2147" s="10" t="str">
        <f>Github!H$1966</f>
        <v>Database</v>
      </c>
      <c r="H2147" s="13" t="str">
        <f>SUBSTITUTE(Github!L$1966, ";", ", ")</f>
        <v>Database, </v>
      </c>
      <c r="I2147" s="10" t="str">
        <f>Github!E$1966</f>
        <v>Easy</v>
      </c>
      <c r="J2147" s="10" t="str">
        <f>IF(TRIM(Github!D$1966)="TRUE","FALSE","TRUE")</f>
        <v>FALSE</v>
      </c>
      <c r="K2147" s="10" t="b">
        <f>Github!M$1966</f>
        <v>0</v>
      </c>
      <c r="L2147" s="10" t="b">
        <f>Github!N$1966</f>
        <v>0</v>
      </c>
      <c r="M2147" s="10" t="str">
        <f>ROUND(Github!O$1966, 2)&amp;"%"</f>
        <v>80.74%</v>
      </c>
      <c r="N2147" s="10">
        <f>Github!P$1966</f>
        <v>4925</v>
      </c>
      <c r="O2147" s="10">
        <f>Github!Q$1966</f>
        <v>6100</v>
      </c>
    </row>
    <row r="2148">
      <c r="A2148" s="10">
        <f>Github!J$2057</f>
        <v>2056</v>
      </c>
      <c r="B2148" s="11" t="str">
        <f>HYPERLINK(CONCAT("http://leetcode.com/problems/",Github!C$2057), Github!B$2057)</f>
        <v>Number of Valid Move Combinations On Chessboard</v>
      </c>
      <c r="C2148" s="10">
        <f>Github!F$2057</f>
        <v>30</v>
      </c>
      <c r="D2148" s="10">
        <f>Github!G$2057</f>
        <v>146</v>
      </c>
      <c r="E2148" s="10">
        <f>Github!F$2057+Github!G$2057</f>
        <v>176</v>
      </c>
      <c r="F2148" s="12">
        <f t="shared" si="1"/>
        <v>0.21</v>
      </c>
      <c r="G2148" s="10" t="str">
        <f>Github!H$2057</f>
        <v>Algorithms</v>
      </c>
      <c r="H2148" s="13" t="str">
        <f>SUBSTITUTE(Github!L$2057, ";", ", ")</f>
        <v>Array, String, Backtracking, Simulation, </v>
      </c>
      <c r="I2148" s="10" t="str">
        <f>Github!E$2057</f>
        <v>Hard</v>
      </c>
      <c r="J2148" s="10" t="str">
        <f>IF(TRIM(Github!D$2057)="TRUE","FALSE","TRUE")</f>
        <v>TRUE</v>
      </c>
      <c r="K2148" s="10" t="b">
        <f>Github!M$2057</f>
        <v>0</v>
      </c>
      <c r="L2148" s="10" t="b">
        <f>Github!N$2057</f>
        <v>0</v>
      </c>
      <c r="M2148" s="10" t="str">
        <f>ROUND(Github!O$2057, 2)&amp;"%"</f>
        <v>58.69%</v>
      </c>
      <c r="N2148" s="10">
        <f>Github!P$2057</f>
        <v>2084</v>
      </c>
      <c r="O2148" s="10">
        <f>Github!Q$2057</f>
        <v>3551</v>
      </c>
    </row>
    <row r="2149">
      <c r="A2149" s="10">
        <f>Github!J$2016</f>
        <v>2015</v>
      </c>
      <c r="B2149" s="11" t="str">
        <f>HYPERLINK(CONCAT("http://leetcode.com/problems/",Github!C$2016), Github!B$2016)</f>
        <v>Average Height of Buildings in Each Segment</v>
      </c>
      <c r="C2149" s="10">
        <f>Github!F$2016</f>
        <v>29</v>
      </c>
      <c r="D2149" s="10">
        <f>Github!G$2016</f>
        <v>11</v>
      </c>
      <c r="E2149" s="10">
        <f>Github!F$2016+Github!G$2016</f>
        <v>40</v>
      </c>
      <c r="F2149" s="12">
        <f t="shared" si="1"/>
        <v>2.64</v>
      </c>
      <c r="G2149" s="10" t="str">
        <f>Github!H$2016</f>
        <v>Algorithms</v>
      </c>
      <c r="H2149" s="13" t="str">
        <f>SUBSTITUTE(Github!L$2016, ";", ", ")</f>
        <v>Array, Greedy, Sorting, Heap (Priority Queue), </v>
      </c>
      <c r="I2149" s="10" t="str">
        <f>Github!E$2016</f>
        <v>Medium</v>
      </c>
      <c r="J2149" s="10" t="str">
        <f>IF(TRIM(Github!D$2016)="TRUE","FALSE","TRUE")</f>
        <v>FALSE</v>
      </c>
      <c r="K2149" s="10" t="b">
        <f>Github!M$2016</f>
        <v>0</v>
      </c>
      <c r="L2149" s="10" t="b">
        <f>Github!N$2016</f>
        <v>0</v>
      </c>
      <c r="M2149" s="10" t="str">
        <f>ROUND(Github!O$2016, 2)&amp;"%"</f>
        <v>59.51%</v>
      </c>
      <c r="N2149" s="10">
        <f>Github!P$2016</f>
        <v>776</v>
      </c>
      <c r="O2149" s="10">
        <f>Github!Q$2016</f>
        <v>1304</v>
      </c>
    </row>
    <row r="2150">
      <c r="A2150" s="10">
        <f>Github!J$1119</f>
        <v>1118</v>
      </c>
      <c r="B2150" s="11" t="str">
        <f>HYPERLINK(CONCAT("http://leetcode.com/problems/",Github!C$1119), Github!B$1119)</f>
        <v>Number of Days in a Month</v>
      </c>
      <c r="C2150" s="10">
        <f>Github!F$1119</f>
        <v>28</v>
      </c>
      <c r="D2150" s="10">
        <f>Github!G$1119</f>
        <v>131</v>
      </c>
      <c r="E2150" s="10">
        <f>Github!F$1119+Github!G$1119</f>
        <v>159</v>
      </c>
      <c r="F2150" s="12">
        <f t="shared" si="1"/>
        <v>0.21</v>
      </c>
      <c r="G2150" s="10" t="str">
        <f>Github!H$1119</f>
        <v>Algorithms</v>
      </c>
      <c r="H2150" s="13" t="str">
        <f>SUBSTITUTE(Github!L$1119, ";", ", ")</f>
        <v>Math, </v>
      </c>
      <c r="I2150" s="10" t="str">
        <f>Github!E$1119</f>
        <v>Easy</v>
      </c>
      <c r="J2150" s="10" t="str">
        <f>IF(TRIM(Github!D$1119)="TRUE","FALSE","TRUE")</f>
        <v>FALSE</v>
      </c>
      <c r="K2150" s="10" t="b">
        <f>Github!M$1119</f>
        <v>0</v>
      </c>
      <c r="L2150" s="10" t="b">
        <f>Github!N$1119</f>
        <v>0</v>
      </c>
      <c r="M2150" s="10" t="str">
        <f>ROUND(Github!O$1119, 2)&amp;"%"</f>
        <v>57.03%</v>
      </c>
      <c r="N2150" s="10">
        <f>Github!P$1119</f>
        <v>6175</v>
      </c>
      <c r="O2150" s="10">
        <f>Github!Q$1119</f>
        <v>10827</v>
      </c>
    </row>
    <row r="2151">
      <c r="A2151" s="10">
        <f>Github!J$1795</f>
        <v>1794</v>
      </c>
      <c r="B2151" s="11" t="str">
        <f>HYPERLINK(CONCAT("http://leetcode.com/problems/",Github!C$1795), Github!B$1795)</f>
        <v>Count Pairs of Equal Substrings With Minimum Difference</v>
      </c>
      <c r="C2151" s="10">
        <f>Github!F$1795</f>
        <v>28</v>
      </c>
      <c r="D2151" s="10">
        <f>Github!G$1795</f>
        <v>33</v>
      </c>
      <c r="E2151" s="10">
        <f>Github!F$1795+Github!G$1795</f>
        <v>61</v>
      </c>
      <c r="F2151" s="12">
        <f t="shared" si="1"/>
        <v>0.85</v>
      </c>
      <c r="G2151" s="10" t="str">
        <f>Github!H$1795</f>
        <v>Algorithms</v>
      </c>
      <c r="H2151" s="13" t="str">
        <f>SUBSTITUTE(Github!L$1795, ";", ", ")</f>
        <v>Hash Table, String, Greedy, </v>
      </c>
      <c r="I2151" s="10" t="str">
        <f>Github!E$1795</f>
        <v>Medium</v>
      </c>
      <c r="J2151" s="10" t="str">
        <f>IF(TRIM(Github!D$1795)="TRUE","FALSE","TRUE")</f>
        <v>FALSE</v>
      </c>
      <c r="K2151" s="10" t="b">
        <f>Github!M$1795</f>
        <v>0</v>
      </c>
      <c r="L2151" s="10" t="b">
        <f>Github!N$1795</f>
        <v>0</v>
      </c>
      <c r="M2151" s="10" t="str">
        <f>ROUND(Github!O$1795, 2)&amp;"%"</f>
        <v>64.63%</v>
      </c>
      <c r="N2151" s="10">
        <f>Github!P$1795</f>
        <v>1195</v>
      </c>
      <c r="O2151" s="10">
        <f>Github!Q$1795</f>
        <v>1849</v>
      </c>
    </row>
    <row r="2152">
      <c r="A2152" s="10">
        <f>Github!J$1908</f>
        <v>1907</v>
      </c>
      <c r="B2152" s="11" t="str">
        <f>HYPERLINK(CONCAT("http://leetcode.com/problems/",Github!C$1908), Github!B$1908)</f>
        <v>Count Salary Categories</v>
      </c>
      <c r="C2152" s="10">
        <f>Github!F$1908</f>
        <v>28</v>
      </c>
      <c r="D2152" s="10">
        <f>Github!G$1908</f>
        <v>13</v>
      </c>
      <c r="E2152" s="10">
        <f>Github!F$1908+Github!G$1908</f>
        <v>41</v>
      </c>
      <c r="F2152" s="12">
        <f t="shared" si="1"/>
        <v>2.15</v>
      </c>
      <c r="G2152" s="10" t="str">
        <f>Github!H$1908</f>
        <v>Database</v>
      </c>
      <c r="H2152" s="13" t="str">
        <f>SUBSTITUTE(Github!L$1908, ";", ", ")</f>
        <v>Database, </v>
      </c>
      <c r="I2152" s="10" t="str">
        <f>Github!E$1908</f>
        <v>Medium</v>
      </c>
      <c r="J2152" s="10" t="str">
        <f>IF(TRIM(Github!D$1908)="TRUE","FALSE","TRUE")</f>
        <v>FALSE</v>
      </c>
      <c r="K2152" s="10" t="b">
        <f>Github!M$1908</f>
        <v>0</v>
      </c>
      <c r="L2152" s="10" t="b">
        <f>Github!N$1908</f>
        <v>0</v>
      </c>
      <c r="M2152" s="10" t="str">
        <f>ROUND(Github!O$1908, 2)&amp;"%"</f>
        <v>66.98%</v>
      </c>
      <c r="N2152" s="10">
        <f>Github!P$1908</f>
        <v>4455</v>
      </c>
      <c r="O2152" s="10">
        <f>Github!Q$1908</f>
        <v>6651</v>
      </c>
    </row>
    <row r="2153">
      <c r="A2153" s="10">
        <f>Github!J$1920</f>
        <v>1919</v>
      </c>
      <c r="B2153" s="11" t="str">
        <f>HYPERLINK(CONCAT("http://leetcode.com/problems/",Github!C$1920), Github!B$1920)</f>
        <v>Leetcodify Similar Friends</v>
      </c>
      <c r="C2153" s="10">
        <f>Github!F$1920</f>
        <v>28</v>
      </c>
      <c r="D2153" s="10">
        <f>Github!G$1920</f>
        <v>4</v>
      </c>
      <c r="E2153" s="10">
        <f>Github!F$1920+Github!G$1920</f>
        <v>32</v>
      </c>
      <c r="F2153" s="12">
        <f t="shared" si="1"/>
        <v>7</v>
      </c>
      <c r="G2153" s="10" t="str">
        <f>Github!H$1920</f>
        <v>Database</v>
      </c>
      <c r="H2153" s="13" t="str">
        <f>SUBSTITUTE(Github!L$1920, ";", ", ")</f>
        <v>Database, </v>
      </c>
      <c r="I2153" s="10" t="str">
        <f>Github!E$1920</f>
        <v>Hard</v>
      </c>
      <c r="J2153" s="10" t="str">
        <f>IF(TRIM(Github!D$1920)="TRUE","FALSE","TRUE")</f>
        <v>FALSE</v>
      </c>
      <c r="K2153" s="10" t="b">
        <f>Github!M$1920</f>
        <v>0</v>
      </c>
      <c r="L2153" s="10" t="b">
        <f>Github!N$1920</f>
        <v>0</v>
      </c>
      <c r="M2153" s="10" t="str">
        <f>ROUND(Github!O$1920, 2)&amp;"%"</f>
        <v>42.16%</v>
      </c>
      <c r="N2153" s="10">
        <f>Github!P$1920</f>
        <v>2316</v>
      </c>
      <c r="O2153" s="10">
        <f>Github!Q$1920</f>
        <v>5494</v>
      </c>
    </row>
    <row r="2154">
      <c r="A2154" s="10">
        <f>Github!J$1935</f>
        <v>1934</v>
      </c>
      <c r="B2154" s="11" t="str">
        <f>HYPERLINK(CONCAT("http://leetcode.com/problems/",Github!C$1935), Github!B$1935)</f>
        <v>Confirmation Rate</v>
      </c>
      <c r="C2154" s="10">
        <f>Github!F$1935</f>
        <v>28</v>
      </c>
      <c r="D2154" s="10">
        <f>Github!G$1935</f>
        <v>9</v>
      </c>
      <c r="E2154" s="10">
        <f>Github!F$1935+Github!G$1935</f>
        <v>37</v>
      </c>
      <c r="F2154" s="12">
        <f t="shared" si="1"/>
        <v>3.11</v>
      </c>
      <c r="G2154" s="10" t="str">
        <f>Github!H$1935</f>
        <v>Database</v>
      </c>
      <c r="H2154" s="13" t="str">
        <f>SUBSTITUTE(Github!L$1935, ";", ", ")</f>
        <v>Database, </v>
      </c>
      <c r="I2154" s="10" t="str">
        <f>Github!E$1935</f>
        <v>Medium</v>
      </c>
      <c r="J2154" s="10" t="str">
        <f>IF(TRIM(Github!D$1935)="TRUE","FALSE","TRUE")</f>
        <v>FALSE</v>
      </c>
      <c r="K2154" s="10" t="b">
        <f>Github!M$1935</f>
        <v>0</v>
      </c>
      <c r="L2154" s="10" t="b">
        <f>Github!N$1935</f>
        <v>0</v>
      </c>
      <c r="M2154" s="10" t="str">
        <f>ROUND(Github!O$1935, 2)&amp;"%"</f>
        <v>77.35%</v>
      </c>
      <c r="N2154" s="10">
        <f>Github!P$1935</f>
        <v>5255</v>
      </c>
      <c r="O2154" s="10">
        <f>Github!Q$1935</f>
        <v>6794</v>
      </c>
    </row>
    <row r="2155">
      <c r="A2155" s="10">
        <f>Github!J$1868</f>
        <v>1867</v>
      </c>
      <c r="B2155" s="11" t="str">
        <f>HYPERLINK(CONCAT("http://leetcode.com/problems/",Github!C$1868), Github!B$1868)</f>
        <v>Orders With Maximum Quantity Above Average</v>
      </c>
      <c r="C2155" s="10">
        <f>Github!F$1868</f>
        <v>27</v>
      </c>
      <c r="D2155" s="10">
        <f>Github!G$1868</f>
        <v>99</v>
      </c>
      <c r="E2155" s="10">
        <f>Github!F$1868+Github!G$1868</f>
        <v>126</v>
      </c>
      <c r="F2155" s="12">
        <f t="shared" si="1"/>
        <v>0.27</v>
      </c>
      <c r="G2155" s="10" t="str">
        <f>Github!H$1868</f>
        <v>Database</v>
      </c>
      <c r="H2155" s="13" t="str">
        <f>SUBSTITUTE(Github!L$1868, ";", ", ")</f>
        <v>Database, </v>
      </c>
      <c r="I2155" s="10" t="str">
        <f>Github!E$1868</f>
        <v>Medium</v>
      </c>
      <c r="J2155" s="10" t="str">
        <f>IF(TRIM(Github!D$1868)="TRUE","FALSE","TRUE")</f>
        <v>FALSE</v>
      </c>
      <c r="K2155" s="10" t="b">
        <f>Github!M$1868</f>
        <v>0</v>
      </c>
      <c r="L2155" s="10" t="b">
        <f>Github!N$1868</f>
        <v>0</v>
      </c>
      <c r="M2155" s="10" t="str">
        <f>ROUND(Github!O$1868, 2)&amp;"%"</f>
        <v>76.13%</v>
      </c>
      <c r="N2155" s="10">
        <f>Github!P$1868</f>
        <v>5925</v>
      </c>
      <c r="O2155" s="10">
        <f>Github!Q$1868</f>
        <v>7783</v>
      </c>
    </row>
    <row r="2156">
      <c r="A2156" s="10">
        <f>Github!J$1952</f>
        <v>1951</v>
      </c>
      <c r="B2156" s="11" t="str">
        <f>HYPERLINK(CONCAT("http://leetcode.com/problems/",Github!C$1952), Github!B$1952)</f>
        <v>All the Pairs With the Maximum Number of Common Followers</v>
      </c>
      <c r="C2156" s="10">
        <f>Github!F$1952</f>
        <v>27</v>
      </c>
      <c r="D2156" s="10">
        <f>Github!G$1952</f>
        <v>2</v>
      </c>
      <c r="E2156" s="10">
        <f>Github!F$1952+Github!G$1952</f>
        <v>29</v>
      </c>
      <c r="F2156" s="12">
        <f t="shared" si="1"/>
        <v>13.5</v>
      </c>
      <c r="G2156" s="10" t="str">
        <f>Github!H$1952</f>
        <v>Database</v>
      </c>
      <c r="H2156" s="13" t="str">
        <f>SUBSTITUTE(Github!L$1952, ";", ", ")</f>
        <v>Database, </v>
      </c>
      <c r="I2156" s="10" t="str">
        <f>Github!E$1952</f>
        <v>Medium</v>
      </c>
      <c r="J2156" s="10" t="str">
        <f>IF(TRIM(Github!D$1952)="TRUE","FALSE","TRUE")</f>
        <v>FALSE</v>
      </c>
      <c r="K2156" s="10" t="b">
        <f>Github!M$1952</f>
        <v>0</v>
      </c>
      <c r="L2156" s="10" t="b">
        <f>Github!N$1952</f>
        <v>0</v>
      </c>
      <c r="M2156" s="10" t="str">
        <f>ROUND(Github!O$1952, 2)&amp;"%"</f>
        <v>71.2%</v>
      </c>
      <c r="N2156" s="10">
        <f>Github!P$1952</f>
        <v>3070</v>
      </c>
      <c r="O2156" s="10">
        <f>Github!Q$1952</f>
        <v>4312</v>
      </c>
    </row>
    <row r="2157">
      <c r="A2157" s="10">
        <f>Github!J$1422</f>
        <v>1421</v>
      </c>
      <c r="B2157" s="11" t="str">
        <f>HYPERLINK(CONCAT("http://leetcode.com/problems/",Github!C$1422), Github!B$1422)</f>
        <v>NPV Queries</v>
      </c>
      <c r="C2157" s="10">
        <f>Github!F$1422</f>
        <v>26</v>
      </c>
      <c r="D2157" s="10">
        <f>Github!G$1422</f>
        <v>233</v>
      </c>
      <c r="E2157" s="10">
        <f>Github!F$1422+Github!G$1422</f>
        <v>259</v>
      </c>
      <c r="F2157" s="12">
        <f t="shared" si="1"/>
        <v>0.11</v>
      </c>
      <c r="G2157" s="10" t="str">
        <f>Github!H$1422</f>
        <v>Database</v>
      </c>
      <c r="H2157" s="13" t="str">
        <f>SUBSTITUTE(Github!L$1422, ";", ", ")</f>
        <v>Database, </v>
      </c>
      <c r="I2157" s="10" t="str">
        <f>Github!E$1422</f>
        <v>Easy</v>
      </c>
      <c r="J2157" s="10" t="str">
        <f>IF(TRIM(Github!D$1422)="TRUE","FALSE","TRUE")</f>
        <v>FALSE</v>
      </c>
      <c r="K2157" s="10" t="b">
        <f>Github!M$1422</f>
        <v>0</v>
      </c>
      <c r="L2157" s="10" t="b">
        <f>Github!N$1422</f>
        <v>0</v>
      </c>
      <c r="M2157" s="10" t="str">
        <f>ROUND(Github!O$1422, 2)&amp;"%"</f>
        <v>83.41%</v>
      </c>
      <c r="N2157" s="10">
        <f>Github!P$1422</f>
        <v>15553</v>
      </c>
      <c r="O2157" s="10">
        <f>Github!Q$1422</f>
        <v>18647</v>
      </c>
    </row>
    <row r="2158">
      <c r="A2158" s="10">
        <f>Github!J$1854</f>
        <v>1853</v>
      </c>
      <c r="B2158" s="11" t="str">
        <f>HYPERLINK(CONCAT("http://leetcode.com/problems/",Github!C$1854), Github!B$1854)</f>
        <v>Convert Date Format</v>
      </c>
      <c r="C2158" s="10">
        <f>Github!F$1854</f>
        <v>25</v>
      </c>
      <c r="D2158" s="10">
        <f>Github!G$1854</f>
        <v>27</v>
      </c>
      <c r="E2158" s="10">
        <f>Github!F$1854+Github!G$1854</f>
        <v>52</v>
      </c>
      <c r="F2158" s="12">
        <f t="shared" si="1"/>
        <v>0.93</v>
      </c>
      <c r="G2158" s="10" t="str">
        <f>Github!H$1854</f>
        <v>Database</v>
      </c>
      <c r="H2158" s="13" t="str">
        <f>SUBSTITUTE(Github!L$1854, ";", ", ")</f>
        <v>Database, </v>
      </c>
      <c r="I2158" s="10" t="str">
        <f>Github!E$1854</f>
        <v>Easy</v>
      </c>
      <c r="J2158" s="10" t="str">
        <f>IF(TRIM(Github!D$1854)="TRUE","FALSE","TRUE")</f>
        <v>FALSE</v>
      </c>
      <c r="K2158" s="10" t="b">
        <f>Github!M$1854</f>
        <v>0</v>
      </c>
      <c r="L2158" s="10" t="b">
        <f>Github!N$1854</f>
        <v>0</v>
      </c>
      <c r="M2158" s="10" t="str">
        <f>ROUND(Github!O$1854, 2)&amp;"%"</f>
        <v>87.59%</v>
      </c>
      <c r="N2158" s="10">
        <f>Github!P$1854</f>
        <v>6047</v>
      </c>
      <c r="O2158" s="10">
        <f>Github!Q$1854</f>
        <v>6904</v>
      </c>
    </row>
    <row r="2159">
      <c r="A2159" s="10">
        <f>Github!J$2067</f>
        <v>2066</v>
      </c>
      <c r="B2159" s="11" t="str">
        <f>HYPERLINK(CONCAT("http://leetcode.com/problems/",Github!C$2067), Github!B$2067)</f>
        <v>Account Balance</v>
      </c>
      <c r="C2159" s="10">
        <f>Github!F$2067</f>
        <v>25</v>
      </c>
      <c r="D2159" s="10">
        <f>Github!G$2067</f>
        <v>1</v>
      </c>
      <c r="E2159" s="10">
        <f>Github!F$2067+Github!G$2067</f>
        <v>26</v>
      </c>
      <c r="F2159" s="12">
        <f t="shared" si="1"/>
        <v>25</v>
      </c>
      <c r="G2159" s="10" t="str">
        <f>Github!H$2067</f>
        <v>Database</v>
      </c>
      <c r="H2159" s="13" t="str">
        <f>SUBSTITUTE(Github!L$2067, ";", ", ")</f>
        <v>Database, </v>
      </c>
      <c r="I2159" s="10" t="str">
        <f>Github!E$2067</f>
        <v>Medium</v>
      </c>
      <c r="J2159" s="10" t="str">
        <f>IF(TRIM(Github!D$2067)="TRUE","FALSE","TRUE")</f>
        <v>FALSE</v>
      </c>
      <c r="K2159" s="10" t="b">
        <f>Github!M$2067</f>
        <v>0</v>
      </c>
      <c r="L2159" s="10" t="b">
        <f>Github!N$2067</f>
        <v>0</v>
      </c>
      <c r="M2159" s="10" t="str">
        <f>ROUND(Github!O$2067, 2)&amp;"%"</f>
        <v>85.1%</v>
      </c>
      <c r="N2159" s="10">
        <f>Github!P$2067</f>
        <v>2474</v>
      </c>
      <c r="O2159" s="10">
        <f>Github!Q$2067</f>
        <v>2907</v>
      </c>
    </row>
    <row r="2160">
      <c r="A2160" s="10">
        <f>Github!J$752</f>
        <v>751</v>
      </c>
      <c r="B2160" s="11" t="str">
        <f>HYPERLINK(CONCAT("http://leetcode.com/problems/",Github!C$752), Github!B$752)</f>
        <v>IP to CIDR</v>
      </c>
      <c r="C2160" s="10">
        <f>Github!F$752</f>
        <v>24</v>
      </c>
      <c r="D2160" s="10">
        <f>Github!G$752</f>
        <v>69</v>
      </c>
      <c r="E2160" s="10">
        <f>Github!F$752+Github!G$752</f>
        <v>93</v>
      </c>
      <c r="F2160" s="12">
        <f t="shared" si="1"/>
        <v>0.35</v>
      </c>
      <c r="G2160" s="10" t="str">
        <f>Github!H$752</f>
        <v>Algorithms</v>
      </c>
      <c r="H2160" s="13" t="str">
        <f>SUBSTITUTE(Github!L$752, ";", ", ")</f>
        <v>String, Bit Manipulation, </v>
      </c>
      <c r="I2160" s="10" t="str">
        <f>Github!E$752</f>
        <v>Medium</v>
      </c>
      <c r="J2160" s="10" t="str">
        <f>IF(TRIM(Github!D$752)="TRUE","FALSE","TRUE")</f>
        <v>FALSE</v>
      </c>
      <c r="K2160" s="10" t="b">
        <f>Github!M$752</f>
        <v>0</v>
      </c>
      <c r="L2160" s="10" t="b">
        <f>Github!N$752</f>
        <v>0</v>
      </c>
      <c r="M2160" s="10" t="str">
        <f>ROUND(Github!O$752, 2)&amp;"%"</f>
        <v>55.15%</v>
      </c>
      <c r="N2160" s="10">
        <f>Github!P$752</f>
        <v>13556</v>
      </c>
      <c r="O2160" s="10">
        <f>Github!Q$752</f>
        <v>24581</v>
      </c>
    </row>
    <row r="2161">
      <c r="A2161" s="10">
        <f>Github!J$1909</f>
        <v>1908</v>
      </c>
      <c r="B2161" s="11" t="str">
        <f>HYPERLINK(CONCAT("http://leetcode.com/problems/",Github!C$1909), Github!B$1909)</f>
        <v>Game of Nim</v>
      </c>
      <c r="C2161" s="10">
        <f>Github!F$1909</f>
        <v>24</v>
      </c>
      <c r="D2161" s="10">
        <f>Github!G$1909</f>
        <v>12</v>
      </c>
      <c r="E2161" s="10">
        <f>Github!F$1909+Github!G$1909</f>
        <v>36</v>
      </c>
      <c r="F2161" s="12">
        <f t="shared" si="1"/>
        <v>2</v>
      </c>
      <c r="G2161" s="10" t="str">
        <f>Github!H$1909</f>
        <v>Algorithms</v>
      </c>
      <c r="H2161" s="13" t="str">
        <f>SUBSTITUTE(Github!L$1909, ";", ", ")</f>
        <v>Array, Math, Dynamic Programming, Bit Manipulation, Brainteaser, Game Theory, </v>
      </c>
      <c r="I2161" s="10" t="str">
        <f>Github!E$1909</f>
        <v>Medium</v>
      </c>
      <c r="J2161" s="10" t="str">
        <f>IF(TRIM(Github!D$1909)="TRUE","FALSE","TRUE")</f>
        <v>FALSE</v>
      </c>
      <c r="K2161" s="10" t="b">
        <f>Github!M$1909</f>
        <v>0</v>
      </c>
      <c r="L2161" s="10" t="b">
        <f>Github!N$1909</f>
        <v>0</v>
      </c>
      <c r="M2161" s="10" t="str">
        <f>ROUND(Github!O$1909, 2)&amp;"%"</f>
        <v>58.17%</v>
      </c>
      <c r="N2161" s="10">
        <f>Github!P$1909</f>
        <v>879</v>
      </c>
      <c r="O2161" s="10">
        <f>Github!Q$1909</f>
        <v>1511</v>
      </c>
    </row>
    <row r="2162">
      <c r="A2162" s="10">
        <f>Github!J$1940</f>
        <v>1939</v>
      </c>
      <c r="B2162" s="11" t="str">
        <f>HYPERLINK(CONCAT("http://leetcode.com/problems/",Github!C$1940), Github!B$1940)</f>
        <v>Users That Actively Request Confirmation Messages</v>
      </c>
      <c r="C2162" s="10">
        <f>Github!F$1940</f>
        <v>24</v>
      </c>
      <c r="D2162" s="10">
        <f>Github!G$1940</f>
        <v>19</v>
      </c>
      <c r="E2162" s="10">
        <f>Github!F$1940+Github!G$1940</f>
        <v>43</v>
      </c>
      <c r="F2162" s="12">
        <f t="shared" si="1"/>
        <v>1.26</v>
      </c>
      <c r="G2162" s="10" t="str">
        <f>Github!H$1940</f>
        <v>Database</v>
      </c>
      <c r="H2162" s="13" t="str">
        <f>SUBSTITUTE(Github!L$1940, ";", ", ")</f>
        <v>Database, </v>
      </c>
      <c r="I2162" s="10" t="str">
        <f>Github!E$1940</f>
        <v>Easy</v>
      </c>
      <c r="J2162" s="10" t="str">
        <f>IF(TRIM(Github!D$1940)="TRUE","FALSE","TRUE")</f>
        <v>FALSE</v>
      </c>
      <c r="K2162" s="10" t="b">
        <f>Github!M$1940</f>
        <v>0</v>
      </c>
      <c r="L2162" s="10" t="b">
        <f>Github!N$1940</f>
        <v>0</v>
      </c>
      <c r="M2162" s="10" t="str">
        <f>ROUND(Github!O$1940, 2)&amp;"%"</f>
        <v>61.66%</v>
      </c>
      <c r="N2162" s="10">
        <f>Github!P$1940</f>
        <v>4238</v>
      </c>
      <c r="O2162" s="10">
        <f>Github!Q$1940</f>
        <v>6873</v>
      </c>
    </row>
    <row r="2163">
      <c r="A2163" s="10">
        <f>Github!J$673</f>
        <v>672</v>
      </c>
      <c r="B2163" s="11" t="str">
        <f>HYPERLINK(CONCAT("http://leetcode.com/problems/",Github!C$673), Github!B$673)</f>
        <v>Bulb Switcher II</v>
      </c>
      <c r="C2163" s="10">
        <f>Github!F$673</f>
        <v>23</v>
      </c>
      <c r="D2163" s="10">
        <f>Github!G$673</f>
        <v>61</v>
      </c>
      <c r="E2163" s="10">
        <f>Github!F$673+Github!G$673</f>
        <v>84</v>
      </c>
      <c r="F2163" s="12">
        <f t="shared" si="1"/>
        <v>0.38</v>
      </c>
      <c r="G2163" s="10" t="str">
        <f>Github!H$673</f>
        <v>Algorithms</v>
      </c>
      <c r="H2163" s="13" t="str">
        <f>SUBSTITUTE(Github!L$673, ";", ", ")</f>
        <v>Math, Bit Manipulation, Depth-First Search, Breadth-First Search, </v>
      </c>
      <c r="I2163" s="10" t="str">
        <f>Github!E$673</f>
        <v>Medium</v>
      </c>
      <c r="J2163" s="10" t="str">
        <f>IF(TRIM(Github!D$673)="TRUE","FALSE","TRUE")</f>
        <v>TRUE</v>
      </c>
      <c r="K2163" s="10" t="b">
        <f>Github!M$673</f>
        <v>0</v>
      </c>
      <c r="L2163" s="10" t="b">
        <f>Github!N$673</f>
        <v>0</v>
      </c>
      <c r="M2163" s="10" t="str">
        <f>ROUND(Github!O$673, 2)&amp;"%"</f>
        <v>50.84%</v>
      </c>
      <c r="N2163" s="10">
        <f>Github!P$673</f>
        <v>16508</v>
      </c>
      <c r="O2163" s="10">
        <f>Github!Q$673</f>
        <v>32469</v>
      </c>
    </row>
    <row r="2164">
      <c r="A2164" s="10">
        <f>Github!J$1517</f>
        <v>1516</v>
      </c>
      <c r="B2164" s="11" t="str">
        <f>HYPERLINK(CONCAT("http://leetcode.com/problems/",Github!C$1517), Github!B$1517)</f>
        <v>Move Sub-Tree of N-Ary Tree</v>
      </c>
      <c r="C2164" s="10">
        <f>Github!F$1517</f>
        <v>23</v>
      </c>
      <c r="D2164" s="10">
        <f>Github!G$1517</f>
        <v>35</v>
      </c>
      <c r="E2164" s="10">
        <f>Github!F$1517+Github!G$1517</f>
        <v>58</v>
      </c>
      <c r="F2164" s="12">
        <f t="shared" si="1"/>
        <v>0.66</v>
      </c>
      <c r="G2164" s="10" t="str">
        <f>Github!H$1517</f>
        <v>Algorithms</v>
      </c>
      <c r="H2164" s="13" t="str">
        <f>SUBSTITUTE(Github!L$1517, ";", ", ")</f>
        <v>Tree, Depth-First Search, </v>
      </c>
      <c r="I2164" s="10" t="str">
        <f>Github!E$1517</f>
        <v>Hard</v>
      </c>
      <c r="J2164" s="10" t="str">
        <f>IF(TRIM(Github!D$1517)="TRUE","FALSE","TRUE")</f>
        <v>FALSE</v>
      </c>
      <c r="K2164" s="10" t="b">
        <f>Github!M$1517</f>
        <v>0</v>
      </c>
      <c r="L2164" s="10" t="b">
        <f>Github!N$1517</f>
        <v>0</v>
      </c>
      <c r="M2164" s="10" t="str">
        <f>ROUND(Github!O$1517, 2)&amp;"%"</f>
        <v>64.49%</v>
      </c>
      <c r="N2164" s="10">
        <f>Github!P$1517</f>
        <v>1618</v>
      </c>
      <c r="O2164" s="10">
        <f>Github!Q$1517</f>
        <v>2509</v>
      </c>
    </row>
    <row r="2165">
      <c r="A2165" s="10">
        <f>Github!J$1989</f>
        <v>1988</v>
      </c>
      <c r="B2165" s="11" t="str">
        <f>HYPERLINK(CONCAT("http://leetcode.com/problems/",Github!C$1989), Github!B$1989)</f>
        <v>Find Cutoff Score for Each School</v>
      </c>
      <c r="C2165" s="10">
        <f>Github!F$1989</f>
        <v>23</v>
      </c>
      <c r="D2165" s="10">
        <f>Github!G$1989</f>
        <v>50</v>
      </c>
      <c r="E2165" s="10">
        <f>Github!F$1989+Github!G$1989</f>
        <v>73</v>
      </c>
      <c r="F2165" s="12">
        <f t="shared" si="1"/>
        <v>0.46</v>
      </c>
      <c r="G2165" s="10" t="str">
        <f>Github!H$1989</f>
        <v>Database</v>
      </c>
      <c r="H2165" s="13" t="str">
        <f>SUBSTITUTE(Github!L$1989, ";", ", ")</f>
        <v>Database, </v>
      </c>
      <c r="I2165" s="10" t="str">
        <f>Github!E$1989</f>
        <v>Medium</v>
      </c>
      <c r="J2165" s="10" t="str">
        <f>IF(TRIM(Github!D$1989)="TRUE","FALSE","TRUE")</f>
        <v>FALSE</v>
      </c>
      <c r="K2165" s="10" t="b">
        <f>Github!M$1989</f>
        <v>0</v>
      </c>
      <c r="L2165" s="10" t="b">
        <f>Github!N$1989</f>
        <v>0</v>
      </c>
      <c r="M2165" s="10" t="str">
        <f>ROUND(Github!O$1989, 2)&amp;"%"</f>
        <v>69.1%</v>
      </c>
      <c r="N2165" s="10">
        <f>Github!P$1989</f>
        <v>2740</v>
      </c>
      <c r="O2165" s="10">
        <f>Github!Q$1989</f>
        <v>3963</v>
      </c>
    </row>
    <row r="2166">
      <c r="A2166" s="10">
        <f>Github!J$2099</f>
        <v>2098</v>
      </c>
      <c r="B2166" s="11" t="str">
        <f>HYPERLINK(CONCAT("http://leetcode.com/problems/",Github!C$2099), Github!B$2099)</f>
        <v>Subsequence of Size K With the Largest Even Sum</v>
      </c>
      <c r="C2166" s="10">
        <f>Github!F$2099</f>
        <v>24</v>
      </c>
      <c r="D2166" s="10">
        <f>Github!G$2099</f>
        <v>1</v>
      </c>
      <c r="E2166" s="10">
        <f>Github!F$2099+Github!G$2099</f>
        <v>25</v>
      </c>
      <c r="F2166" s="12">
        <f t="shared" si="1"/>
        <v>24</v>
      </c>
      <c r="G2166" s="10" t="str">
        <f>Github!H$2099</f>
        <v>Algorithms</v>
      </c>
      <c r="H2166" s="13" t="str">
        <f>SUBSTITUTE(Github!L$2099, ";", ", ")</f>
        <v>Array, Greedy, Sorting, </v>
      </c>
      <c r="I2166" s="10" t="str">
        <f>Github!E$2099</f>
        <v>Medium</v>
      </c>
      <c r="J2166" s="10" t="str">
        <f>IF(TRIM(Github!D$2099)="TRUE","FALSE","TRUE")</f>
        <v>FALSE</v>
      </c>
      <c r="K2166" s="10" t="b">
        <f>Github!M$2099</f>
        <v>0</v>
      </c>
      <c r="L2166" s="10" t="b">
        <f>Github!N$2099</f>
        <v>0</v>
      </c>
      <c r="M2166" s="10" t="str">
        <f>ROUND(Github!O$2099, 2)&amp;"%"</f>
        <v>40.56%</v>
      </c>
      <c r="N2166" s="10">
        <f>Github!P$2099</f>
        <v>947</v>
      </c>
      <c r="O2166" s="10">
        <f>Github!Q$2099</f>
        <v>2335</v>
      </c>
    </row>
    <row r="2167">
      <c r="A2167" s="10">
        <f>Github!J$1979</f>
        <v>1978</v>
      </c>
      <c r="B2167" s="11" t="str">
        <f>HYPERLINK(CONCAT("http://leetcode.com/problems/",Github!C$1979), Github!B$1979)</f>
        <v>Employees Whose Manager Left the Company</v>
      </c>
      <c r="C2167" s="10">
        <f>Github!F$1979</f>
        <v>22</v>
      </c>
      <c r="D2167" s="10">
        <f>Github!G$1979</f>
        <v>4</v>
      </c>
      <c r="E2167" s="10">
        <f>Github!F$1979+Github!G$1979</f>
        <v>26</v>
      </c>
      <c r="F2167" s="12">
        <f t="shared" si="1"/>
        <v>5.5</v>
      </c>
      <c r="G2167" s="10" t="str">
        <f>Github!H$1979</f>
        <v>Database</v>
      </c>
      <c r="H2167" s="13" t="str">
        <f>SUBSTITUTE(Github!L$1979, ";", ", ")</f>
        <v>Database, </v>
      </c>
      <c r="I2167" s="10" t="str">
        <f>Github!E$1979</f>
        <v>Easy</v>
      </c>
      <c r="J2167" s="10" t="str">
        <f>IF(TRIM(Github!D$1979)="TRUE","FALSE","TRUE")</f>
        <v>FALSE</v>
      </c>
      <c r="K2167" s="10" t="b">
        <f>Github!M$1979</f>
        <v>0</v>
      </c>
      <c r="L2167" s="10" t="b">
        <f>Github!N$1979</f>
        <v>0</v>
      </c>
      <c r="M2167" s="10" t="str">
        <f>ROUND(Github!O$1979, 2)&amp;"%"</f>
        <v>49.79%</v>
      </c>
      <c r="N2167" s="10">
        <f>Github!P$1979</f>
        <v>4082</v>
      </c>
      <c r="O2167" s="10">
        <f>Github!Q$1979</f>
        <v>8199</v>
      </c>
    </row>
    <row r="2168">
      <c r="A2168" s="10">
        <f>Github!J$2085</f>
        <v>2084</v>
      </c>
      <c r="B2168" s="11" t="str">
        <f>HYPERLINK(CONCAT("http://leetcode.com/problems/",Github!C$2085), Github!B$2085)</f>
        <v>Drop Type 1 Orders for Customers With Type 0 Orders</v>
      </c>
      <c r="C2168" s="10">
        <f>Github!F$2085</f>
        <v>22</v>
      </c>
      <c r="D2168" s="10">
        <f>Github!G$2085</f>
        <v>4</v>
      </c>
      <c r="E2168" s="10">
        <f>Github!F$2085+Github!G$2085</f>
        <v>26</v>
      </c>
      <c r="F2168" s="12">
        <f t="shared" si="1"/>
        <v>5.5</v>
      </c>
      <c r="G2168" s="10" t="str">
        <f>Github!H$2085</f>
        <v>Database</v>
      </c>
      <c r="H2168" s="13" t="str">
        <f>SUBSTITUTE(Github!L$2085, ";", ", ")</f>
        <v>Database, </v>
      </c>
      <c r="I2168" s="10" t="str">
        <f>Github!E$2085</f>
        <v>Medium</v>
      </c>
      <c r="J2168" s="10" t="str">
        <f>IF(TRIM(Github!D$2085)="TRUE","FALSE","TRUE")</f>
        <v>FALSE</v>
      </c>
      <c r="K2168" s="10" t="b">
        <f>Github!M$2085</f>
        <v>0</v>
      </c>
      <c r="L2168" s="10" t="b">
        <f>Github!N$2085</f>
        <v>0</v>
      </c>
      <c r="M2168" s="10" t="str">
        <f>ROUND(Github!O$2085, 2)&amp;"%"</f>
        <v>90.78%</v>
      </c>
      <c r="N2168" s="10">
        <f>Github!P$2085</f>
        <v>2411</v>
      </c>
      <c r="O2168" s="10">
        <f>Github!Q$2085</f>
        <v>2656</v>
      </c>
    </row>
    <row r="2169">
      <c r="A2169" s="10">
        <f>Github!J$2143</f>
        <v>2142</v>
      </c>
      <c r="B2169" s="11" t="str">
        <f>HYPERLINK(CONCAT("http://leetcode.com/problems/",Github!C$2143), Github!B$2143)</f>
        <v>The Number of Passengers in Each Bus I</v>
      </c>
      <c r="C2169" s="10">
        <f>Github!F$2143</f>
        <v>22</v>
      </c>
      <c r="D2169" s="10">
        <f>Github!G$2143</f>
        <v>3</v>
      </c>
      <c r="E2169" s="10">
        <f>Github!F$2143+Github!G$2143</f>
        <v>25</v>
      </c>
      <c r="F2169" s="12">
        <f t="shared" si="1"/>
        <v>7.33</v>
      </c>
      <c r="G2169" s="10" t="str">
        <f>Github!H$2143</f>
        <v>Database</v>
      </c>
      <c r="H2169" s="13" t="str">
        <f>SUBSTITUTE(Github!L$2143, ";", ", ")</f>
        <v>Database, </v>
      </c>
      <c r="I2169" s="10" t="str">
        <f>Github!E$2143</f>
        <v>Medium</v>
      </c>
      <c r="J2169" s="10" t="str">
        <f>IF(TRIM(Github!D$2143)="TRUE","FALSE","TRUE")</f>
        <v>FALSE</v>
      </c>
      <c r="K2169" s="10" t="b">
        <f>Github!M$2143</f>
        <v>0</v>
      </c>
      <c r="L2169" s="10" t="b">
        <f>Github!N$2143</f>
        <v>0</v>
      </c>
      <c r="M2169" s="10" t="str">
        <f>ROUND(Github!O$2143, 2)&amp;"%"</f>
        <v>50.79%</v>
      </c>
      <c r="N2169" s="10">
        <f>Github!P$2143</f>
        <v>1150</v>
      </c>
      <c r="O2169" s="10">
        <f>Github!Q$2143</f>
        <v>2265</v>
      </c>
    </row>
    <row r="2170">
      <c r="A2170" s="10">
        <f>Github!J$2185</f>
        <v>2184</v>
      </c>
      <c r="B2170" s="11" t="str">
        <f>HYPERLINK(CONCAT("http://leetcode.com/problems/",Github!C$2185), Github!B$2185)</f>
        <v>Number of Ways to Build Sturdy Brick Wall</v>
      </c>
      <c r="C2170" s="10">
        <f>Github!F$2185</f>
        <v>22</v>
      </c>
      <c r="D2170" s="10">
        <f>Github!G$2185</f>
        <v>5</v>
      </c>
      <c r="E2170" s="10">
        <f>Github!F$2185+Github!G$2185</f>
        <v>27</v>
      </c>
      <c r="F2170" s="12">
        <f t="shared" si="1"/>
        <v>4.4</v>
      </c>
      <c r="G2170" s="10" t="str">
        <f>Github!H$2185</f>
        <v>Algorithms</v>
      </c>
      <c r="H2170" s="13" t="str">
        <f>SUBSTITUTE(Github!L$2185, ";", ", ")</f>
        <v>Array, Dynamic Programming, Bit Manipulation, Bitmask, </v>
      </c>
      <c r="I2170" s="10" t="str">
        <f>Github!E$2185</f>
        <v>Medium</v>
      </c>
      <c r="J2170" s="10" t="str">
        <f>IF(TRIM(Github!D$2185)="TRUE","FALSE","TRUE")</f>
        <v>FALSE</v>
      </c>
      <c r="K2170" s="10" t="b">
        <f>Github!M$2185</f>
        <v>0</v>
      </c>
      <c r="L2170" s="10" t="b">
        <f>Github!N$2185</f>
        <v>0</v>
      </c>
      <c r="M2170" s="10" t="str">
        <f>ROUND(Github!O$2185, 2)&amp;"%"</f>
        <v>64.92%</v>
      </c>
      <c r="N2170" s="10">
        <f>Github!P$2185</f>
        <v>520</v>
      </c>
      <c r="O2170" s="10">
        <f>Github!Q$2185</f>
        <v>801</v>
      </c>
    </row>
    <row r="2171">
      <c r="A2171" s="10">
        <f>Github!J$1822</f>
        <v>1821</v>
      </c>
      <c r="B2171" s="11" t="str">
        <f>HYPERLINK(CONCAT("http://leetcode.com/problems/",Github!C$1822), Github!B$1822)</f>
        <v>Find Customers With Positive Revenue this Year</v>
      </c>
      <c r="C2171" s="10">
        <f>Github!F$1822</f>
        <v>21</v>
      </c>
      <c r="D2171" s="10">
        <f>Github!G$1822</f>
        <v>14</v>
      </c>
      <c r="E2171" s="10">
        <f>Github!F$1822+Github!G$1822</f>
        <v>35</v>
      </c>
      <c r="F2171" s="12">
        <f t="shared" si="1"/>
        <v>1.5</v>
      </c>
      <c r="G2171" s="10" t="str">
        <f>Github!H$1822</f>
        <v>Database</v>
      </c>
      <c r="H2171" s="13" t="str">
        <f>SUBSTITUTE(Github!L$1822, ";", ", ")</f>
        <v>Database, </v>
      </c>
      <c r="I2171" s="10" t="str">
        <f>Github!E$1822</f>
        <v>Easy</v>
      </c>
      <c r="J2171" s="10" t="str">
        <f>IF(TRIM(Github!D$1822)="TRUE","FALSE","TRUE")</f>
        <v>FALSE</v>
      </c>
      <c r="K2171" s="10" t="b">
        <f>Github!M$1822</f>
        <v>0</v>
      </c>
      <c r="L2171" s="10" t="b">
        <f>Github!N$1822</f>
        <v>0</v>
      </c>
      <c r="M2171" s="10" t="str">
        <f>ROUND(Github!O$1822, 2)&amp;"%"</f>
        <v>89.76%</v>
      </c>
      <c r="N2171" s="10">
        <f>Github!P$1822</f>
        <v>8854</v>
      </c>
      <c r="O2171" s="10">
        <f>Github!Q$1822</f>
        <v>9864</v>
      </c>
    </row>
    <row r="2172">
      <c r="A2172" s="10">
        <f>Github!J$2053</f>
        <v>2052</v>
      </c>
      <c r="B2172" s="11" t="str">
        <f>HYPERLINK(CONCAT("http://leetcode.com/problems/",Github!C$2053), Github!B$2053)</f>
        <v>Minimum Cost to Separate Sentence Into Rows</v>
      </c>
      <c r="C2172" s="10">
        <f>Github!F$2053</f>
        <v>21</v>
      </c>
      <c r="D2172" s="10">
        <f>Github!G$2053</f>
        <v>8</v>
      </c>
      <c r="E2172" s="10">
        <f>Github!F$2053+Github!G$2053</f>
        <v>29</v>
      </c>
      <c r="F2172" s="12">
        <f t="shared" si="1"/>
        <v>2.63</v>
      </c>
      <c r="G2172" s="10" t="str">
        <f>Github!H$2053</f>
        <v>Algorithms</v>
      </c>
      <c r="H2172" s="13" t="str">
        <f>SUBSTITUTE(Github!L$2053, ";", ", ")</f>
        <v>Array, Dynamic Programming, </v>
      </c>
      <c r="I2172" s="10" t="str">
        <f>Github!E$2053</f>
        <v>Medium</v>
      </c>
      <c r="J2172" s="10" t="str">
        <f>IF(TRIM(Github!D$2053)="TRUE","FALSE","TRUE")</f>
        <v>FALSE</v>
      </c>
      <c r="K2172" s="10" t="b">
        <f>Github!M$2053</f>
        <v>0</v>
      </c>
      <c r="L2172" s="10" t="b">
        <f>Github!N$2053</f>
        <v>0</v>
      </c>
      <c r="M2172" s="10" t="str">
        <f>ROUND(Github!O$2053, 2)&amp;"%"</f>
        <v>53.52%</v>
      </c>
      <c r="N2172" s="10">
        <f>Github!P$2053</f>
        <v>844</v>
      </c>
      <c r="O2172" s="10">
        <f>Github!Q$2053</f>
        <v>1577</v>
      </c>
    </row>
    <row r="2173">
      <c r="A2173" s="10">
        <f>Github!J$2073</f>
        <v>2072</v>
      </c>
      <c r="B2173" s="11" t="str">
        <f>HYPERLINK(CONCAT("http://leetcode.com/problems/",Github!C$2073), Github!B$2073)</f>
        <v>The Winner University</v>
      </c>
      <c r="C2173" s="10">
        <f>Github!F$2073</f>
        <v>20</v>
      </c>
      <c r="D2173" s="10">
        <f>Github!G$2073</f>
        <v>2</v>
      </c>
      <c r="E2173" s="10">
        <f>Github!F$2073+Github!G$2073</f>
        <v>22</v>
      </c>
      <c r="F2173" s="12">
        <f t="shared" si="1"/>
        <v>10</v>
      </c>
      <c r="G2173" s="10" t="str">
        <f>Github!H$2073</f>
        <v>Database</v>
      </c>
      <c r="H2173" s="13" t="str">
        <f>SUBSTITUTE(Github!L$2073, ";", ", ")</f>
        <v>Database, </v>
      </c>
      <c r="I2173" s="10" t="str">
        <f>Github!E$2073</f>
        <v>Easy</v>
      </c>
      <c r="J2173" s="10" t="str">
        <f>IF(TRIM(Github!D$2073)="TRUE","FALSE","TRUE")</f>
        <v>FALSE</v>
      </c>
      <c r="K2173" s="10" t="b">
        <f>Github!M$2073</f>
        <v>0</v>
      </c>
      <c r="L2173" s="10" t="b">
        <f>Github!N$2073</f>
        <v>0</v>
      </c>
      <c r="M2173" s="10" t="str">
        <f>ROUND(Github!O$2073, 2)&amp;"%"</f>
        <v>72.89%</v>
      </c>
      <c r="N2173" s="10">
        <f>Github!P$2073</f>
        <v>2957</v>
      </c>
      <c r="O2173" s="10">
        <f>Github!Q$2073</f>
        <v>4057</v>
      </c>
    </row>
    <row r="2174">
      <c r="A2174" s="10">
        <f>Github!J$2124</f>
        <v>2123</v>
      </c>
      <c r="B2174" s="11" t="str">
        <f>HYPERLINK(CONCAT("http://leetcode.com/problems/",Github!C$2124), Github!B$2124)</f>
        <v>Minimum Operations to Remove Adjacent Ones in Matrix</v>
      </c>
      <c r="C2174" s="10">
        <f>Github!F$2124</f>
        <v>20</v>
      </c>
      <c r="D2174" s="10">
        <f>Github!G$2124</f>
        <v>4</v>
      </c>
      <c r="E2174" s="10">
        <f>Github!F$2124+Github!G$2124</f>
        <v>24</v>
      </c>
      <c r="F2174" s="12">
        <f t="shared" si="1"/>
        <v>5</v>
      </c>
      <c r="G2174" s="10" t="str">
        <f>Github!H$2124</f>
        <v>Algorithms</v>
      </c>
      <c r="H2174" s="13" t="str">
        <f>SUBSTITUTE(Github!L$2124, ";", ", ")</f>
        <v>Array, Graph, Matrix, </v>
      </c>
      <c r="I2174" s="10" t="str">
        <f>Github!E$2124</f>
        <v>Hard</v>
      </c>
      <c r="J2174" s="10" t="str">
        <f>IF(TRIM(Github!D$2124)="TRUE","FALSE","TRUE")</f>
        <v>FALSE</v>
      </c>
      <c r="K2174" s="10" t="b">
        <f>Github!M$2124</f>
        <v>0</v>
      </c>
      <c r="L2174" s="10" t="b">
        <f>Github!N$2124</f>
        <v>0</v>
      </c>
      <c r="M2174" s="10" t="str">
        <f>ROUND(Github!O$2124, 2)&amp;"%"</f>
        <v>41.86%</v>
      </c>
      <c r="N2174" s="10">
        <f>Github!P$2124</f>
        <v>391</v>
      </c>
      <c r="O2174" s="10">
        <f>Github!Q$2124</f>
        <v>934</v>
      </c>
    </row>
    <row r="2175">
      <c r="A2175" s="10">
        <f>Github!J$2153</f>
        <v>2152</v>
      </c>
      <c r="B2175" s="11" t="str">
        <f>HYPERLINK(CONCAT("http://leetcode.com/problems/",Github!C$2153), Github!B$2153)</f>
        <v>Minimum Number of Lines to Cover Points</v>
      </c>
      <c r="C2175" s="10">
        <f>Github!F$2153</f>
        <v>20</v>
      </c>
      <c r="D2175" s="10">
        <f>Github!G$2153</f>
        <v>5</v>
      </c>
      <c r="E2175" s="10">
        <f>Github!F$2153+Github!G$2153</f>
        <v>25</v>
      </c>
      <c r="F2175" s="12">
        <f t="shared" si="1"/>
        <v>4</v>
      </c>
      <c r="G2175" s="10" t="str">
        <f>Github!H$2153</f>
        <v>Algorithms</v>
      </c>
      <c r="H2175" s="13" t="str">
        <f>SUBSTITUTE(Github!L$2153, ";", ", ")</f>
        <v>Array, Hash Table, Math, Dynamic Programming, Backtracking, Bit Manipulation, Geometry, Bitmask, </v>
      </c>
      <c r="I2175" s="10" t="str">
        <f>Github!E$2153</f>
        <v>Medium</v>
      </c>
      <c r="J2175" s="10" t="str">
        <f>IF(TRIM(Github!D$2153)="TRUE","FALSE","TRUE")</f>
        <v>FALSE</v>
      </c>
      <c r="K2175" s="10" t="b">
        <f>Github!M$2153</f>
        <v>0</v>
      </c>
      <c r="L2175" s="10" t="b">
        <f>Github!N$2153</f>
        <v>0</v>
      </c>
      <c r="M2175" s="10" t="str">
        <f>ROUND(Github!O$2153, 2)&amp;"%"</f>
        <v>46.14%</v>
      </c>
      <c r="N2175" s="10">
        <f>Github!P$2153</f>
        <v>615</v>
      </c>
      <c r="O2175" s="10">
        <f>Github!Q$2153</f>
        <v>1333</v>
      </c>
    </row>
    <row r="2176">
      <c r="A2176" s="10">
        <f>Github!J$2169</f>
        <v>2168</v>
      </c>
      <c r="B2176" s="11" t="str">
        <f>HYPERLINK(CONCAT("http://leetcode.com/problems/",Github!C$2169), Github!B$2169)</f>
        <v>Unique Substrings With Equal Digit Frequency</v>
      </c>
      <c r="C2176" s="10">
        <f>Github!F$2169</f>
        <v>20</v>
      </c>
      <c r="D2176" s="10">
        <f>Github!G$2169</f>
        <v>3</v>
      </c>
      <c r="E2176" s="10">
        <f>Github!F$2169+Github!G$2169</f>
        <v>23</v>
      </c>
      <c r="F2176" s="12">
        <f t="shared" si="1"/>
        <v>6.67</v>
      </c>
      <c r="G2176" s="10" t="str">
        <f>Github!H$2169</f>
        <v>Algorithms</v>
      </c>
      <c r="H2176" s="13" t="str">
        <f>SUBSTITUTE(Github!L$2169, ";", ", ")</f>
        <v>Hash Table, String, Rolling Hash, Counting, Hash Function, </v>
      </c>
      <c r="I2176" s="10" t="str">
        <f>Github!E$2169</f>
        <v>Medium</v>
      </c>
      <c r="J2176" s="10" t="str">
        <f>IF(TRIM(Github!D$2169)="TRUE","FALSE","TRUE")</f>
        <v>FALSE</v>
      </c>
      <c r="K2176" s="10" t="b">
        <f>Github!M$2169</f>
        <v>0</v>
      </c>
      <c r="L2176" s="10" t="b">
        <f>Github!N$2169</f>
        <v>0</v>
      </c>
      <c r="M2176" s="10" t="str">
        <f>ROUND(Github!O$2169, 2)&amp;"%"</f>
        <v>58.02%</v>
      </c>
      <c r="N2176" s="10">
        <f>Github!P$2169</f>
        <v>611</v>
      </c>
      <c r="O2176" s="10">
        <f>Github!Q$2169</f>
        <v>1053</v>
      </c>
    </row>
    <row r="2177">
      <c r="A2177" s="10">
        <f>Github!J$2175</f>
        <v>2174</v>
      </c>
      <c r="B2177" s="11" t="str">
        <f>HYPERLINK(CONCAT("http://leetcode.com/problems/",Github!C$2175), Github!B$2175)</f>
        <v>Remove All Ones With Row and Column Flips II</v>
      </c>
      <c r="C2177" s="10">
        <f>Github!F$2175</f>
        <v>19</v>
      </c>
      <c r="D2177" s="10">
        <f>Github!G$2175</f>
        <v>1</v>
      </c>
      <c r="E2177" s="10">
        <f>Github!F$2175+Github!G$2175</f>
        <v>20</v>
      </c>
      <c r="F2177" s="12">
        <f t="shared" si="1"/>
        <v>19</v>
      </c>
      <c r="G2177" s="10" t="str">
        <f>Github!H$2175</f>
        <v>Algorithms</v>
      </c>
      <c r="H2177" s="13" t="str">
        <f>SUBSTITUTE(Github!L$2175, ";", ", ")</f>
        <v>Array, Bit Manipulation, Breadth-First Search, Matrix, </v>
      </c>
      <c r="I2177" s="10" t="str">
        <f>Github!E$2175</f>
        <v>Medium</v>
      </c>
      <c r="J2177" s="10" t="str">
        <f>IF(TRIM(Github!D$2175)="TRUE","FALSE","TRUE")</f>
        <v>FALSE</v>
      </c>
      <c r="K2177" s="10" t="b">
        <f>Github!M$2175</f>
        <v>0</v>
      </c>
      <c r="L2177" s="10" t="b">
        <f>Github!N$2175</f>
        <v>0</v>
      </c>
      <c r="M2177" s="10" t="str">
        <f>ROUND(Github!O$2175, 2)&amp;"%"</f>
        <v>68.27%</v>
      </c>
      <c r="N2177" s="10">
        <f>Github!P$2175</f>
        <v>510</v>
      </c>
      <c r="O2177" s="10">
        <f>Github!Q$2175</f>
        <v>747</v>
      </c>
    </row>
    <row r="2178">
      <c r="A2178" s="10">
        <f>Github!J$2000</f>
        <v>1999</v>
      </c>
      <c r="B2178" s="11" t="str">
        <f>HYPERLINK(CONCAT("http://leetcode.com/problems/",Github!C$2000), Github!B$2000)</f>
        <v>Smallest Greater Multiple Made of Two Digits</v>
      </c>
      <c r="C2178" s="10">
        <f>Github!F$2000</f>
        <v>18</v>
      </c>
      <c r="D2178" s="10">
        <f>Github!G$2000</f>
        <v>3</v>
      </c>
      <c r="E2178" s="10">
        <f>Github!F$2000+Github!G$2000</f>
        <v>21</v>
      </c>
      <c r="F2178" s="12">
        <f t="shared" si="1"/>
        <v>6</v>
      </c>
      <c r="G2178" s="10" t="str">
        <f>Github!H$2000</f>
        <v>Algorithms</v>
      </c>
      <c r="H2178" s="13" t="str">
        <f>SUBSTITUTE(Github!L$2000, ";", ", ")</f>
        <v>Math, Enumeration, </v>
      </c>
      <c r="I2178" s="10" t="str">
        <f>Github!E$2000</f>
        <v>Medium</v>
      </c>
      <c r="J2178" s="10" t="str">
        <f>IF(TRIM(Github!D$2000)="TRUE","FALSE","TRUE")</f>
        <v>FALSE</v>
      </c>
      <c r="K2178" s="10" t="b">
        <f>Github!M$2000</f>
        <v>0</v>
      </c>
      <c r="L2178" s="10" t="b">
        <f>Github!N$2000</f>
        <v>0</v>
      </c>
      <c r="M2178" s="10" t="str">
        <f>ROUND(Github!O$2000, 2)&amp;"%"</f>
        <v>52.28%</v>
      </c>
      <c r="N2178" s="10">
        <f>Github!P$2000</f>
        <v>815</v>
      </c>
      <c r="O2178" s="10">
        <f>Github!Q$2000</f>
        <v>1559</v>
      </c>
    </row>
    <row r="2179">
      <c r="A2179" s="10">
        <f>Github!J$1678</f>
        <v>1677</v>
      </c>
      <c r="B2179" s="11" t="str">
        <f>HYPERLINK(CONCAT("http://leetcode.com/problems/",Github!C$1678), Github!B$1678)</f>
        <v>Product's Worth Over Invoices</v>
      </c>
      <c r="C2179" s="10">
        <f>Github!F$1678</f>
        <v>17</v>
      </c>
      <c r="D2179" s="10">
        <f>Github!G$1678</f>
        <v>81</v>
      </c>
      <c r="E2179" s="10">
        <f>Github!F$1678+Github!G$1678</f>
        <v>98</v>
      </c>
      <c r="F2179" s="12">
        <f t="shared" si="1"/>
        <v>0.21</v>
      </c>
      <c r="G2179" s="10" t="str">
        <f>Github!H$1678</f>
        <v>Database</v>
      </c>
      <c r="H2179" s="13" t="str">
        <f>SUBSTITUTE(Github!L$1678, ";", ", ")</f>
        <v>Database, </v>
      </c>
      <c r="I2179" s="10" t="str">
        <f>Github!E$1678</f>
        <v>Easy</v>
      </c>
      <c r="J2179" s="10" t="str">
        <f>IF(TRIM(Github!D$1678)="TRUE","FALSE","TRUE")</f>
        <v>FALSE</v>
      </c>
      <c r="K2179" s="10" t="b">
        <f>Github!M$1678</f>
        <v>0</v>
      </c>
      <c r="L2179" s="10" t="b">
        <f>Github!N$1678</f>
        <v>0</v>
      </c>
      <c r="M2179" s="10" t="str">
        <f>ROUND(Github!O$1678, 2)&amp;"%"</f>
        <v>41.24%</v>
      </c>
      <c r="N2179" s="10">
        <f>Github!P$1678</f>
        <v>9547</v>
      </c>
      <c r="O2179" s="10">
        <f>Github!Q$1678</f>
        <v>23148</v>
      </c>
    </row>
    <row r="2180">
      <c r="A2180" s="10">
        <f>Github!J$1715</f>
        <v>1714</v>
      </c>
      <c r="B2180" s="11" t="str">
        <f>HYPERLINK(CONCAT("http://leetcode.com/problems/",Github!C$1715), Github!B$1715)</f>
        <v>Sum Of Special Evenly-Spaced Elements In Array</v>
      </c>
      <c r="C2180" s="10">
        <f>Github!F$1715</f>
        <v>17</v>
      </c>
      <c r="D2180" s="10">
        <f>Github!G$1715</f>
        <v>16</v>
      </c>
      <c r="E2180" s="10">
        <f>Github!F$1715+Github!G$1715</f>
        <v>33</v>
      </c>
      <c r="F2180" s="12">
        <f t="shared" si="1"/>
        <v>1.06</v>
      </c>
      <c r="G2180" s="10" t="str">
        <f>Github!H$1715</f>
        <v>Algorithms</v>
      </c>
      <c r="H2180" s="13" t="str">
        <f>SUBSTITUTE(Github!L$1715, ";", ", ")</f>
        <v>Array, Dynamic Programming, </v>
      </c>
      <c r="I2180" s="10" t="str">
        <f>Github!E$1715</f>
        <v>Hard</v>
      </c>
      <c r="J2180" s="10" t="str">
        <f>IF(TRIM(Github!D$1715)="TRUE","FALSE","TRUE")</f>
        <v>FALSE</v>
      </c>
      <c r="K2180" s="10" t="b">
        <f>Github!M$1715</f>
        <v>0</v>
      </c>
      <c r="L2180" s="10" t="b">
        <f>Github!N$1715</f>
        <v>0</v>
      </c>
      <c r="M2180" s="10" t="str">
        <f>ROUND(Github!O$1715, 2)&amp;"%"</f>
        <v>52.09%</v>
      </c>
      <c r="N2180" s="10">
        <f>Github!P$1715</f>
        <v>946</v>
      </c>
      <c r="O2180" s="10">
        <f>Github!Q$1715</f>
        <v>1816</v>
      </c>
    </row>
    <row r="2181">
      <c r="A2181" s="10">
        <f>Github!J$2052</f>
        <v>2051</v>
      </c>
      <c r="B2181" s="11" t="str">
        <f>HYPERLINK(CONCAT("http://leetcode.com/problems/",Github!C$2052), Github!B$2052)</f>
        <v>The Category of Each Member in the Store</v>
      </c>
      <c r="C2181" s="10">
        <f>Github!F$2052</f>
        <v>17</v>
      </c>
      <c r="D2181" s="10">
        <f>Github!G$2052</f>
        <v>4</v>
      </c>
      <c r="E2181" s="10">
        <f>Github!F$2052+Github!G$2052</f>
        <v>21</v>
      </c>
      <c r="F2181" s="12">
        <f t="shared" si="1"/>
        <v>4.25</v>
      </c>
      <c r="G2181" s="10" t="str">
        <f>Github!H$2052</f>
        <v>Database</v>
      </c>
      <c r="H2181" s="13" t="str">
        <f>SUBSTITUTE(Github!L$2052, ";", ", ")</f>
        <v>Database, </v>
      </c>
      <c r="I2181" s="10" t="str">
        <f>Github!E$2052</f>
        <v>Medium</v>
      </c>
      <c r="J2181" s="10" t="str">
        <f>IF(TRIM(Github!D$2052)="TRUE","FALSE","TRUE")</f>
        <v>FALSE</v>
      </c>
      <c r="K2181" s="10" t="b">
        <f>Github!M$2052</f>
        <v>0</v>
      </c>
      <c r="L2181" s="10" t="b">
        <f>Github!N$2052</f>
        <v>0</v>
      </c>
      <c r="M2181" s="10" t="str">
        <f>ROUND(Github!O$2052, 2)&amp;"%"</f>
        <v>73.04%</v>
      </c>
      <c r="N2181" s="10">
        <f>Github!P$2052</f>
        <v>2147</v>
      </c>
      <c r="O2181" s="10">
        <f>Github!Q$2052</f>
        <v>2941</v>
      </c>
    </row>
    <row r="2182">
      <c r="A2182" s="10">
        <f>Github!J$1652</f>
        <v>1651</v>
      </c>
      <c r="B2182" s="11" t="str">
        <f>HYPERLINK(CONCAT("http://leetcode.com/problems/",Github!C$1652), Github!B$1652)</f>
        <v>Hopper Company Queries III</v>
      </c>
      <c r="C2182" s="10">
        <f>Github!F$1652</f>
        <v>16</v>
      </c>
      <c r="D2182" s="10">
        <f>Github!G$1652</f>
        <v>38</v>
      </c>
      <c r="E2182" s="10">
        <f>Github!F$1652+Github!G$1652</f>
        <v>54</v>
      </c>
      <c r="F2182" s="12">
        <f t="shared" si="1"/>
        <v>0.42</v>
      </c>
      <c r="G2182" s="10" t="str">
        <f>Github!H$1652</f>
        <v>Database</v>
      </c>
      <c r="H2182" s="13" t="str">
        <f>SUBSTITUTE(Github!L$1652, ";", ", ")</f>
        <v>Database, </v>
      </c>
      <c r="I2182" s="10" t="str">
        <f>Github!E$1652</f>
        <v>Hard</v>
      </c>
      <c r="J2182" s="10" t="str">
        <f>IF(TRIM(Github!D$1652)="TRUE","FALSE","TRUE")</f>
        <v>FALSE</v>
      </c>
      <c r="K2182" s="10" t="b">
        <f>Github!M$1652</f>
        <v>0</v>
      </c>
      <c r="L2182" s="10" t="b">
        <f>Github!N$1652</f>
        <v>0</v>
      </c>
      <c r="M2182" s="10" t="str">
        <f>ROUND(Github!O$1652, 2)&amp;"%"</f>
        <v>66.83%</v>
      </c>
      <c r="N2182" s="10">
        <f>Github!P$1652</f>
        <v>3848</v>
      </c>
      <c r="O2182" s="10">
        <f>Github!Q$1652</f>
        <v>5758</v>
      </c>
    </row>
    <row r="2183">
      <c r="A2183" s="10">
        <f>Github!J$1957</f>
        <v>1956</v>
      </c>
      <c r="B2183" s="11" t="str">
        <f>HYPERLINK(CONCAT("http://leetcode.com/problems/",Github!C$1957), Github!B$1957)</f>
        <v>Minimum Time For K Virus Variants to Spread</v>
      </c>
      <c r="C2183" s="10">
        <f>Github!F$1957</f>
        <v>16</v>
      </c>
      <c r="D2183" s="10">
        <f>Github!G$1957</f>
        <v>4</v>
      </c>
      <c r="E2183" s="10">
        <f>Github!F$1957+Github!G$1957</f>
        <v>20</v>
      </c>
      <c r="F2183" s="12">
        <f t="shared" si="1"/>
        <v>4</v>
      </c>
      <c r="G2183" s="10" t="str">
        <f>Github!H$1957</f>
        <v>Algorithms</v>
      </c>
      <c r="H2183" s="13" t="str">
        <f>SUBSTITUTE(Github!L$1957, ";", ", ")</f>
        <v>Array, Math, Binary Search, Geometry, Enumeration, </v>
      </c>
      <c r="I2183" s="10" t="str">
        <f>Github!E$1957</f>
        <v>Hard</v>
      </c>
      <c r="J2183" s="10" t="str">
        <f>IF(TRIM(Github!D$1957)="TRUE","FALSE","TRUE")</f>
        <v>FALSE</v>
      </c>
      <c r="K2183" s="10" t="b">
        <f>Github!M$1957</f>
        <v>0</v>
      </c>
      <c r="L2183" s="10" t="b">
        <f>Github!N$1957</f>
        <v>0</v>
      </c>
      <c r="M2183" s="10" t="str">
        <f>ROUND(Github!O$1957, 2)&amp;"%"</f>
        <v>43.94%</v>
      </c>
      <c r="N2183" s="10">
        <f>Github!P$1957</f>
        <v>399</v>
      </c>
      <c r="O2183" s="10">
        <f>Github!Q$1957</f>
        <v>908</v>
      </c>
    </row>
    <row r="2184">
      <c r="A2184" s="10">
        <f>Github!J$2042</f>
        <v>2041</v>
      </c>
      <c r="B2184" s="11" t="str">
        <f>HYPERLINK(CONCAT("http://leetcode.com/problems/",Github!C$2042), Github!B$2042)</f>
        <v>Accepted Candidates From the Interviews</v>
      </c>
      <c r="C2184" s="10">
        <f>Github!F$2042</f>
        <v>16</v>
      </c>
      <c r="D2184" s="10">
        <f>Github!G$2042</f>
        <v>17</v>
      </c>
      <c r="E2184" s="10">
        <f>Github!F$2042+Github!G$2042</f>
        <v>33</v>
      </c>
      <c r="F2184" s="12">
        <f t="shared" si="1"/>
        <v>0.94</v>
      </c>
      <c r="G2184" s="10" t="str">
        <f>Github!H$2042</f>
        <v>Database</v>
      </c>
      <c r="H2184" s="13" t="str">
        <f>SUBSTITUTE(Github!L$2042, ";", ", ")</f>
        <v>Database, </v>
      </c>
      <c r="I2184" s="10" t="str">
        <f>Github!E$2042</f>
        <v>Medium</v>
      </c>
      <c r="J2184" s="10" t="str">
        <f>IF(TRIM(Github!D$2042)="TRUE","FALSE","TRUE")</f>
        <v>FALSE</v>
      </c>
      <c r="K2184" s="10" t="b">
        <f>Github!M$2042</f>
        <v>0</v>
      </c>
      <c r="L2184" s="10" t="b">
        <f>Github!N$2042</f>
        <v>0</v>
      </c>
      <c r="M2184" s="10" t="str">
        <f>ROUND(Github!O$2042, 2)&amp;"%"</f>
        <v>76.74%</v>
      </c>
      <c r="N2184" s="10">
        <f>Github!P$2042</f>
        <v>2509</v>
      </c>
      <c r="O2184" s="10">
        <f>Github!Q$2042</f>
        <v>3270</v>
      </c>
    </row>
    <row r="2185">
      <c r="A2185" s="10">
        <f>Github!J$2190</f>
        <v>2189</v>
      </c>
      <c r="B2185" s="11" t="str">
        <f>HYPERLINK(CONCAT("http://leetcode.com/problems/",Github!C$2190), Github!B$2190)</f>
        <v>Number of Ways to Build House of Cards</v>
      </c>
      <c r="C2185" s="10">
        <f>Github!F$2190</f>
        <v>15</v>
      </c>
      <c r="D2185" s="10">
        <f>Github!G$2190</f>
        <v>2</v>
      </c>
      <c r="E2185" s="10">
        <f>Github!F$2190+Github!G$2190</f>
        <v>17</v>
      </c>
      <c r="F2185" s="12">
        <f t="shared" si="1"/>
        <v>7.5</v>
      </c>
      <c r="G2185" s="10" t="str">
        <f>Github!H$2190</f>
        <v>Algorithms</v>
      </c>
      <c r="H2185" s="13" t="str">
        <f>SUBSTITUTE(Github!L$2190, ";", ", ")</f>
        <v>Math, Dynamic Programming, </v>
      </c>
      <c r="I2185" s="10" t="str">
        <f>Github!E$2190</f>
        <v>Medium</v>
      </c>
      <c r="J2185" s="10" t="str">
        <f>IF(TRIM(Github!D$2190)="TRUE","FALSE","TRUE")</f>
        <v>FALSE</v>
      </c>
      <c r="K2185" s="10" t="b">
        <f>Github!M$2190</f>
        <v>0</v>
      </c>
      <c r="L2185" s="10" t="b">
        <f>Github!N$2190</f>
        <v>0</v>
      </c>
      <c r="M2185" s="10" t="str">
        <f>ROUND(Github!O$2190, 2)&amp;"%"</f>
        <v>66.31%</v>
      </c>
      <c r="N2185" s="10">
        <f>Github!P$2190</f>
        <v>437</v>
      </c>
      <c r="O2185" s="10">
        <f>Github!Q$2190</f>
        <v>659</v>
      </c>
    </row>
    <row r="2186">
      <c r="A2186" s="10">
        <f>Github!J$2113</f>
        <v>2112</v>
      </c>
      <c r="B2186" s="11" t="str">
        <f>HYPERLINK(CONCAT("http://leetcode.com/problems/",Github!C$2113), Github!B$2113)</f>
        <v>The Airport With the Most Traffic</v>
      </c>
      <c r="C2186" s="10">
        <f>Github!F$2113</f>
        <v>14</v>
      </c>
      <c r="D2186" s="10">
        <f>Github!G$2113</f>
        <v>4</v>
      </c>
      <c r="E2186" s="10">
        <f>Github!F$2113+Github!G$2113</f>
        <v>18</v>
      </c>
      <c r="F2186" s="12">
        <f t="shared" si="1"/>
        <v>3.5</v>
      </c>
      <c r="G2186" s="10" t="str">
        <f>Github!H$2113</f>
        <v>Database</v>
      </c>
      <c r="H2186" s="13" t="str">
        <f>SUBSTITUTE(Github!L$2113, ";", ", ")</f>
        <v>Database, </v>
      </c>
      <c r="I2186" s="10" t="str">
        <f>Github!E$2113</f>
        <v>Medium</v>
      </c>
      <c r="J2186" s="10" t="str">
        <f>IF(TRIM(Github!D$2113)="TRUE","FALSE","TRUE")</f>
        <v>FALSE</v>
      </c>
      <c r="K2186" s="10" t="b">
        <f>Github!M$2113</f>
        <v>0</v>
      </c>
      <c r="L2186" s="10" t="b">
        <f>Github!N$2113</f>
        <v>0</v>
      </c>
      <c r="M2186" s="10" t="str">
        <f>ROUND(Github!O$2113, 2)&amp;"%"</f>
        <v>67.86%</v>
      </c>
      <c r="N2186" s="10">
        <f>Github!P$2113</f>
        <v>1776</v>
      </c>
      <c r="O2186" s="10">
        <f>Github!Q$2113</f>
        <v>2617</v>
      </c>
    </row>
    <row r="2187">
      <c r="A2187" s="10">
        <f>Github!J$2154</f>
        <v>2153</v>
      </c>
      <c r="B2187" s="11" t="str">
        <f>HYPERLINK(CONCAT("http://leetcode.com/problems/",Github!C$2154), Github!B$2154)</f>
        <v>The Number of Passengers in Each Bus II</v>
      </c>
      <c r="C2187" s="10">
        <f>Github!F$2154</f>
        <v>14</v>
      </c>
      <c r="D2187" s="10">
        <f>Github!G$2154</f>
        <v>5</v>
      </c>
      <c r="E2187" s="10">
        <f>Github!F$2154+Github!G$2154</f>
        <v>19</v>
      </c>
      <c r="F2187" s="12">
        <f t="shared" si="1"/>
        <v>2.8</v>
      </c>
      <c r="G2187" s="10" t="str">
        <f>Github!H$2154</f>
        <v>Database</v>
      </c>
      <c r="H2187" s="13" t="str">
        <f>SUBSTITUTE(Github!L$2154, ";", ", ")</f>
        <v>Database, </v>
      </c>
      <c r="I2187" s="10" t="str">
        <f>Github!E$2154</f>
        <v>Hard</v>
      </c>
      <c r="J2187" s="10" t="str">
        <f>IF(TRIM(Github!D$2154)="TRUE","FALSE","TRUE")</f>
        <v>FALSE</v>
      </c>
      <c r="K2187" s="10" t="b">
        <f>Github!M$2154</f>
        <v>0</v>
      </c>
      <c r="L2187" s="10" t="b">
        <f>Github!N$2154</f>
        <v>0</v>
      </c>
      <c r="M2187" s="10" t="str">
        <f>ROUND(Github!O$2154, 2)&amp;"%"</f>
        <v>50.92%</v>
      </c>
      <c r="N2187" s="10">
        <f>Github!P$2154</f>
        <v>303</v>
      </c>
      <c r="O2187" s="10">
        <f>Github!Q$2154</f>
        <v>595</v>
      </c>
    </row>
    <row r="2188">
      <c r="A2188" s="10">
        <f>Github!J$2174</f>
        <v>2173</v>
      </c>
      <c r="B2188" s="11" t="str">
        <f>HYPERLINK(CONCAT("http://leetcode.com/problems/",Github!C$2174), Github!B$2174)</f>
        <v>Longest Winning Streak</v>
      </c>
      <c r="C2188" s="10">
        <f>Github!F$2174</f>
        <v>14</v>
      </c>
      <c r="D2188" s="10">
        <f>Github!G$2174</f>
        <v>1</v>
      </c>
      <c r="E2188" s="10">
        <f>Github!F$2174+Github!G$2174</f>
        <v>15</v>
      </c>
      <c r="F2188" s="12">
        <f t="shared" si="1"/>
        <v>14</v>
      </c>
      <c r="G2188" s="10" t="str">
        <f>Github!H$2174</f>
        <v>Database</v>
      </c>
      <c r="H2188" s="13" t="str">
        <f>SUBSTITUTE(Github!L$2174, ";", ", ")</f>
        <v>Database, </v>
      </c>
      <c r="I2188" s="10" t="str">
        <f>Github!E$2174</f>
        <v>Hard</v>
      </c>
      <c r="J2188" s="10" t="str">
        <f>IF(TRIM(Github!D$2174)="TRUE","FALSE","TRUE")</f>
        <v>FALSE</v>
      </c>
      <c r="K2188" s="10" t="b">
        <f>Github!M$2174</f>
        <v>0</v>
      </c>
      <c r="L2188" s="10" t="b">
        <f>Github!N$2174</f>
        <v>0</v>
      </c>
      <c r="M2188" s="10" t="str">
        <f>ROUND(Github!O$2174, 2)&amp;"%"</f>
        <v>45.96%</v>
      </c>
      <c r="N2188" s="10">
        <f>Github!P$2174</f>
        <v>336</v>
      </c>
      <c r="O2188" s="10">
        <f>Github!Q$2174</f>
        <v>731</v>
      </c>
    </row>
    <row r="2189">
      <c r="A2189" s="10">
        <f>Github!J$2144</f>
        <v>2143</v>
      </c>
      <c r="B2189" s="11" t="str">
        <f>HYPERLINK(CONCAT("http://leetcode.com/problems/",Github!C$2144), Github!B$2144)</f>
        <v>Choose Numbers From Two Arrays in Range</v>
      </c>
      <c r="C2189" s="10">
        <f>Github!F$2144</f>
        <v>12</v>
      </c>
      <c r="D2189" s="10">
        <f>Github!G$2144</f>
        <v>1</v>
      </c>
      <c r="E2189" s="10">
        <f>Github!F$2144+Github!G$2144</f>
        <v>13</v>
      </c>
      <c r="F2189" s="12">
        <f t="shared" si="1"/>
        <v>12</v>
      </c>
      <c r="G2189" s="10" t="str">
        <f>Github!H$2144</f>
        <v>Algorithms</v>
      </c>
      <c r="H2189" s="13" t="str">
        <f>SUBSTITUTE(Github!L$2144, ";", ", ")</f>
        <v>Array, Dynamic Programming, </v>
      </c>
      <c r="I2189" s="10" t="str">
        <f>Github!E$2144</f>
        <v>Hard</v>
      </c>
      <c r="J2189" s="10" t="str">
        <f>IF(TRIM(Github!D$2144)="TRUE","FALSE","TRUE")</f>
        <v>FALSE</v>
      </c>
      <c r="K2189" s="10" t="b">
        <f>Github!M$2144</f>
        <v>0</v>
      </c>
      <c r="L2189" s="10" t="b">
        <f>Github!N$2144</f>
        <v>0</v>
      </c>
      <c r="M2189" s="10" t="str">
        <f>ROUND(Github!O$2144, 2)&amp;"%"</f>
        <v>53.92%</v>
      </c>
      <c r="N2189" s="10">
        <f>Github!P$2144</f>
        <v>399</v>
      </c>
      <c r="O2189" s="10">
        <f>Github!Q$2144</f>
        <v>740</v>
      </c>
    </row>
    <row r="2190">
      <c r="A2190" s="10">
        <f>Github!J$2027</f>
        <v>2026</v>
      </c>
      <c r="B2190" s="11" t="str">
        <f>HYPERLINK(CONCAT("http://leetcode.com/problems/",Github!C$2027), Github!B$2027)</f>
        <v>Low-Quality Problems</v>
      </c>
      <c r="C2190" s="10">
        <f>Github!F$2027</f>
        <v>11</v>
      </c>
      <c r="D2190" s="10">
        <f>Github!G$2027</f>
        <v>5</v>
      </c>
      <c r="E2190" s="10">
        <f>Github!F$2027+Github!G$2027</f>
        <v>16</v>
      </c>
      <c r="F2190" s="12">
        <f t="shared" si="1"/>
        <v>2.2</v>
      </c>
      <c r="G2190" s="10" t="str">
        <f>Github!H$2027</f>
        <v>Database</v>
      </c>
      <c r="H2190" s="13" t="str">
        <f>SUBSTITUTE(Github!L$2027, ";", ", ")</f>
        <v>Database, </v>
      </c>
      <c r="I2190" s="10" t="str">
        <f>Github!E$2027</f>
        <v>Easy</v>
      </c>
      <c r="J2190" s="10" t="str">
        <f>IF(TRIM(Github!D$2027)="TRUE","FALSE","TRUE")</f>
        <v>FALSE</v>
      </c>
      <c r="K2190" s="10" t="b">
        <f>Github!M$2027</f>
        <v>0</v>
      </c>
      <c r="L2190" s="10" t="b">
        <f>Github!N$2027</f>
        <v>0</v>
      </c>
      <c r="M2190" s="10" t="str">
        <f>ROUND(Github!O$2027, 2)&amp;"%"</f>
        <v>85.61%</v>
      </c>
      <c r="N2190" s="10">
        <f>Github!P$2027</f>
        <v>3803</v>
      </c>
      <c r="O2190" s="10">
        <f>Github!Q$2027</f>
        <v>4442</v>
      </c>
    </row>
    <row r="2191">
      <c r="A2191" s="10">
        <f>Github!J$2083</f>
        <v>2082</v>
      </c>
      <c r="B2191" s="11" t="str">
        <f>HYPERLINK(CONCAT("http://leetcode.com/problems/",Github!C$2083), Github!B$2083)</f>
        <v>The Number of Rich Customers</v>
      </c>
      <c r="C2191" s="10">
        <f>Github!F$2083</f>
        <v>11</v>
      </c>
      <c r="D2191" s="10">
        <f>Github!G$2083</f>
        <v>7</v>
      </c>
      <c r="E2191" s="10">
        <f>Github!F$2083+Github!G$2083</f>
        <v>18</v>
      </c>
      <c r="F2191" s="12">
        <f t="shared" si="1"/>
        <v>1.57</v>
      </c>
      <c r="G2191" s="10" t="str">
        <f>Github!H$2083</f>
        <v>Database</v>
      </c>
      <c r="H2191" s="13" t="str">
        <f>SUBSTITUTE(Github!L$2083, ";", ", ")</f>
        <v>Database, </v>
      </c>
      <c r="I2191" s="10" t="str">
        <f>Github!E$2083</f>
        <v>Easy</v>
      </c>
      <c r="J2191" s="10" t="str">
        <f>IF(TRIM(Github!D$2083)="TRUE","FALSE","TRUE")</f>
        <v>FALSE</v>
      </c>
      <c r="K2191" s="10" t="b">
        <f>Github!M$2083</f>
        <v>0</v>
      </c>
      <c r="L2191" s="10" t="b">
        <f>Github!N$2083</f>
        <v>0</v>
      </c>
      <c r="M2191" s="10" t="str">
        <f>ROUND(Github!O$2083, 2)&amp;"%"</f>
        <v>80.7%</v>
      </c>
      <c r="N2191" s="10">
        <f>Github!P$2083</f>
        <v>3044</v>
      </c>
      <c r="O2191" s="10">
        <f>Github!Q$2083</f>
        <v>3772</v>
      </c>
    </row>
    <row r="2192">
      <c r="A2192" s="10">
        <f>Github!J$2006</f>
        <v>2005</v>
      </c>
      <c r="B2192" s="11" t="str">
        <f>HYPERLINK(CONCAT("http://leetcode.com/problems/",Github!C$2006), Github!B$2006)</f>
        <v>Subtree Removal Game with Fibonacci Tree</v>
      </c>
      <c r="C2192" s="10">
        <f>Github!F$2006</f>
        <v>9</v>
      </c>
      <c r="D2192" s="10">
        <f>Github!G$2006</f>
        <v>25</v>
      </c>
      <c r="E2192" s="10">
        <f>Github!F$2006+Github!G$2006</f>
        <v>34</v>
      </c>
      <c r="F2192" s="12">
        <f t="shared" si="1"/>
        <v>0.36</v>
      </c>
      <c r="G2192" s="10" t="str">
        <f>Github!H$2006</f>
        <v>Algorithms</v>
      </c>
      <c r="H2192" s="13" t="str">
        <f>SUBSTITUTE(Github!L$2006, ";", ", ")</f>
        <v>Math, Dynamic Programming, Tree, Binary Tree, Game Theory, </v>
      </c>
      <c r="I2192" s="10" t="str">
        <f>Github!E$2006</f>
        <v>Hard</v>
      </c>
      <c r="J2192" s="10" t="str">
        <f>IF(TRIM(Github!D$2006)="TRUE","FALSE","TRUE")</f>
        <v>FALSE</v>
      </c>
      <c r="K2192" s="10" t="b">
        <f>Github!M$2006</f>
        <v>0</v>
      </c>
      <c r="L2192" s="10" t="b">
        <f>Github!N$2006</f>
        <v>0</v>
      </c>
      <c r="M2192" s="10" t="str">
        <f>ROUND(Github!O$2006, 2)&amp;"%"</f>
        <v>63.59%</v>
      </c>
      <c r="N2192" s="10">
        <f>Github!P$2006</f>
        <v>276</v>
      </c>
      <c r="O2192" s="10">
        <f>Github!Q$2006</f>
        <v>434</v>
      </c>
    </row>
    <row r="2193">
      <c r="A2193" s="10">
        <f>Github!J$2011</f>
        <v>2010</v>
      </c>
      <c r="B2193" s="11" t="str">
        <f>HYPERLINK(CONCAT("http://leetcode.com/problems/",Github!C$2011), Github!B$2011)</f>
        <v>The Number of Seniors and Juniors to Join the Company II</v>
      </c>
      <c r="C2193" s="10">
        <f>Github!F$2011</f>
        <v>9</v>
      </c>
      <c r="D2193" s="10">
        <f>Github!G$2011</f>
        <v>4</v>
      </c>
      <c r="E2193" s="10">
        <f>Github!F$2011+Github!G$2011</f>
        <v>13</v>
      </c>
      <c r="F2193" s="12">
        <f t="shared" si="1"/>
        <v>2.25</v>
      </c>
      <c r="G2193" s="10" t="str">
        <f>Github!H$2011</f>
        <v>Database</v>
      </c>
      <c r="H2193" s="13" t="str">
        <f>SUBSTITUTE(Github!L$2011, ";", ", ")</f>
        <v>Database, </v>
      </c>
      <c r="I2193" s="10" t="str">
        <f>Github!E$2011</f>
        <v>Hard</v>
      </c>
      <c r="J2193" s="10" t="str">
        <f>IF(TRIM(Github!D$2011)="TRUE","FALSE","TRUE")</f>
        <v>FALSE</v>
      </c>
      <c r="K2193" s="10" t="b">
        <f>Github!M$2011</f>
        <v>0</v>
      </c>
      <c r="L2193" s="10" t="b">
        <f>Github!N$2011</f>
        <v>0</v>
      </c>
      <c r="M2193" s="10" t="str">
        <f>ROUND(Github!O$2011, 2)&amp;"%"</f>
        <v>56.47%</v>
      </c>
      <c r="N2193" s="10">
        <f>Github!P$2011</f>
        <v>1476</v>
      </c>
      <c r="O2193" s="10">
        <f>Github!Q$2011</f>
        <v>2614</v>
      </c>
    </row>
    <row r="2194">
      <c r="A2194" s="10">
        <f>Github!J$2119</f>
        <v>2118</v>
      </c>
      <c r="B2194" s="11" t="str">
        <f>HYPERLINK(CONCAT("http://leetcode.com/problems/",Github!C$2119), Github!B$2119)</f>
        <v>Build the Equation</v>
      </c>
      <c r="C2194" s="10">
        <f>Github!F$2119</f>
        <v>9</v>
      </c>
      <c r="D2194" s="10">
        <f>Github!G$2119</f>
        <v>13</v>
      </c>
      <c r="E2194" s="10">
        <f>Github!F$2119+Github!G$2119</f>
        <v>22</v>
      </c>
      <c r="F2194" s="12">
        <f t="shared" si="1"/>
        <v>0.69</v>
      </c>
      <c r="G2194" s="10" t="str">
        <f>Github!H$2119</f>
        <v>Database</v>
      </c>
      <c r="H2194" s="13" t="str">
        <f>SUBSTITUTE(Github!L$2119, ";", ", ")</f>
        <v>Database, </v>
      </c>
      <c r="I2194" s="10" t="str">
        <f>Github!E$2119</f>
        <v>Hard</v>
      </c>
      <c r="J2194" s="10" t="str">
        <f>IF(TRIM(Github!D$2119)="TRUE","FALSE","TRUE")</f>
        <v>FALSE</v>
      </c>
      <c r="K2194" s="10" t="b">
        <f>Github!M$2119</f>
        <v>0</v>
      </c>
      <c r="L2194" s="10" t="b">
        <f>Github!N$2119</f>
        <v>0</v>
      </c>
      <c r="M2194" s="10" t="str">
        <f>ROUND(Github!O$2119, 2)&amp;"%"</f>
        <v>57.81%</v>
      </c>
      <c r="N2194" s="10">
        <f>Github!P$2119</f>
        <v>507</v>
      </c>
      <c r="O2194" s="10">
        <f>Github!Q$2119</f>
        <v>877</v>
      </c>
    </row>
    <row r="2195">
      <c r="A2195" s="10">
        <f>Github!J$1925</f>
        <v>1924</v>
      </c>
      <c r="B2195" s="11" t="str">
        <f>HYPERLINK(CONCAT("http://leetcode.com/problems/",Github!C$1925), Github!B$1925)</f>
        <v>Erect the Fence II</v>
      </c>
      <c r="C2195" s="10">
        <f>Github!F$1925</f>
        <v>8</v>
      </c>
      <c r="D2195" s="10">
        <f>Github!G$1925</f>
        <v>31</v>
      </c>
      <c r="E2195" s="10">
        <f>Github!F$1925+Github!G$1925</f>
        <v>39</v>
      </c>
      <c r="F2195" s="12">
        <f t="shared" si="1"/>
        <v>0.26</v>
      </c>
      <c r="G2195" s="10" t="str">
        <f>Github!H$1925</f>
        <v>Algorithms</v>
      </c>
      <c r="H2195" s="13" t="str">
        <f>SUBSTITUTE(Github!L$1925, ";", ", ")</f>
        <v>Array, Math, Geometry, </v>
      </c>
      <c r="I2195" s="10" t="str">
        <f>Github!E$1925</f>
        <v>Hard</v>
      </c>
      <c r="J2195" s="10" t="str">
        <f>IF(TRIM(Github!D$1925)="TRUE","FALSE","TRUE")</f>
        <v>FALSE</v>
      </c>
      <c r="K2195" s="10" t="b">
        <f>Github!M$1925</f>
        <v>0</v>
      </c>
      <c r="L2195" s="10" t="b">
        <f>Github!N$1925</f>
        <v>0</v>
      </c>
      <c r="M2195" s="10" t="str">
        <f>ROUND(Github!O$1925, 2)&amp;"%"</f>
        <v>58.32%</v>
      </c>
      <c r="N2195" s="10">
        <f>Github!P$1925</f>
        <v>417</v>
      </c>
      <c r="O2195" s="10">
        <f>Github!Q$1925</f>
        <v>715</v>
      </c>
    </row>
    <row r="2196">
      <c r="A2196" s="10">
        <f>Github!J$2176</f>
        <v>2175</v>
      </c>
      <c r="B2196" s="11" t="str">
        <f>HYPERLINK(CONCAT("http://leetcode.com/problems/",Github!C$2176), Github!B$2176)</f>
        <v>The Change in Global Rankings</v>
      </c>
      <c r="C2196" s="10">
        <f>Github!F$2176</f>
        <v>7</v>
      </c>
      <c r="D2196" s="10">
        <f>Github!G$2176</f>
        <v>4</v>
      </c>
      <c r="E2196" s="10">
        <f>Github!F$2176+Github!G$2176</f>
        <v>11</v>
      </c>
      <c r="F2196" s="12">
        <f t="shared" si="1"/>
        <v>1.75</v>
      </c>
      <c r="G2196" s="10" t="str">
        <f>Github!H$2176</f>
        <v>Database</v>
      </c>
      <c r="H2196" s="13" t="str">
        <f>SUBSTITUTE(Github!L$2176, ";", ", ")</f>
        <v>Database, </v>
      </c>
      <c r="I2196" s="10" t="str">
        <f>Github!E$2176</f>
        <v>Medium</v>
      </c>
      <c r="J2196" s="10" t="str">
        <f>IF(TRIM(Github!D$2176)="TRUE","FALSE","TRUE")</f>
        <v>FALSE</v>
      </c>
      <c r="K2196" s="10" t="b">
        <f>Github!M$2176</f>
        <v>0</v>
      </c>
      <c r="L2196" s="10" t="b">
        <f>Github!N$2176</f>
        <v>0</v>
      </c>
      <c r="M2196" s="10" t="str">
        <f>ROUND(Github!O$2176, 2)&amp;"%"</f>
        <v>63.26%</v>
      </c>
      <c r="N2196" s="10">
        <f>Github!P$2176</f>
        <v>569</v>
      </c>
      <c r="O2196" s="10">
        <f>Github!Q$2176</f>
        <v>900</v>
      </c>
    </row>
    <row r="2197">
      <c r="A2197" s="10">
        <f>Github!J$1991</f>
        <v>1990</v>
      </c>
      <c r="B2197" s="11" t="str">
        <f>HYPERLINK(CONCAT("http://leetcode.com/problems/",Github!C$1991), Github!B$1991)</f>
        <v>Count the Number of Experiments</v>
      </c>
      <c r="C2197" s="10">
        <f>Github!F$1991</f>
        <v>6</v>
      </c>
      <c r="D2197" s="10">
        <f>Github!G$1991</f>
        <v>75</v>
      </c>
      <c r="E2197" s="10">
        <f>Github!F$1991+Github!G$1991</f>
        <v>81</v>
      </c>
      <c r="F2197" s="12">
        <f t="shared" si="1"/>
        <v>0.08</v>
      </c>
      <c r="G2197" s="10" t="str">
        <f>Github!H$1991</f>
        <v>Database</v>
      </c>
      <c r="H2197" s="13" t="str">
        <f>SUBSTITUTE(Github!L$1991, ";", ", ")</f>
        <v>Database, </v>
      </c>
      <c r="I2197" s="10" t="str">
        <f>Github!E$1991</f>
        <v>Medium</v>
      </c>
      <c r="J2197" s="10" t="str">
        <f>IF(TRIM(Github!D$1991)="TRUE","FALSE","TRUE")</f>
        <v>FALSE</v>
      </c>
      <c r="K2197" s="10" t="b">
        <f>Github!M$1991</f>
        <v>0</v>
      </c>
      <c r="L2197" s="10" t="b">
        <f>Github!N$1991</f>
        <v>0</v>
      </c>
      <c r="M2197" s="10" t="str">
        <f>ROUND(Github!O$1991, 2)&amp;"%"</f>
        <v>50.62%</v>
      </c>
      <c r="N2197" s="10">
        <f>Github!P$1991</f>
        <v>2158</v>
      </c>
      <c r="O2197" s="10">
        <f>Github!Q$1991</f>
        <v>4263</v>
      </c>
    </row>
    <row r="2198">
      <c r="A2198" s="10">
        <f>Github!J$2021</f>
        <v>2020</v>
      </c>
      <c r="B2198" s="11" t="str">
        <f>HYPERLINK(CONCAT("http://leetcode.com/problems/",Github!C$2021), Github!B$2021)</f>
        <v>Number of Accounts That Did Not Stream</v>
      </c>
      <c r="C2198" s="10">
        <f>Github!F$2021</f>
        <v>6</v>
      </c>
      <c r="D2198" s="10">
        <f>Github!G$2021</f>
        <v>62</v>
      </c>
      <c r="E2198" s="10">
        <f>Github!F$2021+Github!G$2021</f>
        <v>68</v>
      </c>
      <c r="F2198" s="12">
        <f t="shared" si="1"/>
        <v>0.1</v>
      </c>
      <c r="G2198" s="10" t="str">
        <f>Github!H$2021</f>
        <v>Database</v>
      </c>
      <c r="H2198" s="13" t="str">
        <f>SUBSTITUTE(Github!L$2021, ";", ", ")</f>
        <v>Database, </v>
      </c>
      <c r="I2198" s="10" t="str">
        <f>Github!E$2021</f>
        <v>Medium</v>
      </c>
      <c r="J2198" s="10" t="str">
        <f>IF(TRIM(Github!D$2021)="TRUE","FALSE","TRUE")</f>
        <v>FALSE</v>
      </c>
      <c r="K2198" s="10" t="b">
        <f>Github!M$2021</f>
        <v>0</v>
      </c>
      <c r="L2198" s="10" t="b">
        <f>Github!N$2021</f>
        <v>0</v>
      </c>
      <c r="M2198" s="10" t="str">
        <f>ROUND(Github!O$2021, 2)&amp;"%"</f>
        <v>72.49%</v>
      </c>
      <c r="N2198" s="10">
        <f>Github!P$2021</f>
        <v>2851</v>
      </c>
      <c r="O2198" s="10">
        <f>Github!Q$2021</f>
        <v>3933</v>
      </c>
    </row>
    <row r="2199">
      <c r="A2199" s="10">
        <f>Github!J$2160</f>
        <v>2159</v>
      </c>
      <c r="B2199" s="11" t="str">
        <f>HYPERLINK(CONCAT("http://leetcode.com/problems/",Github!C$2160), Github!B$2160)</f>
        <v>Order Two Columns Independently</v>
      </c>
      <c r="C2199" s="10">
        <f>Github!F$2160</f>
        <v>6</v>
      </c>
      <c r="D2199" s="10">
        <f>Github!G$2160</f>
        <v>7</v>
      </c>
      <c r="E2199" s="10">
        <f>Github!F$2160+Github!G$2160</f>
        <v>13</v>
      </c>
      <c r="F2199" s="12">
        <f t="shared" si="1"/>
        <v>0.86</v>
      </c>
      <c r="G2199" s="10" t="str">
        <f>Github!H$2160</f>
        <v>Database</v>
      </c>
      <c r="H2199" s="13" t="str">
        <f>SUBSTITUTE(Github!L$2160, ";", ", ")</f>
        <v>Database, </v>
      </c>
      <c r="I2199" s="10" t="str">
        <f>Github!E$2160</f>
        <v>Medium</v>
      </c>
      <c r="J2199" s="10" t="str">
        <f>IF(TRIM(Github!D$2160)="TRUE","FALSE","TRUE")</f>
        <v>FALSE</v>
      </c>
      <c r="K2199" s="10" t="b">
        <f>Github!M$2160</f>
        <v>0</v>
      </c>
      <c r="L2199" s="10" t="b">
        <f>Github!N$2160</f>
        <v>0</v>
      </c>
      <c r="M2199" s="10" t="str">
        <f>ROUND(Github!O$2160, 2)&amp;"%"</f>
        <v>62.42%</v>
      </c>
      <c r="N2199" s="10">
        <f>Github!P$2160</f>
        <v>794</v>
      </c>
      <c r="O2199" s="10">
        <f>Github!Q$2160</f>
        <v>1272</v>
      </c>
    </row>
    <row r="2200">
      <c r="A2200" s="15"/>
      <c r="B2200" s="16"/>
      <c r="C2200" s="17"/>
      <c r="D2200" s="17"/>
      <c r="E2200" s="17"/>
      <c r="F2200" s="18"/>
      <c r="G2200" s="17"/>
      <c r="H2200" s="19"/>
      <c r="I2200" s="17"/>
      <c r="J2200" s="17"/>
      <c r="K2200" s="17"/>
      <c r="L2200" s="17"/>
      <c r="M2200" s="17"/>
      <c r="N2200" s="17"/>
      <c r="O2200" s="17"/>
    </row>
    <row r="2201">
      <c r="A2201" s="17"/>
      <c r="B2201" s="20"/>
      <c r="C2201" s="17"/>
      <c r="D2201" s="17"/>
      <c r="E2201" s="17"/>
      <c r="F2201" s="18"/>
      <c r="G2201" s="17"/>
      <c r="H2201" s="19"/>
      <c r="I2201" s="17"/>
      <c r="J2201" s="17"/>
      <c r="K2201" s="17"/>
      <c r="L2201" s="17"/>
      <c r="M2201" s="17"/>
      <c r="N2201" s="17"/>
      <c r="O2201" s="17"/>
    </row>
    <row r="2202">
      <c r="A2202" s="17"/>
      <c r="B2202" s="21"/>
      <c r="C2202" s="17"/>
      <c r="D2202" s="17"/>
      <c r="E2202" s="17"/>
      <c r="F2202" s="18"/>
      <c r="G2202" s="17"/>
      <c r="H2202" s="19"/>
      <c r="I2202" s="17"/>
      <c r="J2202" s="17"/>
      <c r="K2202" s="17"/>
      <c r="L2202" s="17"/>
      <c r="M2202" s="17"/>
      <c r="N2202" s="17"/>
      <c r="O2202" s="17"/>
    </row>
    <row r="2203">
      <c r="A2203" s="17"/>
      <c r="B2203" s="21"/>
      <c r="C2203" s="17"/>
      <c r="D2203" s="17"/>
      <c r="E2203" s="17"/>
      <c r="F2203" s="18"/>
      <c r="G2203" s="17"/>
      <c r="H2203" s="19"/>
      <c r="I2203" s="17"/>
      <c r="J2203" s="17"/>
      <c r="K2203" s="17"/>
      <c r="L2203" s="17"/>
      <c r="M2203" s="17"/>
      <c r="N2203" s="17"/>
      <c r="O2203" s="17"/>
    </row>
    <row r="2204">
      <c r="A2204" s="17"/>
      <c r="B2204" s="21"/>
      <c r="C2204" s="17"/>
      <c r="D2204" s="17"/>
      <c r="E2204" s="17"/>
      <c r="F2204" s="18"/>
      <c r="G2204" s="17"/>
      <c r="H2204" s="19"/>
      <c r="I2204" s="17"/>
      <c r="J2204" s="17"/>
      <c r="K2204" s="17"/>
      <c r="L2204" s="17"/>
      <c r="M2204" s="17"/>
      <c r="N2204" s="17"/>
      <c r="O2204" s="17"/>
    </row>
    <row r="2205">
      <c r="A2205" s="17"/>
      <c r="B2205" s="21"/>
      <c r="C2205" s="17"/>
      <c r="D2205" s="17"/>
      <c r="E2205" s="17"/>
      <c r="F2205" s="18"/>
      <c r="G2205" s="17"/>
      <c r="H2205" s="19"/>
      <c r="I2205" s="17"/>
      <c r="J2205" s="17"/>
      <c r="K2205" s="17"/>
      <c r="L2205" s="17"/>
      <c r="M2205" s="17"/>
      <c r="N2205" s="17"/>
      <c r="O2205" s="17"/>
    </row>
    <row r="2206">
      <c r="A2206" s="17"/>
      <c r="B2206" s="21"/>
      <c r="C2206" s="17"/>
      <c r="D2206" s="17"/>
      <c r="E2206" s="17"/>
      <c r="F2206" s="18"/>
      <c r="G2206" s="17"/>
      <c r="H2206" s="19"/>
      <c r="I2206" s="17"/>
      <c r="J2206" s="17"/>
      <c r="K2206" s="17"/>
      <c r="L2206" s="17"/>
      <c r="M2206" s="17"/>
      <c r="N2206" s="17"/>
      <c r="O2206" s="17"/>
    </row>
    <row r="2207">
      <c r="A2207" s="17"/>
      <c r="B2207" s="21"/>
      <c r="C2207" s="17"/>
      <c r="D2207" s="17"/>
      <c r="E2207" s="17"/>
      <c r="F2207" s="18"/>
      <c r="G2207" s="17"/>
      <c r="H2207" s="19"/>
      <c r="I2207" s="17"/>
      <c r="J2207" s="17"/>
      <c r="K2207" s="17"/>
      <c r="L2207" s="17"/>
      <c r="M2207" s="17"/>
      <c r="N2207" s="17"/>
      <c r="O2207" s="17"/>
    </row>
    <row r="2208">
      <c r="A2208" s="17"/>
      <c r="B2208" s="21"/>
      <c r="C2208" s="17"/>
      <c r="D2208" s="17"/>
      <c r="E2208" s="17"/>
      <c r="F2208" s="18"/>
      <c r="G2208" s="17"/>
      <c r="H2208" s="19"/>
      <c r="I2208" s="17"/>
      <c r="J2208" s="17"/>
      <c r="K2208" s="17"/>
      <c r="L2208" s="17"/>
      <c r="M2208" s="17"/>
      <c r="N2208" s="17"/>
      <c r="O2208" s="17"/>
    </row>
    <row r="2209">
      <c r="A2209" s="17"/>
      <c r="B2209" s="21"/>
      <c r="C2209" s="17"/>
      <c r="D2209" s="17"/>
      <c r="E2209" s="17"/>
      <c r="F2209" s="18"/>
      <c r="G2209" s="17"/>
      <c r="H2209" s="19"/>
      <c r="I2209" s="17"/>
      <c r="J2209" s="17"/>
      <c r="K2209" s="17"/>
      <c r="L2209" s="17"/>
      <c r="M2209" s="17"/>
      <c r="N2209" s="17"/>
      <c r="O2209" s="17"/>
    </row>
    <row r="2210">
      <c r="A2210" s="17"/>
      <c r="B2210" s="21"/>
      <c r="C2210" s="17"/>
      <c r="D2210" s="17"/>
      <c r="E2210" s="17"/>
      <c r="F2210" s="18"/>
      <c r="G2210" s="17"/>
      <c r="H2210" s="19"/>
      <c r="I2210" s="17"/>
      <c r="J2210" s="17"/>
      <c r="K2210" s="17"/>
      <c r="L2210" s="17"/>
      <c r="M2210" s="17"/>
      <c r="N2210" s="17"/>
      <c r="O2210" s="17"/>
    </row>
    <row r="2211">
      <c r="A2211" s="17"/>
      <c r="B2211" s="21"/>
      <c r="C2211" s="17"/>
      <c r="D2211" s="17"/>
      <c r="E2211" s="17"/>
      <c r="F2211" s="18"/>
      <c r="G2211" s="17"/>
      <c r="H2211" s="19"/>
      <c r="I2211" s="17"/>
      <c r="J2211" s="17"/>
      <c r="K2211" s="17"/>
      <c r="L2211" s="17"/>
      <c r="M2211" s="17"/>
      <c r="N2211" s="17"/>
      <c r="O2211" s="17"/>
    </row>
    <row r="2212">
      <c r="A2212" s="17"/>
      <c r="B2212" s="21"/>
      <c r="C2212" s="17"/>
      <c r="D2212" s="17"/>
      <c r="E2212" s="17"/>
      <c r="F2212" s="18" t="str">
        <f t="shared" ref="F2212:F2215" si="2">IFERROR(ROUND(C2212/D2212, 2), C2212)</f>
        <v/>
      </c>
      <c r="G2212" s="17"/>
      <c r="H2212" s="19"/>
      <c r="I2212" s="17"/>
      <c r="J2212" s="17"/>
      <c r="K2212" s="17"/>
      <c r="L2212" s="17"/>
      <c r="M2212" s="17"/>
      <c r="N2212" s="17"/>
      <c r="O2212" s="17"/>
    </row>
    <row r="2213">
      <c r="A2213" s="17"/>
      <c r="B2213" s="21"/>
      <c r="C2213" s="17"/>
      <c r="D2213" s="17"/>
      <c r="E2213" s="17"/>
      <c r="F2213" s="18" t="str">
        <f t="shared" si="2"/>
        <v/>
      </c>
      <c r="G2213" s="17"/>
      <c r="H2213" s="19"/>
      <c r="I2213" s="17"/>
      <c r="J2213" s="17"/>
      <c r="K2213" s="17"/>
      <c r="L2213" s="17"/>
      <c r="M2213" s="17"/>
      <c r="N2213" s="17"/>
      <c r="O2213" s="17"/>
    </row>
    <row r="2214">
      <c r="A2214" s="17"/>
      <c r="B2214" s="21"/>
      <c r="C2214" s="17"/>
      <c r="D2214" s="17"/>
      <c r="E2214" s="17"/>
      <c r="F2214" s="18" t="str">
        <f t="shared" si="2"/>
        <v/>
      </c>
      <c r="G2214" s="17"/>
      <c r="H2214" s="19"/>
      <c r="I2214" s="17"/>
      <c r="J2214" s="17"/>
      <c r="K2214" s="17"/>
      <c r="L2214" s="17"/>
      <c r="M2214" s="17"/>
      <c r="N2214" s="17"/>
      <c r="O2214" s="17"/>
    </row>
    <row r="2215">
      <c r="A2215" s="17"/>
      <c r="B2215" s="21"/>
      <c r="C2215" s="17"/>
      <c r="D2215" s="17"/>
      <c r="E2215" s="17"/>
      <c r="F2215" s="18" t="str">
        <f t="shared" si="2"/>
        <v/>
      </c>
      <c r="G2215" s="17"/>
      <c r="H2215" s="19" t="str">
        <f>SUBSTITUTE(Github!L$2214, ";", ", ")</f>
        <v/>
      </c>
      <c r="I2215" s="17"/>
      <c r="J2215" s="17"/>
      <c r="K2215" s="17" t="str">
        <f>Github!M$2214</f>
        <v/>
      </c>
      <c r="L2215" s="17" t="str">
        <f>Github!N$2214</f>
        <v/>
      </c>
      <c r="M2215" s="17"/>
      <c r="N2215" s="17"/>
      <c r="O2215" s="17"/>
    </row>
  </sheetData>
  <conditionalFormatting sqref="J1:L2215">
    <cfRule type="containsText" dxfId="0" priority="1" operator="containsText" text="True">
      <formula>NOT(ISERROR(SEARCH(("True"),(J1))))</formula>
    </cfRule>
  </conditionalFormatting>
  <conditionalFormatting sqref="J1:L2215">
    <cfRule type="containsText" dxfId="1" priority="2" operator="containsText" text="False">
      <formula>NOT(ISERROR(SEARCH(("False"),(J1))))</formula>
    </cfRule>
  </conditionalFormatting>
  <conditionalFormatting sqref="I1:I2215">
    <cfRule type="containsText" dxfId="2" priority="3" operator="containsText" text="Medium">
      <formula>NOT(ISERROR(SEARCH(("Medium"),(I1))))</formula>
    </cfRule>
  </conditionalFormatting>
  <conditionalFormatting sqref="I1:I2215">
    <cfRule type="containsText" dxfId="0" priority="4" operator="containsText" text="Easy">
      <formula>NOT(ISERROR(SEARCH(("Easy"),(I1))))</formula>
    </cfRule>
  </conditionalFormatting>
  <conditionalFormatting sqref="O1:O2215">
    <cfRule type="containsText" dxfId="1" priority="5" operator="containsText" text="Hard">
      <formula>NOT(ISERROR(SEARCH(("Hard"),(O1))))</formula>
    </cfRule>
  </conditionalFormatting>
  <conditionalFormatting sqref="I1:I2215">
    <cfRule type="containsText" dxfId="1" priority="6" operator="containsText" text="Hard">
      <formula>NOT(ISERROR(SEARCH(("Hard"),(I1))))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 outlineLevelRow="1"/>
  <cols>
    <col customWidth="1" min="1" max="1" width="6.71"/>
    <col customWidth="1" min="2" max="2" width="27.86"/>
    <col customWidth="1" min="3" max="3" width="9.71"/>
    <col customWidth="1" min="4" max="4" width="10.57"/>
    <col customWidth="1" min="5" max="5" width="11.86"/>
    <col customWidth="1" min="6" max="6" width="10.29"/>
    <col customWidth="1" min="7" max="7" width="11.57"/>
    <col customWidth="1" min="8" max="8" width="32.14"/>
    <col customWidth="1" min="9" max="9" width="13.57"/>
    <col customWidth="1" min="10" max="10" width="8.14"/>
    <col customWidth="1" min="11" max="11" width="13.71"/>
    <col customWidth="1" min="12" max="12" width="13.0"/>
    <col customWidth="1" min="13" max="13" width="18.43"/>
    <col customWidth="1" min="14" max="15" width="17.14"/>
  </cols>
  <sheetData>
    <row r="1" ht="23.25" customHeight="1" outlineLevel="1">
      <c r="A1" s="22"/>
      <c r="B1" s="2" t="str">
        <f>HYPERLINK("https://github.com/adixmr/leetcode","Click to star the Github Repo")</f>
        <v>Click to star the Github Repo</v>
      </c>
      <c r="C1" s="3"/>
      <c r="D1" s="3"/>
      <c r="E1" s="23"/>
      <c r="F1" s="23"/>
      <c r="H1" s="24" t="str">
        <f>HYPERLINK("https://www.linkedin.com/in/aditya-kumar-rajput/","Connect/Follow on LinkedIn")</f>
        <v>Connect/Follow on LinkedIn</v>
      </c>
      <c r="I1" s="23"/>
      <c r="J1" s="23"/>
      <c r="K1" s="25"/>
      <c r="L1" s="25"/>
      <c r="M1" s="25" t="s">
        <v>0</v>
      </c>
      <c r="N1" s="26" t="str">
        <f>SUBSTITUTE(MID(Github!BQ$3000, 12, 16), "T", " ") &amp; " (GMT)"</f>
        <v>2022-03-11 19:31 (GMT)</v>
      </c>
      <c r="O1" s="23"/>
    </row>
    <row r="2" ht="34.5" customHeight="1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</row>
    <row r="3" ht="18.0" customHeight="1">
      <c r="A3" s="17">
        <f>Github!J$2</f>
        <v>1</v>
      </c>
      <c r="B3" s="27" t="str">
        <f>HYPERLINK(CONCAT("http://leetcode.com/problems/",Github!C$2), Github!B$2)</f>
        <v>Two Sum</v>
      </c>
      <c r="C3" s="17">
        <f>Github!F$2</f>
        <v>30049</v>
      </c>
      <c r="D3" s="17">
        <f>Github!G$2</f>
        <v>945</v>
      </c>
      <c r="E3" s="17">
        <f>Github!F$2+Github!G$2</f>
        <v>30994</v>
      </c>
      <c r="F3" s="18">
        <f t="shared" ref="F3:F2199" si="1">IFERROR(ROUND(C3/D3, 2), C3)</f>
        <v>31.8</v>
      </c>
      <c r="G3" s="17" t="str">
        <f>Github!H$2</f>
        <v>Algorithms</v>
      </c>
      <c r="H3" s="19" t="str">
        <f>SUBSTITUTE(Github!L$2, ";", ", ")</f>
        <v>Array, Hash Table, </v>
      </c>
      <c r="I3" s="17" t="str">
        <f>Github!E$2</f>
        <v>Easy</v>
      </c>
      <c r="J3" s="17" t="str">
        <f>IF(TRIM(Github!D$2)="TRUE","FALSE","TRUE")</f>
        <v>TRUE</v>
      </c>
      <c r="K3" s="17" t="b">
        <f>Github!M$2</f>
        <v>1</v>
      </c>
      <c r="L3" s="17" t="b">
        <f>Github!N$2</f>
        <v>1</v>
      </c>
      <c r="M3" s="17" t="str">
        <f>ROUND(Github!O$2, 2)&amp;"%"</f>
        <v>48.34%</v>
      </c>
      <c r="N3" s="17">
        <f>Github!P$2</f>
        <v>6141290</v>
      </c>
      <c r="O3" s="17">
        <f>Github!Q$2</f>
        <v>12703800</v>
      </c>
    </row>
    <row r="4" ht="18.0" customHeight="1">
      <c r="A4" s="17">
        <f>Github!J$4</f>
        <v>3</v>
      </c>
      <c r="B4" s="27" t="str">
        <f>HYPERLINK(CONCAT("http://leetcode.com/problems/",Github!C$4), Github!B$4)</f>
        <v>Longest Substring Without Repeating Characters</v>
      </c>
      <c r="C4" s="17">
        <f>Github!F$4</f>
        <v>21990</v>
      </c>
      <c r="D4" s="17">
        <f>Github!G$4</f>
        <v>985</v>
      </c>
      <c r="E4" s="17">
        <f>Github!F$4+Github!G$4</f>
        <v>22975</v>
      </c>
      <c r="F4" s="18">
        <f t="shared" si="1"/>
        <v>22.32</v>
      </c>
      <c r="G4" s="17" t="str">
        <f>Github!H$4</f>
        <v>Algorithms</v>
      </c>
      <c r="H4" s="19" t="str">
        <f>SUBSTITUTE(Github!L$4, ";", ", ")</f>
        <v>Hash Table, String, Sliding Window, </v>
      </c>
      <c r="I4" s="17" t="str">
        <f>Github!E$4</f>
        <v>Medium</v>
      </c>
      <c r="J4" s="17" t="str">
        <f>IF(TRIM(Github!D$4)="TRUE","FALSE","TRUE")</f>
        <v>TRUE</v>
      </c>
      <c r="K4" s="17" t="b">
        <f>Github!M$4</f>
        <v>1</v>
      </c>
      <c r="L4" s="17" t="b">
        <f>Github!N$4</f>
        <v>1</v>
      </c>
      <c r="M4" s="17" t="str">
        <f>ROUND(Github!O$4, 2)&amp;"%"</f>
        <v>32.9%</v>
      </c>
      <c r="N4" s="17">
        <f>Github!P$4</f>
        <v>3057875</v>
      </c>
      <c r="O4" s="17">
        <f>Github!Q$4</f>
        <v>9294793</v>
      </c>
    </row>
    <row r="5" ht="18.0" customHeight="1">
      <c r="A5" s="17">
        <f>Github!J$54</f>
        <v>53</v>
      </c>
      <c r="B5" s="27" t="str">
        <f>HYPERLINK(CONCAT("http://leetcode.com/problems/",Github!C$54), Github!B$54)</f>
        <v>Maximum Subarray</v>
      </c>
      <c r="C5" s="17">
        <f>Github!F$54</f>
        <v>19026</v>
      </c>
      <c r="D5" s="17">
        <f>Github!G$54</f>
        <v>909</v>
      </c>
      <c r="E5" s="17">
        <f>Github!F$54+Github!G$54</f>
        <v>19935</v>
      </c>
      <c r="F5" s="18">
        <f t="shared" si="1"/>
        <v>20.93</v>
      </c>
      <c r="G5" s="17" t="str">
        <f>Github!H$54</f>
        <v>Algorithms</v>
      </c>
      <c r="H5" s="19" t="str">
        <f>SUBSTITUTE(Github!L$54, ";", ", ")</f>
        <v>Array, Divide and Conquer, Dynamic Programming, </v>
      </c>
      <c r="I5" s="17" t="str">
        <f>Github!E$54</f>
        <v>Easy</v>
      </c>
      <c r="J5" s="17" t="str">
        <f>IF(TRIM(Github!D$54)="TRUE","FALSE","TRUE")</f>
        <v>TRUE</v>
      </c>
      <c r="K5" s="17" t="b">
        <f>Github!M$54</f>
        <v>1</v>
      </c>
      <c r="L5" s="17" t="b">
        <f>Github!N$54</f>
        <v>0</v>
      </c>
      <c r="M5" s="17" t="str">
        <f>ROUND(Github!O$54, 2)&amp;"%"</f>
        <v>49.45%</v>
      </c>
      <c r="N5" s="17">
        <f>Github!P$54</f>
        <v>2152481</v>
      </c>
      <c r="O5" s="17">
        <f>Github!Q$54</f>
        <v>4353201</v>
      </c>
    </row>
    <row r="6" ht="18.0" customHeight="1">
      <c r="A6" s="17">
        <f>Github!J$3</f>
        <v>2</v>
      </c>
      <c r="B6" s="27" t="str">
        <f>HYPERLINK(CONCAT("http://leetcode.com/problems/",Github!C$3), Github!B$3)</f>
        <v>Add Two Numbers</v>
      </c>
      <c r="C6" s="17">
        <f>Github!F$3</f>
        <v>17226</v>
      </c>
      <c r="D6" s="17">
        <f>Github!G$3</f>
        <v>3593</v>
      </c>
      <c r="E6" s="17">
        <f>Github!F$3+Github!G$3</f>
        <v>20819</v>
      </c>
      <c r="F6" s="18">
        <f t="shared" si="1"/>
        <v>4.79</v>
      </c>
      <c r="G6" s="17" t="str">
        <f>Github!H$3</f>
        <v>Algorithms</v>
      </c>
      <c r="H6" s="19" t="str">
        <f>SUBSTITUTE(Github!L$3, ";", ", ")</f>
        <v>Linked List, Math, Recursion, </v>
      </c>
      <c r="I6" s="17" t="str">
        <f>Github!E$3</f>
        <v>Medium</v>
      </c>
      <c r="J6" s="17" t="str">
        <f>IF(TRIM(Github!D$3)="TRUE","FALSE","TRUE")</f>
        <v>TRUE</v>
      </c>
      <c r="K6" s="17" t="b">
        <f>Github!M$3</f>
        <v>1</v>
      </c>
      <c r="L6" s="17" t="b">
        <f>Github!N$3</f>
        <v>0</v>
      </c>
      <c r="M6" s="17" t="str">
        <f>ROUND(Github!O$3, 2)&amp;"%"</f>
        <v>38.29%</v>
      </c>
      <c r="N6" s="17">
        <f>Github!P$3</f>
        <v>2607699</v>
      </c>
      <c r="O6" s="17">
        <f>Github!Q$3</f>
        <v>6809878</v>
      </c>
    </row>
    <row r="7" ht="18.0" customHeight="1">
      <c r="A7" s="17">
        <f>Github!J$43</f>
        <v>42</v>
      </c>
      <c r="B7" s="27" t="str">
        <f>HYPERLINK(CONCAT("http://leetcode.com/problems/",Github!C$43), Github!B$43)</f>
        <v>Trapping Rain Water</v>
      </c>
      <c r="C7" s="17">
        <f>Github!F$43</f>
        <v>17150</v>
      </c>
      <c r="D7" s="17">
        <f>Github!G$43</f>
        <v>243</v>
      </c>
      <c r="E7" s="17">
        <f>Github!F$43+Github!G$43</f>
        <v>17393</v>
      </c>
      <c r="F7" s="18">
        <f t="shared" si="1"/>
        <v>70.58</v>
      </c>
      <c r="G7" s="17" t="str">
        <f>Github!H$43</f>
        <v>Algorithms</v>
      </c>
      <c r="H7" s="19" t="str">
        <f>SUBSTITUTE(Github!L$43, ";", ", ")</f>
        <v>Array, Two Pointers, Dynamic Programming, Stack, Monotonic Stack, </v>
      </c>
      <c r="I7" s="17" t="str">
        <f>Github!E$43</f>
        <v>Hard</v>
      </c>
      <c r="J7" s="17" t="str">
        <f>IF(TRIM(Github!D$43)="TRUE","FALSE","TRUE")</f>
        <v>TRUE</v>
      </c>
      <c r="K7" s="17" t="b">
        <f>Github!M$43</f>
        <v>1</v>
      </c>
      <c r="L7" s="17" t="b">
        <f>Github!N$43</f>
        <v>0</v>
      </c>
      <c r="M7" s="17" t="str">
        <f>ROUND(Github!O$43, 2)&amp;"%"</f>
        <v>55.96%</v>
      </c>
      <c r="N7" s="17">
        <f>Github!P$43</f>
        <v>1052579</v>
      </c>
      <c r="O7" s="17">
        <f>Github!Q$43</f>
        <v>1880908</v>
      </c>
    </row>
    <row r="8" ht="18.0" customHeight="1">
      <c r="A8" s="17">
        <f>Github!J$16</f>
        <v>15</v>
      </c>
      <c r="B8" s="27" t="str">
        <f>HYPERLINK(CONCAT("http://leetcode.com/problems/",Github!C$16), Github!B$16)</f>
        <v>3Sum</v>
      </c>
      <c r="C8" s="17">
        <f>Github!F$16</f>
        <v>16515</v>
      </c>
      <c r="D8" s="17">
        <f>Github!G$16</f>
        <v>1579</v>
      </c>
      <c r="E8" s="17">
        <f>Github!F$16+Github!G$16</f>
        <v>18094</v>
      </c>
      <c r="F8" s="18">
        <f t="shared" si="1"/>
        <v>10.46</v>
      </c>
      <c r="G8" s="17" t="str">
        <f>Github!H$16</f>
        <v>Algorithms</v>
      </c>
      <c r="H8" s="19" t="str">
        <f>SUBSTITUTE(Github!L$16, ";", ", ")</f>
        <v>Array, Two Pointers, Sorting, </v>
      </c>
      <c r="I8" s="17" t="str">
        <f>Github!E$16</f>
        <v>Medium</v>
      </c>
      <c r="J8" s="17" t="str">
        <f>IF(TRIM(Github!D$16)="TRUE","FALSE","TRUE")</f>
        <v>TRUE</v>
      </c>
      <c r="K8" s="17" t="b">
        <f>Github!M$16</f>
        <v>1</v>
      </c>
      <c r="L8" s="17" t="b">
        <f>Github!N$16</f>
        <v>0</v>
      </c>
      <c r="M8" s="17" t="str">
        <f>ROUND(Github!O$16, 2)&amp;"%"</f>
        <v>30.75%</v>
      </c>
      <c r="N8" s="17">
        <f>Github!P$16</f>
        <v>1815506</v>
      </c>
      <c r="O8" s="17">
        <f>Github!Q$16</f>
        <v>5905052</v>
      </c>
    </row>
    <row r="9" ht="18.0" customHeight="1">
      <c r="A9" s="17">
        <f>Github!J$6</f>
        <v>5</v>
      </c>
      <c r="B9" s="27" t="str">
        <f>HYPERLINK(CONCAT("http://leetcode.com/problems/",Github!C$6), Github!B$6)</f>
        <v>Longest Palindromic Substring</v>
      </c>
      <c r="C9" s="17">
        <f>Github!F$6</f>
        <v>16449</v>
      </c>
      <c r="D9" s="17">
        <f>Github!G$6</f>
        <v>970</v>
      </c>
      <c r="E9" s="17">
        <f>Github!F$6+Github!G$6</f>
        <v>17419</v>
      </c>
      <c r="F9" s="18">
        <f t="shared" si="1"/>
        <v>16.96</v>
      </c>
      <c r="G9" s="17" t="str">
        <f>Github!H$6</f>
        <v>Algorithms</v>
      </c>
      <c r="H9" s="19" t="str">
        <f>SUBSTITUTE(Github!L$6, ";", ", ")</f>
        <v>String, Dynamic Programming, </v>
      </c>
      <c r="I9" s="17" t="str">
        <f>Github!E$6</f>
        <v>Medium</v>
      </c>
      <c r="J9" s="17" t="str">
        <f>IF(TRIM(Github!D$6)="TRUE","FALSE","TRUE")</f>
        <v>TRUE</v>
      </c>
      <c r="K9" s="17" t="b">
        <f>Github!M$6</f>
        <v>1</v>
      </c>
      <c r="L9" s="17" t="b">
        <f>Github!N$6</f>
        <v>0</v>
      </c>
      <c r="M9" s="17" t="str">
        <f>ROUND(Github!O$6, 2)&amp;"%"</f>
        <v>31.7%</v>
      </c>
      <c r="N9" s="17">
        <f>Github!P$6</f>
        <v>1728857</v>
      </c>
      <c r="O9" s="17">
        <f>Github!Q$6</f>
        <v>5453509</v>
      </c>
    </row>
    <row r="10" ht="18.0" customHeight="1">
      <c r="A10" s="17">
        <f>Github!J$5</f>
        <v>4</v>
      </c>
      <c r="B10" s="27" t="str">
        <f>HYPERLINK(CONCAT("http://leetcode.com/problems/",Github!C$5), Github!B$5)</f>
        <v>Median of Two Sorted Arrays</v>
      </c>
      <c r="C10" s="17">
        <f>Github!F$5</f>
        <v>15335</v>
      </c>
      <c r="D10" s="17">
        <f>Github!G$5</f>
        <v>1920</v>
      </c>
      <c r="E10" s="17">
        <f>Github!F$5+Github!G$5</f>
        <v>17255</v>
      </c>
      <c r="F10" s="18">
        <f t="shared" si="1"/>
        <v>7.99</v>
      </c>
      <c r="G10" s="17" t="str">
        <f>Github!H$5</f>
        <v>Algorithms</v>
      </c>
      <c r="H10" s="19" t="str">
        <f>SUBSTITUTE(Github!L$5, ";", ", ")</f>
        <v>Array, Binary Search, Divide and Conquer, </v>
      </c>
      <c r="I10" s="17" t="str">
        <f>Github!E$5</f>
        <v>Hard</v>
      </c>
      <c r="J10" s="17" t="str">
        <f>IF(TRIM(Github!D$5)="TRUE","FALSE","TRUE")</f>
        <v>TRUE</v>
      </c>
      <c r="K10" s="17" t="b">
        <f>Github!M$5</f>
        <v>0</v>
      </c>
      <c r="L10" s="17" t="b">
        <f>Github!N$5</f>
        <v>0</v>
      </c>
      <c r="M10" s="17" t="str">
        <f>ROUND(Github!O$5, 2)&amp;"%"</f>
        <v>33.78%</v>
      </c>
      <c r="N10" s="17">
        <f>Github!P$5</f>
        <v>1290429</v>
      </c>
      <c r="O10" s="17">
        <f>Github!Q$5</f>
        <v>3819856</v>
      </c>
    </row>
    <row r="11" ht="18.0" customHeight="1">
      <c r="A11" s="17">
        <f>Github!J$12</f>
        <v>11</v>
      </c>
      <c r="B11" s="27" t="str">
        <f>HYPERLINK(CONCAT("http://leetcode.com/problems/",Github!C$12), Github!B$12)</f>
        <v>Container With Most Water</v>
      </c>
      <c r="C11" s="17">
        <f>Github!F$12</f>
        <v>14820</v>
      </c>
      <c r="D11" s="17">
        <f>Github!G$12</f>
        <v>889</v>
      </c>
      <c r="E11" s="17">
        <f>Github!F$12+Github!G$12</f>
        <v>15709</v>
      </c>
      <c r="F11" s="18">
        <f t="shared" si="1"/>
        <v>16.67</v>
      </c>
      <c r="G11" s="17" t="str">
        <f>Github!H$12</f>
        <v>Algorithms</v>
      </c>
      <c r="H11" s="19" t="str">
        <f>SUBSTITUTE(Github!L$12, ";", ", ")</f>
        <v>Array, Two Pointers, Greedy, </v>
      </c>
      <c r="I11" s="17" t="str">
        <f>Github!E$12</f>
        <v>Medium</v>
      </c>
      <c r="J11" s="17" t="str">
        <f>IF(TRIM(Github!D$12)="TRUE","FALSE","TRUE")</f>
        <v>TRUE</v>
      </c>
      <c r="K11" s="17" t="b">
        <f>Github!M$12</f>
        <v>1</v>
      </c>
      <c r="L11" s="17" t="b">
        <f>Github!N$12</f>
        <v>1</v>
      </c>
      <c r="M11" s="17" t="str">
        <f>ROUND(Github!O$12, 2)&amp;"%"</f>
        <v>53.43%</v>
      </c>
      <c r="N11" s="17">
        <f>Github!P$12</f>
        <v>1339155</v>
      </c>
      <c r="O11" s="17">
        <f>Github!Q$12</f>
        <v>2506502</v>
      </c>
    </row>
    <row r="12" ht="18.0" customHeight="1">
      <c r="A12" s="17">
        <f>Github!J$122</f>
        <v>121</v>
      </c>
      <c r="B12" s="27" t="str">
        <f>HYPERLINK(CONCAT("http://leetcode.com/problems/",Github!C$122), Github!B$122)</f>
        <v>Best Time to Buy and Sell Stock</v>
      </c>
      <c r="C12" s="17">
        <f>Github!F$122</f>
        <v>14798</v>
      </c>
      <c r="D12" s="17">
        <f>Github!G$122</f>
        <v>500</v>
      </c>
      <c r="E12" s="17">
        <f>Github!F$122+Github!G$122</f>
        <v>15298</v>
      </c>
      <c r="F12" s="18">
        <f t="shared" si="1"/>
        <v>29.6</v>
      </c>
      <c r="G12" s="17" t="str">
        <f>Github!H$122</f>
        <v>Algorithms</v>
      </c>
      <c r="H12" s="19" t="str">
        <f>SUBSTITUTE(Github!L$122, ";", ", ")</f>
        <v>Array, Dynamic Programming, </v>
      </c>
      <c r="I12" s="17" t="str">
        <f>Github!E$122</f>
        <v>Easy</v>
      </c>
      <c r="J12" s="17" t="str">
        <f>IF(TRIM(Github!D$122)="TRUE","FALSE","TRUE")</f>
        <v>TRUE</v>
      </c>
      <c r="K12" s="17" t="b">
        <f>Github!M$122</f>
        <v>1</v>
      </c>
      <c r="L12" s="17" t="b">
        <f>Github!N$122</f>
        <v>1</v>
      </c>
      <c r="M12" s="17" t="str">
        <f>ROUND(Github!O$122, 2)&amp;"%"</f>
        <v>53.88%</v>
      </c>
      <c r="N12" s="17">
        <f>Github!P$122</f>
        <v>1994646</v>
      </c>
      <c r="O12" s="17">
        <f>Github!Q$122</f>
        <v>3702125</v>
      </c>
    </row>
    <row r="13" ht="18.0" customHeight="1">
      <c r="A13" s="17">
        <f>Github!J$34</f>
        <v>33</v>
      </c>
      <c r="B13" s="27" t="str">
        <f>HYPERLINK(CONCAT("http://leetcode.com/problems/",Github!C$34), Github!B$34)</f>
        <v>Search in Rotated Sorted Array</v>
      </c>
      <c r="C13" s="17">
        <f>Github!F$34</f>
        <v>12999</v>
      </c>
      <c r="D13" s="17">
        <f>Github!G$34</f>
        <v>851</v>
      </c>
      <c r="E13" s="17">
        <f>Github!F$34+Github!G$34</f>
        <v>13850</v>
      </c>
      <c r="F13" s="18">
        <f t="shared" si="1"/>
        <v>15.27</v>
      </c>
      <c r="G13" s="17" t="str">
        <f>Github!H$34</f>
        <v>Algorithms</v>
      </c>
      <c r="H13" s="19" t="str">
        <f>SUBSTITUTE(Github!L$34, ";", ", ")</f>
        <v>Array, Binary Search, </v>
      </c>
      <c r="I13" s="17" t="str">
        <f>Github!E$34</f>
        <v>Medium</v>
      </c>
      <c r="J13" s="17" t="str">
        <f>IF(TRIM(Github!D$34)="TRUE","FALSE","TRUE")</f>
        <v>TRUE</v>
      </c>
      <c r="K13" s="17" t="b">
        <f>Github!M$34</f>
        <v>1</v>
      </c>
      <c r="L13" s="17" t="b">
        <f>Github!N$34</f>
        <v>0</v>
      </c>
      <c r="M13" s="17" t="str">
        <f>ROUND(Github!O$34, 2)&amp;"%"</f>
        <v>37.53%</v>
      </c>
      <c r="N13" s="17">
        <f>Github!P$34</f>
        <v>1374027</v>
      </c>
      <c r="O13" s="17">
        <f>Github!Q$34</f>
        <v>3660692</v>
      </c>
    </row>
    <row r="14" ht="18.0" customHeight="1">
      <c r="A14" s="17">
        <f>Github!J$201</f>
        <v>200</v>
      </c>
      <c r="B14" s="27" t="str">
        <f>HYPERLINK(CONCAT("http://leetcode.com/problems/",Github!C$201), Github!B$201)</f>
        <v>Number of Islands</v>
      </c>
      <c r="C14" s="17">
        <f>Github!F$201</f>
        <v>12751</v>
      </c>
      <c r="D14" s="17">
        <f>Github!G$201</f>
        <v>315</v>
      </c>
      <c r="E14" s="17">
        <f>Github!F$201+Github!G$201</f>
        <v>13066</v>
      </c>
      <c r="F14" s="18">
        <f t="shared" si="1"/>
        <v>40.48</v>
      </c>
      <c r="G14" s="17" t="str">
        <f>Github!H$201</f>
        <v>Algorithms</v>
      </c>
      <c r="H14" s="19" t="str">
        <f>SUBSTITUTE(Github!L$201, ";", ", ")</f>
        <v>Array, Depth-First Search, Breadth-First Search, Union Find, Matrix, </v>
      </c>
      <c r="I14" s="17" t="str">
        <f>Github!E$201</f>
        <v>Medium</v>
      </c>
      <c r="J14" s="17" t="str">
        <f>IF(TRIM(Github!D$201)="TRUE","FALSE","TRUE")</f>
        <v>TRUE</v>
      </c>
      <c r="K14" s="17" t="b">
        <f>Github!M$201</f>
        <v>1</v>
      </c>
      <c r="L14" s="17" t="b">
        <f>Github!N$201</f>
        <v>0</v>
      </c>
      <c r="M14" s="17" t="str">
        <f>ROUND(Github!O$201, 2)&amp;"%"</f>
        <v>53.38%</v>
      </c>
      <c r="N14" s="17">
        <f>Github!P$201</f>
        <v>1461753</v>
      </c>
      <c r="O14" s="17">
        <f>Github!Q$201</f>
        <v>2738286</v>
      </c>
    </row>
    <row r="15" ht="18.0" customHeight="1">
      <c r="A15" s="17">
        <f>Github!J$57</f>
        <v>56</v>
      </c>
      <c r="B15" s="27" t="str">
        <f>HYPERLINK(CONCAT("http://leetcode.com/problems/",Github!C$57), Github!B$57)</f>
        <v>Merge Intervals</v>
      </c>
      <c r="C15" s="17">
        <f>Github!F$57</f>
        <v>12513</v>
      </c>
      <c r="D15" s="17">
        <f>Github!G$57</f>
        <v>495</v>
      </c>
      <c r="E15" s="17">
        <f>Github!F$57+Github!G$57</f>
        <v>13008</v>
      </c>
      <c r="F15" s="18">
        <f t="shared" si="1"/>
        <v>25.28</v>
      </c>
      <c r="G15" s="17" t="str">
        <f>Github!H$57</f>
        <v>Algorithms</v>
      </c>
      <c r="H15" s="19" t="str">
        <f>SUBSTITUTE(Github!L$57, ";", ", ")</f>
        <v>Array, Sorting, </v>
      </c>
      <c r="I15" s="17" t="str">
        <f>Github!E$57</f>
        <v>Medium</v>
      </c>
      <c r="J15" s="17" t="str">
        <f>IF(TRIM(Github!D$57)="TRUE","FALSE","TRUE")</f>
        <v>TRUE</v>
      </c>
      <c r="K15" s="17" t="b">
        <f>Github!M$57</f>
        <v>1</v>
      </c>
      <c r="L15" s="17" t="b">
        <f>Github!N$57</f>
        <v>1</v>
      </c>
      <c r="M15" s="17" t="str">
        <f>ROUND(Github!O$57, 2)&amp;"%"</f>
        <v>44.58%</v>
      </c>
      <c r="N15" s="17">
        <f>Github!P$57</f>
        <v>1335277</v>
      </c>
      <c r="O15" s="17">
        <f>Github!Q$57</f>
        <v>2995124</v>
      </c>
    </row>
    <row r="16" ht="18.0" customHeight="1">
      <c r="A16" s="17">
        <f>Github!J$147</f>
        <v>146</v>
      </c>
      <c r="B16" s="27" t="str">
        <f>HYPERLINK(CONCAT("http://leetcode.com/problems/",Github!C$147), Github!B$147)</f>
        <v>LRU Cache</v>
      </c>
      <c r="C16" s="17">
        <f>Github!F$147</f>
        <v>12371</v>
      </c>
      <c r="D16" s="17">
        <f>Github!G$147</f>
        <v>484</v>
      </c>
      <c r="E16" s="17">
        <f>Github!F$147+Github!G$147</f>
        <v>12855</v>
      </c>
      <c r="F16" s="18">
        <f t="shared" si="1"/>
        <v>25.56</v>
      </c>
      <c r="G16" s="17" t="str">
        <f>Github!H$147</f>
        <v>Algorithms</v>
      </c>
      <c r="H16" s="19" t="str">
        <f>SUBSTITUTE(Github!L$147, ";", ", ")</f>
        <v>Hash Table, Linked List, Design, Doubly-Linked List, </v>
      </c>
      <c r="I16" s="17" t="str">
        <f>Github!E$147</f>
        <v>Medium</v>
      </c>
      <c r="J16" s="17" t="str">
        <f>IF(TRIM(Github!D$147)="TRUE","FALSE","TRUE")</f>
        <v>TRUE</v>
      </c>
      <c r="K16" s="17" t="b">
        <f>Github!M$147</f>
        <v>1</v>
      </c>
      <c r="L16" s="17" t="b">
        <f>Github!N$147</f>
        <v>0</v>
      </c>
      <c r="M16" s="17" t="str">
        <f>ROUND(Github!O$147, 2)&amp;"%"</f>
        <v>39.47%</v>
      </c>
      <c r="N16" s="17">
        <f>Github!P$147</f>
        <v>1010544</v>
      </c>
      <c r="O16" s="17">
        <f>Github!Q$147</f>
        <v>2560324</v>
      </c>
    </row>
    <row r="17" ht="18.0" customHeight="1">
      <c r="A17" s="17">
        <f>Github!J$561</f>
        <v>560</v>
      </c>
      <c r="B17" s="27" t="str">
        <f>HYPERLINK(CONCAT("http://leetcode.com/problems/",Github!C$561), Github!B$561)</f>
        <v>Subarray Sum Equals K</v>
      </c>
      <c r="C17" s="17">
        <f>Github!F$561</f>
        <v>12357</v>
      </c>
      <c r="D17" s="17">
        <f>Github!G$561</f>
        <v>390</v>
      </c>
      <c r="E17" s="17">
        <f>Github!F$561+Github!G$561</f>
        <v>12747</v>
      </c>
      <c r="F17" s="18">
        <f t="shared" si="1"/>
        <v>31.68</v>
      </c>
      <c r="G17" s="17" t="str">
        <f>Github!H$561</f>
        <v>Algorithms</v>
      </c>
      <c r="H17" s="19" t="str">
        <f>SUBSTITUTE(Github!L$561, ";", ", ")</f>
        <v>Array, Hash Table, Prefix Sum, </v>
      </c>
      <c r="I17" s="17" t="str">
        <f>Github!E$561</f>
        <v>Medium</v>
      </c>
      <c r="J17" s="17" t="str">
        <f>IF(TRIM(Github!D$561)="TRUE","FALSE","TRUE")</f>
        <v>TRUE</v>
      </c>
      <c r="K17" s="17" t="b">
        <f>Github!M$561</f>
        <v>1</v>
      </c>
      <c r="L17" s="17" t="b">
        <f>Github!N$561</f>
        <v>0</v>
      </c>
      <c r="M17" s="17" t="str">
        <f>ROUND(Github!O$561, 2)&amp;"%"</f>
        <v>44.15%</v>
      </c>
      <c r="N17" s="17">
        <f>Github!P$561</f>
        <v>731199</v>
      </c>
      <c r="O17" s="17">
        <f>Github!Q$561</f>
        <v>1656290</v>
      </c>
    </row>
    <row r="18" ht="18.0" customHeight="1">
      <c r="A18" s="17">
        <f>Github!J$23</f>
        <v>22</v>
      </c>
      <c r="B18" s="27" t="str">
        <f>HYPERLINK(CONCAT("http://leetcode.com/problems/",Github!C$23), Github!B$23)</f>
        <v>Generate Parentheses</v>
      </c>
      <c r="C18" s="17">
        <f>Github!F$23</f>
        <v>11973</v>
      </c>
      <c r="D18" s="17">
        <f>Github!G$23</f>
        <v>468</v>
      </c>
      <c r="E18" s="17">
        <f>Github!F$23+Github!G$23</f>
        <v>12441</v>
      </c>
      <c r="F18" s="18">
        <f t="shared" si="1"/>
        <v>25.58</v>
      </c>
      <c r="G18" s="17" t="str">
        <f>Github!H$23</f>
        <v>Algorithms</v>
      </c>
      <c r="H18" s="19" t="str">
        <f>SUBSTITUTE(Github!L$23, ";", ", ")</f>
        <v>String, Dynamic Programming, Backtracking, </v>
      </c>
      <c r="I18" s="17" t="str">
        <f>Github!E$23</f>
        <v>Medium</v>
      </c>
      <c r="J18" s="17" t="str">
        <f>IF(TRIM(Github!D$23)="TRUE","FALSE","TRUE")</f>
        <v>TRUE</v>
      </c>
      <c r="K18" s="17" t="b">
        <f>Github!M$23</f>
        <v>1</v>
      </c>
      <c r="L18" s="17" t="b">
        <f>Github!N$23</f>
        <v>0</v>
      </c>
      <c r="M18" s="17" t="str">
        <f>ROUND(Github!O$23, 2)&amp;"%"</f>
        <v>69.59%</v>
      </c>
      <c r="N18" s="17">
        <f>Github!P$23</f>
        <v>1000339</v>
      </c>
      <c r="O18" s="17">
        <f>Github!Q$23</f>
        <v>1437496</v>
      </c>
    </row>
    <row r="19" ht="18.0" customHeight="1">
      <c r="A19" s="17">
        <f>Github!J$288</f>
        <v>287</v>
      </c>
      <c r="B19" s="27" t="str">
        <f>HYPERLINK(CONCAT("http://leetcode.com/problems/",Github!C$288), Github!B$288)</f>
        <v>Find the Duplicate Number</v>
      </c>
      <c r="C19" s="17">
        <f>Github!F$288</f>
        <v>11972</v>
      </c>
      <c r="D19" s="17">
        <f>Github!G$288</f>
        <v>1319</v>
      </c>
      <c r="E19" s="17">
        <f>Github!F$288+Github!G$288</f>
        <v>13291</v>
      </c>
      <c r="F19" s="18">
        <f t="shared" si="1"/>
        <v>9.08</v>
      </c>
      <c r="G19" s="17" t="str">
        <f>Github!H$288</f>
        <v>Algorithms</v>
      </c>
      <c r="H19" s="19" t="str">
        <f>SUBSTITUTE(Github!L$288, ";", ", ")</f>
        <v>Array, Two Pointers, Binary Search, Bit Manipulation, </v>
      </c>
      <c r="I19" s="17" t="str">
        <f>Github!E$288</f>
        <v>Medium</v>
      </c>
      <c r="J19" s="17" t="str">
        <f>IF(TRIM(Github!D$288)="TRUE","FALSE","TRUE")</f>
        <v>TRUE</v>
      </c>
      <c r="K19" s="17" t="b">
        <f>Github!M$288</f>
        <v>1</v>
      </c>
      <c r="L19" s="17" t="b">
        <f>Github!N$288</f>
        <v>0</v>
      </c>
      <c r="M19" s="17" t="str">
        <f>ROUND(Github!O$288, 2)&amp;"%"</f>
        <v>58.42%</v>
      </c>
      <c r="N19" s="17">
        <f>Github!P$288</f>
        <v>738227</v>
      </c>
      <c r="O19" s="17">
        <f>Github!Q$288</f>
        <v>1263718</v>
      </c>
    </row>
    <row r="20" ht="18.0" customHeight="1">
      <c r="A20" s="17">
        <f>Github!J$21</f>
        <v>20</v>
      </c>
      <c r="B20" s="27" t="str">
        <f>HYPERLINK(CONCAT("http://leetcode.com/problems/",Github!C$21), Github!B$21)</f>
        <v>Valid Parentheses</v>
      </c>
      <c r="C20" s="17">
        <f>Github!F$21</f>
        <v>11641</v>
      </c>
      <c r="D20" s="17">
        <f>Github!G$21</f>
        <v>515</v>
      </c>
      <c r="E20" s="17">
        <f>Github!F$21+Github!G$21</f>
        <v>12156</v>
      </c>
      <c r="F20" s="18">
        <f t="shared" si="1"/>
        <v>22.6</v>
      </c>
      <c r="G20" s="17" t="str">
        <f>Github!H$21</f>
        <v>Algorithms</v>
      </c>
      <c r="H20" s="19" t="str">
        <f>SUBSTITUTE(Github!L$21, ";", ", ")</f>
        <v>String, Stack, </v>
      </c>
      <c r="I20" s="17" t="str">
        <f>Github!E$21</f>
        <v>Easy</v>
      </c>
      <c r="J20" s="17" t="str">
        <f>IF(TRIM(Github!D$21)="TRUE","FALSE","TRUE")</f>
        <v>TRUE</v>
      </c>
      <c r="K20" s="17" t="b">
        <f>Github!M$21</f>
        <v>1</v>
      </c>
      <c r="L20" s="17" t="b">
        <f>Github!N$21</f>
        <v>1</v>
      </c>
      <c r="M20" s="17" t="str">
        <f>ROUND(Github!O$21, 2)&amp;"%"</f>
        <v>40.61%</v>
      </c>
      <c r="N20" s="17">
        <f>Github!P$21</f>
        <v>2029783</v>
      </c>
      <c r="O20" s="17">
        <f>Github!Q$21</f>
        <v>4998031</v>
      </c>
    </row>
    <row r="21" ht="18.0" customHeight="1">
      <c r="A21" s="17">
        <f>Github!J$24</f>
        <v>23</v>
      </c>
      <c r="B21" s="27" t="str">
        <f>HYPERLINK(CONCAT("http://leetcode.com/problems/",Github!C$24), Github!B$24)</f>
        <v>Merge k Sorted Lists</v>
      </c>
      <c r="C21" s="17">
        <f>Github!F$24</f>
        <v>11431</v>
      </c>
      <c r="D21" s="17">
        <f>Github!G$24</f>
        <v>453</v>
      </c>
      <c r="E21" s="17">
        <f>Github!F$24+Github!G$24</f>
        <v>11884</v>
      </c>
      <c r="F21" s="18">
        <f t="shared" si="1"/>
        <v>25.23</v>
      </c>
      <c r="G21" s="17" t="str">
        <f>Github!H$24</f>
        <v>Algorithms</v>
      </c>
      <c r="H21" s="19" t="str">
        <f>SUBSTITUTE(Github!L$24, ";", ", ")</f>
        <v>Linked List, Divide and Conquer, Heap (Priority Queue), Merge Sort, </v>
      </c>
      <c r="I21" s="17" t="str">
        <f>Github!E$24</f>
        <v>Hard</v>
      </c>
      <c r="J21" s="17" t="str">
        <f>IF(TRIM(Github!D$24)="TRUE","FALSE","TRUE")</f>
        <v>TRUE</v>
      </c>
      <c r="K21" s="17" t="b">
        <f>Github!M$24</f>
        <v>1</v>
      </c>
      <c r="L21" s="17" t="b">
        <f>Github!N$24</f>
        <v>0</v>
      </c>
      <c r="M21" s="17" t="str">
        <f>ROUND(Github!O$24, 2)&amp;"%"</f>
        <v>46.64%</v>
      </c>
      <c r="N21" s="17">
        <f>Github!P$24</f>
        <v>1194119</v>
      </c>
      <c r="O21" s="17">
        <f>Github!Q$24</f>
        <v>2560272</v>
      </c>
    </row>
    <row r="22" ht="18.0" customHeight="1">
      <c r="A22" s="17">
        <f>Github!J$199</f>
        <v>198</v>
      </c>
      <c r="B22" s="27" t="str">
        <f>HYPERLINK(CONCAT("http://leetcode.com/problems/",Github!C$199), Github!B$199)</f>
        <v>House Robber</v>
      </c>
      <c r="C22" s="17">
        <f>Github!F$199</f>
        <v>11433</v>
      </c>
      <c r="D22" s="17">
        <f>Github!G$199</f>
        <v>247</v>
      </c>
      <c r="E22" s="17">
        <f>Github!F$199+Github!G$199</f>
        <v>11680</v>
      </c>
      <c r="F22" s="18">
        <f t="shared" si="1"/>
        <v>46.29</v>
      </c>
      <c r="G22" s="17" t="str">
        <f>Github!H$199</f>
        <v>Algorithms</v>
      </c>
      <c r="H22" s="19" t="str">
        <f>SUBSTITUTE(Github!L$199, ";", ", ")</f>
        <v>Array, Dynamic Programming, </v>
      </c>
      <c r="I22" s="17" t="str">
        <f>Github!E$199</f>
        <v>Medium</v>
      </c>
      <c r="J22" s="17" t="str">
        <f>IF(TRIM(Github!D$199)="TRUE","FALSE","TRUE")</f>
        <v>TRUE</v>
      </c>
      <c r="K22" s="17" t="b">
        <f>Github!M$199</f>
        <v>1</v>
      </c>
      <c r="L22" s="17" t="b">
        <f>Github!N$199</f>
        <v>0</v>
      </c>
      <c r="M22" s="17" t="str">
        <f>ROUND(Github!O$199, 2)&amp;"%"</f>
        <v>46.73%</v>
      </c>
      <c r="N22" s="17">
        <f>Github!P$199</f>
        <v>1054565</v>
      </c>
      <c r="O22" s="17">
        <f>Github!Q$199</f>
        <v>2256834</v>
      </c>
    </row>
    <row r="23" ht="18.0" customHeight="1">
      <c r="A23" s="17">
        <f>Github!J$239</f>
        <v>238</v>
      </c>
      <c r="B23" s="27" t="str">
        <f>HYPERLINK(CONCAT("http://leetcode.com/problems/",Github!C$239), Github!B$239)</f>
        <v>Product of Array Except Self</v>
      </c>
      <c r="C23" s="17">
        <f>Github!F$239</f>
        <v>11406</v>
      </c>
      <c r="D23" s="17">
        <f>Github!G$239</f>
        <v>696</v>
      </c>
      <c r="E23" s="17">
        <f>Github!F$239+Github!G$239</f>
        <v>12102</v>
      </c>
      <c r="F23" s="18">
        <f t="shared" si="1"/>
        <v>16.39</v>
      </c>
      <c r="G23" s="17" t="str">
        <f>Github!H$239</f>
        <v>Algorithms</v>
      </c>
      <c r="H23" s="19" t="str">
        <f>SUBSTITUTE(Github!L$239, ";", ", ")</f>
        <v>Array, Prefix Sum, </v>
      </c>
      <c r="I23" s="17" t="str">
        <f>Github!E$239</f>
        <v>Medium</v>
      </c>
      <c r="J23" s="17" t="str">
        <f>IF(TRIM(Github!D$239)="TRUE","FALSE","TRUE")</f>
        <v>TRUE</v>
      </c>
      <c r="K23" s="17" t="b">
        <f>Github!M$239</f>
        <v>1</v>
      </c>
      <c r="L23" s="17" t="b">
        <f>Github!N$239</f>
        <v>1</v>
      </c>
      <c r="M23" s="17" t="str">
        <f>ROUND(Github!O$239, 2)&amp;"%"</f>
        <v>63.68%</v>
      </c>
      <c r="N23" s="17">
        <f>Github!P$239</f>
        <v>1079312</v>
      </c>
      <c r="O23" s="17">
        <f>Github!Q$239</f>
        <v>1694815</v>
      </c>
    </row>
    <row r="24" ht="18.0" customHeight="1">
      <c r="A24" s="17">
        <f>Github!J$22</f>
        <v>21</v>
      </c>
      <c r="B24" s="27" t="str">
        <f>HYPERLINK(CONCAT("http://leetcode.com/problems/",Github!C$22), Github!B$22)</f>
        <v>Merge Two Sorted Lists</v>
      </c>
      <c r="C24" s="17">
        <f>Github!F$22</f>
        <v>11322</v>
      </c>
      <c r="D24" s="17">
        <f>Github!G$22</f>
        <v>1020</v>
      </c>
      <c r="E24" s="17">
        <f>Github!F$22+Github!G$22</f>
        <v>12342</v>
      </c>
      <c r="F24" s="18">
        <f t="shared" si="1"/>
        <v>11.1</v>
      </c>
      <c r="G24" s="17" t="str">
        <f>Github!H$22</f>
        <v>Algorithms</v>
      </c>
      <c r="H24" s="19" t="str">
        <f>SUBSTITUTE(Github!L$22, ";", ", ")</f>
        <v>Linked List, Recursion, </v>
      </c>
      <c r="I24" s="17" t="str">
        <f>Github!E$22</f>
        <v>Easy</v>
      </c>
      <c r="J24" s="17" t="str">
        <f>IF(TRIM(Github!D$22)="TRUE","FALSE","TRUE")</f>
        <v>TRUE</v>
      </c>
      <c r="K24" s="17" t="b">
        <f>Github!M$22</f>
        <v>1</v>
      </c>
      <c r="L24" s="17" t="b">
        <f>Github!N$22</f>
        <v>1</v>
      </c>
      <c r="M24" s="17" t="str">
        <f>ROUND(Github!O$22, 2)&amp;"%"</f>
        <v>59.89%</v>
      </c>
      <c r="N24" s="17">
        <f>Github!P$22</f>
        <v>2038563</v>
      </c>
      <c r="O24" s="17">
        <f>Github!Q$22</f>
        <v>3403704</v>
      </c>
    </row>
    <row r="25" ht="18.0" customHeight="1">
      <c r="A25" s="17">
        <f>Github!J$301</f>
        <v>300</v>
      </c>
      <c r="B25" s="27" t="str">
        <f>HYPERLINK(CONCAT("http://leetcode.com/problems/",Github!C$301), Github!B$301)</f>
        <v>Longest Increasing Subsequence</v>
      </c>
      <c r="C25" s="17">
        <f>Github!F$301</f>
        <v>11027</v>
      </c>
      <c r="D25" s="17">
        <f>Github!G$301</f>
        <v>217</v>
      </c>
      <c r="E25" s="17">
        <f>Github!F$301+Github!G$301</f>
        <v>11244</v>
      </c>
      <c r="F25" s="18">
        <f t="shared" si="1"/>
        <v>50.82</v>
      </c>
      <c r="G25" s="17" t="str">
        <f>Github!H$301</f>
        <v>Algorithms</v>
      </c>
      <c r="H25" s="19" t="str">
        <f>SUBSTITUTE(Github!L$301, ";", ", ")</f>
        <v>Array, Binary Search, Dynamic Programming, </v>
      </c>
      <c r="I25" s="17" t="str">
        <f>Github!E$301</f>
        <v>Medium</v>
      </c>
      <c r="J25" s="17" t="str">
        <f>IF(TRIM(Github!D$301)="TRUE","FALSE","TRUE")</f>
        <v>TRUE</v>
      </c>
      <c r="K25" s="17" t="b">
        <f>Github!M$301</f>
        <v>1</v>
      </c>
      <c r="L25" s="17" t="b">
        <f>Github!N$301</f>
        <v>0</v>
      </c>
      <c r="M25" s="17" t="str">
        <f>ROUND(Github!O$301, 2)&amp;"%"</f>
        <v>48.78%</v>
      </c>
      <c r="N25" s="17">
        <f>Github!P$301</f>
        <v>796935</v>
      </c>
      <c r="O25" s="17">
        <f>Github!Q$301</f>
        <v>1633889</v>
      </c>
    </row>
    <row r="26" ht="18.0" customHeight="1">
      <c r="A26" s="17">
        <f>Github!J$207</f>
        <v>206</v>
      </c>
      <c r="B26" s="27" t="str">
        <f>HYPERLINK(CONCAT("http://leetcode.com/problems/",Github!C$207), Github!B$207)</f>
        <v>Reverse Linked List</v>
      </c>
      <c r="C26" s="17">
        <f>Github!F$207</f>
        <v>10938</v>
      </c>
      <c r="D26" s="17">
        <f>Github!G$207</f>
        <v>185</v>
      </c>
      <c r="E26" s="17">
        <f>Github!F$207+Github!G$207</f>
        <v>11123</v>
      </c>
      <c r="F26" s="18">
        <f t="shared" si="1"/>
        <v>59.12</v>
      </c>
      <c r="G26" s="17" t="str">
        <f>Github!H$207</f>
        <v>Algorithms</v>
      </c>
      <c r="H26" s="19" t="str">
        <f>SUBSTITUTE(Github!L$207, ";", ", ")</f>
        <v>Linked List, Recursion, </v>
      </c>
      <c r="I26" s="17" t="str">
        <f>Github!E$207</f>
        <v>Easy</v>
      </c>
      <c r="J26" s="17" t="str">
        <f>IF(TRIM(Github!D$207)="TRUE","FALSE","TRUE")</f>
        <v>TRUE</v>
      </c>
      <c r="K26" s="17" t="b">
        <f>Github!M$207</f>
        <v>1</v>
      </c>
      <c r="L26" s="17" t="b">
        <f>Github!N$207</f>
        <v>0</v>
      </c>
      <c r="M26" s="17" t="str">
        <f>ROUND(Github!O$207, 2)&amp;"%"</f>
        <v>69.75%</v>
      </c>
      <c r="N26" s="17">
        <f>Github!P$207</f>
        <v>1975641</v>
      </c>
      <c r="O26" s="17">
        <f>Github!Q$207</f>
        <v>2832612</v>
      </c>
    </row>
    <row r="27" ht="18.0" customHeight="1">
      <c r="A27" s="17">
        <f>Github!J$71</f>
        <v>70</v>
      </c>
      <c r="B27" s="27" t="str">
        <f>HYPERLINK(CONCAT("http://leetcode.com/problems/",Github!C$71), Github!B$71)</f>
        <v>Climbing Stairs</v>
      </c>
      <c r="C27" s="17">
        <f>Github!F$71</f>
        <v>10778</v>
      </c>
      <c r="D27" s="17">
        <f>Github!G$71</f>
        <v>330</v>
      </c>
      <c r="E27" s="17">
        <f>Github!F$71+Github!G$71</f>
        <v>11108</v>
      </c>
      <c r="F27" s="18">
        <f t="shared" si="1"/>
        <v>32.66</v>
      </c>
      <c r="G27" s="17" t="str">
        <f>Github!H$71</f>
        <v>Algorithms</v>
      </c>
      <c r="H27" s="19" t="str">
        <f>SUBSTITUTE(Github!L$71, ";", ", ")</f>
        <v>Math, Dynamic Programming, Memoization, </v>
      </c>
      <c r="I27" s="17" t="str">
        <f>Github!E$71</f>
        <v>Easy</v>
      </c>
      <c r="J27" s="17" t="str">
        <f>IF(TRIM(Github!D$71)="TRUE","FALSE","TRUE")</f>
        <v>TRUE</v>
      </c>
      <c r="K27" s="17" t="b">
        <f>Github!M$71</f>
        <v>1</v>
      </c>
      <c r="L27" s="17" t="b">
        <f>Github!N$71</f>
        <v>0</v>
      </c>
      <c r="M27" s="17" t="str">
        <f>ROUND(Github!O$71, 2)&amp;"%"</f>
        <v>50.81%</v>
      </c>
      <c r="N27" s="17">
        <f>Github!P$71</f>
        <v>1441629</v>
      </c>
      <c r="O27" s="17">
        <f>Github!Q$71</f>
        <v>2837084</v>
      </c>
    </row>
    <row r="28" ht="18.0" customHeight="1">
      <c r="A28" s="17">
        <f>Github!J$153</f>
        <v>152</v>
      </c>
      <c r="B28" s="27" t="str">
        <f>HYPERLINK(CONCAT("http://leetcode.com/problems/",Github!C$153), Github!B$153)</f>
        <v>Maximum Product Subarray</v>
      </c>
      <c r="C28" s="17">
        <f>Github!F$153</f>
        <v>10708</v>
      </c>
      <c r="D28" s="17">
        <f>Github!G$153</f>
        <v>333</v>
      </c>
      <c r="E28" s="17">
        <f>Github!F$153+Github!G$153</f>
        <v>11041</v>
      </c>
      <c r="F28" s="18">
        <f t="shared" si="1"/>
        <v>32.16</v>
      </c>
      <c r="G28" s="17" t="str">
        <f>Github!H$153</f>
        <v>Algorithms</v>
      </c>
      <c r="H28" s="19" t="str">
        <f>SUBSTITUTE(Github!L$153, ";", ", ")</f>
        <v>Array, Dynamic Programming, </v>
      </c>
      <c r="I28" s="17" t="str">
        <f>Github!E$153</f>
        <v>Medium</v>
      </c>
      <c r="J28" s="17" t="str">
        <f>IF(TRIM(Github!D$153)="TRUE","FALSE","TRUE")</f>
        <v>TRUE</v>
      </c>
      <c r="K28" s="17" t="b">
        <f>Github!M$153</f>
        <v>1</v>
      </c>
      <c r="L28" s="17" t="b">
        <f>Github!N$153</f>
        <v>0</v>
      </c>
      <c r="M28" s="17" t="str">
        <f>ROUND(Github!O$153, 2)&amp;"%"</f>
        <v>34.45%</v>
      </c>
      <c r="N28" s="17">
        <f>Github!P$153</f>
        <v>693991</v>
      </c>
      <c r="O28" s="17">
        <f>Github!Q$153</f>
        <v>2014695</v>
      </c>
    </row>
    <row r="29" ht="18.0" customHeight="1">
      <c r="A29" s="17">
        <f>Github!J$323</f>
        <v>322</v>
      </c>
      <c r="B29" s="27" t="str">
        <f>HYPERLINK(CONCAT("http://leetcode.com/problems/",Github!C$323), Github!B$323)</f>
        <v>Coin Change</v>
      </c>
      <c r="C29" s="17">
        <f>Github!F$323</f>
        <v>10362</v>
      </c>
      <c r="D29" s="17">
        <f>Github!G$323</f>
        <v>252</v>
      </c>
      <c r="E29" s="17">
        <f>Github!F$323+Github!G$323</f>
        <v>10614</v>
      </c>
      <c r="F29" s="18">
        <f t="shared" si="1"/>
        <v>41.12</v>
      </c>
      <c r="G29" s="17" t="str">
        <f>Github!H$323</f>
        <v>Algorithms</v>
      </c>
      <c r="H29" s="19" t="str">
        <f>SUBSTITUTE(Github!L$323, ";", ", ")</f>
        <v>Array, Dynamic Programming, Breadth-First Search, </v>
      </c>
      <c r="I29" s="17" t="str">
        <f>Github!E$323</f>
        <v>Medium</v>
      </c>
      <c r="J29" s="17" t="str">
        <f>IF(TRIM(Github!D$323)="TRUE","FALSE","TRUE")</f>
        <v>TRUE</v>
      </c>
      <c r="K29" s="17" t="b">
        <f>Github!M$323</f>
        <v>1</v>
      </c>
      <c r="L29" s="17" t="b">
        <f>Github!N$323</f>
        <v>1</v>
      </c>
      <c r="M29" s="17" t="str">
        <f>ROUND(Github!O$323, 2)&amp;"%"</f>
        <v>39.84%</v>
      </c>
      <c r="N29" s="17">
        <f>Github!P$323</f>
        <v>914402</v>
      </c>
      <c r="O29" s="17">
        <f>Github!Q$323</f>
        <v>2295156</v>
      </c>
    </row>
    <row r="30" ht="18.0" customHeight="1">
      <c r="A30" s="17">
        <f>Github!J$56</f>
        <v>55</v>
      </c>
      <c r="B30" s="27" t="str">
        <f>HYPERLINK(CONCAT("http://leetcode.com/problems/",Github!C$56), Github!B$56)</f>
        <v>Jump Game</v>
      </c>
      <c r="C30" s="17">
        <f>Github!F$56</f>
        <v>10160</v>
      </c>
      <c r="D30" s="17">
        <f>Github!G$56</f>
        <v>588</v>
      </c>
      <c r="E30" s="17">
        <f>Github!F$56+Github!G$56</f>
        <v>10748</v>
      </c>
      <c r="F30" s="18">
        <f t="shared" si="1"/>
        <v>17.28</v>
      </c>
      <c r="G30" s="17" t="str">
        <f>Github!H$56</f>
        <v>Algorithms</v>
      </c>
      <c r="H30" s="19" t="str">
        <f>SUBSTITUTE(Github!L$56, ";", ", ")</f>
        <v>Array, Dynamic Programming, Greedy, </v>
      </c>
      <c r="I30" s="17" t="str">
        <f>Github!E$56</f>
        <v>Medium</v>
      </c>
      <c r="J30" s="17" t="str">
        <f>IF(TRIM(Github!D$56)="TRUE","FALSE","TRUE")</f>
        <v>TRUE</v>
      </c>
      <c r="K30" s="17" t="b">
        <f>Github!M$56</f>
        <v>1</v>
      </c>
      <c r="L30" s="17" t="b">
        <f>Github!N$56</f>
        <v>0</v>
      </c>
      <c r="M30" s="17" t="str">
        <f>ROUND(Github!O$56, 2)&amp;"%"</f>
        <v>37.56%</v>
      </c>
      <c r="N30" s="17">
        <f>Github!P$56</f>
        <v>934416</v>
      </c>
      <c r="O30" s="17">
        <f>Github!Q$56</f>
        <v>2487690</v>
      </c>
    </row>
    <row r="31" ht="18.0" customHeight="1">
      <c r="A31" s="17">
        <f>Github!J$40</f>
        <v>39</v>
      </c>
      <c r="B31" s="27" t="str">
        <f>HYPERLINK(CONCAT("http://leetcode.com/problems/",Github!C$40), Github!B$40)</f>
        <v>Combination Sum</v>
      </c>
      <c r="C31" s="17">
        <f>Github!F$40</f>
        <v>10065</v>
      </c>
      <c r="D31" s="17">
        <f>Github!G$40</f>
        <v>219</v>
      </c>
      <c r="E31" s="17">
        <f>Github!F$40+Github!G$40</f>
        <v>10284</v>
      </c>
      <c r="F31" s="18">
        <f t="shared" si="1"/>
        <v>45.96</v>
      </c>
      <c r="G31" s="17" t="str">
        <f>Github!H$40</f>
        <v>Algorithms</v>
      </c>
      <c r="H31" s="19" t="str">
        <f>SUBSTITUTE(Github!L$40, ";", ", ")</f>
        <v>Array, Backtracking, </v>
      </c>
      <c r="I31" s="17" t="str">
        <f>Github!E$40</f>
        <v>Medium</v>
      </c>
      <c r="J31" s="17" t="str">
        <f>IF(TRIM(Github!D$40)="TRUE","FALSE","TRUE")</f>
        <v>TRUE</v>
      </c>
      <c r="K31" s="17" t="b">
        <f>Github!M$40</f>
        <v>1</v>
      </c>
      <c r="L31" s="17" t="b">
        <f>Github!N$40</f>
        <v>0</v>
      </c>
      <c r="M31" s="17" t="str">
        <f>ROUND(Github!O$40, 2)&amp;"%"</f>
        <v>64.87%</v>
      </c>
      <c r="N31" s="17">
        <f>Github!P$40</f>
        <v>1021175</v>
      </c>
      <c r="O31" s="17">
        <f>Github!Q$40</f>
        <v>1574227</v>
      </c>
    </row>
    <row r="32" ht="18.0" customHeight="1">
      <c r="A32" s="17">
        <f>Github!J$140</f>
        <v>139</v>
      </c>
      <c r="B32" s="27" t="str">
        <f>HYPERLINK(CONCAT("http://leetcode.com/problems/",Github!C$140), Github!B$140)</f>
        <v>Word Break</v>
      </c>
      <c r="C32" s="17">
        <f>Github!F$140</f>
        <v>9808</v>
      </c>
      <c r="D32" s="17">
        <f>Github!G$140</f>
        <v>439</v>
      </c>
      <c r="E32" s="17">
        <f>Github!F$140+Github!G$140</f>
        <v>10247</v>
      </c>
      <c r="F32" s="18">
        <f t="shared" si="1"/>
        <v>22.34</v>
      </c>
      <c r="G32" s="17" t="str">
        <f>Github!H$140</f>
        <v>Algorithms</v>
      </c>
      <c r="H32" s="19" t="str">
        <f>SUBSTITUTE(Github!L$140, ";", ", ")</f>
        <v>Hash Table, String, Dynamic Programming, Trie, Memoization, </v>
      </c>
      <c r="I32" s="17" t="str">
        <f>Github!E$140</f>
        <v>Medium</v>
      </c>
      <c r="J32" s="17" t="str">
        <f>IF(TRIM(Github!D$140)="TRUE","FALSE","TRUE")</f>
        <v>TRUE</v>
      </c>
      <c r="K32" s="17" t="b">
        <f>Github!M$140</f>
        <v>1</v>
      </c>
      <c r="L32" s="17" t="b">
        <f>Github!N$140</f>
        <v>1</v>
      </c>
      <c r="M32" s="17" t="str">
        <f>ROUND(Github!O$140, 2)&amp;"%"</f>
        <v>44.26%</v>
      </c>
      <c r="N32" s="17">
        <f>Github!P$140</f>
        <v>1019611</v>
      </c>
      <c r="O32" s="17">
        <f>Github!Q$140</f>
        <v>2303447</v>
      </c>
    </row>
    <row r="33" ht="18.0" customHeight="1">
      <c r="A33" s="17">
        <f>Github!J$35</f>
        <v>34</v>
      </c>
      <c r="B33" s="27" t="str">
        <f>HYPERLINK(CONCAT("http://leetcode.com/problems/",Github!C$35), Github!B$35)</f>
        <v>Find First and Last Position of Element in Sorted Array</v>
      </c>
      <c r="C33" s="17">
        <f>Github!F$35</f>
        <v>9659</v>
      </c>
      <c r="D33" s="17">
        <f>Github!G$35</f>
        <v>274</v>
      </c>
      <c r="E33" s="17">
        <f>Github!F$35+Github!G$35</f>
        <v>9933</v>
      </c>
      <c r="F33" s="18">
        <f t="shared" si="1"/>
        <v>35.25</v>
      </c>
      <c r="G33" s="17" t="str">
        <f>Github!H$35</f>
        <v>Algorithms</v>
      </c>
      <c r="H33" s="19" t="str">
        <f>SUBSTITUTE(Github!L$35, ";", ", ")</f>
        <v>Array, Binary Search, </v>
      </c>
      <c r="I33" s="17" t="str">
        <f>Github!E$35</f>
        <v>Medium</v>
      </c>
      <c r="J33" s="17" t="str">
        <f>IF(TRIM(Github!D$35)="TRUE","FALSE","TRUE")</f>
        <v>TRUE</v>
      </c>
      <c r="K33" s="17" t="b">
        <f>Github!M$35</f>
        <v>1</v>
      </c>
      <c r="L33" s="17" t="b">
        <f>Github!N$35</f>
        <v>0</v>
      </c>
      <c r="M33" s="17" t="str">
        <f>ROUND(Github!O$35, 2)&amp;"%"</f>
        <v>39.76%</v>
      </c>
      <c r="N33" s="17">
        <f>Github!P$35</f>
        <v>1016480</v>
      </c>
      <c r="O33" s="17">
        <f>Github!Q$35</f>
        <v>2556604</v>
      </c>
    </row>
    <row r="34" ht="18.0" customHeight="1">
      <c r="A34" s="17">
        <f>Github!J$77</f>
        <v>76</v>
      </c>
      <c r="B34" s="27" t="str">
        <f>HYPERLINK(CONCAT("http://leetcode.com/problems/",Github!C$77), Github!B$77)</f>
        <v>Minimum Window Substring</v>
      </c>
      <c r="C34" s="17">
        <f>Github!F$77</f>
        <v>9628</v>
      </c>
      <c r="D34" s="17">
        <f>Github!G$77</f>
        <v>520</v>
      </c>
      <c r="E34" s="17">
        <f>Github!F$77+Github!G$77</f>
        <v>10148</v>
      </c>
      <c r="F34" s="18">
        <f t="shared" si="1"/>
        <v>18.52</v>
      </c>
      <c r="G34" s="17" t="str">
        <f>Github!H$77</f>
        <v>Algorithms</v>
      </c>
      <c r="H34" s="19" t="str">
        <f>SUBSTITUTE(Github!L$77, ";", ", ")</f>
        <v>Hash Table, String, Sliding Window, </v>
      </c>
      <c r="I34" s="17" t="str">
        <f>Github!E$77</f>
        <v>Hard</v>
      </c>
      <c r="J34" s="17" t="str">
        <f>IF(TRIM(Github!D$77)="TRUE","FALSE","TRUE")</f>
        <v>TRUE</v>
      </c>
      <c r="K34" s="17" t="b">
        <f>Github!M$77</f>
        <v>1</v>
      </c>
      <c r="L34" s="17" t="b">
        <f>Github!N$77</f>
        <v>0</v>
      </c>
      <c r="M34" s="17" t="str">
        <f>ROUND(Github!O$77, 2)&amp;"%"</f>
        <v>38.7%</v>
      </c>
      <c r="N34" s="17">
        <f>Github!P$77</f>
        <v>713261</v>
      </c>
      <c r="O34" s="17">
        <f>Github!Q$77</f>
        <v>1843172</v>
      </c>
    </row>
    <row r="35" ht="18.0" customHeight="1">
      <c r="A35" s="17">
        <f>Github!J$47</f>
        <v>46</v>
      </c>
      <c r="B35" s="27" t="str">
        <f>HYPERLINK(CONCAT("http://leetcode.com/problems/",Github!C$47), Github!B$47)</f>
        <v>Permutations</v>
      </c>
      <c r="C35" s="17">
        <f>Github!F$47</f>
        <v>9483</v>
      </c>
      <c r="D35" s="17">
        <f>Github!G$47</f>
        <v>176</v>
      </c>
      <c r="E35" s="17">
        <f>Github!F$47+Github!G$47</f>
        <v>9659</v>
      </c>
      <c r="F35" s="18">
        <f t="shared" si="1"/>
        <v>53.88</v>
      </c>
      <c r="G35" s="17" t="str">
        <f>Github!H$47</f>
        <v>Algorithms</v>
      </c>
      <c r="H35" s="19" t="str">
        <f>SUBSTITUTE(Github!L$47, ";", ", ")</f>
        <v>Array, Backtracking, </v>
      </c>
      <c r="I35" s="17" t="str">
        <f>Github!E$47</f>
        <v>Medium</v>
      </c>
      <c r="J35" s="17" t="str">
        <f>IF(TRIM(Github!D$47)="TRUE","FALSE","TRUE")</f>
        <v>TRUE</v>
      </c>
      <c r="K35" s="17" t="b">
        <f>Github!M$47</f>
        <v>1</v>
      </c>
      <c r="L35" s="17" t="b">
        <f>Github!N$47</f>
        <v>0</v>
      </c>
      <c r="M35" s="17" t="str">
        <f>ROUND(Github!O$47, 2)&amp;"%"</f>
        <v>71.64%</v>
      </c>
      <c r="N35" s="17">
        <f>Github!P$47</f>
        <v>1095122</v>
      </c>
      <c r="O35" s="17">
        <f>Github!Q$47</f>
        <v>1528739</v>
      </c>
    </row>
    <row r="36" ht="18.0" customHeight="1">
      <c r="A36" s="17">
        <f>Github!J$79</f>
        <v>78</v>
      </c>
      <c r="B36" s="27" t="str">
        <f>HYPERLINK(CONCAT("http://leetcode.com/problems/",Github!C$79), Github!B$79)</f>
        <v>Subsets</v>
      </c>
      <c r="C36" s="17">
        <f>Github!F$79</f>
        <v>9358</v>
      </c>
      <c r="D36" s="17">
        <f>Github!G$79</f>
        <v>148</v>
      </c>
      <c r="E36" s="17">
        <f>Github!F$79+Github!G$79</f>
        <v>9506</v>
      </c>
      <c r="F36" s="18">
        <f t="shared" si="1"/>
        <v>63.23</v>
      </c>
      <c r="G36" s="17" t="str">
        <f>Github!H$79</f>
        <v>Algorithms</v>
      </c>
      <c r="H36" s="19" t="str">
        <f>SUBSTITUTE(Github!L$79, ";", ", ")</f>
        <v>Array, Backtracking, Bit Manipulation, </v>
      </c>
      <c r="I36" s="17" t="str">
        <f>Github!E$79</f>
        <v>Medium</v>
      </c>
      <c r="J36" s="17" t="str">
        <f>IF(TRIM(Github!D$79)="TRUE","FALSE","TRUE")</f>
        <v>TRUE</v>
      </c>
      <c r="K36" s="17" t="b">
        <f>Github!M$79</f>
        <v>1</v>
      </c>
      <c r="L36" s="17" t="b">
        <f>Github!N$79</f>
        <v>0</v>
      </c>
      <c r="M36" s="17" t="str">
        <f>ROUND(Github!O$79, 2)&amp;"%"</f>
        <v>70.8%</v>
      </c>
      <c r="N36" s="17">
        <f>Github!P$79</f>
        <v>1032004</v>
      </c>
      <c r="O36" s="17">
        <f>Github!Q$79</f>
        <v>1457665</v>
      </c>
    </row>
    <row r="37" ht="18.0" customHeight="1">
      <c r="A37" s="17">
        <f>Github!J$85</f>
        <v>84</v>
      </c>
      <c r="B37" s="27" t="str">
        <f>HYPERLINK(CONCAT("http://leetcode.com/problems/",Github!C$85), Github!B$85)</f>
        <v>Largest Rectangle in Histogram</v>
      </c>
      <c r="C37" s="17">
        <f>Github!F$85</f>
        <v>9284</v>
      </c>
      <c r="D37" s="17">
        <f>Github!G$85</f>
        <v>137</v>
      </c>
      <c r="E37" s="17">
        <f>Github!F$85+Github!G$85</f>
        <v>9421</v>
      </c>
      <c r="F37" s="18">
        <f t="shared" si="1"/>
        <v>67.77</v>
      </c>
      <c r="G37" s="17" t="str">
        <f>Github!H$85</f>
        <v>Algorithms</v>
      </c>
      <c r="H37" s="19" t="str">
        <f>SUBSTITUTE(Github!L$85, ";", ", ")</f>
        <v>Array, Stack, Monotonic Stack, </v>
      </c>
      <c r="I37" s="17" t="str">
        <f>Github!E$85</f>
        <v>Hard</v>
      </c>
      <c r="J37" s="17" t="str">
        <f>IF(TRIM(Github!D$85)="TRUE","FALSE","TRUE")</f>
        <v>TRUE</v>
      </c>
      <c r="K37" s="17" t="b">
        <f>Github!M$85</f>
        <v>1</v>
      </c>
      <c r="L37" s="17" t="b">
        <f>Github!N$85</f>
        <v>1</v>
      </c>
      <c r="M37" s="17" t="str">
        <f>ROUND(Github!O$85, 2)&amp;"%"</f>
        <v>40.51%</v>
      </c>
      <c r="N37" s="17">
        <f>Github!P$85</f>
        <v>483957</v>
      </c>
      <c r="O37" s="17">
        <f>Github!Q$85</f>
        <v>1194715</v>
      </c>
    </row>
    <row r="38" ht="18.0" customHeight="1">
      <c r="A38" s="17">
        <f>Github!J$137</f>
        <v>136</v>
      </c>
      <c r="B38" s="27" t="str">
        <f>HYPERLINK(CONCAT("http://leetcode.com/problems/",Github!C$137), Github!B$137)</f>
        <v>Single Number</v>
      </c>
      <c r="C38" s="17">
        <f>Github!F$137</f>
        <v>9281</v>
      </c>
      <c r="D38" s="17">
        <f>Github!G$137</f>
        <v>327</v>
      </c>
      <c r="E38" s="17">
        <f>Github!F$137+Github!G$137</f>
        <v>9608</v>
      </c>
      <c r="F38" s="18">
        <f t="shared" si="1"/>
        <v>28.38</v>
      </c>
      <c r="G38" s="17" t="str">
        <f>Github!H$137</f>
        <v>Algorithms</v>
      </c>
      <c r="H38" s="19" t="str">
        <f>SUBSTITUTE(Github!L$137, ";", ", ")</f>
        <v>Array, Bit Manipulation, </v>
      </c>
      <c r="I38" s="17" t="str">
        <f>Github!E$137</f>
        <v>Easy</v>
      </c>
      <c r="J38" s="17" t="str">
        <f>IF(TRIM(Github!D$137)="TRUE","FALSE","TRUE")</f>
        <v>TRUE</v>
      </c>
      <c r="K38" s="17" t="b">
        <f>Github!M$137</f>
        <v>1</v>
      </c>
      <c r="L38" s="17" t="b">
        <f>Github!N$137</f>
        <v>0</v>
      </c>
      <c r="M38" s="17" t="str">
        <f>ROUND(Github!O$137, 2)&amp;"%"</f>
        <v>69.14%</v>
      </c>
      <c r="N38" s="17">
        <f>Github!P$137</f>
        <v>1563541</v>
      </c>
      <c r="O38" s="17">
        <f>Github!Q$137</f>
        <v>2261475</v>
      </c>
    </row>
    <row r="39" ht="18.0" customHeight="1">
      <c r="A39" s="17">
        <f>Github!J$18</f>
        <v>17</v>
      </c>
      <c r="B39" s="27" t="str">
        <f>HYPERLINK(CONCAT("http://leetcode.com/problems/",Github!C$18), Github!B$18)</f>
        <v>Letter Combinations of a Phone Number</v>
      </c>
      <c r="C39" s="17">
        <f>Github!F$18</f>
        <v>9234</v>
      </c>
      <c r="D39" s="17">
        <f>Github!G$18</f>
        <v>641</v>
      </c>
      <c r="E39" s="17">
        <f>Github!F$18+Github!G$18</f>
        <v>9875</v>
      </c>
      <c r="F39" s="18">
        <f t="shared" si="1"/>
        <v>14.41</v>
      </c>
      <c r="G39" s="17" t="str">
        <f>Github!H$18</f>
        <v>Algorithms</v>
      </c>
      <c r="H39" s="19" t="str">
        <f>SUBSTITUTE(Github!L$18, ";", ", ")</f>
        <v>Hash Table, String, Backtracking, </v>
      </c>
      <c r="I39" s="17" t="str">
        <f>Github!E$18</f>
        <v>Medium</v>
      </c>
      <c r="J39" s="17" t="str">
        <f>IF(TRIM(Github!D$18)="TRUE","FALSE","TRUE")</f>
        <v>TRUE</v>
      </c>
      <c r="K39" s="17" t="b">
        <f>Github!M$18</f>
        <v>1</v>
      </c>
      <c r="L39" s="17" t="b">
        <f>Github!N$18</f>
        <v>0</v>
      </c>
      <c r="M39" s="17" t="str">
        <f>ROUND(Github!O$18, 2)&amp;"%"</f>
        <v>53.19%</v>
      </c>
      <c r="N39" s="17">
        <f>Github!P$18</f>
        <v>1113199</v>
      </c>
      <c r="O39" s="17">
        <f>Github!Q$18</f>
        <v>2092945</v>
      </c>
    </row>
    <row r="40" ht="18.0" customHeight="1">
      <c r="A40" s="17">
        <f>Github!J$20</f>
        <v>19</v>
      </c>
      <c r="B40" s="27" t="str">
        <f>HYPERLINK(CONCAT("http://leetcode.com/problems/",Github!C$20), Github!B$20)</f>
        <v>Remove Nth Node From End of List</v>
      </c>
      <c r="C40" s="17">
        <f>Github!F$20</f>
        <v>9134</v>
      </c>
      <c r="D40" s="17">
        <f>Github!G$20</f>
        <v>434</v>
      </c>
      <c r="E40" s="28">
        <f>Github!F$20+Github!G$20</f>
        <v>9568</v>
      </c>
      <c r="F40" s="18">
        <f t="shared" si="1"/>
        <v>21.05</v>
      </c>
      <c r="G40" s="17" t="str">
        <f>Github!H$20</f>
        <v>Algorithms</v>
      </c>
      <c r="H40" s="19" t="str">
        <f>SUBSTITUTE(Github!L$20, ";", ", ")</f>
        <v>Linked List, Two Pointers, </v>
      </c>
      <c r="I40" s="17" t="str">
        <f>Github!E$20</f>
        <v>Medium</v>
      </c>
      <c r="J40" s="17" t="str">
        <f>IF(TRIM(Github!D$20)="TRUE","FALSE","TRUE")</f>
        <v>TRUE</v>
      </c>
      <c r="K40" s="17" t="b">
        <f>Github!M$20</f>
        <v>1</v>
      </c>
      <c r="L40" s="17" t="b">
        <f>Github!N$20</f>
        <v>1</v>
      </c>
      <c r="M40" s="17" t="str">
        <f>ROUND(Github!O$20, 2)&amp;"%"</f>
        <v>38.01%</v>
      </c>
      <c r="N40" s="17">
        <f>Github!P$20</f>
        <v>1284304</v>
      </c>
      <c r="O40" s="17">
        <f>Github!Q$20</f>
        <v>3378472</v>
      </c>
    </row>
    <row r="41" ht="18.0" customHeight="1">
      <c r="A41" s="17">
        <f>Github!J$32</f>
        <v>31</v>
      </c>
      <c r="B41" s="27" t="str">
        <f>HYPERLINK(CONCAT("http://leetcode.com/problems/",Github!C$32), Github!B$32)</f>
        <v>Next Permutation</v>
      </c>
      <c r="C41" s="17">
        <f>Github!F$32</f>
        <v>9113</v>
      </c>
      <c r="D41" s="17">
        <f>Github!G$32</f>
        <v>3070</v>
      </c>
      <c r="E41" s="17">
        <f>Github!F$32+Github!G$32</f>
        <v>12183</v>
      </c>
      <c r="F41" s="18">
        <f t="shared" si="1"/>
        <v>2.97</v>
      </c>
      <c r="G41" s="17" t="str">
        <f>Github!H$32</f>
        <v>Algorithms</v>
      </c>
      <c r="H41" s="19" t="str">
        <f>SUBSTITUTE(Github!L$32, ";", ", ")</f>
        <v>Array, Two Pointers, </v>
      </c>
      <c r="I41" s="17" t="str">
        <f>Github!E$32</f>
        <v>Medium</v>
      </c>
      <c r="J41" s="17" t="str">
        <f>IF(TRIM(Github!D$32)="TRUE","FALSE","TRUE")</f>
        <v>TRUE</v>
      </c>
      <c r="K41" s="17" t="b">
        <f>Github!M$32</f>
        <v>1</v>
      </c>
      <c r="L41" s="17" t="b">
        <f>Github!N$32</f>
        <v>0</v>
      </c>
      <c r="M41" s="17" t="str">
        <f>ROUND(Github!O$32, 2)&amp;"%"</f>
        <v>35.42%</v>
      </c>
      <c r="N41" s="17">
        <f>Github!P$32</f>
        <v>721094</v>
      </c>
      <c r="O41" s="17">
        <f>Github!Q$32</f>
        <v>2035961</v>
      </c>
    </row>
    <row r="42" ht="18.0" customHeight="1">
      <c r="A42" s="17">
        <f>Github!J$99</f>
        <v>98</v>
      </c>
      <c r="B42" s="27" t="str">
        <f>HYPERLINK(CONCAT("http://leetcode.com/problems/",Github!C$99), Github!B$99)</f>
        <v>Validate Binary Search Tree</v>
      </c>
      <c r="C42" s="17">
        <f>Github!F$99</f>
        <v>9093</v>
      </c>
      <c r="D42" s="17">
        <f>Github!G$99</f>
        <v>861</v>
      </c>
      <c r="E42" s="17">
        <f>Github!F$99+Github!G$99</f>
        <v>9954</v>
      </c>
      <c r="F42" s="18">
        <f t="shared" si="1"/>
        <v>10.56</v>
      </c>
      <c r="G42" s="17" t="str">
        <f>Github!H$99</f>
        <v>Algorithms</v>
      </c>
      <c r="H42" s="19" t="str">
        <f>SUBSTITUTE(Github!L$99, ";", ", ")</f>
        <v>Tree, Depth-First Search, Binary Search Tree, Binary Tree, </v>
      </c>
      <c r="I42" s="17" t="str">
        <f>Github!E$99</f>
        <v>Medium</v>
      </c>
      <c r="J42" s="17" t="str">
        <f>IF(TRIM(Github!D$99)="TRUE","FALSE","TRUE")</f>
        <v>TRUE</v>
      </c>
      <c r="K42" s="17" t="b">
        <f>Github!M$99</f>
        <v>1</v>
      </c>
      <c r="L42" s="17" t="b">
        <f>Github!N$99</f>
        <v>1</v>
      </c>
      <c r="M42" s="17" t="str">
        <f>ROUND(Github!O$99, 2)&amp;"%"</f>
        <v>30.31%</v>
      </c>
      <c r="N42" s="17">
        <f>Github!P$99</f>
        <v>1320659</v>
      </c>
      <c r="O42" s="17">
        <f>Github!Q$99</f>
        <v>4356681</v>
      </c>
    </row>
    <row r="43" ht="18.0" customHeight="1">
      <c r="A43" s="17">
        <f>Github!J$240</f>
        <v>239</v>
      </c>
      <c r="B43" s="27" t="str">
        <f>HYPERLINK(CONCAT("http://leetcode.com/problems/",Github!C$240), Github!B$240)</f>
        <v>Sliding Window Maximum</v>
      </c>
      <c r="C43" s="17">
        <f>Github!F$240</f>
        <v>9088</v>
      </c>
      <c r="D43" s="17">
        <f>Github!G$240</f>
        <v>317</v>
      </c>
      <c r="E43" s="17">
        <f>Github!F$240+Github!G$240</f>
        <v>9405</v>
      </c>
      <c r="F43" s="18">
        <f t="shared" si="1"/>
        <v>28.67</v>
      </c>
      <c r="G43" s="17" t="str">
        <f>Github!H$240</f>
        <v>Algorithms</v>
      </c>
      <c r="H43" s="19" t="str">
        <f>SUBSTITUTE(Github!L$240, ";", ", ")</f>
        <v>Array, Queue, Sliding Window, Heap (Priority Queue), Monotonic Queue, </v>
      </c>
      <c r="I43" s="17" t="str">
        <f>Github!E$240</f>
        <v>Hard</v>
      </c>
      <c r="J43" s="17" t="str">
        <f>IF(TRIM(Github!D$240)="TRUE","FALSE","TRUE")</f>
        <v>TRUE</v>
      </c>
      <c r="K43" s="17" t="b">
        <f>Github!M$240</f>
        <v>1</v>
      </c>
      <c r="L43" s="17" t="b">
        <f>Github!N$240</f>
        <v>0</v>
      </c>
      <c r="M43" s="17" t="str">
        <f>ROUND(Github!O$240, 2)&amp;"%"</f>
        <v>46.12%</v>
      </c>
      <c r="N43" s="17">
        <f>Github!P$240</f>
        <v>537807</v>
      </c>
      <c r="O43" s="17">
        <f>Github!Q$240</f>
        <v>1166152</v>
      </c>
    </row>
    <row r="44" ht="18.0" customHeight="1">
      <c r="A44" s="17">
        <f>Github!J$76</f>
        <v>75</v>
      </c>
      <c r="B44" s="27" t="str">
        <f>HYPERLINK(CONCAT("http://leetcode.com/problems/",Github!C$76), Github!B$76)</f>
        <v>Sort Colors</v>
      </c>
      <c r="C44" s="17">
        <f>Github!F$76</f>
        <v>9014</v>
      </c>
      <c r="D44" s="17">
        <f>Github!G$76</f>
        <v>393</v>
      </c>
      <c r="E44" s="17">
        <f>Github!F$76+Github!G$76</f>
        <v>9407</v>
      </c>
      <c r="F44" s="18">
        <f t="shared" si="1"/>
        <v>22.94</v>
      </c>
      <c r="G44" s="17" t="str">
        <f>Github!H$76</f>
        <v>Algorithms</v>
      </c>
      <c r="H44" s="19" t="str">
        <f>SUBSTITUTE(Github!L$76, ";", ", ")</f>
        <v>Array, Two Pointers, Sorting, </v>
      </c>
      <c r="I44" s="17" t="str">
        <f>Github!E$76</f>
        <v>Medium</v>
      </c>
      <c r="J44" s="17" t="str">
        <f>IF(TRIM(Github!D$76)="TRUE","FALSE","TRUE")</f>
        <v>TRUE</v>
      </c>
      <c r="K44" s="17" t="b">
        <f>Github!M$76</f>
        <v>1</v>
      </c>
      <c r="L44" s="17" t="b">
        <f>Github!N$76</f>
        <v>0</v>
      </c>
      <c r="M44" s="17" t="str">
        <f>ROUND(Github!O$76, 2)&amp;"%"</f>
        <v>54.24%</v>
      </c>
      <c r="N44" s="17">
        <f>Github!P$76</f>
        <v>945444</v>
      </c>
      <c r="O44" s="17">
        <f>Github!Q$76</f>
        <v>1742975</v>
      </c>
    </row>
    <row r="45" ht="18.0" customHeight="1">
      <c r="A45" s="17">
        <f>Github!J$237</f>
        <v>236</v>
      </c>
      <c r="B45" s="27" t="str">
        <f>HYPERLINK(CONCAT("http://leetcode.com/problems/",Github!C$237), Github!B$237)</f>
        <v>Lowest Common Ancestor of a Binary Tree</v>
      </c>
      <c r="C45" s="17">
        <f>Github!F$237</f>
        <v>9006</v>
      </c>
      <c r="D45" s="17">
        <f>Github!G$237</f>
        <v>260</v>
      </c>
      <c r="E45" s="17">
        <f>Github!F$237+Github!G$237</f>
        <v>9266</v>
      </c>
      <c r="F45" s="18">
        <f t="shared" si="1"/>
        <v>34.64</v>
      </c>
      <c r="G45" s="17" t="str">
        <f>Github!H$237</f>
        <v>Algorithms</v>
      </c>
      <c r="H45" s="19" t="str">
        <f>SUBSTITUTE(Github!L$237, ";", ", ")</f>
        <v>Tree, Depth-First Search, Binary Tree, </v>
      </c>
      <c r="I45" s="17" t="str">
        <f>Github!E$237</f>
        <v>Medium</v>
      </c>
      <c r="J45" s="17" t="str">
        <f>IF(TRIM(Github!D$237)="TRUE","FALSE","TRUE")</f>
        <v>TRUE</v>
      </c>
      <c r="K45" s="17" t="b">
        <f>Github!M$237</f>
        <v>1</v>
      </c>
      <c r="L45" s="17" t="b">
        <f>Github!N$237</f>
        <v>0</v>
      </c>
      <c r="M45" s="17" t="str">
        <f>ROUND(Github!O$237, 2)&amp;"%"</f>
        <v>54.67%</v>
      </c>
      <c r="N45" s="17">
        <f>Github!P$237</f>
        <v>931931</v>
      </c>
      <c r="O45" s="17">
        <f>Github!Q$237</f>
        <v>1704535</v>
      </c>
    </row>
    <row r="46" ht="18.0" customHeight="1">
      <c r="A46" s="17">
        <f>Github!J$170</f>
        <v>169</v>
      </c>
      <c r="B46" s="27" t="str">
        <f>HYPERLINK(CONCAT("http://leetcode.com/problems/",Github!C$170), Github!B$170)</f>
        <v>Majority Element</v>
      </c>
      <c r="C46" s="17">
        <f>Github!F$170</f>
        <v>8978</v>
      </c>
      <c r="D46" s="17">
        <f>Github!G$170</f>
        <v>323</v>
      </c>
      <c r="E46" s="17">
        <f>Github!F$170+Github!G$170</f>
        <v>9301</v>
      </c>
      <c r="F46" s="18">
        <f t="shared" si="1"/>
        <v>27.8</v>
      </c>
      <c r="G46" s="17" t="str">
        <f>Github!H$170</f>
        <v>Algorithms</v>
      </c>
      <c r="H46" s="19" t="str">
        <f>SUBSTITUTE(Github!L$170, ";", ", ")</f>
        <v>Array, Hash Table, Divide and Conquer, Sorting, Counting, </v>
      </c>
      <c r="I46" s="17" t="str">
        <f>Github!E$170</f>
        <v>Easy</v>
      </c>
      <c r="J46" s="17" t="str">
        <f>IF(TRIM(Github!D$170)="TRUE","FALSE","TRUE")</f>
        <v>TRUE</v>
      </c>
      <c r="K46" s="17" t="b">
        <f>Github!M$170</f>
        <v>1</v>
      </c>
      <c r="L46" s="17" t="b">
        <f>Github!N$170</f>
        <v>0</v>
      </c>
      <c r="M46" s="17" t="str">
        <f>ROUND(Github!O$170, 2)&amp;"%"</f>
        <v>62.68%</v>
      </c>
      <c r="N46" s="17">
        <f>Github!P$170</f>
        <v>1163296</v>
      </c>
      <c r="O46" s="17">
        <f>Github!Q$170</f>
        <v>1856061</v>
      </c>
    </row>
    <row r="47" ht="18.0" customHeight="1">
      <c r="A47" s="17">
        <f>Github!J$102</f>
        <v>101</v>
      </c>
      <c r="B47" s="27" t="str">
        <f>HYPERLINK(CONCAT("http://leetcode.com/problems/",Github!C$102), Github!B$102)</f>
        <v>Symmetric Tree</v>
      </c>
      <c r="C47" s="17">
        <f>Github!F$102</f>
        <v>8849</v>
      </c>
      <c r="D47" s="17">
        <f>Github!G$102</f>
        <v>220</v>
      </c>
      <c r="E47" s="17">
        <f>Github!F$102+Github!G$102</f>
        <v>9069</v>
      </c>
      <c r="F47" s="18">
        <f t="shared" si="1"/>
        <v>40.22</v>
      </c>
      <c r="G47" s="17" t="str">
        <f>Github!H$102</f>
        <v>Algorithms</v>
      </c>
      <c r="H47" s="19" t="str">
        <f>SUBSTITUTE(Github!L$102, ";", ", ")</f>
        <v>Tree, Depth-First Search, Breadth-First Search, Binary Tree, </v>
      </c>
      <c r="I47" s="17" t="str">
        <f>Github!E$102</f>
        <v>Easy</v>
      </c>
      <c r="J47" s="17" t="str">
        <f>IF(TRIM(Github!D$102)="TRUE","FALSE","TRUE")</f>
        <v>TRUE</v>
      </c>
      <c r="K47" s="17" t="b">
        <f>Github!M$102</f>
        <v>1</v>
      </c>
      <c r="L47" s="17" t="b">
        <f>Github!N$102</f>
        <v>0</v>
      </c>
      <c r="M47" s="17" t="str">
        <f>ROUND(Github!O$102, 2)&amp;"%"</f>
        <v>51.25%</v>
      </c>
      <c r="N47" s="17">
        <f>Github!P$102</f>
        <v>1173018</v>
      </c>
      <c r="O47" s="17">
        <f>Github!Q$102</f>
        <v>2289015</v>
      </c>
    </row>
    <row r="48" ht="18.0" customHeight="1">
      <c r="A48" s="17">
        <f>Github!J$125</f>
        <v>124</v>
      </c>
      <c r="B48" s="27" t="str">
        <f>HYPERLINK(CONCAT("http://leetcode.com/problems/",Github!C$125), Github!B$125)</f>
        <v>Binary Tree Maximum Path Sum</v>
      </c>
      <c r="C48" s="17">
        <f>Github!F$125</f>
        <v>8797</v>
      </c>
      <c r="D48" s="17">
        <f>Github!G$125</f>
        <v>513</v>
      </c>
      <c r="E48" s="17">
        <f>Github!F$125+Github!G$125</f>
        <v>9310</v>
      </c>
      <c r="F48" s="18">
        <f t="shared" si="1"/>
        <v>17.15</v>
      </c>
      <c r="G48" s="17" t="str">
        <f>Github!H$125</f>
        <v>Algorithms</v>
      </c>
      <c r="H48" s="19" t="str">
        <f>SUBSTITUTE(Github!L$125, ";", ", ")</f>
        <v>Dynamic Programming, Tree, Depth-First Search, Binary Tree, </v>
      </c>
      <c r="I48" s="17" t="str">
        <f>Github!E$125</f>
        <v>Hard</v>
      </c>
      <c r="J48" s="17" t="str">
        <f>IF(TRIM(Github!D$125)="TRUE","FALSE","TRUE")</f>
        <v>TRUE</v>
      </c>
      <c r="K48" s="17" t="b">
        <f>Github!M$125</f>
        <v>1</v>
      </c>
      <c r="L48" s="17" t="b">
        <f>Github!N$125</f>
        <v>0</v>
      </c>
      <c r="M48" s="17" t="str">
        <f>ROUND(Github!O$125, 2)&amp;"%"</f>
        <v>37.46%</v>
      </c>
      <c r="N48" s="17">
        <f>Github!P$125</f>
        <v>691608</v>
      </c>
      <c r="O48" s="17">
        <f>Github!Q$125</f>
        <v>1846413</v>
      </c>
    </row>
    <row r="49" ht="18.0" customHeight="1">
      <c r="A49" s="17">
        <f>Github!J$42</f>
        <v>41</v>
      </c>
      <c r="B49" s="27" t="str">
        <f>HYPERLINK(CONCAT("http://leetcode.com/problems/",Github!C$42), Github!B$42)</f>
        <v>First Missing Positive</v>
      </c>
      <c r="C49" s="17">
        <f>Github!F$42</f>
        <v>8798</v>
      </c>
      <c r="D49" s="17">
        <f>Github!G$42</f>
        <v>1264</v>
      </c>
      <c r="E49" s="17">
        <f>Github!F$42+Github!G$42</f>
        <v>10062</v>
      </c>
      <c r="F49" s="18">
        <f t="shared" si="1"/>
        <v>6.96</v>
      </c>
      <c r="G49" s="17" t="str">
        <f>Github!H$42</f>
        <v>Algorithms</v>
      </c>
      <c r="H49" s="19" t="str">
        <f>SUBSTITUTE(Github!L$42, ";", ", ")</f>
        <v>Array, Hash Table, </v>
      </c>
      <c r="I49" s="17" t="str">
        <f>Github!E$42</f>
        <v>Hard</v>
      </c>
      <c r="J49" s="17" t="str">
        <f>IF(TRIM(Github!D$42)="TRUE","FALSE","TRUE")</f>
        <v>TRUE</v>
      </c>
      <c r="K49" s="17" t="b">
        <f>Github!M$42</f>
        <v>1</v>
      </c>
      <c r="L49" s="17" t="b">
        <f>Github!N$42</f>
        <v>0</v>
      </c>
      <c r="M49" s="17" t="str">
        <f>ROUND(Github!O$42, 2)&amp;"%"</f>
        <v>35.76%</v>
      </c>
      <c r="N49" s="17">
        <f>Github!P$42</f>
        <v>641408</v>
      </c>
      <c r="O49" s="17">
        <f>Github!Q$42</f>
        <v>1793681</v>
      </c>
    </row>
    <row r="50" ht="18.0" customHeight="1">
      <c r="A50" s="17">
        <f>Github!J$190</f>
        <v>189</v>
      </c>
      <c r="B50" s="27" t="str">
        <f>HYPERLINK(CONCAT("http://leetcode.com/problems/",Github!C$190), Github!B$190)</f>
        <v>Rotate Array</v>
      </c>
      <c r="C50" s="17">
        <f>Github!F$190</f>
        <v>8703</v>
      </c>
      <c r="D50" s="17">
        <f>Github!G$190</f>
        <v>1238</v>
      </c>
      <c r="E50" s="17">
        <f>Github!F$190+Github!G$190</f>
        <v>9941</v>
      </c>
      <c r="F50" s="18">
        <f t="shared" si="1"/>
        <v>7.03</v>
      </c>
      <c r="G50" s="17" t="str">
        <f>Github!H$190</f>
        <v>Algorithms</v>
      </c>
      <c r="H50" s="19" t="str">
        <f>SUBSTITUTE(Github!L$190, ";", ", ")</f>
        <v>Array, Math, Two Pointers, </v>
      </c>
      <c r="I50" s="17" t="str">
        <f>Github!E$190</f>
        <v>Medium</v>
      </c>
      <c r="J50" s="17" t="str">
        <f>IF(TRIM(Github!D$190)="TRUE","FALSE","TRUE")</f>
        <v>TRUE</v>
      </c>
      <c r="K50" s="17" t="b">
        <f>Github!M$190</f>
        <v>1</v>
      </c>
      <c r="L50" s="17" t="b">
        <f>Github!N$190</f>
        <v>0</v>
      </c>
      <c r="M50" s="17" t="str">
        <f>ROUND(Github!O$190, 2)&amp;"%"</f>
        <v>38.39%</v>
      </c>
      <c r="N50" s="17">
        <f>Github!P$190</f>
        <v>1035688</v>
      </c>
      <c r="O50" s="17">
        <f>Github!Q$190</f>
        <v>2698026</v>
      </c>
    </row>
    <row r="51" ht="18.0" customHeight="1">
      <c r="A51" s="17">
        <f>Github!J$80</f>
        <v>79</v>
      </c>
      <c r="B51" s="27" t="str">
        <f>HYPERLINK(CONCAT("http://leetcode.com/problems/",Github!C$80), Github!B$80)</f>
        <v>Word Search</v>
      </c>
      <c r="C51" s="17">
        <f>Github!F$80</f>
        <v>8696</v>
      </c>
      <c r="D51" s="17">
        <f>Github!G$80</f>
        <v>329</v>
      </c>
      <c r="E51" s="17">
        <f>Github!F$80+Github!G$80</f>
        <v>9025</v>
      </c>
      <c r="F51" s="18">
        <f t="shared" si="1"/>
        <v>26.43</v>
      </c>
      <c r="G51" s="17" t="str">
        <f>Github!H$80</f>
        <v>Algorithms</v>
      </c>
      <c r="H51" s="19" t="str">
        <f>SUBSTITUTE(Github!L$80, ";", ", ")</f>
        <v>Array, Backtracking, Matrix, </v>
      </c>
      <c r="I51" s="17" t="str">
        <f>Github!E$80</f>
        <v>Medium</v>
      </c>
      <c r="J51" s="17" t="str">
        <f>IF(TRIM(Github!D$80)="TRUE","FALSE","TRUE")</f>
        <v>TRUE</v>
      </c>
      <c r="K51" s="17" t="b">
        <f>Github!M$80</f>
        <v>1</v>
      </c>
      <c r="L51" s="17" t="b">
        <f>Github!N$80</f>
        <v>0</v>
      </c>
      <c r="M51" s="17" t="str">
        <f>ROUND(Github!O$80, 2)&amp;"%"</f>
        <v>39.47%</v>
      </c>
      <c r="N51" s="17">
        <f>Github!P$80</f>
        <v>910847</v>
      </c>
      <c r="O51" s="17">
        <f>Github!Q$80</f>
        <v>2307936</v>
      </c>
    </row>
    <row r="52" ht="18.0" customHeight="1">
      <c r="A52" s="17">
        <f>Github!J$208</f>
        <v>207</v>
      </c>
      <c r="B52" s="27" t="str">
        <f>HYPERLINK(CONCAT("http://leetcode.com/problems/",Github!C$208), Github!B$208)</f>
        <v>Course Schedule</v>
      </c>
      <c r="C52" s="17">
        <f>Github!F$208</f>
        <v>8691</v>
      </c>
      <c r="D52" s="17">
        <f>Github!G$208</f>
        <v>351</v>
      </c>
      <c r="E52" s="17">
        <f>Github!F$208+Github!G$208</f>
        <v>9042</v>
      </c>
      <c r="F52" s="18">
        <f t="shared" si="1"/>
        <v>24.76</v>
      </c>
      <c r="G52" s="17" t="str">
        <f>Github!H$208</f>
        <v>Algorithms</v>
      </c>
      <c r="H52" s="19" t="str">
        <f>SUBSTITUTE(Github!L$208, ";", ", ")</f>
        <v>Depth-First Search, Breadth-First Search, Graph, Topological Sort, </v>
      </c>
      <c r="I52" s="17" t="str">
        <f>Github!E$208</f>
        <v>Medium</v>
      </c>
      <c r="J52" s="17" t="str">
        <f>IF(TRIM(Github!D$208)="TRUE","FALSE","TRUE")</f>
        <v>TRUE</v>
      </c>
      <c r="K52" s="17" t="b">
        <f>Github!M$208</f>
        <v>1</v>
      </c>
      <c r="L52" s="17" t="b">
        <f>Github!N$208</f>
        <v>0</v>
      </c>
      <c r="M52" s="17" t="str">
        <f>ROUND(Github!O$208, 2)&amp;"%"</f>
        <v>44.94%</v>
      </c>
      <c r="N52" s="17">
        <f>Github!P$208</f>
        <v>813462</v>
      </c>
      <c r="O52" s="17">
        <f>Github!Q$208</f>
        <v>1810214</v>
      </c>
    </row>
    <row r="53" ht="18.0" customHeight="1">
      <c r="A53" s="17">
        <f>Github!J$129</f>
        <v>128</v>
      </c>
      <c r="B53" s="27" t="str">
        <f>HYPERLINK(CONCAT("http://leetcode.com/problems/",Github!C$129), Github!B$129)</f>
        <v>Longest Consecutive Sequence</v>
      </c>
      <c r="C53" s="17">
        <f>Github!F$129</f>
        <v>8625</v>
      </c>
      <c r="D53" s="17">
        <f>Github!G$129</f>
        <v>375</v>
      </c>
      <c r="E53" s="17">
        <f>Github!F$129+Github!G$129</f>
        <v>9000</v>
      </c>
      <c r="F53" s="18">
        <f t="shared" si="1"/>
        <v>23</v>
      </c>
      <c r="G53" s="17" t="str">
        <f>Github!H$129</f>
        <v>Algorithms</v>
      </c>
      <c r="H53" s="19" t="str">
        <f>SUBSTITUTE(Github!L$129, ";", ", ")</f>
        <v>Array, Hash Table, Union Find, </v>
      </c>
      <c r="I53" s="17" t="str">
        <f>Github!E$129</f>
        <v>Medium</v>
      </c>
      <c r="J53" s="17" t="str">
        <f>IF(TRIM(Github!D$129)="TRUE","FALSE","TRUE")</f>
        <v>TRUE</v>
      </c>
      <c r="K53" s="17" t="b">
        <f>Github!M$129</f>
        <v>1</v>
      </c>
      <c r="L53" s="17" t="b">
        <f>Github!N$129</f>
        <v>0</v>
      </c>
      <c r="M53" s="17" t="str">
        <f>ROUND(Github!O$129, 2)&amp;"%"</f>
        <v>48.52%</v>
      </c>
      <c r="N53" s="17">
        <f>Github!P$129</f>
        <v>614467</v>
      </c>
      <c r="O53" s="17">
        <f>Github!Q$129</f>
        <v>1266538</v>
      </c>
    </row>
    <row r="54" ht="18.0" customHeight="1">
      <c r="A54" s="17">
        <f>Github!J$50</f>
        <v>49</v>
      </c>
      <c r="B54" s="27" t="str">
        <f>HYPERLINK(CONCAT("http://leetcode.com/problems/",Github!C$50), Github!B$50)</f>
        <v>Group Anagrams</v>
      </c>
      <c r="C54" s="17">
        <f>Github!F$50</f>
        <v>8537</v>
      </c>
      <c r="D54" s="17">
        <f>Github!G$50</f>
        <v>295</v>
      </c>
      <c r="E54" s="17">
        <f>Github!F$50+Github!G$50</f>
        <v>8832</v>
      </c>
      <c r="F54" s="18">
        <f t="shared" si="1"/>
        <v>28.94</v>
      </c>
      <c r="G54" s="17" t="str">
        <f>Github!H$50</f>
        <v>Algorithms</v>
      </c>
      <c r="H54" s="19" t="str">
        <f>SUBSTITUTE(Github!L$50, ";", ", ")</f>
        <v>Hash Table, String, Sorting, </v>
      </c>
      <c r="I54" s="17" t="str">
        <f>Github!E$50</f>
        <v>Medium</v>
      </c>
      <c r="J54" s="17" t="str">
        <f>IF(TRIM(Github!D$50)="TRUE","FALSE","TRUE")</f>
        <v>TRUE</v>
      </c>
      <c r="K54" s="17" t="b">
        <f>Github!M$50</f>
        <v>1</v>
      </c>
      <c r="L54" s="17" t="b">
        <f>Github!N$50</f>
        <v>1</v>
      </c>
      <c r="M54" s="17" t="str">
        <f>ROUND(Github!O$50, 2)&amp;"%"</f>
        <v>63.6%</v>
      </c>
      <c r="N54" s="17">
        <f>Github!P$50</f>
        <v>1261007</v>
      </c>
      <c r="O54" s="17">
        <f>Github!Q$50</f>
        <v>1982588</v>
      </c>
    </row>
    <row r="55" ht="18.0" customHeight="1">
      <c r="A55" s="17">
        <f>Github!J$216</f>
        <v>215</v>
      </c>
      <c r="B55" s="27" t="str">
        <f>HYPERLINK(CONCAT("http://leetcode.com/problems/",Github!C$216), Github!B$216)</f>
        <v>Kth Largest Element in an Array</v>
      </c>
      <c r="C55" s="17">
        <f>Github!F$216</f>
        <v>8522</v>
      </c>
      <c r="D55" s="17">
        <f>Github!G$216</f>
        <v>475</v>
      </c>
      <c r="E55" s="17">
        <f>Github!F$216+Github!G$216</f>
        <v>8997</v>
      </c>
      <c r="F55" s="18">
        <f t="shared" si="1"/>
        <v>17.94</v>
      </c>
      <c r="G55" s="17" t="str">
        <f>Github!H$216</f>
        <v>Algorithms</v>
      </c>
      <c r="H55" s="19" t="str">
        <f>SUBSTITUTE(Github!L$216, ";", ", ")</f>
        <v>Array, Divide and Conquer, Sorting, Heap (Priority Queue), Quickselect, </v>
      </c>
      <c r="I55" s="17" t="str">
        <f>Github!E$216</f>
        <v>Medium</v>
      </c>
      <c r="J55" s="17" t="str">
        <f>IF(TRIM(Github!D$216)="TRUE","FALSE","TRUE")</f>
        <v>TRUE</v>
      </c>
      <c r="K55" s="17" t="b">
        <f>Github!M$216</f>
        <v>1</v>
      </c>
      <c r="L55" s="17" t="b">
        <f>Github!N$216</f>
        <v>0</v>
      </c>
      <c r="M55" s="17" t="str">
        <f>ROUND(Github!O$216, 2)&amp;"%"</f>
        <v>62.91%</v>
      </c>
      <c r="N55" s="17">
        <f>Github!P$216</f>
        <v>1232292</v>
      </c>
      <c r="O55" s="17">
        <f>Github!Q$216</f>
        <v>1958933</v>
      </c>
    </row>
    <row r="56" ht="18.0" customHeight="1">
      <c r="A56" s="17">
        <f>Github!J$284</f>
        <v>283</v>
      </c>
      <c r="B56" s="27" t="str">
        <f>HYPERLINK(CONCAT("http://leetcode.com/problems/",Github!C$284), Github!B$284)</f>
        <v>Move Zeroes</v>
      </c>
      <c r="C56" s="17">
        <f>Github!F$284</f>
        <v>8447</v>
      </c>
      <c r="D56" s="17">
        <f>Github!G$284</f>
        <v>230</v>
      </c>
      <c r="E56" s="17">
        <f>Github!F$284+Github!G$284</f>
        <v>8677</v>
      </c>
      <c r="F56" s="18">
        <f t="shared" si="1"/>
        <v>36.73</v>
      </c>
      <c r="G56" s="17" t="str">
        <f>Github!H$284</f>
        <v>Algorithms</v>
      </c>
      <c r="H56" s="19" t="str">
        <f>SUBSTITUTE(Github!L$284, ";", ", ")</f>
        <v>Array, Two Pointers, </v>
      </c>
      <c r="I56" s="17" t="str">
        <f>Github!E$284</f>
        <v>Easy</v>
      </c>
      <c r="J56" s="17" t="str">
        <f>IF(TRIM(Github!D$284)="TRUE","FALSE","TRUE")</f>
        <v>TRUE</v>
      </c>
      <c r="K56" s="17" t="b">
        <f>Github!M$284</f>
        <v>1</v>
      </c>
      <c r="L56" s="17" t="b">
        <f>Github!N$284</f>
        <v>0</v>
      </c>
      <c r="M56" s="17" t="str">
        <f>ROUND(Github!O$284, 2)&amp;"%"</f>
        <v>60.37%</v>
      </c>
      <c r="N56" s="17">
        <f>Github!P$284</f>
        <v>1558785</v>
      </c>
      <c r="O56" s="17">
        <f>Github!Q$284</f>
        <v>2582109</v>
      </c>
    </row>
    <row r="57" ht="18.0" customHeight="1">
      <c r="A57" s="17">
        <f>Github!J$49</f>
        <v>48</v>
      </c>
      <c r="B57" s="27" t="str">
        <f>HYPERLINK(CONCAT("http://leetcode.com/problems/",Github!C$49), Github!B$49)</f>
        <v>Rotate Image</v>
      </c>
      <c r="C57" s="17">
        <f>Github!F$49</f>
        <v>8360</v>
      </c>
      <c r="D57" s="17">
        <f>Github!G$49</f>
        <v>464</v>
      </c>
      <c r="E57" s="17">
        <f>Github!F$49+Github!G$49</f>
        <v>8824</v>
      </c>
      <c r="F57" s="18">
        <f t="shared" si="1"/>
        <v>18.02</v>
      </c>
      <c r="G57" s="17" t="str">
        <f>Github!H$49</f>
        <v>Algorithms</v>
      </c>
      <c r="H57" s="19" t="str">
        <f>SUBSTITUTE(Github!L$49, ";", ", ")</f>
        <v>Array, Math, Matrix, </v>
      </c>
      <c r="I57" s="17" t="str">
        <f>Github!E$49</f>
        <v>Medium</v>
      </c>
      <c r="J57" s="17" t="str">
        <f>IF(TRIM(Github!D$49)="TRUE","FALSE","TRUE")</f>
        <v>TRUE</v>
      </c>
      <c r="K57" s="17" t="b">
        <f>Github!M$49</f>
        <v>1</v>
      </c>
      <c r="L57" s="17" t="b">
        <f>Github!N$49</f>
        <v>0</v>
      </c>
      <c r="M57" s="17" t="str">
        <f>ROUND(Github!O$49, 2)&amp;"%"</f>
        <v>65.93%</v>
      </c>
      <c r="N57" s="17">
        <f>Github!P$49</f>
        <v>827572</v>
      </c>
      <c r="O57" s="17">
        <f>Github!Q$49</f>
        <v>1255324</v>
      </c>
    </row>
    <row r="58" ht="18.0" customHeight="1">
      <c r="A58" s="17">
        <f>Github!J$161</f>
        <v>160</v>
      </c>
      <c r="B58" s="27" t="str">
        <f>HYPERLINK(CONCAT("http://leetcode.com/problems/",Github!C$161), Github!B$161)</f>
        <v>Intersection of Two Linked Lists</v>
      </c>
      <c r="C58" s="17">
        <f>Github!F$161</f>
        <v>8235</v>
      </c>
      <c r="D58" s="17">
        <f>Github!G$161</f>
        <v>830</v>
      </c>
      <c r="E58" s="17">
        <f>Github!F$161+Github!G$161</f>
        <v>9065</v>
      </c>
      <c r="F58" s="18">
        <f t="shared" si="1"/>
        <v>9.92</v>
      </c>
      <c r="G58" s="17" t="str">
        <f>Github!H$161</f>
        <v>Algorithms</v>
      </c>
      <c r="H58" s="19" t="str">
        <f>SUBSTITUTE(Github!L$161, ";", ", ")</f>
        <v>Hash Table, Linked List, Two Pointers, </v>
      </c>
      <c r="I58" s="17" t="str">
        <f>Github!E$161</f>
        <v>Easy</v>
      </c>
      <c r="J58" s="17" t="str">
        <f>IF(TRIM(Github!D$161)="TRUE","FALSE","TRUE")</f>
        <v>TRUE</v>
      </c>
      <c r="K58" s="17" t="b">
        <f>Github!M$161</f>
        <v>1</v>
      </c>
      <c r="L58" s="17" t="b">
        <f>Github!N$161</f>
        <v>1</v>
      </c>
      <c r="M58" s="17" t="str">
        <f>ROUND(Github!O$161, 2)&amp;"%"</f>
        <v>49.28%</v>
      </c>
      <c r="N58" s="17">
        <f>Github!P$161</f>
        <v>885557</v>
      </c>
      <c r="O58" s="17">
        <f>Github!Q$161</f>
        <v>1797080</v>
      </c>
    </row>
    <row r="59" ht="18.0" customHeight="1">
      <c r="A59" s="17">
        <f>Github!J$235</f>
        <v>234</v>
      </c>
      <c r="B59" s="27" t="str">
        <f>HYPERLINK(CONCAT("http://leetcode.com/problems/",Github!C$235), Github!B$235)</f>
        <v>Palindrome Linked List</v>
      </c>
      <c r="C59" s="17">
        <f>Github!F$235</f>
        <v>8193</v>
      </c>
      <c r="D59" s="17">
        <f>Github!G$235</f>
        <v>508</v>
      </c>
      <c r="E59" s="17">
        <f>Github!F$235+Github!G$235</f>
        <v>8701</v>
      </c>
      <c r="F59" s="18">
        <f t="shared" si="1"/>
        <v>16.13</v>
      </c>
      <c r="G59" s="17" t="str">
        <f>Github!H$235</f>
        <v>Algorithms</v>
      </c>
      <c r="H59" s="19" t="str">
        <f>SUBSTITUTE(Github!L$235, ";", ", ")</f>
        <v>Linked List, Two Pointers, Stack, Recursion, </v>
      </c>
      <c r="I59" s="17" t="str">
        <f>Github!E$235</f>
        <v>Easy</v>
      </c>
      <c r="J59" s="17" t="str">
        <f>IF(TRIM(Github!D$235)="TRUE","FALSE","TRUE")</f>
        <v>TRUE</v>
      </c>
      <c r="K59" s="17" t="b">
        <f>Github!M$235</f>
        <v>1</v>
      </c>
      <c r="L59" s="17" t="b">
        <f>Github!N$235</f>
        <v>1</v>
      </c>
      <c r="M59" s="17" t="str">
        <f>ROUND(Github!O$235, 2)&amp;"%"</f>
        <v>46.08%</v>
      </c>
      <c r="N59" s="17">
        <f>Github!P$235</f>
        <v>899165</v>
      </c>
      <c r="O59" s="17">
        <f>Github!Q$235</f>
        <v>1951442</v>
      </c>
    </row>
    <row r="60" ht="18.0" customHeight="1">
      <c r="A60" s="17">
        <f>Github!J$63</f>
        <v>62</v>
      </c>
      <c r="B60" s="27" t="str">
        <f>HYPERLINK(CONCAT("http://leetcode.com/problems/",Github!C$63), Github!B$63)</f>
        <v>Unique Paths</v>
      </c>
      <c r="C60" s="17">
        <f>Github!F$63</f>
        <v>8184</v>
      </c>
      <c r="D60" s="17">
        <f>Github!G$63</f>
        <v>282</v>
      </c>
      <c r="E60" s="17">
        <f>Github!F$63+Github!G$63</f>
        <v>8466</v>
      </c>
      <c r="F60" s="18">
        <f t="shared" si="1"/>
        <v>29.02</v>
      </c>
      <c r="G60" s="17" t="str">
        <f>Github!H$63</f>
        <v>Algorithms</v>
      </c>
      <c r="H60" s="19" t="str">
        <f>SUBSTITUTE(Github!L$63, ";", ", ")</f>
        <v>Math, Dynamic Programming, Combinatorics, </v>
      </c>
      <c r="I60" s="17" t="str">
        <f>Github!E$63</f>
        <v>Medium</v>
      </c>
      <c r="J60" s="17" t="str">
        <f>IF(TRIM(Github!D$63)="TRUE","FALSE","TRUE")</f>
        <v>TRUE</v>
      </c>
      <c r="K60" s="17" t="b">
        <f>Github!M$63</f>
        <v>1</v>
      </c>
      <c r="L60" s="17" t="b">
        <f>Github!N$63</f>
        <v>0</v>
      </c>
      <c r="M60" s="17" t="str">
        <f>ROUND(Github!O$63, 2)&amp;"%"</f>
        <v>59.62%</v>
      </c>
      <c r="N60" s="17">
        <f>Github!P$63</f>
        <v>882053</v>
      </c>
      <c r="O60" s="17">
        <f>Github!Q$63</f>
        <v>1479377</v>
      </c>
    </row>
    <row r="61" ht="18.0" customHeight="1">
      <c r="A61" s="17">
        <f>Github!J$106</f>
        <v>105</v>
      </c>
      <c r="B61" s="27" t="str">
        <f>HYPERLINK(CONCAT("http://leetcode.com/problems/",Github!C$106), Github!B$106)</f>
        <v>Construct Binary Tree from Preorder and Inorder Traversal</v>
      </c>
      <c r="C61" s="17">
        <f>Github!F$106</f>
        <v>7901</v>
      </c>
      <c r="D61" s="17">
        <f>Github!G$106</f>
        <v>204</v>
      </c>
      <c r="E61" s="17">
        <f>Github!F$106+Github!G$106</f>
        <v>8105</v>
      </c>
      <c r="F61" s="18">
        <f t="shared" si="1"/>
        <v>38.73</v>
      </c>
      <c r="G61" s="17" t="str">
        <f>Github!H$106</f>
        <v>Algorithms</v>
      </c>
      <c r="H61" s="19" t="str">
        <f>SUBSTITUTE(Github!L$106, ";", ", ")</f>
        <v>Array, Hash Table, Divide and Conquer, Tree, Binary Tree, </v>
      </c>
      <c r="I61" s="17" t="str">
        <f>Github!E$106</f>
        <v>Medium</v>
      </c>
      <c r="J61" s="17" t="str">
        <f>IF(TRIM(Github!D$106)="TRUE","FALSE","TRUE")</f>
        <v>TRUE</v>
      </c>
      <c r="K61" s="17" t="b">
        <f>Github!M$106</f>
        <v>1</v>
      </c>
      <c r="L61" s="17" t="b">
        <f>Github!N$106</f>
        <v>0</v>
      </c>
      <c r="M61" s="17" t="str">
        <f>ROUND(Github!O$106, 2)&amp;"%"</f>
        <v>57.03%</v>
      </c>
      <c r="N61" s="17">
        <f>Github!P$106</f>
        <v>668461</v>
      </c>
      <c r="O61" s="17">
        <f>Github!Q$106</f>
        <v>1172055</v>
      </c>
    </row>
    <row r="62" ht="18.0" customHeight="1">
      <c r="A62" s="17">
        <f>Github!J$73</f>
        <v>72</v>
      </c>
      <c r="B62" s="27" t="str">
        <f>HYPERLINK(CONCAT("http://leetcode.com/problems/",Github!C$73), Github!B$73)</f>
        <v>Edit Distance</v>
      </c>
      <c r="C62" s="17">
        <f>Github!F$73</f>
        <v>7821</v>
      </c>
      <c r="D62" s="17">
        <f>Github!G$73</f>
        <v>92</v>
      </c>
      <c r="E62" s="17">
        <f>Github!F$73+Github!G$73</f>
        <v>7913</v>
      </c>
      <c r="F62" s="18">
        <f t="shared" si="1"/>
        <v>85.01</v>
      </c>
      <c r="G62" s="17" t="str">
        <f>Github!H$73</f>
        <v>Algorithms</v>
      </c>
      <c r="H62" s="19" t="str">
        <f>SUBSTITUTE(Github!L$73, ";", ", ")</f>
        <v>String, Dynamic Programming, </v>
      </c>
      <c r="I62" s="17" t="str">
        <f>Github!E$73</f>
        <v>Hard</v>
      </c>
      <c r="J62" s="17" t="str">
        <f>IF(TRIM(Github!D$73)="TRUE","FALSE","TRUE")</f>
        <v>TRUE</v>
      </c>
      <c r="K62" s="17" t="b">
        <f>Github!M$73</f>
        <v>1</v>
      </c>
      <c r="L62" s="17" t="b">
        <f>Github!N$73</f>
        <v>0</v>
      </c>
      <c r="M62" s="17" t="str">
        <f>ROUND(Github!O$73, 2)&amp;"%"</f>
        <v>50.33%</v>
      </c>
      <c r="N62" s="17">
        <f>Github!P$73</f>
        <v>448134</v>
      </c>
      <c r="O62" s="17">
        <f>Github!Q$73</f>
        <v>890311</v>
      </c>
    </row>
    <row r="63" ht="18.0" customHeight="1">
      <c r="A63" s="17">
        <f>Github!J$227</f>
        <v>226</v>
      </c>
      <c r="B63" s="27" t="str">
        <f>HYPERLINK(CONCAT("http://leetcode.com/problems/",Github!C$227), Github!B$227)</f>
        <v>Invert Binary Tree</v>
      </c>
      <c r="C63" s="17">
        <f>Github!F$227</f>
        <v>7795</v>
      </c>
      <c r="D63" s="17">
        <f>Github!G$227</f>
        <v>105</v>
      </c>
      <c r="E63" s="17">
        <f>Github!F$227+Github!G$227</f>
        <v>7900</v>
      </c>
      <c r="F63" s="18">
        <f t="shared" si="1"/>
        <v>74.24</v>
      </c>
      <c r="G63" s="17" t="str">
        <f>Github!H$227</f>
        <v>Algorithms</v>
      </c>
      <c r="H63" s="19" t="str">
        <f>SUBSTITUTE(Github!L$227, ";", ", ")</f>
        <v>Tree, Depth-First Search, Breadth-First Search, Binary Tree, </v>
      </c>
      <c r="I63" s="17" t="str">
        <f>Github!E$227</f>
        <v>Easy</v>
      </c>
      <c r="J63" s="17" t="str">
        <f>IF(TRIM(Github!D$227)="TRUE","FALSE","TRUE")</f>
        <v>TRUE</v>
      </c>
      <c r="K63" s="17" t="b">
        <f>Github!M$227</f>
        <v>1</v>
      </c>
      <c r="L63" s="17" t="b">
        <f>Github!N$227</f>
        <v>1</v>
      </c>
      <c r="M63" s="17" t="str">
        <f>ROUND(Github!O$227, 2)&amp;"%"</f>
        <v>71.06%</v>
      </c>
      <c r="N63" s="17">
        <f>Github!P$227</f>
        <v>959958</v>
      </c>
      <c r="O63" s="17">
        <f>Github!Q$227</f>
        <v>1350948</v>
      </c>
    </row>
    <row r="64" ht="18.0" customHeight="1">
      <c r="A64" s="17">
        <f>Github!J$11</f>
        <v>10</v>
      </c>
      <c r="B64" s="27" t="str">
        <f>HYPERLINK(CONCAT("http://leetcode.com/problems/",Github!C$11), Github!B$11)</f>
        <v>Regular Expression Matching</v>
      </c>
      <c r="C64" s="17">
        <f>Github!F$11</f>
        <v>7691</v>
      </c>
      <c r="D64" s="17">
        <f>Github!G$11</f>
        <v>1117</v>
      </c>
      <c r="E64" s="17">
        <f>Github!F$11+Github!G$11</f>
        <v>8808</v>
      </c>
      <c r="F64" s="18">
        <f t="shared" si="1"/>
        <v>6.89</v>
      </c>
      <c r="G64" s="17" t="str">
        <f>Github!H$11</f>
        <v>Algorithms</v>
      </c>
      <c r="H64" s="19" t="str">
        <f>SUBSTITUTE(Github!L$11, ";", ", ")</f>
        <v>String, Dynamic Programming, Recursion, </v>
      </c>
      <c r="I64" s="17" t="str">
        <f>Github!E$11</f>
        <v>Hard</v>
      </c>
      <c r="J64" s="17" t="str">
        <f>IF(TRIM(Github!D$11)="TRUE","FALSE","TRUE")</f>
        <v>TRUE</v>
      </c>
      <c r="K64" s="17" t="b">
        <f>Github!M$11</f>
        <v>1</v>
      </c>
      <c r="L64" s="17" t="b">
        <f>Github!N$11</f>
        <v>0</v>
      </c>
      <c r="M64" s="17" t="str">
        <f>ROUND(Github!O$11, 2)&amp;"%"</f>
        <v>28.18%</v>
      </c>
      <c r="N64" s="17">
        <f>Github!P$11</f>
        <v>653912</v>
      </c>
      <c r="O64" s="17">
        <f>Github!Q$11</f>
        <v>2320166</v>
      </c>
    </row>
    <row r="65" ht="18.0" customHeight="1">
      <c r="A65" s="17">
        <f>Github!J$395</f>
        <v>394</v>
      </c>
      <c r="B65" s="27" t="str">
        <f>HYPERLINK(CONCAT("http://leetcode.com/problems/",Github!C$395), Github!B$395)</f>
        <v>Decode String</v>
      </c>
      <c r="C65" s="17">
        <f>Github!F$395</f>
        <v>7682</v>
      </c>
      <c r="D65" s="17">
        <f>Github!G$395</f>
        <v>326</v>
      </c>
      <c r="E65" s="17">
        <f>Github!F$395+Github!G$395</f>
        <v>8008</v>
      </c>
      <c r="F65" s="18">
        <f t="shared" si="1"/>
        <v>23.56</v>
      </c>
      <c r="G65" s="17" t="str">
        <f>Github!H$395</f>
        <v>Algorithms</v>
      </c>
      <c r="H65" s="19" t="str">
        <f>SUBSTITUTE(Github!L$395, ";", ", ")</f>
        <v>String, Stack, Recursion, </v>
      </c>
      <c r="I65" s="17" t="str">
        <f>Github!E$395</f>
        <v>Medium</v>
      </c>
      <c r="J65" s="17" t="str">
        <f>IF(TRIM(Github!D$395)="TRUE","FALSE","TRUE")</f>
        <v>TRUE</v>
      </c>
      <c r="K65" s="17" t="b">
        <f>Github!M$395</f>
        <v>1</v>
      </c>
      <c r="L65" s="17" t="b">
        <f>Github!N$395</f>
        <v>0</v>
      </c>
      <c r="M65" s="17" t="str">
        <f>ROUND(Github!O$395, 2)&amp;"%"</f>
        <v>56.03%</v>
      </c>
      <c r="N65" s="17">
        <f>Github!P$395</f>
        <v>463551</v>
      </c>
      <c r="O65" s="17">
        <f>Github!Q$395</f>
        <v>827396</v>
      </c>
    </row>
    <row r="66" ht="18.0" customHeight="1">
      <c r="A66" s="17">
        <f>Github!J$348</f>
        <v>347</v>
      </c>
      <c r="B66" s="27" t="str">
        <f>HYPERLINK(CONCAT("http://leetcode.com/problems/",Github!C$348), Github!B$348)</f>
        <v>Top K Frequent Elements</v>
      </c>
      <c r="C66" s="17">
        <f>Github!F$348</f>
        <v>7610</v>
      </c>
      <c r="D66" s="17">
        <f>Github!G$348</f>
        <v>333</v>
      </c>
      <c r="E66" s="17">
        <f>Github!F$348+Github!G$348</f>
        <v>7943</v>
      </c>
      <c r="F66" s="18">
        <f t="shared" si="1"/>
        <v>22.85</v>
      </c>
      <c r="G66" s="17" t="str">
        <f>Github!H$348</f>
        <v>Algorithms</v>
      </c>
      <c r="H66" s="19" t="str">
        <f>SUBSTITUTE(Github!L$348, ";", ", ")</f>
        <v>Array, Hash Table, Divide and Conquer, Sorting, Heap (Priority Queue), Bucket Sort, Counting, Quickselect, </v>
      </c>
      <c r="I66" s="17" t="str">
        <f>Github!E$348</f>
        <v>Medium</v>
      </c>
      <c r="J66" s="17" t="str">
        <f>IF(TRIM(Github!D$348)="TRUE","FALSE","TRUE")</f>
        <v>TRUE</v>
      </c>
      <c r="K66" s="17" t="b">
        <f>Github!M$348</f>
        <v>1</v>
      </c>
      <c r="L66" s="17" t="b">
        <f>Github!N$348</f>
        <v>0</v>
      </c>
      <c r="M66" s="17" t="str">
        <f>ROUND(Github!O$348, 2)&amp;"%"</f>
        <v>64.52%</v>
      </c>
      <c r="N66" s="17">
        <f>Github!P$348</f>
        <v>834608</v>
      </c>
      <c r="O66" s="17">
        <f>Github!Q$348</f>
        <v>1293636</v>
      </c>
    </row>
    <row r="67" ht="18.0" customHeight="1">
      <c r="A67" s="17">
        <f>Github!J$128</f>
        <v>127</v>
      </c>
      <c r="B67" s="27" t="str">
        <f>HYPERLINK(CONCAT("http://leetcode.com/problems/",Github!C$128), Github!B$128)</f>
        <v>Word Ladder</v>
      </c>
      <c r="C67" s="17">
        <f>Github!F$128</f>
        <v>7578</v>
      </c>
      <c r="D67" s="17">
        <f>Github!G$128</f>
        <v>1625</v>
      </c>
      <c r="E67" s="17">
        <f>Github!F$128+Github!G$128</f>
        <v>9203</v>
      </c>
      <c r="F67" s="18">
        <f t="shared" si="1"/>
        <v>4.66</v>
      </c>
      <c r="G67" s="17" t="str">
        <f>Github!H$128</f>
        <v>Algorithms</v>
      </c>
      <c r="H67" s="19" t="str">
        <f>SUBSTITUTE(Github!L$128, ";", ", ")</f>
        <v>Hash Table, String, Breadth-First Search, </v>
      </c>
      <c r="I67" s="17" t="str">
        <f>Github!E$128</f>
        <v>Hard</v>
      </c>
      <c r="J67" s="17" t="str">
        <f>IF(TRIM(Github!D$128)="TRUE","FALSE","TRUE")</f>
        <v>TRUE</v>
      </c>
      <c r="K67" s="17" t="b">
        <f>Github!M$128</f>
        <v>1</v>
      </c>
      <c r="L67" s="17" t="b">
        <f>Github!N$128</f>
        <v>1</v>
      </c>
      <c r="M67" s="17" t="str">
        <f>ROUND(Github!O$128, 2)&amp;"%"</f>
        <v>35.13%</v>
      </c>
      <c r="N67" s="17">
        <f>Github!P$128</f>
        <v>738815</v>
      </c>
      <c r="O67" s="17">
        <f>Github!Q$128</f>
        <v>2102964</v>
      </c>
    </row>
    <row r="68" ht="18.0" customHeight="1">
      <c r="A68" s="17">
        <f>Github!J$103</f>
        <v>102</v>
      </c>
      <c r="B68" s="27" t="str">
        <f>HYPERLINK(CONCAT("http://leetcode.com/problems/",Github!C$103), Github!B$103)</f>
        <v>Binary Tree Level Order Traversal</v>
      </c>
      <c r="C68" s="17">
        <f>Github!F$103</f>
        <v>7541</v>
      </c>
      <c r="D68" s="17">
        <f>Github!G$103</f>
        <v>151</v>
      </c>
      <c r="E68" s="17">
        <f>Github!F$103+Github!G$103</f>
        <v>7692</v>
      </c>
      <c r="F68" s="18">
        <f t="shared" si="1"/>
        <v>49.94</v>
      </c>
      <c r="G68" s="17" t="str">
        <f>Github!H$103</f>
        <v>Algorithms</v>
      </c>
      <c r="H68" s="19" t="str">
        <f>SUBSTITUTE(Github!L$103, ";", ", ")</f>
        <v>Tree, Breadth-First Search, Binary Tree, </v>
      </c>
      <c r="I68" s="17" t="str">
        <f>Github!E$103</f>
        <v>Medium</v>
      </c>
      <c r="J68" s="17" t="str">
        <f>IF(TRIM(Github!D$103)="TRUE","FALSE","TRUE")</f>
        <v>TRUE</v>
      </c>
      <c r="K68" s="17" t="b">
        <f>Github!M$103</f>
        <v>1</v>
      </c>
      <c r="L68" s="17" t="b">
        <f>Github!N$103</f>
        <v>0</v>
      </c>
      <c r="M68" s="17" t="str">
        <f>ROUND(Github!O$103, 2)&amp;"%"</f>
        <v>60.47%</v>
      </c>
      <c r="N68" s="17">
        <f>Github!P$103</f>
        <v>1161110</v>
      </c>
      <c r="O68" s="17">
        <f>Github!Q$103</f>
        <v>1920292</v>
      </c>
    </row>
    <row r="69" ht="18.0" customHeight="1">
      <c r="A69" s="17">
        <f>Github!J$142</f>
        <v>141</v>
      </c>
      <c r="B69" s="27" t="str">
        <f>HYPERLINK(CONCAT("http://leetcode.com/problems/",Github!C$142), Github!B$142)</f>
        <v>Linked List Cycle</v>
      </c>
      <c r="C69" s="17">
        <f>Github!F$142</f>
        <v>7541</v>
      </c>
      <c r="D69" s="17">
        <f>Github!G$142</f>
        <v>757</v>
      </c>
      <c r="E69" s="17">
        <f>Github!F$142+Github!G$142</f>
        <v>8298</v>
      </c>
      <c r="F69" s="18">
        <f t="shared" si="1"/>
        <v>9.96</v>
      </c>
      <c r="G69" s="17" t="str">
        <f>Github!H$142</f>
        <v>Algorithms</v>
      </c>
      <c r="H69" s="19" t="str">
        <f>SUBSTITUTE(Github!L$142, ";", ", ")</f>
        <v>Hash Table, Linked List, Two Pointers, </v>
      </c>
      <c r="I69" s="17" t="str">
        <f>Github!E$142</f>
        <v>Easy</v>
      </c>
      <c r="J69" s="17" t="str">
        <f>IF(TRIM(Github!D$142)="TRUE","FALSE","TRUE")</f>
        <v>TRUE</v>
      </c>
      <c r="K69" s="17" t="b">
        <f>Github!M$142</f>
        <v>1</v>
      </c>
      <c r="L69" s="17" t="b">
        <f>Github!N$142</f>
        <v>1</v>
      </c>
      <c r="M69" s="17" t="str">
        <f>ROUND(Github!O$142, 2)&amp;"%"</f>
        <v>45.59%</v>
      </c>
      <c r="N69" s="17">
        <f>Github!P$142</f>
        <v>1342958</v>
      </c>
      <c r="O69" s="17">
        <f>Github!Q$142</f>
        <v>2945782</v>
      </c>
    </row>
    <row r="70" ht="18.0" customHeight="1">
      <c r="A70" s="17">
        <f>Github!J$156</f>
        <v>155</v>
      </c>
      <c r="B70" s="27" t="str">
        <f>HYPERLINK(CONCAT("http://leetcode.com/problems/",Github!C$156), Github!B$156)</f>
        <v>Min Stack</v>
      </c>
      <c r="C70" s="17">
        <f>Github!F$156</f>
        <v>7527</v>
      </c>
      <c r="D70" s="17">
        <f>Github!G$156</f>
        <v>593</v>
      </c>
      <c r="E70" s="17">
        <f>Github!F$156+Github!G$156</f>
        <v>8120</v>
      </c>
      <c r="F70" s="18">
        <f t="shared" si="1"/>
        <v>12.69</v>
      </c>
      <c r="G70" s="17" t="str">
        <f>Github!H$156</f>
        <v>Algorithms</v>
      </c>
      <c r="H70" s="19" t="str">
        <f>SUBSTITUTE(Github!L$156, ";", ", ")</f>
        <v>Stack, Design, </v>
      </c>
      <c r="I70" s="17" t="str">
        <f>Github!E$156</f>
        <v>Easy</v>
      </c>
      <c r="J70" s="17" t="str">
        <f>IF(TRIM(Github!D$156)="TRUE","FALSE","TRUE")</f>
        <v>TRUE</v>
      </c>
      <c r="K70" s="17" t="b">
        <f>Github!M$156</f>
        <v>1</v>
      </c>
      <c r="L70" s="17" t="b">
        <f>Github!N$156</f>
        <v>0</v>
      </c>
      <c r="M70" s="17" t="str">
        <f>ROUND(Github!O$156, 2)&amp;"%"</f>
        <v>49.76%</v>
      </c>
      <c r="N70" s="17">
        <f>Github!P$156</f>
        <v>927548</v>
      </c>
      <c r="O70" s="17">
        <f>Github!Q$156</f>
        <v>1863873</v>
      </c>
    </row>
    <row r="71" ht="18.0" customHeight="1">
      <c r="A71" s="17">
        <f>Github!J$139</f>
        <v>138</v>
      </c>
      <c r="B71" s="27" t="str">
        <f>HYPERLINK(CONCAT("http://leetcode.com/problems/",Github!C$139), Github!B$139)</f>
        <v>Copy List with Random Pointer</v>
      </c>
      <c r="C71" s="17">
        <f>Github!F$139</f>
        <v>7465</v>
      </c>
      <c r="D71" s="17">
        <f>Github!G$139</f>
        <v>933</v>
      </c>
      <c r="E71" s="17">
        <f>Github!F$139+Github!G$139</f>
        <v>8398</v>
      </c>
      <c r="F71" s="18">
        <f t="shared" si="1"/>
        <v>8</v>
      </c>
      <c r="G71" s="17" t="str">
        <f>Github!H$139</f>
        <v>Algorithms</v>
      </c>
      <c r="H71" s="19" t="str">
        <f>SUBSTITUTE(Github!L$139, ";", ", ")</f>
        <v>Hash Table, Linked List, </v>
      </c>
      <c r="I71" s="17" t="str">
        <f>Github!E$139</f>
        <v>Medium</v>
      </c>
      <c r="J71" s="17" t="str">
        <f>IF(TRIM(Github!D$139)="TRUE","FALSE","TRUE")</f>
        <v>TRUE</v>
      </c>
      <c r="K71" s="17" t="b">
        <f>Github!M$139</f>
        <v>1</v>
      </c>
      <c r="L71" s="17" t="b">
        <f>Github!N$139</f>
        <v>0</v>
      </c>
      <c r="M71" s="17" t="str">
        <f>ROUND(Github!O$139, 2)&amp;"%"</f>
        <v>46.58%</v>
      </c>
      <c r="N71" s="17">
        <f>Github!P$139</f>
        <v>722337</v>
      </c>
      <c r="O71" s="17">
        <f>Github!Q$139</f>
        <v>1550638</v>
      </c>
    </row>
    <row r="72" ht="18.0" customHeight="1">
      <c r="A72" s="17">
        <f>Github!J$46</f>
        <v>45</v>
      </c>
      <c r="B72" s="27" t="str">
        <f>HYPERLINK(CONCAT("http://leetcode.com/problems/",Github!C$46), Github!B$46)</f>
        <v>Jump Game II</v>
      </c>
      <c r="C72" s="17">
        <f>Github!F$46</f>
        <v>7418</v>
      </c>
      <c r="D72" s="17">
        <f>Github!G$46</f>
        <v>278</v>
      </c>
      <c r="E72" s="17">
        <f>Github!F$46+Github!G$46</f>
        <v>7696</v>
      </c>
      <c r="F72" s="18">
        <f t="shared" si="1"/>
        <v>26.68</v>
      </c>
      <c r="G72" s="17" t="str">
        <f>Github!H$46</f>
        <v>Algorithms</v>
      </c>
      <c r="H72" s="19" t="str">
        <f>SUBSTITUTE(Github!L$46, ";", ", ")</f>
        <v>Array, Dynamic Programming, Greedy, </v>
      </c>
      <c r="I72" s="17" t="str">
        <f>Github!E$46</f>
        <v>Medium</v>
      </c>
      <c r="J72" s="17" t="str">
        <f>IF(TRIM(Github!D$46)="TRUE","FALSE","TRUE")</f>
        <v>TRUE</v>
      </c>
      <c r="K72" s="17" t="b">
        <f>Github!M$46</f>
        <v>1</v>
      </c>
      <c r="L72" s="17" t="b">
        <f>Github!N$46</f>
        <v>0</v>
      </c>
      <c r="M72" s="17" t="str">
        <f>ROUND(Github!O$46, 2)&amp;"%"</f>
        <v>36.65%</v>
      </c>
      <c r="N72" s="17">
        <f>Github!P$46</f>
        <v>559297</v>
      </c>
      <c r="O72" s="17">
        <f>Github!Q$46</f>
        <v>1525998</v>
      </c>
    </row>
    <row r="73" ht="18.0" customHeight="1">
      <c r="A73" s="17">
        <f>Github!J$544</f>
        <v>543</v>
      </c>
      <c r="B73" s="27" t="str">
        <f>HYPERLINK(CONCAT("http://leetcode.com/problems/",Github!C$544), Github!B$544)</f>
        <v>Diameter of Binary Tree</v>
      </c>
      <c r="C73" s="17">
        <f>Github!F$544</f>
        <v>7320</v>
      </c>
      <c r="D73" s="17">
        <f>Github!G$544</f>
        <v>455</v>
      </c>
      <c r="E73" s="17">
        <f>Github!F$544+Github!G$544</f>
        <v>7775</v>
      </c>
      <c r="F73" s="18">
        <f t="shared" si="1"/>
        <v>16.09</v>
      </c>
      <c r="G73" s="17" t="str">
        <f>Github!H$544</f>
        <v>Algorithms</v>
      </c>
      <c r="H73" s="19" t="str">
        <f>SUBSTITUTE(Github!L$544, ";", ", ")</f>
        <v>Tree, Depth-First Search, Binary Tree, </v>
      </c>
      <c r="I73" s="17" t="str">
        <f>Github!E$544</f>
        <v>Easy</v>
      </c>
      <c r="J73" s="17" t="str">
        <f>IF(TRIM(Github!D$544)="TRUE","FALSE","TRUE")</f>
        <v>TRUE</v>
      </c>
      <c r="K73" s="17" t="b">
        <f>Github!M$544</f>
        <v>1</v>
      </c>
      <c r="L73" s="17" t="b">
        <f>Github!N$544</f>
        <v>0</v>
      </c>
      <c r="M73" s="17" t="str">
        <f>ROUND(Github!O$544, 2)&amp;"%"</f>
        <v>53.72%</v>
      </c>
      <c r="N73" s="17">
        <f>Github!P$544</f>
        <v>681467</v>
      </c>
      <c r="O73" s="17">
        <f>Github!Q$544</f>
        <v>1268679</v>
      </c>
    </row>
    <row r="74" ht="18.0" customHeight="1">
      <c r="A74" s="17">
        <f>Github!J$33</f>
        <v>32</v>
      </c>
      <c r="B74" s="27" t="str">
        <f>HYPERLINK(CONCAT("http://leetcode.com/problems/",Github!C$33), Github!B$33)</f>
        <v>Longest Valid Parentheses</v>
      </c>
      <c r="C74" s="17">
        <f>Github!F$33</f>
        <v>7262</v>
      </c>
      <c r="D74" s="17">
        <f>Github!G$33</f>
        <v>248</v>
      </c>
      <c r="E74" s="17">
        <f>Github!F$33+Github!G$33</f>
        <v>7510</v>
      </c>
      <c r="F74" s="18">
        <f t="shared" si="1"/>
        <v>29.28</v>
      </c>
      <c r="G74" s="17" t="str">
        <f>Github!H$33</f>
        <v>Algorithms</v>
      </c>
      <c r="H74" s="19" t="str">
        <f>SUBSTITUTE(Github!L$33, ";", ", ")</f>
        <v>String, Dynamic Programming, Stack, </v>
      </c>
      <c r="I74" s="17" t="str">
        <f>Github!E$33</f>
        <v>Hard</v>
      </c>
      <c r="J74" s="17" t="str">
        <f>IF(TRIM(Github!D$33)="TRUE","FALSE","TRUE")</f>
        <v>TRUE</v>
      </c>
      <c r="K74" s="17" t="b">
        <f>Github!M$33</f>
        <v>1</v>
      </c>
      <c r="L74" s="17" t="b">
        <f>Github!N$33</f>
        <v>0</v>
      </c>
      <c r="M74" s="17" t="str">
        <f>ROUND(Github!O$33, 2)&amp;"%"</f>
        <v>31.13%</v>
      </c>
      <c r="N74" s="17">
        <f>Github!P$33</f>
        <v>463038</v>
      </c>
      <c r="O74" s="17">
        <f>Github!Q$33</f>
        <v>1487653</v>
      </c>
    </row>
    <row r="75" ht="18.0" customHeight="1">
      <c r="A75" s="17">
        <f>Github!J$15</f>
        <v>14</v>
      </c>
      <c r="B75" s="27" t="str">
        <f>HYPERLINK(CONCAT("http://leetcode.com/problems/",Github!C$15), Github!B$15)</f>
        <v>Longest Common Prefix</v>
      </c>
      <c r="C75" s="17">
        <f>Github!F$15</f>
        <v>7234</v>
      </c>
      <c r="D75" s="17">
        <f>Github!G$15</f>
        <v>2856</v>
      </c>
      <c r="E75" s="17">
        <f>Github!F$15+Github!G$15</f>
        <v>10090</v>
      </c>
      <c r="F75" s="18">
        <f t="shared" si="1"/>
        <v>2.53</v>
      </c>
      <c r="G75" s="17" t="str">
        <f>Github!H$15</f>
        <v>Algorithms</v>
      </c>
      <c r="H75" s="19" t="str">
        <f>SUBSTITUTE(Github!L$15, ";", ", ")</f>
        <v>String, </v>
      </c>
      <c r="I75" s="17" t="str">
        <f>Github!E$15</f>
        <v>Easy</v>
      </c>
      <c r="J75" s="17" t="str">
        <f>IF(TRIM(Github!D$15)="TRUE","FALSE","TRUE")</f>
        <v>TRUE</v>
      </c>
      <c r="K75" s="17" t="b">
        <f>Github!M$15</f>
        <v>1</v>
      </c>
      <c r="L75" s="17" t="b">
        <f>Github!N$15</f>
        <v>0</v>
      </c>
      <c r="M75" s="17" t="str">
        <f>ROUND(Github!O$15, 2)&amp;"%"</f>
        <v>39.06%</v>
      </c>
      <c r="N75" s="17">
        <f>Github!P$15</f>
        <v>1467620</v>
      </c>
      <c r="O75" s="17">
        <f>Github!Q$15</f>
        <v>3757279</v>
      </c>
    </row>
    <row r="76" ht="18.0" customHeight="1">
      <c r="A76" s="17">
        <f>Github!J$438</f>
        <v>437</v>
      </c>
      <c r="B76" s="27" t="str">
        <f>HYPERLINK(CONCAT("http://leetcode.com/problems/",Github!C$438), Github!B$438)</f>
        <v>Path Sum III</v>
      </c>
      <c r="C76" s="17">
        <f>Github!F$438</f>
        <v>7174</v>
      </c>
      <c r="D76" s="17">
        <f>Github!G$438</f>
        <v>357</v>
      </c>
      <c r="E76" s="17">
        <f>Github!F$438+Github!G$438</f>
        <v>7531</v>
      </c>
      <c r="F76" s="18">
        <f t="shared" si="1"/>
        <v>20.1</v>
      </c>
      <c r="G76" s="17" t="str">
        <f>Github!H$438</f>
        <v>Algorithms</v>
      </c>
      <c r="H76" s="19" t="str">
        <f>SUBSTITUTE(Github!L$438, ";", ", ")</f>
        <v>Tree, Depth-First Search, Binary Tree, </v>
      </c>
      <c r="I76" s="17" t="str">
        <f>Github!E$438</f>
        <v>Medium</v>
      </c>
      <c r="J76" s="17" t="str">
        <f>IF(TRIM(Github!D$438)="TRUE","FALSE","TRUE")</f>
        <v>TRUE</v>
      </c>
      <c r="K76" s="17" t="b">
        <f>Github!M$438</f>
        <v>1</v>
      </c>
      <c r="L76" s="17" t="b">
        <f>Github!N$438</f>
        <v>0</v>
      </c>
      <c r="M76" s="17" t="str">
        <f>ROUND(Github!O$438, 2)&amp;"%"</f>
        <v>50.13%</v>
      </c>
      <c r="N76" s="17">
        <f>Github!P$438</f>
        <v>350137</v>
      </c>
      <c r="O76" s="17">
        <f>Github!Q$438</f>
        <v>698519</v>
      </c>
    </row>
    <row r="77" ht="18.0" customHeight="1">
      <c r="A77" s="17">
        <f>Github!J$95</f>
        <v>94</v>
      </c>
      <c r="B77" s="27" t="str">
        <f>HYPERLINK(CONCAT("http://leetcode.com/problems/",Github!C$95), Github!B$95)</f>
        <v>Binary Tree Inorder Traversal</v>
      </c>
      <c r="C77" s="17">
        <f>Github!F$95</f>
        <v>7131</v>
      </c>
      <c r="D77" s="17">
        <f>Github!G$95</f>
        <v>315</v>
      </c>
      <c r="E77" s="17">
        <f>Github!F$95+Github!G$95</f>
        <v>7446</v>
      </c>
      <c r="F77" s="18">
        <f t="shared" si="1"/>
        <v>22.64</v>
      </c>
      <c r="G77" s="17" t="str">
        <f>Github!H$95</f>
        <v>Algorithms</v>
      </c>
      <c r="H77" s="19" t="str">
        <f>SUBSTITUTE(Github!L$95, ";", ", ")</f>
        <v>Stack, Tree, Depth-First Search, Binary Tree, </v>
      </c>
      <c r="I77" s="17" t="str">
        <f>Github!E$95</f>
        <v>Easy</v>
      </c>
      <c r="J77" s="17" t="str">
        <f>IF(TRIM(Github!D$95)="TRUE","FALSE","TRUE")</f>
        <v>TRUE</v>
      </c>
      <c r="K77" s="17" t="b">
        <f>Github!M$95</f>
        <v>1</v>
      </c>
      <c r="L77" s="17" t="b">
        <f>Github!N$95</f>
        <v>0</v>
      </c>
      <c r="M77" s="17" t="str">
        <f>ROUND(Github!O$95, 2)&amp;"%"</f>
        <v>70.26%</v>
      </c>
      <c r="N77" s="17">
        <f>Github!P$95</f>
        <v>1374840</v>
      </c>
      <c r="O77" s="17">
        <f>Github!Q$95</f>
        <v>1956770</v>
      </c>
    </row>
    <row r="78" ht="18.0" customHeight="1">
      <c r="A78" s="17">
        <f>Github!J$439</f>
        <v>438</v>
      </c>
      <c r="B78" s="27" t="str">
        <f>HYPERLINK(CONCAT("http://leetcode.com/problems/",Github!C$439), Github!B$439)</f>
        <v>Find All Anagrams in a String</v>
      </c>
      <c r="C78" s="17">
        <f>Github!F$439</f>
        <v>7088</v>
      </c>
      <c r="D78" s="17">
        <f>Github!G$439</f>
        <v>248</v>
      </c>
      <c r="E78" s="17">
        <f>Github!F$439+Github!G$439</f>
        <v>7336</v>
      </c>
      <c r="F78" s="18">
        <f t="shared" si="1"/>
        <v>28.58</v>
      </c>
      <c r="G78" s="17" t="str">
        <f>Github!H$439</f>
        <v>Algorithms</v>
      </c>
      <c r="H78" s="19" t="str">
        <f>SUBSTITUTE(Github!L$439, ";", ", ")</f>
        <v>Hash Table, String, Sliding Window, </v>
      </c>
      <c r="I78" s="17" t="str">
        <f>Github!E$439</f>
        <v>Medium</v>
      </c>
      <c r="J78" s="17" t="str">
        <f>IF(TRIM(Github!D$439)="TRUE","FALSE","TRUE")</f>
        <v>TRUE</v>
      </c>
      <c r="K78" s="17" t="b">
        <f>Github!M$439</f>
        <v>1</v>
      </c>
      <c r="L78" s="17" t="b">
        <f>Github!N$439</f>
        <v>0</v>
      </c>
      <c r="M78" s="17" t="str">
        <f>ROUND(Github!O$439, 2)&amp;"%"</f>
        <v>47.99%</v>
      </c>
      <c r="N78" s="17">
        <f>Github!P$439</f>
        <v>503352</v>
      </c>
      <c r="O78" s="17">
        <f>Github!Q$439</f>
        <v>1048845</v>
      </c>
    </row>
    <row r="79" ht="18.0" customHeight="1">
      <c r="A79" s="17">
        <f>Github!J$36</f>
        <v>35</v>
      </c>
      <c r="B79" s="27" t="str">
        <f>HYPERLINK(CONCAT("http://leetcode.com/problems/",Github!C$36), Github!B$36)</f>
        <v>Search Insert Position</v>
      </c>
      <c r="C79" s="17">
        <f>Github!F$36</f>
        <v>7044</v>
      </c>
      <c r="D79" s="17">
        <f>Github!G$36</f>
        <v>387</v>
      </c>
      <c r="E79" s="17">
        <f>Github!F$36+Github!G$36</f>
        <v>7431</v>
      </c>
      <c r="F79" s="18">
        <f t="shared" si="1"/>
        <v>18.2</v>
      </c>
      <c r="G79" s="17" t="str">
        <f>Github!H$36</f>
        <v>Algorithms</v>
      </c>
      <c r="H79" s="19" t="str">
        <f>SUBSTITUTE(Github!L$36, ";", ", ")</f>
        <v>Array, Binary Search, </v>
      </c>
      <c r="I79" s="17" t="str">
        <f>Github!E$36</f>
        <v>Easy</v>
      </c>
      <c r="J79" s="17" t="str">
        <f>IF(TRIM(Github!D$36)="TRUE","FALSE","TRUE")</f>
        <v>TRUE</v>
      </c>
      <c r="K79" s="17" t="b">
        <f>Github!M$36</f>
        <v>1</v>
      </c>
      <c r="L79" s="17" t="b">
        <f>Github!N$36</f>
        <v>0</v>
      </c>
      <c r="M79" s="17" t="str">
        <f>ROUND(Github!O$36, 2)&amp;"%"</f>
        <v>42.41%</v>
      </c>
      <c r="N79" s="17">
        <f>Github!P$36</f>
        <v>1303235</v>
      </c>
      <c r="O79" s="17">
        <f>Github!Q$36</f>
        <v>3073245</v>
      </c>
    </row>
    <row r="80" ht="18.0" customHeight="1">
      <c r="A80" s="17">
        <f>Github!J$417</f>
        <v>416</v>
      </c>
      <c r="B80" s="27" t="str">
        <f>HYPERLINK(CONCAT("http://leetcode.com/problems/",Github!C$417), Github!B$417)</f>
        <v>Partition Equal Subset Sum</v>
      </c>
      <c r="C80" s="17">
        <f>Github!F$417</f>
        <v>7025</v>
      </c>
      <c r="D80" s="17">
        <f>Github!G$417</f>
        <v>112</v>
      </c>
      <c r="E80" s="17">
        <f>Github!F$417+Github!G$417</f>
        <v>7137</v>
      </c>
      <c r="F80" s="18">
        <f t="shared" si="1"/>
        <v>62.72</v>
      </c>
      <c r="G80" s="17" t="str">
        <f>Github!H$417</f>
        <v>Algorithms</v>
      </c>
      <c r="H80" s="19" t="str">
        <f>SUBSTITUTE(Github!L$417, ";", ", ")</f>
        <v>Array, Dynamic Programming, </v>
      </c>
      <c r="I80" s="17" t="str">
        <f>Github!E$417</f>
        <v>Medium</v>
      </c>
      <c r="J80" s="17" t="str">
        <f>IF(TRIM(Github!D$417)="TRUE","FALSE","TRUE")</f>
        <v>TRUE</v>
      </c>
      <c r="K80" s="17" t="b">
        <f>Github!M$417</f>
        <v>1</v>
      </c>
      <c r="L80" s="17" t="b">
        <f>Github!N$417</f>
        <v>1</v>
      </c>
      <c r="M80" s="17" t="str">
        <f>ROUND(Github!O$417, 2)&amp;"%"</f>
        <v>46.3%</v>
      </c>
      <c r="N80" s="17">
        <f>Github!P$417</f>
        <v>414211</v>
      </c>
      <c r="O80" s="17">
        <f>Github!Q$417</f>
        <v>894556</v>
      </c>
    </row>
    <row r="81" ht="18.0" customHeight="1">
      <c r="A81" s="17">
        <f>Github!J$123</f>
        <v>122</v>
      </c>
      <c r="B81" s="27" t="str">
        <f>HYPERLINK(CONCAT("http://leetcode.com/problems/",Github!C$123), Github!B$123)</f>
        <v>Best Time to Buy and Sell Stock II</v>
      </c>
      <c r="C81" s="17">
        <f>Github!F$123</f>
        <v>6996</v>
      </c>
      <c r="D81" s="17">
        <f>Github!G$123</f>
        <v>2337</v>
      </c>
      <c r="E81" s="17">
        <f>Github!F$123+Github!G$123</f>
        <v>9333</v>
      </c>
      <c r="F81" s="18">
        <f t="shared" si="1"/>
        <v>2.99</v>
      </c>
      <c r="G81" s="17" t="str">
        <f>Github!H$123</f>
        <v>Algorithms</v>
      </c>
      <c r="H81" s="19" t="str">
        <f>SUBSTITUTE(Github!L$123, ";", ", ")</f>
        <v>Array, Dynamic Programming, Greedy, </v>
      </c>
      <c r="I81" s="17" t="str">
        <f>Github!E$123</f>
        <v>Medium</v>
      </c>
      <c r="J81" s="17" t="str">
        <f>IF(TRIM(Github!D$123)="TRUE","FALSE","TRUE")</f>
        <v>TRUE</v>
      </c>
      <c r="K81" s="17" t="b">
        <f>Github!M$123</f>
        <v>1</v>
      </c>
      <c r="L81" s="17" t="b">
        <f>Github!N$123</f>
        <v>1</v>
      </c>
      <c r="M81" s="17" t="str">
        <f>ROUND(Github!O$123, 2)&amp;"%"</f>
        <v>61.64%</v>
      </c>
      <c r="N81" s="17">
        <f>Github!P$123</f>
        <v>1094840</v>
      </c>
      <c r="O81" s="17">
        <f>Github!Q$123</f>
        <v>1776123</v>
      </c>
    </row>
    <row r="82" ht="18.0" customHeight="1">
      <c r="A82" s="17">
        <f>Github!J$65</f>
        <v>64</v>
      </c>
      <c r="B82" s="27" t="str">
        <f>HYPERLINK(CONCAT("http://leetcode.com/problems/",Github!C$65), Github!B$65)</f>
        <v>Minimum Path Sum</v>
      </c>
      <c r="C82" s="17">
        <f>Github!F$65</f>
        <v>6875</v>
      </c>
      <c r="D82" s="17">
        <f>Github!G$65</f>
        <v>94</v>
      </c>
      <c r="E82" s="17">
        <f>Github!F$65+Github!G$65</f>
        <v>6969</v>
      </c>
      <c r="F82" s="18">
        <f t="shared" si="1"/>
        <v>73.14</v>
      </c>
      <c r="G82" s="17" t="str">
        <f>Github!H$65</f>
        <v>Algorithms</v>
      </c>
      <c r="H82" s="19" t="str">
        <f>SUBSTITUTE(Github!L$65, ";", ", ")</f>
        <v>Array, Dynamic Programming, Matrix, </v>
      </c>
      <c r="I82" s="17" t="str">
        <f>Github!E$65</f>
        <v>Medium</v>
      </c>
      <c r="J82" s="17" t="str">
        <f>IF(TRIM(Github!D$65)="TRUE","FALSE","TRUE")</f>
        <v>TRUE</v>
      </c>
      <c r="K82" s="17" t="b">
        <f>Github!M$65</f>
        <v>1</v>
      </c>
      <c r="L82" s="17" t="b">
        <f>Github!N$65</f>
        <v>0</v>
      </c>
      <c r="M82" s="17" t="str">
        <f>ROUND(Github!O$65, 2)&amp;"%"</f>
        <v>59.04%</v>
      </c>
      <c r="N82" s="17">
        <f>Github!P$65</f>
        <v>676468</v>
      </c>
      <c r="O82" s="17">
        <f>Github!Q$65</f>
        <v>1145739</v>
      </c>
    </row>
    <row r="83" ht="18.0" customHeight="1">
      <c r="A83" s="17">
        <f>Github!J$241</f>
        <v>240</v>
      </c>
      <c r="B83" s="27" t="str">
        <f>HYPERLINK(CONCAT("http://leetcode.com/problems/",Github!C$241), Github!B$241)</f>
        <v>Search a 2D Matrix II</v>
      </c>
      <c r="C83" s="17">
        <f>Github!F$241</f>
        <v>6848</v>
      </c>
      <c r="D83" s="17">
        <f>Github!G$241</f>
        <v>119</v>
      </c>
      <c r="E83" s="17">
        <f>Github!F$241+Github!G$241</f>
        <v>6967</v>
      </c>
      <c r="F83" s="18">
        <f t="shared" si="1"/>
        <v>57.55</v>
      </c>
      <c r="G83" s="17" t="str">
        <f>Github!H$241</f>
        <v>Algorithms</v>
      </c>
      <c r="H83" s="19" t="str">
        <f>SUBSTITUTE(Github!L$241, ";", ", ")</f>
        <v>Array, Binary Search, Divide and Conquer, Matrix, </v>
      </c>
      <c r="I83" s="17" t="str">
        <f>Github!E$241</f>
        <v>Medium</v>
      </c>
      <c r="J83" s="17" t="str">
        <f>IF(TRIM(Github!D$241)="TRUE","FALSE","TRUE")</f>
        <v>TRUE</v>
      </c>
      <c r="K83" s="17" t="b">
        <f>Github!M$241</f>
        <v>1</v>
      </c>
      <c r="L83" s="17" t="b">
        <f>Github!N$241</f>
        <v>0</v>
      </c>
      <c r="M83" s="17" t="str">
        <f>ROUND(Github!O$241, 2)&amp;"%"</f>
        <v>47.97%</v>
      </c>
      <c r="N83" s="17">
        <f>Github!P$241</f>
        <v>569555</v>
      </c>
      <c r="O83" s="17">
        <f>Github!Q$241</f>
        <v>1187227</v>
      </c>
    </row>
    <row r="84" ht="18.0" customHeight="1">
      <c r="A84" s="17">
        <f>Github!J$222</f>
        <v>221</v>
      </c>
      <c r="B84" s="27" t="str">
        <f>HYPERLINK(CONCAT("http://leetcode.com/problems/",Github!C$222), Github!B$222)</f>
        <v>Maximal Square</v>
      </c>
      <c r="C84" s="17">
        <f>Github!F$222</f>
        <v>6838</v>
      </c>
      <c r="D84" s="17">
        <f>Github!G$222</f>
        <v>144</v>
      </c>
      <c r="E84" s="17">
        <f>Github!F$222+Github!G$222</f>
        <v>6982</v>
      </c>
      <c r="F84" s="18">
        <f t="shared" si="1"/>
        <v>47.49</v>
      </c>
      <c r="G84" s="17" t="str">
        <f>Github!H$222</f>
        <v>Algorithms</v>
      </c>
      <c r="H84" s="19" t="str">
        <f>SUBSTITUTE(Github!L$222, ";", ", ")</f>
        <v>Array, Dynamic Programming, Matrix, </v>
      </c>
      <c r="I84" s="17" t="str">
        <f>Github!E$222</f>
        <v>Medium</v>
      </c>
      <c r="J84" s="17" t="str">
        <f>IF(TRIM(Github!D$222)="TRUE","FALSE","TRUE")</f>
        <v>TRUE</v>
      </c>
      <c r="K84" s="17" t="b">
        <f>Github!M$222</f>
        <v>1</v>
      </c>
      <c r="L84" s="17" t="b">
        <f>Github!N$222</f>
        <v>0</v>
      </c>
      <c r="M84" s="17" t="str">
        <f>ROUND(Github!O$222, 2)&amp;"%"</f>
        <v>43.15%</v>
      </c>
      <c r="N84" s="17">
        <f>Github!P$222</f>
        <v>473712</v>
      </c>
      <c r="O84" s="17">
        <f>Github!Q$222</f>
        <v>1097817</v>
      </c>
    </row>
    <row r="85" ht="18.0" customHeight="1">
      <c r="A85" s="17">
        <f>Github!J$97</f>
        <v>96</v>
      </c>
      <c r="B85" s="27" t="str">
        <f>HYPERLINK(CONCAT("http://leetcode.com/problems/",Github!C$97), Github!B$97)</f>
        <v>Unique Binary Search Trees</v>
      </c>
      <c r="C85" s="17">
        <f>Github!F$97</f>
        <v>6836</v>
      </c>
      <c r="D85" s="17">
        <f>Github!G$97</f>
        <v>270</v>
      </c>
      <c r="E85" s="17">
        <f>Github!F$97+Github!G$97</f>
        <v>7106</v>
      </c>
      <c r="F85" s="18">
        <f t="shared" si="1"/>
        <v>25.32</v>
      </c>
      <c r="G85" s="17" t="str">
        <f>Github!H$97</f>
        <v>Algorithms</v>
      </c>
      <c r="H85" s="19" t="str">
        <f>SUBSTITUTE(Github!L$97, ";", ", ")</f>
        <v>Math, Dynamic Programming, Tree, Binary Search Tree, Binary Tree, </v>
      </c>
      <c r="I85" s="17" t="str">
        <f>Github!E$97</f>
        <v>Medium</v>
      </c>
      <c r="J85" s="17" t="str">
        <f>IF(TRIM(Github!D$97)="TRUE","FALSE","TRUE")</f>
        <v>TRUE</v>
      </c>
      <c r="K85" s="17" t="b">
        <f>Github!M$97</f>
        <v>1</v>
      </c>
      <c r="L85" s="17" t="b">
        <f>Github!N$97</f>
        <v>0</v>
      </c>
      <c r="M85" s="17" t="str">
        <f>ROUND(Github!O$97, 2)&amp;"%"</f>
        <v>58.01%</v>
      </c>
      <c r="N85" s="17">
        <f>Github!P$97</f>
        <v>464873</v>
      </c>
      <c r="O85" s="17">
        <f>Github!Q$97</f>
        <v>801416</v>
      </c>
    </row>
    <row r="86" ht="18.0" customHeight="1">
      <c r="A86" s="17">
        <f>Github!J$143</f>
        <v>142</v>
      </c>
      <c r="B86" s="27" t="str">
        <f>HYPERLINK(CONCAT("http://leetcode.com/problems/",Github!C$143), Github!B$143)</f>
        <v>Linked List Cycle II</v>
      </c>
      <c r="C86" s="17">
        <f>Github!F$143</f>
        <v>6814</v>
      </c>
      <c r="D86" s="17">
        <f>Github!G$143</f>
        <v>451</v>
      </c>
      <c r="E86" s="17">
        <f>Github!F$143+Github!G$143</f>
        <v>7265</v>
      </c>
      <c r="F86" s="18">
        <f t="shared" si="1"/>
        <v>15.11</v>
      </c>
      <c r="G86" s="17" t="str">
        <f>Github!H$143</f>
        <v>Algorithms</v>
      </c>
      <c r="H86" s="19" t="str">
        <f>SUBSTITUTE(Github!L$143, ";", ", ")</f>
        <v>Hash Table, Linked List, Two Pointers, </v>
      </c>
      <c r="I86" s="17" t="str">
        <f>Github!E$143</f>
        <v>Medium</v>
      </c>
      <c r="J86" s="17" t="str">
        <f>IF(TRIM(Github!D$143)="TRUE","FALSE","TRUE")</f>
        <v>TRUE</v>
      </c>
      <c r="K86" s="17" t="b">
        <f>Github!M$143</f>
        <v>1</v>
      </c>
      <c r="L86" s="17" t="b">
        <f>Github!N$143</f>
        <v>0</v>
      </c>
      <c r="M86" s="17" t="str">
        <f>ROUND(Github!O$143, 2)&amp;"%"</f>
        <v>43.88%</v>
      </c>
      <c r="N86" s="17">
        <f>Github!P$143</f>
        <v>636032</v>
      </c>
      <c r="O86" s="17">
        <f>Github!Q$143</f>
        <v>1449366</v>
      </c>
    </row>
    <row r="87" ht="18.0" customHeight="1">
      <c r="A87" s="17">
        <f>Github!J$149</f>
        <v>148</v>
      </c>
      <c r="B87" s="27" t="str">
        <f>HYPERLINK(CONCAT("http://leetcode.com/problems/",Github!C$149), Github!B$149)</f>
        <v>Sort List</v>
      </c>
      <c r="C87" s="17">
        <f>Github!F$149</f>
        <v>6813</v>
      </c>
      <c r="D87" s="17">
        <f>Github!G$149</f>
        <v>225</v>
      </c>
      <c r="E87" s="17">
        <f>Github!F$149+Github!G$149</f>
        <v>7038</v>
      </c>
      <c r="F87" s="18">
        <f t="shared" si="1"/>
        <v>30.28</v>
      </c>
      <c r="G87" s="17" t="str">
        <f>Github!H$149</f>
        <v>Algorithms</v>
      </c>
      <c r="H87" s="19" t="str">
        <f>SUBSTITUTE(Github!L$149, ";", ", ")</f>
        <v>Linked List, Two Pointers, Divide and Conquer, Sorting, Merge Sort, </v>
      </c>
      <c r="I87" s="17" t="str">
        <f>Github!E$149</f>
        <v>Medium</v>
      </c>
      <c r="J87" s="17" t="str">
        <f>IF(TRIM(Github!D$149)="TRUE","FALSE","TRUE")</f>
        <v>TRUE</v>
      </c>
      <c r="K87" s="17" t="b">
        <f>Github!M$149</f>
        <v>1</v>
      </c>
      <c r="L87" s="17" t="b">
        <f>Github!N$149</f>
        <v>0</v>
      </c>
      <c r="M87" s="17" t="str">
        <f>ROUND(Github!O$149, 2)&amp;"%"</f>
        <v>51.63%</v>
      </c>
      <c r="N87" s="17">
        <f>Github!P$149</f>
        <v>472707</v>
      </c>
      <c r="O87" s="17">
        <f>Github!Q$149</f>
        <v>915591</v>
      </c>
    </row>
    <row r="88" ht="18.0" customHeight="1">
      <c r="A88" s="17">
        <f>Github!J$8</f>
        <v>7</v>
      </c>
      <c r="B88" s="27" t="str">
        <f>HYPERLINK(CONCAT("http://leetcode.com/problems/",Github!C$8), Github!B$8)</f>
        <v>Reverse Integer</v>
      </c>
      <c r="C88" s="17">
        <f>Github!F$8</f>
        <v>6735</v>
      </c>
      <c r="D88" s="17">
        <f>Github!G$8</f>
        <v>9419</v>
      </c>
      <c r="E88" s="17">
        <f>Github!F$8+Github!G$8</f>
        <v>16154</v>
      </c>
      <c r="F88" s="18">
        <f t="shared" si="1"/>
        <v>0.72</v>
      </c>
      <c r="G88" s="17" t="str">
        <f>Github!H$8</f>
        <v>Algorithms</v>
      </c>
      <c r="H88" s="19" t="str">
        <f>SUBSTITUTE(Github!L$8, ";", ", ")</f>
        <v>Math, </v>
      </c>
      <c r="I88" s="17" t="str">
        <f>Github!E$8</f>
        <v>Medium</v>
      </c>
      <c r="J88" s="17" t="str">
        <f>IF(TRIM(Github!D$8)="TRUE","FALSE","TRUE")</f>
        <v>TRUE</v>
      </c>
      <c r="K88" s="17" t="b">
        <f>Github!M$8</f>
        <v>1</v>
      </c>
      <c r="L88" s="17" t="b">
        <f>Github!N$8</f>
        <v>0</v>
      </c>
      <c r="M88" s="17" t="str">
        <f>ROUND(Github!O$8, 2)&amp;"%"</f>
        <v>26.57%</v>
      </c>
      <c r="N88" s="17">
        <f>Github!P$8</f>
        <v>1979268</v>
      </c>
      <c r="O88" s="17">
        <f>Github!Q$8</f>
        <v>7450483</v>
      </c>
    </row>
    <row r="89" ht="18.0" customHeight="1">
      <c r="A89" s="17">
        <f>Github!J$115</f>
        <v>114</v>
      </c>
      <c r="B89" s="27" t="str">
        <f>HYPERLINK(CONCAT("http://leetcode.com/problems/",Github!C$115), Github!B$115)</f>
        <v>Flatten Binary Tree to Linked List</v>
      </c>
      <c r="C89" s="17">
        <f>Github!F$115</f>
        <v>6654</v>
      </c>
      <c r="D89" s="17">
        <f>Github!G$115</f>
        <v>455</v>
      </c>
      <c r="E89" s="17">
        <f>Github!F$115+Github!G$115</f>
        <v>7109</v>
      </c>
      <c r="F89" s="18">
        <f t="shared" si="1"/>
        <v>14.62</v>
      </c>
      <c r="G89" s="17" t="str">
        <f>Github!H$115</f>
        <v>Algorithms</v>
      </c>
      <c r="H89" s="19" t="str">
        <f>SUBSTITUTE(Github!L$115, ";", ", ")</f>
        <v>Linked List, Stack, Tree, Depth-First Search, Binary Tree, </v>
      </c>
      <c r="I89" s="17" t="str">
        <f>Github!E$115</f>
        <v>Medium</v>
      </c>
      <c r="J89" s="17" t="str">
        <f>IF(TRIM(Github!D$115)="TRUE","FALSE","TRUE")</f>
        <v>TRUE</v>
      </c>
      <c r="K89" s="17" t="b">
        <f>Github!M$115</f>
        <v>1</v>
      </c>
      <c r="L89" s="17" t="b">
        <f>Github!N$115</f>
        <v>0</v>
      </c>
      <c r="M89" s="17" t="str">
        <f>ROUND(Github!O$115, 2)&amp;"%"</f>
        <v>57.26%</v>
      </c>
      <c r="N89" s="17">
        <f>Github!P$115</f>
        <v>576979</v>
      </c>
      <c r="O89" s="17">
        <f>Github!Q$115</f>
        <v>1007649</v>
      </c>
    </row>
    <row r="90" ht="18.0" customHeight="1">
      <c r="A90" s="17">
        <f>Github!J$209</f>
        <v>208</v>
      </c>
      <c r="B90" s="27" t="str">
        <f>HYPERLINK(CONCAT("http://leetcode.com/problems/",Github!C$209), Github!B$209)</f>
        <v>Implement Trie (Prefix Tree)</v>
      </c>
      <c r="C90" s="17">
        <f>Github!F$209</f>
        <v>6621</v>
      </c>
      <c r="D90" s="17">
        <f>Github!G$209</f>
        <v>87</v>
      </c>
      <c r="E90" s="17">
        <f>Github!F$209+Github!G$209</f>
        <v>6708</v>
      </c>
      <c r="F90" s="18">
        <f t="shared" si="1"/>
        <v>76.1</v>
      </c>
      <c r="G90" s="17" t="str">
        <f>Github!H$209</f>
        <v>Algorithms</v>
      </c>
      <c r="H90" s="19" t="str">
        <f>SUBSTITUTE(Github!L$209, ";", ", ")</f>
        <v>Hash Table, String, Design, Trie, </v>
      </c>
      <c r="I90" s="17" t="str">
        <f>Github!E$209</f>
        <v>Medium</v>
      </c>
      <c r="J90" s="17" t="str">
        <f>IF(TRIM(Github!D$209)="TRUE","FALSE","TRUE")</f>
        <v>TRUE</v>
      </c>
      <c r="K90" s="17" t="b">
        <f>Github!M$209</f>
        <v>1</v>
      </c>
      <c r="L90" s="17" t="b">
        <f>Github!N$209</f>
        <v>0</v>
      </c>
      <c r="M90" s="17" t="str">
        <f>ROUND(Github!O$209, 2)&amp;"%"</f>
        <v>57.48%</v>
      </c>
      <c r="N90" s="17">
        <f>Github!P$209</f>
        <v>549425</v>
      </c>
      <c r="O90" s="17">
        <f>Github!Q$209</f>
        <v>955793</v>
      </c>
    </row>
    <row r="91" ht="18.0" customHeight="1">
      <c r="A91" s="17">
        <f>Github!J$740</f>
        <v>739</v>
      </c>
      <c r="B91" s="27" t="str">
        <f>HYPERLINK(CONCAT("http://leetcode.com/problems/",Github!C$740), Github!B$740)</f>
        <v>Daily Temperatures</v>
      </c>
      <c r="C91" s="17">
        <f>Github!F$740</f>
        <v>6550</v>
      </c>
      <c r="D91" s="17">
        <f>Github!G$740</f>
        <v>152</v>
      </c>
      <c r="E91" s="17">
        <f>Github!F$740+Github!G$740</f>
        <v>6702</v>
      </c>
      <c r="F91" s="18">
        <f t="shared" si="1"/>
        <v>43.09</v>
      </c>
      <c r="G91" s="17" t="str">
        <f>Github!H$740</f>
        <v>Algorithms</v>
      </c>
      <c r="H91" s="19" t="str">
        <f>SUBSTITUTE(Github!L$740, ";", ", ")</f>
        <v>Array, Stack, Monotonic Stack, </v>
      </c>
      <c r="I91" s="17" t="str">
        <f>Github!E$740</f>
        <v>Medium</v>
      </c>
      <c r="J91" s="17" t="str">
        <f>IF(TRIM(Github!D$740)="TRUE","FALSE","TRUE")</f>
        <v>TRUE</v>
      </c>
      <c r="K91" s="17" t="b">
        <f>Github!M$740</f>
        <v>1</v>
      </c>
      <c r="L91" s="17" t="b">
        <f>Github!N$740</f>
        <v>0</v>
      </c>
      <c r="M91" s="17" t="str">
        <f>ROUND(Github!O$740, 2)&amp;"%"</f>
        <v>66.9%</v>
      </c>
      <c r="N91" s="17">
        <f>Github!P$740</f>
        <v>360815</v>
      </c>
      <c r="O91" s="17">
        <f>Github!Q$740</f>
        <v>539351</v>
      </c>
    </row>
    <row r="92" ht="18.0" customHeight="1">
      <c r="A92" s="17">
        <f>Github!J$339</f>
        <v>338</v>
      </c>
      <c r="B92" s="27" t="str">
        <f>HYPERLINK(CONCAT("http://leetcode.com/problems/",Github!C$339), Github!B$339)</f>
        <v>Counting Bits</v>
      </c>
      <c r="C92" s="17">
        <f>Github!F$339</f>
        <v>6551</v>
      </c>
      <c r="D92" s="17">
        <f>Github!G$339</f>
        <v>308</v>
      </c>
      <c r="E92" s="17">
        <f>Github!F$339+Github!G$339</f>
        <v>6859</v>
      </c>
      <c r="F92" s="18">
        <f t="shared" si="1"/>
        <v>21.27</v>
      </c>
      <c r="G92" s="17" t="str">
        <f>Github!H$339</f>
        <v>Algorithms</v>
      </c>
      <c r="H92" s="19" t="str">
        <f>SUBSTITUTE(Github!L$339, ";", ", ")</f>
        <v>Dynamic Programming, Bit Manipulation, </v>
      </c>
      <c r="I92" s="17" t="str">
        <f>Github!E$339</f>
        <v>Easy</v>
      </c>
      <c r="J92" s="17" t="str">
        <f>IF(TRIM(Github!D$339)="TRUE","FALSE","TRUE")</f>
        <v>TRUE</v>
      </c>
      <c r="K92" s="17" t="b">
        <f>Github!M$339</f>
        <v>1</v>
      </c>
      <c r="L92" s="17" t="b">
        <f>Github!N$339</f>
        <v>0</v>
      </c>
      <c r="M92" s="17" t="str">
        <f>ROUND(Github!O$339, 2)&amp;"%"</f>
        <v>73.99%</v>
      </c>
      <c r="N92" s="17">
        <f>Github!P$339</f>
        <v>541978</v>
      </c>
      <c r="O92" s="17">
        <f>Github!Q$339</f>
        <v>732468</v>
      </c>
    </row>
    <row r="93" ht="18.0" customHeight="1">
      <c r="A93" s="17">
        <f>Github!J$26</f>
        <v>25</v>
      </c>
      <c r="B93" s="27" t="str">
        <f>HYPERLINK(CONCAT("http://leetcode.com/problems/",Github!C$26), Github!B$26)</f>
        <v>Reverse Nodes in k-Group</v>
      </c>
      <c r="C93" s="17">
        <f>Github!F$26</f>
        <v>6536</v>
      </c>
      <c r="D93" s="17">
        <f>Github!G$26</f>
        <v>475</v>
      </c>
      <c r="E93" s="17">
        <f>Github!F$26+Github!G$26</f>
        <v>7011</v>
      </c>
      <c r="F93" s="18">
        <f t="shared" si="1"/>
        <v>13.76</v>
      </c>
      <c r="G93" s="17" t="str">
        <f>Github!H$26</f>
        <v>Algorithms</v>
      </c>
      <c r="H93" s="19" t="str">
        <f>SUBSTITUTE(Github!L$26, ";", ", ")</f>
        <v>Linked List, Recursion, </v>
      </c>
      <c r="I93" s="17" t="str">
        <f>Github!E$26</f>
        <v>Hard</v>
      </c>
      <c r="J93" s="17" t="str">
        <f>IF(TRIM(Github!D$26)="TRUE","FALSE","TRUE")</f>
        <v>TRUE</v>
      </c>
      <c r="K93" s="17" t="b">
        <f>Github!M$26</f>
        <v>1</v>
      </c>
      <c r="L93" s="17" t="b">
        <f>Github!N$26</f>
        <v>0</v>
      </c>
      <c r="M93" s="17" t="str">
        <f>ROUND(Github!O$26, 2)&amp;"%"</f>
        <v>50.46%</v>
      </c>
      <c r="N93" s="17">
        <f>Github!P$26</f>
        <v>484173</v>
      </c>
      <c r="O93" s="17">
        <f>Github!Q$26</f>
        <v>959610</v>
      </c>
    </row>
    <row r="94" ht="18.0" customHeight="1">
      <c r="A94" s="17">
        <f>Github!J$25</f>
        <v>24</v>
      </c>
      <c r="B94" s="27" t="str">
        <f>HYPERLINK(CONCAT("http://leetcode.com/problems/",Github!C$25), Github!B$25)</f>
        <v>Swap Nodes in Pairs</v>
      </c>
      <c r="C94" s="17">
        <f>Github!F$25</f>
        <v>6506</v>
      </c>
      <c r="D94" s="17">
        <f>Github!G$25</f>
        <v>283</v>
      </c>
      <c r="E94" s="17">
        <f>Github!F$25+Github!G$25</f>
        <v>6789</v>
      </c>
      <c r="F94" s="18">
        <f t="shared" si="1"/>
        <v>22.99</v>
      </c>
      <c r="G94" s="17" t="str">
        <f>Github!H$25</f>
        <v>Algorithms</v>
      </c>
      <c r="H94" s="19" t="str">
        <f>SUBSTITUTE(Github!L$25, ";", ", ")</f>
        <v>Linked List, Recursion, </v>
      </c>
      <c r="I94" s="17" t="str">
        <f>Github!E$25</f>
        <v>Medium</v>
      </c>
      <c r="J94" s="17" t="str">
        <f>IF(TRIM(Github!D$25)="TRUE","FALSE","TRUE")</f>
        <v>TRUE</v>
      </c>
      <c r="K94" s="17" t="b">
        <f>Github!M$25</f>
        <v>1</v>
      </c>
      <c r="L94" s="17" t="b">
        <f>Github!N$25</f>
        <v>0</v>
      </c>
      <c r="M94" s="17" t="str">
        <f>ROUND(Github!O$25, 2)&amp;"%"</f>
        <v>58.26%</v>
      </c>
      <c r="N94" s="17">
        <f>Github!P$25</f>
        <v>827925</v>
      </c>
      <c r="O94" s="17">
        <f>Github!Q$25</f>
        <v>1421094</v>
      </c>
    </row>
    <row r="95" ht="18.0" customHeight="1">
      <c r="A95" s="17">
        <f>Github!J$55</f>
        <v>54</v>
      </c>
      <c r="B95" s="27" t="str">
        <f>HYPERLINK(CONCAT("http://leetcode.com/problems/",Github!C$55), Github!B$55)</f>
        <v>Spiral Matrix</v>
      </c>
      <c r="C95" s="17">
        <f>Github!F$55</f>
        <v>6492</v>
      </c>
      <c r="D95" s="17">
        <f>Github!G$55</f>
        <v>799</v>
      </c>
      <c r="E95" s="17">
        <f>Github!F$55+Github!G$55</f>
        <v>7291</v>
      </c>
      <c r="F95" s="18">
        <f t="shared" si="1"/>
        <v>8.13</v>
      </c>
      <c r="G95" s="17" t="str">
        <f>Github!H$55</f>
        <v>Algorithms</v>
      </c>
      <c r="H95" s="19" t="str">
        <f>SUBSTITUTE(Github!L$55, ";", ", ")</f>
        <v>Array, Matrix, Simulation, </v>
      </c>
      <c r="I95" s="17" t="str">
        <f>Github!E$55</f>
        <v>Medium</v>
      </c>
      <c r="J95" s="17" t="str">
        <f>IF(TRIM(Github!D$55)="TRUE","FALSE","TRUE")</f>
        <v>TRUE</v>
      </c>
      <c r="K95" s="17" t="b">
        <f>Github!M$55</f>
        <v>1</v>
      </c>
      <c r="L95" s="17" t="b">
        <f>Github!N$55</f>
        <v>0</v>
      </c>
      <c r="M95" s="17" t="str">
        <f>ROUND(Github!O$55, 2)&amp;"%"</f>
        <v>40.78%</v>
      </c>
      <c r="N95" s="17">
        <f>Github!P$55</f>
        <v>685991</v>
      </c>
      <c r="O95" s="17">
        <f>Github!Q$55</f>
        <v>1682099</v>
      </c>
    </row>
    <row r="96" ht="18.0" customHeight="1">
      <c r="A96" s="17">
        <f>Github!J$92</f>
        <v>91</v>
      </c>
      <c r="B96" s="27" t="str">
        <f>HYPERLINK(CONCAT("http://leetcode.com/problems/",Github!C$92), Github!B$92)</f>
        <v>Decode Ways</v>
      </c>
      <c r="C96" s="17">
        <f>Github!F$92</f>
        <v>6485</v>
      </c>
      <c r="D96" s="17">
        <f>Github!G$92</f>
        <v>3750</v>
      </c>
      <c r="E96" s="17">
        <f>Github!F$92+Github!G$92</f>
        <v>10235</v>
      </c>
      <c r="F96" s="18">
        <f t="shared" si="1"/>
        <v>1.73</v>
      </c>
      <c r="G96" s="17" t="str">
        <f>Github!H$92</f>
        <v>Algorithms</v>
      </c>
      <c r="H96" s="19" t="str">
        <f>SUBSTITUTE(Github!L$92, ";", ", ")</f>
        <v>String, Dynamic Programming, </v>
      </c>
      <c r="I96" s="17" t="str">
        <f>Github!E$92</f>
        <v>Medium</v>
      </c>
      <c r="J96" s="17" t="str">
        <f>IF(TRIM(Github!D$92)="TRUE","FALSE","TRUE")</f>
        <v>TRUE</v>
      </c>
      <c r="K96" s="17" t="b">
        <f>Github!M$92</f>
        <v>1</v>
      </c>
      <c r="L96" s="17" t="b">
        <f>Github!N$92</f>
        <v>1</v>
      </c>
      <c r="M96" s="17" t="str">
        <f>ROUND(Github!O$92, 2)&amp;"%"</f>
        <v>29.89%</v>
      </c>
      <c r="N96" s="17">
        <f>Github!P$92</f>
        <v>744070</v>
      </c>
      <c r="O96" s="17">
        <f>Github!Q$92</f>
        <v>2489685</v>
      </c>
    </row>
    <row r="97" ht="18.0" customHeight="1">
      <c r="A97" s="17">
        <f>Github!J$764</f>
        <v>763</v>
      </c>
      <c r="B97" s="27" t="str">
        <f>HYPERLINK(CONCAT("http://leetcode.com/problems/",Github!C$764), Github!B$764)</f>
        <v>Partition Labels</v>
      </c>
      <c r="C97" s="17">
        <f>Github!F$764</f>
        <v>6483</v>
      </c>
      <c r="D97" s="17">
        <f>Github!G$764</f>
        <v>254</v>
      </c>
      <c r="E97" s="17">
        <f>Github!F$764+Github!G$764</f>
        <v>6737</v>
      </c>
      <c r="F97" s="18">
        <f t="shared" si="1"/>
        <v>25.52</v>
      </c>
      <c r="G97" s="17" t="str">
        <f>Github!H$764</f>
        <v>Algorithms</v>
      </c>
      <c r="H97" s="19" t="str">
        <f>SUBSTITUTE(Github!L$764, ";", ", ")</f>
        <v>Hash Table, Two Pointers, String, Greedy, </v>
      </c>
      <c r="I97" s="17" t="str">
        <f>Github!E$764</f>
        <v>Medium</v>
      </c>
      <c r="J97" s="17" t="str">
        <f>IF(TRIM(Github!D$764)="TRUE","FALSE","TRUE")</f>
        <v>TRUE</v>
      </c>
      <c r="K97" s="17" t="b">
        <f>Github!M$764</f>
        <v>1</v>
      </c>
      <c r="L97" s="17" t="b">
        <f>Github!N$764</f>
        <v>0</v>
      </c>
      <c r="M97" s="17" t="str">
        <f>ROUND(Github!O$764, 2)&amp;"%"</f>
        <v>78.7%</v>
      </c>
      <c r="N97" s="17">
        <f>Github!P$764</f>
        <v>333145</v>
      </c>
      <c r="O97" s="17">
        <f>Github!Q$764</f>
        <v>423314</v>
      </c>
    </row>
    <row r="98" ht="18.0" customHeight="1">
      <c r="A98" s="17">
        <f>Github!J$105</f>
        <v>104</v>
      </c>
      <c r="B98" s="27" t="str">
        <f>HYPERLINK(CONCAT("http://leetcode.com/problems/",Github!C$105), Github!B$105)</f>
        <v>Maximum Depth of Binary Tree</v>
      </c>
      <c r="C98" s="17">
        <f>Github!F$105</f>
        <v>6484</v>
      </c>
      <c r="D98" s="17">
        <f>Github!G$105</f>
        <v>123</v>
      </c>
      <c r="E98" s="17">
        <f>Github!F$105+Github!G$105</f>
        <v>6607</v>
      </c>
      <c r="F98" s="18">
        <f t="shared" si="1"/>
        <v>52.72</v>
      </c>
      <c r="G98" s="17" t="str">
        <f>Github!H$105</f>
        <v>Algorithms</v>
      </c>
      <c r="H98" s="19" t="str">
        <f>SUBSTITUTE(Github!L$105, ";", ", ")</f>
        <v>Tree, Depth-First Search, Breadth-First Search, Binary Tree, </v>
      </c>
      <c r="I98" s="17" t="str">
        <f>Github!E$105</f>
        <v>Easy</v>
      </c>
      <c r="J98" s="17" t="str">
        <f>IF(TRIM(Github!D$105)="TRUE","FALSE","TRUE")</f>
        <v>TRUE</v>
      </c>
      <c r="K98" s="17" t="b">
        <f>Github!M$105</f>
        <v>1</v>
      </c>
      <c r="L98" s="17" t="b">
        <f>Github!N$105</f>
        <v>0</v>
      </c>
      <c r="M98" s="17" t="str">
        <f>ROUND(Github!O$105, 2)&amp;"%"</f>
        <v>71.52%</v>
      </c>
      <c r="N98" s="17">
        <f>Github!P$105</f>
        <v>1564817</v>
      </c>
      <c r="O98" s="17">
        <f>Github!Q$105</f>
        <v>2187878</v>
      </c>
    </row>
    <row r="99" ht="18.0" customHeight="1">
      <c r="A99" s="17">
        <f>Github!J$280</f>
        <v>279</v>
      </c>
      <c r="B99" s="27" t="str">
        <f>HYPERLINK(CONCAT("http://leetcode.com/problems/",Github!C$280), Github!B$280)</f>
        <v>Perfect Squares</v>
      </c>
      <c r="C99" s="17">
        <f>Github!F$280</f>
        <v>6403</v>
      </c>
      <c r="D99" s="17">
        <f>Github!G$280</f>
        <v>286</v>
      </c>
      <c r="E99" s="17">
        <f>Github!F$280+Github!G$280</f>
        <v>6689</v>
      </c>
      <c r="F99" s="18">
        <f t="shared" si="1"/>
        <v>22.39</v>
      </c>
      <c r="G99" s="17" t="str">
        <f>Github!H$280</f>
        <v>Algorithms</v>
      </c>
      <c r="H99" s="19" t="str">
        <f>SUBSTITUTE(Github!L$280, ";", ", ")</f>
        <v>Math, Dynamic Programming, Breadth-First Search, </v>
      </c>
      <c r="I99" s="17" t="str">
        <f>Github!E$280</f>
        <v>Medium</v>
      </c>
      <c r="J99" s="17" t="str">
        <f>IF(TRIM(Github!D$280)="TRUE","FALSE","TRUE")</f>
        <v>TRUE</v>
      </c>
      <c r="K99" s="17" t="b">
        <f>Github!M$280</f>
        <v>1</v>
      </c>
      <c r="L99" s="17" t="b">
        <f>Github!N$280</f>
        <v>0</v>
      </c>
      <c r="M99" s="17" t="str">
        <f>ROUND(Github!O$280, 2)&amp;"%"</f>
        <v>51.65%</v>
      </c>
      <c r="N99" s="17">
        <f>Github!P$280</f>
        <v>508501</v>
      </c>
      <c r="O99" s="17">
        <f>Github!Q$280</f>
        <v>984526</v>
      </c>
    </row>
    <row r="100" ht="18.0" customHeight="1">
      <c r="A100" s="17">
        <f>Github!J$296</f>
        <v>295</v>
      </c>
      <c r="B100" s="27" t="str">
        <f>HYPERLINK(CONCAT("http://leetcode.com/problems/",Github!C$296), Github!B$296)</f>
        <v>Find Median from Data Stream</v>
      </c>
      <c r="C100" s="17">
        <f>Github!F$296</f>
        <v>6401</v>
      </c>
      <c r="D100" s="17">
        <f>Github!G$296</f>
        <v>119</v>
      </c>
      <c r="E100" s="17">
        <f>Github!F$296+Github!G$296</f>
        <v>6520</v>
      </c>
      <c r="F100" s="18">
        <f t="shared" si="1"/>
        <v>53.79</v>
      </c>
      <c r="G100" s="17" t="str">
        <f>Github!H$296</f>
        <v>Algorithms</v>
      </c>
      <c r="H100" s="19" t="str">
        <f>SUBSTITUTE(Github!L$296, ";", ", ")</f>
        <v>Two Pointers, Design, Sorting, Heap (Priority Queue), Data Stream, </v>
      </c>
      <c r="I100" s="17" t="str">
        <f>Github!E$296</f>
        <v>Hard</v>
      </c>
      <c r="J100" s="17" t="str">
        <f>IF(TRIM(Github!D$296)="TRUE","FALSE","TRUE")</f>
        <v>TRUE</v>
      </c>
      <c r="K100" s="17" t="b">
        <f>Github!M$296</f>
        <v>1</v>
      </c>
      <c r="L100" s="17" t="b">
        <f>Github!N$296</f>
        <v>0</v>
      </c>
      <c r="M100" s="17" t="str">
        <f>ROUND(Github!O$296, 2)&amp;"%"</f>
        <v>50.08%</v>
      </c>
      <c r="N100" s="17">
        <f>Github!P$296</f>
        <v>430532</v>
      </c>
      <c r="O100" s="17">
        <f>Github!Q$296</f>
        <v>859720</v>
      </c>
    </row>
    <row r="101" ht="18.0" customHeight="1">
      <c r="A101" s="17">
        <f>Github!J$495</f>
        <v>494</v>
      </c>
      <c r="B101" s="27" t="str">
        <f>HYPERLINK(CONCAT("http://leetcode.com/problems/",Github!C$495), Github!B$495)</f>
        <v>Target Sum</v>
      </c>
      <c r="C101" s="17">
        <f>Github!F$495</f>
        <v>6366</v>
      </c>
      <c r="D101" s="17">
        <f>Github!G$495</f>
        <v>246</v>
      </c>
      <c r="E101" s="17">
        <f>Github!F$495+Github!G$495</f>
        <v>6612</v>
      </c>
      <c r="F101" s="18">
        <f t="shared" si="1"/>
        <v>25.88</v>
      </c>
      <c r="G101" s="17" t="str">
        <f>Github!H$495</f>
        <v>Algorithms</v>
      </c>
      <c r="H101" s="19" t="str">
        <f>SUBSTITUTE(Github!L$495, ";", ", ")</f>
        <v>Array, Dynamic Programming, Backtracking, </v>
      </c>
      <c r="I101" s="17" t="str">
        <f>Github!E$495</f>
        <v>Medium</v>
      </c>
      <c r="J101" s="17" t="str">
        <f>IF(TRIM(Github!D$495)="TRUE","FALSE","TRUE")</f>
        <v>TRUE</v>
      </c>
      <c r="K101" s="17" t="b">
        <f>Github!M$495</f>
        <v>1</v>
      </c>
      <c r="L101" s="17" t="b">
        <f>Github!N$495</f>
        <v>0</v>
      </c>
      <c r="M101" s="17" t="str">
        <f>ROUND(Github!O$495, 2)&amp;"%"</f>
        <v>45.33%</v>
      </c>
      <c r="N101" s="17">
        <f>Github!P$495</f>
        <v>328693</v>
      </c>
      <c r="O101" s="17">
        <f>Github!Q$495</f>
        <v>725033</v>
      </c>
    </row>
    <row r="102" ht="18.0" customHeight="1">
      <c r="A102" s="17">
        <f>Github!J$86</f>
        <v>85</v>
      </c>
      <c r="B102" s="27" t="str">
        <f>HYPERLINK(CONCAT("http://leetcode.com/problems/",Github!C$86), Github!B$86)</f>
        <v>Maximal Rectangle</v>
      </c>
      <c r="C102" s="17">
        <f>Github!F$86</f>
        <v>6281</v>
      </c>
      <c r="D102" s="17">
        <f>Github!G$86</f>
        <v>106</v>
      </c>
      <c r="E102" s="17">
        <f>Github!F$86+Github!G$86</f>
        <v>6387</v>
      </c>
      <c r="F102" s="18">
        <f t="shared" si="1"/>
        <v>59.25</v>
      </c>
      <c r="G102" s="17" t="str">
        <f>Github!H$86</f>
        <v>Algorithms</v>
      </c>
      <c r="H102" s="19" t="str">
        <f>SUBSTITUTE(Github!L$86, ";", ", ")</f>
        <v>Array, Dynamic Programming, Stack, Matrix, Monotonic Stack, </v>
      </c>
      <c r="I102" s="17" t="str">
        <f>Github!E$86</f>
        <v>Hard</v>
      </c>
      <c r="J102" s="17" t="str">
        <f>IF(TRIM(Github!D$86)="TRUE","FALSE","TRUE")</f>
        <v>TRUE</v>
      </c>
      <c r="K102" s="17" t="b">
        <f>Github!M$86</f>
        <v>1</v>
      </c>
      <c r="L102" s="17" t="b">
        <f>Github!N$86</f>
        <v>0</v>
      </c>
      <c r="M102" s="17" t="str">
        <f>ROUND(Github!O$86, 2)&amp;"%"</f>
        <v>42.46%</v>
      </c>
      <c r="N102" s="17">
        <f>Github!P$86</f>
        <v>286615</v>
      </c>
      <c r="O102" s="17">
        <f>Github!Q$86</f>
        <v>675021</v>
      </c>
    </row>
    <row r="103" ht="18.0" customHeight="1">
      <c r="A103" s="17">
        <f>Github!J$211</f>
        <v>210</v>
      </c>
      <c r="B103" s="27" t="str">
        <f>HYPERLINK(CONCAT("http://leetcode.com/problems/",Github!C$211), Github!B$211)</f>
        <v>Course Schedule II</v>
      </c>
      <c r="C103" s="17">
        <f>Github!F$211</f>
        <v>6265</v>
      </c>
      <c r="D103" s="17">
        <f>Github!G$211</f>
        <v>228</v>
      </c>
      <c r="E103" s="17">
        <f>Github!F$211+Github!G$211</f>
        <v>6493</v>
      </c>
      <c r="F103" s="18">
        <f t="shared" si="1"/>
        <v>27.48</v>
      </c>
      <c r="G103" s="17" t="str">
        <f>Github!H$211</f>
        <v>Algorithms</v>
      </c>
      <c r="H103" s="19" t="str">
        <f>SUBSTITUTE(Github!L$211, ";", ", ")</f>
        <v>Depth-First Search, Breadth-First Search, Graph, Topological Sort, </v>
      </c>
      <c r="I103" s="17" t="str">
        <f>Github!E$211</f>
        <v>Medium</v>
      </c>
      <c r="J103" s="17" t="str">
        <f>IF(TRIM(Github!D$211)="TRUE","FALSE","TRUE")</f>
        <v>TRUE</v>
      </c>
      <c r="K103" s="17" t="b">
        <f>Github!M$211</f>
        <v>1</v>
      </c>
      <c r="L103" s="17" t="b">
        <f>Github!N$211</f>
        <v>0</v>
      </c>
      <c r="M103" s="17" t="str">
        <f>ROUND(Github!O$211, 2)&amp;"%"</f>
        <v>46.19%</v>
      </c>
      <c r="N103" s="17">
        <f>Github!P$211</f>
        <v>584836</v>
      </c>
      <c r="O103" s="17">
        <f>Github!Q$211</f>
        <v>1266204</v>
      </c>
    </row>
    <row r="104" ht="18.0" customHeight="1">
      <c r="A104" s="17">
        <f>Github!J$75</f>
        <v>74</v>
      </c>
      <c r="B104" s="27" t="str">
        <f>HYPERLINK(CONCAT("http://leetcode.com/problems/",Github!C$75), Github!B$75)</f>
        <v>Search a 2D Matrix</v>
      </c>
      <c r="C104" s="17">
        <f>Github!F$75</f>
        <v>6271</v>
      </c>
      <c r="D104" s="17">
        <f>Github!G$75</f>
        <v>247</v>
      </c>
      <c r="E104" s="17">
        <f>Github!F$75+Github!G$75</f>
        <v>6518</v>
      </c>
      <c r="F104" s="18">
        <f t="shared" si="1"/>
        <v>25.39</v>
      </c>
      <c r="G104" s="17" t="str">
        <f>Github!H$75</f>
        <v>Algorithms</v>
      </c>
      <c r="H104" s="19" t="str">
        <f>SUBSTITUTE(Github!L$75, ";", ", ")</f>
        <v>Array, Binary Search, Matrix, </v>
      </c>
      <c r="I104" s="17" t="str">
        <f>Github!E$75</f>
        <v>Medium</v>
      </c>
      <c r="J104" s="17" t="str">
        <f>IF(TRIM(Github!D$75)="TRUE","FALSE","TRUE")</f>
        <v>TRUE</v>
      </c>
      <c r="K104" s="17" t="b">
        <f>Github!M$75</f>
        <v>1</v>
      </c>
      <c r="L104" s="17" t="b">
        <f>Github!N$75</f>
        <v>0</v>
      </c>
      <c r="M104" s="17" t="str">
        <f>ROUND(Github!O$75, 2)&amp;"%"</f>
        <v>42.72%</v>
      </c>
      <c r="N104" s="17">
        <f>Github!P$75</f>
        <v>675106</v>
      </c>
      <c r="O104" s="17">
        <f>Github!Q$75</f>
        <v>1580213</v>
      </c>
    </row>
    <row r="105" ht="18.0" customHeight="1">
      <c r="A105" s="17">
        <f>Github!J$74</f>
        <v>73</v>
      </c>
      <c r="B105" s="27" t="str">
        <f>HYPERLINK(CONCAT("http://leetcode.com/problems/",Github!C$74), Github!B$74)</f>
        <v>Set Matrix Zeroes</v>
      </c>
      <c r="C105" s="17">
        <f>Github!F$74</f>
        <v>6243</v>
      </c>
      <c r="D105" s="17">
        <f>Github!G$74</f>
        <v>470</v>
      </c>
      <c r="E105" s="17">
        <f>Github!F$74+Github!G$74</f>
        <v>6713</v>
      </c>
      <c r="F105" s="18">
        <f t="shared" si="1"/>
        <v>13.28</v>
      </c>
      <c r="G105" s="17" t="str">
        <f>Github!H$74</f>
        <v>Algorithms</v>
      </c>
      <c r="H105" s="19" t="str">
        <f>SUBSTITUTE(Github!L$74, ";", ", ")</f>
        <v>Array, Hash Table, Matrix, </v>
      </c>
      <c r="I105" s="17" t="str">
        <f>Github!E$74</f>
        <v>Medium</v>
      </c>
      <c r="J105" s="17" t="str">
        <f>IF(TRIM(Github!D$74)="TRUE","FALSE","TRUE")</f>
        <v>TRUE</v>
      </c>
      <c r="K105" s="17" t="b">
        <f>Github!M$74</f>
        <v>1</v>
      </c>
      <c r="L105" s="17" t="b">
        <f>Github!N$74</f>
        <v>0</v>
      </c>
      <c r="M105" s="17" t="str">
        <f>ROUND(Github!O$74, 2)&amp;"%"</f>
        <v>47.87%</v>
      </c>
      <c r="N105" s="17">
        <f>Github!P$74</f>
        <v>636660</v>
      </c>
      <c r="O105" s="17">
        <f>Github!Q$74</f>
        <v>1330059</v>
      </c>
    </row>
    <row r="106" ht="18.0" customHeight="1">
      <c r="A106" s="17">
        <f>Github!J$132</f>
        <v>131</v>
      </c>
      <c r="B106" s="27" t="str">
        <f>HYPERLINK(CONCAT("http://leetcode.com/problems/",Github!C$132), Github!B$132)</f>
        <v>Palindrome Partitioning</v>
      </c>
      <c r="C106" s="17">
        <f>Github!F$132</f>
        <v>6237</v>
      </c>
      <c r="D106" s="17">
        <f>Github!G$132</f>
        <v>193</v>
      </c>
      <c r="E106" s="17">
        <f>Github!F$132+Github!G$132</f>
        <v>6430</v>
      </c>
      <c r="F106" s="18">
        <f t="shared" si="1"/>
        <v>32.32</v>
      </c>
      <c r="G106" s="17" t="str">
        <f>Github!H$132</f>
        <v>Algorithms</v>
      </c>
      <c r="H106" s="19" t="str">
        <f>SUBSTITUTE(Github!L$132, ";", ", ")</f>
        <v>String, Dynamic Programming, Backtracking, </v>
      </c>
      <c r="I106" s="17" t="str">
        <f>Github!E$132</f>
        <v>Medium</v>
      </c>
      <c r="J106" s="17" t="str">
        <f>IF(TRIM(Github!D$132)="TRUE","FALSE","TRUE")</f>
        <v>TRUE</v>
      </c>
      <c r="K106" s="17" t="b">
        <f>Github!M$132</f>
        <v>1</v>
      </c>
      <c r="L106" s="17" t="b">
        <f>Github!N$132</f>
        <v>0</v>
      </c>
      <c r="M106" s="17" t="str">
        <f>ROUND(Github!O$132, 2)&amp;"%"</f>
        <v>58.83%</v>
      </c>
      <c r="N106" s="17">
        <f>Github!P$132</f>
        <v>430997</v>
      </c>
      <c r="O106" s="17">
        <f>Github!Q$132</f>
        <v>732613</v>
      </c>
    </row>
    <row r="107" ht="18.0" customHeight="1">
      <c r="A107" s="17">
        <f>Github!J$449</f>
        <v>448</v>
      </c>
      <c r="B107" s="27" t="str">
        <f>HYPERLINK(CONCAT("http://leetcode.com/problems/",Github!C$449), Github!B$449)</f>
        <v>Find All Numbers Disappeared in an Array</v>
      </c>
      <c r="C107" s="17">
        <f>Github!F$449</f>
        <v>6226</v>
      </c>
      <c r="D107" s="17">
        <f>Github!G$449</f>
        <v>368</v>
      </c>
      <c r="E107" s="17">
        <f>Github!F$449+Github!G$449</f>
        <v>6594</v>
      </c>
      <c r="F107" s="18">
        <f t="shared" si="1"/>
        <v>16.92</v>
      </c>
      <c r="G107" s="17" t="str">
        <f>Github!H$449</f>
        <v>Algorithms</v>
      </c>
      <c r="H107" s="19" t="str">
        <f>SUBSTITUTE(Github!L$449, ";", ", ")</f>
        <v>Array, Hash Table, </v>
      </c>
      <c r="I107" s="17" t="str">
        <f>Github!E$449</f>
        <v>Easy</v>
      </c>
      <c r="J107" s="17" t="str">
        <f>IF(TRIM(Github!D$449)="TRUE","FALSE","TRUE")</f>
        <v>TRUE</v>
      </c>
      <c r="K107" s="17" t="b">
        <f>Github!M$449</f>
        <v>1</v>
      </c>
      <c r="L107" s="17" t="b">
        <f>Github!N$449</f>
        <v>0</v>
      </c>
      <c r="M107" s="17" t="str">
        <f>ROUND(Github!O$449, 2)&amp;"%"</f>
        <v>58.87%</v>
      </c>
      <c r="N107" s="17">
        <f>Github!P$449</f>
        <v>544578</v>
      </c>
      <c r="O107" s="17">
        <f>Github!Q$449</f>
        <v>925023</v>
      </c>
    </row>
    <row r="108" ht="18.0" customHeight="1">
      <c r="A108" s="17">
        <f>Github!J$298</f>
        <v>297</v>
      </c>
      <c r="B108" s="27" t="str">
        <f>HYPERLINK(CONCAT("http://leetcode.com/problems/",Github!C$298), Github!B$298)</f>
        <v>Serialize and Deserialize Binary Tree</v>
      </c>
      <c r="C108" s="17">
        <f>Github!F$298</f>
        <v>6203</v>
      </c>
      <c r="D108" s="17">
        <f>Github!G$298</f>
        <v>241</v>
      </c>
      <c r="E108" s="17">
        <f>Github!F$298+Github!G$298</f>
        <v>6444</v>
      </c>
      <c r="F108" s="18">
        <f t="shared" si="1"/>
        <v>25.74</v>
      </c>
      <c r="G108" s="17" t="str">
        <f>Github!H$298</f>
        <v>Algorithms</v>
      </c>
      <c r="H108" s="19" t="str">
        <f>SUBSTITUTE(Github!L$298, ";", ", ")</f>
        <v>String, Tree, Depth-First Search, Breadth-First Search, Design, Binary Tree, </v>
      </c>
      <c r="I108" s="17" t="str">
        <f>Github!E$298</f>
        <v>Hard</v>
      </c>
      <c r="J108" s="17" t="str">
        <f>IF(TRIM(Github!D$298)="TRUE","FALSE","TRUE")</f>
        <v>TRUE</v>
      </c>
      <c r="K108" s="17" t="b">
        <f>Github!M$298</f>
        <v>1</v>
      </c>
      <c r="L108" s="17" t="b">
        <f>Github!N$298</f>
        <v>0</v>
      </c>
      <c r="M108" s="17" t="str">
        <f>ROUND(Github!O$298, 2)&amp;"%"</f>
        <v>53.31%</v>
      </c>
      <c r="N108" s="17">
        <f>Github!P$298</f>
        <v>576810</v>
      </c>
      <c r="O108" s="17">
        <f>Github!Q$298</f>
        <v>1082045</v>
      </c>
    </row>
    <row r="109" ht="18.0" customHeight="1">
      <c r="A109" s="17">
        <f>Github!J$618</f>
        <v>617</v>
      </c>
      <c r="B109" s="27" t="str">
        <f>HYPERLINK(CONCAT("http://leetcode.com/problems/",Github!C$618), Github!B$618)</f>
        <v>Merge Two Binary Trees</v>
      </c>
      <c r="C109" s="17">
        <f>Github!F$618</f>
        <v>6201</v>
      </c>
      <c r="D109" s="17">
        <f>Github!G$618</f>
        <v>240</v>
      </c>
      <c r="E109" s="17">
        <f>Github!F$618+Github!G$618</f>
        <v>6441</v>
      </c>
      <c r="F109" s="18">
        <f t="shared" si="1"/>
        <v>25.84</v>
      </c>
      <c r="G109" s="17" t="str">
        <f>Github!H$618</f>
        <v>Algorithms</v>
      </c>
      <c r="H109" s="19" t="str">
        <f>SUBSTITUTE(Github!L$618, ";", ", ")</f>
        <v>Tree, Depth-First Search, Breadth-First Search, Binary Tree, </v>
      </c>
      <c r="I109" s="17" t="str">
        <f>Github!E$618</f>
        <v>Easy</v>
      </c>
      <c r="J109" s="17" t="str">
        <f>IF(TRIM(Github!D$618)="TRUE","FALSE","TRUE")</f>
        <v>TRUE</v>
      </c>
      <c r="K109" s="17" t="b">
        <f>Github!M$618</f>
        <v>1</v>
      </c>
      <c r="L109" s="17" t="b">
        <f>Github!N$618</f>
        <v>0</v>
      </c>
      <c r="M109" s="17" t="str">
        <f>ROUND(Github!O$618, 2)&amp;"%"</f>
        <v>77.66%</v>
      </c>
      <c r="N109" s="17">
        <f>Github!P$618</f>
        <v>531991</v>
      </c>
      <c r="O109" s="17">
        <f>Github!Q$618</f>
        <v>685047</v>
      </c>
    </row>
    <row r="110" ht="18.0" customHeight="1">
      <c r="A110" s="17">
        <f>Github!J$154</f>
        <v>153</v>
      </c>
      <c r="B110" s="27" t="str">
        <f>HYPERLINK(CONCAT("http://leetcode.com/problems/",Github!C$154), Github!B$154)</f>
        <v>Find Minimum in Rotated Sorted Array</v>
      </c>
      <c r="C110" s="17">
        <f>Github!F$154</f>
        <v>6189</v>
      </c>
      <c r="D110" s="17">
        <f>Github!G$154</f>
        <v>375</v>
      </c>
      <c r="E110" s="17">
        <f>Github!F$154+Github!G$154</f>
        <v>6564</v>
      </c>
      <c r="F110" s="18">
        <f t="shared" si="1"/>
        <v>16.5</v>
      </c>
      <c r="G110" s="17" t="str">
        <f>Github!H$154</f>
        <v>Algorithms</v>
      </c>
      <c r="H110" s="19" t="str">
        <f>SUBSTITUTE(Github!L$154, ";", ", ")</f>
        <v>Array, Binary Search, </v>
      </c>
      <c r="I110" s="17" t="str">
        <f>Github!E$154</f>
        <v>Medium</v>
      </c>
      <c r="J110" s="17" t="str">
        <f>IF(TRIM(Github!D$154)="TRUE","FALSE","TRUE")</f>
        <v>TRUE</v>
      </c>
      <c r="K110" s="17" t="b">
        <f>Github!M$154</f>
        <v>1</v>
      </c>
      <c r="L110" s="17" t="b">
        <f>Github!N$154</f>
        <v>0</v>
      </c>
      <c r="M110" s="17" t="str">
        <f>ROUND(Github!O$154, 2)&amp;"%"</f>
        <v>47.76%</v>
      </c>
      <c r="N110" s="17">
        <f>Github!P$154</f>
        <v>858741</v>
      </c>
      <c r="O110" s="17">
        <f>Github!Q$154</f>
        <v>1797880</v>
      </c>
    </row>
    <row r="111" ht="18.0" customHeight="1">
      <c r="A111" s="17">
        <f>Github!J$622</f>
        <v>621</v>
      </c>
      <c r="B111" s="27" t="str">
        <f>HYPERLINK(CONCAT("http://leetcode.com/problems/",Github!C$622), Github!B$622)</f>
        <v>Task Scheduler</v>
      </c>
      <c r="C111" s="17">
        <f>Github!F$622</f>
        <v>6133</v>
      </c>
      <c r="D111" s="17">
        <f>Github!G$622</f>
        <v>1171</v>
      </c>
      <c r="E111" s="17">
        <f>Github!F$622+Github!G$622</f>
        <v>7304</v>
      </c>
      <c r="F111" s="18">
        <f t="shared" si="1"/>
        <v>5.24</v>
      </c>
      <c r="G111" s="17" t="str">
        <f>Github!H$622</f>
        <v>Algorithms</v>
      </c>
      <c r="H111" s="19" t="str">
        <f>SUBSTITUTE(Github!L$622, ";", ", ")</f>
        <v>Array, Hash Table, Greedy, Sorting, Heap (Priority Queue), Counting, </v>
      </c>
      <c r="I111" s="17" t="str">
        <f>Github!E$622</f>
        <v>Medium</v>
      </c>
      <c r="J111" s="17" t="str">
        <f>IF(TRIM(Github!D$622)="TRUE","FALSE","TRUE")</f>
        <v>TRUE</v>
      </c>
      <c r="K111" s="17" t="b">
        <f>Github!M$622</f>
        <v>1</v>
      </c>
      <c r="L111" s="17" t="b">
        <f>Github!N$622</f>
        <v>0</v>
      </c>
      <c r="M111" s="17" t="str">
        <f>ROUND(Github!O$622, 2)&amp;"%"</f>
        <v>54.27%</v>
      </c>
      <c r="N111" s="17">
        <f>Github!P$622</f>
        <v>326045</v>
      </c>
      <c r="O111" s="17">
        <f>Github!Q$622</f>
        <v>600831</v>
      </c>
    </row>
    <row r="112" ht="18.0" customHeight="1">
      <c r="A112" s="17">
        <f>Github!J$995</f>
        <v>994</v>
      </c>
      <c r="B112" s="27" t="str">
        <f>HYPERLINK(CONCAT("http://leetcode.com/problems/",Github!C$995), Github!B$995)</f>
        <v>Rotting Oranges</v>
      </c>
      <c r="C112" s="17">
        <f>Github!F$995</f>
        <v>6079</v>
      </c>
      <c r="D112" s="17">
        <f>Github!G$995</f>
        <v>265</v>
      </c>
      <c r="E112" s="17">
        <f>Github!F$995+Github!G$995</f>
        <v>6344</v>
      </c>
      <c r="F112" s="18">
        <f t="shared" si="1"/>
        <v>22.94</v>
      </c>
      <c r="G112" s="17" t="str">
        <f>Github!H$995</f>
        <v>Algorithms</v>
      </c>
      <c r="H112" s="19" t="str">
        <f>SUBSTITUTE(Github!L$995, ";", ", ")</f>
        <v>Array, Breadth-First Search, Matrix, </v>
      </c>
      <c r="I112" s="17" t="str">
        <f>Github!E$995</f>
        <v>Medium</v>
      </c>
      <c r="J112" s="17" t="str">
        <f>IF(TRIM(Github!D$995)="TRUE","FALSE","TRUE")</f>
        <v>TRUE</v>
      </c>
      <c r="K112" s="17" t="b">
        <f>Github!M$995</f>
        <v>1</v>
      </c>
      <c r="L112" s="17" t="b">
        <f>Github!N$995</f>
        <v>0</v>
      </c>
      <c r="M112" s="17" t="str">
        <f>ROUND(Github!O$995, 2)&amp;"%"</f>
        <v>51.57%</v>
      </c>
      <c r="N112" s="17">
        <f>Github!P$995</f>
        <v>353029</v>
      </c>
      <c r="O112" s="17">
        <f>Github!Q$995</f>
        <v>684550</v>
      </c>
    </row>
    <row r="113" ht="18.0" customHeight="1">
      <c r="A113" s="17">
        <f>Github!J$27</f>
        <v>26</v>
      </c>
      <c r="B113" s="27" t="str">
        <f>HYPERLINK(CONCAT("http://leetcode.com/problems/",Github!C$27), Github!B$27)</f>
        <v>Remove Duplicates from Sorted Array</v>
      </c>
      <c r="C113" s="17">
        <f>Github!F$27</f>
        <v>6077</v>
      </c>
      <c r="D113" s="17">
        <f>Github!G$27</f>
        <v>9551</v>
      </c>
      <c r="E113" s="17">
        <f>Github!F$27+Github!G$27</f>
        <v>15628</v>
      </c>
      <c r="F113" s="18">
        <f t="shared" si="1"/>
        <v>0.64</v>
      </c>
      <c r="G113" s="17" t="str">
        <f>Github!H$27</f>
        <v>Algorithms</v>
      </c>
      <c r="H113" s="19" t="str">
        <f>SUBSTITUTE(Github!L$27, ";", ", ")</f>
        <v>Array, Two Pointers, </v>
      </c>
      <c r="I113" s="17" t="str">
        <f>Github!E$27</f>
        <v>Easy</v>
      </c>
      <c r="J113" s="17" t="str">
        <f>IF(TRIM(Github!D$27)="TRUE","FALSE","TRUE")</f>
        <v>TRUE</v>
      </c>
      <c r="K113" s="17" t="b">
        <f>Github!M$27</f>
        <v>1</v>
      </c>
      <c r="L113" s="17" t="b">
        <f>Github!N$27</f>
        <v>1</v>
      </c>
      <c r="M113" s="17" t="str">
        <f>ROUND(Github!O$27, 2)&amp;"%"</f>
        <v>48.45%</v>
      </c>
      <c r="N113" s="17">
        <f>Github!P$27</f>
        <v>1999467</v>
      </c>
      <c r="O113" s="17">
        <f>Github!Q$27</f>
        <v>4126916</v>
      </c>
    </row>
    <row r="114" ht="18.0" customHeight="1">
      <c r="A114" s="17">
        <f>Github!J$200</f>
        <v>199</v>
      </c>
      <c r="B114" s="27" t="str">
        <f>HYPERLINK(CONCAT("http://leetcode.com/problems/",Github!C$200), Github!B$200)</f>
        <v>Binary Tree Right Side View</v>
      </c>
      <c r="C114" s="17">
        <f>Github!F$200</f>
        <v>6062</v>
      </c>
      <c r="D114" s="17">
        <f>Github!G$200</f>
        <v>327</v>
      </c>
      <c r="E114" s="17">
        <f>Github!F$200+Github!G$200</f>
        <v>6389</v>
      </c>
      <c r="F114" s="18">
        <f t="shared" si="1"/>
        <v>18.54</v>
      </c>
      <c r="G114" s="17" t="str">
        <f>Github!H$200</f>
        <v>Algorithms</v>
      </c>
      <c r="H114" s="19" t="str">
        <f>SUBSTITUTE(Github!L$200, ";", ", ")</f>
        <v>Tree, Depth-First Search, Breadth-First Search, Binary Tree, </v>
      </c>
      <c r="I114" s="17" t="str">
        <f>Github!E$200</f>
        <v>Medium</v>
      </c>
      <c r="J114" s="17" t="str">
        <f>IF(TRIM(Github!D$200)="TRUE","FALSE","TRUE")</f>
        <v>TRUE</v>
      </c>
      <c r="K114" s="17" t="b">
        <f>Github!M$200</f>
        <v>1</v>
      </c>
      <c r="L114" s="17" t="b">
        <f>Github!N$200</f>
        <v>0</v>
      </c>
      <c r="M114" s="17" t="str">
        <f>ROUND(Github!O$200, 2)&amp;"%"</f>
        <v>59.26%</v>
      </c>
      <c r="N114" s="17">
        <f>Github!P$200</f>
        <v>630330</v>
      </c>
      <c r="O114" s="17">
        <f>Github!Q$200</f>
        <v>1063625</v>
      </c>
    </row>
    <row r="115" ht="18.0" customHeight="1">
      <c r="A115" s="17">
        <f>Github!J$210</f>
        <v>209</v>
      </c>
      <c r="B115" s="27" t="str">
        <f>HYPERLINK(CONCAT("http://leetcode.com/problems/",Github!C$210), Github!B$210)</f>
        <v>Minimum Size Subarray Sum</v>
      </c>
      <c r="C115" s="17">
        <f>Github!F$210</f>
        <v>6043</v>
      </c>
      <c r="D115" s="17">
        <f>Github!G$210</f>
        <v>180</v>
      </c>
      <c r="E115" s="17">
        <f>Github!F$210+Github!G$210</f>
        <v>6223</v>
      </c>
      <c r="F115" s="18">
        <f t="shared" si="1"/>
        <v>33.57</v>
      </c>
      <c r="G115" s="17" t="str">
        <f>Github!H$210</f>
        <v>Algorithms</v>
      </c>
      <c r="H115" s="19" t="str">
        <f>SUBSTITUTE(Github!L$210, ";", ", ")</f>
        <v>Array, Binary Search, Sliding Window, Prefix Sum, </v>
      </c>
      <c r="I115" s="17" t="str">
        <f>Github!E$210</f>
        <v>Medium</v>
      </c>
      <c r="J115" s="17" t="str">
        <f>IF(TRIM(Github!D$210)="TRUE","FALSE","TRUE")</f>
        <v>TRUE</v>
      </c>
      <c r="K115" s="17" t="b">
        <f>Github!M$210</f>
        <v>1</v>
      </c>
      <c r="L115" s="17" t="b">
        <f>Github!N$210</f>
        <v>0</v>
      </c>
      <c r="M115" s="17" t="str">
        <f>ROUND(Github!O$210, 2)&amp;"%"</f>
        <v>42.84%</v>
      </c>
      <c r="N115" s="17">
        <f>Github!P$210</f>
        <v>488876</v>
      </c>
      <c r="O115" s="17">
        <f>Github!Q$210</f>
        <v>1141052</v>
      </c>
    </row>
    <row r="116" ht="18.0" customHeight="1">
      <c r="A116" s="17">
        <f>Github!J$117</f>
        <v>116</v>
      </c>
      <c r="B116" s="27" t="str">
        <f>HYPERLINK(CONCAT("http://leetcode.com/problems/",Github!C$117), Github!B$117)</f>
        <v>Populating Next Right Pointers in Each Node</v>
      </c>
      <c r="C116" s="17">
        <f>Github!F$117</f>
        <v>6026</v>
      </c>
      <c r="D116" s="17">
        <f>Github!G$117</f>
        <v>220</v>
      </c>
      <c r="E116" s="17">
        <f>Github!F$117+Github!G$117</f>
        <v>6246</v>
      </c>
      <c r="F116" s="18">
        <f t="shared" si="1"/>
        <v>27.39</v>
      </c>
      <c r="G116" s="17" t="str">
        <f>Github!H$117</f>
        <v>Algorithms</v>
      </c>
      <c r="H116" s="19" t="str">
        <f>SUBSTITUTE(Github!L$117, ";", ", ")</f>
        <v>Linked List, Tree, Depth-First Search, Breadth-First Search, Binary Tree, </v>
      </c>
      <c r="I116" s="17" t="str">
        <f>Github!E$117</f>
        <v>Medium</v>
      </c>
      <c r="J116" s="17" t="str">
        <f>IF(TRIM(Github!D$117)="TRUE","FALSE","TRUE")</f>
        <v>TRUE</v>
      </c>
      <c r="K116" s="17" t="b">
        <f>Github!M$117</f>
        <v>1</v>
      </c>
      <c r="L116" s="17" t="b">
        <f>Github!N$117</f>
        <v>0</v>
      </c>
      <c r="M116" s="17" t="str">
        <f>ROUND(Github!O$117, 2)&amp;"%"</f>
        <v>56.23%</v>
      </c>
      <c r="N116" s="17">
        <f>Github!P$117</f>
        <v>701245</v>
      </c>
      <c r="O116" s="17">
        <f>Github!Q$117</f>
        <v>1247017</v>
      </c>
    </row>
    <row r="117" ht="18.0" customHeight="1">
      <c r="A117" s="17">
        <f>Github!J$338</f>
        <v>337</v>
      </c>
      <c r="B117" s="27" t="str">
        <f>HYPERLINK(CONCAT("http://leetcode.com/problems/",Github!C$338), Github!B$338)</f>
        <v>House Robber III</v>
      </c>
      <c r="C117" s="17">
        <f>Github!F$338</f>
        <v>6007</v>
      </c>
      <c r="D117" s="17">
        <f>Github!G$338</f>
        <v>93</v>
      </c>
      <c r="E117" s="17">
        <f>Github!F$338+Github!G$338</f>
        <v>6100</v>
      </c>
      <c r="F117" s="18">
        <f t="shared" si="1"/>
        <v>64.59</v>
      </c>
      <c r="G117" s="17" t="str">
        <f>Github!H$338</f>
        <v>Algorithms</v>
      </c>
      <c r="H117" s="19" t="str">
        <f>SUBSTITUTE(Github!L$338, ";", ", ")</f>
        <v>Dynamic Programming, Tree, Depth-First Search, Binary Tree, </v>
      </c>
      <c r="I117" s="17" t="str">
        <f>Github!E$338</f>
        <v>Medium</v>
      </c>
      <c r="J117" s="17" t="str">
        <f>IF(TRIM(Github!D$338)="TRUE","FALSE","TRUE")</f>
        <v>TRUE</v>
      </c>
      <c r="K117" s="17" t="b">
        <f>Github!M$338</f>
        <v>1</v>
      </c>
      <c r="L117" s="17" t="b">
        <f>Github!N$338</f>
        <v>0</v>
      </c>
      <c r="M117" s="17" t="str">
        <f>ROUND(Github!O$338, 2)&amp;"%"</f>
        <v>53.4%</v>
      </c>
      <c r="N117" s="17">
        <f>Github!P$338</f>
        <v>277617</v>
      </c>
      <c r="O117" s="17">
        <f>Github!Q$338</f>
        <v>519854</v>
      </c>
    </row>
    <row r="118" ht="18.0" customHeight="1">
      <c r="A118" s="17">
        <f>Github!J$648</f>
        <v>647</v>
      </c>
      <c r="B118" s="27" t="str">
        <f>HYPERLINK(CONCAT("http://leetcode.com/problems/",Github!C$648), Github!B$648)</f>
        <v>Palindromic Substrings</v>
      </c>
      <c r="C118" s="17">
        <f>Github!F$648</f>
        <v>5980</v>
      </c>
      <c r="D118" s="17">
        <f>Github!G$648</f>
        <v>152</v>
      </c>
      <c r="E118" s="17">
        <f>Github!F$648+Github!G$648</f>
        <v>6132</v>
      </c>
      <c r="F118" s="18">
        <f t="shared" si="1"/>
        <v>39.34</v>
      </c>
      <c r="G118" s="17" t="str">
        <f>Github!H$648</f>
        <v>Algorithms</v>
      </c>
      <c r="H118" s="19" t="str">
        <f>SUBSTITUTE(Github!L$648, ";", ", ")</f>
        <v>String, Dynamic Programming, </v>
      </c>
      <c r="I118" s="17" t="str">
        <f>Github!E$648</f>
        <v>Medium</v>
      </c>
      <c r="J118" s="17" t="str">
        <f>IF(TRIM(Github!D$648)="TRUE","FALSE","TRUE")</f>
        <v>TRUE</v>
      </c>
      <c r="K118" s="17" t="b">
        <f>Github!M$648</f>
        <v>1</v>
      </c>
      <c r="L118" s="17" t="b">
        <f>Github!N$648</f>
        <v>0</v>
      </c>
      <c r="M118" s="17" t="str">
        <f>ROUND(Github!O$648, 2)&amp;"%"</f>
        <v>64.33%</v>
      </c>
      <c r="N118" s="17">
        <f>Github!P$648</f>
        <v>382500</v>
      </c>
      <c r="O118" s="17">
        <f>Github!Q$648</f>
        <v>594632</v>
      </c>
    </row>
    <row r="119" ht="18.0" customHeight="1">
      <c r="A119" s="17">
        <f>Github!J$109</f>
        <v>108</v>
      </c>
      <c r="B119" s="27" t="str">
        <f>HYPERLINK(CONCAT("http://leetcode.com/problems/",Github!C$109), Github!B$109)</f>
        <v>Convert Sorted Array to Binary Search Tree</v>
      </c>
      <c r="C119" s="17">
        <f>Github!F$109</f>
        <v>5927</v>
      </c>
      <c r="D119" s="17">
        <f>Github!G$109</f>
        <v>343</v>
      </c>
      <c r="E119" s="17">
        <f>Github!F$109+Github!G$109</f>
        <v>6270</v>
      </c>
      <c r="F119" s="18">
        <f t="shared" si="1"/>
        <v>17.28</v>
      </c>
      <c r="G119" s="17" t="str">
        <f>Github!H$109</f>
        <v>Algorithms</v>
      </c>
      <c r="H119" s="19" t="str">
        <f>SUBSTITUTE(Github!L$109, ";", ", ")</f>
        <v>Array, Divide and Conquer, Tree, Binary Search Tree, Binary Tree, </v>
      </c>
      <c r="I119" s="17" t="str">
        <f>Github!E$109</f>
        <v>Easy</v>
      </c>
      <c r="J119" s="17" t="str">
        <f>IF(TRIM(Github!D$109)="TRUE","FALSE","TRUE")</f>
        <v>TRUE</v>
      </c>
      <c r="K119" s="17" t="b">
        <f>Github!M$109</f>
        <v>1</v>
      </c>
      <c r="L119" s="17" t="b">
        <f>Github!N$109</f>
        <v>0</v>
      </c>
      <c r="M119" s="17" t="str">
        <f>ROUND(Github!O$109, 2)&amp;"%"</f>
        <v>65.54%</v>
      </c>
      <c r="N119" s="17">
        <f>Github!P$109</f>
        <v>704012</v>
      </c>
      <c r="O119" s="17">
        <f>Github!Q$109</f>
        <v>1074179</v>
      </c>
    </row>
    <row r="120" ht="18.0" customHeight="1">
      <c r="A120" s="17">
        <f>Github!J$231</f>
        <v>230</v>
      </c>
      <c r="B120" s="27" t="str">
        <f>HYPERLINK(CONCAT("http://leetcode.com/problems/",Github!C$231), Github!B$231)</f>
        <v>Kth Smallest Element in a BST</v>
      </c>
      <c r="C120" s="17">
        <f>Github!F$231</f>
        <v>5908</v>
      </c>
      <c r="D120" s="17">
        <f>Github!G$231</f>
        <v>116</v>
      </c>
      <c r="E120" s="17">
        <f>Github!F$231+Github!G$231</f>
        <v>6024</v>
      </c>
      <c r="F120" s="18">
        <f t="shared" si="1"/>
        <v>50.93</v>
      </c>
      <c r="G120" s="17" t="str">
        <f>Github!H$231</f>
        <v>Algorithms</v>
      </c>
      <c r="H120" s="19" t="str">
        <f>SUBSTITUTE(Github!L$231, ";", ", ")</f>
        <v>Tree, Depth-First Search, Binary Search Tree, Binary Tree, </v>
      </c>
      <c r="I120" s="17" t="str">
        <f>Github!E$231</f>
        <v>Medium</v>
      </c>
      <c r="J120" s="17" t="str">
        <f>IF(TRIM(Github!D$231)="TRUE","FALSE","TRUE")</f>
        <v>TRUE</v>
      </c>
      <c r="K120" s="17" t="b">
        <f>Github!M$231</f>
        <v>1</v>
      </c>
      <c r="L120" s="17" t="b">
        <f>Github!N$231</f>
        <v>0</v>
      </c>
      <c r="M120" s="17" t="str">
        <f>ROUND(Github!O$231, 2)&amp;"%"</f>
        <v>66.31%</v>
      </c>
      <c r="N120" s="17">
        <f>Github!P$231</f>
        <v>709648</v>
      </c>
      <c r="O120" s="17">
        <f>Github!Q$231</f>
        <v>1070168</v>
      </c>
    </row>
    <row r="121" ht="18.0" customHeight="1">
      <c r="A121" s="17">
        <f>Github!J$1144</f>
        <v>1143</v>
      </c>
      <c r="B121" s="27" t="str">
        <f>HYPERLINK(CONCAT("http://leetcode.com/problems/",Github!C$1144), Github!B$1144)</f>
        <v>Longest Common Subsequence</v>
      </c>
      <c r="C121" s="17">
        <f>Github!F$1144</f>
        <v>5883</v>
      </c>
      <c r="D121" s="17">
        <f>Github!G$1144</f>
        <v>65</v>
      </c>
      <c r="E121" s="17">
        <f>Github!F$1144+Github!G$1144</f>
        <v>5948</v>
      </c>
      <c r="F121" s="18">
        <f t="shared" si="1"/>
        <v>90.51</v>
      </c>
      <c r="G121" s="17" t="str">
        <f>Github!H$1144</f>
        <v>Algorithms</v>
      </c>
      <c r="H121" s="19" t="str">
        <f>SUBSTITUTE(Github!L$1144, ";", ", ")</f>
        <v>String, Dynamic Programming, </v>
      </c>
      <c r="I121" s="17" t="str">
        <f>Github!E$1144</f>
        <v>Medium</v>
      </c>
      <c r="J121" s="17" t="str">
        <f>IF(TRIM(Github!D$1144)="TRUE","FALSE","TRUE")</f>
        <v>TRUE</v>
      </c>
      <c r="K121" s="17" t="b">
        <f>Github!M$1144</f>
        <v>1</v>
      </c>
      <c r="L121" s="17" t="b">
        <f>Github!N$1144</f>
        <v>0</v>
      </c>
      <c r="M121" s="17" t="str">
        <f>ROUND(Github!O$1144, 2)&amp;"%"</f>
        <v>58.87%</v>
      </c>
      <c r="N121" s="17">
        <f>Github!P$1144</f>
        <v>370279</v>
      </c>
      <c r="O121" s="17">
        <f>Github!Q$1144</f>
        <v>628931</v>
      </c>
    </row>
    <row r="122" ht="18.0" customHeight="1">
      <c r="A122" s="17">
        <f>Github!J$403</f>
        <v>402</v>
      </c>
      <c r="B122" s="27" t="str">
        <f>HYPERLINK(CONCAT("http://leetcode.com/problems/",Github!C$403), Github!B$403)</f>
        <v>Remove K Digits</v>
      </c>
      <c r="C122" s="17">
        <f>Github!F$403</f>
        <v>5830</v>
      </c>
      <c r="D122" s="17">
        <f>Github!G$403</f>
        <v>243</v>
      </c>
      <c r="E122" s="17">
        <f>Github!F$403+Github!G$403</f>
        <v>6073</v>
      </c>
      <c r="F122" s="18">
        <f t="shared" si="1"/>
        <v>23.99</v>
      </c>
      <c r="G122" s="17" t="str">
        <f>Github!H$403</f>
        <v>Algorithms</v>
      </c>
      <c r="H122" s="19" t="str">
        <f>SUBSTITUTE(Github!L$403, ";", ", ")</f>
        <v>String, Stack, Greedy, Monotonic Stack, </v>
      </c>
      <c r="I122" s="17" t="str">
        <f>Github!E$403</f>
        <v>Medium</v>
      </c>
      <c r="J122" s="17" t="str">
        <f>IF(TRIM(Github!D$403)="TRUE","FALSE","TRUE")</f>
        <v>TRUE</v>
      </c>
      <c r="K122" s="17" t="b">
        <f>Github!M$403</f>
        <v>1</v>
      </c>
      <c r="L122" s="17" t="b">
        <f>Github!N$403</f>
        <v>0</v>
      </c>
      <c r="M122" s="17" t="str">
        <f>ROUND(Github!O$403, 2)&amp;"%"</f>
        <v>30.47%</v>
      </c>
      <c r="N122" s="17">
        <f>Github!P$403</f>
        <v>253412</v>
      </c>
      <c r="O122" s="17">
        <f>Github!Q$403</f>
        <v>831595</v>
      </c>
    </row>
    <row r="123" ht="18.0" customHeight="1">
      <c r="A123" s="17">
        <f>Github!J$443</f>
        <v>442</v>
      </c>
      <c r="B123" s="27" t="str">
        <f>HYPERLINK(CONCAT("http://leetcode.com/problems/",Github!C$443), Github!B$443)</f>
        <v>Find All Duplicates in an Array</v>
      </c>
      <c r="C123" s="17">
        <f>Github!F$443</f>
        <v>5820</v>
      </c>
      <c r="D123" s="17">
        <f>Github!G$443</f>
        <v>242</v>
      </c>
      <c r="E123" s="17">
        <f>Github!F$443+Github!G$443</f>
        <v>6062</v>
      </c>
      <c r="F123" s="18">
        <f t="shared" si="1"/>
        <v>24.05</v>
      </c>
      <c r="G123" s="17" t="str">
        <f>Github!H$443</f>
        <v>Algorithms</v>
      </c>
      <c r="H123" s="19" t="str">
        <f>SUBSTITUTE(Github!L$443, ";", ", ")</f>
        <v>Array, Hash Table, </v>
      </c>
      <c r="I123" s="17" t="str">
        <f>Github!E$443</f>
        <v>Medium</v>
      </c>
      <c r="J123" s="17" t="str">
        <f>IF(TRIM(Github!D$443)="TRUE","FALSE","TRUE")</f>
        <v>TRUE</v>
      </c>
      <c r="K123" s="17" t="b">
        <f>Github!M$443</f>
        <v>1</v>
      </c>
      <c r="L123" s="17" t="b">
        <f>Github!N$443</f>
        <v>0</v>
      </c>
      <c r="M123" s="17" t="str">
        <f>ROUND(Github!O$443, 2)&amp;"%"</f>
        <v>72.16%</v>
      </c>
      <c r="N123" s="17">
        <f>Github!P$443</f>
        <v>380789</v>
      </c>
      <c r="O123" s="17">
        <f>Github!Q$443</f>
        <v>527710</v>
      </c>
    </row>
    <row r="124" ht="18.0" customHeight="1">
      <c r="A124" s="17">
        <f>Github!J$864</f>
        <v>863</v>
      </c>
      <c r="B124" s="27" t="str">
        <f>HYPERLINK(CONCAT("http://leetcode.com/problems/",Github!C$864), Github!B$864)</f>
        <v>All Nodes Distance K in Binary Tree</v>
      </c>
      <c r="C124" s="17">
        <f>Github!F$864</f>
        <v>5808</v>
      </c>
      <c r="D124" s="17">
        <f>Github!G$864</f>
        <v>122</v>
      </c>
      <c r="E124" s="17">
        <f>Github!F$864+Github!G$864</f>
        <v>5930</v>
      </c>
      <c r="F124" s="18">
        <f t="shared" si="1"/>
        <v>47.61</v>
      </c>
      <c r="G124" s="17" t="str">
        <f>Github!H$864</f>
        <v>Algorithms</v>
      </c>
      <c r="H124" s="19" t="str">
        <f>SUBSTITUTE(Github!L$864, ";", ", ")</f>
        <v>Tree, Depth-First Search, Breadth-First Search, Binary Tree, </v>
      </c>
      <c r="I124" s="17" t="str">
        <f>Github!E$864</f>
        <v>Medium</v>
      </c>
      <c r="J124" s="17" t="str">
        <f>IF(TRIM(Github!D$864)="TRUE","FALSE","TRUE")</f>
        <v>TRUE</v>
      </c>
      <c r="K124" s="17" t="b">
        <f>Github!M$864</f>
        <v>1</v>
      </c>
      <c r="L124" s="17" t="b">
        <f>Github!N$864</f>
        <v>0</v>
      </c>
      <c r="M124" s="17" t="str">
        <f>ROUND(Github!O$864, 2)&amp;"%"</f>
        <v>60.77%</v>
      </c>
      <c r="N124" s="17">
        <f>Github!P$864</f>
        <v>216230</v>
      </c>
      <c r="O124" s="17">
        <f>Github!Q$864</f>
        <v>355794</v>
      </c>
    </row>
    <row r="125" ht="18.0" customHeight="1">
      <c r="A125" s="17">
        <f>Github!J$19</f>
        <v>18</v>
      </c>
      <c r="B125" s="27" t="str">
        <f>HYPERLINK(CONCAT("http://leetcode.com/problems/",Github!C$19), Github!B$19)</f>
        <v>4Sum</v>
      </c>
      <c r="C125" s="17">
        <f>Github!F$19</f>
        <v>5759</v>
      </c>
      <c r="D125" s="17">
        <f>Github!G$19</f>
        <v>656</v>
      </c>
      <c r="E125" s="17">
        <f>Github!F$19+Github!G$19</f>
        <v>6415</v>
      </c>
      <c r="F125" s="18">
        <f t="shared" si="1"/>
        <v>8.78</v>
      </c>
      <c r="G125" s="17" t="str">
        <f>Github!H$19</f>
        <v>Algorithms</v>
      </c>
      <c r="H125" s="19" t="str">
        <f>SUBSTITUTE(Github!L$19, ";", ", ")</f>
        <v>Array, Two Pointers, Sorting, </v>
      </c>
      <c r="I125" s="17" t="str">
        <f>Github!E$19</f>
        <v>Medium</v>
      </c>
      <c r="J125" s="17" t="str">
        <f>IF(TRIM(Github!D$19)="TRUE","FALSE","TRUE")</f>
        <v>TRUE</v>
      </c>
      <c r="K125" s="17" t="b">
        <f>Github!M$19</f>
        <v>1</v>
      </c>
      <c r="L125" s="17" t="b">
        <f>Github!N$19</f>
        <v>0</v>
      </c>
      <c r="M125" s="17" t="str">
        <f>ROUND(Github!O$19, 2)&amp;"%"</f>
        <v>37.09%</v>
      </c>
      <c r="N125" s="17">
        <f>Github!P$19</f>
        <v>552715</v>
      </c>
      <c r="O125" s="17">
        <f>Github!Q$19</f>
        <v>1490162</v>
      </c>
    </row>
    <row r="126" ht="18.0" customHeight="1">
      <c r="A126" s="17">
        <f>Github!J$93</f>
        <v>92</v>
      </c>
      <c r="B126" s="27" t="str">
        <f>HYPERLINK(CONCAT("http://leetcode.com/problems/",Github!C$93), Github!B$93)</f>
        <v>Reverse Linked List II</v>
      </c>
      <c r="C126" s="17">
        <f>Github!F$93</f>
        <v>5731</v>
      </c>
      <c r="D126" s="17">
        <f>Github!G$93</f>
        <v>271</v>
      </c>
      <c r="E126" s="17">
        <f>Github!F$93+Github!G$93</f>
        <v>6002</v>
      </c>
      <c r="F126" s="18">
        <f t="shared" si="1"/>
        <v>21.15</v>
      </c>
      <c r="G126" s="17" t="str">
        <f>Github!H$93</f>
        <v>Algorithms</v>
      </c>
      <c r="H126" s="19" t="str">
        <f>SUBSTITUTE(Github!L$93, ";", ", ")</f>
        <v>Linked List, </v>
      </c>
      <c r="I126" s="17" t="str">
        <f>Github!E$93</f>
        <v>Medium</v>
      </c>
      <c r="J126" s="17" t="str">
        <f>IF(TRIM(Github!D$93)="TRUE","FALSE","TRUE")</f>
        <v>TRUE</v>
      </c>
      <c r="K126" s="17" t="b">
        <f>Github!M$93</f>
        <v>1</v>
      </c>
      <c r="L126" s="17" t="b">
        <f>Github!N$93</f>
        <v>0</v>
      </c>
      <c r="M126" s="17" t="str">
        <f>ROUND(Github!O$93, 2)&amp;"%"</f>
        <v>43.15%</v>
      </c>
      <c r="N126" s="17">
        <f>Github!P$93</f>
        <v>459385</v>
      </c>
      <c r="O126" s="17">
        <f>Github!Q$93</f>
        <v>1064554</v>
      </c>
    </row>
    <row r="127" ht="18.0" customHeight="1">
      <c r="A127" s="17">
        <f>Github!J$313</f>
        <v>312</v>
      </c>
      <c r="B127" s="27" t="str">
        <f>HYPERLINK(CONCAT("http://leetcode.com/problems/",Github!C$313), Github!B$313)</f>
        <v>Burst Balloons</v>
      </c>
      <c r="C127" s="17">
        <f>Github!F$313</f>
        <v>5666</v>
      </c>
      <c r="D127" s="17">
        <f>Github!G$313</f>
        <v>154</v>
      </c>
      <c r="E127" s="17">
        <f>Github!F$313+Github!G$313</f>
        <v>5820</v>
      </c>
      <c r="F127" s="18">
        <f t="shared" si="1"/>
        <v>36.79</v>
      </c>
      <c r="G127" s="17" t="str">
        <f>Github!H$313</f>
        <v>Algorithms</v>
      </c>
      <c r="H127" s="19" t="str">
        <f>SUBSTITUTE(Github!L$313, ";", ", ")</f>
        <v>Array, Dynamic Programming, </v>
      </c>
      <c r="I127" s="17" t="str">
        <f>Github!E$313</f>
        <v>Hard</v>
      </c>
      <c r="J127" s="17" t="str">
        <f>IF(TRIM(Github!D$313)="TRUE","FALSE","TRUE")</f>
        <v>TRUE</v>
      </c>
      <c r="K127" s="17" t="b">
        <f>Github!M$313</f>
        <v>1</v>
      </c>
      <c r="L127" s="17" t="b">
        <f>Github!N$313</f>
        <v>0</v>
      </c>
      <c r="M127" s="17" t="str">
        <f>ROUND(Github!O$313, 2)&amp;"%"</f>
        <v>56.17%</v>
      </c>
      <c r="N127" s="17">
        <f>Github!P$313</f>
        <v>179349</v>
      </c>
      <c r="O127" s="17">
        <f>Github!Q$313</f>
        <v>319320</v>
      </c>
    </row>
    <row r="128" ht="18.0" customHeight="1">
      <c r="A128" s="17">
        <f>Github!J$213</f>
        <v>212</v>
      </c>
      <c r="B128" s="27" t="str">
        <f>HYPERLINK(CONCAT("http://leetcode.com/problems/",Github!C$213), Github!B$213)</f>
        <v>Word Search II</v>
      </c>
      <c r="C128" s="17">
        <f>Github!F$213</f>
        <v>5653</v>
      </c>
      <c r="D128" s="17">
        <f>Github!G$213</f>
        <v>197</v>
      </c>
      <c r="E128" s="17">
        <f>Github!F$213+Github!G$213</f>
        <v>5850</v>
      </c>
      <c r="F128" s="18">
        <f t="shared" si="1"/>
        <v>28.7</v>
      </c>
      <c r="G128" s="17" t="str">
        <f>Github!H$213</f>
        <v>Algorithms</v>
      </c>
      <c r="H128" s="19" t="str">
        <f>SUBSTITUTE(Github!L$213, ";", ", ")</f>
        <v>Array, String, Backtracking, Trie, Matrix, </v>
      </c>
      <c r="I128" s="17" t="str">
        <f>Github!E$213</f>
        <v>Hard</v>
      </c>
      <c r="J128" s="17" t="str">
        <f>IF(TRIM(Github!D$213)="TRUE","FALSE","TRUE")</f>
        <v>TRUE</v>
      </c>
      <c r="K128" s="17" t="b">
        <f>Github!M$213</f>
        <v>1</v>
      </c>
      <c r="L128" s="17" t="b">
        <f>Github!N$213</f>
        <v>0</v>
      </c>
      <c r="M128" s="17" t="str">
        <f>ROUND(Github!O$213, 2)&amp;"%"</f>
        <v>38.29%</v>
      </c>
      <c r="N128" s="17">
        <f>Github!P$213</f>
        <v>414190</v>
      </c>
      <c r="O128" s="17">
        <f>Github!Q$213</f>
        <v>1081761</v>
      </c>
    </row>
    <row r="129" ht="18.0" customHeight="1">
      <c r="A129" s="17">
        <f>Github!J$163</f>
        <v>162</v>
      </c>
      <c r="B129" s="27" t="str">
        <f>HYPERLINK(CONCAT("http://leetcode.com/problems/",Github!C$163), Github!B$163)</f>
        <v>Find Peak Element</v>
      </c>
      <c r="C129" s="17">
        <f>Github!F$163</f>
        <v>5533</v>
      </c>
      <c r="D129" s="17">
        <f>Github!G$163</f>
        <v>3570</v>
      </c>
      <c r="E129" s="17">
        <f>Github!F$163+Github!G$163</f>
        <v>9103</v>
      </c>
      <c r="F129" s="18">
        <f t="shared" si="1"/>
        <v>1.55</v>
      </c>
      <c r="G129" s="17" t="str">
        <f>Github!H$163</f>
        <v>Algorithms</v>
      </c>
      <c r="H129" s="19" t="str">
        <f>SUBSTITUTE(Github!L$163, ";", ", ")</f>
        <v>Array, Binary Search, </v>
      </c>
      <c r="I129" s="17" t="str">
        <f>Github!E$163</f>
        <v>Medium</v>
      </c>
      <c r="J129" s="17" t="str">
        <f>IF(TRIM(Github!D$163)="TRUE","FALSE","TRUE")</f>
        <v>TRUE</v>
      </c>
      <c r="K129" s="17" t="b">
        <f>Github!M$163</f>
        <v>1</v>
      </c>
      <c r="L129" s="17" t="b">
        <f>Github!N$163</f>
        <v>0</v>
      </c>
      <c r="M129" s="17" t="str">
        <f>ROUND(Github!O$163, 2)&amp;"%"</f>
        <v>45.73%</v>
      </c>
      <c r="N129" s="17">
        <f>Github!P$163</f>
        <v>733863</v>
      </c>
      <c r="O129" s="17">
        <f>Github!Q$163</f>
        <v>1604656</v>
      </c>
    </row>
    <row r="130" ht="18.0" customHeight="1">
      <c r="A130" s="17">
        <f>Github!J$379</f>
        <v>378</v>
      </c>
      <c r="B130" s="27" t="str">
        <f>HYPERLINK(CONCAT("http://leetcode.com/problems/",Github!C$379), Github!B$379)</f>
        <v>Kth Smallest Element in a Sorted Matrix</v>
      </c>
      <c r="C130" s="17">
        <f>Github!F$379</f>
        <v>5509</v>
      </c>
      <c r="D130" s="17">
        <f>Github!G$379</f>
        <v>230</v>
      </c>
      <c r="E130" s="17">
        <f>Github!F$379+Github!G$379</f>
        <v>5739</v>
      </c>
      <c r="F130" s="18">
        <f t="shared" si="1"/>
        <v>23.95</v>
      </c>
      <c r="G130" s="17" t="str">
        <f>Github!H$379</f>
        <v>Algorithms</v>
      </c>
      <c r="H130" s="19" t="str">
        <f>SUBSTITUTE(Github!L$379, ";", ", ")</f>
        <v>Array, Binary Search, Sorting, Heap (Priority Queue), Matrix, </v>
      </c>
      <c r="I130" s="17" t="str">
        <f>Github!E$379</f>
        <v>Medium</v>
      </c>
      <c r="J130" s="17" t="str">
        <f>IF(TRIM(Github!D$379)="TRUE","FALSE","TRUE")</f>
        <v>TRUE</v>
      </c>
      <c r="K130" s="17" t="b">
        <f>Github!M$379</f>
        <v>1</v>
      </c>
      <c r="L130" s="17" t="b">
        <f>Github!N$379</f>
        <v>0</v>
      </c>
      <c r="M130" s="17" t="str">
        <f>ROUND(Github!O$379, 2)&amp;"%"</f>
        <v>59.34%</v>
      </c>
      <c r="N130" s="17">
        <f>Github!P$379</f>
        <v>365538</v>
      </c>
      <c r="O130" s="17">
        <f>Github!Q$379</f>
        <v>615957</v>
      </c>
    </row>
    <row r="131" ht="18.0" customHeight="1">
      <c r="A131" s="17">
        <f>Github!J$135</f>
        <v>134</v>
      </c>
      <c r="B131" s="27" t="str">
        <f>HYPERLINK(CONCAT("http://leetcode.com/problems/",Github!C$135), Github!B$135)</f>
        <v>Gas Station</v>
      </c>
      <c r="C131" s="17">
        <f>Github!F$135</f>
        <v>5507</v>
      </c>
      <c r="D131" s="17">
        <f>Github!G$135</f>
        <v>582</v>
      </c>
      <c r="E131" s="17">
        <f>Github!F$135+Github!G$135</f>
        <v>6089</v>
      </c>
      <c r="F131" s="18">
        <f t="shared" si="1"/>
        <v>9.46</v>
      </c>
      <c r="G131" s="17" t="str">
        <f>Github!H$135</f>
        <v>Algorithms</v>
      </c>
      <c r="H131" s="19" t="str">
        <f>SUBSTITUTE(Github!L$135, ";", ", ")</f>
        <v>Array, Greedy, </v>
      </c>
      <c r="I131" s="17" t="str">
        <f>Github!E$135</f>
        <v>Medium</v>
      </c>
      <c r="J131" s="17" t="str">
        <f>IF(TRIM(Github!D$135)="TRUE","FALSE","TRUE")</f>
        <v>TRUE</v>
      </c>
      <c r="K131" s="17" t="b">
        <f>Github!M$135</f>
        <v>1</v>
      </c>
      <c r="L131" s="17" t="b">
        <f>Github!N$135</f>
        <v>0</v>
      </c>
      <c r="M131" s="17" t="str">
        <f>ROUND(Github!O$135, 2)&amp;"%"</f>
        <v>44.36%</v>
      </c>
      <c r="N131" s="17">
        <f>Github!P$135</f>
        <v>389337</v>
      </c>
      <c r="O131" s="17">
        <f>Github!Q$135</f>
        <v>877749</v>
      </c>
    </row>
    <row r="132" ht="18.0" customHeight="1">
      <c r="A132" s="17">
        <f>Github!J$696</f>
        <v>695</v>
      </c>
      <c r="B132" s="27" t="str">
        <f>HYPERLINK(CONCAT("http://leetcode.com/problems/",Github!C$696), Github!B$696)</f>
        <v>Max Area of Island</v>
      </c>
      <c r="C132" s="17">
        <f>Github!F$696</f>
        <v>5504</v>
      </c>
      <c r="D132" s="17">
        <f>Github!G$696</f>
        <v>142</v>
      </c>
      <c r="E132" s="17">
        <f>Github!F$696+Github!G$696</f>
        <v>5646</v>
      </c>
      <c r="F132" s="18">
        <f t="shared" si="1"/>
        <v>38.76</v>
      </c>
      <c r="G132" s="17" t="str">
        <f>Github!H$696</f>
        <v>Algorithms</v>
      </c>
      <c r="H132" s="19" t="str">
        <f>SUBSTITUTE(Github!L$696, ";", ", ")</f>
        <v>Array, Depth-First Search, Breadth-First Search, Union Find, Matrix, </v>
      </c>
      <c r="I132" s="17" t="str">
        <f>Github!E$696</f>
        <v>Medium</v>
      </c>
      <c r="J132" s="17" t="str">
        <f>IF(TRIM(Github!D$696)="TRUE","FALSE","TRUE")</f>
        <v>TRUE</v>
      </c>
      <c r="K132" s="17" t="b">
        <f>Github!M$696</f>
        <v>1</v>
      </c>
      <c r="L132" s="17" t="b">
        <f>Github!N$696</f>
        <v>0</v>
      </c>
      <c r="M132" s="17" t="str">
        <f>ROUND(Github!O$696, 2)&amp;"%"</f>
        <v>69.18%</v>
      </c>
      <c r="N132" s="17">
        <f>Github!P$696</f>
        <v>427582</v>
      </c>
      <c r="O132" s="17">
        <f>Github!Q$696</f>
        <v>618077</v>
      </c>
    </row>
    <row r="133" ht="18.0" customHeight="1">
      <c r="A133" s="17">
        <f>Github!J$747</f>
        <v>746</v>
      </c>
      <c r="B133" s="27" t="str">
        <f>HYPERLINK(CONCAT("http://leetcode.com/problems/",Github!C$747), Github!B$747)</f>
        <v>Min Cost Climbing Stairs</v>
      </c>
      <c r="C133" s="17">
        <f>Github!F$747</f>
        <v>5493</v>
      </c>
      <c r="D133" s="17">
        <f>Github!G$747</f>
        <v>961</v>
      </c>
      <c r="E133" s="17">
        <f>Github!F$747+Github!G$747</f>
        <v>6454</v>
      </c>
      <c r="F133" s="18">
        <f t="shared" si="1"/>
        <v>5.72</v>
      </c>
      <c r="G133" s="17" t="str">
        <f>Github!H$747</f>
        <v>Algorithms</v>
      </c>
      <c r="H133" s="19" t="str">
        <f>SUBSTITUTE(Github!L$747, ";", ", ")</f>
        <v>Array, Dynamic Programming, </v>
      </c>
      <c r="I133" s="17" t="str">
        <f>Github!E$747</f>
        <v>Easy</v>
      </c>
      <c r="J133" s="17" t="str">
        <f>IF(TRIM(Github!D$747)="TRUE","FALSE","TRUE")</f>
        <v>TRUE</v>
      </c>
      <c r="K133" s="17" t="b">
        <f>Github!M$747</f>
        <v>1</v>
      </c>
      <c r="L133" s="17" t="b">
        <f>Github!N$747</f>
        <v>0</v>
      </c>
      <c r="M133" s="17" t="str">
        <f>ROUND(Github!O$747, 2)&amp;"%"</f>
        <v>58.17%</v>
      </c>
      <c r="N133" s="17">
        <f>Github!P$747</f>
        <v>427861</v>
      </c>
      <c r="O133" s="17">
        <f>Github!Q$747</f>
        <v>735506</v>
      </c>
    </row>
    <row r="134" ht="18.0" customHeight="1">
      <c r="A134" s="17">
        <f>Github!J$144</f>
        <v>143</v>
      </c>
      <c r="B134" s="27" t="str">
        <f>HYPERLINK(CONCAT("http://leetcode.com/problems/",Github!C$144), Github!B$144)</f>
        <v>Reorder List</v>
      </c>
      <c r="C134" s="17">
        <f>Github!F$144</f>
        <v>5458</v>
      </c>
      <c r="D134" s="17">
        <f>Github!G$144</f>
        <v>202</v>
      </c>
      <c r="E134" s="17">
        <f>Github!F$144+Github!G$144</f>
        <v>5660</v>
      </c>
      <c r="F134" s="18">
        <f t="shared" si="1"/>
        <v>27.02</v>
      </c>
      <c r="G134" s="17" t="str">
        <f>Github!H$144</f>
        <v>Algorithms</v>
      </c>
      <c r="H134" s="19" t="str">
        <f>SUBSTITUTE(Github!L$144, ";", ", ")</f>
        <v>Linked List, Two Pointers, Stack, Recursion, </v>
      </c>
      <c r="I134" s="17" t="str">
        <f>Github!E$144</f>
        <v>Medium</v>
      </c>
      <c r="J134" s="17" t="str">
        <f>IF(TRIM(Github!D$144)="TRUE","FALSE","TRUE")</f>
        <v>TRUE</v>
      </c>
      <c r="K134" s="17" t="b">
        <f>Github!M$144</f>
        <v>1</v>
      </c>
      <c r="L134" s="17" t="b">
        <f>Github!N$144</f>
        <v>0</v>
      </c>
      <c r="M134" s="17" t="str">
        <f>ROUND(Github!O$144, 2)&amp;"%"</f>
        <v>47.09%</v>
      </c>
      <c r="N134" s="17">
        <f>Github!P$144</f>
        <v>452150</v>
      </c>
      <c r="O134" s="17">
        <f>Github!Q$144</f>
        <v>960240</v>
      </c>
    </row>
    <row r="135" ht="18.0" customHeight="1">
      <c r="A135" s="17">
        <f>Github!J$124</f>
        <v>123</v>
      </c>
      <c r="B135" s="27" t="str">
        <f>HYPERLINK(CONCAT("http://leetcode.com/problems/",Github!C$124), Github!B$124)</f>
        <v>Best Time to Buy and Sell Stock III</v>
      </c>
      <c r="C135" s="17">
        <f>Github!F$124</f>
        <v>5452</v>
      </c>
      <c r="D135" s="17">
        <f>Github!G$124</f>
        <v>114</v>
      </c>
      <c r="E135" s="17">
        <f>Github!F$124+Github!G$124</f>
        <v>5566</v>
      </c>
      <c r="F135" s="18">
        <f t="shared" si="1"/>
        <v>47.82</v>
      </c>
      <c r="G135" s="17" t="str">
        <f>Github!H$124</f>
        <v>Algorithms</v>
      </c>
      <c r="H135" s="19" t="str">
        <f>SUBSTITUTE(Github!L$124, ";", ", ")</f>
        <v>Array, Dynamic Programming, </v>
      </c>
      <c r="I135" s="17" t="str">
        <f>Github!E$124</f>
        <v>Hard</v>
      </c>
      <c r="J135" s="17" t="str">
        <f>IF(TRIM(Github!D$124)="TRUE","FALSE","TRUE")</f>
        <v>TRUE</v>
      </c>
      <c r="K135" s="17" t="b">
        <f>Github!M$124</f>
        <v>1</v>
      </c>
      <c r="L135" s="17" t="b">
        <f>Github!N$124</f>
        <v>0</v>
      </c>
      <c r="M135" s="17" t="str">
        <f>ROUND(Github!O$124, 2)&amp;"%"</f>
        <v>42.85%</v>
      </c>
      <c r="N135" s="17">
        <f>Github!P$124</f>
        <v>366596</v>
      </c>
      <c r="O135" s="17">
        <f>Github!Q$124</f>
        <v>855475</v>
      </c>
    </row>
    <row r="136" ht="18.0" customHeight="1">
      <c r="A136" s="17">
        <f>Github!J$104</f>
        <v>103</v>
      </c>
      <c r="B136" s="27" t="str">
        <f>HYPERLINK(CONCAT("http://leetcode.com/problems/",Github!C$104), Github!B$104)</f>
        <v>Binary Tree Zigzag Level Order Traversal</v>
      </c>
      <c r="C136" s="17">
        <f>Github!F$104</f>
        <v>5430</v>
      </c>
      <c r="D136" s="17">
        <f>Github!G$104</f>
        <v>167</v>
      </c>
      <c r="E136" s="17">
        <f>Github!F$104+Github!G$104</f>
        <v>5597</v>
      </c>
      <c r="F136" s="18">
        <f t="shared" si="1"/>
        <v>32.51</v>
      </c>
      <c r="G136" s="17" t="str">
        <f>Github!H$104</f>
        <v>Algorithms</v>
      </c>
      <c r="H136" s="19" t="str">
        <f>SUBSTITUTE(Github!L$104, ";", ", ")</f>
        <v>Tree, Breadth-First Search, Binary Tree, </v>
      </c>
      <c r="I136" s="17" t="str">
        <f>Github!E$104</f>
        <v>Medium</v>
      </c>
      <c r="J136" s="17" t="str">
        <f>IF(TRIM(Github!D$104)="TRUE","FALSE","TRUE")</f>
        <v>TRUE</v>
      </c>
      <c r="K136" s="17" t="b">
        <f>Github!M$104</f>
        <v>1</v>
      </c>
      <c r="L136" s="17" t="b">
        <f>Github!N$104</f>
        <v>0</v>
      </c>
      <c r="M136" s="17" t="str">
        <f>ROUND(Github!O$104, 2)&amp;"%"</f>
        <v>53.2%</v>
      </c>
      <c r="N136" s="17">
        <f>Github!P$104</f>
        <v>672658</v>
      </c>
      <c r="O136" s="17">
        <f>Github!Q$104</f>
        <v>1264306</v>
      </c>
    </row>
    <row r="137" ht="18.0" customHeight="1">
      <c r="A137" s="17">
        <f>Github!J$17</f>
        <v>16</v>
      </c>
      <c r="B137" s="27" t="str">
        <f>HYPERLINK(CONCAT("http://leetcode.com/problems/",Github!C$17), Github!B$17)</f>
        <v>3Sum Closest</v>
      </c>
      <c r="C137" s="17">
        <f>Github!F$17</f>
        <v>5428</v>
      </c>
      <c r="D137" s="17">
        <f>Github!G$17</f>
        <v>235</v>
      </c>
      <c r="E137" s="17">
        <f>Github!F$17+Github!G$17</f>
        <v>5663</v>
      </c>
      <c r="F137" s="18">
        <f t="shared" si="1"/>
        <v>23.1</v>
      </c>
      <c r="G137" s="17" t="str">
        <f>Github!H$17</f>
        <v>Algorithms</v>
      </c>
      <c r="H137" s="19" t="str">
        <f>SUBSTITUTE(Github!L$17, ";", ", ")</f>
        <v>Array, Two Pointers, Sorting, </v>
      </c>
      <c r="I137" s="17" t="str">
        <f>Github!E$17</f>
        <v>Medium</v>
      </c>
      <c r="J137" s="17" t="str">
        <f>IF(TRIM(Github!D$17)="TRUE","FALSE","TRUE")</f>
        <v>TRUE</v>
      </c>
      <c r="K137" s="17" t="b">
        <f>Github!M$17</f>
        <v>1</v>
      </c>
      <c r="L137" s="17" t="b">
        <f>Github!N$17</f>
        <v>0</v>
      </c>
      <c r="M137" s="17" t="str">
        <f>ROUND(Github!O$17, 2)&amp;"%"</f>
        <v>47.05%</v>
      </c>
      <c r="N137" s="17">
        <f>Github!P$17</f>
        <v>762835</v>
      </c>
      <c r="O137" s="17">
        <f>Github!Q$17</f>
        <v>1621211</v>
      </c>
    </row>
    <row r="138" ht="18.0" customHeight="1">
      <c r="A138" s="17">
        <f>Github!J$568</f>
        <v>567</v>
      </c>
      <c r="B138" s="27" t="str">
        <f>HYPERLINK(CONCAT("http://leetcode.com/problems/",Github!C$568), Github!B$568)</f>
        <v>Permutation in String</v>
      </c>
      <c r="C138" s="17">
        <f>Github!F$568</f>
        <v>5422</v>
      </c>
      <c r="D138" s="17">
        <f>Github!G$568</f>
        <v>156</v>
      </c>
      <c r="E138" s="17">
        <f>Github!F$568+Github!G$568</f>
        <v>5578</v>
      </c>
      <c r="F138" s="18">
        <f t="shared" si="1"/>
        <v>34.76</v>
      </c>
      <c r="G138" s="17" t="str">
        <f>Github!H$568</f>
        <v>Algorithms</v>
      </c>
      <c r="H138" s="19" t="str">
        <f>SUBSTITUTE(Github!L$568, ";", ", ")</f>
        <v>Hash Table, Two Pointers, String, Sliding Window, </v>
      </c>
      <c r="I138" s="17" t="str">
        <f>Github!E$568</f>
        <v>Medium</v>
      </c>
      <c r="J138" s="17" t="str">
        <f>IF(TRIM(Github!D$568)="TRUE","FALSE","TRUE")</f>
        <v>TRUE</v>
      </c>
      <c r="K138" s="17" t="b">
        <f>Github!M$568</f>
        <v>1</v>
      </c>
      <c r="L138" s="17" t="b">
        <f>Github!N$568</f>
        <v>0</v>
      </c>
      <c r="M138" s="17" t="str">
        <f>ROUND(Github!O$568, 2)&amp;"%"</f>
        <v>45.01%</v>
      </c>
      <c r="N138" s="17">
        <f>Github!P$568</f>
        <v>350009</v>
      </c>
      <c r="O138" s="17">
        <f>Github!Q$568</f>
        <v>777692</v>
      </c>
    </row>
    <row r="139" ht="18.0" customHeight="1">
      <c r="A139" s="17">
        <f>Github!J$310</f>
        <v>309</v>
      </c>
      <c r="B139" s="27" t="str">
        <f>HYPERLINK(CONCAT("http://leetcode.com/problems/",Github!C$310), Github!B$310)</f>
        <v>Best Time to Buy and Sell Stock with Cooldown</v>
      </c>
      <c r="C139" s="17">
        <f>Github!F$310</f>
        <v>5399</v>
      </c>
      <c r="D139" s="17">
        <f>Github!G$310</f>
        <v>185</v>
      </c>
      <c r="E139" s="17">
        <f>Github!F$310+Github!G$310</f>
        <v>5584</v>
      </c>
      <c r="F139" s="18">
        <f t="shared" si="1"/>
        <v>29.18</v>
      </c>
      <c r="G139" s="17" t="str">
        <f>Github!H$310</f>
        <v>Algorithms</v>
      </c>
      <c r="H139" s="19" t="str">
        <f>SUBSTITUTE(Github!L$310, ";", ", ")</f>
        <v>Array, Dynamic Programming, </v>
      </c>
      <c r="I139" s="17" t="str">
        <f>Github!E$310</f>
        <v>Medium</v>
      </c>
      <c r="J139" s="17" t="str">
        <f>IF(TRIM(Github!D$310)="TRUE","FALSE","TRUE")</f>
        <v>TRUE</v>
      </c>
      <c r="K139" s="17" t="b">
        <f>Github!M$310</f>
        <v>1</v>
      </c>
      <c r="L139" s="17" t="b">
        <f>Github!N$310</f>
        <v>0</v>
      </c>
      <c r="M139" s="17" t="str">
        <f>ROUND(Github!O$310, 2)&amp;"%"</f>
        <v>51.99%</v>
      </c>
      <c r="N139" s="17">
        <f>Github!P$310</f>
        <v>263825</v>
      </c>
      <c r="O139" s="17">
        <f>Github!Q$310</f>
        <v>507406</v>
      </c>
    </row>
    <row r="140" ht="18.0" customHeight="1">
      <c r="A140" s="17">
        <f>Github!J$83</f>
        <v>82</v>
      </c>
      <c r="B140" s="27" t="str">
        <f>HYPERLINK(CONCAT("http://leetcode.com/problems/",Github!C$83), Github!B$83)</f>
        <v>Remove Duplicates from Sorted List II</v>
      </c>
      <c r="C140" s="17">
        <f>Github!F$83</f>
        <v>5401</v>
      </c>
      <c r="D140" s="17">
        <f>Github!G$83</f>
        <v>161</v>
      </c>
      <c r="E140" s="17">
        <f>Github!F$83+Github!G$83</f>
        <v>5562</v>
      </c>
      <c r="F140" s="18">
        <f t="shared" si="1"/>
        <v>33.55</v>
      </c>
      <c r="G140" s="17" t="str">
        <f>Github!H$83</f>
        <v>Algorithms</v>
      </c>
      <c r="H140" s="19" t="str">
        <f>SUBSTITUTE(Github!L$83, ";", ", ")</f>
        <v>Linked List, Two Pointers, </v>
      </c>
      <c r="I140" s="17" t="str">
        <f>Github!E$83</f>
        <v>Medium</v>
      </c>
      <c r="J140" s="17" t="str">
        <f>IF(TRIM(Github!D$83)="TRUE","FALSE","TRUE")</f>
        <v>TRUE</v>
      </c>
      <c r="K140" s="17" t="b">
        <f>Github!M$83</f>
        <v>1</v>
      </c>
      <c r="L140" s="17" t="b">
        <f>Github!N$83</f>
        <v>0</v>
      </c>
      <c r="M140" s="17" t="str">
        <f>ROUND(Github!O$83, 2)&amp;"%"</f>
        <v>43.93%</v>
      </c>
      <c r="N140" s="17">
        <f>Github!P$83</f>
        <v>466583</v>
      </c>
      <c r="O140" s="17">
        <f>Github!Q$83</f>
        <v>1062201</v>
      </c>
    </row>
    <row r="141" ht="18.0" customHeight="1">
      <c r="A141" s="17">
        <f>Github!J$134</f>
        <v>133</v>
      </c>
      <c r="B141" s="27" t="str">
        <f>HYPERLINK(CONCAT("http://leetcode.com/problems/",Github!C$134), Github!B$134)</f>
        <v>Clone Graph</v>
      </c>
      <c r="C141" s="17">
        <f>Github!F$134</f>
        <v>5344</v>
      </c>
      <c r="D141" s="17">
        <f>Github!G$134</f>
        <v>2390</v>
      </c>
      <c r="E141" s="17">
        <f>Github!F$134+Github!G$134</f>
        <v>7734</v>
      </c>
      <c r="F141" s="18">
        <f t="shared" si="1"/>
        <v>2.24</v>
      </c>
      <c r="G141" s="17" t="str">
        <f>Github!H$134</f>
        <v>Algorithms</v>
      </c>
      <c r="H141" s="19" t="str">
        <f>SUBSTITUTE(Github!L$134, ";", ", ")</f>
        <v>Hash Table, Depth-First Search, Breadth-First Search, Graph, </v>
      </c>
      <c r="I141" s="17" t="str">
        <f>Github!E$134</f>
        <v>Medium</v>
      </c>
      <c r="J141" s="17" t="str">
        <f>IF(TRIM(Github!D$134)="TRUE","FALSE","TRUE")</f>
        <v>TRUE</v>
      </c>
      <c r="K141" s="17" t="b">
        <f>Github!M$134</f>
        <v>1</v>
      </c>
      <c r="L141" s="17" t="b">
        <f>Github!N$134</f>
        <v>0</v>
      </c>
      <c r="M141" s="17" t="str">
        <f>ROUND(Github!O$134, 2)&amp;"%"</f>
        <v>46.82%</v>
      </c>
      <c r="N141" s="17">
        <f>Github!P$134</f>
        <v>674843</v>
      </c>
      <c r="O141" s="17">
        <f>Github!Q$134</f>
        <v>1441288</v>
      </c>
    </row>
    <row r="142" ht="18.0" customHeight="1">
      <c r="A142" s="17">
        <f>Github!J$52</f>
        <v>51</v>
      </c>
      <c r="B142" s="27" t="str">
        <f>HYPERLINK(CONCAT("http://leetcode.com/problems/",Github!C$52), Github!B$52)</f>
        <v>N-Queens</v>
      </c>
      <c r="C142" s="17">
        <f>Github!F$52</f>
        <v>5335</v>
      </c>
      <c r="D142" s="17">
        <f>Github!G$52</f>
        <v>145</v>
      </c>
      <c r="E142" s="17">
        <f>Github!F$52+Github!G$52</f>
        <v>5480</v>
      </c>
      <c r="F142" s="18">
        <f t="shared" si="1"/>
        <v>36.79</v>
      </c>
      <c r="G142" s="17" t="str">
        <f>Github!H$52</f>
        <v>Algorithms</v>
      </c>
      <c r="H142" s="19" t="str">
        <f>SUBSTITUTE(Github!L$52, ";", ", ")</f>
        <v>Array, Backtracking, </v>
      </c>
      <c r="I142" s="17" t="str">
        <f>Github!E$52</f>
        <v>Hard</v>
      </c>
      <c r="J142" s="17" t="str">
        <f>IF(TRIM(Github!D$52)="TRUE","FALSE","TRUE")</f>
        <v>TRUE</v>
      </c>
      <c r="K142" s="17" t="b">
        <f>Github!M$52</f>
        <v>1</v>
      </c>
      <c r="L142" s="17" t="b">
        <f>Github!N$52</f>
        <v>0</v>
      </c>
      <c r="M142" s="17" t="str">
        <f>ROUND(Github!O$52, 2)&amp;"%"</f>
        <v>56.63%</v>
      </c>
      <c r="N142" s="17">
        <f>Github!P$52</f>
        <v>347022</v>
      </c>
      <c r="O142" s="17">
        <f>Github!Q$52</f>
        <v>612829</v>
      </c>
    </row>
    <row r="143" ht="18.0" customHeight="1">
      <c r="A143" s="17">
        <f>Github!J$10</f>
        <v>9</v>
      </c>
      <c r="B143" s="27" t="str">
        <f>HYPERLINK(CONCAT("http://leetcode.com/problems/",Github!C$10), Github!B$10)</f>
        <v>Palindrome Number</v>
      </c>
      <c r="C143" s="17">
        <f>Github!F$10</f>
        <v>5322</v>
      </c>
      <c r="D143" s="17">
        <f>Github!G$10</f>
        <v>2056</v>
      </c>
      <c r="E143" s="17">
        <f>Github!F$10+Github!G$10</f>
        <v>7378</v>
      </c>
      <c r="F143" s="18">
        <f t="shared" si="1"/>
        <v>2.59</v>
      </c>
      <c r="G143" s="17" t="str">
        <f>Github!H$10</f>
        <v>Algorithms</v>
      </c>
      <c r="H143" s="19" t="str">
        <f>SUBSTITUTE(Github!L$10, ";", ", ")</f>
        <v>Math, </v>
      </c>
      <c r="I143" s="17" t="str">
        <f>Github!E$10</f>
        <v>Easy</v>
      </c>
      <c r="J143" s="17" t="str">
        <f>IF(TRIM(Github!D$10)="TRUE","FALSE","TRUE")</f>
        <v>TRUE</v>
      </c>
      <c r="K143" s="17" t="b">
        <f>Github!M$10</f>
        <v>1</v>
      </c>
      <c r="L143" s="17" t="b">
        <f>Github!N$10</f>
        <v>0</v>
      </c>
      <c r="M143" s="17" t="str">
        <f>ROUND(Github!O$10, 2)&amp;"%"</f>
        <v>52.2%</v>
      </c>
      <c r="N143" s="17">
        <f>Github!P$10</f>
        <v>1908907</v>
      </c>
      <c r="O143" s="17">
        <f>Github!Q$10</f>
        <v>3656628</v>
      </c>
    </row>
    <row r="144" ht="18.0" customHeight="1">
      <c r="A144" s="17">
        <f>Github!J$111</f>
        <v>110</v>
      </c>
      <c r="B144" s="27" t="str">
        <f>HYPERLINK(CONCAT("http://leetcode.com/problems/",Github!C$111), Github!B$111)</f>
        <v>Balanced Binary Tree</v>
      </c>
      <c r="C144" s="17">
        <f>Github!F$111</f>
        <v>5317</v>
      </c>
      <c r="D144" s="17">
        <f>Github!G$111</f>
        <v>289</v>
      </c>
      <c r="E144" s="17">
        <f>Github!F$111+Github!G$111</f>
        <v>5606</v>
      </c>
      <c r="F144" s="18">
        <f t="shared" si="1"/>
        <v>18.4</v>
      </c>
      <c r="G144" s="17" t="str">
        <f>Github!H$111</f>
        <v>Algorithms</v>
      </c>
      <c r="H144" s="19" t="str">
        <f>SUBSTITUTE(Github!L$111, ";", ", ")</f>
        <v>Tree, Depth-First Search, Binary Tree, </v>
      </c>
      <c r="I144" s="17" t="str">
        <f>Github!E$111</f>
        <v>Easy</v>
      </c>
      <c r="J144" s="17" t="str">
        <f>IF(TRIM(Github!D$111)="TRUE","FALSE","TRUE")</f>
        <v>TRUE</v>
      </c>
      <c r="K144" s="17" t="b">
        <f>Github!M$111</f>
        <v>1</v>
      </c>
      <c r="L144" s="17" t="b">
        <f>Github!N$111</f>
        <v>0</v>
      </c>
      <c r="M144" s="17" t="str">
        <f>ROUND(Github!O$111, 2)&amp;"%"</f>
        <v>46.49%</v>
      </c>
      <c r="N144" s="17">
        <f>Github!P$111</f>
        <v>718872</v>
      </c>
      <c r="O144" s="17">
        <f>Github!Q$111</f>
        <v>1546379</v>
      </c>
    </row>
    <row r="145" ht="18.0" customHeight="1">
      <c r="A145" s="17">
        <f>Github!J$254</f>
        <v>253</v>
      </c>
      <c r="B145" s="27" t="str">
        <f>HYPERLINK(CONCAT("http://leetcode.com/problems/",Github!C$254), Github!B$254)</f>
        <v>Meeting Rooms II</v>
      </c>
      <c r="C145" s="17">
        <f>Github!F$254</f>
        <v>5236</v>
      </c>
      <c r="D145" s="17">
        <f>Github!G$254</f>
        <v>104</v>
      </c>
      <c r="E145" s="17">
        <f>Github!F$254+Github!G$254</f>
        <v>5340</v>
      </c>
      <c r="F145" s="18">
        <f t="shared" si="1"/>
        <v>50.35</v>
      </c>
      <c r="G145" s="17" t="str">
        <f>Github!H$254</f>
        <v>Algorithms</v>
      </c>
      <c r="H145" s="19" t="str">
        <f>SUBSTITUTE(Github!L$254, ";", ", ")</f>
        <v>Array, Two Pointers, Greedy, Sorting, Heap (Priority Queue), </v>
      </c>
      <c r="I145" s="17" t="str">
        <f>Github!E$254</f>
        <v>Medium</v>
      </c>
      <c r="J145" s="17" t="str">
        <f>IF(TRIM(Github!D$254)="TRUE","FALSE","TRUE")</f>
        <v>FALSE</v>
      </c>
      <c r="K145" s="17" t="b">
        <f>Github!M$254</f>
        <v>1</v>
      </c>
      <c r="L145" s="17" t="b">
        <f>Github!N$254</f>
        <v>0</v>
      </c>
      <c r="M145" s="17" t="str">
        <f>ROUND(Github!O$254, 2)&amp;"%"</f>
        <v>49.4%</v>
      </c>
      <c r="N145" s="17">
        <f>Github!P$254</f>
        <v>599198</v>
      </c>
      <c r="O145" s="17">
        <f>Github!Q$254</f>
        <v>1212875</v>
      </c>
    </row>
    <row r="146" ht="18.0" customHeight="1">
      <c r="A146" s="17">
        <f>Github!J$316</f>
        <v>315</v>
      </c>
      <c r="B146" s="27" t="str">
        <f>HYPERLINK(CONCAT("http://leetcode.com/problems/",Github!C$316), Github!B$316)</f>
        <v>Count of Smaller Numbers After Self</v>
      </c>
      <c r="C146" s="17">
        <f>Github!F$316</f>
        <v>5234</v>
      </c>
      <c r="D146" s="17">
        <f>Github!G$316</f>
        <v>150</v>
      </c>
      <c r="E146" s="17">
        <f>Github!F$316+Github!G$316</f>
        <v>5384</v>
      </c>
      <c r="F146" s="18">
        <f t="shared" si="1"/>
        <v>34.89</v>
      </c>
      <c r="G146" s="17" t="str">
        <f>Github!H$316</f>
        <v>Algorithms</v>
      </c>
      <c r="H146" s="19" t="str">
        <f>SUBSTITUTE(Github!L$316, ";", ", ")</f>
        <v>Array, Binary Search, Divide and Conquer, Binary Indexed Tree, Segment Tree, Merge Sort, Ordered Set, </v>
      </c>
      <c r="I146" s="17" t="str">
        <f>Github!E$316</f>
        <v>Hard</v>
      </c>
      <c r="J146" s="17" t="str">
        <f>IF(TRIM(Github!D$316)="TRUE","FALSE","TRUE")</f>
        <v>TRUE</v>
      </c>
      <c r="K146" s="17" t="b">
        <f>Github!M$316</f>
        <v>1</v>
      </c>
      <c r="L146" s="17" t="b">
        <f>Github!N$316</f>
        <v>0</v>
      </c>
      <c r="M146" s="17" t="str">
        <f>ROUND(Github!O$316, 2)&amp;"%"</f>
        <v>42.06%</v>
      </c>
      <c r="N146" s="17">
        <f>Github!P$316</f>
        <v>220056</v>
      </c>
      <c r="O146" s="17">
        <f>Github!Q$316</f>
        <v>523149</v>
      </c>
    </row>
    <row r="147" ht="18.0" customHeight="1">
      <c r="A147" s="17">
        <f>Github!J$101</f>
        <v>100</v>
      </c>
      <c r="B147" s="27" t="str">
        <f>HYPERLINK(CONCAT("http://leetcode.com/problems/",Github!C$101), Github!B$101)</f>
        <v>Same Tree</v>
      </c>
      <c r="C147" s="17">
        <f>Github!F$101</f>
        <v>5220</v>
      </c>
      <c r="D147" s="17">
        <f>Github!G$101</f>
        <v>127</v>
      </c>
      <c r="E147" s="17">
        <f>Github!F$101+Github!G$101</f>
        <v>5347</v>
      </c>
      <c r="F147" s="18">
        <f t="shared" si="1"/>
        <v>41.1</v>
      </c>
      <c r="G147" s="17" t="str">
        <f>Github!H$101</f>
        <v>Algorithms</v>
      </c>
      <c r="H147" s="19" t="str">
        <f>SUBSTITUTE(Github!L$101, ";", ", ")</f>
        <v>Tree, Depth-First Search, Breadth-First Search, Binary Tree, </v>
      </c>
      <c r="I147" s="17" t="str">
        <f>Github!E$101</f>
        <v>Easy</v>
      </c>
      <c r="J147" s="17" t="str">
        <f>IF(TRIM(Github!D$101)="TRUE","FALSE","TRUE")</f>
        <v>TRUE</v>
      </c>
      <c r="K147" s="17" t="b">
        <f>Github!M$101</f>
        <v>1</v>
      </c>
      <c r="L147" s="17" t="b">
        <f>Github!N$101</f>
        <v>0</v>
      </c>
      <c r="M147" s="17" t="str">
        <f>ROUND(Github!O$101, 2)&amp;"%"</f>
        <v>55.34%</v>
      </c>
      <c r="N147" s="17">
        <f>Github!P$101</f>
        <v>971446</v>
      </c>
      <c r="O147" s="17">
        <f>Github!Q$101</f>
        <v>1755469</v>
      </c>
    </row>
    <row r="148" ht="18.0" customHeight="1">
      <c r="A148" s="17">
        <f>Github!J$236</f>
        <v>235</v>
      </c>
      <c r="B148" s="27" t="str">
        <f>HYPERLINK(CONCAT("http://leetcode.com/problems/",Github!C$236), Github!B$236)</f>
        <v>Lowest Common Ancestor of a Binary Search Tree</v>
      </c>
      <c r="C148" s="17">
        <f>Github!F$236</f>
        <v>5191</v>
      </c>
      <c r="D148" s="17">
        <f>Github!G$236</f>
        <v>174</v>
      </c>
      <c r="E148" s="17">
        <f>Github!F$236+Github!G$236</f>
        <v>5365</v>
      </c>
      <c r="F148" s="18">
        <f t="shared" si="1"/>
        <v>29.83</v>
      </c>
      <c r="G148" s="17" t="str">
        <f>Github!H$236</f>
        <v>Algorithms</v>
      </c>
      <c r="H148" s="19" t="str">
        <f>SUBSTITUTE(Github!L$236, ";", ", ")</f>
        <v>Tree, Depth-First Search, Binary Search Tree, Binary Tree, </v>
      </c>
      <c r="I148" s="17" t="str">
        <f>Github!E$236</f>
        <v>Easy</v>
      </c>
      <c r="J148" s="17" t="str">
        <f>IF(TRIM(Github!D$236)="TRUE","FALSE","TRUE")</f>
        <v>TRUE</v>
      </c>
      <c r="K148" s="17" t="b">
        <f>Github!M$236</f>
        <v>1</v>
      </c>
      <c r="L148" s="17" t="b">
        <f>Github!N$236</f>
        <v>0</v>
      </c>
      <c r="M148" s="17" t="str">
        <f>ROUND(Github!O$236, 2)&amp;"%"</f>
        <v>56.46%</v>
      </c>
      <c r="N148" s="17">
        <f>Github!P$236</f>
        <v>701994</v>
      </c>
      <c r="O148" s="17">
        <f>Github!Q$236</f>
        <v>1243412</v>
      </c>
    </row>
    <row r="149" ht="18.0" customHeight="1">
      <c r="A149" s="17">
        <f>Github!J$526</f>
        <v>525</v>
      </c>
      <c r="B149" s="27" t="str">
        <f>HYPERLINK(CONCAT("http://leetcode.com/problems/",Github!C$526), Github!B$526)</f>
        <v>Contiguous Array</v>
      </c>
      <c r="C149" s="17">
        <f>Github!F$526</f>
        <v>5144</v>
      </c>
      <c r="D149" s="17">
        <f>Github!G$526</f>
        <v>221</v>
      </c>
      <c r="E149" s="17">
        <f>Github!F$526+Github!G$526</f>
        <v>5365</v>
      </c>
      <c r="F149" s="18">
        <f t="shared" si="1"/>
        <v>23.28</v>
      </c>
      <c r="G149" s="17" t="str">
        <f>Github!H$526</f>
        <v>Algorithms</v>
      </c>
      <c r="H149" s="19" t="str">
        <f>SUBSTITUTE(Github!L$526, ";", ", ")</f>
        <v>Array, Hash Table, Prefix Sum, </v>
      </c>
      <c r="I149" s="17" t="str">
        <f>Github!E$526</f>
        <v>Medium</v>
      </c>
      <c r="J149" s="17" t="str">
        <f>IF(TRIM(Github!D$526)="TRUE","FALSE","TRUE")</f>
        <v>TRUE</v>
      </c>
      <c r="K149" s="17" t="b">
        <f>Github!M$526</f>
        <v>1</v>
      </c>
      <c r="L149" s="17" t="b">
        <f>Github!N$526</f>
        <v>0</v>
      </c>
      <c r="M149" s="17" t="str">
        <f>ROUND(Github!O$526, 2)&amp;"%"</f>
        <v>46.2%</v>
      </c>
      <c r="N149" s="17">
        <f>Github!P$526</f>
        <v>254317</v>
      </c>
      <c r="O149" s="17">
        <f>Github!Q$526</f>
        <v>550433</v>
      </c>
    </row>
    <row r="150" ht="18.0" customHeight="1">
      <c r="A150" s="17">
        <f>Github!J$381</f>
        <v>380</v>
      </c>
      <c r="B150" s="27" t="str">
        <f>HYPERLINK(CONCAT("http://leetcode.com/problems/",Github!C$381), Github!B$381)</f>
        <v>Insert Delete GetRandom O(1)</v>
      </c>
      <c r="C150" s="17">
        <f>Github!F$381</f>
        <v>5135</v>
      </c>
      <c r="D150" s="17">
        <f>Github!G$381</f>
        <v>272</v>
      </c>
      <c r="E150" s="17">
        <f>Github!F$381+Github!G$381</f>
        <v>5407</v>
      </c>
      <c r="F150" s="18">
        <f t="shared" si="1"/>
        <v>18.88</v>
      </c>
      <c r="G150" s="17" t="str">
        <f>Github!H$381</f>
        <v>Algorithms</v>
      </c>
      <c r="H150" s="19" t="str">
        <f>SUBSTITUTE(Github!L$381, ";", ", ")</f>
        <v>Array, Hash Table, Math, Design, Randomized, </v>
      </c>
      <c r="I150" s="17" t="str">
        <f>Github!E$381</f>
        <v>Medium</v>
      </c>
      <c r="J150" s="17" t="str">
        <f>IF(TRIM(Github!D$381)="TRUE","FALSE","TRUE")</f>
        <v>TRUE</v>
      </c>
      <c r="K150" s="17" t="b">
        <f>Github!M$381</f>
        <v>1</v>
      </c>
      <c r="L150" s="17" t="b">
        <f>Github!N$381</f>
        <v>0</v>
      </c>
      <c r="M150" s="17" t="str">
        <f>ROUND(Github!O$381, 2)&amp;"%"</f>
        <v>51.15%</v>
      </c>
      <c r="N150" s="17">
        <f>Github!P$381</f>
        <v>454744</v>
      </c>
      <c r="O150" s="17">
        <f>Github!Q$381</f>
        <v>889115</v>
      </c>
    </row>
    <row r="151" ht="18.0" customHeight="1">
      <c r="A151" s="17">
        <f>Github!J$119</f>
        <v>118</v>
      </c>
      <c r="B151" s="27" t="str">
        <f>HYPERLINK(CONCAT("http://leetcode.com/problems/",Github!C$119), Github!B$119)</f>
        <v>Pascal's Triangle</v>
      </c>
      <c r="C151" s="17">
        <f>Github!F$119</f>
        <v>5134</v>
      </c>
      <c r="D151" s="17">
        <f>Github!G$119</f>
        <v>198</v>
      </c>
      <c r="E151" s="17">
        <f>Github!F$119+Github!G$119</f>
        <v>5332</v>
      </c>
      <c r="F151" s="18">
        <f t="shared" si="1"/>
        <v>25.93</v>
      </c>
      <c r="G151" s="17" t="str">
        <f>Github!H$119</f>
        <v>Algorithms</v>
      </c>
      <c r="H151" s="19" t="str">
        <f>SUBSTITUTE(Github!L$119, ";", ", ")</f>
        <v>Array, Dynamic Programming, </v>
      </c>
      <c r="I151" s="17" t="str">
        <f>Github!E$119</f>
        <v>Easy</v>
      </c>
      <c r="J151" s="17" t="str">
        <f>IF(TRIM(Github!D$119)="TRUE","FALSE","TRUE")</f>
        <v>TRUE</v>
      </c>
      <c r="K151" s="17" t="b">
        <f>Github!M$119</f>
        <v>1</v>
      </c>
      <c r="L151" s="17" t="b">
        <f>Github!N$119</f>
        <v>1</v>
      </c>
      <c r="M151" s="17" t="str">
        <f>ROUND(Github!O$119, 2)&amp;"%"</f>
        <v>63.45%</v>
      </c>
      <c r="N151" s="17">
        <f>Github!P$119</f>
        <v>735080</v>
      </c>
      <c r="O151" s="17">
        <f>Github!Q$119</f>
        <v>1158576</v>
      </c>
    </row>
    <row r="152" ht="18.0" customHeight="1">
      <c r="A152" s="17">
        <f>Github!J$974</f>
        <v>973</v>
      </c>
      <c r="B152" s="27" t="str">
        <f>HYPERLINK(CONCAT("http://leetcode.com/problems/",Github!C$974), Github!B$974)</f>
        <v>K Closest Points to Origin</v>
      </c>
      <c r="C152" s="17">
        <f>Github!F$974</f>
        <v>5097</v>
      </c>
      <c r="D152" s="17">
        <f>Github!G$974</f>
        <v>201</v>
      </c>
      <c r="E152" s="17">
        <f>Github!F$974+Github!G$974</f>
        <v>5298</v>
      </c>
      <c r="F152" s="18">
        <f t="shared" si="1"/>
        <v>25.36</v>
      </c>
      <c r="G152" s="17" t="str">
        <f>Github!H$974</f>
        <v>Algorithms</v>
      </c>
      <c r="H152" s="19" t="str">
        <f>SUBSTITUTE(Github!L$974, ";", ", ")</f>
        <v>Array, Math, Divide and Conquer, Geometry, Sorting, Heap (Priority Queue), Quickselect, </v>
      </c>
      <c r="I152" s="17" t="str">
        <f>Github!E$974</f>
        <v>Medium</v>
      </c>
      <c r="J152" s="17" t="str">
        <f>IF(TRIM(Github!D$974)="TRUE","FALSE","TRUE")</f>
        <v>TRUE</v>
      </c>
      <c r="K152" s="17" t="b">
        <f>Github!M$974</f>
        <v>1</v>
      </c>
      <c r="L152" s="17" t="b">
        <f>Github!N$974</f>
        <v>0</v>
      </c>
      <c r="M152" s="17" t="str">
        <f>ROUND(Github!O$974, 2)&amp;"%"</f>
        <v>66%</v>
      </c>
      <c r="N152" s="17">
        <f>Github!P$974</f>
        <v>706578</v>
      </c>
      <c r="O152" s="17">
        <f>Github!Q$974</f>
        <v>1070524</v>
      </c>
    </row>
    <row r="153" ht="18.0" customHeight="1">
      <c r="A153" s="17">
        <f>Github!J$113</f>
        <v>112</v>
      </c>
      <c r="B153" s="27" t="str">
        <f>HYPERLINK(CONCAT("http://leetcode.com/problems/",Github!C$113), Github!B$113)</f>
        <v>Path Sum</v>
      </c>
      <c r="C153" s="17">
        <f>Github!F$113</f>
        <v>5083</v>
      </c>
      <c r="D153" s="17">
        <f>Github!G$113</f>
        <v>763</v>
      </c>
      <c r="E153" s="17">
        <f>Github!F$113+Github!G$113</f>
        <v>5846</v>
      </c>
      <c r="F153" s="18">
        <f t="shared" si="1"/>
        <v>6.66</v>
      </c>
      <c r="G153" s="17" t="str">
        <f>Github!H$113</f>
        <v>Algorithms</v>
      </c>
      <c r="H153" s="19" t="str">
        <f>SUBSTITUTE(Github!L$113, ";", ", ")</f>
        <v>Tree, Depth-First Search, Breadth-First Search, Binary Tree, </v>
      </c>
      <c r="I153" s="17" t="str">
        <f>Github!E$113</f>
        <v>Easy</v>
      </c>
      <c r="J153" s="17" t="str">
        <f>IF(TRIM(Github!D$113)="TRUE","FALSE","TRUE")</f>
        <v>TRUE</v>
      </c>
      <c r="K153" s="17" t="b">
        <f>Github!M$113</f>
        <v>1</v>
      </c>
      <c r="L153" s="17" t="b">
        <f>Github!N$113</f>
        <v>0</v>
      </c>
      <c r="M153" s="17" t="str">
        <f>ROUND(Github!O$113, 2)&amp;"%"</f>
        <v>45.16%</v>
      </c>
      <c r="N153" s="17">
        <f>Github!P$113</f>
        <v>828596</v>
      </c>
      <c r="O153" s="17">
        <f>Github!Q$113</f>
        <v>1834881</v>
      </c>
    </row>
    <row r="154" ht="18.0" customHeight="1">
      <c r="A154" s="17">
        <f>Github!J$269</f>
        <v>268</v>
      </c>
      <c r="B154" s="27" t="str">
        <f>HYPERLINK(CONCAT("http://leetcode.com/problems/",Github!C$269), Github!B$269)</f>
        <v>Missing Number</v>
      </c>
      <c r="C154" s="17">
        <f>Github!F$269</f>
        <v>5039</v>
      </c>
      <c r="D154" s="17">
        <f>Github!G$269</f>
        <v>2806</v>
      </c>
      <c r="E154" s="17">
        <f>Github!F$269+Github!G$269</f>
        <v>7845</v>
      </c>
      <c r="F154" s="18">
        <f t="shared" si="1"/>
        <v>1.8</v>
      </c>
      <c r="G154" s="17" t="str">
        <f>Github!H$269</f>
        <v>Algorithms</v>
      </c>
      <c r="H154" s="19" t="str">
        <f>SUBSTITUTE(Github!L$269, ";", ", ")</f>
        <v>Array, Hash Table, Math, Bit Manipulation, Sorting, </v>
      </c>
      <c r="I154" s="17" t="str">
        <f>Github!E$269</f>
        <v>Easy</v>
      </c>
      <c r="J154" s="17" t="str">
        <f>IF(TRIM(Github!D$269)="TRUE","FALSE","TRUE")</f>
        <v>TRUE</v>
      </c>
      <c r="K154" s="17" t="b">
        <f>Github!M$269</f>
        <v>1</v>
      </c>
      <c r="L154" s="17" t="b">
        <f>Github!N$269</f>
        <v>0</v>
      </c>
      <c r="M154" s="17" t="str">
        <f>ROUND(Github!O$269, 2)&amp;"%"</f>
        <v>58.98%</v>
      </c>
      <c r="N154" s="17">
        <f>Github!P$269</f>
        <v>939465</v>
      </c>
      <c r="O154" s="17">
        <f>Github!Q$269</f>
        <v>1592981</v>
      </c>
    </row>
    <row r="155" ht="18.0" customHeight="1">
      <c r="A155" s="17">
        <f>Github!J$329</f>
        <v>328</v>
      </c>
      <c r="B155" s="27" t="str">
        <f>HYPERLINK(CONCAT("http://leetcode.com/problems/",Github!C$329), Github!B$329)</f>
        <v>Odd Even Linked List</v>
      </c>
      <c r="C155" s="17">
        <f>Github!F$329</f>
        <v>5037</v>
      </c>
      <c r="D155" s="17">
        <f>Github!G$329</f>
        <v>380</v>
      </c>
      <c r="E155" s="17">
        <f>Github!F$329+Github!G$329</f>
        <v>5417</v>
      </c>
      <c r="F155" s="18">
        <f t="shared" si="1"/>
        <v>13.26</v>
      </c>
      <c r="G155" s="17" t="str">
        <f>Github!H$329</f>
        <v>Algorithms</v>
      </c>
      <c r="H155" s="19" t="str">
        <f>SUBSTITUTE(Github!L$329, ";", ", ")</f>
        <v>Linked List, </v>
      </c>
      <c r="I155" s="17" t="str">
        <f>Github!E$329</f>
        <v>Medium</v>
      </c>
      <c r="J155" s="17" t="str">
        <f>IF(TRIM(Github!D$329)="TRUE","FALSE","TRUE")</f>
        <v>TRUE</v>
      </c>
      <c r="K155" s="17" t="b">
        <f>Github!M$329</f>
        <v>1</v>
      </c>
      <c r="L155" s="17" t="b">
        <f>Github!N$329</f>
        <v>0</v>
      </c>
      <c r="M155" s="17" t="str">
        <f>ROUND(Github!O$329, 2)&amp;"%"</f>
        <v>59.37%</v>
      </c>
      <c r="N155" s="17">
        <f>Github!P$329</f>
        <v>507124</v>
      </c>
      <c r="O155" s="17">
        <f>Github!Q$329</f>
        <v>854156</v>
      </c>
    </row>
    <row r="156" ht="18.0" customHeight="1">
      <c r="A156" s="17">
        <f>Github!J$174</f>
        <v>173</v>
      </c>
      <c r="B156" s="27" t="str">
        <f>HYPERLINK(CONCAT("http://leetcode.com/problems/",Github!C$174), Github!B$174)</f>
        <v>Binary Search Tree Iterator</v>
      </c>
      <c r="C156" s="17">
        <f>Github!F$174</f>
        <v>5013</v>
      </c>
      <c r="D156" s="17">
        <f>Github!G$174</f>
        <v>360</v>
      </c>
      <c r="E156" s="17">
        <f>Github!F$174+Github!G$174</f>
        <v>5373</v>
      </c>
      <c r="F156" s="18">
        <f t="shared" si="1"/>
        <v>13.93</v>
      </c>
      <c r="G156" s="17" t="str">
        <f>Github!H$174</f>
        <v>Algorithms</v>
      </c>
      <c r="H156" s="19" t="str">
        <f>SUBSTITUTE(Github!L$174, ";", ", ")</f>
        <v>Stack, Tree, Design, Binary Search Tree, Binary Tree, Iterator, </v>
      </c>
      <c r="I156" s="17" t="str">
        <f>Github!E$174</f>
        <v>Medium</v>
      </c>
      <c r="J156" s="17" t="str">
        <f>IF(TRIM(Github!D$174)="TRUE","FALSE","TRUE")</f>
        <v>TRUE</v>
      </c>
      <c r="K156" s="17" t="b">
        <f>Github!M$174</f>
        <v>1</v>
      </c>
      <c r="L156" s="17" t="b">
        <f>Github!N$174</f>
        <v>0</v>
      </c>
      <c r="M156" s="17" t="str">
        <f>ROUND(Github!O$174, 2)&amp;"%"</f>
        <v>65.17%</v>
      </c>
      <c r="N156" s="17">
        <f>Github!P$174</f>
        <v>510563</v>
      </c>
      <c r="O156" s="17">
        <f>Github!Q$174</f>
        <v>783432</v>
      </c>
    </row>
    <row r="157" ht="18.0" customHeight="1">
      <c r="A157" s="17">
        <f>Github!J$214</f>
        <v>213</v>
      </c>
      <c r="B157" s="27" t="str">
        <f>HYPERLINK(CONCAT("http://leetcode.com/problems/",Github!C$214), Github!B$214)</f>
        <v>House Robber II</v>
      </c>
      <c r="C157" s="17">
        <f>Github!F$214</f>
        <v>4999</v>
      </c>
      <c r="D157" s="17">
        <f>Github!G$214</f>
        <v>89</v>
      </c>
      <c r="E157" s="17">
        <f>Github!F$214+Github!G$214</f>
        <v>5088</v>
      </c>
      <c r="F157" s="18">
        <f t="shared" si="1"/>
        <v>56.17</v>
      </c>
      <c r="G157" s="17" t="str">
        <f>Github!H$214</f>
        <v>Algorithms</v>
      </c>
      <c r="H157" s="19" t="str">
        <f>SUBSTITUTE(Github!L$214, ";", ", ")</f>
        <v>Array, Dynamic Programming, </v>
      </c>
      <c r="I157" s="17" t="str">
        <f>Github!E$214</f>
        <v>Medium</v>
      </c>
      <c r="J157" s="17" t="str">
        <f>IF(TRIM(Github!D$214)="TRUE","FALSE","TRUE")</f>
        <v>TRUE</v>
      </c>
      <c r="K157" s="17" t="b">
        <f>Github!M$214</f>
        <v>1</v>
      </c>
      <c r="L157" s="17" t="b">
        <f>Github!N$214</f>
        <v>0</v>
      </c>
      <c r="M157" s="17" t="str">
        <f>ROUND(Github!O$214, 2)&amp;"%"</f>
        <v>39.62%</v>
      </c>
      <c r="N157" s="17">
        <f>Github!P$214</f>
        <v>364792</v>
      </c>
      <c r="O157" s="17">
        <f>Github!Q$214</f>
        <v>920830</v>
      </c>
    </row>
    <row r="158" ht="18.0" customHeight="1">
      <c r="A158" s="17">
        <f>Github!J$451</f>
        <v>450</v>
      </c>
      <c r="B158" s="27" t="str">
        <f>HYPERLINK(CONCAT("http://leetcode.com/problems/",Github!C$451), Github!B$451)</f>
        <v>Delete Node in a BST</v>
      </c>
      <c r="C158" s="17">
        <f>Github!F$451</f>
        <v>4980</v>
      </c>
      <c r="D158" s="17">
        <f>Github!G$451</f>
        <v>146</v>
      </c>
      <c r="E158" s="17">
        <f>Github!F$451+Github!G$451</f>
        <v>5126</v>
      </c>
      <c r="F158" s="18">
        <f t="shared" si="1"/>
        <v>34.11</v>
      </c>
      <c r="G158" s="17" t="str">
        <f>Github!H$451</f>
        <v>Algorithms</v>
      </c>
      <c r="H158" s="19" t="str">
        <f>SUBSTITUTE(Github!L$451, ";", ", ")</f>
        <v>Tree, Binary Search Tree, Binary Tree, </v>
      </c>
      <c r="I158" s="17" t="str">
        <f>Github!E$451</f>
        <v>Medium</v>
      </c>
      <c r="J158" s="17" t="str">
        <f>IF(TRIM(Github!D$451)="TRUE","FALSE","TRUE")</f>
        <v>TRUE</v>
      </c>
      <c r="K158" s="17" t="b">
        <f>Github!M$451</f>
        <v>1</v>
      </c>
      <c r="L158" s="17" t="b">
        <f>Github!N$451</f>
        <v>0</v>
      </c>
      <c r="M158" s="17" t="str">
        <f>ROUND(Github!O$451, 2)&amp;"%"</f>
        <v>48.65%</v>
      </c>
      <c r="N158" s="17">
        <f>Github!P$451</f>
        <v>258382</v>
      </c>
      <c r="O158" s="17">
        <f>Github!Q$451</f>
        <v>531068</v>
      </c>
    </row>
    <row r="159" ht="18.0" customHeight="1">
      <c r="A159" s="17">
        <f>Github!J$330</f>
        <v>329</v>
      </c>
      <c r="B159" s="27" t="str">
        <f>HYPERLINK(CONCAT("http://leetcode.com/problems/",Github!C$330), Github!B$330)</f>
        <v>Longest Increasing Path in a Matrix</v>
      </c>
      <c r="C159" s="17">
        <f>Github!F$330</f>
        <v>4958</v>
      </c>
      <c r="D159" s="17">
        <f>Github!G$330</f>
        <v>86</v>
      </c>
      <c r="E159" s="17">
        <f>Github!F$330+Github!G$330</f>
        <v>5044</v>
      </c>
      <c r="F159" s="18">
        <f t="shared" si="1"/>
        <v>57.65</v>
      </c>
      <c r="G159" s="17" t="str">
        <f>Github!H$330</f>
        <v>Algorithms</v>
      </c>
      <c r="H159" s="19" t="str">
        <f>SUBSTITUTE(Github!L$330, ";", ", ")</f>
        <v>Dynamic Programming, Depth-First Search, Breadth-First Search, Graph, Topological Sort, Memoization, </v>
      </c>
      <c r="I159" s="17" t="str">
        <f>Github!E$330</f>
        <v>Hard</v>
      </c>
      <c r="J159" s="17" t="str">
        <f>IF(TRIM(Github!D$330)="TRUE","FALSE","TRUE")</f>
        <v>TRUE</v>
      </c>
      <c r="K159" s="17" t="b">
        <f>Github!M$330</f>
        <v>1</v>
      </c>
      <c r="L159" s="17" t="b">
        <f>Github!N$330</f>
        <v>0</v>
      </c>
      <c r="M159" s="17" t="str">
        <f>ROUND(Github!O$330, 2)&amp;"%"</f>
        <v>49.31%</v>
      </c>
      <c r="N159" s="17">
        <f>Github!P$330</f>
        <v>307204</v>
      </c>
      <c r="O159" s="17">
        <f>Github!Q$330</f>
        <v>622948</v>
      </c>
    </row>
    <row r="160" ht="18.0" customHeight="1">
      <c r="A160" s="17">
        <f>Github!J$311</f>
        <v>310</v>
      </c>
      <c r="B160" s="27" t="str">
        <f>HYPERLINK(CONCAT("http://leetcode.com/problems/",Github!C$311), Github!B$311)</f>
        <v>Minimum Height Trees</v>
      </c>
      <c r="C160" s="17">
        <f>Github!F$311</f>
        <v>4942</v>
      </c>
      <c r="D160" s="17">
        <f>Github!G$311</f>
        <v>205</v>
      </c>
      <c r="E160" s="17">
        <f>Github!F$311+Github!G$311</f>
        <v>5147</v>
      </c>
      <c r="F160" s="18">
        <f t="shared" si="1"/>
        <v>24.11</v>
      </c>
      <c r="G160" s="17" t="str">
        <f>Github!H$311</f>
        <v>Algorithms</v>
      </c>
      <c r="H160" s="19" t="str">
        <f>SUBSTITUTE(Github!L$311, ";", ", ")</f>
        <v>Depth-First Search, Breadth-First Search, Graph, Topological Sort, </v>
      </c>
      <c r="I160" s="17" t="str">
        <f>Github!E$311</f>
        <v>Medium</v>
      </c>
      <c r="J160" s="17" t="str">
        <f>IF(TRIM(Github!D$311)="TRUE","FALSE","TRUE")</f>
        <v>TRUE</v>
      </c>
      <c r="K160" s="17" t="b">
        <f>Github!M$311</f>
        <v>1</v>
      </c>
      <c r="L160" s="17" t="b">
        <f>Github!N$311</f>
        <v>0</v>
      </c>
      <c r="M160" s="17" t="str">
        <f>ROUND(Github!O$311, 2)&amp;"%"</f>
        <v>38.02%</v>
      </c>
      <c r="N160" s="17">
        <f>Github!P$311</f>
        <v>188440</v>
      </c>
      <c r="O160" s="17">
        <f>Github!Q$311</f>
        <v>495698</v>
      </c>
    </row>
    <row r="161" ht="18.0" customHeight="1">
      <c r="A161" s="17">
        <f>Github!J$573</f>
        <v>572</v>
      </c>
      <c r="B161" s="27" t="str">
        <f>HYPERLINK(CONCAT("http://leetcode.com/problems/",Github!C$573), Github!B$573)</f>
        <v>Subtree of Another Tree</v>
      </c>
      <c r="C161" s="17">
        <f>Github!F$573</f>
        <v>4923</v>
      </c>
      <c r="D161" s="17">
        <f>Github!G$573</f>
        <v>251</v>
      </c>
      <c r="E161" s="17">
        <f>Github!F$573+Github!G$573</f>
        <v>5174</v>
      </c>
      <c r="F161" s="18">
        <f t="shared" si="1"/>
        <v>19.61</v>
      </c>
      <c r="G161" s="17" t="str">
        <f>Github!H$573</f>
        <v>Algorithms</v>
      </c>
      <c r="H161" s="19" t="str">
        <f>SUBSTITUTE(Github!L$573, ";", ", ")</f>
        <v>Tree, Depth-First Search, String Matching, Binary Tree, Hash Function, </v>
      </c>
      <c r="I161" s="17" t="str">
        <f>Github!E$573</f>
        <v>Easy</v>
      </c>
      <c r="J161" s="17" t="str">
        <f>IF(TRIM(Github!D$573)="TRUE","FALSE","TRUE")</f>
        <v>TRUE</v>
      </c>
      <c r="K161" s="17" t="b">
        <f>Github!M$573</f>
        <v>0</v>
      </c>
      <c r="L161" s="17" t="b">
        <f>Github!N$573</f>
        <v>0</v>
      </c>
      <c r="M161" s="17" t="str">
        <f>ROUND(Github!O$573, 2)&amp;"%"</f>
        <v>45.21%</v>
      </c>
      <c r="N161" s="17">
        <f>Github!P$573</f>
        <v>433697</v>
      </c>
      <c r="O161" s="17">
        <f>Github!Q$573</f>
        <v>959209</v>
      </c>
    </row>
    <row r="162" ht="18.0" customHeight="1">
      <c r="A162" s="17">
        <f>Github!J$203</f>
        <v>202</v>
      </c>
      <c r="B162" s="27" t="str">
        <f>HYPERLINK(CONCAT("http://leetcode.com/problems/",Github!C$203), Github!B$203)</f>
        <v>Happy Number</v>
      </c>
      <c r="C162" s="17">
        <f>Github!F$203</f>
        <v>4907</v>
      </c>
      <c r="D162" s="17">
        <f>Github!G$203</f>
        <v>674</v>
      </c>
      <c r="E162" s="17">
        <f>Github!F$203+Github!G$203</f>
        <v>5581</v>
      </c>
      <c r="F162" s="18">
        <f t="shared" si="1"/>
        <v>7.28</v>
      </c>
      <c r="G162" s="17" t="str">
        <f>Github!H$203</f>
        <v>Algorithms</v>
      </c>
      <c r="H162" s="19" t="str">
        <f>SUBSTITUTE(Github!L$203, ";", ", ")</f>
        <v>Hash Table, Math, Two Pointers, </v>
      </c>
      <c r="I162" s="17" t="str">
        <f>Github!E$203</f>
        <v>Easy</v>
      </c>
      <c r="J162" s="17" t="str">
        <f>IF(TRIM(Github!D$203)="TRUE","FALSE","TRUE")</f>
        <v>TRUE</v>
      </c>
      <c r="K162" s="17" t="b">
        <f>Github!M$203</f>
        <v>1</v>
      </c>
      <c r="L162" s="17" t="b">
        <f>Github!N$203</f>
        <v>0</v>
      </c>
      <c r="M162" s="17" t="str">
        <f>ROUND(Github!O$203, 2)&amp;"%"</f>
        <v>52.92%</v>
      </c>
      <c r="N162" s="17">
        <f>Github!P$203</f>
        <v>770186</v>
      </c>
      <c r="O162" s="17">
        <f>Github!Q$203</f>
        <v>1455417</v>
      </c>
    </row>
    <row r="163" ht="18.0" customHeight="1">
      <c r="A163" s="17">
        <f>Github!J$168</f>
        <v>167</v>
      </c>
      <c r="B163" s="27" t="str">
        <f>HYPERLINK(CONCAT("http://leetcode.com/problems/",Github!C$168), Github!B$168)</f>
        <v>Two Sum II - Input Array Is Sorted</v>
      </c>
      <c r="C163" s="17">
        <f>Github!F$168</f>
        <v>4854</v>
      </c>
      <c r="D163" s="17">
        <f>Github!G$168</f>
        <v>897</v>
      </c>
      <c r="E163" s="17">
        <f>Github!F$168+Github!G$168</f>
        <v>5751</v>
      </c>
      <c r="F163" s="18">
        <f t="shared" si="1"/>
        <v>5.41</v>
      </c>
      <c r="G163" s="17" t="str">
        <f>Github!H$168</f>
        <v>Algorithms</v>
      </c>
      <c r="H163" s="19" t="str">
        <f>SUBSTITUTE(Github!L$168, ";", ", ")</f>
        <v>Array, Two Pointers, Binary Search, </v>
      </c>
      <c r="I163" s="17" t="str">
        <f>Github!E$168</f>
        <v>Medium</v>
      </c>
      <c r="J163" s="17" t="str">
        <f>IF(TRIM(Github!D$168)="TRUE","FALSE","TRUE")</f>
        <v>TRUE</v>
      </c>
      <c r="K163" s="17" t="b">
        <f>Github!M$168</f>
        <v>1</v>
      </c>
      <c r="L163" s="17" t="b">
        <f>Github!N$168</f>
        <v>0</v>
      </c>
      <c r="M163" s="17" t="str">
        <f>ROUND(Github!O$168, 2)&amp;"%"</f>
        <v>58.36%</v>
      </c>
      <c r="N163" s="17">
        <f>Github!P$168</f>
        <v>883416</v>
      </c>
      <c r="O163" s="17">
        <f>Github!Q$168</f>
        <v>1513620</v>
      </c>
    </row>
    <row r="164" ht="18.0" customHeight="1">
      <c r="A164" s="17">
        <f>Github!J$517</f>
        <v>516</v>
      </c>
      <c r="B164" s="27" t="str">
        <f>HYPERLINK(CONCAT("http://leetcode.com/problems/",Github!C$517), Github!B$517)</f>
        <v>Longest Palindromic Subsequence</v>
      </c>
      <c r="C164" s="17">
        <f>Github!F$517</f>
        <v>4848</v>
      </c>
      <c r="D164" s="17">
        <f>Github!G$517</f>
        <v>244</v>
      </c>
      <c r="E164" s="17">
        <f>Github!F$517+Github!G$517</f>
        <v>5092</v>
      </c>
      <c r="F164" s="18">
        <f t="shared" si="1"/>
        <v>19.87</v>
      </c>
      <c r="G164" s="17" t="str">
        <f>Github!H$517</f>
        <v>Algorithms</v>
      </c>
      <c r="H164" s="19" t="str">
        <f>SUBSTITUTE(Github!L$517, ";", ", ")</f>
        <v>String, Dynamic Programming, </v>
      </c>
      <c r="I164" s="17" t="str">
        <f>Github!E$517</f>
        <v>Medium</v>
      </c>
      <c r="J164" s="17" t="str">
        <f>IF(TRIM(Github!D$517)="TRUE","FALSE","TRUE")</f>
        <v>TRUE</v>
      </c>
      <c r="K164" s="17" t="b">
        <f>Github!M$517</f>
        <v>0</v>
      </c>
      <c r="L164" s="17" t="b">
        <f>Github!N$517</f>
        <v>0</v>
      </c>
      <c r="M164" s="17" t="str">
        <f>ROUND(Github!O$517, 2)&amp;"%"</f>
        <v>59%</v>
      </c>
      <c r="N164" s="17">
        <f>Github!P$517</f>
        <v>239319</v>
      </c>
      <c r="O164" s="17">
        <f>Github!Q$517</f>
        <v>405636</v>
      </c>
    </row>
    <row r="165" ht="18.0" customHeight="1">
      <c r="A165" s="17">
        <f>Github!J$582</f>
        <v>581</v>
      </c>
      <c r="B165" s="27" t="str">
        <f>HYPERLINK(CONCAT("http://leetcode.com/problems/",Github!C$582), Github!B$582)</f>
        <v>Shortest Unsorted Continuous Subarray</v>
      </c>
      <c r="C165" s="17">
        <f>Github!F$582</f>
        <v>4841</v>
      </c>
      <c r="D165" s="17">
        <f>Github!G$582</f>
        <v>200</v>
      </c>
      <c r="E165" s="17">
        <f>Github!F$582+Github!G$582</f>
        <v>5041</v>
      </c>
      <c r="F165" s="18">
        <f t="shared" si="1"/>
        <v>24.21</v>
      </c>
      <c r="G165" s="17" t="str">
        <f>Github!H$582</f>
        <v>Algorithms</v>
      </c>
      <c r="H165" s="19" t="str">
        <f>SUBSTITUTE(Github!L$582, ";", ", ")</f>
        <v>Array, Two Pointers, Stack, Greedy, Sorting, Monotonic Stack, </v>
      </c>
      <c r="I165" s="17" t="str">
        <f>Github!E$582</f>
        <v>Medium</v>
      </c>
      <c r="J165" s="17" t="str">
        <f>IF(TRIM(Github!D$582)="TRUE","FALSE","TRUE")</f>
        <v>TRUE</v>
      </c>
      <c r="K165" s="17" t="b">
        <f>Github!M$582</f>
        <v>1</v>
      </c>
      <c r="L165" s="17" t="b">
        <f>Github!N$582</f>
        <v>0</v>
      </c>
      <c r="M165" s="17" t="str">
        <f>ROUND(Github!O$582, 2)&amp;"%"</f>
        <v>34.07%</v>
      </c>
      <c r="N165" s="17">
        <f>Github!P$582</f>
        <v>212121</v>
      </c>
      <c r="O165" s="17">
        <f>Github!Q$582</f>
        <v>622609</v>
      </c>
    </row>
    <row r="166" ht="18.0" customHeight="1">
      <c r="A166" s="17">
        <f>Github!J$877</f>
        <v>876</v>
      </c>
      <c r="B166" s="27" t="str">
        <f>HYPERLINK(CONCAT("http://leetcode.com/problems/",Github!C$877), Github!B$877)</f>
        <v>Middle of the Linked List</v>
      </c>
      <c r="C166" s="17">
        <f>Github!F$877</f>
        <v>4844</v>
      </c>
      <c r="D166" s="17">
        <f>Github!G$877</f>
        <v>120</v>
      </c>
      <c r="E166" s="17">
        <f>Github!F$877+Github!G$877</f>
        <v>4964</v>
      </c>
      <c r="F166" s="18">
        <f t="shared" si="1"/>
        <v>40.37</v>
      </c>
      <c r="G166" s="17" t="str">
        <f>Github!H$877</f>
        <v>Algorithms</v>
      </c>
      <c r="H166" s="19" t="str">
        <f>SUBSTITUTE(Github!L$877, ";", ", ")</f>
        <v>Linked List, Two Pointers, </v>
      </c>
      <c r="I166" s="17" t="str">
        <f>Github!E$877</f>
        <v>Easy</v>
      </c>
      <c r="J166" s="17" t="str">
        <f>IF(TRIM(Github!D$877)="TRUE","FALSE","TRUE")</f>
        <v>TRUE</v>
      </c>
      <c r="K166" s="17" t="b">
        <f>Github!M$877</f>
        <v>1</v>
      </c>
      <c r="L166" s="17" t="b">
        <f>Github!N$877</f>
        <v>0</v>
      </c>
      <c r="M166" s="17" t="str">
        <f>ROUND(Github!O$877, 2)&amp;"%"</f>
        <v>72.32%</v>
      </c>
      <c r="N166" s="17">
        <f>Github!P$877</f>
        <v>584640</v>
      </c>
      <c r="O166" s="17">
        <f>Github!Q$877</f>
        <v>808361</v>
      </c>
    </row>
    <row r="167" ht="18.0" customHeight="1">
      <c r="A167" s="17">
        <f>Github!J$519</f>
        <v>518</v>
      </c>
      <c r="B167" s="27" t="str">
        <f>HYPERLINK(CONCAT("http://leetcode.com/problems/",Github!C$519), Github!B$519)</f>
        <v>Coin Change 2</v>
      </c>
      <c r="C167" s="17">
        <f>Github!F$519</f>
        <v>4817</v>
      </c>
      <c r="D167" s="17">
        <f>Github!G$519</f>
        <v>99</v>
      </c>
      <c r="E167" s="17">
        <f>Github!F$519+Github!G$519</f>
        <v>4916</v>
      </c>
      <c r="F167" s="18">
        <f t="shared" si="1"/>
        <v>48.66</v>
      </c>
      <c r="G167" s="17" t="str">
        <f>Github!H$519</f>
        <v>Algorithms</v>
      </c>
      <c r="H167" s="19" t="str">
        <f>SUBSTITUTE(Github!L$519, ";", ", ")</f>
        <v>Array, Dynamic Programming, </v>
      </c>
      <c r="I167" s="17" t="str">
        <f>Github!E$519</f>
        <v>Medium</v>
      </c>
      <c r="J167" s="17" t="str">
        <f>IF(TRIM(Github!D$519)="TRUE","FALSE","TRUE")</f>
        <v>TRUE</v>
      </c>
      <c r="K167" s="17" t="b">
        <f>Github!M$519</f>
        <v>1</v>
      </c>
      <c r="L167" s="17" t="b">
        <f>Github!N$519</f>
        <v>0</v>
      </c>
      <c r="M167" s="17" t="str">
        <f>ROUND(Github!O$519, 2)&amp;"%"</f>
        <v>56.92%</v>
      </c>
      <c r="N167" s="17">
        <f>Github!P$519</f>
        <v>274645</v>
      </c>
      <c r="O167" s="17">
        <f>Github!Q$519</f>
        <v>482494</v>
      </c>
    </row>
    <row r="168" ht="18.0" customHeight="1">
      <c r="A168" s="17">
        <f>Github!J$978</f>
        <v>977</v>
      </c>
      <c r="B168" s="27" t="str">
        <f>HYPERLINK(CONCAT("http://leetcode.com/problems/",Github!C$978), Github!B$978)</f>
        <v>Squares of a Sorted Array</v>
      </c>
      <c r="C168" s="17">
        <f>Github!F$978</f>
        <v>4819</v>
      </c>
      <c r="D168" s="17">
        <f>Github!G$978</f>
        <v>147</v>
      </c>
      <c r="E168" s="17">
        <f>Github!F$978+Github!G$978</f>
        <v>4966</v>
      </c>
      <c r="F168" s="18">
        <f t="shared" si="1"/>
        <v>32.78</v>
      </c>
      <c r="G168" s="17" t="str">
        <f>Github!H$978</f>
        <v>Algorithms</v>
      </c>
      <c r="H168" s="19" t="str">
        <f>SUBSTITUTE(Github!L$978, ";", ", ")</f>
        <v>Array, Two Pointers, Sorting, </v>
      </c>
      <c r="I168" s="17" t="str">
        <f>Github!E$978</f>
        <v>Easy</v>
      </c>
      <c r="J168" s="17" t="str">
        <f>IF(TRIM(Github!D$978)="TRUE","FALSE","TRUE")</f>
        <v>TRUE</v>
      </c>
      <c r="K168" s="17" t="b">
        <f>Github!M$978</f>
        <v>1</v>
      </c>
      <c r="L168" s="17" t="b">
        <f>Github!N$978</f>
        <v>1</v>
      </c>
      <c r="M168" s="17" t="str">
        <f>ROUND(Github!O$978, 2)&amp;"%"</f>
        <v>71.56%</v>
      </c>
      <c r="N168" s="17">
        <f>Github!P$978</f>
        <v>893484</v>
      </c>
      <c r="O168" s="17">
        <f>Github!Q$978</f>
        <v>1248623</v>
      </c>
    </row>
    <row r="169" ht="18.0" customHeight="1">
      <c r="A169" s="17">
        <f>Github!J$548</f>
        <v>547</v>
      </c>
      <c r="B169" s="27" t="str">
        <f>HYPERLINK(CONCAT("http://leetcode.com/problems/",Github!C$548), Github!B$548)</f>
        <v>Number of Provinces</v>
      </c>
      <c r="C169" s="17">
        <f>Github!F$548</f>
        <v>4811</v>
      </c>
      <c r="D169" s="17">
        <f>Github!G$548</f>
        <v>229</v>
      </c>
      <c r="E169" s="17">
        <f>Github!F$548+Github!G$548</f>
        <v>5040</v>
      </c>
      <c r="F169" s="18">
        <f t="shared" si="1"/>
        <v>21.01</v>
      </c>
      <c r="G169" s="17" t="str">
        <f>Github!H$548</f>
        <v>Algorithms</v>
      </c>
      <c r="H169" s="19" t="str">
        <f>SUBSTITUTE(Github!L$548, ";", ", ")</f>
        <v>Depth-First Search, Breadth-First Search, Union Find, Graph, </v>
      </c>
      <c r="I169" s="17" t="str">
        <f>Github!E$548</f>
        <v>Medium</v>
      </c>
      <c r="J169" s="17" t="str">
        <f>IF(TRIM(Github!D$548)="TRUE","FALSE","TRUE")</f>
        <v>TRUE</v>
      </c>
      <c r="K169" s="17" t="b">
        <f>Github!M$548</f>
        <v>1</v>
      </c>
      <c r="L169" s="17" t="b">
        <f>Github!N$548</f>
        <v>0</v>
      </c>
      <c r="M169" s="17" t="str">
        <f>ROUND(Github!O$548, 2)&amp;"%"</f>
        <v>62.51%</v>
      </c>
      <c r="N169" s="17">
        <f>Github!P$548</f>
        <v>427656</v>
      </c>
      <c r="O169" s="17">
        <f>Github!Q$548</f>
        <v>684176</v>
      </c>
    </row>
    <row r="170" ht="18.0" customHeight="1">
      <c r="A170" s="17">
        <f>Github!J$41</f>
        <v>40</v>
      </c>
      <c r="B170" s="27" t="str">
        <f>HYPERLINK(CONCAT("http://leetcode.com/problems/",Github!C$41), Github!B$41)</f>
        <v>Combination Sum II</v>
      </c>
      <c r="C170" s="17">
        <f>Github!F$41</f>
        <v>4810</v>
      </c>
      <c r="D170" s="17">
        <f>Github!G$41</f>
        <v>126</v>
      </c>
      <c r="E170" s="17">
        <f>Github!F$41+Github!G$41</f>
        <v>4936</v>
      </c>
      <c r="F170" s="18">
        <f t="shared" si="1"/>
        <v>38.17</v>
      </c>
      <c r="G170" s="17" t="str">
        <f>Github!H$41</f>
        <v>Algorithms</v>
      </c>
      <c r="H170" s="19" t="str">
        <f>SUBSTITUTE(Github!L$41, ";", ", ")</f>
        <v>Array, Backtracking, </v>
      </c>
      <c r="I170" s="17" t="str">
        <f>Github!E$41</f>
        <v>Medium</v>
      </c>
      <c r="J170" s="17" t="str">
        <f>IF(TRIM(Github!D$41)="TRUE","FALSE","TRUE")</f>
        <v>TRUE</v>
      </c>
      <c r="K170" s="17" t="b">
        <f>Github!M$41</f>
        <v>1</v>
      </c>
      <c r="L170" s="17" t="b">
        <f>Github!N$41</f>
        <v>0</v>
      </c>
      <c r="M170" s="17" t="str">
        <f>ROUND(Github!O$41, 2)&amp;"%"</f>
        <v>52.13%</v>
      </c>
      <c r="N170" s="17">
        <f>Github!P$41</f>
        <v>525426</v>
      </c>
      <c r="O170" s="17">
        <f>Github!Q$41</f>
        <v>1007853</v>
      </c>
    </row>
    <row r="171" ht="18.0" customHeight="1">
      <c r="A171" s="17">
        <f>Github!J$541</f>
        <v>540</v>
      </c>
      <c r="B171" s="27" t="str">
        <f>HYPERLINK(CONCAT("http://leetcode.com/problems/",Github!C$541), Github!B$541)</f>
        <v>Single Element in a Sorted Array</v>
      </c>
      <c r="C171" s="17">
        <f>Github!F$541</f>
        <v>4766</v>
      </c>
      <c r="D171" s="17">
        <f>Github!G$541</f>
        <v>109</v>
      </c>
      <c r="E171" s="17">
        <f>Github!F$541+Github!G$541</f>
        <v>4875</v>
      </c>
      <c r="F171" s="18">
        <f t="shared" si="1"/>
        <v>43.72</v>
      </c>
      <c r="G171" s="17" t="str">
        <f>Github!H$541</f>
        <v>Algorithms</v>
      </c>
      <c r="H171" s="19" t="str">
        <f>SUBSTITUTE(Github!L$541, ";", ", ")</f>
        <v>Array, Binary Search, </v>
      </c>
      <c r="I171" s="17" t="str">
        <f>Github!E$541</f>
        <v>Medium</v>
      </c>
      <c r="J171" s="17" t="str">
        <f>IF(TRIM(Github!D$541)="TRUE","FALSE","TRUE")</f>
        <v>TRUE</v>
      </c>
      <c r="K171" s="17" t="b">
        <f>Github!M$541</f>
        <v>1</v>
      </c>
      <c r="L171" s="17" t="b">
        <f>Github!N$541</f>
        <v>0</v>
      </c>
      <c r="M171" s="17" t="str">
        <f>ROUND(Github!O$541, 2)&amp;"%"</f>
        <v>58.7%</v>
      </c>
      <c r="N171" s="17">
        <f>Github!P$541</f>
        <v>276845</v>
      </c>
      <c r="O171" s="17">
        <f>Github!Q$541</f>
        <v>471608</v>
      </c>
    </row>
    <row r="172" ht="18.0" customHeight="1">
      <c r="A172" s="17">
        <f>Github!J$400</f>
        <v>399</v>
      </c>
      <c r="B172" s="27" t="str">
        <f>HYPERLINK(CONCAT("http://leetcode.com/problems/",Github!C$400), Github!B$400)</f>
        <v>Evaluate Division</v>
      </c>
      <c r="C172" s="17">
        <f>Github!F$400</f>
        <v>4743</v>
      </c>
      <c r="D172" s="17">
        <f>Github!G$400</f>
        <v>398</v>
      </c>
      <c r="E172" s="17">
        <f>Github!F$400+Github!G$400</f>
        <v>5141</v>
      </c>
      <c r="F172" s="18">
        <f t="shared" si="1"/>
        <v>11.92</v>
      </c>
      <c r="G172" s="17" t="str">
        <f>Github!H$400</f>
        <v>Algorithms</v>
      </c>
      <c r="H172" s="19" t="str">
        <f>SUBSTITUTE(Github!L$400, ";", ", ")</f>
        <v>Array, Depth-First Search, Breadth-First Search, Union Find, Graph, Shortest Path, </v>
      </c>
      <c r="I172" s="17" t="str">
        <f>Github!E$400</f>
        <v>Medium</v>
      </c>
      <c r="J172" s="17" t="str">
        <f>IF(TRIM(Github!D$400)="TRUE","FALSE","TRUE")</f>
        <v>TRUE</v>
      </c>
      <c r="K172" s="17" t="b">
        <f>Github!M$400</f>
        <v>1</v>
      </c>
      <c r="L172" s="17" t="b">
        <f>Github!N$400</f>
        <v>0</v>
      </c>
      <c r="M172" s="17" t="str">
        <f>ROUND(Github!O$400, 2)&amp;"%"</f>
        <v>56.81%</v>
      </c>
      <c r="N172" s="17">
        <f>Github!P$400</f>
        <v>238990</v>
      </c>
      <c r="O172" s="17">
        <f>Github!Q$400</f>
        <v>420698</v>
      </c>
    </row>
    <row r="173" ht="18.0" customHeight="1">
      <c r="A173" s="17">
        <f>Github!J$38</f>
        <v>37</v>
      </c>
      <c r="B173" s="27" t="str">
        <f>HYPERLINK(CONCAT("http://leetcode.com/problems/",Github!C$38), Github!B$38)</f>
        <v>Sudoku Solver</v>
      </c>
      <c r="C173" s="17">
        <f>Github!F$38</f>
        <v>4737</v>
      </c>
      <c r="D173" s="17">
        <f>Github!G$38</f>
        <v>145</v>
      </c>
      <c r="E173" s="17">
        <f>Github!F$38+Github!G$38</f>
        <v>4882</v>
      </c>
      <c r="F173" s="18">
        <f t="shared" si="1"/>
        <v>32.67</v>
      </c>
      <c r="G173" s="17" t="str">
        <f>Github!H$38</f>
        <v>Algorithms</v>
      </c>
      <c r="H173" s="19" t="str">
        <f>SUBSTITUTE(Github!L$38, ";", ", ")</f>
        <v>Array, Backtracking, Matrix, </v>
      </c>
      <c r="I173" s="17" t="str">
        <f>Github!E$38</f>
        <v>Hard</v>
      </c>
      <c r="J173" s="17" t="str">
        <f>IF(TRIM(Github!D$38)="TRUE","FALSE","TRUE")</f>
        <v>TRUE</v>
      </c>
      <c r="K173" s="17" t="b">
        <f>Github!M$38</f>
        <v>1</v>
      </c>
      <c r="L173" s="17" t="b">
        <f>Github!N$38</f>
        <v>0</v>
      </c>
      <c r="M173" s="17" t="str">
        <f>ROUND(Github!O$38, 2)&amp;"%"</f>
        <v>53.23%</v>
      </c>
      <c r="N173" s="17">
        <f>Github!P$38</f>
        <v>330655</v>
      </c>
      <c r="O173" s="17">
        <f>Github!Q$38</f>
        <v>621144</v>
      </c>
    </row>
    <row r="174" ht="18.0" customHeight="1">
      <c r="A174" s="17">
        <f>Github!J$407</f>
        <v>406</v>
      </c>
      <c r="B174" s="27" t="str">
        <f>HYPERLINK(CONCAT("http://leetcode.com/problems/",Github!C$407), Github!B$407)</f>
        <v>Queue Reconstruction by Height</v>
      </c>
      <c r="C174" s="17">
        <f>Github!F$407</f>
        <v>4726</v>
      </c>
      <c r="D174" s="17">
        <f>Github!G$407</f>
        <v>508</v>
      </c>
      <c r="E174" s="17">
        <f>Github!F$407+Github!G$407</f>
        <v>5234</v>
      </c>
      <c r="F174" s="18">
        <f t="shared" si="1"/>
        <v>9.3</v>
      </c>
      <c r="G174" s="17" t="str">
        <f>Github!H$407</f>
        <v>Algorithms</v>
      </c>
      <c r="H174" s="19" t="str">
        <f>SUBSTITUTE(Github!L$407, ";", ", ")</f>
        <v>Array, Greedy, Sorting, </v>
      </c>
      <c r="I174" s="17" t="str">
        <f>Github!E$407</f>
        <v>Medium</v>
      </c>
      <c r="J174" s="17" t="str">
        <f>IF(TRIM(Github!D$407)="TRUE","FALSE","TRUE")</f>
        <v>TRUE</v>
      </c>
      <c r="K174" s="17" t="b">
        <f>Github!M$407</f>
        <v>1</v>
      </c>
      <c r="L174" s="17" t="b">
        <f>Github!N$407</f>
        <v>0</v>
      </c>
      <c r="M174" s="17" t="str">
        <f>ROUND(Github!O$407, 2)&amp;"%"</f>
        <v>69.93%</v>
      </c>
      <c r="N174" s="17">
        <f>Github!P$407</f>
        <v>218189</v>
      </c>
      <c r="O174" s="17">
        <f>Github!Q$407</f>
        <v>312004</v>
      </c>
    </row>
    <row r="175" ht="18.0" customHeight="1">
      <c r="A175" s="17">
        <f>Github!J$68</f>
        <v>67</v>
      </c>
      <c r="B175" s="27" t="str">
        <f>HYPERLINK(CONCAT("http://leetcode.com/problems/",Github!C$68), Github!B$68)</f>
        <v>Add Binary</v>
      </c>
      <c r="C175" s="17">
        <f>Github!F$68</f>
        <v>4689</v>
      </c>
      <c r="D175" s="17">
        <f>Github!G$68</f>
        <v>519</v>
      </c>
      <c r="E175" s="17">
        <f>Github!F$68+Github!G$68</f>
        <v>5208</v>
      </c>
      <c r="F175" s="18">
        <f t="shared" si="1"/>
        <v>9.03</v>
      </c>
      <c r="G175" s="17" t="str">
        <f>Github!H$68</f>
        <v>Algorithms</v>
      </c>
      <c r="H175" s="19" t="str">
        <f>SUBSTITUTE(Github!L$68, ";", ", ")</f>
        <v>Math, String, Bit Manipulation, Simulation, </v>
      </c>
      <c r="I175" s="17" t="str">
        <f>Github!E$68</f>
        <v>Easy</v>
      </c>
      <c r="J175" s="17" t="str">
        <f>IF(TRIM(Github!D$68)="TRUE","FALSE","TRUE")</f>
        <v>TRUE</v>
      </c>
      <c r="K175" s="17" t="b">
        <f>Github!M$68</f>
        <v>1</v>
      </c>
      <c r="L175" s="17" t="b">
        <f>Github!N$68</f>
        <v>0</v>
      </c>
      <c r="M175" s="17" t="str">
        <f>ROUND(Github!O$68, 2)&amp;"%"</f>
        <v>50.18%</v>
      </c>
      <c r="N175" s="17">
        <f>Github!P$68</f>
        <v>797812</v>
      </c>
      <c r="O175" s="17">
        <f>Github!Q$68</f>
        <v>1590030</v>
      </c>
    </row>
    <row r="176" ht="18.0" customHeight="1">
      <c r="A176" s="17">
        <f>Github!J$212</f>
        <v>211</v>
      </c>
      <c r="B176" s="27" t="str">
        <f>HYPERLINK(CONCAT("http://leetcode.com/problems/",Github!C$212), Github!B$212)</f>
        <v>Design Add and Search Words Data Structure</v>
      </c>
      <c r="C176" s="17">
        <f>Github!F$212</f>
        <v>4652</v>
      </c>
      <c r="D176" s="17">
        <f>Github!G$212</f>
        <v>194</v>
      </c>
      <c r="E176" s="17">
        <f>Github!F$212+Github!G$212</f>
        <v>4846</v>
      </c>
      <c r="F176" s="18">
        <f t="shared" si="1"/>
        <v>23.98</v>
      </c>
      <c r="G176" s="17" t="str">
        <f>Github!H$212</f>
        <v>Algorithms</v>
      </c>
      <c r="H176" s="19" t="str">
        <f>SUBSTITUTE(Github!L$212, ";", ", ")</f>
        <v>String, Depth-First Search, Design, Trie, </v>
      </c>
      <c r="I176" s="17" t="str">
        <f>Github!E$212</f>
        <v>Medium</v>
      </c>
      <c r="J176" s="17" t="str">
        <f>IF(TRIM(Github!D$212)="TRUE","FALSE","TRUE")</f>
        <v>TRUE</v>
      </c>
      <c r="K176" s="17" t="b">
        <f>Github!M$212</f>
        <v>1</v>
      </c>
      <c r="L176" s="17" t="b">
        <f>Github!N$212</f>
        <v>0</v>
      </c>
      <c r="M176" s="17" t="str">
        <f>ROUND(Github!O$212, 2)&amp;"%"</f>
        <v>43.99%</v>
      </c>
      <c r="N176" s="17">
        <f>Github!P$212</f>
        <v>384785</v>
      </c>
      <c r="O176" s="17">
        <f>Github!Q$212</f>
        <v>874665</v>
      </c>
    </row>
    <row r="177" ht="18.0" customHeight="1">
      <c r="A177" s="17">
        <f>Github!J$388</f>
        <v>387</v>
      </c>
      <c r="B177" s="27" t="str">
        <f>HYPERLINK(CONCAT("http://leetcode.com/problems/",Github!C$388), Github!B$388)</f>
        <v>First Unique Character in a String</v>
      </c>
      <c r="C177" s="17">
        <f>Github!F$388</f>
        <v>4647</v>
      </c>
      <c r="D177" s="17">
        <f>Github!G$388</f>
        <v>187</v>
      </c>
      <c r="E177" s="17">
        <f>Github!F$388+Github!G$388</f>
        <v>4834</v>
      </c>
      <c r="F177" s="18">
        <f t="shared" si="1"/>
        <v>24.85</v>
      </c>
      <c r="G177" s="17" t="str">
        <f>Github!H$388</f>
        <v>Algorithms</v>
      </c>
      <c r="H177" s="19" t="str">
        <f>SUBSTITUTE(Github!L$388, ";", ", ")</f>
        <v>Hash Table, String, Queue, Counting, </v>
      </c>
      <c r="I177" s="17" t="str">
        <f>Github!E$388</f>
        <v>Easy</v>
      </c>
      <c r="J177" s="17" t="str">
        <f>IF(TRIM(Github!D$388)="TRUE","FALSE","TRUE")</f>
        <v>TRUE</v>
      </c>
      <c r="K177" s="17" t="b">
        <f>Github!M$388</f>
        <v>1</v>
      </c>
      <c r="L177" s="17" t="b">
        <f>Github!N$388</f>
        <v>0</v>
      </c>
      <c r="M177" s="17" t="str">
        <f>ROUND(Github!O$388, 2)&amp;"%"</f>
        <v>56.75%</v>
      </c>
      <c r="N177" s="17">
        <f>Github!P$388</f>
        <v>993384</v>
      </c>
      <c r="O177" s="17">
        <f>Github!Q$388</f>
        <v>1750544</v>
      </c>
    </row>
    <row r="178" ht="18.0" customHeight="1">
      <c r="A178" s="17">
        <f>Github!J$91</f>
        <v>90</v>
      </c>
      <c r="B178" s="27" t="str">
        <f>HYPERLINK(CONCAT("http://leetcode.com/problems/",Github!C$91), Github!B$91)</f>
        <v>Subsets II</v>
      </c>
      <c r="C178" s="17">
        <f>Github!F$91</f>
        <v>4615</v>
      </c>
      <c r="D178" s="17">
        <f>Github!G$91</f>
        <v>144</v>
      </c>
      <c r="E178" s="17">
        <f>Github!F$91+Github!G$91</f>
        <v>4759</v>
      </c>
      <c r="F178" s="18">
        <f t="shared" si="1"/>
        <v>32.05</v>
      </c>
      <c r="G178" s="17" t="str">
        <f>Github!H$91</f>
        <v>Algorithms</v>
      </c>
      <c r="H178" s="19" t="str">
        <f>SUBSTITUTE(Github!L$91, ";", ", ")</f>
        <v>Array, Backtracking, Bit Manipulation, </v>
      </c>
      <c r="I178" s="17" t="str">
        <f>Github!E$91</f>
        <v>Medium</v>
      </c>
      <c r="J178" s="17" t="str">
        <f>IF(TRIM(Github!D$91)="TRUE","FALSE","TRUE")</f>
        <v>TRUE</v>
      </c>
      <c r="K178" s="17" t="b">
        <f>Github!M$91</f>
        <v>1</v>
      </c>
      <c r="L178" s="17" t="b">
        <f>Github!N$91</f>
        <v>0</v>
      </c>
      <c r="M178" s="17" t="str">
        <f>ROUND(Github!O$91, 2)&amp;"%"</f>
        <v>52.77%</v>
      </c>
      <c r="N178" s="17">
        <f>Github!P$91</f>
        <v>475668</v>
      </c>
      <c r="O178" s="17">
        <f>Github!Q$91</f>
        <v>901350</v>
      </c>
    </row>
    <row r="179" ht="18.0" customHeight="1">
      <c r="A179" s="17">
        <f>Github!J$48</f>
        <v>47</v>
      </c>
      <c r="B179" s="27" t="str">
        <f>HYPERLINK(CONCAT("http://leetcode.com/problems/",Github!C$48), Github!B$48)</f>
        <v>Permutations II</v>
      </c>
      <c r="C179" s="17">
        <f>Github!F$48</f>
        <v>4610</v>
      </c>
      <c r="D179" s="17">
        <f>Github!G$48</f>
        <v>90</v>
      </c>
      <c r="E179" s="17">
        <f>Github!F$48+Github!G$48</f>
        <v>4700</v>
      </c>
      <c r="F179" s="18">
        <f t="shared" si="1"/>
        <v>51.22</v>
      </c>
      <c r="G179" s="17" t="str">
        <f>Github!H$48</f>
        <v>Algorithms</v>
      </c>
      <c r="H179" s="19" t="str">
        <f>SUBSTITUTE(Github!L$48, ";", ", ")</f>
        <v>Array, Backtracking, </v>
      </c>
      <c r="I179" s="17" t="str">
        <f>Github!E$48</f>
        <v>Medium</v>
      </c>
      <c r="J179" s="17" t="str">
        <f>IF(TRIM(Github!D$48)="TRUE","FALSE","TRUE")</f>
        <v>TRUE</v>
      </c>
      <c r="K179" s="17" t="b">
        <f>Github!M$48</f>
        <v>1</v>
      </c>
      <c r="L179" s="17" t="b">
        <f>Github!N$48</f>
        <v>0</v>
      </c>
      <c r="M179" s="17" t="str">
        <f>ROUND(Github!O$48, 2)&amp;"%"</f>
        <v>53.6%</v>
      </c>
      <c r="N179" s="17">
        <f>Github!P$48</f>
        <v>580501</v>
      </c>
      <c r="O179" s="17">
        <f>Github!Q$48</f>
        <v>1082987</v>
      </c>
    </row>
    <row r="180" ht="18.0" customHeight="1">
      <c r="A180" s="17">
        <f>Github!J$37</f>
        <v>36</v>
      </c>
      <c r="B180" s="27" t="str">
        <f>HYPERLINK(CONCAT("http://leetcode.com/problems/",Github!C$37), Github!B$37)</f>
        <v>Valid Sudoku</v>
      </c>
      <c r="C180" s="17">
        <f>Github!F$37</f>
        <v>4604</v>
      </c>
      <c r="D180" s="17">
        <f>Github!G$37</f>
        <v>677</v>
      </c>
      <c r="E180" s="17">
        <f>Github!F$37+Github!G$37</f>
        <v>5281</v>
      </c>
      <c r="F180" s="18">
        <f t="shared" si="1"/>
        <v>6.8</v>
      </c>
      <c r="G180" s="17" t="str">
        <f>Github!H$37</f>
        <v>Algorithms</v>
      </c>
      <c r="H180" s="19" t="str">
        <f>SUBSTITUTE(Github!L$37, ";", ", ")</f>
        <v>Array, Hash Table, Matrix, </v>
      </c>
      <c r="I180" s="17" t="str">
        <f>Github!E$37</f>
        <v>Medium</v>
      </c>
      <c r="J180" s="17" t="str">
        <f>IF(TRIM(Github!D$37)="TRUE","FALSE","TRUE")</f>
        <v>TRUE</v>
      </c>
      <c r="K180" s="17" t="b">
        <f>Github!M$37</f>
        <v>1</v>
      </c>
      <c r="L180" s="17" t="b">
        <f>Github!N$37</f>
        <v>0</v>
      </c>
      <c r="M180" s="17" t="str">
        <f>ROUND(Github!O$37, 2)&amp;"%"</f>
        <v>54.62%</v>
      </c>
      <c r="N180" s="17">
        <f>Github!P$37</f>
        <v>685038</v>
      </c>
      <c r="O180" s="17">
        <f>Github!Q$37</f>
        <v>1254245</v>
      </c>
    </row>
    <row r="181" ht="18.0" customHeight="1">
      <c r="A181" s="17">
        <f>Github!J$204</f>
        <v>203</v>
      </c>
      <c r="B181" s="27" t="str">
        <f>HYPERLINK(CONCAT("http://leetcode.com/problems/",Github!C$204), Github!B$204)</f>
        <v>Remove Linked List Elements</v>
      </c>
      <c r="C181" s="17">
        <f>Github!F$204</f>
        <v>4596</v>
      </c>
      <c r="D181" s="17">
        <f>Github!G$204</f>
        <v>157</v>
      </c>
      <c r="E181" s="17">
        <f>Github!F$204+Github!G$204</f>
        <v>4753</v>
      </c>
      <c r="F181" s="18">
        <f t="shared" si="1"/>
        <v>29.27</v>
      </c>
      <c r="G181" s="17" t="str">
        <f>Github!H$204</f>
        <v>Algorithms</v>
      </c>
      <c r="H181" s="19" t="str">
        <f>SUBSTITUTE(Github!L$204, ";", ", ")</f>
        <v>Linked List, Recursion, </v>
      </c>
      <c r="I181" s="17" t="str">
        <f>Github!E$204</f>
        <v>Easy</v>
      </c>
      <c r="J181" s="17" t="str">
        <f>IF(TRIM(Github!D$204)="TRUE","FALSE","TRUE")</f>
        <v>TRUE</v>
      </c>
      <c r="K181" s="17" t="b">
        <f>Github!M$204</f>
        <v>1</v>
      </c>
      <c r="L181" s="17" t="b">
        <f>Github!N$204</f>
        <v>0</v>
      </c>
      <c r="M181" s="17" t="str">
        <f>ROUND(Github!O$204, 2)&amp;"%"</f>
        <v>43.12%</v>
      </c>
      <c r="N181" s="17">
        <f>Github!P$204</f>
        <v>664128</v>
      </c>
      <c r="O181" s="17">
        <f>Github!Q$204</f>
        <v>1540226</v>
      </c>
    </row>
    <row r="182" ht="18.0" customHeight="1">
      <c r="A182" s="17">
        <f>Github!J$788</f>
        <v>787</v>
      </c>
      <c r="B182" s="27" t="str">
        <f>HYPERLINK(CONCAT("http://leetcode.com/problems/",Github!C$788), Github!B$788)</f>
        <v>Cheapest Flights Within K Stops</v>
      </c>
      <c r="C182" s="17">
        <f>Github!F$788</f>
        <v>4593</v>
      </c>
      <c r="D182" s="17">
        <f>Github!G$788</f>
        <v>193</v>
      </c>
      <c r="E182" s="17">
        <f>Github!F$788+Github!G$788</f>
        <v>4786</v>
      </c>
      <c r="F182" s="18">
        <f t="shared" si="1"/>
        <v>23.8</v>
      </c>
      <c r="G182" s="17" t="str">
        <f>Github!H$788</f>
        <v>Algorithms</v>
      </c>
      <c r="H182" s="19" t="str">
        <f>SUBSTITUTE(Github!L$788, ";", ", ")</f>
        <v>Dynamic Programming, Depth-First Search, Breadth-First Search, Graph, Heap (Priority Queue), Shortest Path, </v>
      </c>
      <c r="I182" s="17" t="str">
        <f>Github!E$788</f>
        <v>Medium</v>
      </c>
      <c r="J182" s="17" t="str">
        <f>IF(TRIM(Github!D$788)="TRUE","FALSE","TRUE")</f>
        <v>TRUE</v>
      </c>
      <c r="K182" s="17" t="b">
        <f>Github!M$788</f>
        <v>1</v>
      </c>
      <c r="L182" s="17" t="b">
        <f>Github!N$788</f>
        <v>0</v>
      </c>
      <c r="M182" s="17" t="str">
        <f>ROUND(Github!O$788, 2)&amp;"%"</f>
        <v>36.19%</v>
      </c>
      <c r="N182" s="17">
        <f>Github!P$788</f>
        <v>218897</v>
      </c>
      <c r="O182" s="17">
        <f>Github!Q$788</f>
        <v>604821</v>
      </c>
    </row>
    <row r="183" ht="18.0" customHeight="1">
      <c r="A183" s="17">
        <f>Github!J$180</f>
        <v>179</v>
      </c>
      <c r="B183" s="27" t="str">
        <f>HYPERLINK(CONCAT("http://leetcode.com/problems/",Github!C$180), Github!B$180)</f>
        <v>Largest Number</v>
      </c>
      <c r="C183" s="17">
        <f>Github!F$180</f>
        <v>4588</v>
      </c>
      <c r="D183" s="17">
        <f>Github!G$180</f>
        <v>392</v>
      </c>
      <c r="E183" s="17">
        <f>Github!F$180+Github!G$180</f>
        <v>4980</v>
      </c>
      <c r="F183" s="18">
        <f t="shared" si="1"/>
        <v>11.7</v>
      </c>
      <c r="G183" s="17" t="str">
        <f>Github!H$180</f>
        <v>Algorithms</v>
      </c>
      <c r="H183" s="19" t="str">
        <f>SUBSTITUTE(Github!L$180, ";", ", ")</f>
        <v>String, Greedy, Sorting, </v>
      </c>
      <c r="I183" s="17" t="str">
        <f>Github!E$180</f>
        <v>Medium</v>
      </c>
      <c r="J183" s="17" t="str">
        <f>IF(TRIM(Github!D$180)="TRUE","FALSE","TRUE")</f>
        <v>TRUE</v>
      </c>
      <c r="K183" s="17" t="b">
        <f>Github!M$180</f>
        <v>1</v>
      </c>
      <c r="L183" s="17" t="b">
        <f>Github!N$180</f>
        <v>0</v>
      </c>
      <c r="M183" s="17" t="str">
        <f>ROUND(Github!O$180, 2)&amp;"%"</f>
        <v>32.65%</v>
      </c>
      <c r="N183" s="17">
        <f>Github!P$180</f>
        <v>304734</v>
      </c>
      <c r="O183" s="17">
        <f>Github!Q$180</f>
        <v>933341</v>
      </c>
    </row>
    <row r="184" ht="18.0" customHeight="1">
      <c r="A184" s="17">
        <f>Github!J$121</f>
        <v>120</v>
      </c>
      <c r="B184" s="27" t="str">
        <f>HYPERLINK(CONCAT("http://leetcode.com/problems/",Github!C$121), Github!B$121)</f>
        <v>Triangle</v>
      </c>
      <c r="C184" s="17">
        <f>Github!F$121</f>
        <v>4578</v>
      </c>
      <c r="D184" s="17">
        <f>Github!G$121</f>
        <v>376</v>
      </c>
      <c r="E184" s="17">
        <f>Github!F$121+Github!G$121</f>
        <v>4954</v>
      </c>
      <c r="F184" s="18">
        <f t="shared" si="1"/>
        <v>12.18</v>
      </c>
      <c r="G184" s="17" t="str">
        <f>Github!H$121</f>
        <v>Algorithms</v>
      </c>
      <c r="H184" s="19" t="str">
        <f>SUBSTITUTE(Github!L$121, ";", ", ")</f>
        <v>Array, Dynamic Programming, </v>
      </c>
      <c r="I184" s="17" t="str">
        <f>Github!E$121</f>
        <v>Medium</v>
      </c>
      <c r="J184" s="17" t="str">
        <f>IF(TRIM(Github!D$121)="TRUE","FALSE","TRUE")</f>
        <v>TRUE</v>
      </c>
      <c r="K184" s="17" t="b">
        <f>Github!M$121</f>
        <v>1</v>
      </c>
      <c r="L184" s="17" t="b">
        <f>Github!N$121</f>
        <v>0</v>
      </c>
      <c r="M184" s="17" t="str">
        <f>ROUND(Github!O$121, 2)&amp;"%"</f>
        <v>50.24%</v>
      </c>
      <c r="N184" s="17">
        <f>Github!P$121</f>
        <v>397125</v>
      </c>
      <c r="O184" s="17">
        <f>Github!Q$121</f>
        <v>790504</v>
      </c>
    </row>
    <row r="185" ht="18.0" customHeight="1">
      <c r="A185" s="17">
        <f>Github!J$223</f>
        <v>222</v>
      </c>
      <c r="B185" s="27" t="str">
        <f>HYPERLINK(CONCAT("http://leetcode.com/problems/",Github!C$223), Github!B$223)</f>
        <v>Count Complete Tree Nodes</v>
      </c>
      <c r="C185" s="17">
        <f>Github!F$223</f>
        <v>4574</v>
      </c>
      <c r="D185" s="17">
        <f>Github!G$223</f>
        <v>305</v>
      </c>
      <c r="E185" s="17">
        <f>Github!F$223+Github!G$223</f>
        <v>4879</v>
      </c>
      <c r="F185" s="18">
        <f t="shared" si="1"/>
        <v>15</v>
      </c>
      <c r="G185" s="17" t="str">
        <f>Github!H$223</f>
        <v>Algorithms</v>
      </c>
      <c r="H185" s="19" t="str">
        <f>SUBSTITUTE(Github!L$223, ";", ", ")</f>
        <v>Binary Search, Tree, Depth-First Search, Binary Tree, </v>
      </c>
      <c r="I185" s="17" t="str">
        <f>Github!E$223</f>
        <v>Medium</v>
      </c>
      <c r="J185" s="17" t="str">
        <f>IF(TRIM(Github!D$223)="TRUE","FALSE","TRUE")</f>
        <v>TRUE</v>
      </c>
      <c r="K185" s="17" t="b">
        <f>Github!M$223</f>
        <v>1</v>
      </c>
      <c r="L185" s="17" t="b">
        <f>Github!N$223</f>
        <v>0</v>
      </c>
      <c r="M185" s="17" t="str">
        <f>ROUND(Github!O$223, 2)&amp;"%"</f>
        <v>54.71%</v>
      </c>
      <c r="N185" s="17">
        <f>Github!P$223</f>
        <v>387153</v>
      </c>
      <c r="O185" s="17">
        <f>Github!Q$223</f>
        <v>707624</v>
      </c>
    </row>
    <row r="186" ht="18.0" customHeight="1">
      <c r="A186" s="17">
        <f>Github!J$131</f>
        <v>130</v>
      </c>
      <c r="B186" s="27" t="str">
        <f>HYPERLINK(CONCAT("http://leetcode.com/problems/",Github!C$131), Github!B$131)</f>
        <v>Surrounded Regions</v>
      </c>
      <c r="C186" s="17">
        <f>Github!F$131</f>
        <v>4538</v>
      </c>
      <c r="D186" s="17">
        <f>Github!G$131</f>
        <v>1121</v>
      </c>
      <c r="E186" s="17">
        <f>Github!F$131+Github!G$131</f>
        <v>5659</v>
      </c>
      <c r="F186" s="18">
        <f t="shared" si="1"/>
        <v>4.05</v>
      </c>
      <c r="G186" s="17" t="str">
        <f>Github!H$131</f>
        <v>Algorithms</v>
      </c>
      <c r="H186" s="19" t="str">
        <f>SUBSTITUTE(Github!L$131, ";", ", ")</f>
        <v>Array, Depth-First Search, Breadth-First Search, Union Find, Matrix, </v>
      </c>
      <c r="I186" s="17" t="str">
        <f>Github!E$131</f>
        <v>Medium</v>
      </c>
      <c r="J186" s="17" t="str">
        <f>IF(TRIM(Github!D$131)="TRUE","FALSE","TRUE")</f>
        <v>TRUE</v>
      </c>
      <c r="K186" s="17" t="b">
        <f>Github!M$131</f>
        <v>1</v>
      </c>
      <c r="L186" s="17" t="b">
        <f>Github!N$131</f>
        <v>0</v>
      </c>
      <c r="M186" s="17" t="str">
        <f>ROUND(Github!O$131, 2)&amp;"%"</f>
        <v>33.58%</v>
      </c>
      <c r="N186" s="17">
        <f>Github!P$131</f>
        <v>395562</v>
      </c>
      <c r="O186" s="17">
        <f>Github!Q$131</f>
        <v>1177797</v>
      </c>
    </row>
    <row r="187" ht="18.0" customHeight="1">
      <c r="A187" s="17">
        <f>Github!J$205</f>
        <v>204</v>
      </c>
      <c r="B187" s="27" t="str">
        <f>HYPERLINK(CONCAT("http://leetcode.com/problems/",Github!C$205), Github!B$205)</f>
        <v>Count Primes</v>
      </c>
      <c r="C187" s="17">
        <f>Github!F$205</f>
        <v>4533</v>
      </c>
      <c r="D187" s="17">
        <f>Github!G$205</f>
        <v>973</v>
      </c>
      <c r="E187" s="17">
        <f>Github!F$205+Github!G$205</f>
        <v>5506</v>
      </c>
      <c r="F187" s="18">
        <f t="shared" si="1"/>
        <v>4.66</v>
      </c>
      <c r="G187" s="17" t="str">
        <f>Github!H$205</f>
        <v>Algorithms</v>
      </c>
      <c r="H187" s="19" t="str">
        <f>SUBSTITUTE(Github!L$205, ";", ", ")</f>
        <v>Array, Math, Enumeration, Number Theory, </v>
      </c>
      <c r="I187" s="17" t="str">
        <f>Github!E$205</f>
        <v>Medium</v>
      </c>
      <c r="J187" s="17" t="str">
        <f>IF(TRIM(Github!D$205)="TRUE","FALSE","TRUE")</f>
        <v>TRUE</v>
      </c>
      <c r="K187" s="17" t="b">
        <f>Github!M$205</f>
        <v>1</v>
      </c>
      <c r="L187" s="17" t="b">
        <f>Github!N$205</f>
        <v>0</v>
      </c>
      <c r="M187" s="17" t="str">
        <f>ROUND(Github!O$205, 2)&amp;"%"</f>
        <v>32.97%</v>
      </c>
      <c r="N187" s="17">
        <f>Github!P$205</f>
        <v>589280</v>
      </c>
      <c r="O187" s="17">
        <f>Github!Q$205</f>
        <v>1787579</v>
      </c>
    </row>
    <row r="188" ht="18.0" customHeight="1">
      <c r="A188" s="17">
        <f>Github!J$699</f>
        <v>698</v>
      </c>
      <c r="B188" s="27" t="str">
        <f>HYPERLINK(CONCAT("http://leetcode.com/problems/",Github!C$699), Github!B$699)</f>
        <v>Partition to K Equal Sum Subsets</v>
      </c>
      <c r="C188" s="17">
        <f>Github!F$699</f>
        <v>4513</v>
      </c>
      <c r="D188" s="17">
        <f>Github!G$699</f>
        <v>280</v>
      </c>
      <c r="E188" s="17">
        <f>Github!F$699+Github!G$699</f>
        <v>4793</v>
      </c>
      <c r="F188" s="18">
        <f t="shared" si="1"/>
        <v>16.12</v>
      </c>
      <c r="G188" s="17" t="str">
        <f>Github!H$699</f>
        <v>Algorithms</v>
      </c>
      <c r="H188" s="19" t="str">
        <f>SUBSTITUTE(Github!L$699, ";", ", ")</f>
        <v>Array, Dynamic Programming, Backtracking, Bit Manipulation, Memoization, Bitmask, </v>
      </c>
      <c r="I188" s="17" t="str">
        <f>Github!E$699</f>
        <v>Medium</v>
      </c>
      <c r="J188" s="17" t="str">
        <f>IF(TRIM(Github!D$699)="TRUE","FALSE","TRUE")</f>
        <v>TRUE</v>
      </c>
      <c r="K188" s="17" t="b">
        <f>Github!M$699</f>
        <v>1</v>
      </c>
      <c r="L188" s="17" t="b">
        <f>Github!N$699</f>
        <v>0</v>
      </c>
      <c r="M188" s="17" t="str">
        <f>ROUND(Github!O$699, 2)&amp;"%"</f>
        <v>44.83%</v>
      </c>
      <c r="N188" s="17">
        <f>Github!P$699</f>
        <v>188053</v>
      </c>
      <c r="O188" s="17">
        <f>Github!Q$699</f>
        <v>419455</v>
      </c>
    </row>
    <row r="189" ht="18.0" customHeight="1">
      <c r="A189" s="17">
        <f>Github!J$96</f>
        <v>95</v>
      </c>
      <c r="B189" s="27" t="str">
        <f>HYPERLINK(CONCAT("http://leetcode.com/problems/",Github!C$96), Github!B$96)</f>
        <v>Unique Binary Search Trees II</v>
      </c>
      <c r="C189" s="17">
        <f>Github!F$96</f>
        <v>4511</v>
      </c>
      <c r="D189" s="17">
        <f>Github!G$96</f>
        <v>293</v>
      </c>
      <c r="E189" s="17">
        <f>Github!F$96+Github!G$96</f>
        <v>4804</v>
      </c>
      <c r="F189" s="18">
        <f t="shared" si="1"/>
        <v>15.4</v>
      </c>
      <c r="G189" s="17" t="str">
        <f>Github!H$96</f>
        <v>Algorithms</v>
      </c>
      <c r="H189" s="19" t="str">
        <f>SUBSTITUTE(Github!L$96, ";", ", ")</f>
        <v>Dynamic Programming, Backtracking, Tree, Binary Search Tree, Binary Tree, </v>
      </c>
      <c r="I189" s="17" t="str">
        <f>Github!E$96</f>
        <v>Medium</v>
      </c>
      <c r="J189" s="17" t="str">
        <f>IF(TRIM(Github!D$96)="TRUE","FALSE","TRUE")</f>
        <v>TRUE</v>
      </c>
      <c r="K189" s="17" t="b">
        <f>Github!M$96</f>
        <v>1</v>
      </c>
      <c r="L189" s="17" t="b">
        <f>Github!N$96</f>
        <v>0</v>
      </c>
      <c r="M189" s="17" t="str">
        <f>ROUND(Github!O$96, 2)&amp;"%"</f>
        <v>48.91%</v>
      </c>
      <c r="N189" s="17">
        <f>Github!P$96</f>
        <v>296377</v>
      </c>
      <c r="O189" s="17">
        <f>Github!Q$96</f>
        <v>605978</v>
      </c>
    </row>
    <row r="190" ht="18.0" customHeight="1">
      <c r="A190" s="17">
        <f>Github!J$393</f>
        <v>392</v>
      </c>
      <c r="B190" s="27" t="str">
        <f>HYPERLINK(CONCAT("http://leetcode.com/problems/",Github!C$393), Github!B$393)</f>
        <v>Is Subsequence</v>
      </c>
      <c r="C190" s="17">
        <f>Github!F$393</f>
        <v>4488</v>
      </c>
      <c r="D190" s="17">
        <f>Github!G$393</f>
        <v>280</v>
      </c>
      <c r="E190" s="17">
        <f>Github!F$393+Github!G$393</f>
        <v>4768</v>
      </c>
      <c r="F190" s="18">
        <f t="shared" si="1"/>
        <v>16.03</v>
      </c>
      <c r="G190" s="17" t="str">
        <f>Github!H$393</f>
        <v>Algorithms</v>
      </c>
      <c r="H190" s="19" t="str">
        <f>SUBSTITUTE(Github!L$393, ";", ", ")</f>
        <v>Two Pointers, String, Dynamic Programming, </v>
      </c>
      <c r="I190" s="17" t="str">
        <f>Github!E$393</f>
        <v>Easy</v>
      </c>
      <c r="J190" s="17" t="str">
        <f>IF(TRIM(Github!D$393)="TRUE","FALSE","TRUE")</f>
        <v>TRUE</v>
      </c>
      <c r="K190" s="17" t="b">
        <f>Github!M$393</f>
        <v>1</v>
      </c>
      <c r="L190" s="17" t="b">
        <f>Github!N$393</f>
        <v>0</v>
      </c>
      <c r="M190" s="17" t="str">
        <f>ROUND(Github!O$393, 2)&amp;"%"</f>
        <v>50.94%</v>
      </c>
      <c r="N190" s="17">
        <f>Github!P$393</f>
        <v>442008</v>
      </c>
      <c r="O190" s="17">
        <f>Github!Q$393</f>
        <v>867693</v>
      </c>
    </row>
    <row r="191" ht="18.0" customHeight="1">
      <c r="A191" s="17">
        <f>Github!J$230</f>
        <v>229</v>
      </c>
      <c r="B191" s="27" t="str">
        <f>HYPERLINK(CONCAT("http://leetcode.com/problems/",Github!C$230), Github!B$230)</f>
        <v>Majority Element II</v>
      </c>
      <c r="C191" s="17">
        <f>Github!F$230</f>
        <v>4482</v>
      </c>
      <c r="D191" s="17">
        <f>Github!G$230</f>
        <v>270</v>
      </c>
      <c r="E191" s="17">
        <f>Github!F$230+Github!G$230</f>
        <v>4752</v>
      </c>
      <c r="F191" s="18">
        <f t="shared" si="1"/>
        <v>16.6</v>
      </c>
      <c r="G191" s="17" t="str">
        <f>Github!H$230</f>
        <v>Algorithms</v>
      </c>
      <c r="H191" s="19" t="str">
        <f>SUBSTITUTE(Github!L$230, ";", ", ")</f>
        <v>Array, Hash Table, Sorting, Counting, </v>
      </c>
      <c r="I191" s="17" t="str">
        <f>Github!E$230</f>
        <v>Medium</v>
      </c>
      <c r="J191" s="17" t="str">
        <f>IF(TRIM(Github!D$230)="TRUE","FALSE","TRUE")</f>
        <v>TRUE</v>
      </c>
      <c r="K191" s="17" t="b">
        <f>Github!M$230</f>
        <v>1</v>
      </c>
      <c r="L191" s="17" t="b">
        <f>Github!N$230</f>
        <v>0</v>
      </c>
      <c r="M191" s="17" t="str">
        <f>ROUND(Github!O$230, 2)&amp;"%"</f>
        <v>41.97%</v>
      </c>
      <c r="N191" s="17">
        <f>Github!P$230</f>
        <v>273562</v>
      </c>
      <c r="O191" s="17">
        <f>Github!Q$230</f>
        <v>651872</v>
      </c>
    </row>
    <row r="192" ht="18.0" customHeight="1">
      <c r="A192" s="17">
        <f>Github!J$411</f>
        <v>410</v>
      </c>
      <c r="B192" s="27" t="str">
        <f>HYPERLINK(CONCAT("http://leetcode.com/problems/",Github!C$411), Github!B$411)</f>
        <v>Split Array Largest Sum</v>
      </c>
      <c r="C192" s="17">
        <f>Github!F$411</f>
        <v>4474</v>
      </c>
      <c r="D192" s="17">
        <f>Github!G$411</f>
        <v>128</v>
      </c>
      <c r="E192" s="17">
        <f>Github!F$411+Github!G$411</f>
        <v>4602</v>
      </c>
      <c r="F192" s="18">
        <f t="shared" si="1"/>
        <v>34.95</v>
      </c>
      <c r="G192" s="17" t="str">
        <f>Github!H$411</f>
        <v>Algorithms</v>
      </c>
      <c r="H192" s="19" t="str">
        <f>SUBSTITUTE(Github!L$411, ";", ", ")</f>
        <v>Array, Binary Search, Dynamic Programming, Greedy, </v>
      </c>
      <c r="I192" s="17" t="str">
        <f>Github!E$411</f>
        <v>Hard</v>
      </c>
      <c r="J192" s="17" t="str">
        <f>IF(TRIM(Github!D$411)="TRUE","FALSE","TRUE")</f>
        <v>TRUE</v>
      </c>
      <c r="K192" s="17" t="b">
        <f>Github!M$411</f>
        <v>1</v>
      </c>
      <c r="L192" s="17" t="b">
        <f>Github!N$411</f>
        <v>0</v>
      </c>
      <c r="M192" s="17" t="str">
        <f>ROUND(Github!O$411, 2)&amp;"%"</f>
        <v>49.98%</v>
      </c>
      <c r="N192" s="17">
        <f>Github!P$411</f>
        <v>171893</v>
      </c>
      <c r="O192" s="17">
        <f>Github!Q$411</f>
        <v>343940</v>
      </c>
    </row>
    <row r="193" ht="18.0" customHeight="1">
      <c r="A193" s="17">
        <f>Github!J$141</f>
        <v>140</v>
      </c>
      <c r="B193" s="27" t="str">
        <f>HYPERLINK(CONCAT("http://leetcode.com/problems/",Github!C$141), Github!B$141)</f>
        <v>Word Break II</v>
      </c>
      <c r="C193" s="17">
        <f>Github!F$141</f>
        <v>4468</v>
      </c>
      <c r="D193" s="17">
        <f>Github!G$141</f>
        <v>473</v>
      </c>
      <c r="E193" s="17">
        <f>Github!F$141+Github!G$141</f>
        <v>4941</v>
      </c>
      <c r="F193" s="18">
        <f t="shared" si="1"/>
        <v>9.45</v>
      </c>
      <c r="G193" s="17" t="str">
        <f>Github!H$141</f>
        <v>Algorithms</v>
      </c>
      <c r="H193" s="19" t="str">
        <f>SUBSTITUTE(Github!L$141, ";", ", ")</f>
        <v>Hash Table, String, Dynamic Programming, Backtracking, Trie, Memoization, </v>
      </c>
      <c r="I193" s="17" t="str">
        <f>Github!E$141</f>
        <v>Hard</v>
      </c>
      <c r="J193" s="17" t="str">
        <f>IF(TRIM(Github!D$141)="TRUE","FALSE","TRUE")</f>
        <v>TRUE</v>
      </c>
      <c r="K193" s="17" t="b">
        <f>Github!M$141</f>
        <v>1</v>
      </c>
      <c r="L193" s="17" t="b">
        <f>Github!N$141</f>
        <v>0</v>
      </c>
      <c r="M193" s="17" t="str">
        <f>ROUND(Github!O$141, 2)&amp;"%"</f>
        <v>41.46%</v>
      </c>
      <c r="N193" s="17">
        <f>Github!P$141</f>
        <v>424643</v>
      </c>
      <c r="O193" s="17">
        <f>Github!Q$141</f>
        <v>1024216</v>
      </c>
    </row>
    <row r="194" ht="18.0" customHeight="1">
      <c r="A194" s="17">
        <f>Github!J$58</f>
        <v>57</v>
      </c>
      <c r="B194" s="27" t="str">
        <f>HYPERLINK(CONCAT("http://leetcode.com/problems/",Github!C$58), Github!B$58)</f>
        <v>Insert Interval</v>
      </c>
      <c r="C194" s="17">
        <f>Github!F$58</f>
        <v>4456</v>
      </c>
      <c r="D194" s="17">
        <f>Github!G$58</f>
        <v>325</v>
      </c>
      <c r="E194" s="17">
        <f>Github!F$58+Github!G$58</f>
        <v>4781</v>
      </c>
      <c r="F194" s="18">
        <f t="shared" si="1"/>
        <v>13.71</v>
      </c>
      <c r="G194" s="17" t="str">
        <f>Github!H$58</f>
        <v>Algorithms</v>
      </c>
      <c r="H194" s="19" t="str">
        <f>SUBSTITUTE(Github!L$58, ";", ", ")</f>
        <v>Array, </v>
      </c>
      <c r="I194" s="17" t="str">
        <f>Github!E$58</f>
        <v>Medium</v>
      </c>
      <c r="J194" s="17" t="str">
        <f>IF(TRIM(Github!D$58)="TRUE","FALSE","TRUE")</f>
        <v>TRUE</v>
      </c>
      <c r="K194" s="17" t="b">
        <f>Github!M$58</f>
        <v>1</v>
      </c>
      <c r="L194" s="17" t="b">
        <f>Github!N$58</f>
        <v>0</v>
      </c>
      <c r="M194" s="17" t="str">
        <f>ROUND(Github!O$58, 2)&amp;"%"</f>
        <v>37.19%</v>
      </c>
      <c r="N194" s="17">
        <f>Github!P$58</f>
        <v>473569</v>
      </c>
      <c r="O194" s="17">
        <f>Github!Q$58</f>
        <v>1273405</v>
      </c>
    </row>
    <row r="195" ht="18.0" customHeight="1">
      <c r="A195" s="17">
        <f>Github!J$62</f>
        <v>61</v>
      </c>
      <c r="B195" s="27" t="str">
        <f>HYPERLINK(CONCAT("http://leetcode.com/problems/",Github!C$62), Github!B$62)</f>
        <v>Rotate List</v>
      </c>
      <c r="C195" s="17">
        <f>Github!F$62</f>
        <v>4714</v>
      </c>
      <c r="D195" s="17">
        <f>Github!G$62</f>
        <v>1261</v>
      </c>
      <c r="E195" s="17">
        <f>Github!F$62+Github!G$62</f>
        <v>5975</v>
      </c>
      <c r="F195" s="18">
        <f t="shared" si="1"/>
        <v>3.74</v>
      </c>
      <c r="G195" s="17" t="str">
        <f>Github!H$62</f>
        <v>Algorithms</v>
      </c>
      <c r="H195" s="19" t="str">
        <f>SUBSTITUTE(Github!L$62, ";", ", ")</f>
        <v>Linked List, Two Pointers, </v>
      </c>
      <c r="I195" s="17" t="str">
        <f>Github!E$62</f>
        <v>Medium</v>
      </c>
      <c r="J195" s="17" t="str">
        <f>IF(TRIM(Github!D$62)="TRUE","FALSE","TRUE")</f>
        <v>TRUE</v>
      </c>
      <c r="K195" s="17" t="b">
        <f>Github!M$62</f>
        <v>1</v>
      </c>
      <c r="L195" s="17" t="b">
        <f>Github!N$62</f>
        <v>0</v>
      </c>
      <c r="M195" s="17" t="str">
        <f>ROUND(Github!O$62, 2)&amp;"%"</f>
        <v>34.57%</v>
      </c>
      <c r="N195" s="17">
        <f>Github!P$62</f>
        <v>524703</v>
      </c>
      <c r="O195" s="17">
        <f>Github!Q$62</f>
        <v>1518253</v>
      </c>
    </row>
    <row r="196" ht="18.0" customHeight="1">
      <c r="A196" s="17">
        <f>Github!J$302</f>
        <v>301</v>
      </c>
      <c r="B196" s="27" t="str">
        <f>HYPERLINK(CONCAT("http://leetcode.com/problems/",Github!C$302), Github!B$302)</f>
        <v>Remove Invalid Parentheses</v>
      </c>
      <c r="C196" s="17">
        <f>Github!F$302</f>
        <v>4448</v>
      </c>
      <c r="D196" s="17">
        <f>Github!G$302</f>
        <v>225</v>
      </c>
      <c r="E196" s="17">
        <f>Github!F$302+Github!G$302</f>
        <v>4673</v>
      </c>
      <c r="F196" s="18">
        <f t="shared" si="1"/>
        <v>19.77</v>
      </c>
      <c r="G196" s="17" t="str">
        <f>Github!H$302</f>
        <v>Algorithms</v>
      </c>
      <c r="H196" s="19" t="str">
        <f>SUBSTITUTE(Github!L$302, ";", ", ")</f>
        <v>String, Backtracking, Breadth-First Search, </v>
      </c>
      <c r="I196" s="17" t="str">
        <f>Github!E$302</f>
        <v>Hard</v>
      </c>
      <c r="J196" s="17" t="str">
        <f>IF(TRIM(Github!D$302)="TRUE","FALSE","TRUE")</f>
        <v>TRUE</v>
      </c>
      <c r="K196" s="17" t="b">
        <f>Github!M$302</f>
        <v>1</v>
      </c>
      <c r="L196" s="17" t="b">
        <f>Github!N$302</f>
        <v>0</v>
      </c>
      <c r="M196" s="17" t="str">
        <f>ROUND(Github!O$302, 2)&amp;"%"</f>
        <v>46.68%</v>
      </c>
      <c r="N196" s="17">
        <f>Github!P$302</f>
        <v>336677</v>
      </c>
      <c r="O196" s="17">
        <f>Github!Q$302</f>
        <v>721261</v>
      </c>
    </row>
    <row r="197" ht="18.0" customHeight="1">
      <c r="A197" s="17">
        <f>Github!J$114</f>
        <v>113</v>
      </c>
      <c r="B197" s="27" t="str">
        <f>HYPERLINK(CONCAT("http://leetcode.com/problems/",Github!C$114), Github!B$114)</f>
        <v>Path Sum II</v>
      </c>
      <c r="C197" s="17">
        <f>Github!F$114</f>
        <v>4440</v>
      </c>
      <c r="D197" s="17">
        <f>Github!G$114</f>
        <v>104</v>
      </c>
      <c r="E197" s="17">
        <f>Github!F$114+Github!G$114</f>
        <v>4544</v>
      </c>
      <c r="F197" s="18">
        <f t="shared" si="1"/>
        <v>42.69</v>
      </c>
      <c r="G197" s="17" t="str">
        <f>Github!H$114</f>
        <v>Algorithms</v>
      </c>
      <c r="H197" s="19" t="str">
        <f>SUBSTITUTE(Github!L$114, ";", ", ")</f>
        <v>Backtracking, Tree, Depth-First Search, Binary Tree, </v>
      </c>
      <c r="I197" s="17" t="str">
        <f>Github!E$114</f>
        <v>Medium</v>
      </c>
      <c r="J197" s="17" t="str">
        <f>IF(TRIM(Github!D$114)="TRUE","FALSE","TRUE")</f>
        <v>TRUE</v>
      </c>
      <c r="K197" s="17" t="b">
        <f>Github!M$114</f>
        <v>1</v>
      </c>
      <c r="L197" s="17" t="b">
        <f>Github!N$114</f>
        <v>0</v>
      </c>
      <c r="M197" s="17" t="str">
        <f>ROUND(Github!O$114, 2)&amp;"%"</f>
        <v>53.56%</v>
      </c>
      <c r="N197" s="17">
        <f>Github!P$114</f>
        <v>553479</v>
      </c>
      <c r="O197" s="17">
        <f>Github!Q$114</f>
        <v>1033336</v>
      </c>
    </row>
    <row r="198" ht="18.0" customHeight="1">
      <c r="A198" s="17">
        <f>Github!J$84</f>
        <v>83</v>
      </c>
      <c r="B198" s="27" t="str">
        <f>HYPERLINK(CONCAT("http://leetcode.com/problems/",Github!C$84), Github!B$84)</f>
        <v>Remove Duplicates from Sorted List</v>
      </c>
      <c r="C198" s="17">
        <f>Github!F$84</f>
        <v>4420</v>
      </c>
      <c r="D198" s="17">
        <f>Github!G$84</f>
        <v>179</v>
      </c>
      <c r="E198" s="17">
        <f>Github!F$84+Github!G$84</f>
        <v>4599</v>
      </c>
      <c r="F198" s="18">
        <f t="shared" si="1"/>
        <v>24.69</v>
      </c>
      <c r="G198" s="17" t="str">
        <f>Github!H$84</f>
        <v>Algorithms</v>
      </c>
      <c r="H198" s="19" t="str">
        <f>SUBSTITUTE(Github!L$84, ";", ", ")</f>
        <v>Linked List, </v>
      </c>
      <c r="I198" s="17" t="str">
        <f>Github!E$84</f>
        <v>Easy</v>
      </c>
      <c r="J198" s="17" t="str">
        <f>IF(TRIM(Github!D$84)="TRUE","FALSE","TRUE")</f>
        <v>TRUE</v>
      </c>
      <c r="K198" s="17" t="b">
        <f>Github!M$84</f>
        <v>1</v>
      </c>
      <c r="L198" s="17" t="b">
        <f>Github!N$84</f>
        <v>0</v>
      </c>
      <c r="M198" s="17" t="str">
        <f>ROUND(Github!O$84, 2)&amp;"%"</f>
        <v>48.77%</v>
      </c>
      <c r="N198" s="17">
        <f>Github!P$84</f>
        <v>810067</v>
      </c>
      <c r="O198" s="17">
        <f>Github!Q$84</f>
        <v>1661074</v>
      </c>
    </row>
    <row r="199" ht="18.0" customHeight="1">
      <c r="A199" s="17">
        <f>Github!J$279</f>
        <v>278</v>
      </c>
      <c r="B199" s="27" t="str">
        <f>HYPERLINK(CONCAT("http://leetcode.com/problems/",Github!C$279), Github!B$279)</f>
        <v>First Bad Version</v>
      </c>
      <c r="C199" s="17">
        <f>Github!F$279</f>
        <v>4384</v>
      </c>
      <c r="D199" s="17">
        <f>Github!G$279</f>
        <v>1642</v>
      </c>
      <c r="E199" s="17">
        <f>Github!F$279+Github!G$279</f>
        <v>6026</v>
      </c>
      <c r="F199" s="18">
        <f t="shared" si="1"/>
        <v>2.67</v>
      </c>
      <c r="G199" s="17" t="str">
        <f>Github!H$279</f>
        <v>Algorithms</v>
      </c>
      <c r="H199" s="19" t="str">
        <f>SUBSTITUTE(Github!L$279, ";", ", ")</f>
        <v>Binary Search, Interactive, </v>
      </c>
      <c r="I199" s="17" t="str">
        <f>Github!E$279</f>
        <v>Easy</v>
      </c>
      <c r="J199" s="17" t="str">
        <f>IF(TRIM(Github!D$279)="TRUE","FALSE","TRUE")</f>
        <v>TRUE</v>
      </c>
      <c r="K199" s="17" t="b">
        <f>Github!M$279</f>
        <v>1</v>
      </c>
      <c r="L199" s="17" t="b">
        <f>Github!N$279</f>
        <v>1</v>
      </c>
      <c r="M199" s="17" t="str">
        <f>ROUND(Github!O$279, 2)&amp;"%"</f>
        <v>41.19%</v>
      </c>
      <c r="N199" s="17">
        <f>Github!P$279</f>
        <v>906214</v>
      </c>
      <c r="O199" s="17">
        <f>Github!Q$279</f>
        <v>2199854</v>
      </c>
    </row>
    <row r="200" ht="18.0" customHeight="1">
      <c r="A200" s="17">
        <f>Github!J$741</f>
        <v>740</v>
      </c>
      <c r="B200" s="27" t="str">
        <f>HYPERLINK(CONCAT("http://leetcode.com/problems/",Github!C$741), Github!B$741)</f>
        <v>Delete and Earn</v>
      </c>
      <c r="C200" s="17">
        <f>Github!F$741</f>
        <v>4388</v>
      </c>
      <c r="D200" s="17">
        <f>Github!G$741</f>
        <v>248</v>
      </c>
      <c r="E200" s="17">
        <f>Github!F$741+Github!G$741</f>
        <v>4636</v>
      </c>
      <c r="F200" s="18">
        <f t="shared" si="1"/>
        <v>17.69</v>
      </c>
      <c r="G200" s="17" t="str">
        <f>Github!H$741</f>
        <v>Algorithms</v>
      </c>
      <c r="H200" s="19" t="str">
        <f>SUBSTITUTE(Github!L$741, ";", ", ")</f>
        <v>Array, Hash Table, Dynamic Programming, </v>
      </c>
      <c r="I200" s="17" t="str">
        <f>Github!E$741</f>
        <v>Medium</v>
      </c>
      <c r="J200" s="17" t="str">
        <f>IF(TRIM(Github!D$741)="TRUE","FALSE","TRUE")</f>
        <v>TRUE</v>
      </c>
      <c r="K200" s="17" t="b">
        <f>Github!M$741</f>
        <v>1</v>
      </c>
      <c r="L200" s="17" t="b">
        <f>Github!N$741</f>
        <v>0</v>
      </c>
      <c r="M200" s="17" t="str">
        <f>ROUND(Github!O$741, 2)&amp;"%"</f>
        <v>57.04%</v>
      </c>
      <c r="N200" s="17">
        <f>Github!P$741</f>
        <v>164738</v>
      </c>
      <c r="O200" s="17">
        <f>Github!Q$741</f>
        <v>288792</v>
      </c>
    </row>
    <row r="201" ht="18.0" customHeight="1">
      <c r="A201" s="17">
        <f>Github!J$243</f>
        <v>242</v>
      </c>
      <c r="B201" s="27" t="str">
        <f>HYPERLINK(CONCAT("http://leetcode.com/problems/",Github!C$243), Github!B$243)</f>
        <v>Valid Anagram</v>
      </c>
      <c r="C201" s="17">
        <f>Github!F$243</f>
        <v>4367</v>
      </c>
      <c r="D201" s="17">
        <f>Github!G$243</f>
        <v>203</v>
      </c>
      <c r="E201" s="17">
        <f>Github!F$243+Github!G$243</f>
        <v>4570</v>
      </c>
      <c r="F201" s="18">
        <f t="shared" si="1"/>
        <v>21.51</v>
      </c>
      <c r="G201" s="17" t="str">
        <f>Github!H$243</f>
        <v>Algorithms</v>
      </c>
      <c r="H201" s="19" t="str">
        <f>SUBSTITUTE(Github!L$243, ";", ", ")</f>
        <v>Hash Table, String, Sorting, </v>
      </c>
      <c r="I201" s="17" t="str">
        <f>Github!E$243</f>
        <v>Easy</v>
      </c>
      <c r="J201" s="17" t="str">
        <f>IF(TRIM(Github!D$243)="TRUE","FALSE","TRUE")</f>
        <v>TRUE</v>
      </c>
      <c r="K201" s="17" t="b">
        <f>Github!M$243</f>
        <v>1</v>
      </c>
      <c r="L201" s="17" t="b">
        <f>Github!N$243</f>
        <v>1</v>
      </c>
      <c r="M201" s="17" t="str">
        <f>ROUND(Github!O$243, 2)&amp;"%"</f>
        <v>61.13%</v>
      </c>
      <c r="N201" s="17">
        <f>Github!P$243</f>
        <v>1144693</v>
      </c>
      <c r="O201" s="17">
        <f>Github!Q$243</f>
        <v>1872557</v>
      </c>
    </row>
    <row r="202" ht="18.0" customHeight="1">
      <c r="A202" s="17">
        <f>Github!J$768</f>
        <v>767</v>
      </c>
      <c r="B202" s="27" t="str">
        <f>HYPERLINK(CONCAT("http://leetcode.com/problems/",Github!C$768), Github!B$768)</f>
        <v>Reorganize String</v>
      </c>
      <c r="C202" s="17">
        <f>Github!F$768</f>
        <v>4365</v>
      </c>
      <c r="D202" s="17">
        <f>Github!G$768</f>
        <v>170</v>
      </c>
      <c r="E202" s="17">
        <f>Github!F$768+Github!G$768</f>
        <v>4535</v>
      </c>
      <c r="F202" s="18">
        <f t="shared" si="1"/>
        <v>25.68</v>
      </c>
      <c r="G202" s="17" t="str">
        <f>Github!H$768</f>
        <v>Algorithms</v>
      </c>
      <c r="H202" s="19" t="str">
        <f>SUBSTITUTE(Github!L$768, ";", ", ")</f>
        <v>Hash Table, String, Greedy, Sorting, Heap (Priority Queue), Counting, </v>
      </c>
      <c r="I202" s="17" t="str">
        <f>Github!E$768</f>
        <v>Medium</v>
      </c>
      <c r="J202" s="17" t="str">
        <f>IF(TRIM(Github!D$768)="TRUE","FALSE","TRUE")</f>
        <v>TRUE</v>
      </c>
      <c r="K202" s="17" t="b">
        <f>Github!M$768</f>
        <v>0</v>
      </c>
      <c r="L202" s="17" t="b">
        <f>Github!N$768</f>
        <v>0</v>
      </c>
      <c r="M202" s="17" t="str">
        <f>ROUND(Github!O$768, 2)&amp;"%"</f>
        <v>51.83%</v>
      </c>
      <c r="N202" s="17">
        <f>Github!P$768</f>
        <v>198901</v>
      </c>
      <c r="O202" s="17">
        <f>Github!Q$768</f>
        <v>383786</v>
      </c>
    </row>
    <row r="203" ht="18.0" customHeight="1">
      <c r="A203" s="17">
        <f>Github!J$64</f>
        <v>63</v>
      </c>
      <c r="B203" s="27" t="str">
        <f>HYPERLINK(CONCAT("http://leetcode.com/problems/",Github!C$64), Github!B$64)</f>
        <v>Unique Paths II</v>
      </c>
      <c r="C203" s="17">
        <f>Github!F$64</f>
        <v>4363</v>
      </c>
      <c r="D203" s="17">
        <f>Github!G$64</f>
        <v>366</v>
      </c>
      <c r="E203" s="17">
        <f>Github!F$64+Github!G$64</f>
        <v>4729</v>
      </c>
      <c r="F203" s="18">
        <f t="shared" si="1"/>
        <v>11.92</v>
      </c>
      <c r="G203" s="17" t="str">
        <f>Github!H$64</f>
        <v>Algorithms</v>
      </c>
      <c r="H203" s="19" t="str">
        <f>SUBSTITUTE(Github!L$64, ";", ", ")</f>
        <v>Array, Dynamic Programming, Matrix, </v>
      </c>
      <c r="I203" s="17" t="str">
        <f>Github!E$64</f>
        <v>Medium</v>
      </c>
      <c r="J203" s="17" t="str">
        <f>IF(TRIM(Github!D$64)="TRUE","FALSE","TRUE")</f>
        <v>TRUE</v>
      </c>
      <c r="K203" s="17" t="b">
        <f>Github!M$64</f>
        <v>1</v>
      </c>
      <c r="L203" s="17" t="b">
        <f>Github!N$64</f>
        <v>0</v>
      </c>
      <c r="M203" s="17" t="str">
        <f>ROUND(Github!O$64, 2)&amp;"%"</f>
        <v>37.3%</v>
      </c>
      <c r="N203" s="17">
        <f>Github!P$64</f>
        <v>486115</v>
      </c>
      <c r="O203" s="17">
        <f>Github!Q$64</f>
        <v>1303156</v>
      </c>
    </row>
    <row r="204" ht="18.0" customHeight="1">
      <c r="A204" s="17">
        <f>Github!J$45</f>
        <v>44</v>
      </c>
      <c r="B204" s="27" t="str">
        <f>HYPERLINK(CONCAT("http://leetcode.com/problems/",Github!C$45), Github!B$45)</f>
        <v>Wildcard Matching</v>
      </c>
      <c r="C204" s="17">
        <f>Github!F$45</f>
        <v>4335</v>
      </c>
      <c r="D204" s="17">
        <f>Github!G$45</f>
        <v>193</v>
      </c>
      <c r="E204" s="17">
        <f>Github!F$45+Github!G$45</f>
        <v>4528</v>
      </c>
      <c r="F204" s="18">
        <f t="shared" si="1"/>
        <v>22.46</v>
      </c>
      <c r="G204" s="17" t="str">
        <f>Github!H$45</f>
        <v>Algorithms</v>
      </c>
      <c r="H204" s="19" t="str">
        <f>SUBSTITUTE(Github!L$45, ";", ", ")</f>
        <v>String, Dynamic Programming, Greedy, Recursion, </v>
      </c>
      <c r="I204" s="17" t="str">
        <f>Github!E$45</f>
        <v>Hard</v>
      </c>
      <c r="J204" s="17" t="str">
        <f>IF(TRIM(Github!D$45)="TRUE","FALSE","TRUE")</f>
        <v>TRUE</v>
      </c>
      <c r="K204" s="17" t="b">
        <f>Github!M$45</f>
        <v>1</v>
      </c>
      <c r="L204" s="17" t="b">
        <f>Github!N$45</f>
        <v>0</v>
      </c>
      <c r="M204" s="17" t="str">
        <f>ROUND(Github!O$45, 2)&amp;"%"</f>
        <v>26.43%</v>
      </c>
      <c r="N204" s="17">
        <f>Github!P$45</f>
        <v>369203</v>
      </c>
      <c r="O204" s="17">
        <f>Github!Q$45</f>
        <v>1396957</v>
      </c>
    </row>
    <row r="205" ht="18.0" customHeight="1">
      <c r="A205" s="17">
        <f>Github!J$110</f>
        <v>109</v>
      </c>
      <c r="B205" s="27" t="str">
        <f>HYPERLINK(CONCAT("http://leetcode.com/problems/",Github!C$110), Github!B$110)</f>
        <v>Convert Sorted List to Binary Search Tree</v>
      </c>
      <c r="C205" s="17">
        <f>Github!F$110</f>
        <v>4326</v>
      </c>
      <c r="D205" s="17">
        <f>Github!G$110</f>
        <v>111</v>
      </c>
      <c r="E205" s="17">
        <f>Github!F$110+Github!G$110</f>
        <v>4437</v>
      </c>
      <c r="F205" s="18">
        <f t="shared" si="1"/>
        <v>38.97</v>
      </c>
      <c r="G205" s="17" t="str">
        <f>Github!H$110</f>
        <v>Algorithms</v>
      </c>
      <c r="H205" s="19" t="str">
        <f>SUBSTITUTE(Github!L$110, ";", ", ")</f>
        <v>Linked List, Divide and Conquer, Tree, Binary Search Tree, Binary Tree, </v>
      </c>
      <c r="I205" s="17" t="str">
        <f>Github!E$110</f>
        <v>Medium</v>
      </c>
      <c r="J205" s="17" t="str">
        <f>IF(TRIM(Github!D$110)="TRUE","FALSE","TRUE")</f>
        <v>TRUE</v>
      </c>
      <c r="K205" s="17" t="b">
        <f>Github!M$110</f>
        <v>1</v>
      </c>
      <c r="L205" s="17" t="b">
        <f>Github!N$110</f>
        <v>0</v>
      </c>
      <c r="M205" s="17" t="str">
        <f>ROUND(Github!O$110, 2)&amp;"%"</f>
        <v>55.05%</v>
      </c>
      <c r="N205" s="17">
        <f>Github!P$110</f>
        <v>361174</v>
      </c>
      <c r="O205" s="17">
        <f>Github!Q$110</f>
        <v>656045</v>
      </c>
    </row>
    <row r="206" ht="18.0" customHeight="1">
      <c r="A206" s="17">
        <f>Github!J$663</f>
        <v>662</v>
      </c>
      <c r="B206" s="27" t="str">
        <f>HYPERLINK(CONCAT("http://leetcode.com/problems/",Github!C$663), Github!B$663)</f>
        <v>Maximum Width of Binary Tree</v>
      </c>
      <c r="C206" s="17">
        <f>Github!F$663</f>
        <v>4291</v>
      </c>
      <c r="D206" s="17">
        <f>Github!G$663</f>
        <v>693</v>
      </c>
      <c r="E206" s="17">
        <f>Github!F$663+Github!G$663</f>
        <v>4984</v>
      </c>
      <c r="F206" s="18">
        <f t="shared" si="1"/>
        <v>6.19</v>
      </c>
      <c r="G206" s="17" t="str">
        <f>Github!H$663</f>
        <v>Algorithms</v>
      </c>
      <c r="H206" s="19" t="str">
        <f>SUBSTITUTE(Github!L$663, ";", ", ")</f>
        <v>Tree, Depth-First Search, Breadth-First Search, Binary Tree, </v>
      </c>
      <c r="I206" s="17" t="str">
        <f>Github!E$663</f>
        <v>Medium</v>
      </c>
      <c r="J206" s="17" t="str">
        <f>IF(TRIM(Github!D$663)="TRUE","FALSE","TRUE")</f>
        <v>TRUE</v>
      </c>
      <c r="K206" s="17" t="b">
        <f>Github!M$663</f>
        <v>1</v>
      </c>
      <c r="L206" s="17" t="b">
        <f>Github!N$663</f>
        <v>0</v>
      </c>
      <c r="M206" s="17" t="str">
        <f>ROUND(Github!O$663, 2)&amp;"%"</f>
        <v>40.15%</v>
      </c>
      <c r="N206" s="17">
        <f>Github!P$663</f>
        <v>174656</v>
      </c>
      <c r="O206" s="17">
        <f>Github!Q$663</f>
        <v>434993</v>
      </c>
    </row>
    <row r="207" ht="18.0" customHeight="1">
      <c r="A207" s="17">
        <f>Github!J$543</f>
        <v>542</v>
      </c>
      <c r="B207" s="27" t="str">
        <f>HYPERLINK(CONCAT("http://leetcode.com/problems/",Github!C$543), Github!B$543)</f>
        <v>01 Matrix</v>
      </c>
      <c r="C207" s="17">
        <f>Github!F$543</f>
        <v>4245</v>
      </c>
      <c r="D207" s="17">
        <f>Github!G$543</f>
        <v>208</v>
      </c>
      <c r="E207" s="17">
        <f>Github!F$543+Github!G$543</f>
        <v>4453</v>
      </c>
      <c r="F207" s="18">
        <f t="shared" si="1"/>
        <v>20.41</v>
      </c>
      <c r="G207" s="17" t="str">
        <f>Github!H$543</f>
        <v>Algorithms</v>
      </c>
      <c r="H207" s="19" t="str">
        <f>SUBSTITUTE(Github!L$543, ";", ", ")</f>
        <v>Array, Dynamic Programming, Breadth-First Search, Matrix, </v>
      </c>
      <c r="I207" s="17" t="str">
        <f>Github!E$543</f>
        <v>Medium</v>
      </c>
      <c r="J207" s="17" t="str">
        <f>IF(TRIM(Github!D$543)="TRUE","FALSE","TRUE")</f>
        <v>TRUE</v>
      </c>
      <c r="K207" s="17" t="b">
        <f>Github!M$543</f>
        <v>1</v>
      </c>
      <c r="L207" s="17" t="b">
        <f>Github!N$543</f>
        <v>0</v>
      </c>
      <c r="M207" s="17" t="str">
        <f>ROUND(Github!O$543, 2)&amp;"%"</f>
        <v>43.56%</v>
      </c>
      <c r="N207" s="17">
        <f>Github!P$543</f>
        <v>221361</v>
      </c>
      <c r="O207" s="17">
        <f>Github!Q$543</f>
        <v>508165</v>
      </c>
    </row>
    <row r="208" ht="18.0" customHeight="1">
      <c r="A208" s="17">
        <f>Github!J$107</f>
        <v>106</v>
      </c>
      <c r="B208" s="27" t="str">
        <f>HYPERLINK(CONCAT("http://leetcode.com/problems/",Github!C$107), Github!B$107)</f>
        <v>Construct Binary Tree from Inorder and Postorder Traversal</v>
      </c>
      <c r="C208" s="17">
        <f>Github!F$107</f>
        <v>4227</v>
      </c>
      <c r="D208" s="17">
        <f>Github!G$107</f>
        <v>70</v>
      </c>
      <c r="E208" s="17">
        <f>Github!F$107+Github!G$107</f>
        <v>4297</v>
      </c>
      <c r="F208" s="18">
        <f t="shared" si="1"/>
        <v>60.39</v>
      </c>
      <c r="G208" s="17" t="str">
        <f>Github!H$107</f>
        <v>Algorithms</v>
      </c>
      <c r="H208" s="19" t="str">
        <f>SUBSTITUTE(Github!L$107, ";", ", ")</f>
        <v>Array, Hash Table, Divide and Conquer, Tree, Binary Tree, </v>
      </c>
      <c r="I208" s="17" t="str">
        <f>Github!E$107</f>
        <v>Medium</v>
      </c>
      <c r="J208" s="17" t="str">
        <f>IF(TRIM(Github!D$107)="TRUE","FALSE","TRUE")</f>
        <v>TRUE</v>
      </c>
      <c r="K208" s="17" t="b">
        <f>Github!M$107</f>
        <v>1</v>
      </c>
      <c r="L208" s="17" t="b">
        <f>Github!N$107</f>
        <v>0</v>
      </c>
      <c r="M208" s="17" t="str">
        <f>ROUND(Github!O$107, 2)&amp;"%"</f>
        <v>54.86%</v>
      </c>
      <c r="N208" s="17">
        <f>Github!P$107</f>
        <v>382327</v>
      </c>
      <c r="O208" s="17">
        <f>Github!Q$107</f>
        <v>696907</v>
      </c>
    </row>
    <row r="209" ht="18.0" customHeight="1">
      <c r="A209" s="17">
        <f>Github!J$984</f>
        <v>983</v>
      </c>
      <c r="B209" s="27" t="str">
        <f>HYPERLINK(CONCAT("http://leetcode.com/problems/",Github!C$984), Github!B$984)</f>
        <v>Minimum Cost For Tickets</v>
      </c>
      <c r="C209" s="17">
        <f>Github!F$984</f>
        <v>4221</v>
      </c>
      <c r="D209" s="17">
        <f>Github!G$984</f>
        <v>72</v>
      </c>
      <c r="E209" s="17">
        <f>Github!F$984+Github!G$984</f>
        <v>4293</v>
      </c>
      <c r="F209" s="18">
        <f t="shared" si="1"/>
        <v>58.63</v>
      </c>
      <c r="G209" s="17" t="str">
        <f>Github!H$984</f>
        <v>Algorithms</v>
      </c>
      <c r="H209" s="19" t="str">
        <f>SUBSTITUTE(Github!L$984, ";", ", ")</f>
        <v>Array, Dynamic Programming, </v>
      </c>
      <c r="I209" s="17" t="str">
        <f>Github!E$984</f>
        <v>Medium</v>
      </c>
      <c r="J209" s="17" t="str">
        <f>IF(TRIM(Github!D$984)="TRUE","FALSE","TRUE")</f>
        <v>TRUE</v>
      </c>
      <c r="K209" s="17" t="b">
        <f>Github!M$984</f>
        <v>1</v>
      </c>
      <c r="L209" s="17" t="b">
        <f>Github!N$984</f>
        <v>0</v>
      </c>
      <c r="M209" s="17" t="str">
        <f>ROUND(Github!O$984, 2)&amp;"%"</f>
        <v>63.88%</v>
      </c>
      <c r="N209" s="17">
        <f>Github!P$984</f>
        <v>146130</v>
      </c>
      <c r="O209" s="17">
        <f>Github!Q$984</f>
        <v>228750</v>
      </c>
    </row>
    <row r="210" ht="18.0" customHeight="1">
      <c r="A210" s="17">
        <f>Github!J$504</f>
        <v>503</v>
      </c>
      <c r="B210" s="27" t="str">
        <f>HYPERLINK(CONCAT("http://leetcode.com/problems/",Github!C$504), Github!B$504)</f>
        <v>Next Greater Element II</v>
      </c>
      <c r="C210" s="17">
        <f>Github!F$504</f>
        <v>4179</v>
      </c>
      <c r="D210" s="17">
        <f>Github!G$504</f>
        <v>127</v>
      </c>
      <c r="E210" s="17">
        <f>Github!F$504+Github!G$504</f>
        <v>4306</v>
      </c>
      <c r="F210" s="18">
        <f t="shared" si="1"/>
        <v>32.91</v>
      </c>
      <c r="G210" s="17" t="str">
        <f>Github!H$504</f>
        <v>Algorithms</v>
      </c>
      <c r="H210" s="19" t="str">
        <f>SUBSTITUTE(Github!L$504, ";", ", ")</f>
        <v>Array, Stack, Monotonic Stack, </v>
      </c>
      <c r="I210" s="17" t="str">
        <f>Github!E$504</f>
        <v>Medium</v>
      </c>
      <c r="J210" s="17" t="str">
        <f>IF(TRIM(Github!D$504)="TRUE","FALSE","TRUE")</f>
        <v>TRUE</v>
      </c>
      <c r="K210" s="17" t="b">
        <f>Github!M$504</f>
        <v>1</v>
      </c>
      <c r="L210" s="17" t="b">
        <f>Github!N$504</f>
        <v>0</v>
      </c>
      <c r="M210" s="17" t="str">
        <f>ROUND(Github!O$504, 2)&amp;"%"</f>
        <v>61.7%</v>
      </c>
      <c r="N210" s="17">
        <f>Github!P$504</f>
        <v>202798</v>
      </c>
      <c r="O210" s="17">
        <f>Github!Q$504</f>
        <v>328682</v>
      </c>
    </row>
    <row r="211" ht="18.0" customHeight="1">
      <c r="A211" s="17">
        <f>Github!J$693</f>
        <v>692</v>
      </c>
      <c r="B211" s="27" t="str">
        <f>HYPERLINK(CONCAT("http://leetcode.com/problems/",Github!C$693), Github!B$693)</f>
        <v>Top K Frequent Words</v>
      </c>
      <c r="C211" s="17">
        <f>Github!F$693</f>
        <v>4173</v>
      </c>
      <c r="D211" s="17">
        <f>Github!G$693</f>
        <v>240</v>
      </c>
      <c r="E211" s="17">
        <f>Github!F$693+Github!G$693</f>
        <v>4413</v>
      </c>
      <c r="F211" s="18">
        <f t="shared" si="1"/>
        <v>17.39</v>
      </c>
      <c r="G211" s="17" t="str">
        <f>Github!H$693</f>
        <v>Algorithms</v>
      </c>
      <c r="H211" s="19" t="str">
        <f>SUBSTITUTE(Github!L$693, ";", ", ")</f>
        <v>Hash Table, String, Trie, Sorting, Heap (Priority Queue), Bucket Sort, Counting, </v>
      </c>
      <c r="I211" s="17" t="str">
        <f>Github!E$693</f>
        <v>Medium</v>
      </c>
      <c r="J211" s="17" t="str">
        <f>IF(TRIM(Github!D$693)="TRUE","FALSE","TRUE")</f>
        <v>TRUE</v>
      </c>
      <c r="K211" s="17" t="b">
        <f>Github!M$693</f>
        <v>0</v>
      </c>
      <c r="L211" s="17" t="b">
        <f>Github!N$693</f>
        <v>0</v>
      </c>
      <c r="M211" s="17" t="str">
        <f>ROUND(Github!O$693, 2)&amp;"%"</f>
        <v>54.22%</v>
      </c>
      <c r="N211" s="17">
        <f>Github!P$693</f>
        <v>360426</v>
      </c>
      <c r="O211" s="17">
        <f>Github!Q$693</f>
        <v>664720</v>
      </c>
    </row>
    <row r="212" ht="18.0" customHeight="1">
      <c r="A212" s="17">
        <f>Github!J$464</f>
        <v>463</v>
      </c>
      <c r="B212" s="27" t="str">
        <f>HYPERLINK(CONCAT("http://leetcode.com/problems/",Github!C$464), Github!B$464)</f>
        <v>Island Perimeter</v>
      </c>
      <c r="C212" s="17">
        <f>Github!F$464</f>
        <v>4156</v>
      </c>
      <c r="D212" s="17">
        <f>Github!G$464</f>
        <v>231</v>
      </c>
      <c r="E212" s="17">
        <f>Github!F$464+Github!G$464</f>
        <v>4387</v>
      </c>
      <c r="F212" s="18">
        <f t="shared" si="1"/>
        <v>17.99</v>
      </c>
      <c r="G212" s="17" t="str">
        <f>Github!H$464</f>
        <v>Algorithms</v>
      </c>
      <c r="H212" s="19" t="str">
        <f>SUBSTITUTE(Github!L$464, ";", ", ")</f>
        <v>Array, Depth-First Search, Breadth-First Search, Matrix, </v>
      </c>
      <c r="I212" s="17" t="str">
        <f>Github!E$464</f>
        <v>Easy</v>
      </c>
      <c r="J212" s="17" t="str">
        <f>IF(TRIM(Github!D$464)="TRUE","FALSE","TRUE")</f>
        <v>TRUE</v>
      </c>
      <c r="K212" s="17" t="b">
        <f>Github!M$464</f>
        <v>1</v>
      </c>
      <c r="L212" s="17" t="b">
        <f>Github!N$464</f>
        <v>0</v>
      </c>
      <c r="M212" s="17" t="str">
        <f>ROUND(Github!O$464, 2)&amp;"%"</f>
        <v>68.78%</v>
      </c>
      <c r="N212" s="17">
        <f>Github!P$464</f>
        <v>353032</v>
      </c>
      <c r="O212" s="17">
        <f>Github!Q$464</f>
        <v>513308</v>
      </c>
    </row>
    <row r="213" ht="18.0" customHeight="1">
      <c r="A213" s="17">
        <f>Github!J$44</f>
        <v>43</v>
      </c>
      <c r="B213" s="27" t="str">
        <f>HYPERLINK(CONCAT("http://leetcode.com/problems/",Github!C$44), Github!B$44)</f>
        <v>Multiply Strings</v>
      </c>
      <c r="C213" s="17">
        <f>Github!F$44</f>
        <v>4126</v>
      </c>
      <c r="D213" s="17">
        <f>Github!G$44</f>
        <v>1615</v>
      </c>
      <c r="E213" s="17">
        <f>Github!F$44+Github!G$44</f>
        <v>5741</v>
      </c>
      <c r="F213" s="18">
        <f t="shared" si="1"/>
        <v>2.55</v>
      </c>
      <c r="G213" s="17" t="str">
        <f>Github!H$44</f>
        <v>Algorithms</v>
      </c>
      <c r="H213" s="19" t="str">
        <f>SUBSTITUTE(Github!L$44, ";", ", ")</f>
        <v>Math, String, Simulation, </v>
      </c>
      <c r="I213" s="17" t="str">
        <f>Github!E$44</f>
        <v>Medium</v>
      </c>
      <c r="J213" s="17" t="str">
        <f>IF(TRIM(Github!D$44)="TRUE","FALSE","TRUE")</f>
        <v>TRUE</v>
      </c>
      <c r="K213" s="17" t="b">
        <f>Github!M$44</f>
        <v>1</v>
      </c>
      <c r="L213" s="17" t="b">
        <f>Github!N$44</f>
        <v>0</v>
      </c>
      <c r="M213" s="17" t="str">
        <f>ROUND(Github!O$44, 2)&amp;"%"</f>
        <v>37.45%</v>
      </c>
      <c r="N213" s="17">
        <f>Github!P$44</f>
        <v>488464</v>
      </c>
      <c r="O213" s="17">
        <f>Github!Q$44</f>
        <v>1304216</v>
      </c>
    </row>
    <row r="214" ht="18.0" customHeight="1">
      <c r="A214" s="17">
        <f>Github!J$345</f>
        <v>344</v>
      </c>
      <c r="B214" s="27" t="str">
        <f>HYPERLINK(CONCAT("http://leetcode.com/problems/",Github!C$345), Github!B$345)</f>
        <v>Reverse String</v>
      </c>
      <c r="C214" s="17">
        <f>Github!F$345</f>
        <v>4120</v>
      </c>
      <c r="D214" s="17">
        <f>Github!G$345</f>
        <v>901</v>
      </c>
      <c r="E214" s="17">
        <f>Github!F$345+Github!G$345</f>
        <v>5021</v>
      </c>
      <c r="F214" s="18">
        <f t="shared" si="1"/>
        <v>4.57</v>
      </c>
      <c r="G214" s="17" t="str">
        <f>Github!H$345</f>
        <v>Algorithms</v>
      </c>
      <c r="H214" s="19" t="str">
        <f>SUBSTITUTE(Github!L$345, ";", ", ")</f>
        <v>Two Pointers, String, Recursion, </v>
      </c>
      <c r="I214" s="17" t="str">
        <f>Github!E$345</f>
        <v>Easy</v>
      </c>
      <c r="J214" s="17" t="str">
        <f>IF(TRIM(Github!D$345)="TRUE","FALSE","TRUE")</f>
        <v>TRUE</v>
      </c>
      <c r="K214" s="17" t="b">
        <f>Github!M$345</f>
        <v>1</v>
      </c>
      <c r="L214" s="17" t="b">
        <f>Github!N$345</f>
        <v>1</v>
      </c>
      <c r="M214" s="17" t="str">
        <f>ROUND(Github!O$345, 2)&amp;"%"</f>
        <v>73.87%</v>
      </c>
      <c r="N214" s="17">
        <f>Github!P$345</f>
        <v>1439626</v>
      </c>
      <c r="O214" s="17">
        <f>Github!Q$345</f>
        <v>1948948</v>
      </c>
    </row>
    <row r="215" ht="18.0" customHeight="1">
      <c r="A215" s="17">
        <f>Github!J$681</f>
        <v>680</v>
      </c>
      <c r="B215" s="27" t="str">
        <f>HYPERLINK(CONCAT("http://leetcode.com/problems/",Github!C$681), Github!B$681)</f>
        <v>Valid Palindrome II</v>
      </c>
      <c r="C215" s="17">
        <f>Github!F$681</f>
        <v>4107</v>
      </c>
      <c r="D215" s="17">
        <f>Github!G$681</f>
        <v>245</v>
      </c>
      <c r="E215" s="17">
        <f>Github!F$681+Github!G$681</f>
        <v>4352</v>
      </c>
      <c r="F215" s="18">
        <f t="shared" si="1"/>
        <v>16.76</v>
      </c>
      <c r="G215" s="17" t="str">
        <f>Github!H$681</f>
        <v>Algorithms</v>
      </c>
      <c r="H215" s="19" t="str">
        <f>SUBSTITUTE(Github!L$681, ";", ", ")</f>
        <v>Two Pointers, String, Greedy, </v>
      </c>
      <c r="I215" s="17" t="str">
        <f>Github!E$681</f>
        <v>Easy</v>
      </c>
      <c r="J215" s="17" t="str">
        <f>IF(TRIM(Github!D$681)="TRUE","FALSE","TRUE")</f>
        <v>TRUE</v>
      </c>
      <c r="K215" s="17" t="b">
        <f>Github!M$681</f>
        <v>0</v>
      </c>
      <c r="L215" s="17" t="b">
        <f>Github!N$681</f>
        <v>0</v>
      </c>
      <c r="M215" s="17" t="str">
        <f>ROUND(Github!O$681, 2)&amp;"%"</f>
        <v>38.52%</v>
      </c>
      <c r="N215" s="17">
        <f>Github!P$681</f>
        <v>412446</v>
      </c>
      <c r="O215" s="17">
        <f>Github!Q$681</f>
        <v>1070789</v>
      </c>
    </row>
    <row r="216" ht="18.0" customHeight="1">
      <c r="A216" s="17">
        <f>Github!J$51</f>
        <v>50</v>
      </c>
      <c r="B216" s="27" t="str">
        <f>HYPERLINK(CONCAT("http://leetcode.com/problems/",Github!C$51), Github!B$51)</f>
        <v>Pow(x, n)</v>
      </c>
      <c r="C216" s="17">
        <f>Github!F$51</f>
        <v>4105</v>
      </c>
      <c r="D216" s="17">
        <f>Github!G$51</f>
        <v>5123</v>
      </c>
      <c r="E216" s="17">
        <f>Github!F$51+Github!G$51</f>
        <v>9228</v>
      </c>
      <c r="F216" s="18">
        <f t="shared" si="1"/>
        <v>0.8</v>
      </c>
      <c r="G216" s="17" t="str">
        <f>Github!H$51</f>
        <v>Algorithms</v>
      </c>
      <c r="H216" s="19" t="str">
        <f>SUBSTITUTE(Github!L$51, ";", ", ")</f>
        <v>Math, Recursion, </v>
      </c>
      <c r="I216" s="17" t="str">
        <f>Github!E$51</f>
        <v>Medium</v>
      </c>
      <c r="J216" s="17" t="str">
        <f>IF(TRIM(Github!D$51)="TRUE","FALSE","TRUE")</f>
        <v>TRUE</v>
      </c>
      <c r="K216" s="17" t="b">
        <f>Github!M$51</f>
        <v>1</v>
      </c>
      <c r="L216" s="17" t="b">
        <f>Github!N$51</f>
        <v>0</v>
      </c>
      <c r="M216" s="17" t="str">
        <f>ROUND(Github!O$51, 2)&amp;"%"</f>
        <v>32.17%</v>
      </c>
      <c r="N216" s="17">
        <f>Github!P$51</f>
        <v>851048</v>
      </c>
      <c r="O216" s="17">
        <f>Github!Q$51</f>
        <v>2645225</v>
      </c>
    </row>
    <row r="217" ht="18.0" customHeight="1">
      <c r="A217" s="17">
        <f>Github!J$238</f>
        <v>237</v>
      </c>
      <c r="B217" s="27" t="str">
        <f>HYPERLINK(CONCAT("http://leetcode.com/problems/",Github!C$238), Github!B$238)</f>
        <v>Delete Node in a Linked List</v>
      </c>
      <c r="C217" s="17">
        <f>Github!F$238</f>
        <v>4080</v>
      </c>
      <c r="D217" s="17">
        <f>Github!G$238</f>
        <v>11277</v>
      </c>
      <c r="E217" s="17">
        <f>Github!F$238+Github!G$238</f>
        <v>15357</v>
      </c>
      <c r="F217" s="18">
        <f t="shared" si="1"/>
        <v>0.36</v>
      </c>
      <c r="G217" s="17" t="str">
        <f>Github!H$238</f>
        <v>Algorithms</v>
      </c>
      <c r="H217" s="19" t="str">
        <f>SUBSTITUTE(Github!L$238, ";", ", ")</f>
        <v>Linked List, </v>
      </c>
      <c r="I217" s="17" t="str">
        <f>Github!E$238</f>
        <v>Easy</v>
      </c>
      <c r="J217" s="17" t="str">
        <f>IF(TRIM(Github!D$238)="TRUE","FALSE","TRUE")</f>
        <v>TRUE</v>
      </c>
      <c r="K217" s="17" t="b">
        <f>Github!M$238</f>
        <v>0</v>
      </c>
      <c r="L217" s="17" t="b">
        <f>Github!N$238</f>
        <v>0</v>
      </c>
      <c r="M217" s="17" t="str">
        <f>ROUND(Github!O$238, 2)&amp;"%"</f>
        <v>71.39%</v>
      </c>
      <c r="N217" s="17">
        <f>Github!P$238</f>
        <v>765360</v>
      </c>
      <c r="O217" s="17">
        <f>Github!Q$238</f>
        <v>1072081</v>
      </c>
    </row>
    <row r="218" ht="18.0" customHeight="1">
      <c r="A218" s="17">
        <f>Github!J$351</f>
        <v>350</v>
      </c>
      <c r="B218" s="27" t="str">
        <f>HYPERLINK(CONCAT("http://leetcode.com/problems/",Github!C$351), Github!B$351)</f>
        <v>Intersection of Two Arrays II</v>
      </c>
      <c r="C218" s="17">
        <f>Github!F$351</f>
        <v>4077</v>
      </c>
      <c r="D218" s="17">
        <f>Github!G$351</f>
        <v>669</v>
      </c>
      <c r="E218" s="17">
        <f>Github!F$351+Github!G$351</f>
        <v>4746</v>
      </c>
      <c r="F218" s="18">
        <f t="shared" si="1"/>
        <v>6.09</v>
      </c>
      <c r="G218" s="17" t="str">
        <f>Github!H$351</f>
        <v>Algorithms</v>
      </c>
      <c r="H218" s="19" t="str">
        <f>SUBSTITUTE(Github!L$351, ";", ", ")</f>
        <v>Array, Hash Table, Two Pointers, Binary Search, Sorting, </v>
      </c>
      <c r="I218" s="17" t="str">
        <f>Github!E$351</f>
        <v>Easy</v>
      </c>
      <c r="J218" s="17" t="str">
        <f>IF(TRIM(Github!D$351)="TRUE","FALSE","TRUE")</f>
        <v>TRUE</v>
      </c>
      <c r="K218" s="17" t="b">
        <f>Github!M$351</f>
        <v>1</v>
      </c>
      <c r="L218" s="17" t="b">
        <f>Github!N$351</f>
        <v>0</v>
      </c>
      <c r="M218" s="17" t="str">
        <f>ROUND(Github!O$351, 2)&amp;"%"</f>
        <v>54.62%</v>
      </c>
      <c r="N218" s="17">
        <f>Github!P$351</f>
        <v>745037</v>
      </c>
      <c r="O218" s="17">
        <f>Github!Q$351</f>
        <v>1364165</v>
      </c>
    </row>
    <row r="219" ht="18.0" customHeight="1">
      <c r="A219" s="17">
        <f>Github!J$218</f>
        <v>217</v>
      </c>
      <c r="B219" s="27" t="str">
        <f>HYPERLINK(CONCAT("http://leetcode.com/problems/",Github!C$218), Github!B$218)</f>
        <v>Contains Duplicate</v>
      </c>
      <c r="C219" s="17">
        <f>Github!F$218</f>
        <v>4054</v>
      </c>
      <c r="D219" s="17">
        <f>Github!G$218</f>
        <v>931</v>
      </c>
      <c r="E219" s="17">
        <f>Github!F$218+Github!G$218</f>
        <v>4985</v>
      </c>
      <c r="F219" s="18">
        <f t="shared" si="1"/>
        <v>4.35</v>
      </c>
      <c r="G219" s="17" t="str">
        <f>Github!H$218</f>
        <v>Algorithms</v>
      </c>
      <c r="H219" s="19" t="str">
        <f>SUBSTITUTE(Github!L$218, ";", ", ")</f>
        <v>Array, Hash Table, Sorting, </v>
      </c>
      <c r="I219" s="17" t="str">
        <f>Github!E$218</f>
        <v>Easy</v>
      </c>
      <c r="J219" s="17" t="str">
        <f>IF(TRIM(Github!D$218)="TRUE","FALSE","TRUE")</f>
        <v>TRUE</v>
      </c>
      <c r="K219" s="17" t="b">
        <f>Github!M$218</f>
        <v>1</v>
      </c>
      <c r="L219" s="17" t="b">
        <f>Github!N$218</f>
        <v>0</v>
      </c>
      <c r="M219" s="17" t="str">
        <f>ROUND(Github!O$218, 2)&amp;"%"</f>
        <v>60.39%</v>
      </c>
      <c r="N219" s="17">
        <f>Github!P$218</f>
        <v>1386740</v>
      </c>
      <c r="O219" s="17">
        <f>Github!Q$218</f>
        <v>2296499</v>
      </c>
    </row>
    <row r="220" ht="18.0" customHeight="1">
      <c r="A220" s="17">
        <f>Github!J$228</f>
        <v>227</v>
      </c>
      <c r="B220" s="27" t="str">
        <f>HYPERLINK(CONCAT("http://leetcode.com/problems/",Github!C$228), Github!B$228)</f>
        <v>Basic Calculator II</v>
      </c>
      <c r="C220" s="17">
        <f>Github!F$228</f>
        <v>4044</v>
      </c>
      <c r="D220" s="17">
        <f>Github!G$228</f>
        <v>533</v>
      </c>
      <c r="E220" s="17">
        <f>Github!F$228+Github!G$228</f>
        <v>4577</v>
      </c>
      <c r="F220" s="18">
        <f t="shared" si="1"/>
        <v>7.59</v>
      </c>
      <c r="G220" s="17" t="str">
        <f>Github!H$228</f>
        <v>Algorithms</v>
      </c>
      <c r="H220" s="19" t="str">
        <f>SUBSTITUTE(Github!L$228, ";", ", ")</f>
        <v>Math, String, Stack, </v>
      </c>
      <c r="I220" s="17" t="str">
        <f>Github!E$228</f>
        <v>Medium</v>
      </c>
      <c r="J220" s="17" t="str">
        <f>IF(TRIM(Github!D$228)="TRUE","FALSE","TRUE")</f>
        <v>TRUE</v>
      </c>
      <c r="K220" s="17" t="b">
        <f>Github!M$228</f>
        <v>1</v>
      </c>
      <c r="L220" s="17" t="b">
        <f>Github!N$228</f>
        <v>0</v>
      </c>
      <c r="M220" s="17" t="str">
        <f>ROUND(Github!O$228, 2)&amp;"%"</f>
        <v>41.31%</v>
      </c>
      <c r="N220" s="17">
        <f>Github!P$228</f>
        <v>400138</v>
      </c>
      <c r="O220" s="17">
        <f>Github!Q$228</f>
        <v>968626</v>
      </c>
    </row>
    <row r="221" ht="18.0" customHeight="1">
      <c r="A221" s="17">
        <f>Github!J$1005</f>
        <v>1004</v>
      </c>
      <c r="B221" s="27" t="str">
        <f>HYPERLINK(CONCAT("http://leetcode.com/problems/",Github!C$1005), Github!B$1005)</f>
        <v>Max Consecutive Ones III</v>
      </c>
      <c r="C221" s="17">
        <f>Github!F$1005</f>
        <v>4042</v>
      </c>
      <c r="D221" s="17">
        <f>Github!G$1005</f>
        <v>55</v>
      </c>
      <c r="E221" s="17">
        <f>Github!F$1005+Github!G$1005</f>
        <v>4097</v>
      </c>
      <c r="F221" s="18">
        <f t="shared" si="1"/>
        <v>73.49</v>
      </c>
      <c r="G221" s="17" t="str">
        <f>Github!H$1005</f>
        <v>Algorithms</v>
      </c>
      <c r="H221" s="19" t="str">
        <f>SUBSTITUTE(Github!L$1005, ";", ", ")</f>
        <v>Array, Binary Search, Sliding Window, Prefix Sum, </v>
      </c>
      <c r="I221" s="17" t="str">
        <f>Github!E$1005</f>
        <v>Medium</v>
      </c>
      <c r="J221" s="17" t="str">
        <f>IF(TRIM(Github!D$1005)="TRUE","FALSE","TRUE")</f>
        <v>TRUE</v>
      </c>
      <c r="K221" s="17" t="b">
        <f>Github!M$1005</f>
        <v>1</v>
      </c>
      <c r="L221" s="17" t="b">
        <f>Github!N$1005</f>
        <v>0</v>
      </c>
      <c r="M221" s="17" t="str">
        <f>ROUND(Github!O$1005, 2)&amp;"%"</f>
        <v>62.65%</v>
      </c>
      <c r="N221" s="17">
        <f>Github!P$1005</f>
        <v>191761</v>
      </c>
      <c r="O221" s="17">
        <f>Github!Q$1005</f>
        <v>306068</v>
      </c>
    </row>
    <row r="222" ht="18.0" customHeight="1">
      <c r="A222" s="17">
        <f>Github!J$722</f>
        <v>721</v>
      </c>
      <c r="B222" s="27" t="str">
        <f>HYPERLINK(CONCAT("http://leetcode.com/problems/",Github!C$722), Github!B$722)</f>
        <v>Accounts Merge</v>
      </c>
      <c r="C222" s="17">
        <f>Github!F$722</f>
        <v>4002</v>
      </c>
      <c r="D222" s="17">
        <f>Github!G$722</f>
        <v>719</v>
      </c>
      <c r="E222" s="17">
        <f>Github!F$722+Github!G$722</f>
        <v>4721</v>
      </c>
      <c r="F222" s="18">
        <f t="shared" si="1"/>
        <v>5.57</v>
      </c>
      <c r="G222" s="17" t="str">
        <f>Github!H$722</f>
        <v>Algorithms</v>
      </c>
      <c r="H222" s="19" t="str">
        <f>SUBSTITUTE(Github!L$722, ";", ", ")</f>
        <v>Array, String, Depth-First Search, Breadth-First Search, Union Find, </v>
      </c>
      <c r="I222" s="17" t="str">
        <f>Github!E$722</f>
        <v>Medium</v>
      </c>
      <c r="J222" s="17" t="str">
        <f>IF(TRIM(Github!D$722)="TRUE","FALSE","TRUE")</f>
        <v>TRUE</v>
      </c>
      <c r="K222" s="17" t="b">
        <f>Github!M$722</f>
        <v>1</v>
      </c>
      <c r="L222" s="17" t="b">
        <f>Github!N$722</f>
        <v>0</v>
      </c>
      <c r="M222" s="17" t="str">
        <f>ROUND(Github!O$722, 2)&amp;"%"</f>
        <v>55.56%</v>
      </c>
      <c r="N222" s="17">
        <f>Github!P$722</f>
        <v>233615</v>
      </c>
      <c r="O222" s="17">
        <f>Github!Q$722</f>
        <v>420436</v>
      </c>
    </row>
    <row r="223" ht="18.0" customHeight="1">
      <c r="A223" s="17">
        <f>Github!J$100</f>
        <v>99</v>
      </c>
      <c r="B223" s="27" t="str">
        <f>HYPERLINK(CONCAT("http://leetcode.com/problems/",Github!C$100), Github!B$100)</f>
        <v>Recover Binary Search Tree</v>
      </c>
      <c r="C223" s="17">
        <f>Github!F$100</f>
        <v>3986</v>
      </c>
      <c r="D223" s="17">
        <f>Github!G$100</f>
        <v>149</v>
      </c>
      <c r="E223" s="17">
        <f>Github!F$100+Github!G$100</f>
        <v>4135</v>
      </c>
      <c r="F223" s="18">
        <f t="shared" si="1"/>
        <v>26.75</v>
      </c>
      <c r="G223" s="17" t="str">
        <f>Github!H$100</f>
        <v>Algorithms</v>
      </c>
      <c r="H223" s="19" t="str">
        <f>SUBSTITUTE(Github!L$100, ";", ", ")</f>
        <v>Tree, Depth-First Search, Binary Search Tree, Binary Tree, </v>
      </c>
      <c r="I223" s="17" t="str">
        <f>Github!E$100</f>
        <v>Medium</v>
      </c>
      <c r="J223" s="17" t="str">
        <f>IF(TRIM(Github!D$100)="TRUE","FALSE","TRUE")</f>
        <v>TRUE</v>
      </c>
      <c r="K223" s="17" t="b">
        <f>Github!M$100</f>
        <v>1</v>
      </c>
      <c r="L223" s="17" t="b">
        <f>Github!N$100</f>
        <v>0</v>
      </c>
      <c r="M223" s="17" t="str">
        <f>ROUND(Github!O$100, 2)&amp;"%"</f>
        <v>45.98%</v>
      </c>
      <c r="N223" s="17">
        <f>Github!P$100</f>
        <v>272068</v>
      </c>
      <c r="O223" s="17">
        <f>Github!Q$100</f>
        <v>591738</v>
      </c>
    </row>
    <row r="224" ht="18.0" customHeight="1">
      <c r="A224" s="17">
        <f>Github!J$425</f>
        <v>424</v>
      </c>
      <c r="B224" s="27" t="str">
        <f>HYPERLINK(CONCAT("http://leetcode.com/problems/",Github!C$425), Github!B$425)</f>
        <v>Longest Repeating Character Replacement</v>
      </c>
      <c r="C224" s="17">
        <f>Github!F$425</f>
        <v>3982</v>
      </c>
      <c r="D224" s="17">
        <f>Github!G$425</f>
        <v>156</v>
      </c>
      <c r="E224" s="17">
        <f>Github!F$425+Github!G$425</f>
        <v>4138</v>
      </c>
      <c r="F224" s="18">
        <f t="shared" si="1"/>
        <v>25.53</v>
      </c>
      <c r="G224" s="17" t="str">
        <f>Github!H$425</f>
        <v>Algorithms</v>
      </c>
      <c r="H224" s="19" t="str">
        <f>SUBSTITUTE(Github!L$425, ";", ", ")</f>
        <v>Hash Table, String, Sliding Window, </v>
      </c>
      <c r="I224" s="17" t="str">
        <f>Github!E$425</f>
        <v>Medium</v>
      </c>
      <c r="J224" s="17" t="str">
        <f>IF(TRIM(Github!D$425)="TRUE","FALSE","TRUE")</f>
        <v>TRUE</v>
      </c>
      <c r="K224" s="17" t="b">
        <f>Github!M$425</f>
        <v>0</v>
      </c>
      <c r="L224" s="17" t="b">
        <f>Github!N$425</f>
        <v>0</v>
      </c>
      <c r="M224" s="17" t="str">
        <f>ROUND(Github!O$425, 2)&amp;"%"</f>
        <v>50.59%</v>
      </c>
      <c r="N224" s="17">
        <f>Github!P$425</f>
        <v>191318</v>
      </c>
      <c r="O224" s="17">
        <f>Github!Q$425</f>
        <v>378166</v>
      </c>
    </row>
    <row r="225" ht="18.0" customHeight="1">
      <c r="A225" s="17">
        <f>Github!J$659</f>
        <v>658</v>
      </c>
      <c r="B225" s="27" t="str">
        <f>HYPERLINK(CONCAT("http://leetcode.com/problems/",Github!C$659), Github!B$659)</f>
        <v>Find K Closest Elements</v>
      </c>
      <c r="C225" s="17">
        <f>Github!F$659</f>
        <v>3970</v>
      </c>
      <c r="D225" s="17">
        <f>Github!G$659</f>
        <v>407</v>
      </c>
      <c r="E225" s="17">
        <f>Github!F$659+Github!G$659</f>
        <v>4377</v>
      </c>
      <c r="F225" s="18">
        <f t="shared" si="1"/>
        <v>9.75</v>
      </c>
      <c r="G225" s="17" t="str">
        <f>Github!H$659</f>
        <v>Algorithms</v>
      </c>
      <c r="H225" s="19" t="str">
        <f>SUBSTITUTE(Github!L$659, ";", ", ")</f>
        <v>Array, Two Pointers, Binary Search, Sorting, Heap (Priority Queue), </v>
      </c>
      <c r="I225" s="17" t="str">
        <f>Github!E$659</f>
        <v>Medium</v>
      </c>
      <c r="J225" s="17" t="str">
        <f>IF(TRIM(Github!D$659)="TRUE","FALSE","TRUE")</f>
        <v>TRUE</v>
      </c>
      <c r="K225" s="17" t="b">
        <f>Github!M$659</f>
        <v>1</v>
      </c>
      <c r="L225" s="17" t="b">
        <f>Github!N$659</f>
        <v>0</v>
      </c>
      <c r="M225" s="17" t="str">
        <f>ROUND(Github!O$659, 2)&amp;"%"</f>
        <v>44.33%</v>
      </c>
      <c r="N225" s="17">
        <f>Github!P$659</f>
        <v>266820</v>
      </c>
      <c r="O225" s="17">
        <f>Github!Q$659</f>
        <v>601951</v>
      </c>
    </row>
    <row r="226" ht="18.0" customHeight="1">
      <c r="A226" s="17">
        <f>Github!J$987</f>
        <v>986</v>
      </c>
      <c r="B226" s="27" t="str">
        <f>HYPERLINK(CONCAT("http://leetcode.com/problems/",Github!C$987), Github!B$987)</f>
        <v>Interval List Intersections</v>
      </c>
      <c r="C226" s="17">
        <f>Github!F$987</f>
        <v>3970</v>
      </c>
      <c r="D226" s="17">
        <f>Github!G$987</f>
        <v>82</v>
      </c>
      <c r="E226" s="17">
        <f>Github!F$987+Github!G$987</f>
        <v>4052</v>
      </c>
      <c r="F226" s="18">
        <f t="shared" si="1"/>
        <v>48.41</v>
      </c>
      <c r="G226" s="17" t="str">
        <f>Github!H$987</f>
        <v>Algorithms</v>
      </c>
      <c r="H226" s="19" t="str">
        <f>SUBSTITUTE(Github!L$987, ";", ", ")</f>
        <v>Array, Two Pointers, </v>
      </c>
      <c r="I226" s="17" t="str">
        <f>Github!E$987</f>
        <v>Medium</v>
      </c>
      <c r="J226" s="17" t="str">
        <f>IF(TRIM(Github!D$987)="TRUE","FALSE","TRUE")</f>
        <v>TRUE</v>
      </c>
      <c r="K226" s="17" t="b">
        <f>Github!M$987</f>
        <v>1</v>
      </c>
      <c r="L226" s="17" t="b">
        <f>Github!N$987</f>
        <v>0</v>
      </c>
      <c r="M226" s="17" t="str">
        <f>ROUND(Github!O$987, 2)&amp;"%"</f>
        <v>70.94%</v>
      </c>
      <c r="N226" s="17">
        <f>Github!P$987</f>
        <v>283078</v>
      </c>
      <c r="O226" s="17">
        <f>Github!Q$987</f>
        <v>399040</v>
      </c>
    </row>
    <row r="227" ht="18.0" customHeight="1">
      <c r="A227" s="17">
        <f>Github!J$130</f>
        <v>129</v>
      </c>
      <c r="B227" s="27" t="str">
        <f>HYPERLINK(CONCAT("http://leetcode.com/problems/",Github!C$130), Github!B$130)</f>
        <v>Sum Root to Leaf Numbers</v>
      </c>
      <c r="C227" s="17">
        <f>Github!F$130</f>
        <v>3929</v>
      </c>
      <c r="D227" s="17">
        <f>Github!G$130</f>
        <v>77</v>
      </c>
      <c r="E227" s="17">
        <f>Github!F$130+Github!G$130</f>
        <v>4006</v>
      </c>
      <c r="F227" s="18">
        <f t="shared" si="1"/>
        <v>51.03</v>
      </c>
      <c r="G227" s="17" t="str">
        <f>Github!H$130</f>
        <v>Algorithms</v>
      </c>
      <c r="H227" s="19" t="str">
        <f>SUBSTITUTE(Github!L$130, ";", ", ")</f>
        <v>Tree, Depth-First Search, Binary Tree, </v>
      </c>
      <c r="I227" s="17" t="str">
        <f>Github!E$130</f>
        <v>Medium</v>
      </c>
      <c r="J227" s="17" t="str">
        <f>IF(TRIM(Github!D$130)="TRUE","FALSE","TRUE")</f>
        <v>TRUE</v>
      </c>
      <c r="K227" s="17" t="b">
        <f>Github!M$130</f>
        <v>1</v>
      </c>
      <c r="L227" s="17" t="b">
        <f>Github!N$130</f>
        <v>0</v>
      </c>
      <c r="M227" s="17" t="str">
        <f>ROUND(Github!O$130, 2)&amp;"%"</f>
        <v>56.35%</v>
      </c>
      <c r="N227" s="17">
        <f>Github!P$130</f>
        <v>438784</v>
      </c>
      <c r="O227" s="17">
        <f>Github!Q$130</f>
        <v>778709</v>
      </c>
    </row>
    <row r="228" ht="18.0" customHeight="1">
      <c r="A228" s="17">
        <f>Github!J$317</f>
        <v>316</v>
      </c>
      <c r="B228" s="27" t="str">
        <f>HYPERLINK(CONCAT("http://leetcode.com/problems/",Github!C$317), Github!B$317)</f>
        <v>Remove Duplicate Letters</v>
      </c>
      <c r="C228" s="17">
        <f>Github!F$317</f>
        <v>3918</v>
      </c>
      <c r="D228" s="17">
        <f>Github!G$317</f>
        <v>275</v>
      </c>
      <c r="E228" s="17">
        <f>Github!F$317+Github!G$317</f>
        <v>4193</v>
      </c>
      <c r="F228" s="18">
        <f t="shared" si="1"/>
        <v>14.25</v>
      </c>
      <c r="G228" s="17" t="str">
        <f>Github!H$317</f>
        <v>Algorithms</v>
      </c>
      <c r="H228" s="19" t="str">
        <f>SUBSTITUTE(Github!L$317, ";", ", ")</f>
        <v>String, Stack, Greedy, Monotonic Stack, </v>
      </c>
      <c r="I228" s="17" t="str">
        <f>Github!E$317</f>
        <v>Medium</v>
      </c>
      <c r="J228" s="17" t="str">
        <f>IF(TRIM(Github!D$317)="TRUE","FALSE","TRUE")</f>
        <v>TRUE</v>
      </c>
      <c r="K228" s="17" t="b">
        <f>Github!M$317</f>
        <v>1</v>
      </c>
      <c r="L228" s="17" t="b">
        <f>Github!N$317</f>
        <v>0</v>
      </c>
      <c r="M228" s="17" t="str">
        <f>ROUND(Github!O$317, 2)&amp;"%"</f>
        <v>41.42%</v>
      </c>
      <c r="N228" s="17">
        <f>Github!P$317</f>
        <v>155026</v>
      </c>
      <c r="O228" s="17">
        <f>Github!Q$317</f>
        <v>374244</v>
      </c>
    </row>
    <row r="229" ht="18.0" customHeight="1">
      <c r="A229" s="17">
        <f>Github!J$146</f>
        <v>145</v>
      </c>
      <c r="B229" s="27" t="str">
        <f>HYPERLINK(CONCAT("http://leetcode.com/problems/",Github!C$146), Github!B$146)</f>
        <v>Binary Tree Postorder Traversal</v>
      </c>
      <c r="C229" s="17">
        <f>Github!F$146</f>
        <v>3892</v>
      </c>
      <c r="D229" s="17">
        <f>Github!G$146</f>
        <v>134</v>
      </c>
      <c r="E229" s="17">
        <f>Github!F$146+Github!G$146</f>
        <v>4026</v>
      </c>
      <c r="F229" s="18">
        <f t="shared" si="1"/>
        <v>29.04</v>
      </c>
      <c r="G229" s="17" t="str">
        <f>Github!H$146</f>
        <v>Algorithms</v>
      </c>
      <c r="H229" s="19" t="str">
        <f>SUBSTITUTE(Github!L$146, ";", ", ")</f>
        <v>Stack, Tree, Depth-First Search, Binary Tree, </v>
      </c>
      <c r="I229" s="17" t="str">
        <f>Github!E$146</f>
        <v>Easy</v>
      </c>
      <c r="J229" s="17" t="str">
        <f>IF(TRIM(Github!D$146)="TRUE","FALSE","TRUE")</f>
        <v>TRUE</v>
      </c>
      <c r="K229" s="17" t="b">
        <f>Github!M$146</f>
        <v>0</v>
      </c>
      <c r="L229" s="17" t="b">
        <f>Github!N$146</f>
        <v>0</v>
      </c>
      <c r="M229" s="17" t="str">
        <f>ROUND(Github!O$146, 2)&amp;"%"</f>
        <v>63.37%</v>
      </c>
      <c r="N229" s="17">
        <f>Github!P$146</f>
        <v>675144</v>
      </c>
      <c r="O229" s="17">
        <f>Github!Q$146</f>
        <v>1065454</v>
      </c>
    </row>
    <row r="230" ht="18.0" customHeight="1">
      <c r="A230" s="17">
        <f>Github!J$786</f>
        <v>785</v>
      </c>
      <c r="B230" s="27" t="str">
        <f>HYPERLINK(CONCAT("http://leetcode.com/problems/",Github!C$786), Github!B$786)</f>
        <v>Is Graph Bipartite?</v>
      </c>
      <c r="C230" s="17">
        <f>Github!F$786</f>
        <v>3894</v>
      </c>
      <c r="D230" s="17">
        <f>Github!G$786</f>
        <v>255</v>
      </c>
      <c r="E230" s="17">
        <f>Github!F$786+Github!G$786</f>
        <v>4149</v>
      </c>
      <c r="F230" s="18">
        <f t="shared" si="1"/>
        <v>15.27</v>
      </c>
      <c r="G230" s="17" t="str">
        <f>Github!H$786</f>
        <v>Algorithms</v>
      </c>
      <c r="H230" s="19" t="str">
        <f>SUBSTITUTE(Github!L$786, ";", ", ")</f>
        <v>Depth-First Search, Breadth-First Search, Union Find, Graph, </v>
      </c>
      <c r="I230" s="17" t="str">
        <f>Github!E$786</f>
        <v>Medium</v>
      </c>
      <c r="J230" s="17" t="str">
        <f>IF(TRIM(Github!D$786)="TRUE","FALSE","TRUE")</f>
        <v>TRUE</v>
      </c>
      <c r="K230" s="17" t="b">
        <f>Github!M$786</f>
        <v>1</v>
      </c>
      <c r="L230" s="17" t="b">
        <f>Github!N$786</f>
        <v>0</v>
      </c>
      <c r="M230" s="17" t="str">
        <f>ROUND(Github!O$786, 2)&amp;"%"</f>
        <v>50.15%</v>
      </c>
      <c r="N230" s="17">
        <f>Github!P$786</f>
        <v>266386</v>
      </c>
      <c r="O230" s="17">
        <f>Github!Q$786</f>
        <v>531136</v>
      </c>
    </row>
    <row r="231" ht="18.0" customHeight="1">
      <c r="A231" s="17">
        <f>Github!J$939</f>
        <v>938</v>
      </c>
      <c r="B231" s="27" t="str">
        <f>HYPERLINK(CONCAT("http://leetcode.com/problems/",Github!C$939), Github!B$939)</f>
        <v>Range Sum of BST</v>
      </c>
      <c r="C231" s="17">
        <f>Github!F$939</f>
        <v>3878</v>
      </c>
      <c r="D231" s="17">
        <f>Github!G$939</f>
        <v>326</v>
      </c>
      <c r="E231" s="17">
        <f>Github!F$939+Github!G$939</f>
        <v>4204</v>
      </c>
      <c r="F231" s="18">
        <f t="shared" si="1"/>
        <v>11.9</v>
      </c>
      <c r="G231" s="17" t="str">
        <f>Github!H$939</f>
        <v>Algorithms</v>
      </c>
      <c r="H231" s="19" t="str">
        <f>SUBSTITUTE(Github!L$939, ";", ", ")</f>
        <v>Tree, Depth-First Search, Binary Search Tree, Binary Tree, </v>
      </c>
      <c r="I231" s="17" t="str">
        <f>Github!E$939</f>
        <v>Easy</v>
      </c>
      <c r="J231" s="17" t="str">
        <f>IF(TRIM(Github!D$939)="TRUE","FALSE","TRUE")</f>
        <v>TRUE</v>
      </c>
      <c r="K231" s="17" t="b">
        <f>Github!M$939</f>
        <v>1</v>
      </c>
      <c r="L231" s="17" t="b">
        <f>Github!N$939</f>
        <v>1</v>
      </c>
      <c r="M231" s="17" t="str">
        <f>ROUND(Github!O$939, 2)&amp;"%"</f>
        <v>84.93%</v>
      </c>
      <c r="N231" s="17">
        <f>Github!P$939</f>
        <v>577669</v>
      </c>
      <c r="O231" s="17">
        <f>Github!Q$939</f>
        <v>680174</v>
      </c>
    </row>
    <row r="232" ht="18.0" customHeight="1">
      <c r="A232" s="17">
        <f>Github!J$138</f>
        <v>137</v>
      </c>
      <c r="B232" s="27" t="str">
        <f>HYPERLINK(CONCAT("http://leetcode.com/problems/",Github!C$138), Github!B$138)</f>
        <v>Single Number II</v>
      </c>
      <c r="C232" s="17">
        <f>Github!F$138</f>
        <v>3867</v>
      </c>
      <c r="D232" s="17">
        <f>Github!G$138</f>
        <v>470</v>
      </c>
      <c r="E232" s="17">
        <f>Github!F$138+Github!G$138</f>
        <v>4337</v>
      </c>
      <c r="F232" s="18">
        <f t="shared" si="1"/>
        <v>8.23</v>
      </c>
      <c r="G232" s="17" t="str">
        <f>Github!H$138</f>
        <v>Algorithms</v>
      </c>
      <c r="H232" s="19" t="str">
        <f>SUBSTITUTE(Github!L$138, ";", ", ")</f>
        <v>Array, Bit Manipulation, </v>
      </c>
      <c r="I232" s="17" t="str">
        <f>Github!E$138</f>
        <v>Medium</v>
      </c>
      <c r="J232" s="17" t="str">
        <f>IF(TRIM(Github!D$138)="TRUE","FALSE","TRUE")</f>
        <v>TRUE</v>
      </c>
      <c r="K232" s="17" t="b">
        <f>Github!M$138</f>
        <v>1</v>
      </c>
      <c r="L232" s="17" t="b">
        <f>Github!N$138</f>
        <v>0</v>
      </c>
      <c r="M232" s="17" t="str">
        <f>ROUND(Github!O$138, 2)&amp;"%"</f>
        <v>56.34%</v>
      </c>
      <c r="N232" s="17">
        <f>Github!P$138</f>
        <v>336803</v>
      </c>
      <c r="O232" s="17">
        <f>Github!Q$138</f>
        <v>597815</v>
      </c>
    </row>
    <row r="233" ht="18.0" customHeight="1">
      <c r="A233" s="17">
        <f>Github!J$175</f>
        <v>174</v>
      </c>
      <c r="B233" s="27" t="str">
        <f>HYPERLINK(CONCAT("http://leetcode.com/problems/",Github!C$175), Github!B$175)</f>
        <v>Dungeon Game</v>
      </c>
      <c r="C233" s="17">
        <f>Github!F$175</f>
        <v>3857</v>
      </c>
      <c r="D233" s="17">
        <f>Github!G$175</f>
        <v>81</v>
      </c>
      <c r="E233" s="17">
        <f>Github!F$175+Github!G$175</f>
        <v>3938</v>
      </c>
      <c r="F233" s="18">
        <f t="shared" si="1"/>
        <v>47.62</v>
      </c>
      <c r="G233" s="17" t="str">
        <f>Github!H$175</f>
        <v>Algorithms</v>
      </c>
      <c r="H233" s="19" t="str">
        <f>SUBSTITUTE(Github!L$175, ";", ", ")</f>
        <v>Array, Dynamic Programming, Matrix, </v>
      </c>
      <c r="I233" s="17" t="str">
        <f>Github!E$175</f>
        <v>Hard</v>
      </c>
      <c r="J233" s="17" t="str">
        <f>IF(TRIM(Github!D$175)="TRUE","FALSE","TRUE")</f>
        <v>TRUE</v>
      </c>
      <c r="K233" s="17" t="b">
        <f>Github!M$175</f>
        <v>1</v>
      </c>
      <c r="L233" s="17" t="b">
        <f>Github!N$175</f>
        <v>0</v>
      </c>
      <c r="M233" s="17" t="str">
        <f>ROUND(Github!O$175, 2)&amp;"%"</f>
        <v>36.27%</v>
      </c>
      <c r="N233" s="17">
        <f>Github!P$175</f>
        <v>166639</v>
      </c>
      <c r="O233" s="17">
        <f>Github!Q$175</f>
        <v>459384</v>
      </c>
    </row>
    <row r="234" ht="18.0" customHeight="1">
      <c r="A234" s="17">
        <f>Github!J$1012</f>
        <v>1011</v>
      </c>
      <c r="B234" s="27" t="str">
        <f>HYPERLINK(CONCAT("http://leetcode.com/problems/",Github!C$1012), Github!B$1012)</f>
        <v>Capacity To Ship Packages Within D Days</v>
      </c>
      <c r="C234" s="17">
        <f>Github!F$1012</f>
        <v>3853</v>
      </c>
      <c r="D234" s="17">
        <f>Github!G$1012</f>
        <v>92</v>
      </c>
      <c r="E234" s="17">
        <f>Github!F$1012+Github!G$1012</f>
        <v>3945</v>
      </c>
      <c r="F234" s="18">
        <f t="shared" si="1"/>
        <v>41.88</v>
      </c>
      <c r="G234" s="17" t="str">
        <f>Github!H$1012</f>
        <v>Algorithms</v>
      </c>
      <c r="H234" s="19" t="str">
        <f>SUBSTITUTE(Github!L$1012, ";", ", ")</f>
        <v>Array, Binary Search, Greedy, </v>
      </c>
      <c r="I234" s="17" t="str">
        <f>Github!E$1012</f>
        <v>Medium</v>
      </c>
      <c r="J234" s="17" t="str">
        <f>IF(TRIM(Github!D$1012)="TRUE","FALSE","TRUE")</f>
        <v>TRUE</v>
      </c>
      <c r="K234" s="17" t="b">
        <f>Github!M$1012</f>
        <v>0</v>
      </c>
      <c r="L234" s="17" t="b">
        <f>Github!N$1012</f>
        <v>0</v>
      </c>
      <c r="M234" s="17" t="str">
        <f>ROUND(Github!O$1012, 2)&amp;"%"</f>
        <v>63.21%</v>
      </c>
      <c r="N234" s="17">
        <f>Github!P$1012</f>
        <v>133641</v>
      </c>
      <c r="O234" s="17">
        <f>Github!Q$1012</f>
        <v>211417</v>
      </c>
    </row>
    <row r="235" ht="18.0" customHeight="1">
      <c r="A235" s="17">
        <f>Github!J$78</f>
        <v>77</v>
      </c>
      <c r="B235" s="27" t="str">
        <f>HYPERLINK(CONCAT("http://leetcode.com/problems/",Github!C$78), Github!B$78)</f>
        <v>Combinations</v>
      </c>
      <c r="C235" s="17">
        <f>Github!F$78</f>
        <v>3851</v>
      </c>
      <c r="D235" s="17">
        <f>Github!G$78</f>
        <v>127</v>
      </c>
      <c r="E235" s="17">
        <f>Github!F$78+Github!G$78</f>
        <v>3978</v>
      </c>
      <c r="F235" s="18">
        <f t="shared" si="1"/>
        <v>30.32</v>
      </c>
      <c r="G235" s="17" t="str">
        <f>Github!H$78</f>
        <v>Algorithms</v>
      </c>
      <c r="H235" s="19" t="str">
        <f>SUBSTITUTE(Github!L$78, ";", ", ")</f>
        <v>Array, Backtracking, </v>
      </c>
      <c r="I235" s="17" t="str">
        <f>Github!E$78</f>
        <v>Medium</v>
      </c>
      <c r="J235" s="17" t="str">
        <f>IF(TRIM(Github!D$78)="TRUE","FALSE","TRUE")</f>
        <v>TRUE</v>
      </c>
      <c r="K235" s="17" t="b">
        <f>Github!M$78</f>
        <v>1</v>
      </c>
      <c r="L235" s="17" t="b">
        <f>Github!N$78</f>
        <v>0</v>
      </c>
      <c r="M235" s="17" t="str">
        <f>ROUND(Github!O$78, 2)&amp;"%"</f>
        <v>63.21%</v>
      </c>
      <c r="N235" s="17">
        <f>Github!P$78</f>
        <v>492579</v>
      </c>
      <c r="O235" s="17">
        <f>Github!Q$78</f>
        <v>779289</v>
      </c>
    </row>
    <row r="236" ht="18.0" customHeight="1">
      <c r="A236" s="17">
        <f>Github!J$452</f>
        <v>451</v>
      </c>
      <c r="B236" s="27" t="str">
        <f>HYPERLINK(CONCAT("http://leetcode.com/problems/",Github!C$452), Github!B$452)</f>
        <v>Sort Characters By Frequency</v>
      </c>
      <c r="C236" s="17">
        <f>Github!F$452</f>
        <v>3832</v>
      </c>
      <c r="D236" s="17">
        <f>Github!G$452</f>
        <v>177</v>
      </c>
      <c r="E236" s="17">
        <f>Github!F$452+Github!G$452</f>
        <v>4009</v>
      </c>
      <c r="F236" s="18">
        <f t="shared" si="1"/>
        <v>21.65</v>
      </c>
      <c r="G236" s="17" t="str">
        <f>Github!H$452</f>
        <v>Algorithms</v>
      </c>
      <c r="H236" s="19" t="str">
        <f>SUBSTITUTE(Github!L$452, ";", ", ")</f>
        <v>Hash Table, String, Sorting, Heap (Priority Queue), Bucket Sort, Counting, </v>
      </c>
      <c r="I236" s="17" t="str">
        <f>Github!E$452</f>
        <v>Medium</v>
      </c>
      <c r="J236" s="17" t="str">
        <f>IF(TRIM(Github!D$452)="TRUE","FALSE","TRUE")</f>
        <v>TRUE</v>
      </c>
      <c r="K236" s="17" t="b">
        <f>Github!M$452</f>
        <v>1</v>
      </c>
      <c r="L236" s="17" t="b">
        <f>Github!N$452</f>
        <v>0</v>
      </c>
      <c r="M236" s="17" t="str">
        <f>ROUND(Github!O$452, 2)&amp;"%"</f>
        <v>67.49%</v>
      </c>
      <c r="N236" s="17">
        <f>Github!P$452</f>
        <v>345752</v>
      </c>
      <c r="O236" s="17">
        <f>Github!Q$452</f>
        <v>512273</v>
      </c>
    </row>
    <row r="237" ht="18.0" customHeight="1">
      <c r="A237" s="17">
        <f>Github!J$112</f>
        <v>111</v>
      </c>
      <c r="B237" s="27" t="str">
        <f>HYPERLINK(CONCAT("http://leetcode.com/problems/",Github!C$112), Github!B$112)</f>
        <v>Minimum Depth of Binary Tree</v>
      </c>
      <c r="C237" s="17">
        <f>Github!F$112</f>
        <v>3821</v>
      </c>
      <c r="D237" s="17">
        <f>Github!G$112</f>
        <v>934</v>
      </c>
      <c r="E237" s="17">
        <f>Github!F$112+Github!G$112</f>
        <v>4755</v>
      </c>
      <c r="F237" s="18">
        <f t="shared" si="1"/>
        <v>4.09</v>
      </c>
      <c r="G237" s="17" t="str">
        <f>Github!H$112</f>
        <v>Algorithms</v>
      </c>
      <c r="H237" s="19" t="str">
        <f>SUBSTITUTE(Github!L$112, ";", ", ")</f>
        <v>Tree, Depth-First Search, Breadth-First Search, Binary Tree, </v>
      </c>
      <c r="I237" s="17" t="str">
        <f>Github!E$112</f>
        <v>Easy</v>
      </c>
      <c r="J237" s="17" t="str">
        <f>IF(TRIM(Github!D$112)="TRUE","FALSE","TRUE")</f>
        <v>TRUE</v>
      </c>
      <c r="K237" s="17" t="b">
        <f>Github!M$112</f>
        <v>1</v>
      </c>
      <c r="L237" s="17" t="b">
        <f>Github!N$112</f>
        <v>0</v>
      </c>
      <c r="M237" s="17" t="str">
        <f>ROUND(Github!O$112, 2)&amp;"%"</f>
        <v>42.2%</v>
      </c>
      <c r="N237" s="17">
        <f>Github!P$112</f>
        <v>717412</v>
      </c>
      <c r="O237" s="17">
        <f>Github!Q$112</f>
        <v>1700197</v>
      </c>
    </row>
    <row r="238" ht="18.0" customHeight="1">
      <c r="A238" s="17">
        <f>Github!J$265</f>
        <v>264</v>
      </c>
      <c r="B238" s="27" t="str">
        <f>HYPERLINK(CONCAT("http://leetcode.com/problems/",Github!C$265), Github!B$265)</f>
        <v>Ugly Number II</v>
      </c>
      <c r="C238" s="17">
        <f>Github!F$265</f>
        <v>3810</v>
      </c>
      <c r="D238" s="17">
        <f>Github!G$265</f>
        <v>205</v>
      </c>
      <c r="E238" s="17">
        <f>Github!F$265+Github!G$265</f>
        <v>4015</v>
      </c>
      <c r="F238" s="18">
        <f t="shared" si="1"/>
        <v>18.59</v>
      </c>
      <c r="G238" s="17" t="str">
        <f>Github!H$265</f>
        <v>Algorithms</v>
      </c>
      <c r="H238" s="19" t="str">
        <f>SUBSTITUTE(Github!L$265, ";", ", ")</f>
        <v>Hash Table, Math, Dynamic Programming, Heap (Priority Queue), </v>
      </c>
      <c r="I238" s="17" t="str">
        <f>Github!E$265</f>
        <v>Medium</v>
      </c>
      <c r="J238" s="17" t="str">
        <f>IF(TRIM(Github!D$265)="TRUE","FALSE","TRUE")</f>
        <v>TRUE</v>
      </c>
      <c r="K238" s="17" t="b">
        <f>Github!M$265</f>
        <v>0</v>
      </c>
      <c r="L238" s="17" t="b">
        <f>Github!N$265</f>
        <v>0</v>
      </c>
      <c r="M238" s="17" t="str">
        <f>ROUND(Github!O$265, 2)&amp;"%"</f>
        <v>45.03%</v>
      </c>
      <c r="N238" s="17">
        <f>Github!P$265</f>
        <v>249952</v>
      </c>
      <c r="O238" s="17">
        <f>Github!Q$265</f>
        <v>555073</v>
      </c>
    </row>
    <row r="239" ht="18.0" customHeight="1">
      <c r="A239" s="17">
        <f>Github!J$798</f>
        <v>797</v>
      </c>
      <c r="B239" s="27" t="str">
        <f>HYPERLINK(CONCAT("http://leetcode.com/problems/",Github!C$798), Github!B$798)</f>
        <v>All Paths From Source to Target</v>
      </c>
      <c r="C239" s="17">
        <f>Github!F$798</f>
        <v>3810</v>
      </c>
      <c r="D239" s="17">
        <f>Github!G$798</f>
        <v>113</v>
      </c>
      <c r="E239" s="17">
        <f>Github!F$798+Github!G$798</f>
        <v>3923</v>
      </c>
      <c r="F239" s="18">
        <f t="shared" si="1"/>
        <v>33.72</v>
      </c>
      <c r="G239" s="17" t="str">
        <f>Github!H$798</f>
        <v>Algorithms</v>
      </c>
      <c r="H239" s="19" t="str">
        <f>SUBSTITUTE(Github!L$798, ";", ", ")</f>
        <v>Backtracking, Depth-First Search, Breadth-First Search, Graph, </v>
      </c>
      <c r="I239" s="17" t="str">
        <f>Github!E$798</f>
        <v>Medium</v>
      </c>
      <c r="J239" s="17" t="str">
        <f>IF(TRIM(Github!D$798)="TRUE","FALSE","TRUE")</f>
        <v>TRUE</v>
      </c>
      <c r="K239" s="17" t="b">
        <f>Github!M$798</f>
        <v>1</v>
      </c>
      <c r="L239" s="17" t="b">
        <f>Github!N$798</f>
        <v>0</v>
      </c>
      <c r="M239" s="17" t="str">
        <f>ROUND(Github!O$798, 2)&amp;"%"</f>
        <v>80.74%</v>
      </c>
      <c r="N239" s="17">
        <f>Github!P$798</f>
        <v>257563</v>
      </c>
      <c r="O239" s="17">
        <f>Github!Q$798</f>
        <v>318993</v>
      </c>
    </row>
    <row r="240" ht="18.0" customHeight="1">
      <c r="A240" s="17">
        <f>Github!J$876</f>
        <v>875</v>
      </c>
      <c r="B240" s="27" t="str">
        <f>HYPERLINK(CONCAT("http://leetcode.com/problems/",Github!C$876), Github!B$876)</f>
        <v>Koko Eating Bananas</v>
      </c>
      <c r="C240" s="17">
        <f>Github!F$876</f>
        <v>3803</v>
      </c>
      <c r="D240" s="17">
        <f>Github!G$876</f>
        <v>170</v>
      </c>
      <c r="E240" s="17">
        <f>Github!F$876+Github!G$876</f>
        <v>3973</v>
      </c>
      <c r="F240" s="18">
        <f t="shared" si="1"/>
        <v>22.37</v>
      </c>
      <c r="G240" s="17" t="str">
        <f>Github!H$876</f>
        <v>Algorithms</v>
      </c>
      <c r="H240" s="19" t="str">
        <f>SUBSTITUTE(Github!L$876, ";", ", ")</f>
        <v>Array, Binary Search, </v>
      </c>
      <c r="I240" s="17" t="str">
        <f>Github!E$876</f>
        <v>Medium</v>
      </c>
      <c r="J240" s="17" t="str">
        <f>IF(TRIM(Github!D$876)="TRUE","FALSE","TRUE")</f>
        <v>TRUE</v>
      </c>
      <c r="K240" s="17" t="b">
        <f>Github!M$876</f>
        <v>1</v>
      </c>
      <c r="L240" s="17" t="b">
        <f>Github!N$876</f>
        <v>0</v>
      </c>
      <c r="M240" s="17" t="str">
        <f>ROUND(Github!O$876, 2)&amp;"%"</f>
        <v>54.59%</v>
      </c>
      <c r="N240" s="17">
        <f>Github!P$876</f>
        <v>159741</v>
      </c>
      <c r="O240" s="17">
        <f>Github!Q$876</f>
        <v>292608</v>
      </c>
    </row>
    <row r="241" ht="18.0" customHeight="1">
      <c r="A241" s="17">
        <f>Github!J$258</f>
        <v>257</v>
      </c>
      <c r="B241" s="27" t="str">
        <f>HYPERLINK(CONCAT("http://leetcode.com/problems/",Github!C$258), Github!B$258)</f>
        <v>Binary Tree Paths</v>
      </c>
      <c r="C241" s="17">
        <f>Github!F$258</f>
        <v>3790</v>
      </c>
      <c r="D241" s="17">
        <f>Github!G$258</f>
        <v>175</v>
      </c>
      <c r="E241" s="17">
        <f>Github!F$258+Github!G$258</f>
        <v>3965</v>
      </c>
      <c r="F241" s="18">
        <f t="shared" si="1"/>
        <v>21.66</v>
      </c>
      <c r="G241" s="17" t="str">
        <f>Github!H$258</f>
        <v>Algorithms</v>
      </c>
      <c r="H241" s="19" t="str">
        <f>SUBSTITUTE(Github!L$258, ";", ", ")</f>
        <v>String, Backtracking, Tree, Depth-First Search, Binary Tree, </v>
      </c>
      <c r="I241" s="17" t="str">
        <f>Github!E$258</f>
        <v>Easy</v>
      </c>
      <c r="J241" s="17" t="str">
        <f>IF(TRIM(Github!D$258)="TRUE","FALSE","TRUE")</f>
        <v>TRUE</v>
      </c>
      <c r="K241" s="17" t="b">
        <f>Github!M$258</f>
        <v>1</v>
      </c>
      <c r="L241" s="17" t="b">
        <f>Github!N$258</f>
        <v>0</v>
      </c>
      <c r="M241" s="17" t="str">
        <f>ROUND(Github!O$258, 2)&amp;"%"</f>
        <v>58.07%</v>
      </c>
      <c r="N241" s="17">
        <f>Github!P$258</f>
        <v>489450</v>
      </c>
      <c r="O241" s="17">
        <f>Github!Q$258</f>
        <v>842837</v>
      </c>
    </row>
    <row r="242" ht="18.0" customHeight="1">
      <c r="A242" s="17">
        <f>Github!J$145</f>
        <v>144</v>
      </c>
      <c r="B242" s="27" t="str">
        <f>HYPERLINK(CONCAT("http://leetcode.com/problems/",Github!C$145), Github!B$145)</f>
        <v>Binary Tree Preorder Traversal</v>
      </c>
      <c r="C242" s="17">
        <f>Github!F$145</f>
        <v>3785</v>
      </c>
      <c r="D242" s="17">
        <f>Github!G$145</f>
        <v>117</v>
      </c>
      <c r="E242" s="17">
        <f>Github!F$145+Github!G$145</f>
        <v>3902</v>
      </c>
      <c r="F242" s="18">
        <f t="shared" si="1"/>
        <v>32.35</v>
      </c>
      <c r="G242" s="17" t="str">
        <f>Github!H$145</f>
        <v>Algorithms</v>
      </c>
      <c r="H242" s="19" t="str">
        <f>SUBSTITUTE(Github!L$145, ";", ", ")</f>
        <v>Stack, Tree, Depth-First Search, Binary Tree, </v>
      </c>
      <c r="I242" s="17" t="str">
        <f>Github!E$145</f>
        <v>Easy</v>
      </c>
      <c r="J242" s="17" t="str">
        <f>IF(TRIM(Github!D$145)="TRUE","FALSE","TRUE")</f>
        <v>TRUE</v>
      </c>
      <c r="K242" s="17" t="b">
        <f>Github!M$145</f>
        <v>1</v>
      </c>
      <c r="L242" s="17" t="b">
        <f>Github!N$145</f>
        <v>0</v>
      </c>
      <c r="M242" s="17" t="str">
        <f>ROUND(Github!O$145, 2)&amp;"%"</f>
        <v>61.97%</v>
      </c>
      <c r="N242" s="17">
        <f>Github!P$145</f>
        <v>884736</v>
      </c>
      <c r="O242" s="17">
        <f>Github!Q$145</f>
        <v>1427685</v>
      </c>
    </row>
    <row r="243" ht="18.0" customHeight="1">
      <c r="A243" s="17">
        <f>Github!J$744</f>
        <v>743</v>
      </c>
      <c r="B243" s="27" t="str">
        <f>HYPERLINK(CONCAT("http://leetcode.com/problems/",Github!C$744), Github!B$744)</f>
        <v>Network Delay Time</v>
      </c>
      <c r="C243" s="17">
        <f>Github!F$744</f>
        <v>3778</v>
      </c>
      <c r="D243" s="17">
        <f>Github!G$744</f>
        <v>274</v>
      </c>
      <c r="E243" s="17">
        <f>Github!F$744+Github!G$744</f>
        <v>4052</v>
      </c>
      <c r="F243" s="18">
        <f t="shared" si="1"/>
        <v>13.79</v>
      </c>
      <c r="G243" s="17" t="str">
        <f>Github!H$744</f>
        <v>Algorithms</v>
      </c>
      <c r="H243" s="19" t="str">
        <f>SUBSTITUTE(Github!L$744, ";", ", ")</f>
        <v>Depth-First Search, Breadth-First Search, Graph, Heap (Priority Queue), Shortest Path, </v>
      </c>
      <c r="I243" s="17" t="str">
        <f>Github!E$744</f>
        <v>Medium</v>
      </c>
      <c r="J243" s="17" t="str">
        <f>IF(TRIM(Github!D$744)="TRUE","FALSE","TRUE")</f>
        <v>TRUE</v>
      </c>
      <c r="K243" s="17" t="b">
        <f>Github!M$744</f>
        <v>1</v>
      </c>
      <c r="L243" s="17" t="b">
        <f>Github!N$744</f>
        <v>0</v>
      </c>
      <c r="M243" s="17" t="str">
        <f>ROUND(Github!O$744, 2)&amp;"%"</f>
        <v>48.15%</v>
      </c>
      <c r="N243" s="17">
        <f>Github!P$744</f>
        <v>222292</v>
      </c>
      <c r="O243" s="17">
        <f>Github!Q$744</f>
        <v>461653</v>
      </c>
    </row>
    <row r="244" ht="18.0" customHeight="1">
      <c r="A244" s="17">
        <f>Github!J$67</f>
        <v>66</v>
      </c>
      <c r="B244" s="27" t="str">
        <f>HYPERLINK(CONCAT("http://leetcode.com/problems/",Github!C$67), Github!B$67)</f>
        <v>Plus One</v>
      </c>
      <c r="C244" s="17">
        <f>Github!F$67</f>
        <v>3778</v>
      </c>
      <c r="D244" s="17">
        <f>Github!G$67</f>
        <v>4007</v>
      </c>
      <c r="E244" s="17">
        <f>Github!F$67+Github!G$67</f>
        <v>7785</v>
      </c>
      <c r="F244" s="18">
        <f t="shared" si="1"/>
        <v>0.94</v>
      </c>
      <c r="G244" s="17" t="str">
        <f>Github!H$67</f>
        <v>Algorithms</v>
      </c>
      <c r="H244" s="19" t="str">
        <f>SUBSTITUTE(Github!L$67, ";", ", ")</f>
        <v>Array, Math, </v>
      </c>
      <c r="I244" s="17" t="str">
        <f>Github!E$67</f>
        <v>Easy</v>
      </c>
      <c r="J244" s="17" t="str">
        <f>IF(TRIM(Github!D$67)="TRUE","FALSE","TRUE")</f>
        <v>TRUE</v>
      </c>
      <c r="K244" s="17" t="b">
        <f>Github!M$67</f>
        <v>1</v>
      </c>
      <c r="L244" s="17" t="b">
        <f>Github!N$67</f>
        <v>0</v>
      </c>
      <c r="M244" s="17" t="str">
        <f>ROUND(Github!O$67, 2)&amp;"%"</f>
        <v>42.58%</v>
      </c>
      <c r="N244" s="17">
        <f>Github!P$67</f>
        <v>1122398</v>
      </c>
      <c r="O244" s="17">
        <f>Github!Q$67</f>
        <v>2635745</v>
      </c>
    </row>
    <row r="245" ht="18.0" customHeight="1">
      <c r="A245" s="17">
        <f>Github!J$422</f>
        <v>421</v>
      </c>
      <c r="B245" s="27" t="str">
        <f>HYPERLINK(CONCAT("http://leetcode.com/problems/",Github!C$422), Github!B$422)</f>
        <v>Maximum XOR of Two Numbers in an Array</v>
      </c>
      <c r="C245" s="17">
        <f>Github!F$422</f>
        <v>3759</v>
      </c>
      <c r="D245" s="17">
        <f>Github!G$422</f>
        <v>319</v>
      </c>
      <c r="E245" s="17">
        <f>Github!F$422+Github!G$422</f>
        <v>4078</v>
      </c>
      <c r="F245" s="18">
        <f t="shared" si="1"/>
        <v>11.78</v>
      </c>
      <c r="G245" s="17" t="str">
        <f>Github!H$422</f>
        <v>Algorithms</v>
      </c>
      <c r="H245" s="19" t="str">
        <f>SUBSTITUTE(Github!L$422, ";", ", ")</f>
        <v>Array, Hash Table, Bit Manipulation, Trie, </v>
      </c>
      <c r="I245" s="17" t="str">
        <f>Github!E$422</f>
        <v>Medium</v>
      </c>
      <c r="J245" s="17" t="str">
        <f>IF(TRIM(Github!D$422)="TRUE","FALSE","TRUE")</f>
        <v>TRUE</v>
      </c>
      <c r="K245" s="17" t="b">
        <f>Github!M$422</f>
        <v>1</v>
      </c>
      <c r="L245" s="17" t="b">
        <f>Github!N$422</f>
        <v>0</v>
      </c>
      <c r="M245" s="17" t="str">
        <f>ROUND(Github!O$422, 2)&amp;"%"</f>
        <v>54.23%</v>
      </c>
      <c r="N245" s="17">
        <f>Github!P$422</f>
        <v>119625</v>
      </c>
      <c r="O245" s="17">
        <f>Github!Q$422</f>
        <v>220592</v>
      </c>
    </row>
    <row r="246" ht="18.0" customHeight="1">
      <c r="A246" s="17">
        <f>Github!J$414</f>
        <v>413</v>
      </c>
      <c r="B246" s="27" t="str">
        <f>HYPERLINK(CONCAT("http://leetcode.com/problems/",Github!C$414), Github!B$414)</f>
        <v>Arithmetic Slices</v>
      </c>
      <c r="C246" s="17">
        <f>Github!F$414</f>
        <v>3743</v>
      </c>
      <c r="D246" s="17">
        <f>Github!G$414</f>
        <v>247</v>
      </c>
      <c r="E246" s="17">
        <f>Github!F$414+Github!G$414</f>
        <v>3990</v>
      </c>
      <c r="F246" s="18">
        <f t="shared" si="1"/>
        <v>15.15</v>
      </c>
      <c r="G246" s="17" t="str">
        <f>Github!H$414</f>
        <v>Algorithms</v>
      </c>
      <c r="H246" s="19" t="str">
        <f>SUBSTITUTE(Github!L$414, ";", ", ")</f>
        <v>Array, Dynamic Programming, </v>
      </c>
      <c r="I246" s="17" t="str">
        <f>Github!E$414</f>
        <v>Medium</v>
      </c>
      <c r="J246" s="17" t="str">
        <f>IF(TRIM(Github!D$414)="TRUE","FALSE","TRUE")</f>
        <v>TRUE</v>
      </c>
      <c r="K246" s="17" t="b">
        <f>Github!M$414</f>
        <v>1</v>
      </c>
      <c r="L246" s="17" t="b">
        <f>Github!N$414</f>
        <v>0</v>
      </c>
      <c r="M246" s="17" t="str">
        <f>ROUND(Github!O$414, 2)&amp;"%"</f>
        <v>64.23%</v>
      </c>
      <c r="N246" s="17">
        <f>Github!P$414</f>
        <v>219243</v>
      </c>
      <c r="O246" s="17">
        <f>Github!Q$414</f>
        <v>341339</v>
      </c>
    </row>
    <row r="247" ht="18.0" customHeight="1">
      <c r="A247" s="17">
        <f>Github!J$89</f>
        <v>88</v>
      </c>
      <c r="B247" s="27" t="str">
        <f>HYPERLINK(CONCAT("http://leetcode.com/problems/",Github!C$89), Github!B$89)</f>
        <v>Merge Sorted Array</v>
      </c>
      <c r="C247" s="17">
        <f>Github!F$89</f>
        <v>3736</v>
      </c>
      <c r="D247" s="17">
        <f>Github!G$89</f>
        <v>352</v>
      </c>
      <c r="E247" s="17">
        <f>Github!F$89+Github!G$89</f>
        <v>4088</v>
      </c>
      <c r="F247" s="18">
        <f t="shared" si="1"/>
        <v>10.61</v>
      </c>
      <c r="G247" s="17" t="str">
        <f>Github!H$89</f>
        <v>Algorithms</v>
      </c>
      <c r="H247" s="19" t="str">
        <f>SUBSTITUTE(Github!L$89, ";", ", ")</f>
        <v>Array, Two Pointers, Sorting, </v>
      </c>
      <c r="I247" s="17" t="str">
        <f>Github!E$89</f>
        <v>Easy</v>
      </c>
      <c r="J247" s="17" t="str">
        <f>IF(TRIM(Github!D$89)="TRUE","FALSE","TRUE")</f>
        <v>TRUE</v>
      </c>
      <c r="K247" s="17" t="b">
        <f>Github!M$89</f>
        <v>1</v>
      </c>
      <c r="L247" s="17" t="b">
        <f>Github!N$89</f>
        <v>0</v>
      </c>
      <c r="M247" s="17" t="str">
        <f>ROUND(Github!O$89, 2)&amp;"%"</f>
        <v>43.45%</v>
      </c>
      <c r="N247" s="17">
        <f>Github!P$89</f>
        <v>1285509</v>
      </c>
      <c r="O247" s="17">
        <f>Github!Q$89</f>
        <v>2958543</v>
      </c>
    </row>
    <row r="248" ht="18.0" customHeight="1">
      <c r="A248" s="17">
        <f>Github!J$261</f>
        <v>260</v>
      </c>
      <c r="B248" s="27" t="str">
        <f>HYPERLINK(CONCAT("http://leetcode.com/problems/",Github!C$261), Github!B$261)</f>
        <v>Single Number III</v>
      </c>
      <c r="C248" s="17">
        <f>Github!F$261</f>
        <v>3720</v>
      </c>
      <c r="D248" s="17">
        <f>Github!G$261</f>
        <v>178</v>
      </c>
      <c r="E248" s="17">
        <f>Github!F$261+Github!G$261</f>
        <v>3898</v>
      </c>
      <c r="F248" s="18">
        <f t="shared" si="1"/>
        <v>20.9</v>
      </c>
      <c r="G248" s="17" t="str">
        <f>Github!H$261</f>
        <v>Algorithms</v>
      </c>
      <c r="H248" s="19" t="str">
        <f>SUBSTITUTE(Github!L$261, ";", ", ")</f>
        <v>Array, Bit Manipulation, </v>
      </c>
      <c r="I248" s="17" t="str">
        <f>Github!E$261</f>
        <v>Medium</v>
      </c>
      <c r="J248" s="17" t="str">
        <f>IF(TRIM(Github!D$261)="TRUE","FALSE","TRUE")</f>
        <v>TRUE</v>
      </c>
      <c r="K248" s="17" t="b">
        <f>Github!M$261</f>
        <v>1</v>
      </c>
      <c r="L248" s="17" t="b">
        <f>Github!N$261</f>
        <v>0</v>
      </c>
      <c r="M248" s="17" t="str">
        <f>ROUND(Github!O$261, 2)&amp;"%"</f>
        <v>67.04%</v>
      </c>
      <c r="N248" s="17">
        <f>Github!P$261</f>
        <v>246158</v>
      </c>
      <c r="O248" s="17">
        <f>Github!Q$261</f>
        <v>367182</v>
      </c>
    </row>
    <row r="249" ht="18.0" customHeight="1">
      <c r="A249" s="17">
        <f>Github!J$396</f>
        <v>395</v>
      </c>
      <c r="B249" s="27" t="str">
        <f>HYPERLINK(CONCAT("http://leetcode.com/problems/",Github!C$396), Github!B$396)</f>
        <v>Longest Substring with At Least K Repeating Characters</v>
      </c>
      <c r="C249" s="17">
        <f>Github!F$396</f>
        <v>3717</v>
      </c>
      <c r="D249" s="17">
        <f>Github!G$396</f>
        <v>315</v>
      </c>
      <c r="E249" s="17">
        <f>Github!F$396+Github!G$396</f>
        <v>4032</v>
      </c>
      <c r="F249" s="18">
        <f t="shared" si="1"/>
        <v>11.8</v>
      </c>
      <c r="G249" s="17" t="str">
        <f>Github!H$396</f>
        <v>Algorithms</v>
      </c>
      <c r="H249" s="19" t="str">
        <f>SUBSTITUTE(Github!L$396, ";", ", ")</f>
        <v>Hash Table, String, Divide and Conquer, Sliding Window, </v>
      </c>
      <c r="I249" s="17" t="str">
        <f>Github!E$396</f>
        <v>Medium</v>
      </c>
      <c r="J249" s="17" t="str">
        <f>IF(TRIM(Github!D$396)="TRUE","FALSE","TRUE")</f>
        <v>TRUE</v>
      </c>
      <c r="K249" s="17" t="b">
        <f>Github!M$396</f>
        <v>1</v>
      </c>
      <c r="L249" s="17" t="b">
        <f>Github!N$396</f>
        <v>0</v>
      </c>
      <c r="M249" s="17" t="str">
        <f>ROUND(Github!O$396, 2)&amp;"%"</f>
        <v>44.49%</v>
      </c>
      <c r="N249" s="17">
        <f>Github!P$396</f>
        <v>150533</v>
      </c>
      <c r="O249" s="17">
        <f>Github!Q$396</f>
        <v>338364</v>
      </c>
    </row>
    <row r="250" ht="18.0" customHeight="1">
      <c r="A250" s="17">
        <f>Github!J$705</f>
        <v>704</v>
      </c>
      <c r="B250" s="27" t="str">
        <f>HYPERLINK(CONCAT("http://leetcode.com/problems/",Github!C$705), Github!B$705)</f>
        <v>Binary Search</v>
      </c>
      <c r="C250" s="17">
        <f>Github!F$705</f>
        <v>3695</v>
      </c>
      <c r="D250" s="17">
        <f>Github!G$705</f>
        <v>94</v>
      </c>
      <c r="E250" s="17">
        <f>Github!F$705+Github!G$705</f>
        <v>3789</v>
      </c>
      <c r="F250" s="18">
        <f t="shared" si="1"/>
        <v>39.31</v>
      </c>
      <c r="G250" s="17" t="str">
        <f>Github!H$705</f>
        <v>Algorithms</v>
      </c>
      <c r="H250" s="19" t="str">
        <f>SUBSTITUTE(Github!L$705, ";", ", ")</f>
        <v>Array, Binary Search, </v>
      </c>
      <c r="I250" s="17" t="str">
        <f>Github!E$705</f>
        <v>Easy</v>
      </c>
      <c r="J250" s="17" t="str">
        <f>IF(TRIM(Github!D$705)="TRUE","FALSE","TRUE")</f>
        <v>TRUE</v>
      </c>
      <c r="K250" s="17" t="b">
        <f>Github!M$705</f>
        <v>1</v>
      </c>
      <c r="L250" s="17" t="b">
        <f>Github!N$705</f>
        <v>0</v>
      </c>
      <c r="M250" s="17" t="str">
        <f>ROUND(Github!O$705, 2)&amp;"%"</f>
        <v>54.58%</v>
      </c>
      <c r="N250" s="17">
        <f>Github!P$705</f>
        <v>693029</v>
      </c>
      <c r="O250" s="17">
        <f>Github!Q$705</f>
        <v>1269720</v>
      </c>
    </row>
    <row r="251" ht="18.0" customHeight="1">
      <c r="A251" s="17">
        <f>Github!J$715</f>
        <v>714</v>
      </c>
      <c r="B251" s="27" t="str">
        <f>HYPERLINK(CONCAT("http://leetcode.com/problems/",Github!C$715), Github!B$715)</f>
        <v>Best Time to Buy and Sell Stock with Transaction Fee</v>
      </c>
      <c r="C251" s="17">
        <f>Github!F$715</f>
        <v>3692</v>
      </c>
      <c r="D251" s="17">
        <f>Github!G$715</f>
        <v>98</v>
      </c>
      <c r="E251" s="17">
        <f>Github!F$715+Github!G$715</f>
        <v>3790</v>
      </c>
      <c r="F251" s="18">
        <f t="shared" si="1"/>
        <v>37.67</v>
      </c>
      <c r="G251" s="17" t="str">
        <f>Github!H$715</f>
        <v>Algorithms</v>
      </c>
      <c r="H251" s="19" t="str">
        <f>SUBSTITUTE(Github!L$715, ";", ", ")</f>
        <v>Array, Dynamic Programming, Greedy, </v>
      </c>
      <c r="I251" s="17" t="str">
        <f>Github!E$715</f>
        <v>Medium</v>
      </c>
      <c r="J251" s="17" t="str">
        <f>IF(TRIM(Github!D$715)="TRUE","FALSE","TRUE")</f>
        <v>TRUE</v>
      </c>
      <c r="K251" s="17" t="b">
        <f>Github!M$715</f>
        <v>1</v>
      </c>
      <c r="L251" s="17" t="b">
        <f>Github!N$715</f>
        <v>0</v>
      </c>
      <c r="M251" s="17" t="str">
        <f>ROUND(Github!O$715, 2)&amp;"%"</f>
        <v>61.66%</v>
      </c>
      <c r="N251" s="17">
        <f>Github!P$715</f>
        <v>155515</v>
      </c>
      <c r="O251" s="17">
        <f>Github!Q$715</f>
        <v>252208</v>
      </c>
    </row>
    <row r="252" ht="18.0" customHeight="1">
      <c r="A252" s="17">
        <f>Github!J$455</f>
        <v>454</v>
      </c>
      <c r="B252" s="27" t="str">
        <f>HYPERLINK(CONCAT("http://leetcode.com/problems/",Github!C$455), Github!B$455)</f>
        <v>4Sum II</v>
      </c>
      <c r="C252" s="17">
        <f>Github!F$455</f>
        <v>3684</v>
      </c>
      <c r="D252" s="17">
        <f>Github!G$455</f>
        <v>111</v>
      </c>
      <c r="E252" s="17">
        <f>Github!F$455+Github!G$455</f>
        <v>3795</v>
      </c>
      <c r="F252" s="18">
        <f t="shared" si="1"/>
        <v>33.19</v>
      </c>
      <c r="G252" s="17" t="str">
        <f>Github!H$455</f>
        <v>Algorithms</v>
      </c>
      <c r="H252" s="19" t="str">
        <f>SUBSTITUTE(Github!L$455, ";", ", ")</f>
        <v>Array, Hash Table, </v>
      </c>
      <c r="I252" s="17" t="str">
        <f>Github!E$455</f>
        <v>Medium</v>
      </c>
      <c r="J252" s="17" t="str">
        <f>IF(TRIM(Github!D$455)="TRUE","FALSE","TRUE")</f>
        <v>TRUE</v>
      </c>
      <c r="K252" s="17" t="b">
        <f>Github!M$455</f>
        <v>1</v>
      </c>
      <c r="L252" s="17" t="b">
        <f>Github!N$455</f>
        <v>0</v>
      </c>
      <c r="M252" s="17" t="str">
        <f>ROUND(Github!O$455, 2)&amp;"%"</f>
        <v>56.94%</v>
      </c>
      <c r="N252" s="17">
        <f>Github!P$455</f>
        <v>245245</v>
      </c>
      <c r="O252" s="17">
        <f>Github!Q$455</f>
        <v>430700</v>
      </c>
    </row>
    <row r="253" ht="18.0" customHeight="1">
      <c r="A253" s="17">
        <f>Github!J$333</f>
        <v>332</v>
      </c>
      <c r="B253" s="27" t="str">
        <f>HYPERLINK(CONCAT("http://leetcode.com/problems/",Github!C$333), Github!B$333)</f>
        <v>Reconstruct Itinerary</v>
      </c>
      <c r="C253" s="17">
        <f>Github!F$333</f>
        <v>3674</v>
      </c>
      <c r="D253" s="17">
        <f>Github!G$333</f>
        <v>1539</v>
      </c>
      <c r="E253" s="17">
        <f>Github!F$333+Github!G$333</f>
        <v>5213</v>
      </c>
      <c r="F253" s="18">
        <f t="shared" si="1"/>
        <v>2.39</v>
      </c>
      <c r="G253" s="17" t="str">
        <f>Github!H$333</f>
        <v>Algorithms</v>
      </c>
      <c r="H253" s="19" t="str">
        <f>SUBSTITUTE(Github!L$333, ";", ", ")</f>
        <v>Depth-First Search, Graph, Eulerian Circuit, </v>
      </c>
      <c r="I253" s="17" t="str">
        <f>Github!E$333</f>
        <v>Hard</v>
      </c>
      <c r="J253" s="17" t="str">
        <f>IF(TRIM(Github!D$333)="TRUE","FALSE","TRUE")</f>
        <v>TRUE</v>
      </c>
      <c r="K253" s="17" t="b">
        <f>Github!M$333</f>
        <v>1</v>
      </c>
      <c r="L253" s="17" t="b">
        <f>Github!N$333</f>
        <v>0</v>
      </c>
      <c r="M253" s="17" t="str">
        <f>ROUND(Github!O$333, 2)&amp;"%"</f>
        <v>39.96%</v>
      </c>
      <c r="N253" s="17">
        <f>Github!P$333</f>
        <v>270755</v>
      </c>
      <c r="O253" s="17">
        <f>Github!Q$333</f>
        <v>677518</v>
      </c>
    </row>
    <row r="254" ht="18.0" customHeight="1">
      <c r="A254" s="17">
        <f>Github!J$29</f>
        <v>28</v>
      </c>
      <c r="B254" s="27" t="str">
        <f>HYPERLINK(CONCAT("http://leetcode.com/problems/",Github!C$29), Github!B$29)</f>
        <v>Implement strStr()</v>
      </c>
      <c r="C254" s="17">
        <f>Github!F$29</f>
        <v>3675</v>
      </c>
      <c r="D254" s="17">
        <f>Github!G$29</f>
        <v>3458</v>
      </c>
      <c r="E254" s="17">
        <f>Github!F$29+Github!G$29</f>
        <v>7133</v>
      </c>
      <c r="F254" s="18">
        <f t="shared" si="1"/>
        <v>1.06</v>
      </c>
      <c r="G254" s="17" t="str">
        <f>Github!H$29</f>
        <v>Algorithms</v>
      </c>
      <c r="H254" s="19" t="str">
        <f>SUBSTITUTE(Github!L$29, ";", ", ")</f>
        <v>Two Pointers, String, String Matching, </v>
      </c>
      <c r="I254" s="17" t="str">
        <f>Github!E$29</f>
        <v>Easy</v>
      </c>
      <c r="J254" s="17" t="str">
        <f>IF(TRIM(Github!D$29)="TRUE","FALSE","TRUE")</f>
        <v>TRUE</v>
      </c>
      <c r="K254" s="17" t="b">
        <f>Github!M$29</f>
        <v>0</v>
      </c>
      <c r="L254" s="17" t="b">
        <f>Github!N$29</f>
        <v>0</v>
      </c>
      <c r="M254" s="17" t="str">
        <f>ROUND(Github!O$29, 2)&amp;"%"</f>
        <v>35.62%</v>
      </c>
      <c r="N254" s="17">
        <f>Github!P$29</f>
        <v>1172642</v>
      </c>
      <c r="O254" s="17">
        <f>Github!Q$29</f>
        <v>3292283</v>
      </c>
    </row>
    <row r="255" ht="18.0" customHeight="1">
      <c r="A255" s="17">
        <f>Github!J$219</f>
        <v>218</v>
      </c>
      <c r="B255" s="27" t="str">
        <f>HYPERLINK(CONCAT("http://leetcode.com/problems/",Github!C$219), Github!B$219)</f>
        <v>The Skyline Problem</v>
      </c>
      <c r="C255" s="17">
        <f>Github!F$219</f>
        <v>3670</v>
      </c>
      <c r="D255" s="17">
        <f>Github!G$219</f>
        <v>190</v>
      </c>
      <c r="E255" s="17">
        <f>Github!F$219+Github!G$219</f>
        <v>3860</v>
      </c>
      <c r="F255" s="18">
        <f t="shared" si="1"/>
        <v>19.32</v>
      </c>
      <c r="G255" s="17" t="str">
        <f>Github!H$219</f>
        <v>Algorithms</v>
      </c>
      <c r="H255" s="19" t="str">
        <f>SUBSTITUTE(Github!L$219, ";", ", ")</f>
        <v>Array, Divide and Conquer, Binary Indexed Tree, Segment Tree, Line Sweep, Heap (Priority Queue), Ordered Set, </v>
      </c>
      <c r="I255" s="17" t="str">
        <f>Github!E$219</f>
        <v>Hard</v>
      </c>
      <c r="J255" s="17" t="str">
        <f>IF(TRIM(Github!D$219)="TRUE","FALSE","TRUE")</f>
        <v>TRUE</v>
      </c>
      <c r="K255" s="17" t="b">
        <f>Github!M$219</f>
        <v>1</v>
      </c>
      <c r="L255" s="17" t="b">
        <f>Github!N$219</f>
        <v>0</v>
      </c>
      <c r="M255" s="17" t="str">
        <f>ROUND(Github!O$219, 2)&amp;"%"</f>
        <v>38.45%</v>
      </c>
      <c r="N255" s="17">
        <f>Github!P$219</f>
        <v>200622</v>
      </c>
      <c r="O255" s="17">
        <f>Github!Q$219</f>
        <v>521827</v>
      </c>
    </row>
    <row r="256" ht="18.0" customHeight="1">
      <c r="A256" s="17">
        <f>Github!J$714</f>
        <v>713</v>
      </c>
      <c r="B256" s="27" t="str">
        <f>HYPERLINK(CONCAT("http://leetcode.com/problems/",Github!C$714), Github!B$714)</f>
        <v>Subarray Product Less Than K</v>
      </c>
      <c r="C256" s="17">
        <f>Github!F$714</f>
        <v>3667</v>
      </c>
      <c r="D256" s="17">
        <f>Github!G$714</f>
        <v>127</v>
      </c>
      <c r="E256" s="17">
        <f>Github!F$714+Github!G$714</f>
        <v>3794</v>
      </c>
      <c r="F256" s="18">
        <f t="shared" si="1"/>
        <v>28.87</v>
      </c>
      <c r="G256" s="17" t="str">
        <f>Github!H$714</f>
        <v>Algorithms</v>
      </c>
      <c r="H256" s="19" t="str">
        <f>SUBSTITUTE(Github!L$714, ";", ", ")</f>
        <v>Array, Sliding Window, </v>
      </c>
      <c r="I256" s="17" t="str">
        <f>Github!E$714</f>
        <v>Medium</v>
      </c>
      <c r="J256" s="17" t="str">
        <f>IF(TRIM(Github!D$714)="TRUE","FALSE","TRUE")</f>
        <v>TRUE</v>
      </c>
      <c r="K256" s="17" t="b">
        <f>Github!M$714</f>
        <v>1</v>
      </c>
      <c r="L256" s="17" t="b">
        <f>Github!N$714</f>
        <v>0</v>
      </c>
      <c r="M256" s="17" t="str">
        <f>ROUND(Github!O$714, 2)&amp;"%"</f>
        <v>43.31%</v>
      </c>
      <c r="N256" s="17">
        <f>Github!P$714</f>
        <v>152907</v>
      </c>
      <c r="O256" s="17">
        <f>Github!Q$714</f>
        <v>353083</v>
      </c>
    </row>
    <row r="257" ht="18.0" customHeight="1">
      <c r="A257" s="17">
        <f>Github!J$734</f>
        <v>733</v>
      </c>
      <c r="B257" s="27" t="str">
        <f>HYPERLINK(CONCAT("http://leetcode.com/problems/",Github!C$734), Github!B$734)</f>
        <v>Flood Fill</v>
      </c>
      <c r="C257" s="17">
        <f>Github!F$734</f>
        <v>3671</v>
      </c>
      <c r="D257" s="17">
        <f>Github!G$734</f>
        <v>352</v>
      </c>
      <c r="E257" s="17">
        <f>Github!F$734+Github!G$734</f>
        <v>4023</v>
      </c>
      <c r="F257" s="18">
        <f t="shared" si="1"/>
        <v>10.43</v>
      </c>
      <c r="G257" s="17" t="str">
        <f>Github!H$734</f>
        <v>Algorithms</v>
      </c>
      <c r="H257" s="19" t="str">
        <f>SUBSTITUTE(Github!L$734, ";", ", ")</f>
        <v>Array, Depth-First Search, Breadth-First Search, Matrix, </v>
      </c>
      <c r="I257" s="17" t="str">
        <f>Github!E$734</f>
        <v>Easy</v>
      </c>
      <c r="J257" s="17" t="str">
        <f>IF(TRIM(Github!D$734)="TRUE","FALSE","TRUE")</f>
        <v>TRUE</v>
      </c>
      <c r="K257" s="17" t="b">
        <f>Github!M$734</f>
        <v>1</v>
      </c>
      <c r="L257" s="17" t="b">
        <f>Github!N$734</f>
        <v>0</v>
      </c>
      <c r="M257" s="17" t="str">
        <f>ROUND(Github!O$734, 2)&amp;"%"</f>
        <v>57.86%</v>
      </c>
      <c r="N257" s="17">
        <f>Github!P$734</f>
        <v>366010</v>
      </c>
      <c r="O257" s="17">
        <f>Github!Q$734</f>
        <v>632585</v>
      </c>
    </row>
    <row r="258" ht="18.0" customHeight="1">
      <c r="A258" s="17">
        <f>Github!J$845</f>
        <v>844</v>
      </c>
      <c r="B258" s="27" t="str">
        <f>HYPERLINK(CONCAT("http://leetcode.com/problems/",Github!C$845), Github!B$845)</f>
        <v>Backspace String Compare</v>
      </c>
      <c r="C258" s="17">
        <f>Github!F$845</f>
        <v>3662</v>
      </c>
      <c r="D258" s="17">
        <f>Github!G$845</f>
        <v>172</v>
      </c>
      <c r="E258" s="17">
        <f>Github!F$845+Github!G$845</f>
        <v>3834</v>
      </c>
      <c r="F258" s="18">
        <f t="shared" si="1"/>
        <v>21.29</v>
      </c>
      <c r="G258" s="17" t="str">
        <f>Github!H$845</f>
        <v>Algorithms</v>
      </c>
      <c r="H258" s="19" t="str">
        <f>SUBSTITUTE(Github!L$845, ";", ", ")</f>
        <v>Two Pointers, String, Stack, Simulation, </v>
      </c>
      <c r="I258" s="17" t="str">
        <f>Github!E$845</f>
        <v>Easy</v>
      </c>
      <c r="J258" s="17" t="str">
        <f>IF(TRIM(Github!D$845)="TRUE","FALSE","TRUE")</f>
        <v>TRUE</v>
      </c>
      <c r="K258" s="17" t="b">
        <f>Github!M$845</f>
        <v>1</v>
      </c>
      <c r="L258" s="17" t="b">
        <f>Github!N$845</f>
        <v>0</v>
      </c>
      <c r="M258" s="17" t="str">
        <f>ROUND(Github!O$845, 2)&amp;"%"</f>
        <v>47.34%</v>
      </c>
      <c r="N258" s="17">
        <f>Github!P$845</f>
        <v>392028</v>
      </c>
      <c r="O258" s="17">
        <f>Github!Q$845</f>
        <v>828085</v>
      </c>
    </row>
    <row r="259" ht="18.0" customHeight="1">
      <c r="A259" s="17">
        <f>Github!J$335</f>
        <v>334</v>
      </c>
      <c r="B259" s="27" t="str">
        <f>HYPERLINK(CONCAT("http://leetcode.com/problems/",Github!C$335), Github!B$335)</f>
        <v>Increasing Triplet Subsequence</v>
      </c>
      <c r="C259" s="17">
        <f>Github!F$335</f>
        <v>3655</v>
      </c>
      <c r="D259" s="17">
        <f>Github!G$335</f>
        <v>204</v>
      </c>
      <c r="E259" s="17">
        <f>Github!F$335+Github!G$335</f>
        <v>3859</v>
      </c>
      <c r="F259" s="18">
        <f t="shared" si="1"/>
        <v>17.92</v>
      </c>
      <c r="G259" s="17" t="str">
        <f>Github!H$335</f>
        <v>Algorithms</v>
      </c>
      <c r="H259" s="19" t="str">
        <f>SUBSTITUTE(Github!L$335, ";", ", ")</f>
        <v>Array, Greedy, </v>
      </c>
      <c r="I259" s="17" t="str">
        <f>Github!E$335</f>
        <v>Medium</v>
      </c>
      <c r="J259" s="17" t="str">
        <f>IF(TRIM(Github!D$335)="TRUE","FALSE","TRUE")</f>
        <v>TRUE</v>
      </c>
      <c r="K259" s="17" t="b">
        <f>Github!M$335</f>
        <v>1</v>
      </c>
      <c r="L259" s="17" t="b">
        <f>Github!N$335</f>
        <v>0</v>
      </c>
      <c r="M259" s="17" t="str">
        <f>ROUND(Github!O$335, 2)&amp;"%"</f>
        <v>41.42%</v>
      </c>
      <c r="N259" s="17">
        <f>Github!P$335</f>
        <v>260349</v>
      </c>
      <c r="O259" s="17">
        <f>Github!Q$335</f>
        <v>628619</v>
      </c>
    </row>
    <row r="260" ht="18.0" customHeight="1">
      <c r="A260" s="17">
        <f>Github!J$98</f>
        <v>97</v>
      </c>
      <c r="B260" s="27" t="str">
        <f>HYPERLINK(CONCAT("http://leetcode.com/problems/",Github!C$98), Github!B$98)</f>
        <v>Interleaving String</v>
      </c>
      <c r="C260" s="17">
        <f>Github!F$98</f>
        <v>3650</v>
      </c>
      <c r="D260" s="17">
        <f>Github!G$98</f>
        <v>194</v>
      </c>
      <c r="E260" s="17">
        <f>Github!F$98+Github!G$98</f>
        <v>3844</v>
      </c>
      <c r="F260" s="18">
        <f t="shared" si="1"/>
        <v>18.81</v>
      </c>
      <c r="G260" s="17" t="str">
        <f>Github!H$98</f>
        <v>Algorithms</v>
      </c>
      <c r="H260" s="19" t="str">
        <f>SUBSTITUTE(Github!L$98, ";", ", ")</f>
        <v>String, Dynamic Programming, </v>
      </c>
      <c r="I260" s="17" t="str">
        <f>Github!E$98</f>
        <v>Medium</v>
      </c>
      <c r="J260" s="17" t="str">
        <f>IF(TRIM(Github!D$98)="TRUE","FALSE","TRUE")</f>
        <v>TRUE</v>
      </c>
      <c r="K260" s="17" t="b">
        <f>Github!M$98</f>
        <v>1</v>
      </c>
      <c r="L260" s="17" t="b">
        <f>Github!N$98</f>
        <v>0</v>
      </c>
      <c r="M260" s="17" t="str">
        <f>ROUND(Github!O$98, 2)&amp;"%"</f>
        <v>34.56%</v>
      </c>
      <c r="N260" s="17">
        <f>Github!P$98</f>
        <v>253743</v>
      </c>
      <c r="O260" s="17">
        <f>Github!Q$98</f>
        <v>734247</v>
      </c>
    </row>
    <row r="261" ht="18.0" customHeight="1">
      <c r="A261" s="17">
        <f>Github!J$1250</f>
        <v>1249</v>
      </c>
      <c r="B261" s="27" t="str">
        <f>HYPERLINK(CONCAT("http://leetcode.com/problems/",Github!C$1250), Github!B$1250)</f>
        <v>Minimum Remove to Make Valid Parentheses</v>
      </c>
      <c r="C261" s="17">
        <f>Github!F$1250</f>
        <v>3646</v>
      </c>
      <c r="D261" s="17">
        <f>Github!G$1250</f>
        <v>69</v>
      </c>
      <c r="E261" s="17">
        <f>Github!F$1250+Github!G$1250</f>
        <v>3715</v>
      </c>
      <c r="F261" s="18">
        <f t="shared" si="1"/>
        <v>52.84</v>
      </c>
      <c r="G261" s="17" t="str">
        <f>Github!H$1250</f>
        <v>Algorithms</v>
      </c>
      <c r="H261" s="19" t="str">
        <f>SUBSTITUTE(Github!L$1250, ";", ", ")</f>
        <v>String, Stack, </v>
      </c>
      <c r="I261" s="17" t="str">
        <f>Github!E$1250</f>
        <v>Medium</v>
      </c>
      <c r="J261" s="17" t="str">
        <f>IF(TRIM(Github!D$1250)="TRUE","FALSE","TRUE")</f>
        <v>TRUE</v>
      </c>
      <c r="K261" s="17" t="b">
        <f>Github!M$1250</f>
        <v>1</v>
      </c>
      <c r="L261" s="17" t="b">
        <f>Github!N$1250</f>
        <v>0</v>
      </c>
      <c r="M261" s="17" t="str">
        <f>ROUND(Github!O$1250, 2)&amp;"%"</f>
        <v>65.22%</v>
      </c>
      <c r="N261" s="17">
        <f>Github!P$1250</f>
        <v>352622</v>
      </c>
      <c r="O261" s="17">
        <f>Github!Q$1250</f>
        <v>540627</v>
      </c>
    </row>
    <row r="262" ht="18.0" customHeight="1">
      <c r="A262" s="17">
        <f>Github!J$436</f>
        <v>435</v>
      </c>
      <c r="B262" s="27" t="str">
        <f>HYPERLINK(CONCAT("http://leetcode.com/problems/",Github!C$436), Github!B$436)</f>
        <v>Non-overlapping Intervals</v>
      </c>
      <c r="C262" s="17">
        <f>Github!F$436</f>
        <v>3643</v>
      </c>
      <c r="D262" s="17">
        <f>Github!G$436</f>
        <v>101</v>
      </c>
      <c r="E262" s="17">
        <f>Github!F$436+Github!G$436</f>
        <v>3744</v>
      </c>
      <c r="F262" s="18">
        <f t="shared" si="1"/>
        <v>36.07</v>
      </c>
      <c r="G262" s="17" t="str">
        <f>Github!H$436</f>
        <v>Algorithms</v>
      </c>
      <c r="H262" s="19" t="str">
        <f>SUBSTITUTE(Github!L$436, ";", ", ")</f>
        <v>Array, Dynamic Programming, Greedy, Sorting, </v>
      </c>
      <c r="I262" s="17" t="str">
        <f>Github!E$436</f>
        <v>Medium</v>
      </c>
      <c r="J262" s="17" t="str">
        <f>IF(TRIM(Github!D$436)="TRUE","FALSE","TRUE")</f>
        <v>TRUE</v>
      </c>
      <c r="K262" s="17" t="b">
        <f>Github!M$436</f>
        <v>1</v>
      </c>
      <c r="L262" s="17" t="b">
        <f>Github!N$436</f>
        <v>0</v>
      </c>
      <c r="M262" s="17" t="str">
        <f>ROUND(Github!O$436, 2)&amp;"%"</f>
        <v>47.8%</v>
      </c>
      <c r="N262" s="17">
        <f>Github!P$436</f>
        <v>226071</v>
      </c>
      <c r="O262" s="17">
        <f>Github!Q$436</f>
        <v>472908</v>
      </c>
    </row>
    <row r="263" ht="18.0" customHeight="1">
      <c r="A263" s="17">
        <f>Github!J$189</f>
        <v>188</v>
      </c>
      <c r="B263" s="27" t="str">
        <f>HYPERLINK(CONCAT("http://leetcode.com/problems/",Github!C$189), Github!B$189)</f>
        <v>Best Time to Buy and Sell Stock IV</v>
      </c>
      <c r="C263" s="17">
        <f>Github!F$189</f>
        <v>3631</v>
      </c>
      <c r="D263" s="17">
        <f>Github!G$189</f>
        <v>150</v>
      </c>
      <c r="E263" s="17">
        <f>Github!F$189+Github!G$189</f>
        <v>3781</v>
      </c>
      <c r="F263" s="18">
        <f t="shared" si="1"/>
        <v>24.21</v>
      </c>
      <c r="G263" s="17" t="str">
        <f>Github!H$189</f>
        <v>Algorithms</v>
      </c>
      <c r="H263" s="19" t="str">
        <f>SUBSTITUTE(Github!L$189, ";", ", ")</f>
        <v>Array, Dynamic Programming, </v>
      </c>
      <c r="I263" s="17" t="str">
        <f>Github!E$189</f>
        <v>Hard</v>
      </c>
      <c r="J263" s="17" t="str">
        <f>IF(TRIM(Github!D$189)="TRUE","FALSE","TRUE")</f>
        <v>TRUE</v>
      </c>
      <c r="K263" s="17" t="b">
        <f>Github!M$189</f>
        <v>1</v>
      </c>
      <c r="L263" s="17" t="b">
        <f>Github!N$189</f>
        <v>0</v>
      </c>
      <c r="M263" s="17" t="str">
        <f>ROUND(Github!O$189, 2)&amp;"%"</f>
        <v>33.15%</v>
      </c>
      <c r="N263" s="17">
        <f>Github!P$189</f>
        <v>233288</v>
      </c>
      <c r="O263" s="17">
        <f>Github!Q$189</f>
        <v>703742</v>
      </c>
    </row>
    <row r="264" ht="18.0" customHeight="1">
      <c r="A264" s="17">
        <f>Github!J$290</f>
        <v>289</v>
      </c>
      <c r="B264" s="27" t="str">
        <f>HYPERLINK(CONCAT("http://leetcode.com/problems/",Github!C$290), Github!B$290)</f>
        <v>Game of Life</v>
      </c>
      <c r="C264" s="17">
        <f>Github!F$290</f>
        <v>3617</v>
      </c>
      <c r="D264" s="17">
        <f>Github!G$290</f>
        <v>391</v>
      </c>
      <c r="E264" s="17">
        <f>Github!F$290+Github!G$290</f>
        <v>4008</v>
      </c>
      <c r="F264" s="18">
        <f t="shared" si="1"/>
        <v>9.25</v>
      </c>
      <c r="G264" s="17" t="str">
        <f>Github!H$290</f>
        <v>Algorithms</v>
      </c>
      <c r="H264" s="19" t="str">
        <f>SUBSTITUTE(Github!L$290, ";", ", ")</f>
        <v>Array, Matrix, Simulation, </v>
      </c>
      <c r="I264" s="17" t="str">
        <f>Github!E$290</f>
        <v>Medium</v>
      </c>
      <c r="J264" s="17" t="str">
        <f>IF(TRIM(Github!D$290)="TRUE","FALSE","TRUE")</f>
        <v>TRUE</v>
      </c>
      <c r="K264" s="17" t="b">
        <f>Github!M$290</f>
        <v>1</v>
      </c>
      <c r="L264" s="17" t="b">
        <f>Github!N$290</f>
        <v>1</v>
      </c>
      <c r="M264" s="17" t="str">
        <f>ROUND(Github!O$290, 2)&amp;"%"</f>
        <v>62.37%</v>
      </c>
      <c r="N264" s="17">
        <f>Github!P$290</f>
        <v>288002</v>
      </c>
      <c r="O264" s="17">
        <f>Github!Q$290</f>
        <v>461741</v>
      </c>
    </row>
    <row r="265" ht="18.0" customHeight="1">
      <c r="A265" s="17">
        <f>Github!J$719</f>
        <v>718</v>
      </c>
      <c r="B265" s="27" t="str">
        <f>HYPERLINK(CONCAT("http://leetcode.com/problems/",Github!C$719), Github!B$719)</f>
        <v>Maximum Length of Repeated Subarray</v>
      </c>
      <c r="C265" s="17">
        <f>Github!F$719</f>
        <v>3593</v>
      </c>
      <c r="D265" s="17">
        <f>Github!G$719</f>
        <v>87</v>
      </c>
      <c r="E265" s="17">
        <f>Github!F$719+Github!G$719</f>
        <v>3680</v>
      </c>
      <c r="F265" s="18">
        <f t="shared" si="1"/>
        <v>41.3</v>
      </c>
      <c r="G265" s="17" t="str">
        <f>Github!H$719</f>
        <v>Algorithms</v>
      </c>
      <c r="H265" s="19" t="str">
        <f>SUBSTITUTE(Github!L$719, ";", ", ")</f>
        <v>Array, Binary Search, Dynamic Programming, Sliding Window, Rolling Hash, Hash Function, </v>
      </c>
      <c r="I265" s="17" t="str">
        <f>Github!E$719</f>
        <v>Medium</v>
      </c>
      <c r="J265" s="17" t="str">
        <f>IF(TRIM(Github!D$719)="TRUE","FALSE","TRUE")</f>
        <v>TRUE</v>
      </c>
      <c r="K265" s="17" t="b">
        <f>Github!M$719</f>
        <v>1</v>
      </c>
      <c r="L265" s="17" t="b">
        <f>Github!N$719</f>
        <v>0</v>
      </c>
      <c r="M265" s="17" t="str">
        <f>ROUND(Github!O$719, 2)&amp;"%"</f>
        <v>51.34%</v>
      </c>
      <c r="N265" s="17">
        <f>Github!P$719</f>
        <v>162851</v>
      </c>
      <c r="O265" s="17">
        <f>Github!Q$719</f>
        <v>317173</v>
      </c>
    </row>
    <row r="266" ht="18.0" customHeight="1">
      <c r="A266" s="17">
        <f>Github!J$666</f>
        <v>665</v>
      </c>
      <c r="B266" s="27" t="str">
        <f>HYPERLINK(CONCAT("http://leetcode.com/problems/",Github!C$666), Github!B$666)</f>
        <v>Non-decreasing Array</v>
      </c>
      <c r="C266" s="17">
        <f>Github!F$666</f>
        <v>3531</v>
      </c>
      <c r="D266" s="17">
        <f>Github!G$666</f>
        <v>663</v>
      </c>
      <c r="E266" s="17">
        <f>Github!F$666+Github!G$666</f>
        <v>4194</v>
      </c>
      <c r="F266" s="18">
        <f t="shared" si="1"/>
        <v>5.33</v>
      </c>
      <c r="G266" s="17" t="str">
        <f>Github!H$666</f>
        <v>Algorithms</v>
      </c>
      <c r="H266" s="19" t="str">
        <f>SUBSTITUTE(Github!L$666, ";", ", ")</f>
        <v>Array, </v>
      </c>
      <c r="I266" s="17" t="str">
        <f>Github!E$666</f>
        <v>Medium</v>
      </c>
      <c r="J266" s="17" t="str">
        <f>IF(TRIM(Github!D$666)="TRUE","FALSE","TRUE")</f>
        <v>TRUE</v>
      </c>
      <c r="K266" s="17" t="b">
        <f>Github!M$666</f>
        <v>1</v>
      </c>
      <c r="L266" s="17" t="b">
        <f>Github!N$666</f>
        <v>0</v>
      </c>
      <c r="M266" s="17" t="str">
        <f>ROUND(Github!O$666, 2)&amp;"%"</f>
        <v>21.44%</v>
      </c>
      <c r="N266" s="17">
        <f>Github!P$666</f>
        <v>169130</v>
      </c>
      <c r="O266" s="17">
        <f>Github!Q$666</f>
        <v>788954</v>
      </c>
    </row>
    <row r="267" ht="18.0" customHeight="1">
      <c r="A267" s="17">
        <f>Github!J$670</f>
        <v>669</v>
      </c>
      <c r="B267" s="27" t="str">
        <f>HYPERLINK(CONCAT("http://leetcode.com/problems/",Github!C$670), Github!B$670)</f>
        <v>Trim a Binary Search Tree</v>
      </c>
      <c r="C267" s="17">
        <f>Github!F$670</f>
        <v>3527</v>
      </c>
      <c r="D267" s="17">
        <f>Github!G$670</f>
        <v>216</v>
      </c>
      <c r="E267" s="17">
        <f>Github!F$670+Github!G$670</f>
        <v>3743</v>
      </c>
      <c r="F267" s="18">
        <f t="shared" si="1"/>
        <v>16.33</v>
      </c>
      <c r="G267" s="17" t="str">
        <f>Github!H$670</f>
        <v>Algorithms</v>
      </c>
      <c r="H267" s="19" t="str">
        <f>SUBSTITUTE(Github!L$670, ";", ", ")</f>
        <v>Tree, Depth-First Search, Binary Search Tree, Binary Tree, </v>
      </c>
      <c r="I267" s="17" t="str">
        <f>Github!E$670</f>
        <v>Medium</v>
      </c>
      <c r="J267" s="17" t="str">
        <f>IF(TRIM(Github!D$670)="TRUE","FALSE","TRUE")</f>
        <v>TRUE</v>
      </c>
      <c r="K267" s="17" t="b">
        <f>Github!M$670</f>
        <v>1</v>
      </c>
      <c r="L267" s="17" t="b">
        <f>Github!N$670</f>
        <v>0</v>
      </c>
      <c r="M267" s="17" t="str">
        <f>ROUND(Github!O$670, 2)&amp;"%"</f>
        <v>64.56%</v>
      </c>
      <c r="N267" s="17">
        <f>Github!P$670</f>
        <v>186518</v>
      </c>
      <c r="O267" s="17">
        <f>Github!Q$670</f>
        <v>288909</v>
      </c>
    </row>
    <row r="268" ht="18.0" customHeight="1">
      <c r="A268" s="17">
        <f>Github!J$127</f>
        <v>126</v>
      </c>
      <c r="B268" s="27" t="str">
        <f>HYPERLINK(CONCAT("http://leetcode.com/problems/",Github!C$127), Github!B$127)</f>
        <v>Word Ladder II</v>
      </c>
      <c r="C268" s="17">
        <f>Github!F$127</f>
        <v>3508</v>
      </c>
      <c r="D268" s="17">
        <f>Github!G$127</f>
        <v>331</v>
      </c>
      <c r="E268" s="17">
        <f>Github!F$127+Github!G$127</f>
        <v>3839</v>
      </c>
      <c r="F268" s="18">
        <f t="shared" si="1"/>
        <v>10.6</v>
      </c>
      <c r="G268" s="17" t="str">
        <f>Github!H$127</f>
        <v>Algorithms</v>
      </c>
      <c r="H268" s="19" t="str">
        <f>SUBSTITUTE(Github!L$127, ";", ", ")</f>
        <v>Hash Table, String, Backtracking, Breadth-First Search, </v>
      </c>
      <c r="I268" s="17" t="str">
        <f>Github!E$127</f>
        <v>Hard</v>
      </c>
      <c r="J268" s="17" t="str">
        <f>IF(TRIM(Github!D$127)="TRUE","FALSE","TRUE")</f>
        <v>TRUE</v>
      </c>
      <c r="K268" s="17" t="b">
        <f>Github!M$127</f>
        <v>1</v>
      </c>
      <c r="L268" s="17" t="b">
        <f>Github!N$127</f>
        <v>0</v>
      </c>
      <c r="M268" s="17" t="str">
        <f>ROUND(Github!O$127, 2)&amp;"%"</f>
        <v>26.7%</v>
      </c>
      <c r="N268" s="17">
        <f>Github!P$127</f>
        <v>281694</v>
      </c>
      <c r="O268" s="17">
        <f>Github!Q$127</f>
        <v>1054979</v>
      </c>
    </row>
    <row r="269" ht="18.0" customHeight="1">
      <c r="A269" s="17">
        <f>Github!J$118</f>
        <v>117</v>
      </c>
      <c r="B269" s="27" t="str">
        <f>HYPERLINK(CONCAT("http://leetcode.com/problems/",Github!C$118), Github!B$118)</f>
        <v>Populating Next Right Pointers in Each Node II</v>
      </c>
      <c r="C269" s="17">
        <f>Github!F$118</f>
        <v>3490</v>
      </c>
      <c r="D269" s="17">
        <f>Github!G$118</f>
        <v>231</v>
      </c>
      <c r="E269" s="17">
        <f>Github!F$118+Github!G$118</f>
        <v>3721</v>
      </c>
      <c r="F269" s="18">
        <f t="shared" si="1"/>
        <v>15.11</v>
      </c>
      <c r="G269" s="17" t="str">
        <f>Github!H$118</f>
        <v>Algorithms</v>
      </c>
      <c r="H269" s="19" t="str">
        <f>SUBSTITUTE(Github!L$118, ";", ", ")</f>
        <v>Linked List, Tree, Depth-First Search, Breadth-First Search, Binary Tree, </v>
      </c>
      <c r="I269" s="17" t="str">
        <f>Github!E$118</f>
        <v>Medium</v>
      </c>
      <c r="J269" s="17" t="str">
        <f>IF(TRIM(Github!D$118)="TRUE","FALSE","TRUE")</f>
        <v>TRUE</v>
      </c>
      <c r="K269" s="17" t="b">
        <f>Github!M$118</f>
        <v>1</v>
      </c>
      <c r="L269" s="17" t="b">
        <f>Github!N$118</f>
        <v>0</v>
      </c>
      <c r="M269" s="17" t="str">
        <f>ROUND(Github!O$118, 2)&amp;"%"</f>
        <v>46.07%</v>
      </c>
      <c r="N269" s="17">
        <f>Github!P$118</f>
        <v>418342</v>
      </c>
      <c r="O269" s="17">
        <f>Github!Q$118</f>
        <v>908119</v>
      </c>
    </row>
    <row r="270" ht="18.0" customHeight="1">
      <c r="A270" s="17">
        <f>Github!J$431</f>
        <v>430</v>
      </c>
      <c r="B270" s="27" t="str">
        <f>HYPERLINK(CONCAT("http://leetcode.com/problems/",Github!C$431), Github!B$431)</f>
        <v>Flatten a Multilevel Doubly Linked List</v>
      </c>
      <c r="C270" s="17">
        <f>Github!F$431</f>
        <v>3490</v>
      </c>
      <c r="D270" s="17">
        <f>Github!G$431</f>
        <v>246</v>
      </c>
      <c r="E270" s="17">
        <f>Github!F$431+Github!G$431</f>
        <v>3736</v>
      </c>
      <c r="F270" s="18">
        <f t="shared" si="1"/>
        <v>14.19</v>
      </c>
      <c r="G270" s="17" t="str">
        <f>Github!H$431</f>
        <v>Algorithms</v>
      </c>
      <c r="H270" s="19" t="str">
        <f>SUBSTITUTE(Github!L$431, ";", ", ")</f>
        <v>Linked List, Depth-First Search, Doubly-Linked List, </v>
      </c>
      <c r="I270" s="17" t="str">
        <f>Github!E$431</f>
        <v>Medium</v>
      </c>
      <c r="J270" s="17" t="str">
        <f>IF(TRIM(Github!D$431)="TRUE","FALSE","TRUE")</f>
        <v>TRUE</v>
      </c>
      <c r="K270" s="17" t="b">
        <f>Github!M$431</f>
        <v>1</v>
      </c>
      <c r="L270" s="17" t="b">
        <f>Github!N$431</f>
        <v>0</v>
      </c>
      <c r="M270" s="17" t="str">
        <f>ROUND(Github!O$431, 2)&amp;"%"</f>
        <v>58.82%</v>
      </c>
      <c r="N270" s="17">
        <f>Github!P$431</f>
        <v>223013</v>
      </c>
      <c r="O270" s="17">
        <f>Github!Q$431</f>
        <v>379160</v>
      </c>
    </row>
    <row r="271" ht="18.0" customHeight="1">
      <c r="A271" s="17">
        <f>Github!J$980</f>
        <v>979</v>
      </c>
      <c r="B271" s="27" t="str">
        <f>HYPERLINK(CONCAT("http://leetcode.com/problems/",Github!C$980), Github!B$980)</f>
        <v>Distribute Coins in Binary Tree</v>
      </c>
      <c r="C271" s="17">
        <f>Github!F$980</f>
        <v>3469</v>
      </c>
      <c r="D271" s="17">
        <f>Github!G$980</f>
        <v>116</v>
      </c>
      <c r="E271" s="17">
        <f>Github!F$980+Github!G$980</f>
        <v>3585</v>
      </c>
      <c r="F271" s="18">
        <f t="shared" si="1"/>
        <v>29.91</v>
      </c>
      <c r="G271" s="17" t="str">
        <f>Github!H$980</f>
        <v>Algorithms</v>
      </c>
      <c r="H271" s="19" t="str">
        <f>SUBSTITUTE(Github!L$980, ";", ", ")</f>
        <v>Tree, Depth-First Search, Binary Tree, </v>
      </c>
      <c r="I271" s="17" t="str">
        <f>Github!E$980</f>
        <v>Medium</v>
      </c>
      <c r="J271" s="17" t="str">
        <f>IF(TRIM(Github!D$980)="TRUE","FALSE","TRUE")</f>
        <v>TRUE</v>
      </c>
      <c r="K271" s="17" t="b">
        <f>Github!M$980</f>
        <v>1</v>
      </c>
      <c r="L271" s="17" t="b">
        <f>Github!N$980</f>
        <v>0</v>
      </c>
      <c r="M271" s="17" t="str">
        <f>ROUND(Github!O$980, 2)&amp;"%"</f>
        <v>71.38%</v>
      </c>
      <c r="N271" s="17">
        <f>Github!P$980</f>
        <v>80183</v>
      </c>
      <c r="O271" s="17">
        <f>Github!Q$980</f>
        <v>112340</v>
      </c>
    </row>
    <row r="272" ht="18.0" customHeight="1">
      <c r="A272" s="17">
        <f>Github!J$685</f>
        <v>684</v>
      </c>
      <c r="B272" s="27" t="str">
        <f>HYPERLINK(CONCAT("http://leetcode.com/problems/",Github!C$685), Github!B$685)</f>
        <v>Redundant Connection</v>
      </c>
      <c r="C272" s="17">
        <f>Github!F$685</f>
        <v>3454</v>
      </c>
      <c r="D272" s="17">
        <f>Github!G$685</f>
        <v>281</v>
      </c>
      <c r="E272" s="17">
        <f>Github!F$685+Github!G$685</f>
        <v>3735</v>
      </c>
      <c r="F272" s="18">
        <f t="shared" si="1"/>
        <v>12.29</v>
      </c>
      <c r="G272" s="17" t="str">
        <f>Github!H$685</f>
        <v>Algorithms</v>
      </c>
      <c r="H272" s="19" t="str">
        <f>SUBSTITUTE(Github!L$685, ";", ", ")</f>
        <v>Depth-First Search, Breadth-First Search, Union Find, Graph, </v>
      </c>
      <c r="I272" s="17" t="str">
        <f>Github!E$685</f>
        <v>Medium</v>
      </c>
      <c r="J272" s="17" t="str">
        <f>IF(TRIM(Github!D$685)="TRUE","FALSE","TRUE")</f>
        <v>TRUE</v>
      </c>
      <c r="K272" s="17" t="b">
        <f>Github!M$685</f>
        <v>1</v>
      </c>
      <c r="L272" s="17" t="b">
        <f>Github!N$685</f>
        <v>0</v>
      </c>
      <c r="M272" s="17" t="str">
        <f>ROUND(Github!O$685, 2)&amp;"%"</f>
        <v>60.99%</v>
      </c>
      <c r="N272" s="17">
        <f>Github!P$685</f>
        <v>189013</v>
      </c>
      <c r="O272" s="17">
        <f>Github!Q$685</f>
        <v>309887</v>
      </c>
    </row>
    <row r="273" ht="18.0" customHeight="1">
      <c r="A273" s="17">
        <f>Github!J$61</f>
        <v>60</v>
      </c>
      <c r="B273" s="27" t="str">
        <f>HYPERLINK(CONCAT("http://leetcode.com/problems/",Github!C$61), Github!B$61)</f>
        <v>Permutation Sequence</v>
      </c>
      <c r="C273" s="17">
        <f>Github!F$61</f>
        <v>3448</v>
      </c>
      <c r="D273" s="17">
        <f>Github!G$61</f>
        <v>390</v>
      </c>
      <c r="E273" s="17">
        <f>Github!F$61+Github!G$61</f>
        <v>3838</v>
      </c>
      <c r="F273" s="18">
        <f t="shared" si="1"/>
        <v>8.84</v>
      </c>
      <c r="G273" s="17" t="str">
        <f>Github!H$61</f>
        <v>Algorithms</v>
      </c>
      <c r="H273" s="19" t="str">
        <f>SUBSTITUTE(Github!L$61, ";", ", ")</f>
        <v>Math, Recursion, </v>
      </c>
      <c r="I273" s="17" t="str">
        <f>Github!E$61</f>
        <v>Hard</v>
      </c>
      <c r="J273" s="17" t="str">
        <f>IF(TRIM(Github!D$61)="TRUE","FALSE","TRUE")</f>
        <v>TRUE</v>
      </c>
      <c r="K273" s="17" t="b">
        <f>Github!M$61</f>
        <v>1</v>
      </c>
      <c r="L273" s="17" t="b">
        <f>Github!N$61</f>
        <v>0</v>
      </c>
      <c r="M273" s="17" t="str">
        <f>ROUND(Github!O$61, 2)&amp;"%"</f>
        <v>41.77%</v>
      </c>
      <c r="N273" s="17">
        <f>Github!P$61</f>
        <v>261215</v>
      </c>
      <c r="O273" s="17">
        <f>Github!Q$61</f>
        <v>625344</v>
      </c>
    </row>
    <row r="274" ht="18.0" customHeight="1">
      <c r="A274" s="17">
        <f>Github!J$81</f>
        <v>80</v>
      </c>
      <c r="B274" s="27" t="str">
        <f>HYPERLINK(CONCAT("http://leetcode.com/problems/",Github!C$81), Github!B$81)</f>
        <v>Remove Duplicates from Sorted Array II</v>
      </c>
      <c r="C274" s="17">
        <f>Github!F$81</f>
        <v>3446</v>
      </c>
      <c r="D274" s="17">
        <f>Github!G$81</f>
        <v>908</v>
      </c>
      <c r="E274" s="17">
        <f>Github!F$81+Github!G$81</f>
        <v>4354</v>
      </c>
      <c r="F274" s="18">
        <f t="shared" si="1"/>
        <v>3.8</v>
      </c>
      <c r="G274" s="17" t="str">
        <f>Github!H$81</f>
        <v>Algorithms</v>
      </c>
      <c r="H274" s="19" t="str">
        <f>SUBSTITUTE(Github!L$81, ";", ", ")</f>
        <v>Array, Two Pointers, </v>
      </c>
      <c r="I274" s="17" t="str">
        <f>Github!E$81</f>
        <v>Medium</v>
      </c>
      <c r="J274" s="17" t="str">
        <f>IF(TRIM(Github!D$81)="TRUE","FALSE","TRUE")</f>
        <v>TRUE</v>
      </c>
      <c r="K274" s="17" t="b">
        <f>Github!M$81</f>
        <v>1</v>
      </c>
      <c r="L274" s="17" t="b">
        <f>Github!N$81</f>
        <v>0</v>
      </c>
      <c r="M274" s="17" t="str">
        <f>ROUND(Github!O$81, 2)&amp;"%"</f>
        <v>50.29%</v>
      </c>
      <c r="N274" s="17">
        <f>Github!P$81</f>
        <v>420396</v>
      </c>
      <c r="O274" s="17">
        <f>Github!Q$81</f>
        <v>836017</v>
      </c>
    </row>
    <row r="275" ht="18.0" customHeight="1">
      <c r="A275" s="17">
        <f>Github!J$655</f>
        <v>654</v>
      </c>
      <c r="B275" s="27" t="str">
        <f>HYPERLINK(CONCAT("http://leetcode.com/problems/",Github!C$655), Github!B$655)</f>
        <v>Maximum Binary Tree</v>
      </c>
      <c r="C275" s="17">
        <f>Github!F$655</f>
        <v>3445</v>
      </c>
      <c r="D275" s="17">
        <f>Github!G$655</f>
        <v>294</v>
      </c>
      <c r="E275" s="17">
        <f>Github!F$655+Github!G$655</f>
        <v>3739</v>
      </c>
      <c r="F275" s="18">
        <f t="shared" si="1"/>
        <v>11.72</v>
      </c>
      <c r="G275" s="17" t="str">
        <f>Github!H$655</f>
        <v>Algorithms</v>
      </c>
      <c r="H275" s="19" t="str">
        <f>SUBSTITUTE(Github!L$655, ";", ", ")</f>
        <v>Array, Divide and Conquer, Stack, Tree, Monotonic Stack, Binary Tree, </v>
      </c>
      <c r="I275" s="17" t="str">
        <f>Github!E$655</f>
        <v>Medium</v>
      </c>
      <c r="J275" s="17" t="str">
        <f>IF(TRIM(Github!D$655)="TRUE","FALSE","TRUE")</f>
        <v>TRUE</v>
      </c>
      <c r="K275" s="17" t="b">
        <f>Github!M$655</f>
        <v>1</v>
      </c>
      <c r="L275" s="17" t="b">
        <f>Github!N$655</f>
        <v>0</v>
      </c>
      <c r="M275" s="17" t="str">
        <f>ROUND(Github!O$655, 2)&amp;"%"</f>
        <v>83.32%</v>
      </c>
      <c r="N275" s="17">
        <f>Github!P$655</f>
        <v>204374</v>
      </c>
      <c r="O275" s="17">
        <f>Github!Q$655</f>
        <v>245301</v>
      </c>
    </row>
    <row r="276" ht="18.0" customHeight="1">
      <c r="A276" s="17">
        <f>Github!J$70</f>
        <v>69</v>
      </c>
      <c r="B276" s="27" t="str">
        <f>HYPERLINK(CONCAT("http://leetcode.com/problems/",Github!C$70), Github!B$70)</f>
        <v>Sqrt(x)</v>
      </c>
      <c r="C276" s="17">
        <f>Github!F$70</f>
        <v>3444</v>
      </c>
      <c r="D276" s="17">
        <f>Github!G$70</f>
        <v>3049</v>
      </c>
      <c r="E276" s="17">
        <f>Github!F$70+Github!G$70</f>
        <v>6493</v>
      </c>
      <c r="F276" s="18">
        <f t="shared" si="1"/>
        <v>1.13</v>
      </c>
      <c r="G276" s="17" t="str">
        <f>Github!H$70</f>
        <v>Algorithms</v>
      </c>
      <c r="H276" s="19" t="str">
        <f>SUBSTITUTE(Github!L$70, ";", ", ")</f>
        <v>Math, Binary Search, </v>
      </c>
      <c r="I276" s="17" t="str">
        <f>Github!E$70</f>
        <v>Easy</v>
      </c>
      <c r="J276" s="17" t="str">
        <f>IF(TRIM(Github!D$70)="TRUE","FALSE","TRUE")</f>
        <v>TRUE</v>
      </c>
      <c r="K276" s="17" t="b">
        <f>Github!M$70</f>
        <v>1</v>
      </c>
      <c r="L276" s="17" t="b">
        <f>Github!N$70</f>
        <v>0</v>
      </c>
      <c r="M276" s="17" t="str">
        <f>ROUND(Github!O$70, 2)&amp;"%"</f>
        <v>36.31%</v>
      </c>
      <c r="N276" s="17">
        <f>Github!P$70</f>
        <v>973356</v>
      </c>
      <c r="O276" s="17">
        <f>Github!Q$70</f>
        <v>2680443</v>
      </c>
    </row>
    <row r="277" ht="18.0" customHeight="1">
      <c r="A277" s="17">
        <f>Github!J$7</f>
        <v>6</v>
      </c>
      <c r="B277" s="27" t="str">
        <f>HYPERLINK(CONCAT("http://leetcode.com/problems/",Github!C$7), Github!B$7)</f>
        <v>Zigzag Conversion</v>
      </c>
      <c r="C277" s="17">
        <f>Github!F$7</f>
        <v>3431</v>
      </c>
      <c r="D277" s="17">
        <f>Github!G$7</f>
        <v>7969</v>
      </c>
      <c r="E277" s="17">
        <f>Github!F$7+Github!G$7</f>
        <v>11400</v>
      </c>
      <c r="F277" s="18">
        <f t="shared" si="1"/>
        <v>0.43</v>
      </c>
      <c r="G277" s="17" t="str">
        <f>Github!H$7</f>
        <v>Algorithms</v>
      </c>
      <c r="H277" s="19" t="str">
        <f>SUBSTITUTE(Github!L$7, ";", ", ")</f>
        <v>String, </v>
      </c>
      <c r="I277" s="17" t="str">
        <f>Github!E$7</f>
        <v>Medium</v>
      </c>
      <c r="J277" s="17" t="str">
        <f>IF(TRIM(Github!D$7)="TRUE","FALSE","TRUE")</f>
        <v>TRUE</v>
      </c>
      <c r="K277" s="17" t="b">
        <f>Github!M$7</f>
        <v>1</v>
      </c>
      <c r="L277" s="17" t="b">
        <f>Github!N$7</f>
        <v>0</v>
      </c>
      <c r="M277" s="17" t="str">
        <f>ROUND(Github!O$7, 2)&amp;"%"</f>
        <v>41.13%</v>
      </c>
      <c r="N277" s="17">
        <f>Github!P$7</f>
        <v>727324</v>
      </c>
      <c r="O277" s="17">
        <f>Github!Q$7</f>
        <v>1768574</v>
      </c>
    </row>
    <row r="278" ht="18.0" customHeight="1">
      <c r="A278" s="17">
        <f>Github!J$82</f>
        <v>81</v>
      </c>
      <c r="B278" s="27" t="str">
        <f>HYPERLINK(CONCAT("http://leetcode.com/problems/",Github!C$82), Github!B$82)</f>
        <v>Search in Rotated Sorted Array II</v>
      </c>
      <c r="C278" s="17">
        <f>Github!F$82</f>
        <v>3420</v>
      </c>
      <c r="D278" s="17">
        <f>Github!G$82</f>
        <v>655</v>
      </c>
      <c r="E278" s="17">
        <f>Github!F$82+Github!G$82</f>
        <v>4075</v>
      </c>
      <c r="F278" s="18">
        <f t="shared" si="1"/>
        <v>5.22</v>
      </c>
      <c r="G278" s="17" t="str">
        <f>Github!H$82</f>
        <v>Algorithms</v>
      </c>
      <c r="H278" s="19" t="str">
        <f>SUBSTITUTE(Github!L$82, ";", ", ")</f>
        <v>Array, Binary Search, </v>
      </c>
      <c r="I278" s="17" t="str">
        <f>Github!E$82</f>
        <v>Medium</v>
      </c>
      <c r="J278" s="17" t="str">
        <f>IF(TRIM(Github!D$82)="TRUE","FALSE","TRUE")</f>
        <v>TRUE</v>
      </c>
      <c r="K278" s="17" t="b">
        <f>Github!M$82</f>
        <v>1</v>
      </c>
      <c r="L278" s="17" t="b">
        <f>Github!N$82</f>
        <v>0</v>
      </c>
      <c r="M278" s="17" t="str">
        <f>ROUND(Github!O$82, 2)&amp;"%"</f>
        <v>34.44%</v>
      </c>
      <c r="N278" s="17">
        <f>Github!P$82</f>
        <v>373095</v>
      </c>
      <c r="O278" s="17">
        <f>Github!Q$82</f>
        <v>1083218</v>
      </c>
    </row>
    <row r="279" ht="18.0" customHeight="1">
      <c r="A279" s="17">
        <f>Github!J$1009</f>
        <v>1008</v>
      </c>
      <c r="B279" s="27" t="str">
        <f>HYPERLINK(CONCAT("http://leetcode.com/problems/",Github!C$1009), Github!B$1009)</f>
        <v>Construct Binary Search Tree from Preorder Traversal</v>
      </c>
      <c r="C279" s="17">
        <f>Github!F$1009</f>
        <v>3408</v>
      </c>
      <c r="D279" s="17">
        <f>Github!G$1009</f>
        <v>58</v>
      </c>
      <c r="E279" s="17">
        <f>Github!F$1009+Github!G$1009</f>
        <v>3466</v>
      </c>
      <c r="F279" s="18">
        <f t="shared" si="1"/>
        <v>58.76</v>
      </c>
      <c r="G279" s="17" t="str">
        <f>Github!H$1009</f>
        <v>Algorithms</v>
      </c>
      <c r="H279" s="19" t="str">
        <f>SUBSTITUTE(Github!L$1009, ";", ", ")</f>
        <v>Array, Stack, Tree, Binary Search Tree, Monotonic Stack, Binary Tree, </v>
      </c>
      <c r="I279" s="17" t="str">
        <f>Github!E$1009</f>
        <v>Medium</v>
      </c>
      <c r="J279" s="17" t="str">
        <f>IF(TRIM(Github!D$1009)="TRUE","FALSE","TRUE")</f>
        <v>TRUE</v>
      </c>
      <c r="K279" s="17" t="b">
        <f>Github!M$1009</f>
        <v>1</v>
      </c>
      <c r="L279" s="17" t="b">
        <f>Github!N$1009</f>
        <v>0</v>
      </c>
      <c r="M279" s="17" t="str">
        <f>ROUND(Github!O$1009, 2)&amp;"%"</f>
        <v>80.1%</v>
      </c>
      <c r="N279" s="17">
        <f>Github!P$1009</f>
        <v>224337</v>
      </c>
      <c r="O279" s="17">
        <f>Github!Q$1009</f>
        <v>280082</v>
      </c>
    </row>
    <row r="280" ht="18.0" customHeight="1">
      <c r="A280" s="17">
        <f>Github!J$225</f>
        <v>224</v>
      </c>
      <c r="B280" s="27" t="str">
        <f>HYPERLINK(CONCAT("http://leetcode.com/problems/",Github!C$225), Github!B$225)</f>
        <v>Basic Calculator</v>
      </c>
      <c r="C280" s="17">
        <f>Github!F$225</f>
        <v>3403</v>
      </c>
      <c r="D280" s="17">
        <f>Github!G$225</f>
        <v>285</v>
      </c>
      <c r="E280" s="17">
        <f>Github!F$225+Github!G$225</f>
        <v>3688</v>
      </c>
      <c r="F280" s="18">
        <f t="shared" si="1"/>
        <v>11.94</v>
      </c>
      <c r="G280" s="17" t="str">
        <f>Github!H$225</f>
        <v>Algorithms</v>
      </c>
      <c r="H280" s="19" t="str">
        <f>SUBSTITUTE(Github!L$225, ";", ", ")</f>
        <v>Math, String, Stack, Recursion, </v>
      </c>
      <c r="I280" s="17" t="str">
        <f>Github!E$225</f>
        <v>Hard</v>
      </c>
      <c r="J280" s="17" t="str">
        <f>IF(TRIM(Github!D$225)="TRUE","FALSE","TRUE")</f>
        <v>TRUE</v>
      </c>
      <c r="K280" s="17" t="b">
        <f>Github!M$225</f>
        <v>1</v>
      </c>
      <c r="L280" s="17" t="b">
        <f>Github!N$225</f>
        <v>0</v>
      </c>
      <c r="M280" s="17" t="str">
        <f>ROUND(Github!O$225, 2)&amp;"%"</f>
        <v>40.29%</v>
      </c>
      <c r="N280" s="17">
        <f>Github!P$225</f>
        <v>281306</v>
      </c>
      <c r="O280" s="17">
        <f>Github!Q$225</f>
        <v>698192</v>
      </c>
    </row>
    <row r="281" ht="18.0" customHeight="1">
      <c r="A281" s="17">
        <f>Github!J$270</f>
        <v>269</v>
      </c>
      <c r="B281" s="27" t="str">
        <f>HYPERLINK(CONCAT("http://leetcode.com/problems/",Github!C$270), Github!B$270)</f>
        <v>Alien Dictionary</v>
      </c>
      <c r="C281" s="17">
        <f>Github!F$270</f>
        <v>3402</v>
      </c>
      <c r="D281" s="17">
        <f>Github!G$270</f>
        <v>694</v>
      </c>
      <c r="E281" s="17">
        <f>Github!F$270+Github!G$270</f>
        <v>4096</v>
      </c>
      <c r="F281" s="18">
        <f t="shared" si="1"/>
        <v>4.9</v>
      </c>
      <c r="G281" s="17" t="str">
        <f>Github!H$270</f>
        <v>Algorithms</v>
      </c>
      <c r="H281" s="19" t="str">
        <f>SUBSTITUTE(Github!L$270, ";", ", ")</f>
        <v>Array, String, Depth-First Search, Breadth-First Search, Graph, Topological Sort, </v>
      </c>
      <c r="I281" s="17" t="str">
        <f>Github!E$270</f>
        <v>Hard</v>
      </c>
      <c r="J281" s="17" t="str">
        <f>IF(TRIM(Github!D$270)="TRUE","FALSE","TRUE")</f>
        <v>FALSE</v>
      </c>
      <c r="K281" s="17" t="b">
        <f>Github!M$270</f>
        <v>1</v>
      </c>
      <c r="L281" s="17" t="b">
        <f>Github!N$270</f>
        <v>0</v>
      </c>
      <c r="M281" s="17" t="str">
        <f>ROUND(Github!O$270, 2)&amp;"%"</f>
        <v>34.7%</v>
      </c>
      <c r="N281" s="17">
        <f>Github!P$270</f>
        <v>274986</v>
      </c>
      <c r="O281" s="17">
        <f>Github!Q$270</f>
        <v>792439</v>
      </c>
    </row>
    <row r="282" ht="18.0" customHeight="1">
      <c r="A282" s="17">
        <f>Github!J$1193</f>
        <v>1192</v>
      </c>
      <c r="B282" s="27" t="str">
        <f>HYPERLINK(CONCAT("http://leetcode.com/problems/",Github!C$1193), Github!B$1193)</f>
        <v>Critical Connections in a Network</v>
      </c>
      <c r="C282" s="17">
        <f>Github!F$1193</f>
        <v>3395</v>
      </c>
      <c r="D282" s="17">
        <f>Github!G$1193</f>
        <v>138</v>
      </c>
      <c r="E282" s="17">
        <f>Github!F$1193+Github!G$1193</f>
        <v>3533</v>
      </c>
      <c r="F282" s="18">
        <f t="shared" si="1"/>
        <v>24.6</v>
      </c>
      <c r="G282" s="17" t="str">
        <f>Github!H$1193</f>
        <v>Algorithms</v>
      </c>
      <c r="H282" s="19" t="str">
        <f>SUBSTITUTE(Github!L$1193, ";", ", ")</f>
        <v>Depth-First Search, Graph, Biconnected Component, </v>
      </c>
      <c r="I282" s="17" t="str">
        <f>Github!E$1193</f>
        <v>Hard</v>
      </c>
      <c r="J282" s="17" t="str">
        <f>IF(TRIM(Github!D$1193)="TRUE","FALSE","TRUE")</f>
        <v>TRUE</v>
      </c>
      <c r="K282" s="17" t="b">
        <f>Github!M$1193</f>
        <v>1</v>
      </c>
      <c r="L282" s="17" t="b">
        <f>Github!N$1193</f>
        <v>0</v>
      </c>
      <c r="M282" s="17" t="str">
        <f>ROUND(Github!O$1193, 2)&amp;"%"</f>
        <v>52.03%</v>
      </c>
      <c r="N282" s="17">
        <f>Github!P$1193</f>
        <v>142553</v>
      </c>
      <c r="O282" s="17">
        <f>Github!Q$1193</f>
        <v>273962</v>
      </c>
    </row>
    <row r="283" ht="18.0" customHeight="1">
      <c r="A283" s="17">
        <f>Github!J$654</f>
        <v>653</v>
      </c>
      <c r="B283" s="27" t="str">
        <f>HYPERLINK(CONCAT("http://leetcode.com/problems/",Github!C$654), Github!B$654)</f>
        <v>Two Sum IV - Input is a BST</v>
      </c>
      <c r="C283" s="17">
        <f>Github!F$654</f>
        <v>3394</v>
      </c>
      <c r="D283" s="17">
        <f>Github!G$654</f>
        <v>195</v>
      </c>
      <c r="E283" s="17">
        <f>Github!F$654+Github!G$654</f>
        <v>3589</v>
      </c>
      <c r="F283" s="18">
        <f t="shared" si="1"/>
        <v>17.41</v>
      </c>
      <c r="G283" s="17" t="str">
        <f>Github!H$654</f>
        <v>Algorithms</v>
      </c>
      <c r="H283" s="19" t="str">
        <f>SUBSTITUTE(Github!L$654, ";", ", ")</f>
        <v>Hash Table, Two Pointers, Tree, Depth-First Search, Breadth-First Search, Binary Search Tree, Binary Tree, </v>
      </c>
      <c r="I283" s="17" t="str">
        <f>Github!E$654</f>
        <v>Easy</v>
      </c>
      <c r="J283" s="17" t="str">
        <f>IF(TRIM(Github!D$654)="TRUE","FALSE","TRUE")</f>
        <v>TRUE</v>
      </c>
      <c r="K283" s="17" t="b">
        <f>Github!M$654</f>
        <v>1</v>
      </c>
      <c r="L283" s="17" t="b">
        <f>Github!N$654</f>
        <v>0</v>
      </c>
      <c r="M283" s="17" t="str">
        <f>ROUND(Github!O$654, 2)&amp;"%"</f>
        <v>58.61%</v>
      </c>
      <c r="N283" s="17">
        <f>Github!P$654</f>
        <v>292714</v>
      </c>
      <c r="O283" s="17">
        <f>Github!Q$654</f>
        <v>499444</v>
      </c>
    </row>
    <row r="284" ht="18.0" customHeight="1">
      <c r="A284" s="17">
        <f>Github!J$14</f>
        <v>13</v>
      </c>
      <c r="B284" s="27" t="str">
        <f>HYPERLINK(CONCAT("http://leetcode.com/problems/",Github!C$14), Github!B$14)</f>
        <v>Roman to Integer</v>
      </c>
      <c r="C284" s="17">
        <f>Github!F$14</f>
        <v>3394</v>
      </c>
      <c r="D284" s="17">
        <f>Github!G$14</f>
        <v>243</v>
      </c>
      <c r="E284" s="17">
        <f>Github!F$14+Github!G$14</f>
        <v>3637</v>
      </c>
      <c r="F284" s="18">
        <f t="shared" si="1"/>
        <v>13.97</v>
      </c>
      <c r="G284" s="17" t="str">
        <f>Github!H$14</f>
        <v>Algorithms</v>
      </c>
      <c r="H284" s="19" t="str">
        <f>SUBSTITUTE(Github!L$14, ";", ", ")</f>
        <v>Hash Table, Math, String, </v>
      </c>
      <c r="I284" s="17" t="str">
        <f>Github!E$14</f>
        <v>Easy</v>
      </c>
      <c r="J284" s="17" t="str">
        <f>IF(TRIM(Github!D$14)="TRUE","FALSE","TRUE")</f>
        <v>TRUE</v>
      </c>
      <c r="K284" s="17" t="b">
        <f>Github!M$14</f>
        <v>1</v>
      </c>
      <c r="L284" s="17" t="b">
        <f>Github!N$14</f>
        <v>0</v>
      </c>
      <c r="M284" s="17" t="str">
        <f>ROUND(Github!O$14, 2)&amp;"%"</f>
        <v>57.89%</v>
      </c>
      <c r="N284" s="17">
        <f>Github!P$14</f>
        <v>1425319</v>
      </c>
      <c r="O284" s="17">
        <f>Github!Q$14</f>
        <v>2462296</v>
      </c>
    </row>
    <row r="285" ht="18.0" customHeight="1">
      <c r="A285" s="17">
        <f>Github!J$242</f>
        <v>241</v>
      </c>
      <c r="B285" s="27" t="str">
        <f>HYPERLINK(CONCAT("http://leetcode.com/problems/",Github!C$242), Github!B$242)</f>
        <v>Different Ways to Add Parentheses</v>
      </c>
      <c r="C285" s="17">
        <f>Github!F$242</f>
        <v>3385</v>
      </c>
      <c r="D285" s="17">
        <f>Github!G$242</f>
        <v>169</v>
      </c>
      <c r="E285" s="17">
        <f>Github!F$242+Github!G$242</f>
        <v>3554</v>
      </c>
      <c r="F285" s="18">
        <f t="shared" si="1"/>
        <v>20.03</v>
      </c>
      <c r="G285" s="17" t="str">
        <f>Github!H$242</f>
        <v>Algorithms</v>
      </c>
      <c r="H285" s="19" t="str">
        <f>SUBSTITUTE(Github!L$242, ";", ", ")</f>
        <v>Math, String, Dynamic Programming, Recursion, Memoization, </v>
      </c>
      <c r="I285" s="17" t="str">
        <f>Github!E$242</f>
        <v>Medium</v>
      </c>
      <c r="J285" s="17" t="str">
        <f>IF(TRIM(Github!D$242)="TRUE","FALSE","TRUE")</f>
        <v>TRUE</v>
      </c>
      <c r="K285" s="17" t="b">
        <f>Github!M$242</f>
        <v>0</v>
      </c>
      <c r="L285" s="17" t="b">
        <f>Github!N$242</f>
        <v>0</v>
      </c>
      <c r="M285" s="17" t="str">
        <f>ROUND(Github!O$242, 2)&amp;"%"</f>
        <v>61.17%</v>
      </c>
      <c r="N285" s="17">
        <f>Github!P$242</f>
        <v>155923</v>
      </c>
      <c r="O285" s="17">
        <f>Github!Q$242</f>
        <v>254903</v>
      </c>
    </row>
    <row r="286" ht="18.0" customHeight="1">
      <c r="A286" s="17">
        <f>Github!J$291</f>
        <v>290</v>
      </c>
      <c r="B286" s="27" t="str">
        <f>HYPERLINK(CONCAT("http://leetcode.com/problems/",Github!C$291), Github!B$291)</f>
        <v>Word Pattern</v>
      </c>
      <c r="C286" s="17">
        <f>Github!F$291</f>
        <v>3380</v>
      </c>
      <c r="D286" s="17">
        <f>Github!G$291</f>
        <v>386</v>
      </c>
      <c r="E286" s="17">
        <f>Github!F$291+Github!G$291</f>
        <v>3766</v>
      </c>
      <c r="F286" s="18">
        <f t="shared" si="1"/>
        <v>8.76</v>
      </c>
      <c r="G286" s="17" t="str">
        <f>Github!H$291</f>
        <v>Algorithms</v>
      </c>
      <c r="H286" s="19" t="str">
        <f>SUBSTITUTE(Github!L$291, ";", ", ")</f>
        <v>Hash Table, String, </v>
      </c>
      <c r="I286" s="17" t="str">
        <f>Github!E$291</f>
        <v>Easy</v>
      </c>
      <c r="J286" s="17" t="str">
        <f>IF(TRIM(Github!D$291)="TRUE","FALSE","TRUE")</f>
        <v>TRUE</v>
      </c>
      <c r="K286" s="17" t="b">
        <f>Github!M$291</f>
        <v>1</v>
      </c>
      <c r="L286" s="17" t="b">
        <f>Github!N$291</f>
        <v>0</v>
      </c>
      <c r="M286" s="17" t="str">
        <f>ROUND(Github!O$291, 2)&amp;"%"</f>
        <v>40.13%</v>
      </c>
      <c r="N286" s="17">
        <f>Github!P$291</f>
        <v>348358</v>
      </c>
      <c r="O286" s="17">
        <f>Github!Q$291</f>
        <v>868003</v>
      </c>
    </row>
    <row r="287" ht="18.0" customHeight="1">
      <c r="A287" s="17">
        <f>Github!J$772</f>
        <v>771</v>
      </c>
      <c r="B287" s="27" t="str">
        <f>HYPERLINK(CONCAT("http://leetcode.com/problems/",Github!C$772), Github!B$772)</f>
        <v>Jewels and Stones</v>
      </c>
      <c r="C287" s="17">
        <f>Github!F$772</f>
        <v>3377</v>
      </c>
      <c r="D287" s="17">
        <f>Github!G$772</f>
        <v>482</v>
      </c>
      <c r="E287" s="17">
        <f>Github!F$772+Github!G$772</f>
        <v>3859</v>
      </c>
      <c r="F287" s="18">
        <f t="shared" si="1"/>
        <v>7.01</v>
      </c>
      <c r="G287" s="17" t="str">
        <f>Github!H$772</f>
        <v>Algorithms</v>
      </c>
      <c r="H287" s="19" t="str">
        <f>SUBSTITUTE(Github!L$772, ";", ", ")</f>
        <v>Hash Table, String, </v>
      </c>
      <c r="I287" s="17" t="str">
        <f>Github!E$772</f>
        <v>Easy</v>
      </c>
      <c r="J287" s="17" t="str">
        <f>IF(TRIM(Github!D$772)="TRUE","FALSE","TRUE")</f>
        <v>TRUE</v>
      </c>
      <c r="K287" s="17" t="b">
        <f>Github!M$772</f>
        <v>1</v>
      </c>
      <c r="L287" s="17" t="b">
        <f>Github!N$772</f>
        <v>0</v>
      </c>
      <c r="M287" s="17" t="str">
        <f>ROUND(Github!O$772, 2)&amp;"%"</f>
        <v>87.63%</v>
      </c>
      <c r="N287" s="17">
        <f>Github!P$772</f>
        <v>719457</v>
      </c>
      <c r="O287" s="17">
        <f>Github!Q$772</f>
        <v>820980</v>
      </c>
    </row>
    <row r="288" ht="18.0" customHeight="1">
      <c r="A288" s="17">
        <f>Github!J$446</f>
        <v>445</v>
      </c>
      <c r="B288" s="27" t="str">
        <f>HYPERLINK(CONCAT("http://leetcode.com/problems/",Github!C$446), Github!B$446)</f>
        <v>Add Two Numbers II</v>
      </c>
      <c r="C288" s="17">
        <f>Github!F$446</f>
        <v>3313</v>
      </c>
      <c r="D288" s="17">
        <f>Github!G$446</f>
        <v>225</v>
      </c>
      <c r="E288" s="17">
        <f>Github!F$446+Github!G$446</f>
        <v>3538</v>
      </c>
      <c r="F288" s="18">
        <f t="shared" si="1"/>
        <v>14.72</v>
      </c>
      <c r="G288" s="17" t="str">
        <f>Github!H$446</f>
        <v>Algorithms</v>
      </c>
      <c r="H288" s="19" t="str">
        <f>SUBSTITUTE(Github!L$446, ";", ", ")</f>
        <v>Linked List, Math, Stack, </v>
      </c>
      <c r="I288" s="17" t="str">
        <f>Github!E$446</f>
        <v>Medium</v>
      </c>
      <c r="J288" s="17" t="str">
        <f>IF(TRIM(Github!D$446)="TRUE","FALSE","TRUE")</f>
        <v>TRUE</v>
      </c>
      <c r="K288" s="17" t="b">
        <f>Github!M$446</f>
        <v>1</v>
      </c>
      <c r="L288" s="17" t="b">
        <f>Github!N$446</f>
        <v>0</v>
      </c>
      <c r="M288" s="17" t="str">
        <f>ROUND(Github!O$446, 2)&amp;"%"</f>
        <v>58.36%</v>
      </c>
      <c r="N288" s="17">
        <f>Github!P$446</f>
        <v>299111</v>
      </c>
      <c r="O288" s="17">
        <f>Github!Q$446</f>
        <v>512517</v>
      </c>
    </row>
    <row r="289" ht="18.0" customHeight="1">
      <c r="A289" s="17">
        <f>Github!J$206</f>
        <v>205</v>
      </c>
      <c r="B289" s="27" t="str">
        <f>HYPERLINK(CONCAT("http://leetcode.com/problems/",Github!C$206), Github!B$206)</f>
        <v>Isomorphic Strings</v>
      </c>
      <c r="C289" s="17">
        <f>Github!F$206</f>
        <v>3304</v>
      </c>
      <c r="D289" s="17">
        <f>Github!G$206</f>
        <v>626</v>
      </c>
      <c r="E289" s="17">
        <f>Github!F$206+Github!G$206</f>
        <v>3930</v>
      </c>
      <c r="F289" s="18">
        <f t="shared" si="1"/>
        <v>5.28</v>
      </c>
      <c r="G289" s="17" t="str">
        <f>Github!H$206</f>
        <v>Algorithms</v>
      </c>
      <c r="H289" s="19" t="str">
        <f>SUBSTITUTE(Github!L$206, ";", ", ")</f>
        <v>Hash Table, String, </v>
      </c>
      <c r="I289" s="17" t="str">
        <f>Github!E$206</f>
        <v>Easy</v>
      </c>
      <c r="J289" s="17" t="str">
        <f>IF(TRIM(Github!D$206)="TRUE","FALSE","TRUE")</f>
        <v>TRUE</v>
      </c>
      <c r="K289" s="17" t="b">
        <f>Github!M$206</f>
        <v>1</v>
      </c>
      <c r="L289" s="17" t="b">
        <f>Github!N$206</f>
        <v>0</v>
      </c>
      <c r="M289" s="17" t="str">
        <f>ROUND(Github!O$206, 2)&amp;"%"</f>
        <v>41.97%</v>
      </c>
      <c r="N289" s="17">
        <f>Github!P$206</f>
        <v>477364</v>
      </c>
      <c r="O289" s="17">
        <f>Github!Q$206</f>
        <v>1137261</v>
      </c>
    </row>
    <row r="290" ht="18.0" customHeight="1">
      <c r="A290" s="17">
        <f>Github!J$453</f>
        <v>452</v>
      </c>
      <c r="B290" s="27" t="str">
        <f>HYPERLINK(CONCAT("http://leetcode.com/problems/",Github!C$453), Github!B$453)</f>
        <v>Minimum Number of Arrows to Burst Balloons</v>
      </c>
      <c r="C290" s="17">
        <f>Github!F$453</f>
        <v>3291</v>
      </c>
      <c r="D290" s="17">
        <f>Github!G$453</f>
        <v>96</v>
      </c>
      <c r="E290" s="17">
        <f>Github!F$453+Github!G$453</f>
        <v>3387</v>
      </c>
      <c r="F290" s="18">
        <f t="shared" si="1"/>
        <v>34.28</v>
      </c>
      <c r="G290" s="17" t="str">
        <f>Github!H$453</f>
        <v>Algorithms</v>
      </c>
      <c r="H290" s="19" t="str">
        <f>SUBSTITUTE(Github!L$453, ";", ", ")</f>
        <v>Array, Greedy, Sorting, </v>
      </c>
      <c r="I290" s="17" t="str">
        <f>Github!E$453</f>
        <v>Medium</v>
      </c>
      <c r="J290" s="17" t="str">
        <f>IF(TRIM(Github!D$453)="TRUE","FALSE","TRUE")</f>
        <v>TRUE</v>
      </c>
      <c r="K290" s="17" t="b">
        <f>Github!M$453</f>
        <v>1</v>
      </c>
      <c r="L290" s="17" t="b">
        <f>Github!N$453</f>
        <v>0</v>
      </c>
      <c r="M290" s="17" t="str">
        <f>ROUND(Github!O$453, 2)&amp;"%"</f>
        <v>52.78%</v>
      </c>
      <c r="N290" s="17">
        <f>Github!P$453</f>
        <v>181526</v>
      </c>
      <c r="O290" s="17">
        <f>Github!Q$453</f>
        <v>343917</v>
      </c>
    </row>
    <row r="291" ht="18.0" customHeight="1">
      <c r="A291" s="17">
        <f>Github!J$418</f>
        <v>417</v>
      </c>
      <c r="B291" s="27" t="str">
        <f>HYPERLINK(CONCAT("http://leetcode.com/problems/",Github!C$418), Github!B$418)</f>
        <v>Pacific Atlantic Water Flow</v>
      </c>
      <c r="C291" s="17">
        <f>Github!F$418</f>
        <v>3287</v>
      </c>
      <c r="D291" s="17">
        <f>Github!G$418</f>
        <v>758</v>
      </c>
      <c r="E291" s="17">
        <f>Github!F$418+Github!G$418</f>
        <v>4045</v>
      </c>
      <c r="F291" s="18">
        <f t="shared" si="1"/>
        <v>4.34</v>
      </c>
      <c r="G291" s="17" t="str">
        <f>Github!H$418</f>
        <v>Algorithms</v>
      </c>
      <c r="H291" s="19" t="str">
        <f>SUBSTITUTE(Github!L$418, ";", ", ")</f>
        <v>Array, Depth-First Search, Breadth-First Search, Matrix, </v>
      </c>
      <c r="I291" s="17" t="str">
        <f>Github!E$418</f>
        <v>Medium</v>
      </c>
      <c r="J291" s="17" t="str">
        <f>IF(TRIM(Github!D$418)="TRUE","FALSE","TRUE")</f>
        <v>TRUE</v>
      </c>
      <c r="K291" s="17" t="b">
        <f>Github!M$418</f>
        <v>1</v>
      </c>
      <c r="L291" s="17" t="b">
        <f>Github!N$418</f>
        <v>0</v>
      </c>
      <c r="M291" s="17" t="str">
        <f>ROUND(Github!O$418, 2)&amp;"%"</f>
        <v>48.3%</v>
      </c>
      <c r="N291" s="17">
        <f>Github!P$418</f>
        <v>180785</v>
      </c>
      <c r="O291" s="17">
        <f>Github!Q$418</f>
        <v>374287</v>
      </c>
    </row>
    <row r="292" ht="18.0" customHeight="1">
      <c r="A292" s="17">
        <f>Github!J$28</f>
        <v>27</v>
      </c>
      <c r="B292" s="27" t="str">
        <f>HYPERLINK(CONCAT("http://leetcode.com/problems/",Github!C$28), Github!B$28)</f>
        <v>Remove Element</v>
      </c>
      <c r="C292" s="17">
        <f>Github!F$28</f>
        <v>3287</v>
      </c>
      <c r="D292" s="17">
        <f>Github!G$28</f>
        <v>4957</v>
      </c>
      <c r="E292" s="17">
        <f>Github!F$28+Github!G$28</f>
        <v>8244</v>
      </c>
      <c r="F292" s="18">
        <f t="shared" si="1"/>
        <v>0.66</v>
      </c>
      <c r="G292" s="17" t="str">
        <f>Github!H$28</f>
        <v>Algorithms</v>
      </c>
      <c r="H292" s="19" t="str">
        <f>SUBSTITUTE(Github!L$28, ";", ", ")</f>
        <v>Array, Two Pointers, </v>
      </c>
      <c r="I292" s="17" t="str">
        <f>Github!E$28</f>
        <v>Easy</v>
      </c>
      <c r="J292" s="17" t="str">
        <f>IF(TRIM(Github!D$28)="TRUE","FALSE","TRUE")</f>
        <v>TRUE</v>
      </c>
      <c r="K292" s="17" t="b">
        <f>Github!M$28</f>
        <v>1</v>
      </c>
      <c r="L292" s="17" t="b">
        <f>Github!N$28</f>
        <v>0</v>
      </c>
      <c r="M292" s="17" t="str">
        <f>ROUND(Github!O$28, 2)&amp;"%"</f>
        <v>50.99%</v>
      </c>
      <c r="N292" s="17">
        <f>Github!P$28</f>
        <v>1194835</v>
      </c>
      <c r="O292" s="17">
        <f>Github!Q$28</f>
        <v>2343238</v>
      </c>
    </row>
    <row r="293" ht="18.0" customHeight="1">
      <c r="A293" s="17">
        <f>Github!J$736</f>
        <v>735</v>
      </c>
      <c r="B293" s="27" t="str">
        <f>HYPERLINK(CONCAT("http://leetcode.com/problems/",Github!C$736), Github!B$736)</f>
        <v>Asteroid Collision</v>
      </c>
      <c r="C293" s="17">
        <f>Github!F$736</f>
        <v>3271</v>
      </c>
      <c r="D293" s="17">
        <f>Github!G$736</f>
        <v>260</v>
      </c>
      <c r="E293" s="17">
        <f>Github!F$736+Github!G$736</f>
        <v>3531</v>
      </c>
      <c r="F293" s="18">
        <f t="shared" si="1"/>
        <v>12.58</v>
      </c>
      <c r="G293" s="17" t="str">
        <f>Github!H$736</f>
        <v>Algorithms</v>
      </c>
      <c r="H293" s="19" t="str">
        <f>SUBSTITUTE(Github!L$736, ";", ", ")</f>
        <v>Array, Stack, </v>
      </c>
      <c r="I293" s="17" t="str">
        <f>Github!E$736</f>
        <v>Medium</v>
      </c>
      <c r="J293" s="17" t="str">
        <f>IF(TRIM(Github!D$736)="TRUE","FALSE","TRUE")</f>
        <v>TRUE</v>
      </c>
      <c r="K293" s="17" t="b">
        <f>Github!M$736</f>
        <v>1</v>
      </c>
      <c r="L293" s="17" t="b">
        <f>Github!N$736</f>
        <v>0</v>
      </c>
      <c r="M293" s="17" t="str">
        <f>ROUND(Github!O$736, 2)&amp;"%"</f>
        <v>44.38%</v>
      </c>
      <c r="N293" s="17">
        <f>Github!P$736</f>
        <v>185423</v>
      </c>
      <c r="O293" s="17">
        <f>Github!Q$736</f>
        <v>417779</v>
      </c>
    </row>
    <row r="294" ht="18.0" customHeight="1">
      <c r="A294" s="17">
        <f>Github!J$87</f>
        <v>86</v>
      </c>
      <c r="B294" s="27" t="str">
        <f>HYPERLINK(CONCAT("http://leetcode.com/problems/",Github!C$87), Github!B$87)</f>
        <v>Partition List</v>
      </c>
      <c r="C294" s="17">
        <f>Github!F$87</f>
        <v>3258</v>
      </c>
      <c r="D294" s="17">
        <f>Github!G$87</f>
        <v>465</v>
      </c>
      <c r="E294" s="17">
        <f>Github!F$87+Github!G$87</f>
        <v>3723</v>
      </c>
      <c r="F294" s="18">
        <f t="shared" si="1"/>
        <v>7.01</v>
      </c>
      <c r="G294" s="17" t="str">
        <f>Github!H$87</f>
        <v>Algorithms</v>
      </c>
      <c r="H294" s="19" t="str">
        <f>SUBSTITUTE(Github!L$87, ";", ", ")</f>
        <v>Linked List, Two Pointers, </v>
      </c>
      <c r="I294" s="17" t="str">
        <f>Github!E$87</f>
        <v>Medium</v>
      </c>
      <c r="J294" s="17" t="str">
        <f>IF(TRIM(Github!D$87)="TRUE","FALSE","TRUE")</f>
        <v>TRUE</v>
      </c>
      <c r="K294" s="17" t="b">
        <f>Github!M$87</f>
        <v>1</v>
      </c>
      <c r="L294" s="17" t="b">
        <f>Github!N$87</f>
        <v>0</v>
      </c>
      <c r="M294" s="17" t="str">
        <f>ROUND(Github!O$87, 2)&amp;"%"</f>
        <v>47.51%</v>
      </c>
      <c r="N294" s="17">
        <f>Github!P$87</f>
        <v>329838</v>
      </c>
      <c r="O294" s="17">
        <f>Github!Q$87</f>
        <v>694209</v>
      </c>
    </row>
    <row r="295" ht="18.0" customHeight="1">
      <c r="A295" s="17">
        <f>Github!J$674</f>
        <v>673</v>
      </c>
      <c r="B295" s="27" t="str">
        <f>HYPERLINK(CONCAT("http://leetcode.com/problems/",Github!C$674), Github!B$674)</f>
        <v>Number of Longest Increasing Subsequence</v>
      </c>
      <c r="C295" s="17">
        <f>Github!F$674</f>
        <v>3239</v>
      </c>
      <c r="D295" s="17">
        <f>Github!G$674</f>
        <v>161</v>
      </c>
      <c r="E295" s="17">
        <f>Github!F$674+Github!G$674</f>
        <v>3400</v>
      </c>
      <c r="F295" s="18">
        <f t="shared" si="1"/>
        <v>20.12</v>
      </c>
      <c r="G295" s="17" t="str">
        <f>Github!H$674</f>
        <v>Algorithms</v>
      </c>
      <c r="H295" s="19" t="str">
        <f>SUBSTITUTE(Github!L$674, ";", ", ")</f>
        <v>Array, Dynamic Programming, Binary Indexed Tree, Segment Tree, </v>
      </c>
      <c r="I295" s="17" t="str">
        <f>Github!E$674</f>
        <v>Medium</v>
      </c>
      <c r="J295" s="17" t="str">
        <f>IF(TRIM(Github!D$674)="TRUE","FALSE","TRUE")</f>
        <v>TRUE</v>
      </c>
      <c r="K295" s="17" t="b">
        <f>Github!M$674</f>
        <v>0</v>
      </c>
      <c r="L295" s="17" t="b">
        <f>Github!N$674</f>
        <v>0</v>
      </c>
      <c r="M295" s="17" t="str">
        <f>ROUND(Github!O$674, 2)&amp;"%"</f>
        <v>40.57%</v>
      </c>
      <c r="N295" s="17">
        <f>Github!P$674</f>
        <v>105492</v>
      </c>
      <c r="O295" s="17">
        <f>Github!Q$674</f>
        <v>260046</v>
      </c>
    </row>
    <row r="296" ht="18.0" customHeight="1">
      <c r="A296" s="17">
        <f>Github!J$126</f>
        <v>125</v>
      </c>
      <c r="B296" s="27" t="str">
        <f>HYPERLINK(CONCAT("http://leetcode.com/problems/",Github!C$126), Github!B$126)</f>
        <v>Valid Palindrome</v>
      </c>
      <c r="C296" s="17">
        <f>Github!F$126</f>
        <v>3223</v>
      </c>
      <c r="D296" s="17">
        <f>Github!G$126</f>
        <v>4936</v>
      </c>
      <c r="E296" s="17">
        <f>Github!F$126+Github!G$126</f>
        <v>8159</v>
      </c>
      <c r="F296" s="18">
        <f t="shared" si="1"/>
        <v>0.65</v>
      </c>
      <c r="G296" s="17" t="str">
        <f>Github!H$126</f>
        <v>Algorithms</v>
      </c>
      <c r="H296" s="19" t="str">
        <f>SUBSTITUTE(Github!L$126, ";", ", ")</f>
        <v>Two Pointers, String, </v>
      </c>
      <c r="I296" s="17" t="str">
        <f>Github!E$126</f>
        <v>Easy</v>
      </c>
      <c r="J296" s="17" t="str">
        <f>IF(TRIM(Github!D$126)="TRUE","FALSE","TRUE")</f>
        <v>TRUE</v>
      </c>
      <c r="K296" s="17" t="b">
        <f>Github!M$126</f>
        <v>1</v>
      </c>
      <c r="L296" s="17" t="b">
        <f>Github!N$126</f>
        <v>0</v>
      </c>
      <c r="M296" s="17" t="str">
        <f>ROUND(Github!O$126, 2)&amp;"%"</f>
        <v>41.09%</v>
      </c>
      <c r="N296" s="17">
        <f>Github!P$126</f>
        <v>1168555</v>
      </c>
      <c r="O296" s="17">
        <f>Github!Q$126</f>
        <v>2843833</v>
      </c>
    </row>
    <row r="297" ht="18.0" customHeight="1">
      <c r="A297" s="17">
        <f>Github!J$908</f>
        <v>907</v>
      </c>
      <c r="B297" s="27" t="str">
        <f>HYPERLINK(CONCAT("http://leetcode.com/problems/",Github!C$908), Github!B$908)</f>
        <v>Sum of Subarray Minimums</v>
      </c>
      <c r="C297" s="17">
        <f>Github!F$908</f>
        <v>3215</v>
      </c>
      <c r="D297" s="17">
        <f>Github!G$908</f>
        <v>207</v>
      </c>
      <c r="E297" s="17">
        <f>Github!F$908+Github!G$908</f>
        <v>3422</v>
      </c>
      <c r="F297" s="18">
        <f t="shared" si="1"/>
        <v>15.53</v>
      </c>
      <c r="G297" s="17" t="str">
        <f>Github!H$908</f>
        <v>Algorithms</v>
      </c>
      <c r="H297" s="19" t="str">
        <f>SUBSTITUTE(Github!L$908, ";", ", ")</f>
        <v>Array, Dynamic Programming, Stack, Monotonic Stack, </v>
      </c>
      <c r="I297" s="17" t="str">
        <f>Github!E$908</f>
        <v>Medium</v>
      </c>
      <c r="J297" s="17" t="str">
        <f>IF(TRIM(Github!D$908)="TRUE","FALSE","TRUE")</f>
        <v>TRUE</v>
      </c>
      <c r="K297" s="17" t="b">
        <f>Github!M$908</f>
        <v>0</v>
      </c>
      <c r="L297" s="17" t="b">
        <f>Github!N$908</f>
        <v>0</v>
      </c>
      <c r="M297" s="17" t="str">
        <f>ROUND(Github!O$908, 2)&amp;"%"</f>
        <v>33.75%</v>
      </c>
      <c r="N297" s="17">
        <f>Github!P$908</f>
        <v>68671</v>
      </c>
      <c r="O297" s="17">
        <f>Github!Q$908</f>
        <v>203446</v>
      </c>
    </row>
    <row r="298" ht="18.0" customHeight="1">
      <c r="A298" s="17">
        <f>Github!J$378</f>
        <v>377</v>
      </c>
      <c r="B298" s="27" t="str">
        <f>HYPERLINK(CONCAT("http://leetcode.com/problems/",Github!C$378), Github!B$378)</f>
        <v>Combination Sum IV</v>
      </c>
      <c r="C298" s="17">
        <f>Github!F$378</f>
        <v>3212</v>
      </c>
      <c r="D298" s="17">
        <f>Github!G$378</f>
        <v>371</v>
      </c>
      <c r="E298" s="17">
        <f>Github!F$378+Github!G$378</f>
        <v>3583</v>
      </c>
      <c r="F298" s="18">
        <f t="shared" si="1"/>
        <v>8.66</v>
      </c>
      <c r="G298" s="17" t="str">
        <f>Github!H$378</f>
        <v>Algorithms</v>
      </c>
      <c r="H298" s="19" t="str">
        <f>SUBSTITUTE(Github!L$378, ";", ", ")</f>
        <v>Array, Dynamic Programming, </v>
      </c>
      <c r="I298" s="17" t="str">
        <f>Github!E$378</f>
        <v>Medium</v>
      </c>
      <c r="J298" s="17" t="str">
        <f>IF(TRIM(Github!D$378)="TRUE","FALSE","TRUE")</f>
        <v>TRUE</v>
      </c>
      <c r="K298" s="17" t="b">
        <f>Github!M$378</f>
        <v>1</v>
      </c>
      <c r="L298" s="17" t="b">
        <f>Github!N$378</f>
        <v>0</v>
      </c>
      <c r="M298" s="17" t="str">
        <f>ROUND(Github!O$378, 2)&amp;"%"</f>
        <v>49.06%</v>
      </c>
      <c r="N298" s="17">
        <f>Github!P$378</f>
        <v>230147</v>
      </c>
      <c r="O298" s="17">
        <f>Github!Q$378</f>
        <v>469149</v>
      </c>
    </row>
    <row r="299" ht="18.0" customHeight="1">
      <c r="A299" s="17">
        <f>Github!J$679</f>
        <v>678</v>
      </c>
      <c r="B299" s="27" t="str">
        <f>HYPERLINK(CONCAT("http://leetcode.com/problems/",Github!C$679), Github!B$679)</f>
        <v>Valid Parenthesis String</v>
      </c>
      <c r="C299" s="17">
        <f>Github!F$679</f>
        <v>3194</v>
      </c>
      <c r="D299" s="17">
        <f>Github!G$679</f>
        <v>79</v>
      </c>
      <c r="E299" s="17">
        <f>Github!F$679+Github!G$679</f>
        <v>3273</v>
      </c>
      <c r="F299" s="18">
        <f t="shared" si="1"/>
        <v>40.43</v>
      </c>
      <c r="G299" s="17" t="str">
        <f>Github!H$679</f>
        <v>Algorithms</v>
      </c>
      <c r="H299" s="19" t="str">
        <f>SUBSTITUTE(Github!L$679, ";", ", ")</f>
        <v>String, Dynamic Programming, Stack, Greedy, </v>
      </c>
      <c r="I299" s="17" t="str">
        <f>Github!E$679</f>
        <v>Medium</v>
      </c>
      <c r="J299" s="17" t="str">
        <f>IF(TRIM(Github!D$679)="TRUE","FALSE","TRUE")</f>
        <v>TRUE</v>
      </c>
      <c r="K299" s="17" t="b">
        <f>Github!M$679</f>
        <v>1</v>
      </c>
      <c r="L299" s="17" t="b">
        <f>Github!N$679</f>
        <v>0</v>
      </c>
      <c r="M299" s="17" t="str">
        <f>ROUND(Github!O$679, 2)&amp;"%"</f>
        <v>33.03%</v>
      </c>
      <c r="N299" s="17">
        <f>Github!P$679</f>
        <v>162446</v>
      </c>
      <c r="O299" s="17">
        <f>Github!Q$679</f>
        <v>491847</v>
      </c>
    </row>
    <row r="300" ht="18.0" customHeight="1">
      <c r="A300" s="17">
        <f>Github!J$998</f>
        <v>997</v>
      </c>
      <c r="B300" s="27" t="str">
        <f>HYPERLINK(CONCAT("http://leetcode.com/problems/",Github!C$998), Github!B$998)</f>
        <v>Find the Town Judge</v>
      </c>
      <c r="C300" s="17">
        <f>Github!F$998</f>
        <v>3191</v>
      </c>
      <c r="D300" s="17">
        <f>Github!G$998</f>
        <v>241</v>
      </c>
      <c r="E300" s="17">
        <f>Github!F$998+Github!G$998</f>
        <v>3432</v>
      </c>
      <c r="F300" s="18">
        <f t="shared" si="1"/>
        <v>13.24</v>
      </c>
      <c r="G300" s="17" t="str">
        <f>Github!H$998</f>
        <v>Algorithms</v>
      </c>
      <c r="H300" s="19" t="str">
        <f>SUBSTITUTE(Github!L$998, ";", ", ")</f>
        <v>Array, Hash Table, Graph, </v>
      </c>
      <c r="I300" s="17" t="str">
        <f>Github!E$998</f>
        <v>Easy</v>
      </c>
      <c r="J300" s="17" t="str">
        <f>IF(TRIM(Github!D$998)="TRUE","FALSE","TRUE")</f>
        <v>TRUE</v>
      </c>
      <c r="K300" s="17" t="b">
        <f>Github!M$998</f>
        <v>1</v>
      </c>
      <c r="L300" s="17" t="b">
        <f>Github!N$998</f>
        <v>0</v>
      </c>
      <c r="M300" s="17" t="str">
        <f>ROUND(Github!O$998, 2)&amp;"%"</f>
        <v>49.93%</v>
      </c>
      <c r="N300" s="17">
        <f>Github!P$998</f>
        <v>262311</v>
      </c>
      <c r="O300" s="17">
        <f>Github!Q$998</f>
        <v>525360</v>
      </c>
    </row>
    <row r="301" ht="18.0" customHeight="1">
      <c r="A301" s="17">
        <f>Github!J$133</f>
        <v>132</v>
      </c>
      <c r="B301" s="27" t="str">
        <f>HYPERLINK(CONCAT("http://leetcode.com/problems/",Github!C$133), Github!B$133)</f>
        <v>Palindrome Partitioning II</v>
      </c>
      <c r="C301" s="17">
        <f>Github!F$133</f>
        <v>3167</v>
      </c>
      <c r="D301" s="17">
        <f>Github!G$133</f>
        <v>77</v>
      </c>
      <c r="E301" s="17">
        <f>Github!F$133+Github!G$133</f>
        <v>3244</v>
      </c>
      <c r="F301" s="18">
        <f t="shared" si="1"/>
        <v>41.13</v>
      </c>
      <c r="G301" s="17" t="str">
        <f>Github!H$133</f>
        <v>Algorithms</v>
      </c>
      <c r="H301" s="19" t="str">
        <f>SUBSTITUTE(Github!L$133, ";", ", ")</f>
        <v>String, Dynamic Programming, </v>
      </c>
      <c r="I301" s="17" t="str">
        <f>Github!E$133</f>
        <v>Hard</v>
      </c>
      <c r="J301" s="17" t="str">
        <f>IF(TRIM(Github!D$133)="TRUE","FALSE","TRUE")</f>
        <v>TRUE</v>
      </c>
      <c r="K301" s="17" t="b">
        <f>Github!M$133</f>
        <v>1</v>
      </c>
      <c r="L301" s="17" t="b">
        <f>Github!N$133</f>
        <v>0</v>
      </c>
      <c r="M301" s="17" t="str">
        <f>ROUND(Github!O$133, 2)&amp;"%"</f>
        <v>33.07%</v>
      </c>
      <c r="N301" s="17">
        <f>Github!P$133</f>
        <v>198026</v>
      </c>
      <c r="O301" s="17">
        <f>Github!Q$133</f>
        <v>598848</v>
      </c>
    </row>
    <row r="302" ht="18.0" customHeight="1">
      <c r="A302" s="17">
        <f>Github!J$539</f>
        <v>538</v>
      </c>
      <c r="B302" s="27" t="str">
        <f>HYPERLINK(CONCAT("http://leetcode.com/problems/",Github!C$539), Github!B$539)</f>
        <v>Convert BST to Greater Tree</v>
      </c>
      <c r="C302" s="17">
        <f>Github!F$539</f>
        <v>3150</v>
      </c>
      <c r="D302" s="17">
        <f>Github!G$539</f>
        <v>148</v>
      </c>
      <c r="E302" s="17">
        <f>Github!F$539+Github!G$539</f>
        <v>3298</v>
      </c>
      <c r="F302" s="18">
        <f t="shared" si="1"/>
        <v>21.28</v>
      </c>
      <c r="G302" s="17" t="str">
        <f>Github!H$539</f>
        <v>Algorithms</v>
      </c>
      <c r="H302" s="19" t="str">
        <f>SUBSTITUTE(Github!L$539, ";", ", ")</f>
        <v>Tree, Depth-First Search, Binary Search Tree, Binary Tree, </v>
      </c>
      <c r="I302" s="17" t="str">
        <f>Github!E$539</f>
        <v>Medium</v>
      </c>
      <c r="J302" s="17" t="str">
        <f>IF(TRIM(Github!D$539)="TRUE","FALSE","TRUE")</f>
        <v>TRUE</v>
      </c>
      <c r="K302" s="17" t="b">
        <f>Github!M$539</f>
        <v>1</v>
      </c>
      <c r="L302" s="17" t="b">
        <f>Github!N$539</f>
        <v>0</v>
      </c>
      <c r="M302" s="17" t="str">
        <f>ROUND(Github!O$539, 2)&amp;"%"</f>
        <v>62.58%</v>
      </c>
      <c r="N302" s="17">
        <f>Github!P$539</f>
        <v>192768</v>
      </c>
      <c r="O302" s="17">
        <f>Github!Q$539</f>
        <v>308059</v>
      </c>
    </row>
    <row r="303" ht="18.0" customHeight="1">
      <c r="A303" s="17">
        <f>Github!J$116</f>
        <v>115</v>
      </c>
      <c r="B303" s="27" t="str">
        <f>HYPERLINK(CONCAT("http://leetcode.com/problems/",Github!C$116), Github!B$116)</f>
        <v>Distinct Subsequences</v>
      </c>
      <c r="C303" s="17">
        <f>Github!F$116</f>
        <v>3149</v>
      </c>
      <c r="D303" s="17">
        <f>Github!G$116</f>
        <v>140</v>
      </c>
      <c r="E303" s="17">
        <f>Github!F$116+Github!G$116</f>
        <v>3289</v>
      </c>
      <c r="F303" s="18">
        <f t="shared" si="1"/>
        <v>22.49</v>
      </c>
      <c r="G303" s="17" t="str">
        <f>Github!H$116</f>
        <v>Algorithms</v>
      </c>
      <c r="H303" s="19" t="str">
        <f>SUBSTITUTE(Github!L$116, ";", ", ")</f>
        <v>String, Dynamic Programming, </v>
      </c>
      <c r="I303" s="17" t="str">
        <f>Github!E$116</f>
        <v>Hard</v>
      </c>
      <c r="J303" s="17" t="str">
        <f>IF(TRIM(Github!D$116)="TRUE","FALSE","TRUE")</f>
        <v>TRUE</v>
      </c>
      <c r="K303" s="17" t="b">
        <f>Github!M$116</f>
        <v>1</v>
      </c>
      <c r="L303" s="17" t="b">
        <f>Github!N$116</f>
        <v>0</v>
      </c>
      <c r="M303" s="17" t="str">
        <f>ROUND(Github!O$116, 2)&amp;"%"</f>
        <v>42.06%</v>
      </c>
      <c r="N303" s="17">
        <f>Github!P$116</f>
        <v>210240</v>
      </c>
      <c r="O303" s="17">
        <f>Github!Q$116</f>
        <v>499808</v>
      </c>
    </row>
    <row r="304" ht="18.0" customHeight="1">
      <c r="A304" s="17">
        <f>Github!J$172</f>
        <v>171</v>
      </c>
      <c r="B304" s="27" t="str">
        <f>HYPERLINK(CONCAT("http://leetcode.com/problems/",Github!C$172), Github!B$172)</f>
        <v>Excel Sheet Column Number</v>
      </c>
      <c r="C304" s="17">
        <f>Github!F$172</f>
        <v>3141</v>
      </c>
      <c r="D304" s="17">
        <f>Github!G$172</f>
        <v>263</v>
      </c>
      <c r="E304" s="17">
        <f>Github!F$172+Github!G$172</f>
        <v>3404</v>
      </c>
      <c r="F304" s="18">
        <f t="shared" si="1"/>
        <v>11.94</v>
      </c>
      <c r="G304" s="17" t="str">
        <f>Github!H$172</f>
        <v>Algorithms</v>
      </c>
      <c r="H304" s="19" t="str">
        <f>SUBSTITUTE(Github!L$172, ";", ", ")</f>
        <v>Math, String, </v>
      </c>
      <c r="I304" s="17" t="str">
        <f>Github!E$172</f>
        <v>Easy</v>
      </c>
      <c r="J304" s="17" t="str">
        <f>IF(TRIM(Github!D$172)="TRUE","FALSE","TRUE")</f>
        <v>TRUE</v>
      </c>
      <c r="K304" s="17" t="b">
        <f>Github!M$172</f>
        <v>1</v>
      </c>
      <c r="L304" s="17" t="b">
        <f>Github!N$172</f>
        <v>0</v>
      </c>
      <c r="M304" s="17" t="str">
        <f>ROUND(Github!O$172, 2)&amp;"%"</f>
        <v>60.45%</v>
      </c>
      <c r="N304" s="17">
        <f>Github!P$172</f>
        <v>486964</v>
      </c>
      <c r="O304" s="17">
        <f>Github!Q$172</f>
        <v>805558</v>
      </c>
    </row>
    <row r="305" ht="18.0" customHeight="1">
      <c r="A305" s="17">
        <f>Github!J$460</f>
        <v>459</v>
      </c>
      <c r="B305" s="27" t="str">
        <f>HYPERLINK(CONCAT("http://leetcode.com/problems/",Github!C$460), Github!B$460)</f>
        <v>Repeated Substring Pattern</v>
      </c>
      <c r="C305" s="17">
        <f>Github!F$460</f>
        <v>3131</v>
      </c>
      <c r="D305" s="17">
        <f>Github!G$460</f>
        <v>302</v>
      </c>
      <c r="E305" s="17">
        <f>Github!F$460+Github!G$460</f>
        <v>3433</v>
      </c>
      <c r="F305" s="18">
        <f t="shared" si="1"/>
        <v>10.37</v>
      </c>
      <c r="G305" s="17" t="str">
        <f>Github!H$460</f>
        <v>Algorithms</v>
      </c>
      <c r="H305" s="19" t="str">
        <f>SUBSTITUTE(Github!L$460, ";", ", ")</f>
        <v>String, String Matching, </v>
      </c>
      <c r="I305" s="17" t="str">
        <f>Github!E$460</f>
        <v>Easy</v>
      </c>
      <c r="J305" s="17" t="str">
        <f>IF(TRIM(Github!D$460)="TRUE","FALSE","TRUE")</f>
        <v>TRUE</v>
      </c>
      <c r="K305" s="17" t="b">
        <f>Github!M$460</f>
        <v>0</v>
      </c>
      <c r="L305" s="17" t="b">
        <f>Github!N$460</f>
        <v>0</v>
      </c>
      <c r="M305" s="17" t="str">
        <f>ROUND(Github!O$460, 2)&amp;"%"</f>
        <v>43.52%</v>
      </c>
      <c r="N305" s="17">
        <f>Github!P$460</f>
        <v>230703</v>
      </c>
      <c r="O305" s="17">
        <f>Github!Q$460</f>
        <v>530112</v>
      </c>
    </row>
    <row r="306" ht="18.0" customHeight="1">
      <c r="A306" s="17">
        <f>Github!J$1049</f>
        <v>1048</v>
      </c>
      <c r="B306" s="27" t="str">
        <f>HYPERLINK(CONCAT("http://leetcode.com/problems/",Github!C$1049), Github!B$1049)</f>
        <v>Longest String Chain</v>
      </c>
      <c r="C306" s="17">
        <f>Github!F$1049</f>
        <v>3132</v>
      </c>
      <c r="D306" s="17">
        <f>Github!G$1049</f>
        <v>158</v>
      </c>
      <c r="E306" s="17">
        <f>Github!F$1049+Github!G$1049</f>
        <v>3290</v>
      </c>
      <c r="F306" s="18">
        <f t="shared" si="1"/>
        <v>19.82</v>
      </c>
      <c r="G306" s="17" t="str">
        <f>Github!H$1049</f>
        <v>Algorithms</v>
      </c>
      <c r="H306" s="19" t="str">
        <f>SUBSTITUTE(Github!L$1049, ";", ", ")</f>
        <v>Array, Hash Table, Two Pointers, String, Dynamic Programming, </v>
      </c>
      <c r="I306" s="17" t="str">
        <f>Github!E$1049</f>
        <v>Medium</v>
      </c>
      <c r="J306" s="17" t="str">
        <f>IF(TRIM(Github!D$1049)="TRUE","FALSE","TRUE")</f>
        <v>TRUE</v>
      </c>
      <c r="K306" s="17" t="b">
        <f>Github!M$1049</f>
        <v>1</v>
      </c>
      <c r="L306" s="17" t="b">
        <f>Github!N$1049</f>
        <v>0</v>
      </c>
      <c r="M306" s="17" t="str">
        <f>ROUND(Github!O$1049, 2)&amp;"%"</f>
        <v>57.67%</v>
      </c>
      <c r="N306" s="17">
        <f>Github!P$1049</f>
        <v>188220</v>
      </c>
      <c r="O306" s="17">
        <f>Github!Q$1049</f>
        <v>326361</v>
      </c>
    </row>
    <row r="307" ht="18.0" customHeight="1">
      <c r="A307" s="17">
        <f>Github!J$1278</f>
        <v>1277</v>
      </c>
      <c r="B307" s="27" t="str">
        <f>HYPERLINK(CONCAT("http://leetcode.com/problems/",Github!C$1278), Github!B$1278)</f>
        <v>Count Square Submatrices with All Ones</v>
      </c>
      <c r="C307" s="17">
        <f>Github!F$1278</f>
        <v>3121</v>
      </c>
      <c r="D307" s="17">
        <f>Github!G$1278</f>
        <v>52</v>
      </c>
      <c r="E307" s="17">
        <f>Github!F$1278+Github!G$1278</f>
        <v>3173</v>
      </c>
      <c r="F307" s="18">
        <f t="shared" si="1"/>
        <v>60.02</v>
      </c>
      <c r="G307" s="17" t="str">
        <f>Github!H$1278</f>
        <v>Algorithms</v>
      </c>
      <c r="H307" s="19" t="str">
        <f>SUBSTITUTE(Github!L$1278, ";", ", ")</f>
        <v>Array, Dynamic Programming, Matrix, </v>
      </c>
      <c r="I307" s="17" t="str">
        <f>Github!E$1278</f>
        <v>Medium</v>
      </c>
      <c r="J307" s="17" t="str">
        <f>IF(TRIM(Github!D$1278)="TRUE","FALSE","TRUE")</f>
        <v>TRUE</v>
      </c>
      <c r="K307" s="17" t="b">
        <f>Github!M$1278</f>
        <v>0</v>
      </c>
      <c r="L307" s="17" t="b">
        <f>Github!N$1278</f>
        <v>0</v>
      </c>
      <c r="M307" s="17" t="str">
        <f>ROUND(Github!O$1278, 2)&amp;"%"</f>
        <v>74.14%</v>
      </c>
      <c r="N307" s="17">
        <f>Github!P$1278</f>
        <v>155277</v>
      </c>
      <c r="O307" s="17">
        <f>Github!Q$1278</f>
        <v>209425</v>
      </c>
    </row>
    <row r="308" ht="18.0" customHeight="1">
      <c r="A308" s="17">
        <f>Github!J$785</f>
        <v>784</v>
      </c>
      <c r="B308" s="27" t="str">
        <f>HYPERLINK(CONCAT("http://leetcode.com/problems/",Github!C$785), Github!B$785)</f>
        <v>Letter Case Permutation</v>
      </c>
      <c r="C308" s="17">
        <f>Github!F$785</f>
        <v>3117</v>
      </c>
      <c r="D308" s="17">
        <f>Github!G$785</f>
        <v>141</v>
      </c>
      <c r="E308" s="17">
        <f>Github!F$785+Github!G$785</f>
        <v>3258</v>
      </c>
      <c r="F308" s="18">
        <f t="shared" si="1"/>
        <v>22.11</v>
      </c>
      <c r="G308" s="17" t="str">
        <f>Github!H$785</f>
        <v>Algorithms</v>
      </c>
      <c r="H308" s="19" t="str">
        <f>SUBSTITUTE(Github!L$785, ";", ", ")</f>
        <v>String, Backtracking, Bit Manipulation, </v>
      </c>
      <c r="I308" s="17" t="str">
        <f>Github!E$785</f>
        <v>Medium</v>
      </c>
      <c r="J308" s="17" t="str">
        <f>IF(TRIM(Github!D$785)="TRUE","FALSE","TRUE")</f>
        <v>TRUE</v>
      </c>
      <c r="K308" s="17" t="b">
        <f>Github!M$785</f>
        <v>1</v>
      </c>
      <c r="L308" s="17" t="b">
        <f>Github!N$785</f>
        <v>0</v>
      </c>
      <c r="M308" s="17" t="str">
        <f>ROUND(Github!O$785, 2)&amp;"%"</f>
        <v>71.92%</v>
      </c>
      <c r="N308" s="17">
        <f>Github!P$785</f>
        <v>200436</v>
      </c>
      <c r="O308" s="17">
        <f>Github!Q$785</f>
        <v>278700</v>
      </c>
    </row>
    <row r="309" ht="18.0" customHeight="1">
      <c r="A309" s="17">
        <f>Github!J$457</f>
        <v>456</v>
      </c>
      <c r="B309" s="27" t="str">
        <f>HYPERLINK(CONCAT("http://leetcode.com/problems/",Github!C$457), Github!B$457)</f>
        <v>132 Pattern</v>
      </c>
      <c r="C309" s="17">
        <f>Github!F$457</f>
        <v>3112</v>
      </c>
      <c r="D309" s="17">
        <f>Github!G$457</f>
        <v>171</v>
      </c>
      <c r="E309" s="17">
        <f>Github!F$457+Github!G$457</f>
        <v>3283</v>
      </c>
      <c r="F309" s="18">
        <f t="shared" si="1"/>
        <v>18.2</v>
      </c>
      <c r="G309" s="17" t="str">
        <f>Github!H$457</f>
        <v>Algorithms</v>
      </c>
      <c r="H309" s="19" t="str">
        <f>SUBSTITUTE(Github!L$457, ";", ", ")</f>
        <v>Array, Binary Search, Stack, Monotonic Stack, Ordered Set, </v>
      </c>
      <c r="I309" s="17" t="str">
        <f>Github!E$457</f>
        <v>Medium</v>
      </c>
      <c r="J309" s="17" t="str">
        <f>IF(TRIM(Github!D$457)="TRUE","FALSE","TRUE")</f>
        <v>TRUE</v>
      </c>
      <c r="K309" s="17" t="b">
        <f>Github!M$457</f>
        <v>1</v>
      </c>
      <c r="L309" s="17" t="b">
        <f>Github!N$457</f>
        <v>1</v>
      </c>
      <c r="M309" s="17" t="str">
        <f>ROUND(Github!O$457, 2)&amp;"%"</f>
        <v>30.92%</v>
      </c>
      <c r="N309" s="17">
        <f>Github!P$457</f>
        <v>104619</v>
      </c>
      <c r="O309" s="17">
        <f>Github!Q$457</f>
        <v>338402</v>
      </c>
    </row>
    <row r="310" ht="18.0" customHeight="1">
      <c r="A310" s="17">
        <f>Github!J$405</f>
        <v>404</v>
      </c>
      <c r="B310" s="27" t="str">
        <f>HYPERLINK(CONCAT("http://leetcode.com/problems/",Github!C$405), Github!B$405)</f>
        <v>Sum of Left Leaves</v>
      </c>
      <c r="C310" s="17">
        <f>Github!F$405</f>
        <v>3108</v>
      </c>
      <c r="D310" s="17">
        <f>Github!G$405</f>
        <v>240</v>
      </c>
      <c r="E310" s="17">
        <f>Github!F$405+Github!G$405</f>
        <v>3348</v>
      </c>
      <c r="F310" s="18">
        <f t="shared" si="1"/>
        <v>12.95</v>
      </c>
      <c r="G310" s="17" t="str">
        <f>Github!H$405</f>
        <v>Algorithms</v>
      </c>
      <c r="H310" s="19" t="str">
        <f>SUBSTITUTE(Github!L$405, ";", ", ")</f>
        <v>Tree, Depth-First Search, Breadth-First Search, Binary Tree, </v>
      </c>
      <c r="I310" s="17" t="str">
        <f>Github!E$405</f>
        <v>Easy</v>
      </c>
      <c r="J310" s="17" t="str">
        <f>IF(TRIM(Github!D$405)="TRUE","FALSE","TRUE")</f>
        <v>TRUE</v>
      </c>
      <c r="K310" s="17" t="b">
        <f>Github!M$405</f>
        <v>1</v>
      </c>
      <c r="L310" s="17" t="b">
        <f>Github!N$405</f>
        <v>0</v>
      </c>
      <c r="M310" s="17" t="str">
        <f>ROUND(Github!O$405, 2)&amp;"%"</f>
        <v>54.73%</v>
      </c>
      <c r="N310" s="17">
        <f>Github!P$405</f>
        <v>331957</v>
      </c>
      <c r="O310" s="17">
        <f>Github!Q$405</f>
        <v>606491</v>
      </c>
    </row>
    <row r="311" ht="18.0" customHeight="1">
      <c r="A311" s="17">
        <f>Github!J$702</f>
        <v>701</v>
      </c>
      <c r="B311" s="27" t="str">
        <f>HYPERLINK(CONCAT("http://leetcode.com/problems/",Github!C$702), Github!B$702)</f>
        <v>Insert into a Binary Search Tree</v>
      </c>
      <c r="C311" s="17">
        <f>Github!F$702</f>
        <v>3094</v>
      </c>
      <c r="D311" s="17">
        <f>Github!G$702</f>
        <v>133</v>
      </c>
      <c r="E311" s="17">
        <f>Github!F$702+Github!G$702</f>
        <v>3227</v>
      </c>
      <c r="F311" s="18">
        <f t="shared" si="1"/>
        <v>23.26</v>
      </c>
      <c r="G311" s="17" t="str">
        <f>Github!H$702</f>
        <v>Algorithms</v>
      </c>
      <c r="H311" s="19" t="str">
        <f>SUBSTITUTE(Github!L$702, ";", ", ")</f>
        <v>Tree, Binary Search Tree, Binary Tree, </v>
      </c>
      <c r="I311" s="17" t="str">
        <f>Github!E$702</f>
        <v>Medium</v>
      </c>
      <c r="J311" s="17" t="str">
        <f>IF(TRIM(Github!D$702)="TRUE","FALSE","TRUE")</f>
        <v>TRUE</v>
      </c>
      <c r="K311" s="17" t="b">
        <f>Github!M$702</f>
        <v>1</v>
      </c>
      <c r="L311" s="17" t="b">
        <f>Github!N$702</f>
        <v>0</v>
      </c>
      <c r="M311" s="17" t="str">
        <f>ROUND(Github!O$702, 2)&amp;"%"</f>
        <v>74.97%</v>
      </c>
      <c r="N311" s="17">
        <f>Github!P$702</f>
        <v>287311</v>
      </c>
      <c r="O311" s="17">
        <f>Github!Q$702</f>
        <v>383235</v>
      </c>
    </row>
    <row r="312" ht="18.0" customHeight="1">
      <c r="A312" s="17">
        <f>Github!J$510</f>
        <v>509</v>
      </c>
      <c r="B312" s="27" t="str">
        <f>HYPERLINK(CONCAT("http://leetcode.com/problems/",Github!C$510), Github!B$510)</f>
        <v>Fibonacci Number</v>
      </c>
      <c r="C312" s="17">
        <f>Github!F$510</f>
        <v>3084</v>
      </c>
      <c r="D312" s="17">
        <f>Github!G$510</f>
        <v>256</v>
      </c>
      <c r="E312" s="17">
        <f>Github!F$510+Github!G$510</f>
        <v>3340</v>
      </c>
      <c r="F312" s="18">
        <f t="shared" si="1"/>
        <v>12.05</v>
      </c>
      <c r="G312" s="17" t="str">
        <f>Github!H$510</f>
        <v>Algorithms</v>
      </c>
      <c r="H312" s="19" t="str">
        <f>SUBSTITUTE(Github!L$510, ";", ", ")</f>
        <v>Math, Dynamic Programming, Recursion, Memoization, </v>
      </c>
      <c r="I312" s="17" t="str">
        <f>Github!E$510</f>
        <v>Easy</v>
      </c>
      <c r="J312" s="17" t="str">
        <f>IF(TRIM(Github!D$510)="TRUE","FALSE","TRUE")</f>
        <v>TRUE</v>
      </c>
      <c r="K312" s="17" t="b">
        <f>Github!M$510</f>
        <v>1</v>
      </c>
      <c r="L312" s="17" t="b">
        <f>Github!N$510</f>
        <v>0</v>
      </c>
      <c r="M312" s="17" t="str">
        <f>ROUND(Github!O$510, 2)&amp;"%"</f>
        <v>68.09%</v>
      </c>
      <c r="N312" s="17">
        <f>Github!P$510</f>
        <v>689399</v>
      </c>
      <c r="O312" s="17">
        <f>Github!Q$510</f>
        <v>1012518</v>
      </c>
    </row>
    <row r="313" ht="18.0" customHeight="1">
      <c r="A313" s="17">
        <f>Github!J$369</f>
        <v>368</v>
      </c>
      <c r="B313" s="27" t="str">
        <f>HYPERLINK(CONCAT("http://leetcode.com/problems/",Github!C$369), Github!B$369)</f>
        <v>Largest Divisible Subset</v>
      </c>
      <c r="C313" s="17">
        <f>Github!F$369</f>
        <v>3045</v>
      </c>
      <c r="D313" s="17">
        <f>Github!G$369</f>
        <v>141</v>
      </c>
      <c r="E313" s="17">
        <f>Github!F$369+Github!G$369</f>
        <v>3186</v>
      </c>
      <c r="F313" s="18">
        <f t="shared" si="1"/>
        <v>21.6</v>
      </c>
      <c r="G313" s="17" t="str">
        <f>Github!H$369</f>
        <v>Algorithms</v>
      </c>
      <c r="H313" s="19" t="str">
        <f>SUBSTITUTE(Github!L$369, ";", ", ")</f>
        <v>Array, Math, Dynamic Programming, Sorting, </v>
      </c>
      <c r="I313" s="17" t="str">
        <f>Github!E$369</f>
        <v>Medium</v>
      </c>
      <c r="J313" s="17" t="str">
        <f>IF(TRIM(Github!D$369)="TRUE","FALSE","TRUE")</f>
        <v>TRUE</v>
      </c>
      <c r="K313" s="17" t="b">
        <f>Github!M$369</f>
        <v>1</v>
      </c>
      <c r="L313" s="17" t="b">
        <f>Github!N$369</f>
        <v>0</v>
      </c>
      <c r="M313" s="17" t="str">
        <f>ROUND(Github!O$369, 2)&amp;"%"</f>
        <v>40.42%</v>
      </c>
      <c r="N313" s="17">
        <f>Github!P$369</f>
        <v>146937</v>
      </c>
      <c r="O313" s="17">
        <f>Github!Q$369</f>
        <v>363513</v>
      </c>
    </row>
    <row r="314" ht="18.0" customHeight="1">
      <c r="A314" s="17">
        <f>Github!J$857</f>
        <v>856</v>
      </c>
      <c r="B314" s="27" t="str">
        <f>HYPERLINK(CONCAT("http://leetcode.com/problems/",Github!C$857), Github!B$857)</f>
        <v>Score of Parentheses</v>
      </c>
      <c r="C314" s="17">
        <f>Github!F$857</f>
        <v>3046</v>
      </c>
      <c r="D314" s="17">
        <f>Github!G$857</f>
        <v>88</v>
      </c>
      <c r="E314" s="17">
        <f>Github!F$857+Github!G$857</f>
        <v>3134</v>
      </c>
      <c r="F314" s="18">
        <f t="shared" si="1"/>
        <v>34.61</v>
      </c>
      <c r="G314" s="17" t="str">
        <f>Github!H$857</f>
        <v>Algorithms</v>
      </c>
      <c r="H314" s="19" t="str">
        <f>SUBSTITUTE(Github!L$857, ";", ", ")</f>
        <v>String, Stack, </v>
      </c>
      <c r="I314" s="17" t="str">
        <f>Github!E$857</f>
        <v>Medium</v>
      </c>
      <c r="J314" s="17" t="str">
        <f>IF(TRIM(Github!D$857)="TRUE","FALSE","TRUE")</f>
        <v>TRUE</v>
      </c>
      <c r="K314" s="17" t="b">
        <f>Github!M$857</f>
        <v>1</v>
      </c>
      <c r="L314" s="17" t="b">
        <f>Github!N$857</f>
        <v>0</v>
      </c>
      <c r="M314" s="17" t="str">
        <f>ROUND(Github!O$857, 2)&amp;"%"</f>
        <v>65.39%</v>
      </c>
      <c r="N314" s="17">
        <f>Github!P$857</f>
        <v>95175</v>
      </c>
      <c r="O314" s="17">
        <f>Github!Q$857</f>
        <v>145546</v>
      </c>
    </row>
    <row r="315" ht="18.0" customHeight="1">
      <c r="A315" s="17">
        <f>Github!J$233</f>
        <v>232</v>
      </c>
      <c r="B315" s="27" t="str">
        <f>HYPERLINK(CONCAT("http://leetcode.com/problems/",Github!C$233), Github!B$233)</f>
        <v>Implement Queue using Stacks</v>
      </c>
      <c r="C315" s="17">
        <f>Github!F$233</f>
        <v>3031</v>
      </c>
      <c r="D315" s="17">
        <f>Github!G$233</f>
        <v>211</v>
      </c>
      <c r="E315" s="17">
        <f>Github!F$233+Github!G$233</f>
        <v>3242</v>
      </c>
      <c r="F315" s="18">
        <f t="shared" si="1"/>
        <v>14.36</v>
      </c>
      <c r="G315" s="17" t="str">
        <f>Github!H$233</f>
        <v>Algorithms</v>
      </c>
      <c r="H315" s="19" t="str">
        <f>SUBSTITUTE(Github!L$233, ";", ", ")</f>
        <v>Stack, Design, Queue, </v>
      </c>
      <c r="I315" s="17" t="str">
        <f>Github!E$233</f>
        <v>Easy</v>
      </c>
      <c r="J315" s="17" t="str">
        <f>IF(TRIM(Github!D$233)="TRUE","FALSE","TRUE")</f>
        <v>TRUE</v>
      </c>
      <c r="K315" s="17" t="b">
        <f>Github!M$233</f>
        <v>1</v>
      </c>
      <c r="L315" s="17" t="b">
        <f>Github!N$233</f>
        <v>0</v>
      </c>
      <c r="M315" s="17" t="str">
        <f>ROUND(Github!O$233, 2)&amp;"%"</f>
        <v>57.33%</v>
      </c>
      <c r="N315" s="17">
        <f>Github!P$233</f>
        <v>378966</v>
      </c>
      <c r="O315" s="17">
        <f>Github!Q$233</f>
        <v>661042</v>
      </c>
    </row>
    <row r="316" ht="18.0" customHeight="1">
      <c r="A316" s="17">
        <f>Github!J$653</f>
        <v>652</v>
      </c>
      <c r="B316" s="27" t="str">
        <f>HYPERLINK(CONCAT("http://leetcode.com/problems/",Github!C$653), Github!B$653)</f>
        <v>Find Duplicate Subtrees</v>
      </c>
      <c r="C316" s="17">
        <f>Github!F$653</f>
        <v>3033</v>
      </c>
      <c r="D316" s="17">
        <f>Github!G$653</f>
        <v>291</v>
      </c>
      <c r="E316" s="17">
        <f>Github!F$653+Github!G$653</f>
        <v>3324</v>
      </c>
      <c r="F316" s="18">
        <f t="shared" si="1"/>
        <v>10.42</v>
      </c>
      <c r="G316" s="17" t="str">
        <f>Github!H$653</f>
        <v>Algorithms</v>
      </c>
      <c r="H316" s="19" t="str">
        <f>SUBSTITUTE(Github!L$653, ";", ", ")</f>
        <v>Hash Table, Tree, Depth-First Search, Binary Tree, </v>
      </c>
      <c r="I316" s="17" t="str">
        <f>Github!E$653</f>
        <v>Medium</v>
      </c>
      <c r="J316" s="17" t="str">
        <f>IF(TRIM(Github!D$653)="TRUE","FALSE","TRUE")</f>
        <v>TRUE</v>
      </c>
      <c r="K316" s="17" t="b">
        <f>Github!M$653</f>
        <v>0</v>
      </c>
      <c r="L316" s="17" t="b">
        <f>Github!N$653</f>
        <v>0</v>
      </c>
      <c r="M316" s="17" t="str">
        <f>ROUND(Github!O$653, 2)&amp;"%"</f>
        <v>55.51%</v>
      </c>
      <c r="N316" s="17">
        <f>Github!P$653</f>
        <v>140000</v>
      </c>
      <c r="O316" s="17">
        <f>Github!Q$653</f>
        <v>252187</v>
      </c>
    </row>
    <row r="317" ht="18.0" customHeight="1">
      <c r="A317" s="17">
        <f>Github!J$108</f>
        <v>107</v>
      </c>
      <c r="B317" s="27" t="str">
        <f>HYPERLINK(CONCAT("http://leetcode.com/problems/",Github!C$108), Github!B$108)</f>
        <v>Binary Tree Level Order Traversal II</v>
      </c>
      <c r="C317" s="17">
        <f>Github!F$108</f>
        <v>3016</v>
      </c>
      <c r="D317" s="17">
        <f>Github!G$108</f>
        <v>274</v>
      </c>
      <c r="E317" s="17">
        <f>Github!F$108+Github!G$108</f>
        <v>3290</v>
      </c>
      <c r="F317" s="18">
        <f t="shared" si="1"/>
        <v>11.01</v>
      </c>
      <c r="G317" s="17" t="str">
        <f>Github!H$108</f>
        <v>Algorithms</v>
      </c>
      <c r="H317" s="19" t="str">
        <f>SUBSTITUTE(Github!L$108, ";", ", ")</f>
        <v>Tree, Breadth-First Search, Binary Tree, </v>
      </c>
      <c r="I317" s="17" t="str">
        <f>Github!E$108</f>
        <v>Medium</v>
      </c>
      <c r="J317" s="17" t="str">
        <f>IF(TRIM(Github!D$108)="TRUE","FALSE","TRUE")</f>
        <v>TRUE</v>
      </c>
      <c r="K317" s="17" t="b">
        <f>Github!M$108</f>
        <v>1</v>
      </c>
      <c r="L317" s="17" t="b">
        <f>Github!N$108</f>
        <v>0</v>
      </c>
      <c r="M317" s="17" t="str">
        <f>ROUND(Github!O$108, 2)&amp;"%"</f>
        <v>58.27%</v>
      </c>
      <c r="N317" s="17">
        <f>Github!P$108</f>
        <v>484744</v>
      </c>
      <c r="O317" s="17">
        <f>Github!Q$108</f>
        <v>831961</v>
      </c>
    </row>
    <row r="318" ht="18.0" customHeight="1">
      <c r="A318" s="17">
        <f>Github!J$416</f>
        <v>415</v>
      </c>
      <c r="B318" s="27" t="str">
        <f>HYPERLINK(CONCAT("http://leetcode.com/problems/",Github!C$416), Github!B$416)</f>
        <v>Add Strings</v>
      </c>
      <c r="C318" s="17">
        <f>Github!F$416</f>
        <v>3015</v>
      </c>
      <c r="D318" s="17">
        <f>Github!G$416</f>
        <v>532</v>
      </c>
      <c r="E318" s="17">
        <f>Github!F$416+Github!G$416</f>
        <v>3547</v>
      </c>
      <c r="F318" s="18">
        <f t="shared" si="1"/>
        <v>5.67</v>
      </c>
      <c r="G318" s="17" t="str">
        <f>Github!H$416</f>
        <v>Algorithms</v>
      </c>
      <c r="H318" s="19" t="str">
        <f>SUBSTITUTE(Github!L$416, ";", ", ")</f>
        <v>Math, String, Simulation, </v>
      </c>
      <c r="I318" s="17" t="str">
        <f>Github!E$416</f>
        <v>Easy</v>
      </c>
      <c r="J318" s="17" t="str">
        <f>IF(TRIM(Github!D$416)="TRUE","FALSE","TRUE")</f>
        <v>TRUE</v>
      </c>
      <c r="K318" s="17" t="b">
        <f>Github!M$416</f>
        <v>1</v>
      </c>
      <c r="L318" s="17" t="b">
        <f>Github!N$416</f>
        <v>0</v>
      </c>
      <c r="M318" s="17" t="str">
        <f>ROUND(Github!O$416, 2)&amp;"%"</f>
        <v>51.86%</v>
      </c>
      <c r="N318" s="17">
        <f>Github!P$416</f>
        <v>448161</v>
      </c>
      <c r="O318" s="17">
        <f>Github!Q$416</f>
        <v>864225</v>
      </c>
    </row>
    <row r="319" ht="18.0" customHeight="1">
      <c r="A319" s="17">
        <f>Github!J$1011</f>
        <v>1010</v>
      </c>
      <c r="B319" s="27" t="str">
        <f>HYPERLINK(CONCAT("http://leetcode.com/problems/",Github!C$1011), Github!B$1011)</f>
        <v>Pairs of Songs With Total Durations Divisible by 60</v>
      </c>
      <c r="C319" s="17">
        <f>Github!F$1011</f>
        <v>3011</v>
      </c>
      <c r="D319" s="17">
        <f>Github!G$1011</f>
        <v>116</v>
      </c>
      <c r="E319" s="17">
        <f>Github!F$1011+Github!G$1011</f>
        <v>3127</v>
      </c>
      <c r="F319" s="18">
        <f t="shared" si="1"/>
        <v>25.96</v>
      </c>
      <c r="G319" s="17" t="str">
        <f>Github!H$1011</f>
        <v>Algorithms</v>
      </c>
      <c r="H319" s="19" t="str">
        <f>SUBSTITUTE(Github!L$1011, ";", ", ")</f>
        <v>Array, Hash Table, Counting, </v>
      </c>
      <c r="I319" s="17" t="str">
        <f>Github!E$1011</f>
        <v>Medium</v>
      </c>
      <c r="J319" s="17" t="str">
        <f>IF(TRIM(Github!D$1011)="TRUE","FALSE","TRUE")</f>
        <v>TRUE</v>
      </c>
      <c r="K319" s="17" t="b">
        <f>Github!M$1011</f>
        <v>1</v>
      </c>
      <c r="L319" s="17" t="b">
        <f>Github!N$1011</f>
        <v>0</v>
      </c>
      <c r="M319" s="17" t="str">
        <f>ROUND(Github!O$1011, 2)&amp;"%"</f>
        <v>53.77%</v>
      </c>
      <c r="N319" s="17">
        <f>Github!P$1011</f>
        <v>184020</v>
      </c>
      <c r="O319" s="17">
        <f>Github!Q$1011</f>
        <v>342224</v>
      </c>
    </row>
    <row r="320" ht="18.0" customHeight="1">
      <c r="A320" s="17">
        <f>Github!J$1236</f>
        <v>1235</v>
      </c>
      <c r="B320" s="27" t="str">
        <f>HYPERLINK(CONCAT("http://leetcode.com/problems/",Github!C$1236), Github!B$1236)</f>
        <v>Maximum Profit in Job Scheduling</v>
      </c>
      <c r="C320" s="17">
        <f>Github!F$1236</f>
        <v>3007</v>
      </c>
      <c r="D320" s="17">
        <f>Github!G$1236</f>
        <v>32</v>
      </c>
      <c r="E320" s="17">
        <f>Github!F$1236+Github!G$1236</f>
        <v>3039</v>
      </c>
      <c r="F320" s="18">
        <f t="shared" si="1"/>
        <v>93.97</v>
      </c>
      <c r="G320" s="17" t="str">
        <f>Github!H$1236</f>
        <v>Algorithms</v>
      </c>
      <c r="H320" s="19" t="str">
        <f>SUBSTITUTE(Github!L$1236, ";", ", ")</f>
        <v>Array, Binary Search, Dynamic Programming, Sorting, </v>
      </c>
      <c r="I320" s="17" t="str">
        <f>Github!E$1236</f>
        <v>Hard</v>
      </c>
      <c r="J320" s="17" t="str">
        <f>IF(TRIM(Github!D$1236)="TRUE","FALSE","TRUE")</f>
        <v>TRUE</v>
      </c>
      <c r="K320" s="17" t="b">
        <f>Github!M$1236</f>
        <v>1</v>
      </c>
      <c r="L320" s="17" t="b">
        <f>Github!N$1236</f>
        <v>0</v>
      </c>
      <c r="M320" s="17" t="str">
        <f>ROUND(Github!O$1236, 2)&amp;"%"</f>
        <v>50.84%</v>
      </c>
      <c r="N320" s="17">
        <f>Github!P$1236</f>
        <v>105570</v>
      </c>
      <c r="O320" s="17">
        <f>Github!Q$1236</f>
        <v>207645</v>
      </c>
    </row>
    <row r="321" ht="18.0" customHeight="1">
      <c r="A321" s="17">
        <f>Github!J$461</f>
        <v>460</v>
      </c>
      <c r="B321" s="27" t="str">
        <f>HYPERLINK(CONCAT("http://leetcode.com/problems/",Github!C$461), Github!B$461)</f>
        <v>LFU Cache</v>
      </c>
      <c r="C321" s="17">
        <f>Github!F$461</f>
        <v>3009</v>
      </c>
      <c r="D321" s="17">
        <f>Github!G$461</f>
        <v>200</v>
      </c>
      <c r="E321" s="17">
        <f>Github!F$461+Github!G$461</f>
        <v>3209</v>
      </c>
      <c r="F321" s="18">
        <f t="shared" si="1"/>
        <v>15.05</v>
      </c>
      <c r="G321" s="17" t="str">
        <f>Github!H$461</f>
        <v>Algorithms</v>
      </c>
      <c r="H321" s="19" t="str">
        <f>SUBSTITUTE(Github!L$461, ";", ", ")</f>
        <v>Hash Table, Linked List, Design, Doubly-Linked List, </v>
      </c>
      <c r="I321" s="17" t="str">
        <f>Github!E$461</f>
        <v>Hard</v>
      </c>
      <c r="J321" s="17" t="str">
        <f>IF(TRIM(Github!D$461)="TRUE","FALSE","TRUE")</f>
        <v>TRUE</v>
      </c>
      <c r="K321" s="17" t="b">
        <f>Github!M$461</f>
        <v>0</v>
      </c>
      <c r="L321" s="17" t="b">
        <f>Github!N$461</f>
        <v>0</v>
      </c>
      <c r="M321" s="17" t="str">
        <f>ROUND(Github!O$461, 2)&amp;"%"</f>
        <v>39.11%</v>
      </c>
      <c r="N321" s="17">
        <f>Github!P$461</f>
        <v>145570</v>
      </c>
      <c r="O321" s="17">
        <f>Github!Q$461</f>
        <v>372240</v>
      </c>
    </row>
    <row r="322" ht="18.0" customHeight="1">
      <c r="A322" s="17">
        <f>Github!J$342</f>
        <v>341</v>
      </c>
      <c r="B322" s="27" t="str">
        <f>HYPERLINK(CONCAT("http://leetcode.com/problems/",Github!C$342), Github!B$342)</f>
        <v>Flatten Nested List Iterator</v>
      </c>
      <c r="C322" s="17">
        <f>Github!F$342</f>
        <v>2984</v>
      </c>
      <c r="D322" s="17">
        <f>Github!G$342</f>
        <v>1039</v>
      </c>
      <c r="E322" s="17">
        <f>Github!F$342+Github!G$342</f>
        <v>4023</v>
      </c>
      <c r="F322" s="18">
        <f t="shared" si="1"/>
        <v>2.87</v>
      </c>
      <c r="G322" s="17" t="str">
        <f>Github!H$342</f>
        <v>Algorithms</v>
      </c>
      <c r="H322" s="19" t="str">
        <f>SUBSTITUTE(Github!L$342, ";", ", ")</f>
        <v>Stack, Tree, Depth-First Search, Design, Queue, Iterator, </v>
      </c>
      <c r="I322" s="17" t="str">
        <f>Github!E$342</f>
        <v>Medium</v>
      </c>
      <c r="J322" s="17" t="str">
        <f>IF(TRIM(Github!D$342)="TRUE","FALSE","TRUE")</f>
        <v>TRUE</v>
      </c>
      <c r="K322" s="17" t="b">
        <f>Github!M$342</f>
        <v>1</v>
      </c>
      <c r="L322" s="17" t="b">
        <f>Github!N$342</f>
        <v>0</v>
      </c>
      <c r="M322" s="17" t="str">
        <f>ROUND(Github!O$342, 2)&amp;"%"</f>
        <v>58.36%</v>
      </c>
      <c r="N322" s="17">
        <f>Github!P$342</f>
        <v>277761</v>
      </c>
      <c r="O322" s="17">
        <f>Github!Q$342</f>
        <v>475984</v>
      </c>
    </row>
    <row r="323" ht="18.0" customHeight="1">
      <c r="A323" s="17">
        <f>Github!J$462</f>
        <v>461</v>
      </c>
      <c r="B323" s="27" t="str">
        <f>HYPERLINK(CONCAT("http://leetcode.com/problems/",Github!C$462), Github!B$462)</f>
        <v>Hamming Distance</v>
      </c>
      <c r="C323" s="17">
        <f>Github!F$462</f>
        <v>2972</v>
      </c>
      <c r="D323" s="17">
        <f>Github!G$462</f>
        <v>197</v>
      </c>
      <c r="E323" s="17">
        <f>Github!F$462+Github!G$462</f>
        <v>3169</v>
      </c>
      <c r="F323" s="18">
        <f t="shared" si="1"/>
        <v>15.09</v>
      </c>
      <c r="G323" s="17" t="str">
        <f>Github!H$462</f>
        <v>Algorithms</v>
      </c>
      <c r="H323" s="19" t="str">
        <f>SUBSTITUTE(Github!L$462, ";", ", ")</f>
        <v>Bit Manipulation, </v>
      </c>
      <c r="I323" s="17" t="str">
        <f>Github!E$462</f>
        <v>Easy</v>
      </c>
      <c r="J323" s="17" t="str">
        <f>IF(TRIM(Github!D$462)="TRUE","FALSE","TRUE")</f>
        <v>TRUE</v>
      </c>
      <c r="K323" s="17" t="b">
        <f>Github!M$462</f>
        <v>1</v>
      </c>
      <c r="L323" s="17" t="b">
        <f>Github!N$462</f>
        <v>0</v>
      </c>
      <c r="M323" s="17" t="str">
        <f>ROUND(Github!O$462, 2)&amp;"%"</f>
        <v>74.43%</v>
      </c>
      <c r="N323" s="17">
        <f>Github!P$462</f>
        <v>464904</v>
      </c>
      <c r="O323" s="17">
        <f>Github!Q$462</f>
        <v>624583</v>
      </c>
    </row>
    <row r="324" ht="18.0" customHeight="1">
      <c r="A324" s="17">
        <f>Github!J$688</f>
        <v>687</v>
      </c>
      <c r="B324" s="27" t="str">
        <f>HYPERLINK(CONCAT("http://leetcode.com/problems/",Github!C$688), Github!B$688)</f>
        <v>Longest Univalue Path</v>
      </c>
      <c r="C324" s="17">
        <f>Github!F$688</f>
        <v>2966</v>
      </c>
      <c r="D324" s="17">
        <f>Github!G$688</f>
        <v>604</v>
      </c>
      <c r="E324" s="17">
        <f>Github!F$688+Github!G$688</f>
        <v>3570</v>
      </c>
      <c r="F324" s="18">
        <f t="shared" si="1"/>
        <v>4.91</v>
      </c>
      <c r="G324" s="17" t="str">
        <f>Github!H$688</f>
        <v>Algorithms</v>
      </c>
      <c r="H324" s="19" t="str">
        <f>SUBSTITUTE(Github!L$688, ";", ", ")</f>
        <v>Tree, Depth-First Search, Binary Tree, </v>
      </c>
      <c r="I324" s="17" t="str">
        <f>Github!E$688</f>
        <v>Medium</v>
      </c>
      <c r="J324" s="17" t="str">
        <f>IF(TRIM(Github!D$688)="TRUE","FALSE","TRUE")</f>
        <v>TRUE</v>
      </c>
      <c r="K324" s="17" t="b">
        <f>Github!M$688</f>
        <v>1</v>
      </c>
      <c r="L324" s="17" t="b">
        <f>Github!N$688</f>
        <v>0</v>
      </c>
      <c r="M324" s="17" t="str">
        <f>ROUND(Github!O$688, 2)&amp;"%"</f>
        <v>39.19%</v>
      </c>
      <c r="N324" s="17">
        <f>Github!P$688</f>
        <v>137503</v>
      </c>
      <c r="O324" s="17">
        <f>Github!Q$688</f>
        <v>350861</v>
      </c>
    </row>
    <row r="325" ht="18.0" customHeight="1">
      <c r="A325" s="17">
        <f>Github!J$232</f>
        <v>231</v>
      </c>
      <c r="B325" s="27" t="str">
        <f>HYPERLINK(CONCAT("http://leetcode.com/problems/",Github!C$232), Github!B$232)</f>
        <v>Power of Two</v>
      </c>
      <c r="C325" s="17">
        <f>Github!F$232</f>
        <v>2950</v>
      </c>
      <c r="D325" s="17">
        <f>Github!G$232</f>
        <v>281</v>
      </c>
      <c r="E325" s="17">
        <f>Github!F$232+Github!G$232</f>
        <v>3231</v>
      </c>
      <c r="F325" s="18">
        <f t="shared" si="1"/>
        <v>10.5</v>
      </c>
      <c r="G325" s="17" t="str">
        <f>Github!H$232</f>
        <v>Algorithms</v>
      </c>
      <c r="H325" s="19" t="str">
        <f>SUBSTITUTE(Github!L$232, ";", ", ")</f>
        <v>Math, Bit Manipulation, Recursion, </v>
      </c>
      <c r="I325" s="17" t="str">
        <f>Github!E$232</f>
        <v>Easy</v>
      </c>
      <c r="J325" s="17" t="str">
        <f>IF(TRIM(Github!D$232)="TRUE","FALSE","TRUE")</f>
        <v>TRUE</v>
      </c>
      <c r="K325" s="17" t="b">
        <f>Github!M$232</f>
        <v>1</v>
      </c>
      <c r="L325" s="17" t="b">
        <f>Github!N$232</f>
        <v>0</v>
      </c>
      <c r="M325" s="17" t="str">
        <f>ROUND(Github!O$232, 2)&amp;"%"</f>
        <v>44.86%</v>
      </c>
      <c r="N325" s="17">
        <f>Github!P$232</f>
        <v>588290</v>
      </c>
      <c r="O325" s="17">
        <f>Github!Q$232</f>
        <v>1311328</v>
      </c>
    </row>
    <row r="326" ht="18.0" customHeight="1">
      <c r="A326" s="17">
        <f>Github!J$1131</f>
        <v>1130</v>
      </c>
      <c r="B326" s="27" t="str">
        <f>HYPERLINK(CONCAT("http://leetcode.com/problems/",Github!C$1131), Github!B$1131)</f>
        <v>Minimum Cost Tree From Leaf Values</v>
      </c>
      <c r="C326" s="17">
        <f>Github!F$1131</f>
        <v>2940</v>
      </c>
      <c r="D326" s="17">
        <f>Github!G$1131</f>
        <v>207</v>
      </c>
      <c r="E326" s="17">
        <f>Github!F$1131+Github!G$1131</f>
        <v>3147</v>
      </c>
      <c r="F326" s="18">
        <f t="shared" si="1"/>
        <v>14.2</v>
      </c>
      <c r="G326" s="17" t="str">
        <f>Github!H$1131</f>
        <v>Algorithms</v>
      </c>
      <c r="H326" s="19" t="str">
        <f>SUBSTITUTE(Github!L$1131, ";", ", ")</f>
        <v>Dynamic Programming, Stack, Greedy, Monotonic Stack, </v>
      </c>
      <c r="I326" s="17" t="str">
        <f>Github!E$1131</f>
        <v>Medium</v>
      </c>
      <c r="J326" s="17" t="str">
        <f>IF(TRIM(Github!D$1131)="TRUE","FALSE","TRUE")</f>
        <v>TRUE</v>
      </c>
      <c r="K326" s="17" t="b">
        <f>Github!M$1131</f>
        <v>0</v>
      </c>
      <c r="L326" s="17" t="b">
        <f>Github!N$1131</f>
        <v>0</v>
      </c>
      <c r="M326" s="17" t="str">
        <f>ROUND(Github!O$1131, 2)&amp;"%"</f>
        <v>68.39%</v>
      </c>
      <c r="N326" s="17">
        <f>Github!P$1131</f>
        <v>69104</v>
      </c>
      <c r="O326" s="17">
        <f>Github!Q$1131</f>
        <v>101048</v>
      </c>
    </row>
    <row r="327" ht="18.0" customHeight="1">
      <c r="A327" s="17">
        <f>Github!J$1048</f>
        <v>1047</v>
      </c>
      <c r="B327" s="27" t="str">
        <f>HYPERLINK(CONCAT("http://leetcode.com/problems/",Github!C$1048), Github!B$1048)</f>
        <v>Remove All Adjacent Duplicates In String</v>
      </c>
      <c r="C327" s="17">
        <f>Github!F$1048</f>
        <v>2938</v>
      </c>
      <c r="D327" s="17">
        <f>Github!G$1048</f>
        <v>148</v>
      </c>
      <c r="E327" s="17">
        <f>Github!F$1048+Github!G$1048</f>
        <v>3086</v>
      </c>
      <c r="F327" s="18">
        <f t="shared" si="1"/>
        <v>19.85</v>
      </c>
      <c r="G327" s="17" t="str">
        <f>Github!H$1048</f>
        <v>Algorithms</v>
      </c>
      <c r="H327" s="19" t="str">
        <f>SUBSTITUTE(Github!L$1048, ";", ", ")</f>
        <v>String, Stack, </v>
      </c>
      <c r="I327" s="17" t="str">
        <f>Github!E$1048</f>
        <v>Easy</v>
      </c>
      <c r="J327" s="17" t="str">
        <f>IF(TRIM(Github!D$1048)="TRUE","FALSE","TRUE")</f>
        <v>TRUE</v>
      </c>
      <c r="K327" s="17" t="b">
        <f>Github!M$1048</f>
        <v>1</v>
      </c>
      <c r="L327" s="17" t="b">
        <f>Github!N$1048</f>
        <v>0</v>
      </c>
      <c r="M327" s="17" t="str">
        <f>ROUND(Github!O$1048, 2)&amp;"%"</f>
        <v>71.01%</v>
      </c>
      <c r="N327" s="17">
        <f>Github!P$1048</f>
        <v>263663</v>
      </c>
      <c r="O327" s="17">
        <f>Github!Q$1048</f>
        <v>371323</v>
      </c>
    </row>
    <row r="328" ht="18.0" customHeight="1">
      <c r="A328" s="17">
        <f>Github!J$1095</f>
        <v>1094</v>
      </c>
      <c r="B328" s="27" t="str">
        <f>HYPERLINK(CONCAT("http://leetcode.com/problems/",Github!C$1095), Github!B$1095)</f>
        <v>Car Pooling</v>
      </c>
      <c r="C328" s="17">
        <f>Github!F$1095</f>
        <v>2936</v>
      </c>
      <c r="D328" s="17">
        <f>Github!G$1095</f>
        <v>64</v>
      </c>
      <c r="E328" s="17">
        <f>Github!F$1095+Github!G$1095</f>
        <v>3000</v>
      </c>
      <c r="F328" s="18">
        <f t="shared" si="1"/>
        <v>45.88</v>
      </c>
      <c r="G328" s="17" t="str">
        <f>Github!H$1095</f>
        <v>Algorithms</v>
      </c>
      <c r="H328" s="19" t="str">
        <f>SUBSTITUTE(Github!L$1095, ";", ", ")</f>
        <v>Array, Sorting, Heap (Priority Queue), Simulation, Prefix Sum, </v>
      </c>
      <c r="I328" s="17" t="str">
        <f>Github!E$1095</f>
        <v>Medium</v>
      </c>
      <c r="J328" s="17" t="str">
        <f>IF(TRIM(Github!D$1095)="TRUE","FALSE","TRUE")</f>
        <v>TRUE</v>
      </c>
      <c r="K328" s="17" t="b">
        <f>Github!M$1095</f>
        <v>1</v>
      </c>
      <c r="L328" s="17" t="b">
        <f>Github!N$1095</f>
        <v>0</v>
      </c>
      <c r="M328" s="17" t="str">
        <f>ROUND(Github!O$1095, 2)&amp;"%"</f>
        <v>58.42%</v>
      </c>
      <c r="N328" s="17">
        <f>Github!P$1095</f>
        <v>143932</v>
      </c>
      <c r="O328" s="17">
        <f>Github!Q$1095</f>
        <v>246371</v>
      </c>
    </row>
    <row r="329" ht="18.0" customHeight="1">
      <c r="A329" s="17">
        <f>Github!J$725</f>
        <v>724</v>
      </c>
      <c r="B329" s="27" t="str">
        <f>HYPERLINK(CONCAT("http://leetcode.com/problems/",Github!C$725), Github!B$725)</f>
        <v>Find Pivot Index</v>
      </c>
      <c r="C329" s="17">
        <f>Github!F$725</f>
        <v>2924</v>
      </c>
      <c r="D329" s="17">
        <f>Github!G$725</f>
        <v>361</v>
      </c>
      <c r="E329" s="17">
        <f>Github!F$725+Github!G$725</f>
        <v>3285</v>
      </c>
      <c r="F329" s="18">
        <f t="shared" si="1"/>
        <v>8.1</v>
      </c>
      <c r="G329" s="17" t="str">
        <f>Github!H$725</f>
        <v>Algorithms</v>
      </c>
      <c r="H329" s="19" t="str">
        <f>SUBSTITUTE(Github!L$725, ";", ", ")</f>
        <v>Array, Prefix Sum, </v>
      </c>
      <c r="I329" s="17" t="str">
        <f>Github!E$725</f>
        <v>Easy</v>
      </c>
      <c r="J329" s="17" t="str">
        <f>IF(TRIM(Github!D$725)="TRUE","FALSE","TRUE")</f>
        <v>TRUE</v>
      </c>
      <c r="K329" s="17" t="b">
        <f>Github!M$725</f>
        <v>1</v>
      </c>
      <c r="L329" s="17" t="b">
        <f>Github!N$725</f>
        <v>0</v>
      </c>
      <c r="M329" s="17" t="str">
        <f>ROUND(Github!O$725, 2)&amp;"%"</f>
        <v>51.05%</v>
      </c>
      <c r="N329" s="17">
        <f>Github!P$725</f>
        <v>288716</v>
      </c>
      <c r="O329" s="17">
        <f>Github!Q$725</f>
        <v>565515</v>
      </c>
    </row>
    <row r="330" ht="18.0" customHeight="1">
      <c r="A330" s="17">
        <f>Github!J$1366</f>
        <v>1365</v>
      </c>
      <c r="B330" s="27" t="str">
        <f>HYPERLINK(CONCAT("http://leetcode.com/problems/",Github!C$1366), Github!B$1366)</f>
        <v>How Many Numbers Are Smaller Than the Current Number</v>
      </c>
      <c r="C330" s="17">
        <f>Github!F$1366</f>
        <v>2902</v>
      </c>
      <c r="D330" s="17">
        <f>Github!G$1366</f>
        <v>60</v>
      </c>
      <c r="E330" s="17">
        <f>Github!F$1366+Github!G$1366</f>
        <v>2962</v>
      </c>
      <c r="F330" s="18">
        <f t="shared" si="1"/>
        <v>48.37</v>
      </c>
      <c r="G330" s="17" t="str">
        <f>Github!H$1366</f>
        <v>Algorithms</v>
      </c>
      <c r="H330" s="19" t="str">
        <f>SUBSTITUTE(Github!L$1366, ";", ", ")</f>
        <v>Array, Hash Table, Sorting, Counting, </v>
      </c>
      <c r="I330" s="17" t="str">
        <f>Github!E$1366</f>
        <v>Easy</v>
      </c>
      <c r="J330" s="17" t="str">
        <f>IF(TRIM(Github!D$1366)="TRUE","FALSE","TRUE")</f>
        <v>TRUE</v>
      </c>
      <c r="K330" s="17" t="b">
        <f>Github!M$1366</f>
        <v>0</v>
      </c>
      <c r="L330" s="17" t="b">
        <f>Github!N$1366</f>
        <v>0</v>
      </c>
      <c r="M330" s="17" t="str">
        <f>ROUND(Github!O$1366, 2)&amp;"%"</f>
        <v>86.25%</v>
      </c>
      <c r="N330" s="17">
        <f>Github!P$1366</f>
        <v>290706</v>
      </c>
      <c r="O330" s="17">
        <f>Github!Q$1366</f>
        <v>337046</v>
      </c>
    </row>
    <row r="331" ht="18.0" customHeight="1">
      <c r="A331" s="17">
        <f>Github!J$988</f>
        <v>987</v>
      </c>
      <c r="B331" s="27" t="str">
        <f>HYPERLINK(CONCAT("http://leetcode.com/problems/",Github!C$988), Github!B$988)</f>
        <v>Vertical Order Traversal of a Binary Tree</v>
      </c>
      <c r="C331" s="17">
        <f>Github!F$988</f>
        <v>2894</v>
      </c>
      <c r="D331" s="17">
        <f>Github!G$988</f>
        <v>3194</v>
      </c>
      <c r="E331" s="17">
        <f>Github!F$988+Github!G$988</f>
        <v>6088</v>
      </c>
      <c r="F331" s="18">
        <f t="shared" si="1"/>
        <v>0.91</v>
      </c>
      <c r="G331" s="17" t="str">
        <f>Github!H$988</f>
        <v>Algorithms</v>
      </c>
      <c r="H331" s="19" t="str">
        <f>SUBSTITUTE(Github!L$988, ";", ", ")</f>
        <v>Hash Table, Tree, Depth-First Search, Breadth-First Search, Binary Tree, </v>
      </c>
      <c r="I331" s="17" t="str">
        <f>Github!E$988</f>
        <v>Hard</v>
      </c>
      <c r="J331" s="17" t="str">
        <f>IF(TRIM(Github!D$988)="TRUE","FALSE","TRUE")</f>
        <v>TRUE</v>
      </c>
      <c r="K331" s="17" t="b">
        <f>Github!M$988</f>
        <v>1</v>
      </c>
      <c r="L331" s="17" t="b">
        <f>Github!N$988</f>
        <v>1</v>
      </c>
      <c r="M331" s="17" t="str">
        <f>ROUND(Github!O$988, 2)&amp;"%"</f>
        <v>41.15%</v>
      </c>
      <c r="N331" s="17">
        <f>Github!P$988</f>
        <v>205073</v>
      </c>
      <c r="O331" s="17">
        <f>Github!Q$988</f>
        <v>498329</v>
      </c>
    </row>
    <row r="332" ht="18.0" customHeight="1">
      <c r="A332" s="17">
        <f>Github!J$355</f>
        <v>354</v>
      </c>
      <c r="B332" s="27" t="str">
        <f>HYPERLINK(CONCAT("http://leetcode.com/problems/",Github!C$355), Github!B$355)</f>
        <v>Russian Doll Envelopes</v>
      </c>
      <c r="C332" s="17">
        <f>Github!F$355</f>
        <v>2894</v>
      </c>
      <c r="D332" s="17">
        <f>Github!G$355</f>
        <v>72</v>
      </c>
      <c r="E332" s="17">
        <f>Github!F$355+Github!G$355</f>
        <v>2966</v>
      </c>
      <c r="F332" s="18">
        <f t="shared" si="1"/>
        <v>40.19</v>
      </c>
      <c r="G332" s="17" t="str">
        <f>Github!H$355</f>
        <v>Algorithms</v>
      </c>
      <c r="H332" s="19" t="str">
        <f>SUBSTITUTE(Github!L$355, ";", ", ")</f>
        <v>Array, Binary Search, Dynamic Programming, Sorting, </v>
      </c>
      <c r="I332" s="17" t="str">
        <f>Github!E$355</f>
        <v>Hard</v>
      </c>
      <c r="J332" s="17" t="str">
        <f>IF(TRIM(Github!D$355)="TRUE","FALSE","TRUE")</f>
        <v>TRUE</v>
      </c>
      <c r="K332" s="17" t="b">
        <f>Github!M$355</f>
        <v>1</v>
      </c>
      <c r="L332" s="17" t="b">
        <f>Github!N$355</f>
        <v>0</v>
      </c>
      <c r="M332" s="17" t="str">
        <f>ROUND(Github!O$355, 2)&amp;"%"</f>
        <v>39.22%</v>
      </c>
      <c r="N332" s="17">
        <f>Github!P$355</f>
        <v>132784</v>
      </c>
      <c r="O332" s="17">
        <f>Github!Q$355</f>
        <v>338601</v>
      </c>
    </row>
    <row r="333" ht="18.0" customHeight="1">
      <c r="A333" s="17">
        <f>Github!J$13</f>
        <v>12</v>
      </c>
      <c r="B333" s="27" t="str">
        <f>HYPERLINK(CONCAT("http://leetcode.com/problems/",Github!C$13), Github!B$13)</f>
        <v>Integer to Roman</v>
      </c>
      <c r="C333" s="17">
        <f>Github!F$13</f>
        <v>2887</v>
      </c>
      <c r="D333" s="17">
        <f>Github!G$13</f>
        <v>3866</v>
      </c>
      <c r="E333" s="17">
        <f>Github!F$13+Github!G$13</f>
        <v>6753</v>
      </c>
      <c r="F333" s="18">
        <f t="shared" si="1"/>
        <v>0.75</v>
      </c>
      <c r="G333" s="17" t="str">
        <f>Github!H$13</f>
        <v>Algorithms</v>
      </c>
      <c r="H333" s="19" t="str">
        <f>SUBSTITUTE(Github!L$13, ";", ", ")</f>
        <v>Hash Table, Math, String, </v>
      </c>
      <c r="I333" s="17" t="str">
        <f>Github!E$13</f>
        <v>Medium</v>
      </c>
      <c r="J333" s="17" t="str">
        <f>IF(TRIM(Github!D$13)="TRUE","FALSE","TRUE")</f>
        <v>TRUE</v>
      </c>
      <c r="K333" s="17" t="b">
        <f>Github!M$13</f>
        <v>1</v>
      </c>
      <c r="L333" s="17" t="b">
        <f>Github!N$13</f>
        <v>0</v>
      </c>
      <c r="M333" s="17" t="str">
        <f>ROUND(Github!O$13, 2)&amp;"%"</f>
        <v>59.15%</v>
      </c>
      <c r="N333" s="17">
        <f>Github!P$13</f>
        <v>649478</v>
      </c>
      <c r="O333" s="17">
        <f>Github!Q$13</f>
        <v>1098088</v>
      </c>
    </row>
    <row r="334" ht="18.0" customHeight="1">
      <c r="A334" s="17">
        <f>Github!J$374</f>
        <v>373</v>
      </c>
      <c r="B334" s="27" t="str">
        <f>HYPERLINK(CONCAT("http://leetcode.com/problems/",Github!C$374), Github!B$374)</f>
        <v>Find K Pairs with Smallest Sums</v>
      </c>
      <c r="C334" s="17">
        <f>Github!F$374</f>
        <v>2881</v>
      </c>
      <c r="D334" s="17">
        <f>Github!G$374</f>
        <v>176</v>
      </c>
      <c r="E334" s="17">
        <f>Github!F$374+Github!G$374</f>
        <v>3057</v>
      </c>
      <c r="F334" s="18">
        <f t="shared" si="1"/>
        <v>16.37</v>
      </c>
      <c r="G334" s="17" t="str">
        <f>Github!H$374</f>
        <v>Algorithms</v>
      </c>
      <c r="H334" s="19" t="str">
        <f>SUBSTITUTE(Github!L$374, ";", ", ")</f>
        <v>Array, Heap (Priority Queue), </v>
      </c>
      <c r="I334" s="17" t="str">
        <f>Github!E$374</f>
        <v>Medium</v>
      </c>
      <c r="J334" s="17" t="str">
        <f>IF(TRIM(Github!D$374)="TRUE","FALSE","TRUE")</f>
        <v>TRUE</v>
      </c>
      <c r="K334" s="17" t="b">
        <f>Github!M$374</f>
        <v>0</v>
      </c>
      <c r="L334" s="17" t="b">
        <f>Github!N$374</f>
        <v>0</v>
      </c>
      <c r="M334" s="17" t="str">
        <f>ROUND(Github!O$374, 2)&amp;"%"</f>
        <v>38.88%</v>
      </c>
      <c r="N334" s="17">
        <f>Github!P$374</f>
        <v>163277</v>
      </c>
      <c r="O334" s="17">
        <f>Github!Q$374</f>
        <v>419973</v>
      </c>
    </row>
    <row r="335" ht="18.0" customHeight="1">
      <c r="A335" s="17">
        <f>Github!J$152</f>
        <v>151</v>
      </c>
      <c r="B335" s="27" t="str">
        <f>HYPERLINK(CONCAT("http://leetcode.com/problems/",Github!C$152), Github!B$152)</f>
        <v>Reverse Words in a String</v>
      </c>
      <c r="C335" s="17">
        <f>Github!F$152</f>
        <v>2878</v>
      </c>
      <c r="D335" s="17">
        <f>Github!G$152</f>
        <v>3795</v>
      </c>
      <c r="E335" s="17">
        <f>Github!F$152+Github!G$152</f>
        <v>6673</v>
      </c>
      <c r="F335" s="18">
        <f t="shared" si="1"/>
        <v>0.76</v>
      </c>
      <c r="G335" s="17" t="str">
        <f>Github!H$152</f>
        <v>Algorithms</v>
      </c>
      <c r="H335" s="19" t="str">
        <f>SUBSTITUTE(Github!L$152, ";", ", ")</f>
        <v>Two Pointers, String, </v>
      </c>
      <c r="I335" s="17" t="str">
        <f>Github!E$152</f>
        <v>Medium</v>
      </c>
      <c r="J335" s="17" t="str">
        <f>IF(TRIM(Github!D$152)="TRUE","FALSE","TRUE")</f>
        <v>TRUE</v>
      </c>
      <c r="K335" s="17" t="b">
        <f>Github!M$152</f>
        <v>1</v>
      </c>
      <c r="L335" s="17" t="b">
        <f>Github!N$152</f>
        <v>0</v>
      </c>
      <c r="M335" s="17" t="str">
        <f>ROUND(Github!O$152, 2)&amp;"%"</f>
        <v>28.02%</v>
      </c>
      <c r="N335" s="17">
        <f>Github!P$152</f>
        <v>674203</v>
      </c>
      <c r="O335" s="17">
        <f>Github!Q$152</f>
        <v>2405940</v>
      </c>
    </row>
    <row r="336" ht="18.0" customHeight="1">
      <c r="A336" s="17">
        <f>Github!J$1042</f>
        <v>1041</v>
      </c>
      <c r="B336" s="27" t="str">
        <f>HYPERLINK(CONCAT("http://leetcode.com/problems/",Github!C$1042), Github!B$1042)</f>
        <v>Robot Bounded In Circle</v>
      </c>
      <c r="C336" s="17">
        <f>Github!F$1042</f>
        <v>2870</v>
      </c>
      <c r="D336" s="17">
        <f>Github!G$1042</f>
        <v>606</v>
      </c>
      <c r="E336" s="17">
        <f>Github!F$1042+Github!G$1042</f>
        <v>3476</v>
      </c>
      <c r="F336" s="18">
        <f t="shared" si="1"/>
        <v>4.74</v>
      </c>
      <c r="G336" s="17" t="str">
        <f>Github!H$1042</f>
        <v>Algorithms</v>
      </c>
      <c r="H336" s="19" t="str">
        <f>SUBSTITUTE(Github!L$1042, ";", ", ")</f>
        <v>Math, String, Simulation, </v>
      </c>
      <c r="I336" s="17" t="str">
        <f>Github!E$1042</f>
        <v>Medium</v>
      </c>
      <c r="J336" s="17" t="str">
        <f>IF(TRIM(Github!D$1042)="TRUE","FALSE","TRUE")</f>
        <v>TRUE</v>
      </c>
      <c r="K336" s="17" t="b">
        <f>Github!M$1042</f>
        <v>1</v>
      </c>
      <c r="L336" s="17" t="b">
        <f>Github!N$1042</f>
        <v>0</v>
      </c>
      <c r="M336" s="17" t="str">
        <f>ROUND(Github!O$1042, 2)&amp;"%"</f>
        <v>55.48%</v>
      </c>
      <c r="N336" s="17">
        <f>Github!P$1042</f>
        <v>178609</v>
      </c>
      <c r="O336" s="17">
        <f>Github!Q$1042</f>
        <v>321928</v>
      </c>
    </row>
    <row r="337" ht="18.0" customHeight="1">
      <c r="A337" s="17">
        <f>Github!J$919</f>
        <v>918</v>
      </c>
      <c r="B337" s="27" t="str">
        <f>HYPERLINK(CONCAT("http://leetcode.com/problems/",Github!C$919), Github!B$919)</f>
        <v>Maximum Sum Circular Subarray</v>
      </c>
      <c r="C337" s="17">
        <f>Github!F$919</f>
        <v>2874</v>
      </c>
      <c r="D337" s="17">
        <f>Github!G$919</f>
        <v>132</v>
      </c>
      <c r="E337" s="17">
        <f>Github!F$919+Github!G$919</f>
        <v>3006</v>
      </c>
      <c r="F337" s="18">
        <f t="shared" si="1"/>
        <v>21.77</v>
      </c>
      <c r="G337" s="17" t="str">
        <f>Github!H$919</f>
        <v>Algorithms</v>
      </c>
      <c r="H337" s="19" t="str">
        <f>SUBSTITUTE(Github!L$919, ";", ", ")</f>
        <v>Array, Divide and Conquer, Dynamic Programming, Queue, Monotonic Queue, </v>
      </c>
      <c r="I337" s="17" t="str">
        <f>Github!E$919</f>
        <v>Medium</v>
      </c>
      <c r="J337" s="17" t="str">
        <f>IF(TRIM(Github!D$919)="TRUE","FALSE","TRUE")</f>
        <v>TRUE</v>
      </c>
      <c r="K337" s="17" t="b">
        <f>Github!M$919</f>
        <v>1</v>
      </c>
      <c r="L337" s="17" t="b">
        <f>Github!N$919</f>
        <v>0</v>
      </c>
      <c r="M337" s="17" t="str">
        <f>ROUND(Github!O$919, 2)&amp;"%"</f>
        <v>36.82%</v>
      </c>
      <c r="N337" s="17">
        <f>Github!P$919</f>
        <v>108598</v>
      </c>
      <c r="O337" s="17">
        <f>Github!Q$919</f>
        <v>294928</v>
      </c>
    </row>
    <row r="338" ht="18.0" customHeight="1">
      <c r="A338" s="17">
        <f>Github!J$191</f>
        <v>190</v>
      </c>
      <c r="B338" s="27" t="str">
        <f>HYPERLINK(CONCAT("http://leetcode.com/problems/",Github!C$191), Github!B$191)</f>
        <v>Reverse Bits</v>
      </c>
      <c r="C338" s="17">
        <f>Github!F$191</f>
        <v>2832</v>
      </c>
      <c r="D338" s="17">
        <f>Github!G$191</f>
        <v>768</v>
      </c>
      <c r="E338" s="17">
        <f>Github!F$191+Github!G$191</f>
        <v>3600</v>
      </c>
      <c r="F338" s="18">
        <f t="shared" si="1"/>
        <v>3.69</v>
      </c>
      <c r="G338" s="17" t="str">
        <f>Github!H$191</f>
        <v>Algorithms</v>
      </c>
      <c r="H338" s="19" t="str">
        <f>SUBSTITUTE(Github!L$191, ";", ", ")</f>
        <v>Divide and Conquer, Bit Manipulation, </v>
      </c>
      <c r="I338" s="17" t="str">
        <f>Github!E$191</f>
        <v>Easy</v>
      </c>
      <c r="J338" s="17" t="str">
        <f>IF(TRIM(Github!D$191)="TRUE","FALSE","TRUE")</f>
        <v>TRUE</v>
      </c>
      <c r="K338" s="17" t="b">
        <f>Github!M$191</f>
        <v>1</v>
      </c>
      <c r="L338" s="17" t="b">
        <f>Github!N$191</f>
        <v>0</v>
      </c>
      <c r="M338" s="17" t="str">
        <f>ROUND(Github!O$191, 2)&amp;"%"</f>
        <v>48.04%</v>
      </c>
      <c r="N338" s="17">
        <f>Github!P$191</f>
        <v>444745</v>
      </c>
      <c r="O338" s="17">
        <f>Github!Q$191</f>
        <v>925855</v>
      </c>
    </row>
    <row r="339" ht="18.0" customHeight="1">
      <c r="A339" s="17">
        <f>Github!J$638</f>
        <v>637</v>
      </c>
      <c r="B339" s="27" t="str">
        <f>HYPERLINK(CONCAT("http://leetcode.com/problems/",Github!C$638), Github!B$638)</f>
        <v>Average of Levels in Binary Tree</v>
      </c>
      <c r="C339" s="17">
        <f>Github!F$638</f>
        <v>2816</v>
      </c>
      <c r="D339" s="17">
        <f>Github!G$638</f>
        <v>229</v>
      </c>
      <c r="E339" s="17">
        <f>Github!F$638+Github!G$638</f>
        <v>3045</v>
      </c>
      <c r="F339" s="18">
        <f t="shared" si="1"/>
        <v>12.3</v>
      </c>
      <c r="G339" s="17" t="str">
        <f>Github!H$638</f>
        <v>Algorithms</v>
      </c>
      <c r="H339" s="19" t="str">
        <f>SUBSTITUTE(Github!L$638, ";", ", ")</f>
        <v>Tree, Depth-First Search, Breadth-First Search, Binary Tree, </v>
      </c>
      <c r="I339" s="17" t="str">
        <f>Github!E$638</f>
        <v>Easy</v>
      </c>
      <c r="J339" s="17" t="str">
        <f>IF(TRIM(Github!D$638)="TRUE","FALSE","TRUE")</f>
        <v>TRUE</v>
      </c>
      <c r="K339" s="17" t="b">
        <f>Github!M$638</f>
        <v>1</v>
      </c>
      <c r="L339" s="17" t="b">
        <f>Github!N$638</f>
        <v>0</v>
      </c>
      <c r="M339" s="17" t="str">
        <f>ROUND(Github!O$638, 2)&amp;"%"</f>
        <v>68.35%</v>
      </c>
      <c r="N339" s="17">
        <f>Github!P$638</f>
        <v>256053</v>
      </c>
      <c r="O339" s="17">
        <f>Github!Q$638</f>
        <v>374597</v>
      </c>
    </row>
    <row r="340" ht="18.0" customHeight="1">
      <c r="A340" s="17">
        <f>Github!J$842</f>
        <v>841</v>
      </c>
      <c r="B340" s="27" t="str">
        <f>HYPERLINK(CONCAT("http://leetcode.com/problems/",Github!C$842), Github!B$842)</f>
        <v>Keys and Rooms</v>
      </c>
      <c r="C340" s="17">
        <f>Github!F$842</f>
        <v>2817</v>
      </c>
      <c r="D340" s="17">
        <f>Github!G$842</f>
        <v>165</v>
      </c>
      <c r="E340" s="17">
        <f>Github!F$842+Github!G$842</f>
        <v>2982</v>
      </c>
      <c r="F340" s="18">
        <f t="shared" si="1"/>
        <v>17.07</v>
      </c>
      <c r="G340" s="17" t="str">
        <f>Github!H$842</f>
        <v>Algorithms</v>
      </c>
      <c r="H340" s="19" t="str">
        <f>SUBSTITUTE(Github!L$842, ";", ", ")</f>
        <v>Depth-First Search, Breadth-First Search, Graph, </v>
      </c>
      <c r="I340" s="17" t="str">
        <f>Github!E$842</f>
        <v>Medium</v>
      </c>
      <c r="J340" s="17" t="str">
        <f>IF(TRIM(Github!D$842)="TRUE","FALSE","TRUE")</f>
        <v>TRUE</v>
      </c>
      <c r="K340" s="17" t="b">
        <f>Github!M$842</f>
        <v>1</v>
      </c>
      <c r="L340" s="17" t="b">
        <f>Github!N$842</f>
        <v>0</v>
      </c>
      <c r="M340" s="17" t="str">
        <f>ROUND(Github!O$842, 2)&amp;"%"</f>
        <v>68.53%</v>
      </c>
      <c r="N340" s="17">
        <f>Github!P$842</f>
        <v>180806</v>
      </c>
      <c r="O340" s="17">
        <f>Github!Q$842</f>
        <v>263823</v>
      </c>
    </row>
    <row r="341" ht="18.0" customHeight="1">
      <c r="A341" s="17">
        <f>Github!J$993</f>
        <v>992</v>
      </c>
      <c r="B341" s="27" t="str">
        <f>HYPERLINK(CONCAT("http://leetcode.com/problems/",Github!C$993), Github!B$993)</f>
        <v>Subarrays with K Different Integers</v>
      </c>
      <c r="C341" s="17">
        <f>Github!F$993</f>
        <v>2794</v>
      </c>
      <c r="D341" s="17">
        <f>Github!G$993</f>
        <v>40</v>
      </c>
      <c r="E341" s="17">
        <f>Github!F$993+Github!G$993</f>
        <v>2834</v>
      </c>
      <c r="F341" s="18">
        <f t="shared" si="1"/>
        <v>69.85</v>
      </c>
      <c r="G341" s="17" t="str">
        <f>Github!H$993</f>
        <v>Algorithms</v>
      </c>
      <c r="H341" s="19" t="str">
        <f>SUBSTITUTE(Github!L$993, ";", ", ")</f>
        <v>Array, Hash Table, Sliding Window, Counting, </v>
      </c>
      <c r="I341" s="17" t="str">
        <f>Github!E$993</f>
        <v>Hard</v>
      </c>
      <c r="J341" s="17" t="str">
        <f>IF(TRIM(Github!D$993)="TRUE","FALSE","TRUE")</f>
        <v>TRUE</v>
      </c>
      <c r="K341" s="17" t="b">
        <f>Github!M$993</f>
        <v>0</v>
      </c>
      <c r="L341" s="17" t="b">
        <f>Github!N$993</f>
        <v>0</v>
      </c>
      <c r="M341" s="17" t="str">
        <f>ROUND(Github!O$993, 2)&amp;"%"</f>
        <v>53.26%</v>
      </c>
      <c r="N341" s="17">
        <f>Github!P$993</f>
        <v>65698</v>
      </c>
      <c r="O341" s="17">
        <f>Github!Q$993</f>
        <v>123346</v>
      </c>
    </row>
    <row r="342" ht="18.0" customHeight="1">
      <c r="A342" s="17">
        <f>Github!J$793</f>
        <v>792</v>
      </c>
      <c r="B342" s="27" t="str">
        <f>HYPERLINK(CONCAT("http://leetcode.com/problems/",Github!C$793), Github!B$793)</f>
        <v>Number of Matching Subsequences</v>
      </c>
      <c r="C342" s="17">
        <f>Github!F$793</f>
        <v>2793</v>
      </c>
      <c r="D342" s="17">
        <f>Github!G$793</f>
        <v>142</v>
      </c>
      <c r="E342" s="17">
        <f>Github!F$793+Github!G$793</f>
        <v>2935</v>
      </c>
      <c r="F342" s="18">
        <f t="shared" si="1"/>
        <v>19.67</v>
      </c>
      <c r="G342" s="17" t="str">
        <f>Github!H$793</f>
        <v>Algorithms</v>
      </c>
      <c r="H342" s="19" t="str">
        <f>SUBSTITUTE(Github!L$793, ";", ", ")</f>
        <v>Hash Table, String, Trie, Sorting, </v>
      </c>
      <c r="I342" s="17" t="str">
        <f>Github!E$793</f>
        <v>Medium</v>
      </c>
      <c r="J342" s="17" t="str">
        <f>IF(TRIM(Github!D$793)="TRUE","FALSE","TRUE")</f>
        <v>TRUE</v>
      </c>
      <c r="K342" s="17" t="b">
        <f>Github!M$793</f>
        <v>1</v>
      </c>
      <c r="L342" s="17" t="b">
        <f>Github!N$793</f>
        <v>0</v>
      </c>
      <c r="M342" s="17" t="str">
        <f>ROUND(Github!O$793, 2)&amp;"%"</f>
        <v>50.33%</v>
      </c>
      <c r="N342" s="17">
        <f>Github!P$793</f>
        <v>123415</v>
      </c>
      <c r="O342" s="17">
        <f>Github!Q$793</f>
        <v>245189</v>
      </c>
    </row>
    <row r="343" ht="18.0" customHeight="1">
      <c r="A343" s="17">
        <f>Github!J$606</f>
        <v>605</v>
      </c>
      <c r="B343" s="27" t="str">
        <f>HYPERLINK(CONCAT("http://leetcode.com/problems/",Github!C$606), Github!B$606)</f>
        <v>Can Place Flowers</v>
      </c>
      <c r="C343" s="17">
        <f>Github!F$606</f>
        <v>2775</v>
      </c>
      <c r="D343" s="17">
        <f>Github!G$606</f>
        <v>629</v>
      </c>
      <c r="E343" s="17">
        <f>Github!F$606+Github!G$606</f>
        <v>3404</v>
      </c>
      <c r="F343" s="18">
        <f t="shared" si="1"/>
        <v>4.41</v>
      </c>
      <c r="G343" s="17" t="str">
        <f>Github!H$606</f>
        <v>Algorithms</v>
      </c>
      <c r="H343" s="19" t="str">
        <f>SUBSTITUTE(Github!L$606, ";", ", ")</f>
        <v>Array, Greedy, </v>
      </c>
      <c r="I343" s="17" t="str">
        <f>Github!E$606</f>
        <v>Easy</v>
      </c>
      <c r="J343" s="17" t="str">
        <f>IF(TRIM(Github!D$606)="TRUE","FALSE","TRUE")</f>
        <v>TRUE</v>
      </c>
      <c r="K343" s="17" t="b">
        <f>Github!M$606</f>
        <v>1</v>
      </c>
      <c r="L343" s="17" t="b">
        <f>Github!N$606</f>
        <v>0</v>
      </c>
      <c r="M343" s="17" t="str">
        <f>ROUND(Github!O$606, 2)&amp;"%"</f>
        <v>33.01%</v>
      </c>
      <c r="N343" s="17">
        <f>Github!P$606</f>
        <v>280827</v>
      </c>
      <c r="O343" s="17">
        <f>Github!Q$606</f>
        <v>850668</v>
      </c>
    </row>
    <row r="344" ht="18.0" customHeight="1">
      <c r="A344" s="17">
        <f>Github!J$487</f>
        <v>486</v>
      </c>
      <c r="B344" s="27" t="str">
        <f>HYPERLINK(CONCAT("http://leetcode.com/problems/",Github!C$487), Github!B$487)</f>
        <v>Predict the Winner</v>
      </c>
      <c r="C344" s="17">
        <f>Github!F$487</f>
        <v>2753</v>
      </c>
      <c r="D344" s="17">
        <f>Github!G$487</f>
        <v>143</v>
      </c>
      <c r="E344" s="17">
        <f>Github!F$487+Github!G$487</f>
        <v>2896</v>
      </c>
      <c r="F344" s="18">
        <f t="shared" si="1"/>
        <v>19.25</v>
      </c>
      <c r="G344" s="17" t="str">
        <f>Github!H$487</f>
        <v>Algorithms</v>
      </c>
      <c r="H344" s="19" t="str">
        <f>SUBSTITUTE(Github!L$487, ";", ", ")</f>
        <v>Array, Math, Dynamic Programming, Recursion, Game Theory, </v>
      </c>
      <c r="I344" s="17" t="str">
        <f>Github!E$487</f>
        <v>Medium</v>
      </c>
      <c r="J344" s="17" t="str">
        <f>IF(TRIM(Github!D$487)="TRUE","FALSE","TRUE")</f>
        <v>TRUE</v>
      </c>
      <c r="K344" s="17" t="b">
        <f>Github!M$487</f>
        <v>1</v>
      </c>
      <c r="L344" s="17" t="b">
        <f>Github!N$487</f>
        <v>0</v>
      </c>
      <c r="M344" s="17" t="str">
        <f>ROUND(Github!O$487, 2)&amp;"%"</f>
        <v>50.11%</v>
      </c>
      <c r="N344" s="17">
        <f>Github!P$487</f>
        <v>107896</v>
      </c>
      <c r="O344" s="17">
        <f>Github!Q$487</f>
        <v>215304</v>
      </c>
    </row>
    <row r="345" ht="18.0" customHeight="1">
      <c r="A345" s="17">
        <f>Github!J$192</f>
        <v>191</v>
      </c>
      <c r="B345" s="27" t="str">
        <f>HYPERLINK(CONCAT("http://leetcode.com/problems/",Github!C$192), Github!B$192)</f>
        <v>Number of 1 Bits</v>
      </c>
      <c r="C345" s="17">
        <f>Github!F$192</f>
        <v>2722</v>
      </c>
      <c r="D345" s="17">
        <f>Github!G$192</f>
        <v>763</v>
      </c>
      <c r="E345" s="17">
        <f>Github!F$192+Github!G$192</f>
        <v>3485</v>
      </c>
      <c r="F345" s="18">
        <f t="shared" si="1"/>
        <v>3.57</v>
      </c>
      <c r="G345" s="17" t="str">
        <f>Github!H$192</f>
        <v>Algorithms</v>
      </c>
      <c r="H345" s="19" t="str">
        <f>SUBSTITUTE(Github!L$192, ";", ", ")</f>
        <v>Bit Manipulation, </v>
      </c>
      <c r="I345" s="17" t="str">
        <f>Github!E$192</f>
        <v>Easy</v>
      </c>
      <c r="J345" s="17" t="str">
        <f>IF(TRIM(Github!D$192)="TRUE","FALSE","TRUE")</f>
        <v>TRUE</v>
      </c>
      <c r="K345" s="17" t="b">
        <f>Github!M$192</f>
        <v>1</v>
      </c>
      <c r="L345" s="17" t="b">
        <f>Github!N$192</f>
        <v>0</v>
      </c>
      <c r="M345" s="17" t="str">
        <f>ROUND(Github!O$192, 2)&amp;"%"</f>
        <v>59.49%</v>
      </c>
      <c r="N345" s="17">
        <f>Github!P$192</f>
        <v>663108</v>
      </c>
      <c r="O345" s="17">
        <f>Github!Q$192</f>
        <v>1114685</v>
      </c>
    </row>
    <row r="346" ht="18.0" customHeight="1">
      <c r="A346" s="17">
        <f>Github!J$475</f>
        <v>474</v>
      </c>
      <c r="B346" s="27" t="str">
        <f>HYPERLINK(CONCAT("http://leetcode.com/problems/",Github!C$475), Github!B$475)</f>
        <v>Ones and Zeroes</v>
      </c>
      <c r="C346" s="17">
        <f>Github!F$475</f>
        <v>2719</v>
      </c>
      <c r="D346" s="17">
        <f>Github!G$475</f>
        <v>317</v>
      </c>
      <c r="E346" s="17">
        <f>Github!F$475+Github!G$475</f>
        <v>3036</v>
      </c>
      <c r="F346" s="18">
        <f t="shared" si="1"/>
        <v>8.58</v>
      </c>
      <c r="G346" s="17" t="str">
        <f>Github!H$475</f>
        <v>Algorithms</v>
      </c>
      <c r="H346" s="19" t="str">
        <f>SUBSTITUTE(Github!L$475, ";", ", ")</f>
        <v>Array, String, Dynamic Programming, </v>
      </c>
      <c r="I346" s="17" t="str">
        <f>Github!E$475</f>
        <v>Medium</v>
      </c>
      <c r="J346" s="17" t="str">
        <f>IF(TRIM(Github!D$475)="TRUE","FALSE","TRUE")</f>
        <v>TRUE</v>
      </c>
      <c r="K346" s="17" t="b">
        <f>Github!M$475</f>
        <v>1</v>
      </c>
      <c r="L346" s="17" t="b">
        <f>Github!N$475</f>
        <v>0</v>
      </c>
      <c r="M346" s="17" t="str">
        <f>ROUND(Github!O$475, 2)&amp;"%"</f>
        <v>44.42%</v>
      </c>
      <c r="N346" s="17">
        <f>Github!P$475</f>
        <v>103376</v>
      </c>
      <c r="O346" s="17">
        <f>Github!Q$475</f>
        <v>232719</v>
      </c>
    </row>
    <row r="347" ht="18.0" customHeight="1">
      <c r="A347" s="17">
        <f>Github!J$863</f>
        <v>862</v>
      </c>
      <c r="B347" s="27" t="str">
        <f>HYPERLINK(CONCAT("http://leetcode.com/problems/",Github!C$863), Github!B$863)</f>
        <v>Shortest Subarray with Sum at Least K</v>
      </c>
      <c r="C347" s="17">
        <f>Github!F$863</f>
        <v>2716</v>
      </c>
      <c r="D347" s="17">
        <f>Github!G$863</f>
        <v>69</v>
      </c>
      <c r="E347" s="17">
        <f>Github!F$863+Github!G$863</f>
        <v>2785</v>
      </c>
      <c r="F347" s="18">
        <f t="shared" si="1"/>
        <v>39.36</v>
      </c>
      <c r="G347" s="17" t="str">
        <f>Github!H$863</f>
        <v>Algorithms</v>
      </c>
      <c r="H347" s="19" t="str">
        <f>SUBSTITUTE(Github!L$863, ";", ", ")</f>
        <v>Array, Binary Search, Queue, Sliding Window, Heap (Priority Queue), Prefix Sum, Monotonic Queue, </v>
      </c>
      <c r="I347" s="17" t="str">
        <f>Github!E$863</f>
        <v>Hard</v>
      </c>
      <c r="J347" s="17" t="str">
        <f>IF(TRIM(Github!D$863)="TRUE","FALSE","TRUE")</f>
        <v>TRUE</v>
      </c>
      <c r="K347" s="17" t="b">
        <f>Github!M$863</f>
        <v>1</v>
      </c>
      <c r="L347" s="17" t="b">
        <f>Github!N$863</f>
        <v>0</v>
      </c>
      <c r="M347" s="17" t="str">
        <f>ROUND(Github!O$863, 2)&amp;"%"</f>
        <v>26.14%</v>
      </c>
      <c r="N347" s="17">
        <f>Github!P$863</f>
        <v>66823</v>
      </c>
      <c r="O347" s="17">
        <f>Github!Q$863</f>
        <v>255677</v>
      </c>
    </row>
    <row r="348" ht="18.0" customHeight="1">
      <c r="A348" s="17">
        <f>Github!J$155</f>
        <v>154</v>
      </c>
      <c r="B348" s="27" t="str">
        <f>HYPERLINK(CONCAT("http://leetcode.com/problems/",Github!C$155), Github!B$155)</f>
        <v>Find Minimum in Rotated Sorted Array II</v>
      </c>
      <c r="C348" s="17">
        <f>Github!F$155</f>
        <v>2713</v>
      </c>
      <c r="D348" s="17">
        <f>Github!G$155</f>
        <v>365</v>
      </c>
      <c r="E348" s="17">
        <f>Github!F$155+Github!G$155</f>
        <v>3078</v>
      </c>
      <c r="F348" s="18">
        <f t="shared" si="1"/>
        <v>7.43</v>
      </c>
      <c r="G348" s="17" t="str">
        <f>Github!H$155</f>
        <v>Algorithms</v>
      </c>
      <c r="H348" s="19" t="str">
        <f>SUBSTITUTE(Github!L$155, ";", ", ")</f>
        <v>Array, Binary Search, </v>
      </c>
      <c r="I348" s="17" t="str">
        <f>Github!E$155</f>
        <v>Hard</v>
      </c>
      <c r="J348" s="17" t="str">
        <f>IF(TRIM(Github!D$155)="TRUE","FALSE","TRUE")</f>
        <v>TRUE</v>
      </c>
      <c r="K348" s="17" t="b">
        <f>Github!M$155</f>
        <v>1</v>
      </c>
      <c r="L348" s="17" t="b">
        <f>Github!N$155</f>
        <v>0</v>
      </c>
      <c r="M348" s="17" t="str">
        <f>ROUND(Github!O$155, 2)&amp;"%"</f>
        <v>43.24%</v>
      </c>
      <c r="N348" s="17">
        <f>Github!P$155</f>
        <v>315230</v>
      </c>
      <c r="O348" s="17">
        <f>Github!Q$155</f>
        <v>729081</v>
      </c>
    </row>
    <row r="349" ht="18.0" customHeight="1">
      <c r="A349" s="17">
        <f>Github!J$1111</f>
        <v>1110</v>
      </c>
      <c r="B349" s="27" t="str">
        <f>HYPERLINK(CONCAT("http://leetcode.com/problems/",Github!C$1111), Github!B$1111)</f>
        <v>Delete Nodes And Return Forest</v>
      </c>
      <c r="C349" s="17">
        <f>Github!F$1111</f>
        <v>2704</v>
      </c>
      <c r="D349" s="17">
        <f>Github!G$1111</f>
        <v>78</v>
      </c>
      <c r="E349" s="17">
        <f>Github!F$1111+Github!G$1111</f>
        <v>2782</v>
      </c>
      <c r="F349" s="18">
        <f t="shared" si="1"/>
        <v>34.67</v>
      </c>
      <c r="G349" s="17" t="str">
        <f>Github!H$1111</f>
        <v>Algorithms</v>
      </c>
      <c r="H349" s="19" t="str">
        <f>SUBSTITUTE(Github!L$1111, ";", ", ")</f>
        <v>Tree, Depth-First Search, Binary Tree, </v>
      </c>
      <c r="I349" s="17" t="str">
        <f>Github!E$1111</f>
        <v>Medium</v>
      </c>
      <c r="J349" s="17" t="str">
        <f>IF(TRIM(Github!D$1111)="TRUE","FALSE","TRUE")</f>
        <v>TRUE</v>
      </c>
      <c r="K349" s="17" t="b">
        <f>Github!M$1111</f>
        <v>0</v>
      </c>
      <c r="L349" s="17" t="b">
        <f>Github!N$1111</f>
        <v>0</v>
      </c>
      <c r="M349" s="17" t="str">
        <f>ROUND(Github!O$1111, 2)&amp;"%"</f>
        <v>69.2%</v>
      </c>
      <c r="N349" s="17">
        <f>Github!P$1111</f>
        <v>150830</v>
      </c>
      <c r="O349" s="17">
        <f>Github!Q$1111</f>
        <v>217975</v>
      </c>
    </row>
    <row r="350" ht="18.0" customHeight="1">
      <c r="A350" s="17">
        <f>Github!J$151</f>
        <v>150</v>
      </c>
      <c r="B350" s="27" t="str">
        <f>HYPERLINK(CONCAT("http://leetcode.com/problems/",Github!C$151), Github!B$151)</f>
        <v>Evaluate Reverse Polish Notation</v>
      </c>
      <c r="C350" s="17">
        <f>Github!F$151</f>
        <v>2696</v>
      </c>
      <c r="D350" s="17">
        <f>Github!G$151</f>
        <v>603</v>
      </c>
      <c r="E350" s="17">
        <f>Github!F$151+Github!G$151</f>
        <v>3299</v>
      </c>
      <c r="F350" s="18">
        <f t="shared" si="1"/>
        <v>4.47</v>
      </c>
      <c r="G350" s="17" t="str">
        <f>Github!H$151</f>
        <v>Algorithms</v>
      </c>
      <c r="H350" s="19" t="str">
        <f>SUBSTITUTE(Github!L$151, ";", ", ")</f>
        <v>Array, Math, Stack, </v>
      </c>
      <c r="I350" s="17" t="str">
        <f>Github!E$151</f>
        <v>Medium</v>
      </c>
      <c r="J350" s="17" t="str">
        <f>IF(TRIM(Github!D$151)="TRUE","FALSE","TRUE")</f>
        <v>TRUE</v>
      </c>
      <c r="K350" s="17" t="b">
        <f>Github!M$151</f>
        <v>1</v>
      </c>
      <c r="L350" s="17" t="b">
        <f>Github!N$151</f>
        <v>0</v>
      </c>
      <c r="M350" s="17" t="str">
        <f>ROUND(Github!O$151, 2)&amp;"%"</f>
        <v>41.86%</v>
      </c>
      <c r="N350" s="17">
        <f>Github!P$151</f>
        <v>378673</v>
      </c>
      <c r="O350" s="17">
        <f>Github!Q$151</f>
        <v>904599</v>
      </c>
    </row>
    <row r="351" ht="18.0" customHeight="1">
      <c r="A351" s="17">
        <f>Github!J$697</f>
        <v>696</v>
      </c>
      <c r="B351" s="27" t="str">
        <f>HYPERLINK(CONCAT("http://leetcode.com/problems/",Github!C$697), Github!B$697)</f>
        <v>Count Binary Substrings</v>
      </c>
      <c r="C351" s="17">
        <f>Github!F$697</f>
        <v>2678</v>
      </c>
      <c r="D351" s="17">
        <f>Github!G$697</f>
        <v>562</v>
      </c>
      <c r="E351" s="17">
        <f>Github!F$697+Github!G$697</f>
        <v>3240</v>
      </c>
      <c r="F351" s="18">
        <f t="shared" si="1"/>
        <v>4.77</v>
      </c>
      <c r="G351" s="17" t="str">
        <f>Github!H$697</f>
        <v>Algorithms</v>
      </c>
      <c r="H351" s="19" t="str">
        <f>SUBSTITUTE(Github!L$697, ";", ", ")</f>
        <v>Two Pointers, String, </v>
      </c>
      <c r="I351" s="17" t="str">
        <f>Github!E$697</f>
        <v>Easy</v>
      </c>
      <c r="J351" s="17" t="str">
        <f>IF(TRIM(Github!D$697)="TRUE","FALSE","TRUE")</f>
        <v>TRUE</v>
      </c>
      <c r="K351" s="17" t="b">
        <f>Github!M$697</f>
        <v>1</v>
      </c>
      <c r="L351" s="17" t="b">
        <f>Github!N$697</f>
        <v>0</v>
      </c>
      <c r="M351" s="17" t="str">
        <f>ROUND(Github!O$697, 2)&amp;"%"</f>
        <v>64.56%</v>
      </c>
      <c r="N351" s="17">
        <f>Github!P$697</f>
        <v>138170</v>
      </c>
      <c r="O351" s="17">
        <f>Github!Q$697</f>
        <v>214010</v>
      </c>
    </row>
    <row r="352" ht="18.0" customHeight="1">
      <c r="A352" s="17">
        <f>Github!J$981</f>
        <v>980</v>
      </c>
      <c r="B352" s="27" t="str">
        <f>HYPERLINK(CONCAT("http://leetcode.com/problems/",Github!C$981), Github!B$981)</f>
        <v>Unique Paths III</v>
      </c>
      <c r="C352" s="17">
        <f>Github!F$981</f>
        <v>2658</v>
      </c>
      <c r="D352" s="17">
        <f>Github!G$981</f>
        <v>130</v>
      </c>
      <c r="E352" s="17">
        <f>Github!F$981+Github!G$981</f>
        <v>2788</v>
      </c>
      <c r="F352" s="18">
        <f t="shared" si="1"/>
        <v>20.45</v>
      </c>
      <c r="G352" s="17" t="str">
        <f>Github!H$981</f>
        <v>Algorithms</v>
      </c>
      <c r="H352" s="19" t="str">
        <f>SUBSTITUTE(Github!L$981, ";", ", ")</f>
        <v>Array, Backtracking, Bit Manipulation, Matrix, </v>
      </c>
      <c r="I352" s="17" t="str">
        <f>Github!E$981</f>
        <v>Hard</v>
      </c>
      <c r="J352" s="17" t="str">
        <f>IF(TRIM(Github!D$981)="TRUE","FALSE","TRUE")</f>
        <v>TRUE</v>
      </c>
      <c r="K352" s="17" t="b">
        <f>Github!M$981</f>
        <v>1</v>
      </c>
      <c r="L352" s="17" t="b">
        <f>Github!N$981</f>
        <v>0</v>
      </c>
      <c r="M352" s="17" t="str">
        <f>ROUND(Github!O$981, 2)&amp;"%"</f>
        <v>79.43%</v>
      </c>
      <c r="N352" s="17">
        <f>Github!P$981</f>
        <v>110430</v>
      </c>
      <c r="O352" s="17">
        <f>Github!Q$981</f>
        <v>139036</v>
      </c>
    </row>
    <row r="353" ht="18.0" customHeight="1">
      <c r="A353" s="17">
        <f>Github!J$217</f>
        <v>216</v>
      </c>
      <c r="B353" s="27" t="str">
        <f>HYPERLINK(CONCAT("http://leetcode.com/problems/",Github!C$217), Github!B$217)</f>
        <v>Combination Sum III</v>
      </c>
      <c r="C353" s="17">
        <f>Github!F$217</f>
        <v>2655</v>
      </c>
      <c r="D353" s="17">
        <f>Github!G$217</f>
        <v>73</v>
      </c>
      <c r="E353" s="17">
        <f>Github!F$217+Github!G$217</f>
        <v>2728</v>
      </c>
      <c r="F353" s="18">
        <f t="shared" si="1"/>
        <v>36.37</v>
      </c>
      <c r="G353" s="17" t="str">
        <f>Github!H$217</f>
        <v>Algorithms</v>
      </c>
      <c r="H353" s="19" t="str">
        <f>SUBSTITUTE(Github!L$217, ";", ", ")</f>
        <v>Array, Backtracking, </v>
      </c>
      <c r="I353" s="17" t="str">
        <f>Github!E$217</f>
        <v>Medium</v>
      </c>
      <c r="J353" s="17" t="str">
        <f>IF(TRIM(Github!D$217)="TRUE","FALSE","TRUE")</f>
        <v>TRUE</v>
      </c>
      <c r="K353" s="17" t="b">
        <f>Github!M$217</f>
        <v>1</v>
      </c>
      <c r="L353" s="17" t="b">
        <f>Github!N$217</f>
        <v>0</v>
      </c>
      <c r="M353" s="17" t="str">
        <f>ROUND(Github!O$217, 2)&amp;"%"</f>
        <v>63.63%</v>
      </c>
      <c r="N353" s="17">
        <f>Github!P$217</f>
        <v>278081</v>
      </c>
      <c r="O353" s="17">
        <f>Github!Q$217</f>
        <v>437057</v>
      </c>
    </row>
    <row r="354" ht="18.0" customHeight="1">
      <c r="A354" s="17">
        <f>Github!J$1424</f>
        <v>1423</v>
      </c>
      <c r="B354" s="27" t="str">
        <f>HYPERLINK(CONCAT("http://leetcode.com/problems/",Github!C$1424), Github!B$1424)</f>
        <v>Maximum Points You Can Obtain from Cards</v>
      </c>
      <c r="C354" s="17">
        <f>Github!F$1424</f>
        <v>2642</v>
      </c>
      <c r="D354" s="17">
        <f>Github!G$1424</f>
        <v>107</v>
      </c>
      <c r="E354" s="17">
        <f>Github!F$1424+Github!G$1424</f>
        <v>2749</v>
      </c>
      <c r="F354" s="18">
        <f t="shared" si="1"/>
        <v>24.69</v>
      </c>
      <c r="G354" s="17" t="str">
        <f>Github!H$1424</f>
        <v>Algorithms</v>
      </c>
      <c r="H354" s="19" t="str">
        <f>SUBSTITUTE(Github!L$1424, ";", ", ")</f>
        <v>Array, Sliding Window, Prefix Sum, </v>
      </c>
      <c r="I354" s="17" t="str">
        <f>Github!E$1424</f>
        <v>Medium</v>
      </c>
      <c r="J354" s="17" t="str">
        <f>IF(TRIM(Github!D$1424)="TRUE","FALSE","TRUE")</f>
        <v>TRUE</v>
      </c>
      <c r="K354" s="17" t="b">
        <f>Github!M$1424</f>
        <v>1</v>
      </c>
      <c r="L354" s="17" t="b">
        <f>Github!N$1424</f>
        <v>0</v>
      </c>
      <c r="M354" s="17" t="str">
        <f>ROUND(Github!O$1424, 2)&amp;"%"</f>
        <v>49.89%</v>
      </c>
      <c r="N354" s="17">
        <f>Github!P$1424</f>
        <v>122207</v>
      </c>
      <c r="O354" s="17">
        <f>Github!Q$1424</f>
        <v>244950</v>
      </c>
    </row>
    <row r="355" ht="18.0" customHeight="1">
      <c r="A355" s="17">
        <f>Github!J$753</f>
        <v>752</v>
      </c>
      <c r="B355" s="27" t="str">
        <f>HYPERLINK(CONCAT("http://leetcode.com/problems/",Github!C$753), Github!B$753)</f>
        <v>Open the Lock</v>
      </c>
      <c r="C355" s="17">
        <f>Github!F$753</f>
        <v>2641</v>
      </c>
      <c r="D355" s="17">
        <f>Github!G$753</f>
        <v>88</v>
      </c>
      <c r="E355" s="17">
        <f>Github!F$753+Github!G$753</f>
        <v>2729</v>
      </c>
      <c r="F355" s="18">
        <f t="shared" si="1"/>
        <v>30.01</v>
      </c>
      <c r="G355" s="17" t="str">
        <f>Github!H$753</f>
        <v>Algorithms</v>
      </c>
      <c r="H355" s="19" t="str">
        <f>SUBSTITUTE(Github!L$753, ";", ", ")</f>
        <v>Array, Hash Table, String, Breadth-First Search, </v>
      </c>
      <c r="I355" s="17" t="str">
        <f>Github!E$753</f>
        <v>Medium</v>
      </c>
      <c r="J355" s="17" t="str">
        <f>IF(TRIM(Github!D$753)="TRUE","FALSE","TRUE")</f>
        <v>TRUE</v>
      </c>
      <c r="K355" s="17" t="b">
        <f>Github!M$753</f>
        <v>1</v>
      </c>
      <c r="L355" s="17" t="b">
        <f>Github!N$753</f>
        <v>0</v>
      </c>
      <c r="M355" s="17" t="str">
        <f>ROUND(Github!O$753, 2)&amp;"%"</f>
        <v>55.23%</v>
      </c>
      <c r="N355" s="17">
        <f>Github!P$753</f>
        <v>152515</v>
      </c>
      <c r="O355" s="17">
        <f>Github!Q$753</f>
        <v>276127</v>
      </c>
    </row>
    <row r="356" ht="18.0" customHeight="1">
      <c r="A356" s="17">
        <f>Github!J$169</f>
        <v>168</v>
      </c>
      <c r="B356" s="27" t="str">
        <f>HYPERLINK(CONCAT("http://leetcode.com/problems/",Github!C$169), Github!B$169)</f>
        <v>Excel Sheet Column Title</v>
      </c>
      <c r="C356" s="17">
        <f>Github!F$169</f>
        <v>2623</v>
      </c>
      <c r="D356" s="17">
        <f>Github!G$169</f>
        <v>395</v>
      </c>
      <c r="E356" s="17">
        <f>Github!F$169+Github!G$169</f>
        <v>3018</v>
      </c>
      <c r="F356" s="18">
        <f t="shared" si="1"/>
        <v>6.64</v>
      </c>
      <c r="G356" s="17" t="str">
        <f>Github!H$169</f>
        <v>Algorithms</v>
      </c>
      <c r="H356" s="19" t="str">
        <f>SUBSTITUTE(Github!L$169, ";", ", ")</f>
        <v>Math, String, </v>
      </c>
      <c r="I356" s="17" t="str">
        <f>Github!E$169</f>
        <v>Easy</v>
      </c>
      <c r="J356" s="17" t="str">
        <f>IF(TRIM(Github!D$169)="TRUE","FALSE","TRUE")</f>
        <v>TRUE</v>
      </c>
      <c r="K356" s="17" t="b">
        <f>Github!M$169</f>
        <v>0</v>
      </c>
      <c r="L356" s="17" t="b">
        <f>Github!N$169</f>
        <v>0</v>
      </c>
      <c r="M356" s="17" t="str">
        <f>ROUND(Github!O$169, 2)&amp;"%"</f>
        <v>33.7%</v>
      </c>
      <c r="N356" s="17">
        <f>Github!P$169</f>
        <v>304424</v>
      </c>
      <c r="O356" s="17">
        <f>Github!Q$169</f>
        <v>903245</v>
      </c>
    </row>
    <row r="357" ht="18.0" customHeight="1">
      <c r="A357" s="17">
        <f>Github!J$308</f>
        <v>307</v>
      </c>
      <c r="B357" s="27" t="str">
        <f>HYPERLINK(CONCAT("http://leetcode.com/problems/",Github!C$308), Github!B$308)</f>
        <v>Range Sum Query - Mutable</v>
      </c>
      <c r="C357" s="17">
        <f>Github!F$308</f>
        <v>2623</v>
      </c>
      <c r="D357" s="17">
        <f>Github!G$308</f>
        <v>142</v>
      </c>
      <c r="E357" s="17">
        <f>Github!F$308+Github!G$308</f>
        <v>2765</v>
      </c>
      <c r="F357" s="18">
        <f t="shared" si="1"/>
        <v>18.47</v>
      </c>
      <c r="G357" s="17" t="str">
        <f>Github!H$308</f>
        <v>Algorithms</v>
      </c>
      <c r="H357" s="19" t="str">
        <f>SUBSTITUTE(Github!L$308, ";", ", ")</f>
        <v>Array, Design, Binary Indexed Tree, Segment Tree, </v>
      </c>
      <c r="I357" s="17" t="str">
        <f>Github!E$308</f>
        <v>Medium</v>
      </c>
      <c r="J357" s="17" t="str">
        <f>IF(TRIM(Github!D$308)="TRUE","FALSE","TRUE")</f>
        <v>TRUE</v>
      </c>
      <c r="K357" s="17" t="b">
        <f>Github!M$308</f>
        <v>1</v>
      </c>
      <c r="L357" s="17" t="b">
        <f>Github!N$308</f>
        <v>0</v>
      </c>
      <c r="M357" s="17" t="str">
        <f>ROUND(Github!O$308, 2)&amp;"%"</f>
        <v>38.53%</v>
      </c>
      <c r="N357" s="17">
        <f>Github!P$308</f>
        <v>176521</v>
      </c>
      <c r="O357" s="17">
        <f>Github!Q$308</f>
        <v>458083</v>
      </c>
    </row>
    <row r="358" ht="18.0" customHeight="1">
      <c r="A358" s="17">
        <f>Github!J$136</f>
        <v>135</v>
      </c>
      <c r="B358" s="27" t="str">
        <f>HYPERLINK(CONCAT("http://leetcode.com/problems/",Github!C$136), Github!B$136)</f>
        <v>Candy</v>
      </c>
      <c r="C358" s="17">
        <f>Github!F$136</f>
        <v>2623</v>
      </c>
      <c r="D358" s="17">
        <f>Github!G$136</f>
        <v>245</v>
      </c>
      <c r="E358" s="17">
        <f>Github!F$136+Github!G$136</f>
        <v>2868</v>
      </c>
      <c r="F358" s="18">
        <f t="shared" si="1"/>
        <v>10.71</v>
      </c>
      <c r="G358" s="17" t="str">
        <f>Github!H$136</f>
        <v>Algorithms</v>
      </c>
      <c r="H358" s="19" t="str">
        <f>SUBSTITUTE(Github!L$136, ";", ", ")</f>
        <v>Array, Greedy, </v>
      </c>
      <c r="I358" s="17" t="str">
        <f>Github!E$136</f>
        <v>Hard</v>
      </c>
      <c r="J358" s="17" t="str">
        <f>IF(TRIM(Github!D$136)="TRUE","FALSE","TRUE")</f>
        <v>TRUE</v>
      </c>
      <c r="K358" s="17" t="b">
        <f>Github!M$136</f>
        <v>1</v>
      </c>
      <c r="L358" s="17" t="b">
        <f>Github!N$136</f>
        <v>0</v>
      </c>
      <c r="M358" s="17" t="str">
        <f>ROUND(Github!O$136, 2)&amp;"%"</f>
        <v>36.74%</v>
      </c>
      <c r="N358" s="17">
        <f>Github!P$136</f>
        <v>206695</v>
      </c>
      <c r="O358" s="17">
        <f>Github!Q$136</f>
        <v>562524</v>
      </c>
    </row>
    <row r="359" ht="18.0" customHeight="1">
      <c r="A359" s="17">
        <f>Github!J$954</f>
        <v>953</v>
      </c>
      <c r="B359" s="27" t="str">
        <f>HYPERLINK(CONCAT("http://leetcode.com/problems/",Github!C$954), Github!B$954)</f>
        <v>Verifying an Alien Dictionary</v>
      </c>
      <c r="C359" s="17">
        <f>Github!F$954</f>
        <v>2621</v>
      </c>
      <c r="D359" s="17">
        <f>Github!G$954</f>
        <v>888</v>
      </c>
      <c r="E359" s="17">
        <f>Github!F$954+Github!G$954</f>
        <v>3509</v>
      </c>
      <c r="F359" s="18">
        <f t="shared" si="1"/>
        <v>2.95</v>
      </c>
      <c r="G359" s="17" t="str">
        <f>Github!H$954</f>
        <v>Algorithms</v>
      </c>
      <c r="H359" s="19" t="str">
        <f>SUBSTITUTE(Github!L$954, ";", ", ")</f>
        <v>Array, Hash Table, String, </v>
      </c>
      <c r="I359" s="17" t="str">
        <f>Github!E$954</f>
        <v>Easy</v>
      </c>
      <c r="J359" s="17" t="str">
        <f>IF(TRIM(Github!D$954)="TRUE","FALSE","TRUE")</f>
        <v>TRUE</v>
      </c>
      <c r="K359" s="17" t="b">
        <f>Github!M$954</f>
        <v>1</v>
      </c>
      <c r="L359" s="17" t="b">
        <f>Github!N$954</f>
        <v>0</v>
      </c>
      <c r="M359" s="17" t="str">
        <f>ROUND(Github!O$954, 2)&amp;"%"</f>
        <v>52.42%</v>
      </c>
      <c r="N359" s="17">
        <f>Github!P$954</f>
        <v>334506</v>
      </c>
      <c r="O359" s="17">
        <f>Github!Q$954</f>
        <v>638116</v>
      </c>
    </row>
    <row r="360" ht="18.0" customHeight="1">
      <c r="A360" s="17">
        <f>Github!J$975</f>
        <v>974</v>
      </c>
      <c r="B360" s="27" t="str">
        <f>HYPERLINK(CONCAT("http://leetcode.com/problems/",Github!C$975), Github!B$975)</f>
        <v>Subarray Sums Divisible by K</v>
      </c>
      <c r="C360" s="17">
        <f>Github!F$975</f>
        <v>2618</v>
      </c>
      <c r="D360" s="17">
        <f>Github!G$975</f>
        <v>131</v>
      </c>
      <c r="E360" s="17">
        <f>Github!F$975+Github!G$975</f>
        <v>2749</v>
      </c>
      <c r="F360" s="18">
        <f t="shared" si="1"/>
        <v>19.98</v>
      </c>
      <c r="G360" s="17" t="str">
        <f>Github!H$975</f>
        <v>Algorithms</v>
      </c>
      <c r="H360" s="19" t="str">
        <f>SUBSTITUTE(Github!L$975, ";", ", ")</f>
        <v>Array, Hash Table, Prefix Sum, </v>
      </c>
      <c r="I360" s="17" t="str">
        <f>Github!E$975</f>
        <v>Medium</v>
      </c>
      <c r="J360" s="17" t="str">
        <f>IF(TRIM(Github!D$975)="TRUE","FALSE","TRUE")</f>
        <v>TRUE</v>
      </c>
      <c r="K360" s="17" t="b">
        <f>Github!M$975</f>
        <v>0</v>
      </c>
      <c r="L360" s="17" t="b">
        <f>Github!N$975</f>
        <v>0</v>
      </c>
      <c r="M360" s="17" t="str">
        <f>ROUND(Github!O$975, 2)&amp;"%"</f>
        <v>53.05%</v>
      </c>
      <c r="N360" s="17">
        <f>Github!P$975</f>
        <v>89084</v>
      </c>
      <c r="O360" s="17">
        <f>Github!Q$975</f>
        <v>167941</v>
      </c>
    </row>
    <row r="361" ht="18.0" customHeight="1">
      <c r="A361" s="17">
        <f>Github!J$584</f>
        <v>583</v>
      </c>
      <c r="B361" s="27" t="str">
        <f>HYPERLINK(CONCAT("http://leetcode.com/problems/",Github!C$584), Github!B$584)</f>
        <v>Delete Operation for Two Strings</v>
      </c>
      <c r="C361" s="17">
        <f>Github!F$584</f>
        <v>2615</v>
      </c>
      <c r="D361" s="17">
        <f>Github!G$584</f>
        <v>42</v>
      </c>
      <c r="E361" s="17">
        <f>Github!F$584+Github!G$584</f>
        <v>2657</v>
      </c>
      <c r="F361" s="18">
        <f t="shared" si="1"/>
        <v>62.26</v>
      </c>
      <c r="G361" s="17" t="str">
        <f>Github!H$584</f>
        <v>Algorithms</v>
      </c>
      <c r="H361" s="19" t="str">
        <f>SUBSTITUTE(Github!L$584, ";", ", ")</f>
        <v>String, Dynamic Programming, </v>
      </c>
      <c r="I361" s="17" t="str">
        <f>Github!E$584</f>
        <v>Medium</v>
      </c>
      <c r="J361" s="17" t="str">
        <f>IF(TRIM(Github!D$584)="TRUE","FALSE","TRUE")</f>
        <v>TRUE</v>
      </c>
      <c r="K361" s="17" t="b">
        <f>Github!M$584</f>
        <v>1</v>
      </c>
      <c r="L361" s="17" t="b">
        <f>Github!N$584</f>
        <v>0</v>
      </c>
      <c r="M361" s="17" t="str">
        <f>ROUND(Github!O$584, 2)&amp;"%"</f>
        <v>55.3%</v>
      </c>
      <c r="N361" s="17">
        <f>Github!P$584</f>
        <v>109421</v>
      </c>
      <c r="O361" s="17">
        <f>Github!Q$584</f>
        <v>197867</v>
      </c>
    </row>
    <row r="362" ht="18.0" customHeight="1">
      <c r="A362" s="17">
        <f>Github!J$390</f>
        <v>389</v>
      </c>
      <c r="B362" s="27" t="str">
        <f>HYPERLINK(CONCAT("http://leetcode.com/problems/",Github!C$390), Github!B$390)</f>
        <v>Find the Difference</v>
      </c>
      <c r="C362" s="17">
        <f>Github!F$390</f>
        <v>2607</v>
      </c>
      <c r="D362" s="17">
        <f>Github!G$390</f>
        <v>373</v>
      </c>
      <c r="E362" s="17">
        <f>Github!F$390+Github!G$390</f>
        <v>2980</v>
      </c>
      <c r="F362" s="18">
        <f t="shared" si="1"/>
        <v>6.99</v>
      </c>
      <c r="G362" s="17" t="str">
        <f>Github!H$390</f>
        <v>Algorithms</v>
      </c>
      <c r="H362" s="19" t="str">
        <f>SUBSTITUTE(Github!L$390, ";", ", ")</f>
        <v>Hash Table, String, Bit Manipulation, Sorting, </v>
      </c>
      <c r="I362" s="17" t="str">
        <f>Github!E$390</f>
        <v>Easy</v>
      </c>
      <c r="J362" s="17" t="str">
        <f>IF(TRIM(Github!D$390)="TRUE","FALSE","TRUE")</f>
        <v>TRUE</v>
      </c>
      <c r="K362" s="17" t="b">
        <f>Github!M$390</f>
        <v>1</v>
      </c>
      <c r="L362" s="17" t="b">
        <f>Github!N$390</f>
        <v>0</v>
      </c>
      <c r="M362" s="17" t="str">
        <f>ROUND(Github!O$390, 2)&amp;"%"</f>
        <v>60.48%</v>
      </c>
      <c r="N362" s="17">
        <f>Github!P$390</f>
        <v>373292</v>
      </c>
      <c r="O362" s="17">
        <f>Github!Q$390</f>
        <v>617198</v>
      </c>
    </row>
    <row r="363" ht="18.0" customHeight="1">
      <c r="A363" s="17">
        <f>Github!J$60</f>
        <v>59</v>
      </c>
      <c r="B363" s="27" t="str">
        <f>HYPERLINK(CONCAT("http://leetcode.com/problems/",Github!C$60), Github!B$60)</f>
        <v>Spiral Matrix II</v>
      </c>
      <c r="C363" s="17">
        <f>Github!F$60</f>
        <v>2608</v>
      </c>
      <c r="D363" s="17">
        <f>Github!G$60</f>
        <v>163</v>
      </c>
      <c r="E363" s="17">
        <f>Github!F$60+Github!G$60</f>
        <v>2771</v>
      </c>
      <c r="F363" s="18">
        <f t="shared" si="1"/>
        <v>16</v>
      </c>
      <c r="G363" s="17" t="str">
        <f>Github!H$60</f>
        <v>Algorithms</v>
      </c>
      <c r="H363" s="19" t="str">
        <f>SUBSTITUTE(Github!L$60, ";", ", ")</f>
        <v>Array, Matrix, Simulation, </v>
      </c>
      <c r="I363" s="17" t="str">
        <f>Github!E$60</f>
        <v>Medium</v>
      </c>
      <c r="J363" s="17" t="str">
        <f>IF(TRIM(Github!D$60)="TRUE","FALSE","TRUE")</f>
        <v>TRUE</v>
      </c>
      <c r="K363" s="17" t="b">
        <f>Github!M$60</f>
        <v>1</v>
      </c>
      <c r="L363" s="17" t="b">
        <f>Github!N$60</f>
        <v>0</v>
      </c>
      <c r="M363" s="17" t="str">
        <f>ROUND(Github!O$60, 2)&amp;"%"</f>
        <v>61.97%</v>
      </c>
      <c r="N363" s="17">
        <f>Github!P$60</f>
        <v>307790</v>
      </c>
      <c r="O363" s="17">
        <f>Github!Q$60</f>
        <v>496700</v>
      </c>
    </row>
    <row r="364" ht="18.0" customHeight="1">
      <c r="A364" s="17">
        <f>Github!J$994</f>
        <v>993</v>
      </c>
      <c r="B364" s="27" t="str">
        <f>HYPERLINK(CONCAT("http://leetcode.com/problems/",Github!C$994), Github!B$994)</f>
        <v>Cousins in Binary Tree</v>
      </c>
      <c r="C364" s="17">
        <f>Github!F$994</f>
        <v>2605</v>
      </c>
      <c r="D364" s="17">
        <f>Github!G$994</f>
        <v>136</v>
      </c>
      <c r="E364" s="17">
        <f>Github!F$994+Github!G$994</f>
        <v>2741</v>
      </c>
      <c r="F364" s="18">
        <f t="shared" si="1"/>
        <v>19.15</v>
      </c>
      <c r="G364" s="17" t="str">
        <f>Github!H$994</f>
        <v>Algorithms</v>
      </c>
      <c r="H364" s="19" t="str">
        <f>SUBSTITUTE(Github!L$994, ";", ", ")</f>
        <v>Tree, Depth-First Search, Breadth-First Search, Binary Tree, </v>
      </c>
      <c r="I364" s="17" t="str">
        <f>Github!E$994</f>
        <v>Easy</v>
      </c>
      <c r="J364" s="17" t="str">
        <f>IF(TRIM(Github!D$994)="TRUE","FALSE","TRUE")</f>
        <v>TRUE</v>
      </c>
      <c r="K364" s="17" t="b">
        <f>Github!M$994</f>
        <v>1</v>
      </c>
      <c r="L364" s="17" t="b">
        <f>Github!N$994</f>
        <v>0</v>
      </c>
      <c r="M364" s="17" t="str">
        <f>ROUND(Github!O$994, 2)&amp;"%"</f>
        <v>53.76%</v>
      </c>
      <c r="N364" s="17">
        <f>Github!P$994</f>
        <v>200926</v>
      </c>
      <c r="O364" s="17">
        <f>Github!Q$994</f>
        <v>373739</v>
      </c>
    </row>
    <row r="365" ht="18.0" customHeight="1">
      <c r="A365" s="17">
        <f>Github!J$344</f>
        <v>343</v>
      </c>
      <c r="B365" s="27" t="str">
        <f>HYPERLINK(CONCAT("http://leetcode.com/problems/",Github!C$344), Github!B$344)</f>
        <v>Integer Break</v>
      </c>
      <c r="C365" s="17">
        <f>Github!F$344</f>
        <v>2589</v>
      </c>
      <c r="D365" s="17">
        <f>Github!G$344</f>
        <v>317</v>
      </c>
      <c r="E365" s="17">
        <f>Github!F$344+Github!G$344</f>
        <v>2906</v>
      </c>
      <c r="F365" s="18">
        <f t="shared" si="1"/>
        <v>8.17</v>
      </c>
      <c r="G365" s="17" t="str">
        <f>Github!H$344</f>
        <v>Algorithms</v>
      </c>
      <c r="H365" s="19" t="str">
        <f>SUBSTITUTE(Github!L$344, ";", ", ")</f>
        <v>Math, Dynamic Programming, </v>
      </c>
      <c r="I365" s="17" t="str">
        <f>Github!E$344</f>
        <v>Medium</v>
      </c>
      <c r="J365" s="17" t="str">
        <f>IF(TRIM(Github!D$344)="TRUE","FALSE","TRUE")</f>
        <v>TRUE</v>
      </c>
      <c r="K365" s="17" t="b">
        <f>Github!M$344</f>
        <v>0</v>
      </c>
      <c r="L365" s="17" t="b">
        <f>Github!N$344</f>
        <v>0</v>
      </c>
      <c r="M365" s="17" t="str">
        <f>ROUND(Github!O$344, 2)&amp;"%"</f>
        <v>53.76%</v>
      </c>
      <c r="N365" s="17">
        <f>Github!P$344</f>
        <v>177476</v>
      </c>
      <c r="O365" s="17">
        <f>Github!Q$344</f>
        <v>330102</v>
      </c>
    </row>
    <row r="366" ht="18.0" customHeight="1">
      <c r="A366" s="17">
        <f>Github!J$30</f>
        <v>29</v>
      </c>
      <c r="B366" s="27" t="str">
        <f>HYPERLINK(CONCAT("http://leetcode.com/problems/",Github!C$30), Github!B$30)</f>
        <v>Divide Two Integers</v>
      </c>
      <c r="C366" s="17">
        <f>Github!F$30</f>
        <v>2579</v>
      </c>
      <c r="D366" s="17">
        <f>Github!G$30</f>
        <v>9085</v>
      </c>
      <c r="E366" s="17">
        <f>Github!F$30+Github!G$30</f>
        <v>11664</v>
      </c>
      <c r="F366" s="18">
        <f t="shared" si="1"/>
        <v>0.28</v>
      </c>
      <c r="G366" s="17" t="str">
        <f>Github!H$30</f>
        <v>Algorithms</v>
      </c>
      <c r="H366" s="19" t="str">
        <f>SUBSTITUTE(Github!L$30, ";", ", ")</f>
        <v>Math, Bit Manipulation, </v>
      </c>
      <c r="I366" s="17" t="str">
        <f>Github!E$30</f>
        <v>Medium</v>
      </c>
      <c r="J366" s="17" t="str">
        <f>IF(TRIM(Github!D$30)="TRUE","FALSE","TRUE")</f>
        <v>TRUE</v>
      </c>
      <c r="K366" s="17" t="b">
        <f>Github!M$30</f>
        <v>1</v>
      </c>
      <c r="L366" s="17" t="b">
        <f>Github!N$30</f>
        <v>0</v>
      </c>
      <c r="M366" s="17" t="str">
        <f>ROUND(Github!O$30, 2)&amp;"%"</f>
        <v>17.05%</v>
      </c>
      <c r="N366" s="17">
        <f>Github!P$30</f>
        <v>452629</v>
      </c>
      <c r="O366" s="17">
        <f>Github!Q$30</f>
        <v>2655484</v>
      </c>
    </row>
    <row r="367" ht="18.0" customHeight="1">
      <c r="A367" s="17">
        <f>Github!J$350</f>
        <v>349</v>
      </c>
      <c r="B367" s="27" t="str">
        <f>HYPERLINK(CONCAT("http://leetcode.com/problems/",Github!C$350), Github!B$350)</f>
        <v>Intersection of Two Arrays</v>
      </c>
      <c r="C367" s="17">
        <f>Github!F$350</f>
        <v>2580</v>
      </c>
      <c r="D367" s="17">
        <f>Github!G$350</f>
        <v>1860</v>
      </c>
      <c r="E367" s="17">
        <f>Github!F$350+Github!G$350</f>
        <v>4440</v>
      </c>
      <c r="F367" s="18">
        <f t="shared" si="1"/>
        <v>1.39</v>
      </c>
      <c r="G367" s="17" t="str">
        <f>Github!H$350</f>
        <v>Algorithms</v>
      </c>
      <c r="H367" s="19" t="str">
        <f>SUBSTITUTE(Github!L$350, ";", ", ")</f>
        <v>Array, Hash Table, Two Pointers, Binary Search, Sorting, </v>
      </c>
      <c r="I367" s="17" t="str">
        <f>Github!E$350</f>
        <v>Easy</v>
      </c>
      <c r="J367" s="17" t="str">
        <f>IF(TRIM(Github!D$350)="TRUE","FALSE","TRUE")</f>
        <v>TRUE</v>
      </c>
      <c r="K367" s="17" t="b">
        <f>Github!M$350</f>
        <v>1</v>
      </c>
      <c r="L367" s="17" t="b">
        <f>Github!N$350</f>
        <v>0</v>
      </c>
      <c r="M367" s="17" t="str">
        <f>ROUND(Github!O$350, 2)&amp;"%"</f>
        <v>68.61%</v>
      </c>
      <c r="N367" s="17">
        <f>Github!P$350</f>
        <v>628357</v>
      </c>
      <c r="O367" s="17">
        <f>Github!Q$350</f>
        <v>915786</v>
      </c>
    </row>
    <row r="368" ht="18.0" customHeight="1">
      <c r="A368" s="17">
        <f>Github!J$408</f>
        <v>407</v>
      </c>
      <c r="B368" s="27" t="str">
        <f>HYPERLINK(CONCAT("http://leetcode.com/problems/",Github!C$408), Github!B$408)</f>
        <v>Trapping Rain Water II</v>
      </c>
      <c r="C368" s="17">
        <f>Github!F$408</f>
        <v>2576</v>
      </c>
      <c r="D368" s="17">
        <f>Github!G$408</f>
        <v>57</v>
      </c>
      <c r="E368" s="17">
        <f>Github!F$408+Github!G$408</f>
        <v>2633</v>
      </c>
      <c r="F368" s="18">
        <f t="shared" si="1"/>
        <v>45.19</v>
      </c>
      <c r="G368" s="17" t="str">
        <f>Github!H$408</f>
        <v>Algorithms</v>
      </c>
      <c r="H368" s="19" t="str">
        <f>SUBSTITUTE(Github!L$408, ";", ", ")</f>
        <v>Array, Breadth-First Search, Heap (Priority Queue), Matrix, </v>
      </c>
      <c r="I368" s="17" t="str">
        <f>Github!E$408</f>
        <v>Hard</v>
      </c>
      <c r="J368" s="17" t="str">
        <f>IF(TRIM(Github!D$408)="TRUE","FALSE","TRUE")</f>
        <v>TRUE</v>
      </c>
      <c r="K368" s="17" t="b">
        <f>Github!M$408</f>
        <v>0</v>
      </c>
      <c r="L368" s="17" t="b">
        <f>Github!N$408</f>
        <v>0</v>
      </c>
      <c r="M368" s="17" t="str">
        <f>ROUND(Github!O$408, 2)&amp;"%"</f>
        <v>46.75%</v>
      </c>
      <c r="N368" s="17">
        <f>Github!P$408</f>
        <v>66476</v>
      </c>
      <c r="O368" s="17">
        <f>Github!Q$408</f>
        <v>142202</v>
      </c>
    </row>
    <row r="369" ht="18.0" customHeight="1">
      <c r="A369" s="17">
        <f>Github!J$701</f>
        <v>700</v>
      </c>
      <c r="B369" s="27" t="str">
        <f>HYPERLINK(CONCAT("http://leetcode.com/problems/",Github!C$701), Github!B$701)</f>
        <v>Search in a Binary Search Tree</v>
      </c>
      <c r="C369" s="17">
        <f>Github!F$701</f>
        <v>2577</v>
      </c>
      <c r="D369" s="17">
        <f>Github!G$701</f>
        <v>141</v>
      </c>
      <c r="E369" s="17">
        <f>Github!F$701+Github!G$701</f>
        <v>2718</v>
      </c>
      <c r="F369" s="18">
        <f t="shared" si="1"/>
        <v>18.28</v>
      </c>
      <c r="G369" s="17" t="str">
        <f>Github!H$701</f>
        <v>Algorithms</v>
      </c>
      <c r="H369" s="19" t="str">
        <f>SUBSTITUTE(Github!L$701, ";", ", ")</f>
        <v>Tree, Binary Search Tree, Binary Tree, </v>
      </c>
      <c r="I369" s="17" t="str">
        <f>Github!E$701</f>
        <v>Easy</v>
      </c>
      <c r="J369" s="17" t="str">
        <f>IF(TRIM(Github!D$701)="TRUE","FALSE","TRUE")</f>
        <v>TRUE</v>
      </c>
      <c r="K369" s="17" t="b">
        <f>Github!M$701</f>
        <v>1</v>
      </c>
      <c r="L369" s="17" t="b">
        <f>Github!N$701</f>
        <v>0</v>
      </c>
      <c r="M369" s="17" t="str">
        <f>ROUND(Github!O$701, 2)&amp;"%"</f>
        <v>75.18%</v>
      </c>
      <c r="N369" s="17">
        <f>Github!P$701</f>
        <v>404238</v>
      </c>
      <c r="O369" s="17">
        <f>Github!Q$701</f>
        <v>537670</v>
      </c>
    </row>
    <row r="370" ht="18.0" customHeight="1">
      <c r="A370" s="17">
        <f>Github!J$494</f>
        <v>493</v>
      </c>
      <c r="B370" s="27" t="str">
        <f>HYPERLINK(CONCAT("http://leetcode.com/problems/",Github!C$494), Github!B$494)</f>
        <v>Reverse Pairs</v>
      </c>
      <c r="C370" s="17">
        <f>Github!F$494</f>
        <v>2573</v>
      </c>
      <c r="D370" s="17">
        <f>Github!G$494</f>
        <v>174</v>
      </c>
      <c r="E370" s="17">
        <f>Github!F$494+Github!G$494</f>
        <v>2747</v>
      </c>
      <c r="F370" s="18">
        <f t="shared" si="1"/>
        <v>14.79</v>
      </c>
      <c r="G370" s="17" t="str">
        <f>Github!H$494</f>
        <v>Algorithms</v>
      </c>
      <c r="H370" s="19" t="str">
        <f>SUBSTITUTE(Github!L$494, ";", ", ")</f>
        <v>Array, Binary Search, Divide and Conquer, Binary Indexed Tree, Segment Tree, Merge Sort, Ordered Set, </v>
      </c>
      <c r="I370" s="17" t="str">
        <f>Github!E$494</f>
        <v>Hard</v>
      </c>
      <c r="J370" s="17" t="str">
        <f>IF(TRIM(Github!D$494)="TRUE","FALSE","TRUE")</f>
        <v>TRUE</v>
      </c>
      <c r="K370" s="17" t="b">
        <f>Github!M$494</f>
        <v>0</v>
      </c>
      <c r="L370" s="17" t="b">
        <f>Github!N$494</f>
        <v>0</v>
      </c>
      <c r="M370" s="17" t="str">
        <f>ROUND(Github!O$494, 2)&amp;"%"</f>
        <v>29.68%</v>
      </c>
      <c r="N370" s="17">
        <f>Github!P$494</f>
        <v>77962</v>
      </c>
      <c r="O370" s="17">
        <f>Github!Q$494</f>
        <v>262723</v>
      </c>
    </row>
    <row r="371" ht="18.0" customHeight="1">
      <c r="A371" s="17">
        <f>Github!J$337</f>
        <v>336</v>
      </c>
      <c r="B371" s="27" t="str">
        <f>HYPERLINK(CONCAT("http://leetcode.com/problems/",Github!C$337), Github!B$337)</f>
        <v>Palindrome Pairs</v>
      </c>
      <c r="C371" s="17">
        <f>Github!F$337</f>
        <v>2567</v>
      </c>
      <c r="D371" s="17">
        <f>Github!G$337</f>
        <v>230</v>
      </c>
      <c r="E371" s="17">
        <f>Github!F$337+Github!G$337</f>
        <v>2797</v>
      </c>
      <c r="F371" s="18">
        <f t="shared" si="1"/>
        <v>11.16</v>
      </c>
      <c r="G371" s="17" t="str">
        <f>Github!H$337</f>
        <v>Algorithms</v>
      </c>
      <c r="H371" s="19" t="str">
        <f>SUBSTITUTE(Github!L$337, ";", ", ")</f>
        <v>Array, Hash Table, String, Trie, </v>
      </c>
      <c r="I371" s="17" t="str">
        <f>Github!E$337</f>
        <v>Hard</v>
      </c>
      <c r="J371" s="17" t="str">
        <f>IF(TRIM(Github!D$337)="TRUE","FALSE","TRUE")</f>
        <v>TRUE</v>
      </c>
      <c r="K371" s="17" t="b">
        <f>Github!M$337</f>
        <v>1</v>
      </c>
      <c r="L371" s="17" t="b">
        <f>Github!N$337</f>
        <v>0</v>
      </c>
      <c r="M371" s="17" t="str">
        <f>ROUND(Github!O$337, 2)&amp;"%"</f>
        <v>35.98%</v>
      </c>
      <c r="N371" s="17">
        <f>Github!P$337</f>
        <v>144943</v>
      </c>
      <c r="O371" s="17">
        <f>Github!Q$337</f>
        <v>402834</v>
      </c>
    </row>
    <row r="372" ht="18.0" customHeight="1">
      <c r="A372" s="17">
        <f>Github!J$450</f>
        <v>449</v>
      </c>
      <c r="B372" s="27" t="str">
        <f>HYPERLINK(CONCAT("http://leetcode.com/problems/",Github!C$450), Github!B$450)</f>
        <v>Serialize and Deserialize BST</v>
      </c>
      <c r="C372" s="17">
        <f>Github!F$450</f>
        <v>2564</v>
      </c>
      <c r="D372" s="17">
        <f>Github!G$450</f>
        <v>127</v>
      </c>
      <c r="E372" s="17">
        <f>Github!F$450+Github!G$450</f>
        <v>2691</v>
      </c>
      <c r="F372" s="18">
        <f t="shared" si="1"/>
        <v>20.19</v>
      </c>
      <c r="G372" s="17" t="str">
        <f>Github!H$450</f>
        <v>Algorithms</v>
      </c>
      <c r="H372" s="19" t="str">
        <f>SUBSTITUTE(Github!L$450, ";", ", ")</f>
        <v>String, Tree, Depth-First Search, Breadth-First Search, Design, Binary Search Tree, Binary Tree, </v>
      </c>
      <c r="I372" s="17" t="str">
        <f>Github!E$450</f>
        <v>Medium</v>
      </c>
      <c r="J372" s="17" t="str">
        <f>IF(TRIM(Github!D$450)="TRUE","FALSE","TRUE")</f>
        <v>TRUE</v>
      </c>
      <c r="K372" s="17" t="b">
        <f>Github!M$450</f>
        <v>1</v>
      </c>
      <c r="L372" s="17" t="b">
        <f>Github!N$450</f>
        <v>0</v>
      </c>
      <c r="M372" s="17" t="str">
        <f>ROUND(Github!O$450, 2)&amp;"%"</f>
        <v>55.99%</v>
      </c>
      <c r="N372" s="17">
        <f>Github!P$450</f>
        <v>186883</v>
      </c>
      <c r="O372" s="17">
        <f>Github!Q$450</f>
        <v>333778</v>
      </c>
    </row>
    <row r="373" ht="18.0" customHeight="1">
      <c r="A373" s="17">
        <f>Github!J$94</f>
        <v>93</v>
      </c>
      <c r="B373" s="27" t="str">
        <f>HYPERLINK(CONCAT("http://leetcode.com/problems/",Github!C$94), Github!B$94)</f>
        <v>Restore IP Addresses</v>
      </c>
      <c r="C373" s="17">
        <f>Github!F$94</f>
        <v>2564</v>
      </c>
      <c r="D373" s="17">
        <f>Github!G$94</f>
        <v>620</v>
      </c>
      <c r="E373" s="17">
        <f>Github!F$94+Github!G$94</f>
        <v>3184</v>
      </c>
      <c r="F373" s="18">
        <f t="shared" si="1"/>
        <v>4.14</v>
      </c>
      <c r="G373" s="17" t="str">
        <f>Github!H$94</f>
        <v>Algorithms</v>
      </c>
      <c r="H373" s="19" t="str">
        <f>SUBSTITUTE(Github!L$94, ";", ", ")</f>
        <v>String, Backtracking, </v>
      </c>
      <c r="I373" s="17" t="str">
        <f>Github!E$94</f>
        <v>Medium</v>
      </c>
      <c r="J373" s="17" t="str">
        <f>IF(TRIM(Github!D$94)="TRUE","FALSE","TRUE")</f>
        <v>TRUE</v>
      </c>
      <c r="K373" s="17" t="b">
        <f>Github!M$94</f>
        <v>1</v>
      </c>
      <c r="L373" s="17" t="b">
        <f>Github!N$94</f>
        <v>0</v>
      </c>
      <c r="M373" s="17" t="str">
        <f>ROUND(Github!O$94, 2)&amp;"%"</f>
        <v>41.37%</v>
      </c>
      <c r="N373" s="17">
        <f>Github!P$94</f>
        <v>288141</v>
      </c>
      <c r="O373" s="17">
        <f>Github!Q$94</f>
        <v>696578</v>
      </c>
    </row>
    <row r="374" ht="18.0" customHeight="1">
      <c r="A374" s="17">
        <f>Github!J$377</f>
        <v>376</v>
      </c>
      <c r="B374" s="27" t="str">
        <f>HYPERLINK(CONCAT("http://leetcode.com/problems/",Github!C$377), Github!B$377)</f>
        <v>Wiggle Subsequence</v>
      </c>
      <c r="C374" s="17">
        <f>Github!F$377</f>
        <v>2538</v>
      </c>
      <c r="D374" s="17">
        <f>Github!G$377</f>
        <v>88</v>
      </c>
      <c r="E374" s="17">
        <f>Github!F$377+Github!G$377</f>
        <v>2626</v>
      </c>
      <c r="F374" s="18">
        <f t="shared" si="1"/>
        <v>28.84</v>
      </c>
      <c r="G374" s="17" t="str">
        <f>Github!H$377</f>
        <v>Algorithms</v>
      </c>
      <c r="H374" s="19" t="str">
        <f>SUBSTITUTE(Github!L$377, ";", ", ")</f>
        <v>Array, Dynamic Programming, Greedy, </v>
      </c>
      <c r="I374" s="17" t="str">
        <f>Github!E$377</f>
        <v>Medium</v>
      </c>
      <c r="J374" s="17" t="str">
        <f>IF(TRIM(Github!D$377)="TRUE","FALSE","TRUE")</f>
        <v>TRUE</v>
      </c>
      <c r="K374" s="17" t="b">
        <f>Github!M$377</f>
        <v>1</v>
      </c>
      <c r="L374" s="17" t="b">
        <f>Github!N$377</f>
        <v>0</v>
      </c>
      <c r="M374" s="17" t="str">
        <f>ROUND(Github!O$377, 2)&amp;"%"</f>
        <v>44.62%</v>
      </c>
      <c r="N374" s="17">
        <f>Github!P$377</f>
        <v>132038</v>
      </c>
      <c r="O374" s="17">
        <f>Github!Q$377</f>
        <v>295923</v>
      </c>
    </row>
    <row r="375" ht="18.0" customHeight="1">
      <c r="A375" s="17">
        <f>Github!J$906</f>
        <v>905</v>
      </c>
      <c r="B375" s="27" t="str">
        <f>HYPERLINK(CONCAT("http://leetcode.com/problems/",Github!C$906), Github!B$906)</f>
        <v>Sort Array By Parity</v>
      </c>
      <c r="C375" s="17">
        <f>Github!F$906</f>
        <v>2536</v>
      </c>
      <c r="D375" s="17">
        <f>Github!G$906</f>
        <v>111</v>
      </c>
      <c r="E375" s="17">
        <f>Github!F$906+Github!G$906</f>
        <v>2647</v>
      </c>
      <c r="F375" s="18">
        <f t="shared" si="1"/>
        <v>22.85</v>
      </c>
      <c r="G375" s="17" t="str">
        <f>Github!H$906</f>
        <v>Algorithms</v>
      </c>
      <c r="H375" s="19" t="str">
        <f>SUBSTITUTE(Github!L$906, ";", ", ")</f>
        <v>Array, Two Pointers, Sorting, </v>
      </c>
      <c r="I375" s="17" t="str">
        <f>Github!E$906</f>
        <v>Easy</v>
      </c>
      <c r="J375" s="17" t="str">
        <f>IF(TRIM(Github!D$906)="TRUE","FALSE","TRUE")</f>
        <v>TRUE</v>
      </c>
      <c r="K375" s="17" t="b">
        <f>Github!M$906</f>
        <v>1</v>
      </c>
      <c r="L375" s="17" t="b">
        <f>Github!N$906</f>
        <v>0</v>
      </c>
      <c r="M375" s="17" t="str">
        <f>ROUND(Github!O$906, 2)&amp;"%"</f>
        <v>74.78%</v>
      </c>
      <c r="N375" s="17">
        <f>Github!P$906</f>
        <v>423633</v>
      </c>
      <c r="O375" s="17">
        <f>Github!Q$906</f>
        <v>566503</v>
      </c>
    </row>
    <row r="376" ht="18.0" customHeight="1">
      <c r="A376" s="17">
        <f>Github!J$558</f>
        <v>557</v>
      </c>
      <c r="B376" s="27" t="str">
        <f>HYPERLINK(CONCAT("http://leetcode.com/problems/",Github!C$558), Github!B$558)</f>
        <v>Reverse Words in a String III</v>
      </c>
      <c r="C376" s="17">
        <f>Github!F$558</f>
        <v>2526</v>
      </c>
      <c r="D376" s="17">
        <f>Github!G$558</f>
        <v>151</v>
      </c>
      <c r="E376" s="17">
        <f>Github!F$558+Github!G$558</f>
        <v>2677</v>
      </c>
      <c r="F376" s="18">
        <f t="shared" si="1"/>
        <v>16.73</v>
      </c>
      <c r="G376" s="17" t="str">
        <f>Github!H$558</f>
        <v>Algorithms</v>
      </c>
      <c r="H376" s="19" t="str">
        <f>SUBSTITUTE(Github!L$558, ";", ", ")</f>
        <v>Two Pointers, String, </v>
      </c>
      <c r="I376" s="17" t="str">
        <f>Github!E$558</f>
        <v>Easy</v>
      </c>
      <c r="J376" s="17" t="str">
        <f>IF(TRIM(Github!D$558)="TRUE","FALSE","TRUE")</f>
        <v>TRUE</v>
      </c>
      <c r="K376" s="17" t="b">
        <f>Github!M$558</f>
        <v>1</v>
      </c>
      <c r="L376" s="17" t="b">
        <f>Github!N$558</f>
        <v>0</v>
      </c>
      <c r="M376" s="17" t="str">
        <f>ROUND(Github!O$558, 2)&amp;"%"</f>
        <v>78.01%</v>
      </c>
      <c r="N376" s="17">
        <f>Github!P$558</f>
        <v>407915</v>
      </c>
      <c r="O376" s="17">
        <f>Github!Q$558</f>
        <v>522885</v>
      </c>
    </row>
    <row r="377" ht="18.0" customHeight="1">
      <c r="A377" s="17">
        <f>Github!J$969</f>
        <v>968</v>
      </c>
      <c r="B377" s="27" t="str">
        <f>HYPERLINK(CONCAT("http://leetcode.com/problems/",Github!C$969), Github!B$969)</f>
        <v>Binary Tree Cameras</v>
      </c>
      <c r="C377" s="17">
        <f>Github!F$969</f>
        <v>2527</v>
      </c>
      <c r="D377" s="17">
        <f>Github!G$969</f>
        <v>33</v>
      </c>
      <c r="E377" s="17">
        <f>Github!F$969+Github!G$969</f>
        <v>2560</v>
      </c>
      <c r="F377" s="18">
        <f t="shared" si="1"/>
        <v>76.58</v>
      </c>
      <c r="G377" s="17" t="str">
        <f>Github!H$969</f>
        <v>Algorithms</v>
      </c>
      <c r="H377" s="19" t="str">
        <f>SUBSTITUTE(Github!L$969, ";", ", ")</f>
        <v>Dynamic Programming, Tree, Depth-First Search, Binary Tree, </v>
      </c>
      <c r="I377" s="17" t="str">
        <f>Github!E$969</f>
        <v>Hard</v>
      </c>
      <c r="J377" s="17" t="str">
        <f>IF(TRIM(Github!D$969)="TRUE","FALSE","TRUE")</f>
        <v>TRUE</v>
      </c>
      <c r="K377" s="17" t="b">
        <f>Github!M$969</f>
        <v>1</v>
      </c>
      <c r="L377" s="17" t="b">
        <f>Github!N$969</f>
        <v>0</v>
      </c>
      <c r="M377" s="17" t="str">
        <f>ROUND(Github!O$969, 2)&amp;"%"</f>
        <v>41.72%</v>
      </c>
      <c r="N377" s="17">
        <f>Github!P$969</f>
        <v>61621</v>
      </c>
      <c r="O377" s="17">
        <f>Github!Q$969</f>
        <v>147701</v>
      </c>
    </row>
    <row r="378" ht="18.0" customHeight="1">
      <c r="A378" s="17">
        <f>Github!J$1307</f>
        <v>1306</v>
      </c>
      <c r="B378" s="27" t="str">
        <f>HYPERLINK(CONCAT("http://leetcode.com/problems/",Github!C$1307), Github!B$1307)</f>
        <v>Jump Game III</v>
      </c>
      <c r="C378" s="17">
        <f>Github!F$1307</f>
        <v>2521</v>
      </c>
      <c r="D378" s="17">
        <f>Github!G$1307</f>
        <v>60</v>
      </c>
      <c r="E378" s="17">
        <f>Github!F$1307+Github!G$1307</f>
        <v>2581</v>
      </c>
      <c r="F378" s="18">
        <f t="shared" si="1"/>
        <v>42.02</v>
      </c>
      <c r="G378" s="17" t="str">
        <f>Github!H$1307</f>
        <v>Algorithms</v>
      </c>
      <c r="H378" s="19" t="str">
        <f>SUBSTITUTE(Github!L$1307, ";", ", ")</f>
        <v>Array, Depth-First Search, Breadth-First Search, </v>
      </c>
      <c r="I378" s="17" t="str">
        <f>Github!E$1307</f>
        <v>Medium</v>
      </c>
      <c r="J378" s="17" t="str">
        <f>IF(TRIM(Github!D$1307)="TRUE","FALSE","TRUE")</f>
        <v>TRUE</v>
      </c>
      <c r="K378" s="17" t="b">
        <f>Github!M$1307</f>
        <v>1</v>
      </c>
      <c r="L378" s="17" t="b">
        <f>Github!N$1307</f>
        <v>1</v>
      </c>
      <c r="M378" s="17" t="str">
        <f>ROUND(Github!O$1307, 2)&amp;"%"</f>
        <v>62.62%</v>
      </c>
      <c r="N378" s="17">
        <f>Github!P$1307</f>
        <v>136082</v>
      </c>
      <c r="O378" s="17">
        <f>Github!Q$1307</f>
        <v>217321</v>
      </c>
    </row>
    <row r="379" ht="18.0" customHeight="1">
      <c r="A379" s="17">
        <f>Github!J$629</f>
        <v>628</v>
      </c>
      <c r="B379" s="27" t="str">
        <f>HYPERLINK(CONCAT("http://leetcode.com/problems/",Github!C$629), Github!B$629)</f>
        <v>Maximum Product of Three Numbers</v>
      </c>
      <c r="C379" s="17">
        <f>Github!F$629</f>
        <v>2519</v>
      </c>
      <c r="D379" s="17">
        <f>Github!G$629</f>
        <v>513</v>
      </c>
      <c r="E379" s="17">
        <f>Github!F$629+Github!G$629</f>
        <v>3032</v>
      </c>
      <c r="F379" s="18">
        <f t="shared" si="1"/>
        <v>4.91</v>
      </c>
      <c r="G379" s="17" t="str">
        <f>Github!H$629</f>
        <v>Algorithms</v>
      </c>
      <c r="H379" s="19" t="str">
        <f>SUBSTITUTE(Github!L$629, ";", ", ")</f>
        <v>Array, Math, Sorting, </v>
      </c>
      <c r="I379" s="17" t="str">
        <f>Github!E$629</f>
        <v>Easy</v>
      </c>
      <c r="J379" s="17" t="str">
        <f>IF(TRIM(Github!D$629)="TRUE","FALSE","TRUE")</f>
        <v>TRUE</v>
      </c>
      <c r="K379" s="17" t="b">
        <f>Github!M$629</f>
        <v>1</v>
      </c>
      <c r="L379" s="17" t="b">
        <f>Github!N$629</f>
        <v>0</v>
      </c>
      <c r="M379" s="17" t="str">
        <f>ROUND(Github!O$629, 2)&amp;"%"</f>
        <v>46.78%</v>
      </c>
      <c r="N379" s="17">
        <f>Github!P$629</f>
        <v>199412</v>
      </c>
      <c r="O379" s="17">
        <f>Github!Q$629</f>
        <v>426238</v>
      </c>
    </row>
    <row r="380" ht="18.0" customHeight="1">
      <c r="A380" s="17">
        <f>Github!J$850</f>
        <v>849</v>
      </c>
      <c r="B380" s="27" t="str">
        <f>HYPERLINK(CONCAT("http://leetcode.com/problems/",Github!C$850), Github!B$850)</f>
        <v>Maximize Distance to Closest Person</v>
      </c>
      <c r="C380" s="17">
        <f>Github!F$850</f>
        <v>2515</v>
      </c>
      <c r="D380" s="17">
        <f>Github!G$850</f>
        <v>162</v>
      </c>
      <c r="E380" s="17">
        <f>Github!F$850+Github!G$850</f>
        <v>2677</v>
      </c>
      <c r="F380" s="18">
        <f t="shared" si="1"/>
        <v>15.52</v>
      </c>
      <c r="G380" s="17" t="str">
        <f>Github!H$850</f>
        <v>Algorithms</v>
      </c>
      <c r="H380" s="19" t="str">
        <f>SUBSTITUTE(Github!L$850, ";", ", ")</f>
        <v>Array, </v>
      </c>
      <c r="I380" s="17" t="str">
        <f>Github!E$850</f>
        <v>Medium</v>
      </c>
      <c r="J380" s="17" t="str">
        <f>IF(TRIM(Github!D$850)="TRUE","FALSE","TRUE")</f>
        <v>TRUE</v>
      </c>
      <c r="K380" s="17" t="b">
        <f>Github!M$850</f>
        <v>1</v>
      </c>
      <c r="L380" s="17" t="b">
        <f>Github!N$850</f>
        <v>0</v>
      </c>
      <c r="M380" s="17" t="str">
        <f>ROUND(Github!O$850, 2)&amp;"%"</f>
        <v>47.43%</v>
      </c>
      <c r="N380" s="17">
        <f>Github!P$850</f>
        <v>167297</v>
      </c>
      <c r="O380" s="17">
        <f>Github!Q$850</f>
        <v>352735</v>
      </c>
    </row>
    <row r="381" ht="18.0" customHeight="1">
      <c r="A381" s="17">
        <f>Github!J$896</f>
        <v>895</v>
      </c>
      <c r="B381" s="27" t="str">
        <f>HYPERLINK(CONCAT("http://leetcode.com/problems/",Github!C$896), Github!B$896)</f>
        <v>Maximum Frequency Stack</v>
      </c>
      <c r="C381" s="17">
        <f>Github!F$896</f>
        <v>2490</v>
      </c>
      <c r="D381" s="17">
        <f>Github!G$896</f>
        <v>42</v>
      </c>
      <c r="E381" s="17">
        <f>Github!F$896+Github!G$896</f>
        <v>2532</v>
      </c>
      <c r="F381" s="18">
        <f t="shared" si="1"/>
        <v>59.29</v>
      </c>
      <c r="G381" s="17" t="str">
        <f>Github!H$896</f>
        <v>Algorithms</v>
      </c>
      <c r="H381" s="19" t="str">
        <f>SUBSTITUTE(Github!L$896, ";", ", ")</f>
        <v>Hash Table, Stack, Design, Ordered Set, </v>
      </c>
      <c r="I381" s="17" t="str">
        <f>Github!E$896</f>
        <v>Hard</v>
      </c>
      <c r="J381" s="17" t="str">
        <f>IF(TRIM(Github!D$896)="TRUE","FALSE","TRUE")</f>
        <v>TRUE</v>
      </c>
      <c r="K381" s="17" t="b">
        <f>Github!M$896</f>
        <v>1</v>
      </c>
      <c r="L381" s="17" t="b">
        <f>Github!N$896</f>
        <v>0</v>
      </c>
      <c r="M381" s="17" t="str">
        <f>ROUND(Github!O$896, 2)&amp;"%"</f>
        <v>64.81%</v>
      </c>
      <c r="N381" s="17">
        <f>Github!P$896</f>
        <v>91817</v>
      </c>
      <c r="O381" s="17">
        <f>Github!Q$896</f>
        <v>141672</v>
      </c>
    </row>
    <row r="382" ht="18.0" customHeight="1">
      <c r="A382" s="17">
        <f>Github!J$533</f>
        <v>532</v>
      </c>
      <c r="B382" s="27" t="str">
        <f>HYPERLINK(CONCAT("http://leetcode.com/problems/",Github!C$533), Github!B$533)</f>
        <v>K-diff Pairs in an Array</v>
      </c>
      <c r="C382" s="17">
        <f>Github!F$533</f>
        <v>2490</v>
      </c>
      <c r="D382" s="17">
        <f>Github!G$533</f>
        <v>2036</v>
      </c>
      <c r="E382" s="17">
        <f>Github!F$533+Github!G$533</f>
        <v>4526</v>
      </c>
      <c r="F382" s="18">
        <f t="shared" si="1"/>
        <v>1.22</v>
      </c>
      <c r="G382" s="17" t="str">
        <f>Github!H$533</f>
        <v>Algorithms</v>
      </c>
      <c r="H382" s="19" t="str">
        <f>SUBSTITUTE(Github!L$533, ";", ", ")</f>
        <v>Array, Hash Table, Two Pointers, Binary Search, Sorting, </v>
      </c>
      <c r="I382" s="17" t="str">
        <f>Github!E$533</f>
        <v>Medium</v>
      </c>
      <c r="J382" s="17" t="str">
        <f>IF(TRIM(Github!D$533)="TRUE","FALSE","TRUE")</f>
        <v>TRUE</v>
      </c>
      <c r="K382" s="17" t="b">
        <f>Github!M$533</f>
        <v>1</v>
      </c>
      <c r="L382" s="17" t="b">
        <f>Github!N$533</f>
        <v>0</v>
      </c>
      <c r="M382" s="17" t="str">
        <f>ROUND(Github!O$533, 2)&amp;"%"</f>
        <v>39.92%</v>
      </c>
      <c r="N382" s="17">
        <f>Github!P$533</f>
        <v>246345</v>
      </c>
      <c r="O382" s="17">
        <f>Github!Q$533</f>
        <v>617049</v>
      </c>
    </row>
    <row r="383" ht="18.0" customHeight="1">
      <c r="A383" s="17">
        <f>Github!J$742</f>
        <v>741</v>
      </c>
      <c r="B383" s="27" t="str">
        <f>HYPERLINK(CONCAT("http://leetcode.com/problems/",Github!C$742), Github!B$742)</f>
        <v>Cherry Pickup</v>
      </c>
      <c r="C383" s="17">
        <f>Github!F$742</f>
        <v>2484</v>
      </c>
      <c r="D383" s="17">
        <f>Github!G$742</f>
        <v>117</v>
      </c>
      <c r="E383" s="17">
        <f>Github!F$742+Github!G$742</f>
        <v>2601</v>
      </c>
      <c r="F383" s="18">
        <f t="shared" si="1"/>
        <v>21.23</v>
      </c>
      <c r="G383" s="17" t="str">
        <f>Github!H$742</f>
        <v>Algorithms</v>
      </c>
      <c r="H383" s="19" t="str">
        <f>SUBSTITUTE(Github!L$742, ";", ", ")</f>
        <v>Array, Dynamic Programming, Matrix, </v>
      </c>
      <c r="I383" s="17" t="str">
        <f>Github!E$742</f>
        <v>Hard</v>
      </c>
      <c r="J383" s="17" t="str">
        <f>IF(TRIM(Github!D$742)="TRUE","FALSE","TRUE")</f>
        <v>TRUE</v>
      </c>
      <c r="K383" s="17" t="b">
        <f>Github!M$742</f>
        <v>1</v>
      </c>
      <c r="L383" s="17" t="b">
        <f>Github!N$742</f>
        <v>0</v>
      </c>
      <c r="M383" s="17" t="str">
        <f>ROUND(Github!O$742, 2)&amp;"%"</f>
        <v>36.14%</v>
      </c>
      <c r="N383" s="17">
        <f>Github!P$742</f>
        <v>51255</v>
      </c>
      <c r="O383" s="17">
        <f>Github!Q$742</f>
        <v>141812</v>
      </c>
    </row>
    <row r="384" ht="18.0" customHeight="1">
      <c r="A384" s="17">
        <f>Github!J$410</f>
        <v>409</v>
      </c>
      <c r="B384" s="27" t="str">
        <f>HYPERLINK(CONCAT("http://leetcode.com/problems/",Github!C$410), Github!B$410)</f>
        <v>Longest Palindrome</v>
      </c>
      <c r="C384" s="17">
        <f>Github!F$410</f>
        <v>2479</v>
      </c>
      <c r="D384" s="17">
        <f>Github!G$410</f>
        <v>146</v>
      </c>
      <c r="E384" s="17">
        <f>Github!F$410+Github!G$410</f>
        <v>2625</v>
      </c>
      <c r="F384" s="18">
        <f t="shared" si="1"/>
        <v>16.98</v>
      </c>
      <c r="G384" s="17" t="str">
        <f>Github!H$410</f>
        <v>Algorithms</v>
      </c>
      <c r="H384" s="19" t="str">
        <f>SUBSTITUTE(Github!L$410, ";", ", ")</f>
        <v>Hash Table, String, Greedy, </v>
      </c>
      <c r="I384" s="17" t="str">
        <f>Github!E$410</f>
        <v>Easy</v>
      </c>
      <c r="J384" s="17" t="str">
        <f>IF(TRIM(Github!D$410)="TRUE","FALSE","TRUE")</f>
        <v>TRUE</v>
      </c>
      <c r="K384" s="17" t="b">
        <f>Github!M$410</f>
        <v>1</v>
      </c>
      <c r="L384" s="17" t="b">
        <f>Github!N$410</f>
        <v>0</v>
      </c>
      <c r="M384" s="17" t="str">
        <f>ROUND(Github!O$410, 2)&amp;"%"</f>
        <v>53.36%</v>
      </c>
      <c r="N384" s="17">
        <f>Github!P$410</f>
        <v>257789</v>
      </c>
      <c r="O384" s="17">
        <f>Github!Q$410</f>
        <v>483096</v>
      </c>
    </row>
    <row r="385" ht="18.0" customHeight="1">
      <c r="A385" s="17">
        <f>Github!J$1210</f>
        <v>1209</v>
      </c>
      <c r="B385" s="27" t="str">
        <f>HYPERLINK(CONCAT("http://leetcode.com/problems/",Github!C$1210), Github!B$1210)</f>
        <v>Remove All Adjacent Duplicates in String II</v>
      </c>
      <c r="C385" s="17">
        <f>Github!F$1210</f>
        <v>2470</v>
      </c>
      <c r="D385" s="17">
        <f>Github!G$1210</f>
        <v>48</v>
      </c>
      <c r="E385" s="17">
        <f>Github!F$1210+Github!G$1210</f>
        <v>2518</v>
      </c>
      <c r="F385" s="18">
        <f t="shared" si="1"/>
        <v>51.46</v>
      </c>
      <c r="G385" s="17" t="str">
        <f>Github!H$1210</f>
        <v>Algorithms</v>
      </c>
      <c r="H385" s="19" t="str">
        <f>SUBSTITUTE(Github!L$1210, ";", ", ")</f>
        <v>String, Stack, </v>
      </c>
      <c r="I385" s="17" t="str">
        <f>Github!E$1210</f>
        <v>Medium</v>
      </c>
      <c r="J385" s="17" t="str">
        <f>IF(TRIM(Github!D$1210)="TRUE","FALSE","TRUE")</f>
        <v>TRUE</v>
      </c>
      <c r="K385" s="17" t="b">
        <f>Github!M$1210</f>
        <v>1</v>
      </c>
      <c r="L385" s="17" t="b">
        <f>Github!N$1210</f>
        <v>0</v>
      </c>
      <c r="M385" s="17" t="str">
        <f>ROUND(Github!O$1210, 2)&amp;"%"</f>
        <v>56.03%</v>
      </c>
      <c r="N385" s="17">
        <f>Github!P$1210</f>
        <v>151016</v>
      </c>
      <c r="O385" s="17">
        <f>Github!Q$1210</f>
        <v>269545</v>
      </c>
    </row>
    <row r="386" ht="18.0" customHeight="1">
      <c r="A386" s="17">
        <f>Github!J$707</f>
        <v>706</v>
      </c>
      <c r="B386" s="27" t="str">
        <f>HYPERLINK(CONCAT("http://leetcode.com/problems/",Github!C$707), Github!B$707)</f>
        <v>Design HashMap</v>
      </c>
      <c r="C386" s="17">
        <f>Github!F$707</f>
        <v>2457</v>
      </c>
      <c r="D386" s="17">
        <f>Github!G$707</f>
        <v>262</v>
      </c>
      <c r="E386" s="17">
        <f>Github!F$707+Github!G$707</f>
        <v>2719</v>
      </c>
      <c r="F386" s="18">
        <f t="shared" si="1"/>
        <v>9.38</v>
      </c>
      <c r="G386" s="17" t="str">
        <f>Github!H$707</f>
        <v>Algorithms</v>
      </c>
      <c r="H386" s="19" t="str">
        <f>SUBSTITUTE(Github!L$707, ";", ", ")</f>
        <v>Array, Hash Table, Linked List, Design, Hash Function, </v>
      </c>
      <c r="I386" s="17" t="str">
        <f>Github!E$707</f>
        <v>Easy</v>
      </c>
      <c r="J386" s="17" t="str">
        <f>IF(TRIM(Github!D$707)="TRUE","FALSE","TRUE")</f>
        <v>TRUE</v>
      </c>
      <c r="K386" s="17" t="b">
        <f>Github!M$707</f>
        <v>1</v>
      </c>
      <c r="L386" s="17" t="b">
        <f>Github!N$707</f>
        <v>0</v>
      </c>
      <c r="M386" s="17" t="str">
        <f>ROUND(Github!O$707, 2)&amp;"%"</f>
        <v>63.78%</v>
      </c>
      <c r="N386" s="17">
        <f>Github!P$707</f>
        <v>269318</v>
      </c>
      <c r="O386" s="17">
        <f>Github!Q$707</f>
        <v>422287</v>
      </c>
    </row>
    <row r="387" ht="18.0" customHeight="1">
      <c r="A387" s="17">
        <f>Github!J$902</f>
        <v>901</v>
      </c>
      <c r="B387" s="27" t="str">
        <f>HYPERLINK(CONCAT("http://leetcode.com/problems/",Github!C$902), Github!B$902)</f>
        <v>Online Stock Span</v>
      </c>
      <c r="C387" s="17">
        <f>Github!F$902</f>
        <v>2440</v>
      </c>
      <c r="D387" s="17">
        <f>Github!G$902</f>
        <v>200</v>
      </c>
      <c r="E387" s="17">
        <f>Github!F$902+Github!G$902</f>
        <v>2640</v>
      </c>
      <c r="F387" s="18">
        <f t="shared" si="1"/>
        <v>12.2</v>
      </c>
      <c r="G387" s="17" t="str">
        <f>Github!H$902</f>
        <v>Algorithms</v>
      </c>
      <c r="H387" s="19" t="str">
        <f>SUBSTITUTE(Github!L$902, ";", ", ")</f>
        <v>Stack, Design, Monotonic Stack, Data Stream, </v>
      </c>
      <c r="I387" s="17" t="str">
        <f>Github!E$902</f>
        <v>Medium</v>
      </c>
      <c r="J387" s="17" t="str">
        <f>IF(TRIM(Github!D$902)="TRUE","FALSE","TRUE")</f>
        <v>TRUE</v>
      </c>
      <c r="K387" s="17" t="b">
        <f>Github!M$902</f>
        <v>0</v>
      </c>
      <c r="L387" s="17" t="b">
        <f>Github!N$902</f>
        <v>0</v>
      </c>
      <c r="M387" s="17" t="str">
        <f>ROUND(Github!O$902, 2)&amp;"%"</f>
        <v>62.95%</v>
      </c>
      <c r="N387" s="17">
        <f>Github!P$902</f>
        <v>118614</v>
      </c>
      <c r="O387" s="17">
        <f>Github!Q$902</f>
        <v>188436</v>
      </c>
    </row>
    <row r="388" ht="18.0" customHeight="1">
      <c r="A388" s="17">
        <f>Github!J$305</f>
        <v>304</v>
      </c>
      <c r="B388" s="27" t="str">
        <f>HYPERLINK(CONCAT("http://leetcode.com/problems/",Github!C$305), Github!B$305)</f>
        <v>Range Sum Query 2D - Immutable</v>
      </c>
      <c r="C388" s="17">
        <f>Github!F$305</f>
        <v>2434</v>
      </c>
      <c r="D388" s="17">
        <f>Github!G$305</f>
        <v>242</v>
      </c>
      <c r="E388" s="17">
        <f>Github!F$305+Github!G$305</f>
        <v>2676</v>
      </c>
      <c r="F388" s="18">
        <f t="shared" si="1"/>
        <v>10.06</v>
      </c>
      <c r="G388" s="17" t="str">
        <f>Github!H$305</f>
        <v>Algorithms</v>
      </c>
      <c r="H388" s="19" t="str">
        <f>SUBSTITUTE(Github!L$305, ";", ", ")</f>
        <v>Array, Design, Matrix, Prefix Sum, </v>
      </c>
      <c r="I388" s="17" t="str">
        <f>Github!E$305</f>
        <v>Medium</v>
      </c>
      <c r="J388" s="17" t="str">
        <f>IF(TRIM(Github!D$305)="TRUE","FALSE","TRUE")</f>
        <v>TRUE</v>
      </c>
      <c r="K388" s="17" t="b">
        <f>Github!M$305</f>
        <v>1</v>
      </c>
      <c r="L388" s="17" t="b">
        <f>Github!N$305</f>
        <v>0</v>
      </c>
      <c r="M388" s="17" t="str">
        <f>ROUND(Github!O$305, 2)&amp;"%"</f>
        <v>47.07%</v>
      </c>
      <c r="N388" s="17">
        <f>Github!P$305</f>
        <v>214874</v>
      </c>
      <c r="O388" s="17">
        <f>Github!Q$305</f>
        <v>456468</v>
      </c>
    </row>
    <row r="389" ht="18.0" customHeight="1">
      <c r="A389" s="17">
        <f>Github!J$895</f>
        <v>894</v>
      </c>
      <c r="B389" s="27" t="str">
        <f>HYPERLINK(CONCAT("http://leetcode.com/problems/",Github!C$895), Github!B$895)</f>
        <v>All Possible Full Binary Trees</v>
      </c>
      <c r="C389" s="17">
        <f>Github!F$895</f>
        <v>2434</v>
      </c>
      <c r="D389" s="17">
        <f>Github!G$895</f>
        <v>182</v>
      </c>
      <c r="E389" s="17">
        <f>Github!F$895+Github!G$895</f>
        <v>2616</v>
      </c>
      <c r="F389" s="18">
        <f t="shared" si="1"/>
        <v>13.37</v>
      </c>
      <c r="G389" s="17" t="str">
        <f>Github!H$895</f>
        <v>Algorithms</v>
      </c>
      <c r="H389" s="19" t="str">
        <f>SUBSTITUTE(Github!L$895, ";", ", ")</f>
        <v>Dynamic Programming, Tree, Recursion, Memoization, Binary Tree, </v>
      </c>
      <c r="I389" s="17" t="str">
        <f>Github!E$895</f>
        <v>Medium</v>
      </c>
      <c r="J389" s="17" t="str">
        <f>IF(TRIM(Github!D$895)="TRUE","FALSE","TRUE")</f>
        <v>TRUE</v>
      </c>
      <c r="K389" s="17" t="b">
        <f>Github!M$895</f>
        <v>1</v>
      </c>
      <c r="L389" s="17" t="b">
        <f>Github!N$895</f>
        <v>0</v>
      </c>
      <c r="M389" s="17" t="str">
        <f>ROUND(Github!O$895, 2)&amp;"%"</f>
        <v>79.29%</v>
      </c>
      <c r="N389" s="17">
        <f>Github!P$895</f>
        <v>79495</v>
      </c>
      <c r="O389" s="17">
        <f>Github!Q$895</f>
        <v>100258</v>
      </c>
    </row>
    <row r="390" ht="18.0" customHeight="1">
      <c r="A390" s="17">
        <f>Github!J$1023</f>
        <v>1022</v>
      </c>
      <c r="B390" s="27" t="str">
        <f>HYPERLINK(CONCAT("http://leetcode.com/problems/",Github!C$1023), Github!B$1023)</f>
        <v>Sum of Root To Leaf Binary Numbers</v>
      </c>
      <c r="C390" s="17">
        <f>Github!F$1023</f>
        <v>2414</v>
      </c>
      <c r="D390" s="17">
        <f>Github!G$1023</f>
        <v>146</v>
      </c>
      <c r="E390" s="17">
        <f>Github!F$1023+Github!G$1023</f>
        <v>2560</v>
      </c>
      <c r="F390" s="18">
        <f t="shared" si="1"/>
        <v>16.53</v>
      </c>
      <c r="G390" s="17" t="str">
        <f>Github!H$1023</f>
        <v>Algorithms</v>
      </c>
      <c r="H390" s="19" t="str">
        <f>SUBSTITUTE(Github!L$1023, ";", ", ")</f>
        <v>Tree, Depth-First Search, Binary Tree, </v>
      </c>
      <c r="I390" s="17" t="str">
        <f>Github!E$1023</f>
        <v>Easy</v>
      </c>
      <c r="J390" s="17" t="str">
        <f>IF(TRIM(Github!D$1023)="TRUE","FALSE","TRUE")</f>
        <v>TRUE</v>
      </c>
      <c r="K390" s="17" t="b">
        <f>Github!M$1023</f>
        <v>1</v>
      </c>
      <c r="L390" s="17" t="b">
        <f>Github!N$1023</f>
        <v>0</v>
      </c>
      <c r="M390" s="17" t="str">
        <f>ROUND(Github!O$1023, 2)&amp;"%"</f>
        <v>73.9%</v>
      </c>
      <c r="N390" s="17">
        <f>Github!P$1023</f>
        <v>156198</v>
      </c>
      <c r="O390" s="17">
        <f>Github!Q$1023</f>
        <v>211377</v>
      </c>
    </row>
    <row r="391" ht="18.0" customHeight="1">
      <c r="A391" s="17">
        <f>Github!J$283</f>
        <v>282</v>
      </c>
      <c r="B391" s="27" t="str">
        <f>HYPERLINK(CONCAT("http://leetcode.com/problems/",Github!C$283), Github!B$283)</f>
        <v>Expression Add Operators</v>
      </c>
      <c r="C391" s="17">
        <f>Github!F$283</f>
        <v>2414</v>
      </c>
      <c r="D391" s="17">
        <f>Github!G$283</f>
        <v>405</v>
      </c>
      <c r="E391" s="17">
        <f>Github!F$283+Github!G$283</f>
        <v>2819</v>
      </c>
      <c r="F391" s="18">
        <f t="shared" si="1"/>
        <v>5.96</v>
      </c>
      <c r="G391" s="17" t="str">
        <f>Github!H$283</f>
        <v>Algorithms</v>
      </c>
      <c r="H391" s="19" t="str">
        <f>SUBSTITUTE(Github!L$283, ";", ", ")</f>
        <v>Math, String, Backtracking, </v>
      </c>
      <c r="I391" s="17" t="str">
        <f>Github!E$283</f>
        <v>Hard</v>
      </c>
      <c r="J391" s="17" t="str">
        <f>IF(TRIM(Github!D$283)="TRUE","FALSE","TRUE")</f>
        <v>TRUE</v>
      </c>
      <c r="K391" s="17" t="b">
        <f>Github!M$283</f>
        <v>1</v>
      </c>
      <c r="L391" s="17" t="b">
        <f>Github!N$283</f>
        <v>0</v>
      </c>
      <c r="M391" s="17" t="str">
        <f>ROUND(Github!O$283, 2)&amp;"%"</f>
        <v>39.09%</v>
      </c>
      <c r="N391" s="17">
        <f>Github!P$283</f>
        <v>175857</v>
      </c>
      <c r="O391" s="17">
        <f>Github!Q$283</f>
        <v>449847</v>
      </c>
    </row>
    <row r="392" ht="18.0" customHeight="1">
      <c r="A392" s="17">
        <f>Github!J$835</f>
        <v>834</v>
      </c>
      <c r="B392" s="27" t="str">
        <f>HYPERLINK(CONCAT("http://leetcode.com/problems/",Github!C$835), Github!B$835)</f>
        <v>Sum of Distances in Tree</v>
      </c>
      <c r="C392" s="17">
        <f>Github!F$835</f>
        <v>2413</v>
      </c>
      <c r="D392" s="17">
        <f>Github!G$835</f>
        <v>57</v>
      </c>
      <c r="E392" s="17">
        <f>Github!F$835+Github!G$835</f>
        <v>2470</v>
      </c>
      <c r="F392" s="18">
        <f t="shared" si="1"/>
        <v>42.33</v>
      </c>
      <c r="G392" s="17" t="str">
        <f>Github!H$835</f>
        <v>Algorithms</v>
      </c>
      <c r="H392" s="19" t="str">
        <f>SUBSTITUTE(Github!L$835, ";", ", ")</f>
        <v>Dynamic Programming, Tree, Depth-First Search, Graph, </v>
      </c>
      <c r="I392" s="17" t="str">
        <f>Github!E$835</f>
        <v>Hard</v>
      </c>
      <c r="J392" s="17" t="str">
        <f>IF(TRIM(Github!D$835)="TRUE","FALSE","TRUE")</f>
        <v>TRUE</v>
      </c>
      <c r="K392" s="17" t="b">
        <f>Github!M$835</f>
        <v>1</v>
      </c>
      <c r="L392" s="17" t="b">
        <f>Github!N$835</f>
        <v>0</v>
      </c>
      <c r="M392" s="17" t="str">
        <f>ROUND(Github!O$835, 2)&amp;"%"</f>
        <v>52.75%</v>
      </c>
      <c r="N392" s="17">
        <f>Github!P$835</f>
        <v>39965</v>
      </c>
      <c r="O392" s="17">
        <f>Github!Q$835</f>
        <v>75763</v>
      </c>
    </row>
    <row r="393" ht="18.0" customHeight="1">
      <c r="A393" s="17">
        <f>Github!J$486</f>
        <v>485</v>
      </c>
      <c r="B393" s="27" t="str">
        <f>HYPERLINK(CONCAT("http://leetcode.com/problems/",Github!C$486), Github!B$486)</f>
        <v>Max Consecutive Ones</v>
      </c>
      <c r="C393" s="17">
        <f>Github!F$486</f>
        <v>2409</v>
      </c>
      <c r="D393" s="17">
        <f>Github!G$486</f>
        <v>394</v>
      </c>
      <c r="E393" s="17">
        <f>Github!F$486+Github!G$486</f>
        <v>2803</v>
      </c>
      <c r="F393" s="18">
        <f t="shared" si="1"/>
        <v>6.11</v>
      </c>
      <c r="G393" s="17" t="str">
        <f>Github!H$486</f>
        <v>Algorithms</v>
      </c>
      <c r="H393" s="19" t="str">
        <f>SUBSTITUTE(Github!L$486, ";", ", ")</f>
        <v>Array, </v>
      </c>
      <c r="I393" s="17" t="str">
        <f>Github!E$486</f>
        <v>Easy</v>
      </c>
      <c r="J393" s="17" t="str">
        <f>IF(TRIM(Github!D$486)="TRUE","FALSE","TRUE")</f>
        <v>TRUE</v>
      </c>
      <c r="K393" s="17" t="b">
        <f>Github!M$486</f>
        <v>1</v>
      </c>
      <c r="L393" s="17" t="b">
        <f>Github!N$486</f>
        <v>0</v>
      </c>
      <c r="M393" s="17" t="str">
        <f>ROUND(Github!O$486, 2)&amp;"%"</f>
        <v>54.89%</v>
      </c>
      <c r="N393" s="17">
        <f>Github!P$486</f>
        <v>617867</v>
      </c>
      <c r="O393" s="17">
        <f>Github!Q$486</f>
        <v>1125634</v>
      </c>
    </row>
    <row r="394" ht="18.0" customHeight="1">
      <c r="A394" s="17">
        <f>Github!J$947</f>
        <v>946</v>
      </c>
      <c r="B394" s="27" t="str">
        <f>HYPERLINK(CONCAT("http://leetcode.com/problems/",Github!C$947), Github!B$947)</f>
        <v>Validate Stack Sequences</v>
      </c>
      <c r="C394" s="17">
        <f>Github!F$947</f>
        <v>2391</v>
      </c>
      <c r="D394" s="17">
        <f>Github!G$947</f>
        <v>43</v>
      </c>
      <c r="E394" s="17">
        <f>Github!F$947+Github!G$947</f>
        <v>2434</v>
      </c>
      <c r="F394" s="18">
        <f t="shared" si="1"/>
        <v>55.6</v>
      </c>
      <c r="G394" s="17" t="str">
        <f>Github!H$947</f>
        <v>Algorithms</v>
      </c>
      <c r="H394" s="19" t="str">
        <f>SUBSTITUTE(Github!L$947, ";", ", ")</f>
        <v>Array, Stack, Simulation, </v>
      </c>
      <c r="I394" s="17" t="str">
        <f>Github!E$947</f>
        <v>Medium</v>
      </c>
      <c r="J394" s="17" t="str">
        <f>IF(TRIM(Github!D$947)="TRUE","FALSE","TRUE")</f>
        <v>TRUE</v>
      </c>
      <c r="K394" s="17" t="b">
        <f>Github!M$947</f>
        <v>1</v>
      </c>
      <c r="L394" s="17" t="b">
        <f>Github!N$947</f>
        <v>0</v>
      </c>
      <c r="M394" s="17" t="str">
        <f>ROUND(Github!O$947, 2)&amp;"%"</f>
        <v>65.34%</v>
      </c>
      <c r="N394" s="17">
        <f>Github!P$947</f>
        <v>130326</v>
      </c>
      <c r="O394" s="17">
        <f>Github!Q$947</f>
        <v>199456</v>
      </c>
    </row>
    <row r="395" ht="18.0" customHeight="1">
      <c r="A395" s="17">
        <f>Github!J$651</f>
        <v>650</v>
      </c>
      <c r="B395" s="27" t="str">
        <f>HYPERLINK(CONCAT("http://leetcode.com/problems/",Github!C$651), Github!B$651)</f>
        <v>2 Keys Keyboard</v>
      </c>
      <c r="C395" s="17">
        <f>Github!F$651</f>
        <v>2390</v>
      </c>
      <c r="D395" s="17">
        <f>Github!G$651</f>
        <v>158</v>
      </c>
      <c r="E395" s="17">
        <f>Github!F$651+Github!G$651</f>
        <v>2548</v>
      </c>
      <c r="F395" s="18">
        <f t="shared" si="1"/>
        <v>15.13</v>
      </c>
      <c r="G395" s="17" t="str">
        <f>Github!H$651</f>
        <v>Algorithms</v>
      </c>
      <c r="H395" s="19" t="str">
        <f>SUBSTITUTE(Github!L$651, ";", ", ")</f>
        <v>Math, Dynamic Programming, </v>
      </c>
      <c r="I395" s="17" t="str">
        <f>Github!E$651</f>
        <v>Medium</v>
      </c>
      <c r="J395" s="17" t="str">
        <f>IF(TRIM(Github!D$651)="TRUE","FALSE","TRUE")</f>
        <v>TRUE</v>
      </c>
      <c r="K395" s="17" t="b">
        <f>Github!M$651</f>
        <v>1</v>
      </c>
      <c r="L395" s="17" t="b">
        <f>Github!N$651</f>
        <v>0</v>
      </c>
      <c r="M395" s="17" t="str">
        <f>ROUND(Github!O$651, 2)&amp;"%"</f>
        <v>52.11%</v>
      </c>
      <c r="N395" s="17">
        <f>Github!P$651</f>
        <v>95523</v>
      </c>
      <c r="O395" s="17">
        <f>Github!Q$651</f>
        <v>183327</v>
      </c>
    </row>
    <row r="396" ht="18.0" customHeight="1">
      <c r="A396" s="17">
        <f>Github!J$1481</f>
        <v>1480</v>
      </c>
      <c r="B396" s="27" t="str">
        <f>HYPERLINK(CONCAT("http://leetcode.com/problems/",Github!C$1481), Github!B$1481)</f>
        <v>Running Sum of 1d Array</v>
      </c>
      <c r="C396" s="17">
        <f>Github!F$1481</f>
        <v>2381</v>
      </c>
      <c r="D396" s="17">
        <f>Github!G$1481</f>
        <v>176</v>
      </c>
      <c r="E396" s="17">
        <f>Github!F$1481+Github!G$1481</f>
        <v>2557</v>
      </c>
      <c r="F396" s="18">
        <f t="shared" si="1"/>
        <v>13.53</v>
      </c>
      <c r="G396" s="17" t="str">
        <f>Github!H$1481</f>
        <v>Algorithms</v>
      </c>
      <c r="H396" s="19" t="str">
        <f>SUBSTITUTE(Github!L$1481, ";", ", ")</f>
        <v>Array, Prefix Sum, </v>
      </c>
      <c r="I396" s="17" t="str">
        <f>Github!E$1481</f>
        <v>Easy</v>
      </c>
      <c r="J396" s="17" t="str">
        <f>IF(TRIM(Github!D$1481)="TRUE","FALSE","TRUE")</f>
        <v>TRUE</v>
      </c>
      <c r="K396" s="17" t="b">
        <f>Github!M$1481</f>
        <v>1</v>
      </c>
      <c r="L396" s="17" t="b">
        <f>Github!N$1481</f>
        <v>0</v>
      </c>
      <c r="M396" s="17" t="str">
        <f>ROUND(Github!O$1481, 2)&amp;"%"</f>
        <v>89.5%</v>
      </c>
      <c r="N396" s="17">
        <f>Github!P$1481</f>
        <v>492461</v>
      </c>
      <c r="O396" s="17">
        <f>Github!Q$1481</f>
        <v>550252</v>
      </c>
    </row>
    <row r="397" ht="18.0" customHeight="1">
      <c r="A397" s="17">
        <f>Github!J$372</f>
        <v>371</v>
      </c>
      <c r="B397" s="27" t="str">
        <f>HYPERLINK(CONCAT("http://leetcode.com/problems/",Github!C$372), Github!B$372)</f>
        <v>Sum of Two Integers</v>
      </c>
      <c r="C397" s="17">
        <f>Github!F$372</f>
        <v>2373</v>
      </c>
      <c r="D397" s="17">
        <f>Github!G$372</f>
        <v>3582</v>
      </c>
      <c r="E397" s="17">
        <f>Github!F$372+Github!G$372</f>
        <v>5955</v>
      </c>
      <c r="F397" s="18">
        <f t="shared" si="1"/>
        <v>0.66</v>
      </c>
      <c r="G397" s="17" t="str">
        <f>Github!H$372</f>
        <v>Algorithms</v>
      </c>
      <c r="H397" s="19" t="str">
        <f>SUBSTITUTE(Github!L$372, ";", ", ")</f>
        <v>Math, Bit Manipulation, </v>
      </c>
      <c r="I397" s="17" t="str">
        <f>Github!E$372</f>
        <v>Medium</v>
      </c>
      <c r="J397" s="17" t="str">
        <f>IF(TRIM(Github!D$372)="TRUE","FALSE","TRUE")</f>
        <v>TRUE</v>
      </c>
      <c r="K397" s="17" t="b">
        <f>Github!M$372</f>
        <v>1</v>
      </c>
      <c r="L397" s="17" t="b">
        <f>Github!N$372</f>
        <v>0</v>
      </c>
      <c r="M397" s="17" t="str">
        <f>ROUND(Github!O$372, 2)&amp;"%"</f>
        <v>50.65%</v>
      </c>
      <c r="N397" s="17">
        <f>Github!P$372</f>
        <v>283429</v>
      </c>
      <c r="O397" s="17">
        <f>Github!Q$372</f>
        <v>559545</v>
      </c>
    </row>
    <row r="398" ht="18.0" customHeight="1">
      <c r="A398" s="17">
        <f>Github!J$1030</f>
        <v>1029</v>
      </c>
      <c r="B398" s="27" t="str">
        <f>HYPERLINK(CONCAT("http://leetcode.com/problems/",Github!C$1030), Github!B$1030)</f>
        <v>Two City Scheduling</v>
      </c>
      <c r="C398" s="17">
        <f>Github!F$1030</f>
        <v>2367</v>
      </c>
      <c r="D398" s="17">
        <f>Github!G$1030</f>
        <v>230</v>
      </c>
      <c r="E398" s="17">
        <f>Github!F$1030+Github!G$1030</f>
        <v>2597</v>
      </c>
      <c r="F398" s="18">
        <f t="shared" si="1"/>
        <v>10.29</v>
      </c>
      <c r="G398" s="17" t="str">
        <f>Github!H$1030</f>
        <v>Algorithms</v>
      </c>
      <c r="H398" s="19" t="str">
        <f>SUBSTITUTE(Github!L$1030, ";", ", ")</f>
        <v>Array, Greedy, Sorting, </v>
      </c>
      <c r="I398" s="17" t="str">
        <f>Github!E$1030</f>
        <v>Medium</v>
      </c>
      <c r="J398" s="17" t="str">
        <f>IF(TRIM(Github!D$1030)="TRUE","FALSE","TRUE")</f>
        <v>TRUE</v>
      </c>
      <c r="K398" s="17" t="b">
        <f>Github!M$1030</f>
        <v>1</v>
      </c>
      <c r="L398" s="17" t="b">
        <f>Github!N$1030</f>
        <v>0</v>
      </c>
      <c r="M398" s="17" t="str">
        <f>ROUND(Github!O$1030, 2)&amp;"%"</f>
        <v>60%</v>
      </c>
      <c r="N398" s="17">
        <f>Github!P$1030</f>
        <v>134290</v>
      </c>
      <c r="O398" s="17">
        <f>Github!Q$1030</f>
        <v>223814</v>
      </c>
    </row>
    <row r="399" ht="18.0" customHeight="1">
      <c r="A399" s="17">
        <f>Github!J$872</f>
        <v>871</v>
      </c>
      <c r="B399" s="27" t="str">
        <f>HYPERLINK(CONCAT("http://leetcode.com/problems/",Github!C$872), Github!B$872)</f>
        <v>Minimum Number of Refueling Stops</v>
      </c>
      <c r="C399" s="17">
        <f>Github!F$872</f>
        <v>2357</v>
      </c>
      <c r="D399" s="17">
        <f>Github!G$872</f>
        <v>47</v>
      </c>
      <c r="E399" s="17">
        <f>Github!F$872+Github!G$872</f>
        <v>2404</v>
      </c>
      <c r="F399" s="18">
        <f t="shared" si="1"/>
        <v>50.15</v>
      </c>
      <c r="G399" s="17" t="str">
        <f>Github!H$872</f>
        <v>Algorithms</v>
      </c>
      <c r="H399" s="19" t="str">
        <f>SUBSTITUTE(Github!L$872, ";", ", ")</f>
        <v>Array, Dynamic Programming, Greedy, Heap (Priority Queue), </v>
      </c>
      <c r="I399" s="17" t="str">
        <f>Github!E$872</f>
        <v>Hard</v>
      </c>
      <c r="J399" s="17" t="str">
        <f>IF(TRIM(Github!D$872)="TRUE","FALSE","TRUE")</f>
        <v>TRUE</v>
      </c>
      <c r="K399" s="17" t="b">
        <f>Github!M$872</f>
        <v>1</v>
      </c>
      <c r="L399" s="17" t="b">
        <f>Github!N$872</f>
        <v>0</v>
      </c>
      <c r="M399" s="17" t="str">
        <f>ROUND(Github!O$872, 2)&amp;"%"</f>
        <v>35.58%</v>
      </c>
      <c r="N399" s="17">
        <f>Github!P$872</f>
        <v>68098</v>
      </c>
      <c r="O399" s="17">
        <f>Github!Q$872</f>
        <v>191414</v>
      </c>
    </row>
    <row r="400" ht="18.0" customHeight="1">
      <c r="A400" s="17">
        <f>Github!J$259</f>
        <v>258</v>
      </c>
      <c r="B400" s="27" t="str">
        <f>HYPERLINK(CONCAT("http://leetcode.com/problems/",Github!C$259), Github!B$259)</f>
        <v>Add Digits</v>
      </c>
      <c r="C400" s="17">
        <f>Github!F$259</f>
        <v>2350</v>
      </c>
      <c r="D400" s="17">
        <f>Github!G$259</f>
        <v>1635</v>
      </c>
      <c r="E400" s="17">
        <f>Github!F$259+Github!G$259</f>
        <v>3985</v>
      </c>
      <c r="F400" s="18">
        <f t="shared" si="1"/>
        <v>1.44</v>
      </c>
      <c r="G400" s="17" t="str">
        <f>Github!H$259</f>
        <v>Algorithms</v>
      </c>
      <c r="H400" s="19" t="str">
        <f>SUBSTITUTE(Github!L$259, ";", ", ")</f>
        <v>Math, Simulation, Number Theory, </v>
      </c>
      <c r="I400" s="17" t="str">
        <f>Github!E$259</f>
        <v>Easy</v>
      </c>
      <c r="J400" s="17" t="str">
        <f>IF(TRIM(Github!D$259)="TRUE","FALSE","TRUE")</f>
        <v>TRUE</v>
      </c>
      <c r="K400" s="17" t="b">
        <f>Github!M$259</f>
        <v>1</v>
      </c>
      <c r="L400" s="17" t="b">
        <f>Github!N$259</f>
        <v>0</v>
      </c>
      <c r="M400" s="17" t="str">
        <f>ROUND(Github!O$259, 2)&amp;"%"</f>
        <v>62.24%</v>
      </c>
      <c r="N400" s="17">
        <f>Github!P$259</f>
        <v>457326</v>
      </c>
      <c r="O400" s="17">
        <f>Github!Q$259</f>
        <v>734761</v>
      </c>
    </row>
    <row r="401" ht="18.0" customHeight="1">
      <c r="A401" s="17">
        <f>Github!J$1291</f>
        <v>1290</v>
      </c>
      <c r="B401" s="27" t="str">
        <f>HYPERLINK(CONCAT("http://leetcode.com/problems/",Github!C$1291), Github!B$1291)</f>
        <v>Convert Binary Number in a Linked List to Integer</v>
      </c>
      <c r="C401" s="17">
        <f>Github!F$1291</f>
        <v>2349</v>
      </c>
      <c r="D401" s="17">
        <f>Github!G$1291</f>
        <v>116</v>
      </c>
      <c r="E401" s="17">
        <f>Github!F$1291+Github!G$1291</f>
        <v>2465</v>
      </c>
      <c r="F401" s="18">
        <f t="shared" si="1"/>
        <v>20.25</v>
      </c>
      <c r="G401" s="17" t="str">
        <f>Github!H$1291</f>
        <v>Algorithms</v>
      </c>
      <c r="H401" s="19" t="str">
        <f>SUBSTITUTE(Github!L$1291, ";", ", ")</f>
        <v>Linked List, Math, </v>
      </c>
      <c r="I401" s="17" t="str">
        <f>Github!E$1291</f>
        <v>Easy</v>
      </c>
      <c r="J401" s="17" t="str">
        <f>IF(TRIM(Github!D$1291)="TRUE","FALSE","TRUE")</f>
        <v>TRUE</v>
      </c>
      <c r="K401" s="17" t="b">
        <f>Github!M$1291</f>
        <v>1</v>
      </c>
      <c r="L401" s="17" t="b">
        <f>Github!N$1291</f>
        <v>0</v>
      </c>
      <c r="M401" s="17" t="str">
        <f>ROUND(Github!O$1291, 2)&amp;"%"</f>
        <v>82.67%</v>
      </c>
      <c r="N401" s="17">
        <f>Github!P$1291</f>
        <v>270929</v>
      </c>
      <c r="O401" s="17">
        <f>Github!Q$1291</f>
        <v>327703</v>
      </c>
    </row>
    <row r="402" ht="18.0" customHeight="1">
      <c r="A402" s="17">
        <f>Github!J$612</f>
        <v>611</v>
      </c>
      <c r="B402" s="27" t="str">
        <f>HYPERLINK(CONCAT("http://leetcode.com/problems/",Github!C$612), Github!B$612)</f>
        <v>Valid Triangle Number</v>
      </c>
      <c r="C402" s="17">
        <f>Github!F$612</f>
        <v>2347</v>
      </c>
      <c r="D402" s="17">
        <f>Github!G$612</f>
        <v>143</v>
      </c>
      <c r="E402" s="17">
        <f>Github!F$612+Github!G$612</f>
        <v>2490</v>
      </c>
      <c r="F402" s="18">
        <f t="shared" si="1"/>
        <v>16.41</v>
      </c>
      <c r="G402" s="17" t="str">
        <f>Github!H$612</f>
        <v>Algorithms</v>
      </c>
      <c r="H402" s="19" t="str">
        <f>SUBSTITUTE(Github!L$612, ";", ", ")</f>
        <v>Array, Two Pointers, Binary Search, Greedy, Sorting, </v>
      </c>
      <c r="I402" s="17" t="str">
        <f>Github!E$612</f>
        <v>Medium</v>
      </c>
      <c r="J402" s="17" t="str">
        <f>IF(TRIM(Github!D$612)="TRUE","FALSE","TRUE")</f>
        <v>TRUE</v>
      </c>
      <c r="K402" s="17" t="b">
        <f>Github!M$612</f>
        <v>1</v>
      </c>
      <c r="L402" s="17" t="b">
        <f>Github!N$612</f>
        <v>0</v>
      </c>
      <c r="M402" s="17" t="str">
        <f>ROUND(Github!O$612, 2)&amp;"%"</f>
        <v>49.57%</v>
      </c>
      <c r="N402" s="17">
        <f>Github!P$612</f>
        <v>130684</v>
      </c>
      <c r="O402" s="17">
        <f>Github!Q$612</f>
        <v>263651</v>
      </c>
    </row>
    <row r="403" ht="18.0" customHeight="1">
      <c r="A403" s="17">
        <f>Github!J$671</f>
        <v>670</v>
      </c>
      <c r="B403" s="27" t="str">
        <f>HYPERLINK(CONCAT("http://leetcode.com/problems/",Github!C$671), Github!B$671)</f>
        <v>Maximum Swap</v>
      </c>
      <c r="C403" s="17">
        <f>Github!F$671</f>
        <v>2343</v>
      </c>
      <c r="D403" s="17">
        <f>Github!G$671</f>
        <v>137</v>
      </c>
      <c r="E403" s="17">
        <f>Github!F$671+Github!G$671</f>
        <v>2480</v>
      </c>
      <c r="F403" s="18">
        <f t="shared" si="1"/>
        <v>17.1</v>
      </c>
      <c r="G403" s="17" t="str">
        <f>Github!H$671</f>
        <v>Algorithms</v>
      </c>
      <c r="H403" s="19" t="str">
        <f>SUBSTITUTE(Github!L$671, ";", ", ")</f>
        <v>Math, Greedy, </v>
      </c>
      <c r="I403" s="17" t="str">
        <f>Github!E$671</f>
        <v>Medium</v>
      </c>
      <c r="J403" s="17" t="str">
        <f>IF(TRIM(Github!D$671)="TRUE","FALSE","TRUE")</f>
        <v>TRUE</v>
      </c>
      <c r="K403" s="17" t="b">
        <f>Github!M$671</f>
        <v>0</v>
      </c>
      <c r="L403" s="17" t="b">
        <f>Github!N$671</f>
        <v>0</v>
      </c>
      <c r="M403" s="17" t="str">
        <f>ROUND(Github!O$671, 2)&amp;"%"</f>
        <v>47.36%</v>
      </c>
      <c r="N403" s="17">
        <f>Github!P$671</f>
        <v>156533</v>
      </c>
      <c r="O403" s="17">
        <f>Github!Q$671</f>
        <v>330528</v>
      </c>
    </row>
    <row r="404" ht="18.0" customHeight="1">
      <c r="A404" s="17">
        <f>Github!J$1039</f>
        <v>1038</v>
      </c>
      <c r="B404" s="27" t="str">
        <f>HYPERLINK(CONCAT("http://leetcode.com/problems/",Github!C$1039), Github!B$1039)</f>
        <v>Binary Search Tree to Greater Sum Tree</v>
      </c>
      <c r="C404" s="17">
        <f>Github!F$1039</f>
        <v>2339</v>
      </c>
      <c r="D404" s="17">
        <f>Github!G$1039</f>
        <v>128</v>
      </c>
      <c r="E404" s="17">
        <f>Github!F$1039+Github!G$1039</f>
        <v>2467</v>
      </c>
      <c r="F404" s="18">
        <f t="shared" si="1"/>
        <v>18.27</v>
      </c>
      <c r="G404" s="17" t="str">
        <f>Github!H$1039</f>
        <v>Algorithms</v>
      </c>
      <c r="H404" s="19" t="str">
        <f>SUBSTITUTE(Github!L$1039, ";", ", ")</f>
        <v>Tree, Depth-First Search, Binary Search Tree, Binary Tree, </v>
      </c>
      <c r="I404" s="17" t="str">
        <f>Github!E$1039</f>
        <v>Medium</v>
      </c>
      <c r="J404" s="17" t="str">
        <f>IF(TRIM(Github!D$1039)="TRUE","FALSE","TRUE")</f>
        <v>TRUE</v>
      </c>
      <c r="K404" s="17" t="b">
        <f>Github!M$1039</f>
        <v>0</v>
      </c>
      <c r="L404" s="17" t="b">
        <f>Github!N$1039</f>
        <v>0</v>
      </c>
      <c r="M404" s="17" t="str">
        <f>ROUND(Github!O$1039, 2)&amp;"%"</f>
        <v>84.46%</v>
      </c>
      <c r="N404" s="17">
        <f>Github!P$1039</f>
        <v>113288</v>
      </c>
      <c r="O404" s="17">
        <f>Github!Q$1039</f>
        <v>134135</v>
      </c>
    </row>
    <row r="405" ht="18.0" customHeight="1">
      <c r="A405" s="17">
        <f>Github!J$404</f>
        <v>403</v>
      </c>
      <c r="B405" s="27" t="str">
        <f>HYPERLINK(CONCAT("http://leetcode.com/problems/",Github!C$404), Github!B$404)</f>
        <v>Frog Jump</v>
      </c>
      <c r="C405" s="17">
        <f>Github!F$404</f>
        <v>2333</v>
      </c>
      <c r="D405" s="17">
        <f>Github!G$404</f>
        <v>158</v>
      </c>
      <c r="E405" s="17">
        <f>Github!F$404+Github!G$404</f>
        <v>2491</v>
      </c>
      <c r="F405" s="18">
        <f t="shared" si="1"/>
        <v>14.77</v>
      </c>
      <c r="G405" s="17" t="str">
        <f>Github!H$404</f>
        <v>Algorithms</v>
      </c>
      <c r="H405" s="19" t="str">
        <f>SUBSTITUTE(Github!L$404, ";", ", ")</f>
        <v>Array, Dynamic Programming, </v>
      </c>
      <c r="I405" s="17" t="str">
        <f>Github!E$404</f>
        <v>Hard</v>
      </c>
      <c r="J405" s="17" t="str">
        <f>IF(TRIM(Github!D$404)="TRUE","FALSE","TRUE")</f>
        <v>TRUE</v>
      </c>
      <c r="K405" s="17" t="b">
        <f>Github!M$404</f>
        <v>1</v>
      </c>
      <c r="L405" s="17" t="b">
        <f>Github!N$404</f>
        <v>0</v>
      </c>
      <c r="M405" s="17" t="str">
        <f>ROUND(Github!O$404, 2)&amp;"%"</f>
        <v>42.81%</v>
      </c>
      <c r="N405" s="17">
        <f>Github!P$404</f>
        <v>148502</v>
      </c>
      <c r="O405" s="17">
        <f>Github!Q$404</f>
        <v>346878</v>
      </c>
    </row>
    <row r="406" ht="18.0" customHeight="1">
      <c r="A406" s="17">
        <f>Github!J$120</f>
        <v>119</v>
      </c>
      <c r="B406" s="27" t="str">
        <f>HYPERLINK(CONCAT("http://leetcode.com/problems/",Github!C$120), Github!B$120)</f>
        <v>Pascal's Triangle II</v>
      </c>
      <c r="C406" s="17">
        <f>Github!F$120</f>
        <v>2333</v>
      </c>
      <c r="D406" s="17">
        <f>Github!G$120</f>
        <v>258</v>
      </c>
      <c r="E406" s="17">
        <f>Github!F$120+Github!G$120</f>
        <v>2591</v>
      </c>
      <c r="F406" s="18">
        <f t="shared" si="1"/>
        <v>9.04</v>
      </c>
      <c r="G406" s="17" t="str">
        <f>Github!H$120</f>
        <v>Algorithms</v>
      </c>
      <c r="H406" s="19" t="str">
        <f>SUBSTITUTE(Github!L$120, ";", ", ")</f>
        <v>Array, Dynamic Programming, </v>
      </c>
      <c r="I406" s="17" t="str">
        <f>Github!E$120</f>
        <v>Easy</v>
      </c>
      <c r="J406" s="17" t="str">
        <f>IF(TRIM(Github!D$120)="TRUE","FALSE","TRUE")</f>
        <v>TRUE</v>
      </c>
      <c r="K406" s="17" t="b">
        <f>Github!M$120</f>
        <v>1</v>
      </c>
      <c r="L406" s="17" t="b">
        <f>Github!N$120</f>
        <v>0</v>
      </c>
      <c r="M406" s="17" t="str">
        <f>ROUND(Github!O$120, 2)&amp;"%"</f>
        <v>56.89%</v>
      </c>
      <c r="N406" s="17">
        <f>Github!P$120</f>
        <v>493501</v>
      </c>
      <c r="O406" s="17">
        <f>Github!Q$120</f>
        <v>867408</v>
      </c>
    </row>
    <row r="407" ht="18.0" customHeight="1">
      <c r="A407" s="17">
        <f>Github!J$815</f>
        <v>814</v>
      </c>
      <c r="B407" s="27" t="str">
        <f>HYPERLINK(CONCAT("http://leetcode.com/problems/",Github!C$815), Github!B$815)</f>
        <v>Binary Tree Pruning</v>
      </c>
      <c r="C407" s="17">
        <f>Github!F$815</f>
        <v>2313</v>
      </c>
      <c r="D407" s="17">
        <f>Github!G$815</f>
        <v>66</v>
      </c>
      <c r="E407" s="17">
        <f>Github!F$815+Github!G$815</f>
        <v>2379</v>
      </c>
      <c r="F407" s="18">
        <f t="shared" si="1"/>
        <v>35.05</v>
      </c>
      <c r="G407" s="17" t="str">
        <f>Github!H$815</f>
        <v>Algorithms</v>
      </c>
      <c r="H407" s="19" t="str">
        <f>SUBSTITUTE(Github!L$815, ";", ", ")</f>
        <v>Tree, Depth-First Search, Binary Tree, </v>
      </c>
      <c r="I407" s="17" t="str">
        <f>Github!E$815</f>
        <v>Medium</v>
      </c>
      <c r="J407" s="17" t="str">
        <f>IF(TRIM(Github!D$815)="TRUE","FALSE","TRUE")</f>
        <v>TRUE</v>
      </c>
      <c r="K407" s="17" t="b">
        <f>Github!M$815</f>
        <v>1</v>
      </c>
      <c r="L407" s="17" t="b">
        <f>Github!N$815</f>
        <v>0</v>
      </c>
      <c r="M407" s="17" t="str">
        <f>ROUND(Github!O$815, 2)&amp;"%"</f>
        <v>71.03%</v>
      </c>
      <c r="N407" s="17">
        <f>Github!P$815</f>
        <v>136794</v>
      </c>
      <c r="O407" s="17">
        <f>Github!Q$815</f>
        <v>192575</v>
      </c>
    </row>
    <row r="408" ht="18.0" customHeight="1">
      <c r="A408" s="17">
        <f>Github!J$1092</f>
        <v>1091</v>
      </c>
      <c r="B408" s="27" t="str">
        <f>HYPERLINK(CONCAT("http://leetcode.com/problems/",Github!C$1092), Github!B$1092)</f>
        <v>Shortest Path in Binary Matrix</v>
      </c>
      <c r="C408" s="17">
        <f>Github!F$1092</f>
        <v>2315</v>
      </c>
      <c r="D408" s="17">
        <f>Github!G$1092</f>
        <v>120</v>
      </c>
      <c r="E408" s="17">
        <f>Github!F$1092+Github!G$1092</f>
        <v>2435</v>
      </c>
      <c r="F408" s="18">
        <f t="shared" si="1"/>
        <v>19.29</v>
      </c>
      <c r="G408" s="17" t="str">
        <f>Github!H$1092</f>
        <v>Algorithms</v>
      </c>
      <c r="H408" s="19" t="str">
        <f>SUBSTITUTE(Github!L$1092, ";", ", ")</f>
        <v>Array, Breadth-First Search, Matrix, </v>
      </c>
      <c r="I408" s="17" t="str">
        <f>Github!E$1092</f>
        <v>Medium</v>
      </c>
      <c r="J408" s="17" t="str">
        <f>IF(TRIM(Github!D$1092)="TRUE","FALSE","TRUE")</f>
        <v>TRUE</v>
      </c>
      <c r="K408" s="17" t="b">
        <f>Github!M$1092</f>
        <v>1</v>
      </c>
      <c r="L408" s="17" t="b">
        <f>Github!N$1092</f>
        <v>0</v>
      </c>
      <c r="M408" s="17" t="str">
        <f>ROUND(Github!O$1092, 2)&amp;"%"</f>
        <v>42.34%</v>
      </c>
      <c r="N408" s="17">
        <f>Github!P$1092</f>
        <v>162497</v>
      </c>
      <c r="O408" s="17">
        <f>Github!Q$1092</f>
        <v>383752</v>
      </c>
    </row>
    <row r="409" ht="18.0" customHeight="1">
      <c r="A409" s="17">
        <f>Github!J$1303</f>
        <v>1302</v>
      </c>
      <c r="B409" s="27" t="str">
        <f>HYPERLINK(CONCAT("http://leetcode.com/problems/",Github!C$1303), Github!B$1303)</f>
        <v>Deepest Leaves Sum</v>
      </c>
      <c r="C409" s="17">
        <f>Github!F$1303</f>
        <v>2303</v>
      </c>
      <c r="D409" s="17">
        <f>Github!G$1303</f>
        <v>74</v>
      </c>
      <c r="E409" s="17">
        <f>Github!F$1303+Github!G$1303</f>
        <v>2377</v>
      </c>
      <c r="F409" s="18">
        <f t="shared" si="1"/>
        <v>31.12</v>
      </c>
      <c r="G409" s="17" t="str">
        <f>Github!H$1303</f>
        <v>Algorithms</v>
      </c>
      <c r="H409" s="19" t="str">
        <f>SUBSTITUTE(Github!L$1303, ";", ", ")</f>
        <v>Tree, Depth-First Search, Breadth-First Search, Binary Tree, </v>
      </c>
      <c r="I409" s="17" t="str">
        <f>Github!E$1303</f>
        <v>Medium</v>
      </c>
      <c r="J409" s="17" t="str">
        <f>IF(TRIM(Github!D$1303)="TRUE","FALSE","TRUE")</f>
        <v>TRUE</v>
      </c>
      <c r="K409" s="17" t="b">
        <f>Github!M$1303</f>
        <v>1</v>
      </c>
      <c r="L409" s="17" t="b">
        <f>Github!N$1303</f>
        <v>0</v>
      </c>
      <c r="M409" s="17" t="str">
        <f>ROUND(Github!O$1303, 2)&amp;"%"</f>
        <v>85.67%</v>
      </c>
      <c r="N409" s="17">
        <f>Github!P$1303</f>
        <v>161363</v>
      </c>
      <c r="O409" s="17">
        <f>Github!Q$1303</f>
        <v>188360</v>
      </c>
    </row>
    <row r="410" ht="18.0" customHeight="1">
      <c r="A410" s="17">
        <f>Github!J$922</f>
        <v>921</v>
      </c>
      <c r="B410" s="27" t="str">
        <f>HYPERLINK(CONCAT("http://leetcode.com/problems/",Github!C$922), Github!B$922)</f>
        <v>Minimum Add to Make Parentheses Valid</v>
      </c>
      <c r="C410" s="17">
        <f>Github!F$922</f>
        <v>2296</v>
      </c>
      <c r="D410" s="17">
        <f>Github!G$922</f>
        <v>133</v>
      </c>
      <c r="E410" s="17">
        <f>Github!F$922+Github!G$922</f>
        <v>2429</v>
      </c>
      <c r="F410" s="18">
        <f t="shared" si="1"/>
        <v>17.26</v>
      </c>
      <c r="G410" s="17" t="str">
        <f>Github!H$922</f>
        <v>Algorithms</v>
      </c>
      <c r="H410" s="19" t="str">
        <f>SUBSTITUTE(Github!L$922, ";", ", ")</f>
        <v>String, Stack, Greedy, </v>
      </c>
      <c r="I410" s="17" t="str">
        <f>Github!E$922</f>
        <v>Medium</v>
      </c>
      <c r="J410" s="17" t="str">
        <f>IF(TRIM(Github!D$922)="TRUE","FALSE","TRUE")</f>
        <v>TRUE</v>
      </c>
      <c r="K410" s="17" t="b">
        <f>Github!M$922</f>
        <v>1</v>
      </c>
      <c r="L410" s="17" t="b">
        <f>Github!N$922</f>
        <v>0</v>
      </c>
      <c r="M410" s="17" t="str">
        <f>ROUND(Github!O$922, 2)&amp;"%"</f>
        <v>77.27%</v>
      </c>
      <c r="N410" s="17">
        <f>Github!P$922</f>
        <v>188352</v>
      </c>
      <c r="O410" s="17">
        <f>Github!Q$922</f>
        <v>243766</v>
      </c>
    </row>
    <row r="411" ht="18.0" customHeight="1">
      <c r="A411" s="17">
        <f>Github!J$948</f>
        <v>947</v>
      </c>
      <c r="B411" s="27" t="str">
        <f>HYPERLINK(CONCAT("http://leetcode.com/problems/",Github!C$948), Github!B$948)</f>
        <v>Most Stones Removed with Same Row or Column</v>
      </c>
      <c r="C411" s="17">
        <f>Github!F$948</f>
        <v>2288</v>
      </c>
      <c r="D411" s="17">
        <f>Github!G$948</f>
        <v>501</v>
      </c>
      <c r="E411" s="17">
        <f>Github!F$948+Github!G$948</f>
        <v>2789</v>
      </c>
      <c r="F411" s="18">
        <f t="shared" si="1"/>
        <v>4.57</v>
      </c>
      <c r="G411" s="17" t="str">
        <f>Github!H$948</f>
        <v>Algorithms</v>
      </c>
      <c r="H411" s="19" t="str">
        <f>SUBSTITUTE(Github!L$948, ";", ", ")</f>
        <v>Depth-First Search, Union Find, Graph, </v>
      </c>
      <c r="I411" s="17" t="str">
        <f>Github!E$948</f>
        <v>Medium</v>
      </c>
      <c r="J411" s="17" t="str">
        <f>IF(TRIM(Github!D$948)="TRUE","FALSE","TRUE")</f>
        <v>TRUE</v>
      </c>
      <c r="K411" s="17" t="b">
        <f>Github!M$948</f>
        <v>0</v>
      </c>
      <c r="L411" s="17" t="b">
        <f>Github!N$948</f>
        <v>0</v>
      </c>
      <c r="M411" s="17" t="str">
        <f>ROUND(Github!O$948, 2)&amp;"%"</f>
        <v>56.25%</v>
      </c>
      <c r="N411" s="17">
        <f>Github!P$948</f>
        <v>97380</v>
      </c>
      <c r="O411" s="17">
        <f>Github!Q$948</f>
        <v>173129</v>
      </c>
    </row>
    <row r="412" ht="18.0" customHeight="1">
      <c r="A412" s="17">
        <f>Github!J$935</f>
        <v>934</v>
      </c>
      <c r="B412" s="27" t="str">
        <f>HYPERLINK(CONCAT("http://leetcode.com/problems/",Github!C$935), Github!B$935)</f>
        <v>Shortest Bridge</v>
      </c>
      <c r="C412" s="17">
        <f>Github!F$935</f>
        <v>2286</v>
      </c>
      <c r="D412" s="17">
        <f>Github!G$935</f>
        <v>118</v>
      </c>
      <c r="E412" s="17">
        <f>Github!F$935+Github!G$935</f>
        <v>2404</v>
      </c>
      <c r="F412" s="18">
        <f t="shared" si="1"/>
        <v>19.37</v>
      </c>
      <c r="G412" s="17" t="str">
        <f>Github!H$935</f>
        <v>Algorithms</v>
      </c>
      <c r="H412" s="19" t="str">
        <f>SUBSTITUTE(Github!L$935, ";", ", ")</f>
        <v>Array, Depth-First Search, Breadth-First Search, Matrix, </v>
      </c>
      <c r="I412" s="17" t="str">
        <f>Github!E$935</f>
        <v>Medium</v>
      </c>
      <c r="J412" s="17" t="str">
        <f>IF(TRIM(Github!D$935)="TRUE","FALSE","TRUE")</f>
        <v>TRUE</v>
      </c>
      <c r="K412" s="17" t="b">
        <f>Github!M$935</f>
        <v>0</v>
      </c>
      <c r="L412" s="17" t="b">
        <f>Github!N$935</f>
        <v>0</v>
      </c>
      <c r="M412" s="17" t="str">
        <f>ROUND(Github!O$935, 2)&amp;"%"</f>
        <v>52.43%</v>
      </c>
      <c r="N412" s="17">
        <f>Github!P$935</f>
        <v>83629</v>
      </c>
      <c r="O412" s="17">
        <f>Github!Q$935</f>
        <v>159509</v>
      </c>
    </row>
    <row r="413" ht="18.0" customHeight="1">
      <c r="A413" s="17">
        <f>Github!J$848</f>
        <v>847</v>
      </c>
      <c r="B413" s="27" t="str">
        <f>HYPERLINK(CONCAT("http://leetcode.com/problems/",Github!C$848), Github!B$848)</f>
        <v>Shortest Path Visiting All Nodes</v>
      </c>
      <c r="C413" s="17">
        <f>Github!F$848</f>
        <v>2273</v>
      </c>
      <c r="D413" s="17">
        <f>Github!G$848</f>
        <v>117</v>
      </c>
      <c r="E413" s="17">
        <f>Github!F$848+Github!G$848</f>
        <v>2390</v>
      </c>
      <c r="F413" s="18">
        <f t="shared" si="1"/>
        <v>19.43</v>
      </c>
      <c r="G413" s="17" t="str">
        <f>Github!H$848</f>
        <v>Algorithms</v>
      </c>
      <c r="H413" s="19" t="str">
        <f>SUBSTITUTE(Github!L$848, ";", ", ")</f>
        <v>Dynamic Programming, Bit Manipulation, Breadth-First Search, Graph, Bitmask, </v>
      </c>
      <c r="I413" s="17" t="str">
        <f>Github!E$848</f>
        <v>Hard</v>
      </c>
      <c r="J413" s="17" t="str">
        <f>IF(TRIM(Github!D$848)="TRUE","FALSE","TRUE")</f>
        <v>TRUE</v>
      </c>
      <c r="K413" s="17" t="b">
        <f>Github!M$848</f>
        <v>1</v>
      </c>
      <c r="L413" s="17" t="b">
        <f>Github!N$848</f>
        <v>0</v>
      </c>
      <c r="M413" s="17" t="str">
        <f>ROUND(Github!O$848, 2)&amp;"%"</f>
        <v>60.99%</v>
      </c>
      <c r="N413" s="17">
        <f>Github!P$848</f>
        <v>52914</v>
      </c>
      <c r="O413" s="17">
        <f>Github!Q$848</f>
        <v>86765</v>
      </c>
    </row>
    <row r="414" ht="18.0" customHeight="1">
      <c r="A414" s="17">
        <f>Github!J$497</f>
        <v>496</v>
      </c>
      <c r="B414" s="27" t="str">
        <f>HYPERLINK(CONCAT("http://leetcode.com/problems/",Github!C$497), Github!B$497)</f>
        <v>Next Greater Element I</v>
      </c>
      <c r="C414" s="17">
        <f>Github!F$497</f>
        <v>2276</v>
      </c>
      <c r="D414" s="17">
        <f>Github!G$497</f>
        <v>147</v>
      </c>
      <c r="E414" s="17">
        <f>Github!F$497+Github!G$497</f>
        <v>2423</v>
      </c>
      <c r="F414" s="18">
        <f t="shared" si="1"/>
        <v>15.48</v>
      </c>
      <c r="G414" s="17" t="str">
        <f>Github!H$497</f>
        <v>Algorithms</v>
      </c>
      <c r="H414" s="19" t="str">
        <f>SUBSTITUTE(Github!L$497, ";", ", ")</f>
        <v>Array, Hash Table, Stack, Monotonic Stack, </v>
      </c>
      <c r="I414" s="17" t="str">
        <f>Github!E$497</f>
        <v>Easy</v>
      </c>
      <c r="J414" s="17" t="str">
        <f>IF(TRIM(Github!D$497)="TRUE","FALSE","TRUE")</f>
        <v>TRUE</v>
      </c>
      <c r="K414" s="17" t="b">
        <f>Github!M$497</f>
        <v>1</v>
      </c>
      <c r="L414" s="17" t="b">
        <f>Github!N$497</f>
        <v>0</v>
      </c>
      <c r="M414" s="17" t="str">
        <f>ROUND(Github!O$497, 2)&amp;"%"</f>
        <v>69.67%</v>
      </c>
      <c r="N414" s="17">
        <f>Github!P$497</f>
        <v>329204</v>
      </c>
      <c r="O414" s="17">
        <f>Github!Q$497</f>
        <v>472533</v>
      </c>
    </row>
    <row r="415" ht="18.0" customHeight="1">
      <c r="A415" s="17">
        <f>Github!J$215</f>
        <v>214</v>
      </c>
      <c r="B415" s="27" t="str">
        <f>HYPERLINK(CONCAT("http://leetcode.com/problems/",Github!C$215), Github!B$215)</f>
        <v>Shortest Palindrome</v>
      </c>
      <c r="C415" s="17">
        <f>Github!F$215</f>
        <v>2262</v>
      </c>
      <c r="D415" s="17">
        <f>Github!G$215</f>
        <v>182</v>
      </c>
      <c r="E415" s="17">
        <f>Github!F$215+Github!G$215</f>
        <v>2444</v>
      </c>
      <c r="F415" s="18">
        <f t="shared" si="1"/>
        <v>12.43</v>
      </c>
      <c r="G415" s="17" t="str">
        <f>Github!H$215</f>
        <v>Algorithms</v>
      </c>
      <c r="H415" s="19" t="str">
        <f>SUBSTITUTE(Github!L$215, ";", ", ")</f>
        <v>String, Rolling Hash, String Matching, Hash Function, </v>
      </c>
      <c r="I415" s="17" t="str">
        <f>Github!E$215</f>
        <v>Hard</v>
      </c>
      <c r="J415" s="17" t="str">
        <f>IF(TRIM(Github!D$215)="TRUE","FALSE","TRUE")</f>
        <v>TRUE</v>
      </c>
      <c r="K415" s="17" t="b">
        <f>Github!M$215</f>
        <v>1</v>
      </c>
      <c r="L415" s="17" t="b">
        <f>Github!N$215</f>
        <v>0</v>
      </c>
      <c r="M415" s="17" t="str">
        <f>ROUND(Github!O$215, 2)&amp;"%"</f>
        <v>31.69%</v>
      </c>
      <c r="N415" s="17">
        <f>Github!P$215</f>
        <v>132989</v>
      </c>
      <c r="O415" s="17">
        <f>Github!Q$215</f>
        <v>419695</v>
      </c>
    </row>
    <row r="416" ht="18.0" customHeight="1">
      <c r="A416" s="17">
        <f>Github!J$1027</f>
        <v>1026</v>
      </c>
      <c r="B416" s="27" t="str">
        <f>HYPERLINK(CONCAT("http://leetcode.com/problems/",Github!C$1027), Github!B$1027)</f>
        <v>Maximum Difference Between Node and Ancestor</v>
      </c>
      <c r="C416" s="17">
        <f>Github!F$1027</f>
        <v>2258</v>
      </c>
      <c r="D416" s="17">
        <f>Github!G$1027</f>
        <v>63</v>
      </c>
      <c r="E416" s="17">
        <f>Github!F$1027+Github!G$1027</f>
        <v>2321</v>
      </c>
      <c r="F416" s="18">
        <f t="shared" si="1"/>
        <v>35.84</v>
      </c>
      <c r="G416" s="17" t="str">
        <f>Github!H$1027</f>
        <v>Algorithms</v>
      </c>
      <c r="H416" s="19" t="str">
        <f>SUBSTITUTE(Github!L$1027, ";", ", ")</f>
        <v>Tree, Depth-First Search, Binary Tree, </v>
      </c>
      <c r="I416" s="17" t="str">
        <f>Github!E$1027</f>
        <v>Medium</v>
      </c>
      <c r="J416" s="17" t="str">
        <f>IF(TRIM(Github!D$1027)="TRUE","FALSE","TRUE")</f>
        <v>TRUE</v>
      </c>
      <c r="K416" s="17" t="b">
        <f>Github!M$1027</f>
        <v>1</v>
      </c>
      <c r="L416" s="17" t="b">
        <f>Github!N$1027</f>
        <v>0</v>
      </c>
      <c r="M416" s="17" t="str">
        <f>ROUND(Github!O$1027, 2)&amp;"%"</f>
        <v>73.1%</v>
      </c>
      <c r="N416" s="17">
        <f>Github!P$1027</f>
        <v>126427</v>
      </c>
      <c r="O416" s="17">
        <f>Github!Q$1027</f>
        <v>172952</v>
      </c>
    </row>
    <row r="417" ht="18.0" customHeight="1">
      <c r="A417" s="17">
        <f>Github!J$1513</f>
        <v>1512</v>
      </c>
      <c r="B417" s="27" t="str">
        <f>HYPERLINK(CONCAT("http://leetcode.com/problems/",Github!C$1513), Github!B$1513)</f>
        <v>Number of Good Pairs</v>
      </c>
      <c r="C417" s="17">
        <f>Github!F$1513</f>
        <v>2257</v>
      </c>
      <c r="D417" s="17">
        <f>Github!G$1513</f>
        <v>138</v>
      </c>
      <c r="E417" s="17">
        <f>Github!F$1513+Github!G$1513</f>
        <v>2395</v>
      </c>
      <c r="F417" s="18">
        <f t="shared" si="1"/>
        <v>16.36</v>
      </c>
      <c r="G417" s="17" t="str">
        <f>Github!H$1513</f>
        <v>Algorithms</v>
      </c>
      <c r="H417" s="19" t="str">
        <f>SUBSTITUTE(Github!L$1513, ";", ", ")</f>
        <v>Array, Hash Table, Math, Counting, </v>
      </c>
      <c r="I417" s="17" t="str">
        <f>Github!E$1513</f>
        <v>Easy</v>
      </c>
      <c r="J417" s="17" t="str">
        <f>IF(TRIM(Github!D$1513)="TRUE","FALSE","TRUE")</f>
        <v>TRUE</v>
      </c>
      <c r="K417" s="17" t="b">
        <f>Github!M$1513</f>
        <v>0</v>
      </c>
      <c r="L417" s="17" t="b">
        <f>Github!N$1513</f>
        <v>0</v>
      </c>
      <c r="M417" s="17" t="str">
        <f>ROUND(Github!O$1513, 2)&amp;"%"</f>
        <v>87.91%</v>
      </c>
      <c r="N417" s="17">
        <f>Github!P$1513</f>
        <v>274434</v>
      </c>
      <c r="O417" s="17">
        <f>Github!Q$1513</f>
        <v>312182</v>
      </c>
    </row>
    <row r="418" ht="18.0" customHeight="1">
      <c r="A418" s="17">
        <f>Github!J$888</f>
        <v>887</v>
      </c>
      <c r="B418" s="27" t="str">
        <f>HYPERLINK(CONCAT("http://leetcode.com/problems/",Github!C$888), Github!B$888)</f>
        <v>Super Egg Drop</v>
      </c>
      <c r="C418" s="17">
        <f>Github!F$888</f>
        <v>2256</v>
      </c>
      <c r="D418" s="17">
        <f>Github!G$888</f>
        <v>121</v>
      </c>
      <c r="E418" s="17">
        <f>Github!F$888+Github!G$888</f>
        <v>2377</v>
      </c>
      <c r="F418" s="18">
        <f t="shared" si="1"/>
        <v>18.64</v>
      </c>
      <c r="G418" s="17" t="str">
        <f>Github!H$888</f>
        <v>Algorithms</v>
      </c>
      <c r="H418" s="19" t="str">
        <f>SUBSTITUTE(Github!L$888, ";", ", ")</f>
        <v>Math, Binary Search, Dynamic Programming, </v>
      </c>
      <c r="I418" s="17" t="str">
        <f>Github!E$888</f>
        <v>Hard</v>
      </c>
      <c r="J418" s="17" t="str">
        <f>IF(TRIM(Github!D$888)="TRUE","FALSE","TRUE")</f>
        <v>TRUE</v>
      </c>
      <c r="K418" s="17" t="b">
        <f>Github!M$888</f>
        <v>1</v>
      </c>
      <c r="L418" s="17" t="b">
        <f>Github!N$888</f>
        <v>0</v>
      </c>
      <c r="M418" s="17" t="str">
        <f>ROUND(Github!O$888, 2)&amp;"%"</f>
        <v>27.15%</v>
      </c>
      <c r="N418" s="17">
        <f>Github!P$888</f>
        <v>43437</v>
      </c>
      <c r="O418" s="17">
        <f>Github!Q$888</f>
        <v>159997</v>
      </c>
    </row>
    <row r="419" ht="18.0" customHeight="1">
      <c r="A419" s="17">
        <f>Github!J$853</f>
        <v>852</v>
      </c>
      <c r="B419" s="27" t="str">
        <f>HYPERLINK(CONCAT("http://leetcode.com/problems/",Github!C$853), Github!B$853)</f>
        <v>Peak Index in a Mountain Array</v>
      </c>
      <c r="C419" s="17">
        <f>Github!F$853</f>
        <v>2240</v>
      </c>
      <c r="D419" s="17">
        <f>Github!G$853</f>
        <v>1592</v>
      </c>
      <c r="E419" s="17">
        <f>Github!F$853+Github!G$853</f>
        <v>3832</v>
      </c>
      <c r="F419" s="18">
        <f t="shared" si="1"/>
        <v>1.41</v>
      </c>
      <c r="G419" s="17" t="str">
        <f>Github!H$853</f>
        <v>Algorithms</v>
      </c>
      <c r="H419" s="19" t="str">
        <f>SUBSTITUTE(Github!L$853, ";", ", ")</f>
        <v>Array, Binary Search, </v>
      </c>
      <c r="I419" s="17" t="str">
        <f>Github!E$853</f>
        <v>Easy</v>
      </c>
      <c r="J419" s="17" t="str">
        <f>IF(TRIM(Github!D$853)="TRUE","FALSE","TRUE")</f>
        <v>TRUE</v>
      </c>
      <c r="K419" s="17" t="b">
        <f>Github!M$853</f>
        <v>1</v>
      </c>
      <c r="L419" s="17" t="b">
        <f>Github!N$853</f>
        <v>0</v>
      </c>
      <c r="M419" s="17" t="str">
        <f>ROUND(Github!O$853, 2)&amp;"%"</f>
        <v>70.92%</v>
      </c>
      <c r="N419" s="17">
        <f>Github!P$853</f>
        <v>333163</v>
      </c>
      <c r="O419" s="17">
        <f>Github!Q$853</f>
        <v>469752</v>
      </c>
    </row>
    <row r="420" ht="18.0" customHeight="1">
      <c r="A420" s="17">
        <f>Github!J$262</f>
        <v>261</v>
      </c>
      <c r="B420" s="27" t="str">
        <f>HYPERLINK(CONCAT("http://leetcode.com/problems/",Github!C$262), Github!B$262)</f>
        <v>Graph Valid Tree</v>
      </c>
      <c r="C420" s="17">
        <f>Github!F$262</f>
        <v>2237</v>
      </c>
      <c r="D420" s="17">
        <f>Github!G$262</f>
        <v>57</v>
      </c>
      <c r="E420" s="17">
        <f>Github!F$262+Github!G$262</f>
        <v>2294</v>
      </c>
      <c r="F420" s="18">
        <f t="shared" si="1"/>
        <v>39.25</v>
      </c>
      <c r="G420" s="17" t="str">
        <f>Github!H$262</f>
        <v>Algorithms</v>
      </c>
      <c r="H420" s="19" t="str">
        <f>SUBSTITUTE(Github!L$262, ";", ", ")</f>
        <v>Depth-First Search, Breadth-First Search, Union Find, Graph, </v>
      </c>
      <c r="I420" s="17" t="str">
        <f>Github!E$262</f>
        <v>Medium</v>
      </c>
      <c r="J420" s="17" t="str">
        <f>IF(TRIM(Github!D$262)="TRUE","FALSE","TRUE")</f>
        <v>FALSE</v>
      </c>
      <c r="K420" s="17" t="b">
        <f>Github!M$262</f>
        <v>1</v>
      </c>
      <c r="L420" s="17" t="b">
        <f>Github!N$262</f>
        <v>0</v>
      </c>
      <c r="M420" s="17" t="str">
        <f>ROUND(Github!O$262, 2)&amp;"%"</f>
        <v>45.51%</v>
      </c>
      <c r="N420" s="17">
        <f>Github!P$262</f>
        <v>242189</v>
      </c>
      <c r="O420" s="17">
        <f>Github!Q$262</f>
        <v>532160</v>
      </c>
    </row>
    <row r="421" ht="18.0" customHeight="1">
      <c r="A421" s="17">
        <f>Github!J$800</f>
        <v>799</v>
      </c>
      <c r="B421" s="27" t="str">
        <f>HYPERLINK(CONCAT("http://leetcode.com/problems/",Github!C$800), Github!B$800)</f>
        <v>Champagne Tower</v>
      </c>
      <c r="C421" s="17">
        <f>Github!F$800</f>
        <v>2236</v>
      </c>
      <c r="D421" s="17">
        <f>Github!G$800</f>
        <v>127</v>
      </c>
      <c r="E421" s="17">
        <f>Github!F$800+Github!G$800</f>
        <v>2363</v>
      </c>
      <c r="F421" s="18">
        <f t="shared" si="1"/>
        <v>17.61</v>
      </c>
      <c r="G421" s="17" t="str">
        <f>Github!H$800</f>
        <v>Algorithms</v>
      </c>
      <c r="H421" s="19" t="str">
        <f>SUBSTITUTE(Github!L$800, ";", ", ")</f>
        <v>Dynamic Programming, </v>
      </c>
      <c r="I421" s="17" t="str">
        <f>Github!E$800</f>
        <v>Medium</v>
      </c>
      <c r="J421" s="17" t="str">
        <f>IF(TRIM(Github!D$800)="TRUE","FALSE","TRUE")</f>
        <v>TRUE</v>
      </c>
      <c r="K421" s="17" t="b">
        <f>Github!M$800</f>
        <v>1</v>
      </c>
      <c r="L421" s="17" t="b">
        <f>Github!N$800</f>
        <v>0</v>
      </c>
      <c r="M421" s="17" t="str">
        <f>ROUND(Github!O$800, 2)&amp;"%"</f>
        <v>51.05%</v>
      </c>
      <c r="N421" s="17">
        <f>Github!P$800</f>
        <v>72832</v>
      </c>
      <c r="O421" s="17">
        <f>Github!Q$800</f>
        <v>142685</v>
      </c>
    </row>
    <row r="422" ht="18.0" customHeight="1">
      <c r="A422" s="17">
        <f>Github!J$220</f>
        <v>219</v>
      </c>
      <c r="B422" s="27" t="str">
        <f>HYPERLINK(CONCAT("http://leetcode.com/problems/",Github!C$220), Github!B$220)</f>
        <v>Contains Duplicate II</v>
      </c>
      <c r="C422" s="17">
        <f>Github!F$220</f>
        <v>2237</v>
      </c>
      <c r="D422" s="17">
        <f>Github!G$220</f>
        <v>1805</v>
      </c>
      <c r="E422" s="17">
        <f>Github!F$220+Github!G$220</f>
        <v>4042</v>
      </c>
      <c r="F422" s="18">
        <f t="shared" si="1"/>
        <v>1.24</v>
      </c>
      <c r="G422" s="17" t="str">
        <f>Github!H$220</f>
        <v>Algorithms</v>
      </c>
      <c r="H422" s="19" t="str">
        <f>SUBSTITUTE(Github!L$220, ";", ", ")</f>
        <v>Array, Hash Table, Sliding Window, </v>
      </c>
      <c r="I422" s="17" t="str">
        <f>Github!E$220</f>
        <v>Easy</v>
      </c>
      <c r="J422" s="17" t="str">
        <f>IF(TRIM(Github!D$220)="TRUE","FALSE","TRUE")</f>
        <v>TRUE</v>
      </c>
      <c r="K422" s="17" t="b">
        <f>Github!M$220</f>
        <v>1</v>
      </c>
      <c r="L422" s="17" t="b">
        <f>Github!N$220</f>
        <v>0</v>
      </c>
      <c r="M422" s="17" t="str">
        <f>ROUND(Github!O$220, 2)&amp;"%"</f>
        <v>40.52%</v>
      </c>
      <c r="N422" s="17">
        <f>Github!P$220</f>
        <v>435858</v>
      </c>
      <c r="O422" s="17">
        <f>Github!Q$220</f>
        <v>1075698</v>
      </c>
    </row>
    <row r="423" ht="18.0" customHeight="1">
      <c r="A423" s="17">
        <f>Github!J$315</f>
        <v>314</v>
      </c>
      <c r="B423" s="27" t="str">
        <f>HYPERLINK(CONCAT("http://leetcode.com/problems/",Github!C$315), Github!B$315)</f>
        <v>Binary Tree Vertical Order Traversal</v>
      </c>
      <c r="C423" s="17">
        <f>Github!F$315</f>
        <v>2228</v>
      </c>
      <c r="D423" s="17">
        <f>Github!G$315</f>
        <v>250</v>
      </c>
      <c r="E423" s="17">
        <f>Github!F$315+Github!G$315</f>
        <v>2478</v>
      </c>
      <c r="F423" s="18">
        <f t="shared" si="1"/>
        <v>8.91</v>
      </c>
      <c r="G423" s="17" t="str">
        <f>Github!H$315</f>
        <v>Algorithms</v>
      </c>
      <c r="H423" s="19" t="str">
        <f>SUBSTITUTE(Github!L$315, ";", ", ")</f>
        <v>Hash Table, Tree, Depth-First Search, Breadth-First Search, Binary Tree, </v>
      </c>
      <c r="I423" s="17" t="str">
        <f>Github!E$315</f>
        <v>Medium</v>
      </c>
      <c r="J423" s="17" t="str">
        <f>IF(TRIM(Github!D$315)="TRUE","FALSE","TRUE")</f>
        <v>FALSE</v>
      </c>
      <c r="K423" s="17" t="b">
        <f>Github!M$315</f>
        <v>1</v>
      </c>
      <c r="L423" s="17" t="b">
        <f>Github!N$315</f>
        <v>0</v>
      </c>
      <c r="M423" s="17" t="str">
        <f>ROUND(Github!O$315, 2)&amp;"%"</f>
        <v>50.78%</v>
      </c>
      <c r="N423" s="17">
        <f>Github!P$315</f>
        <v>247805</v>
      </c>
      <c r="O423" s="17">
        <f>Github!Q$315</f>
        <v>487992</v>
      </c>
    </row>
    <row r="424" ht="18.0" customHeight="1">
      <c r="A424" s="17">
        <f>Github!J$287</f>
        <v>286</v>
      </c>
      <c r="B424" s="27" t="str">
        <f>HYPERLINK(CONCAT("http://leetcode.com/problems/",Github!C$287), Github!B$287)</f>
        <v>Walls and Gates</v>
      </c>
      <c r="C424" s="17">
        <f>Github!F$287</f>
        <v>2216</v>
      </c>
      <c r="D424" s="17">
        <f>Github!G$287</f>
        <v>35</v>
      </c>
      <c r="E424" s="17">
        <f>Github!F$287+Github!G$287</f>
        <v>2251</v>
      </c>
      <c r="F424" s="18">
        <f t="shared" si="1"/>
        <v>63.31</v>
      </c>
      <c r="G424" s="17" t="str">
        <f>Github!H$287</f>
        <v>Algorithms</v>
      </c>
      <c r="H424" s="19" t="str">
        <f>SUBSTITUTE(Github!L$287, ";", ", ")</f>
        <v>Array, Breadth-First Search, Matrix, </v>
      </c>
      <c r="I424" s="17" t="str">
        <f>Github!E$287</f>
        <v>Medium</v>
      </c>
      <c r="J424" s="17" t="str">
        <f>IF(TRIM(Github!D$287)="TRUE","FALSE","TRUE")</f>
        <v>FALSE</v>
      </c>
      <c r="K424" s="17" t="b">
        <f>Github!M$287</f>
        <v>1</v>
      </c>
      <c r="L424" s="17" t="b">
        <f>Github!N$287</f>
        <v>0</v>
      </c>
      <c r="M424" s="17" t="str">
        <f>ROUND(Github!O$287, 2)&amp;"%"</f>
        <v>58.93%</v>
      </c>
      <c r="N424" s="17">
        <f>Github!P$287</f>
        <v>207814</v>
      </c>
      <c r="O424" s="17">
        <f>Github!Q$287</f>
        <v>352661</v>
      </c>
    </row>
    <row r="425" ht="18.0" customHeight="1">
      <c r="A425" s="17">
        <f>Github!J$898</f>
        <v>897</v>
      </c>
      <c r="B425" s="27" t="str">
        <f>HYPERLINK(CONCAT("http://leetcode.com/problems/",Github!C$898), Github!B$898)</f>
        <v>Increasing Order Search Tree</v>
      </c>
      <c r="C425" s="17">
        <f>Github!F$898</f>
        <v>2199</v>
      </c>
      <c r="D425" s="17">
        <f>Github!G$898</f>
        <v>593</v>
      </c>
      <c r="E425" s="17">
        <f>Github!F$898+Github!G$898</f>
        <v>2792</v>
      </c>
      <c r="F425" s="18">
        <f t="shared" si="1"/>
        <v>3.71</v>
      </c>
      <c r="G425" s="17" t="str">
        <f>Github!H$898</f>
        <v>Algorithms</v>
      </c>
      <c r="H425" s="19" t="str">
        <f>SUBSTITUTE(Github!L$898, ";", ", ")</f>
        <v>Stack, Tree, Depth-First Search, Binary Search Tree, Binary Tree, </v>
      </c>
      <c r="I425" s="17" t="str">
        <f>Github!E$898</f>
        <v>Easy</v>
      </c>
      <c r="J425" s="17" t="str">
        <f>IF(TRIM(Github!D$898)="TRUE","FALSE","TRUE")</f>
        <v>TRUE</v>
      </c>
      <c r="K425" s="17" t="b">
        <f>Github!M$898</f>
        <v>1</v>
      </c>
      <c r="L425" s="17" t="b">
        <f>Github!N$898</f>
        <v>0</v>
      </c>
      <c r="M425" s="17" t="str">
        <f>ROUND(Github!O$898, 2)&amp;"%"</f>
        <v>76.06%</v>
      </c>
      <c r="N425" s="17">
        <f>Github!P$898</f>
        <v>163113</v>
      </c>
      <c r="O425" s="17">
        <f>Github!Q$898</f>
        <v>214467</v>
      </c>
    </row>
    <row r="426" ht="18.0" customHeight="1">
      <c r="A426" s="17">
        <f>Github!J$221</f>
        <v>220</v>
      </c>
      <c r="B426" s="27" t="str">
        <f>HYPERLINK(CONCAT("http://leetcode.com/problems/",Github!C$221), Github!B$221)</f>
        <v>Contains Duplicate III</v>
      </c>
      <c r="C426" s="17">
        <f>Github!F$221</f>
        <v>2194</v>
      </c>
      <c r="D426" s="17">
        <f>Github!G$221</f>
        <v>2159</v>
      </c>
      <c r="E426" s="17">
        <f>Github!F$221+Github!G$221</f>
        <v>4353</v>
      </c>
      <c r="F426" s="18">
        <f t="shared" si="1"/>
        <v>1.02</v>
      </c>
      <c r="G426" s="17" t="str">
        <f>Github!H$221</f>
        <v>Algorithms</v>
      </c>
      <c r="H426" s="19" t="str">
        <f>SUBSTITUTE(Github!L$221, ";", ", ")</f>
        <v>Array, Sliding Window, Sorting, Bucket Sort, Ordered Set, </v>
      </c>
      <c r="I426" s="17" t="str">
        <f>Github!E$221</f>
        <v>Medium</v>
      </c>
      <c r="J426" s="17" t="str">
        <f>IF(TRIM(Github!D$221)="TRUE","FALSE","TRUE")</f>
        <v>TRUE</v>
      </c>
      <c r="K426" s="17" t="b">
        <f>Github!M$221</f>
        <v>1</v>
      </c>
      <c r="L426" s="17" t="b">
        <f>Github!N$221</f>
        <v>0</v>
      </c>
      <c r="M426" s="17" t="str">
        <f>ROUND(Github!O$221, 2)&amp;"%"</f>
        <v>21.69%</v>
      </c>
      <c r="N426" s="17">
        <f>Github!P$221</f>
        <v>196765</v>
      </c>
      <c r="O426" s="17">
        <f>Github!Q$221</f>
        <v>907170</v>
      </c>
    </row>
    <row r="427" ht="18.0" customHeight="1">
      <c r="A427" s="17">
        <f>Github!J$341</f>
        <v>340</v>
      </c>
      <c r="B427" s="27" t="str">
        <f>HYPERLINK(CONCAT("http://leetcode.com/problems/",Github!C$341), Github!B$341)</f>
        <v>Longest Substring with At Most K Distinct Characters</v>
      </c>
      <c r="C427" s="17">
        <f>Github!F$341</f>
        <v>2190</v>
      </c>
      <c r="D427" s="17">
        <f>Github!G$341</f>
        <v>67</v>
      </c>
      <c r="E427" s="17">
        <f>Github!F$341+Github!G$341</f>
        <v>2257</v>
      </c>
      <c r="F427" s="18">
        <f t="shared" si="1"/>
        <v>32.69</v>
      </c>
      <c r="G427" s="17" t="str">
        <f>Github!H$341</f>
        <v>Algorithms</v>
      </c>
      <c r="H427" s="19" t="str">
        <f>SUBSTITUTE(Github!L$341, ";", ", ")</f>
        <v>Hash Table, String, Sliding Window, </v>
      </c>
      <c r="I427" s="17" t="str">
        <f>Github!E$341</f>
        <v>Medium</v>
      </c>
      <c r="J427" s="17" t="str">
        <f>IF(TRIM(Github!D$341)="TRUE","FALSE","TRUE")</f>
        <v>FALSE</v>
      </c>
      <c r="K427" s="17" t="b">
        <f>Github!M$341</f>
        <v>1</v>
      </c>
      <c r="L427" s="17" t="b">
        <f>Github!N$341</f>
        <v>1</v>
      </c>
      <c r="M427" s="17" t="str">
        <f>ROUND(Github!O$341, 2)&amp;"%"</f>
        <v>47.21%</v>
      </c>
      <c r="N427" s="17">
        <f>Github!P$341</f>
        <v>264048</v>
      </c>
      <c r="O427" s="17">
        <f>Github!Q$341</f>
        <v>559326</v>
      </c>
    </row>
    <row r="428" ht="18.0" customHeight="1">
      <c r="A428" s="17">
        <f>Github!J$367</f>
        <v>366</v>
      </c>
      <c r="B428" s="27" t="str">
        <f>HYPERLINK(CONCAT("http://leetcode.com/problems/",Github!C$367), Github!B$367)</f>
        <v>Find Leaves of Binary Tree</v>
      </c>
      <c r="C428" s="17">
        <f>Github!F$367</f>
        <v>2188</v>
      </c>
      <c r="D428" s="17">
        <f>Github!G$367</f>
        <v>38</v>
      </c>
      <c r="E428" s="17">
        <f>Github!F$367+Github!G$367</f>
        <v>2226</v>
      </c>
      <c r="F428" s="18">
        <f t="shared" si="1"/>
        <v>57.58</v>
      </c>
      <c r="G428" s="17" t="str">
        <f>Github!H$367</f>
        <v>Algorithms</v>
      </c>
      <c r="H428" s="19" t="str">
        <f>SUBSTITUTE(Github!L$367, ";", ", ")</f>
        <v>Tree, Depth-First Search, Binary Tree, </v>
      </c>
      <c r="I428" s="17" t="str">
        <f>Github!E$367</f>
        <v>Medium</v>
      </c>
      <c r="J428" s="17" t="str">
        <f>IF(TRIM(Github!D$367)="TRUE","FALSE","TRUE")</f>
        <v>FALSE</v>
      </c>
      <c r="K428" s="17" t="b">
        <f>Github!M$367</f>
        <v>1</v>
      </c>
      <c r="L428" s="17" t="b">
        <f>Github!N$367</f>
        <v>0</v>
      </c>
      <c r="M428" s="17" t="str">
        <f>ROUND(Github!O$367, 2)&amp;"%"</f>
        <v>77.82%</v>
      </c>
      <c r="N428" s="17">
        <f>Github!P$367</f>
        <v>155378</v>
      </c>
      <c r="O428" s="17">
        <f>Github!Q$367</f>
        <v>199652</v>
      </c>
    </row>
    <row r="429" ht="18.0" customHeight="1">
      <c r="A429" s="17">
        <f>Github!J$1003</f>
        <v>1002</v>
      </c>
      <c r="B429" s="27" t="str">
        <f>HYPERLINK(CONCAT("http://leetcode.com/problems/",Github!C$1003), Github!B$1003)</f>
        <v>Find Common Characters</v>
      </c>
      <c r="C429" s="17">
        <f>Github!F$1003</f>
        <v>2181</v>
      </c>
      <c r="D429" s="17">
        <f>Github!G$1003</f>
        <v>180</v>
      </c>
      <c r="E429" s="17">
        <f>Github!F$1003+Github!G$1003</f>
        <v>2361</v>
      </c>
      <c r="F429" s="18">
        <f t="shared" si="1"/>
        <v>12.12</v>
      </c>
      <c r="G429" s="17" t="str">
        <f>Github!H$1003</f>
        <v>Algorithms</v>
      </c>
      <c r="H429" s="19" t="str">
        <f>SUBSTITUTE(Github!L$1003, ";", ", ")</f>
        <v>Array, Hash Table, String, </v>
      </c>
      <c r="I429" s="17" t="str">
        <f>Github!E$1003</f>
        <v>Easy</v>
      </c>
      <c r="J429" s="17" t="str">
        <f>IF(TRIM(Github!D$1003)="TRUE","FALSE","TRUE")</f>
        <v>TRUE</v>
      </c>
      <c r="K429" s="17" t="b">
        <f>Github!M$1003</f>
        <v>0</v>
      </c>
      <c r="L429" s="17" t="b">
        <f>Github!N$1003</f>
        <v>0</v>
      </c>
      <c r="M429" s="17" t="str">
        <f>ROUND(Github!O$1003, 2)&amp;"%"</f>
        <v>68.39%</v>
      </c>
      <c r="N429" s="17">
        <f>Github!P$1003</f>
        <v>137919</v>
      </c>
      <c r="O429" s="17">
        <f>Github!Q$1003</f>
        <v>201680</v>
      </c>
    </row>
    <row r="430" ht="18.0" customHeight="1">
      <c r="A430" s="17">
        <f>Github!J$278</f>
        <v>277</v>
      </c>
      <c r="B430" s="27" t="str">
        <f>HYPERLINK(CONCAT("http://leetcode.com/problems/",Github!C$278), Github!B$278)</f>
        <v>Find the Celebrity</v>
      </c>
      <c r="C430" s="17">
        <f>Github!F$278</f>
        <v>2178</v>
      </c>
      <c r="D430" s="17">
        <f>Github!G$278</f>
        <v>199</v>
      </c>
      <c r="E430" s="17">
        <f>Github!F$278+Github!G$278</f>
        <v>2377</v>
      </c>
      <c r="F430" s="18">
        <f t="shared" si="1"/>
        <v>10.94</v>
      </c>
      <c r="G430" s="17" t="str">
        <f>Github!H$278</f>
        <v>Algorithms</v>
      </c>
      <c r="H430" s="19" t="str">
        <f>SUBSTITUTE(Github!L$278, ";", ", ")</f>
        <v>Two Pointers, Greedy, Graph, Interactive, </v>
      </c>
      <c r="I430" s="17" t="str">
        <f>Github!E$278</f>
        <v>Medium</v>
      </c>
      <c r="J430" s="17" t="str">
        <f>IF(TRIM(Github!D$278)="TRUE","FALSE","TRUE")</f>
        <v>FALSE</v>
      </c>
      <c r="K430" s="17" t="b">
        <f>Github!M$278</f>
        <v>1</v>
      </c>
      <c r="L430" s="17" t="b">
        <f>Github!N$278</f>
        <v>1</v>
      </c>
      <c r="M430" s="17" t="str">
        <f>ROUND(Github!O$278, 2)&amp;"%"</f>
        <v>46.24%</v>
      </c>
      <c r="N430" s="17">
        <f>Github!P$278</f>
        <v>211558</v>
      </c>
      <c r="O430" s="17">
        <f>Github!Q$278</f>
        <v>457555</v>
      </c>
    </row>
    <row r="431" ht="18.0" customHeight="1">
      <c r="A431" s="17">
        <f>Github!J$202</f>
        <v>201</v>
      </c>
      <c r="B431" s="27" t="str">
        <f>HYPERLINK(CONCAT("http://leetcode.com/problems/",Github!C$202), Github!B$202)</f>
        <v>Bitwise AND of Numbers Range</v>
      </c>
      <c r="C431" s="17">
        <f>Github!F$202</f>
        <v>2170</v>
      </c>
      <c r="D431" s="17">
        <f>Github!G$202</f>
        <v>177</v>
      </c>
      <c r="E431" s="17">
        <f>Github!F$202+Github!G$202</f>
        <v>2347</v>
      </c>
      <c r="F431" s="18">
        <f t="shared" si="1"/>
        <v>12.26</v>
      </c>
      <c r="G431" s="17" t="str">
        <f>Github!H$202</f>
        <v>Algorithms</v>
      </c>
      <c r="H431" s="19" t="str">
        <f>SUBSTITUTE(Github!L$202, ";", ", ")</f>
        <v>Bit Manipulation, </v>
      </c>
      <c r="I431" s="17" t="str">
        <f>Github!E$202</f>
        <v>Medium</v>
      </c>
      <c r="J431" s="17" t="str">
        <f>IF(TRIM(Github!D$202)="TRUE","FALSE","TRUE")</f>
        <v>TRUE</v>
      </c>
      <c r="K431" s="17" t="b">
        <f>Github!M$202</f>
        <v>1</v>
      </c>
      <c r="L431" s="17" t="b">
        <f>Github!N$202</f>
        <v>0</v>
      </c>
      <c r="M431" s="17" t="str">
        <f>ROUND(Github!O$202, 2)&amp;"%"</f>
        <v>41.66%</v>
      </c>
      <c r="N431" s="17">
        <f>Github!P$202</f>
        <v>210646</v>
      </c>
      <c r="O431" s="17">
        <f>Github!Q$202</f>
        <v>505647</v>
      </c>
    </row>
    <row r="432" ht="18.0" customHeight="1">
      <c r="A432" s="17">
        <f>Github!J$1540</f>
        <v>1539</v>
      </c>
      <c r="B432" s="27" t="str">
        <f>HYPERLINK(CONCAT("http://leetcode.com/problems/",Github!C$1540), Github!B$1540)</f>
        <v>Kth Missing Positive Number</v>
      </c>
      <c r="C432" s="17">
        <f>Github!F$1540</f>
        <v>2159</v>
      </c>
      <c r="D432" s="17">
        <f>Github!G$1540</f>
        <v>160</v>
      </c>
      <c r="E432" s="17">
        <f>Github!F$1540+Github!G$1540</f>
        <v>2319</v>
      </c>
      <c r="F432" s="18">
        <f t="shared" si="1"/>
        <v>13.49</v>
      </c>
      <c r="G432" s="17" t="str">
        <f>Github!H$1540</f>
        <v>Algorithms</v>
      </c>
      <c r="H432" s="19" t="str">
        <f>SUBSTITUTE(Github!L$1540, ";", ", ")</f>
        <v>Array, Binary Search, </v>
      </c>
      <c r="I432" s="17" t="str">
        <f>Github!E$1540</f>
        <v>Easy</v>
      </c>
      <c r="J432" s="17" t="str">
        <f>IF(TRIM(Github!D$1540)="TRUE","FALSE","TRUE")</f>
        <v>TRUE</v>
      </c>
      <c r="K432" s="17" t="b">
        <f>Github!M$1540</f>
        <v>1</v>
      </c>
      <c r="L432" s="17" t="b">
        <f>Github!N$1540</f>
        <v>0</v>
      </c>
      <c r="M432" s="17" t="str">
        <f>ROUND(Github!O$1540, 2)&amp;"%"</f>
        <v>55.24%</v>
      </c>
      <c r="N432" s="17">
        <f>Github!P$1540</f>
        <v>147720</v>
      </c>
      <c r="O432" s="17">
        <f>Github!Q$1540</f>
        <v>267433</v>
      </c>
    </row>
    <row r="433" ht="18.0" customHeight="1">
      <c r="A433" s="17">
        <f>Github!J$1449</f>
        <v>1448</v>
      </c>
      <c r="B433" s="27" t="str">
        <f>HYPERLINK(CONCAT("http://leetcode.com/problems/",Github!C$1449), Github!B$1449)</f>
        <v>Count Good Nodes in Binary Tree</v>
      </c>
      <c r="C433" s="17">
        <f>Github!F$1449</f>
        <v>2148</v>
      </c>
      <c r="D433" s="17">
        <f>Github!G$1449</f>
        <v>71</v>
      </c>
      <c r="E433" s="17">
        <f>Github!F$1449+Github!G$1449</f>
        <v>2219</v>
      </c>
      <c r="F433" s="18">
        <f t="shared" si="1"/>
        <v>30.25</v>
      </c>
      <c r="G433" s="17" t="str">
        <f>Github!H$1449</f>
        <v>Algorithms</v>
      </c>
      <c r="H433" s="19" t="str">
        <f>SUBSTITUTE(Github!L$1449, ";", ", ")</f>
        <v>Tree, Depth-First Search, Breadth-First Search, Binary Tree, </v>
      </c>
      <c r="I433" s="17" t="str">
        <f>Github!E$1449</f>
        <v>Medium</v>
      </c>
      <c r="J433" s="17" t="str">
        <f>IF(TRIM(Github!D$1449)="TRUE","FALSE","TRUE")</f>
        <v>TRUE</v>
      </c>
      <c r="K433" s="17" t="b">
        <f>Github!M$1449</f>
        <v>1</v>
      </c>
      <c r="L433" s="17" t="b">
        <f>Github!N$1449</f>
        <v>1</v>
      </c>
      <c r="M433" s="17" t="str">
        <f>ROUND(Github!O$1449, 2)&amp;"%"</f>
        <v>72.97%</v>
      </c>
      <c r="N433" s="17">
        <f>Github!P$1449</f>
        <v>151775</v>
      </c>
      <c r="O433" s="17">
        <f>Github!Q$1449</f>
        <v>207989</v>
      </c>
    </row>
    <row r="434" ht="18.0" customHeight="1">
      <c r="A434" s="17">
        <f>Github!J$1471</f>
        <v>1470</v>
      </c>
      <c r="B434" s="27" t="str">
        <f>HYPERLINK(CONCAT("http://leetcode.com/problems/",Github!C$1471), Github!B$1471)</f>
        <v>Shuffle the Array</v>
      </c>
      <c r="C434" s="17">
        <f>Github!F$1471</f>
        <v>2150</v>
      </c>
      <c r="D434" s="17">
        <f>Github!G$1471</f>
        <v>169</v>
      </c>
      <c r="E434" s="17">
        <f>Github!F$1471+Github!G$1471</f>
        <v>2319</v>
      </c>
      <c r="F434" s="18">
        <f t="shared" si="1"/>
        <v>12.72</v>
      </c>
      <c r="G434" s="17" t="str">
        <f>Github!H$1471</f>
        <v>Algorithms</v>
      </c>
      <c r="H434" s="19" t="str">
        <f>SUBSTITUTE(Github!L$1471, ";", ", ")</f>
        <v>Array, </v>
      </c>
      <c r="I434" s="17" t="str">
        <f>Github!E$1471</f>
        <v>Easy</v>
      </c>
      <c r="J434" s="17" t="str">
        <f>IF(TRIM(Github!D$1471)="TRUE","FALSE","TRUE")</f>
        <v>TRUE</v>
      </c>
      <c r="K434" s="17" t="b">
        <f>Github!M$1471</f>
        <v>0</v>
      </c>
      <c r="L434" s="17" t="b">
        <f>Github!N$1471</f>
        <v>0</v>
      </c>
      <c r="M434" s="17" t="str">
        <f>ROUND(Github!O$1471, 2)&amp;"%"</f>
        <v>88.32%</v>
      </c>
      <c r="N434" s="17">
        <f>Github!P$1471</f>
        <v>297967</v>
      </c>
      <c r="O434" s="17">
        <f>Github!Q$1471</f>
        <v>337386</v>
      </c>
    </row>
    <row r="435" ht="18.0" customHeight="1">
      <c r="A435" s="17">
        <f>Github!J$1306</f>
        <v>1305</v>
      </c>
      <c r="B435" s="27" t="str">
        <f>HYPERLINK(CONCAT("http://leetcode.com/problems/",Github!C$1306), Github!B$1306)</f>
        <v>All Elements in Two Binary Search Trees</v>
      </c>
      <c r="C435" s="17">
        <f>Github!F$1306</f>
        <v>2138</v>
      </c>
      <c r="D435" s="17">
        <f>Github!G$1306</f>
        <v>63</v>
      </c>
      <c r="E435" s="17">
        <f>Github!F$1306+Github!G$1306</f>
        <v>2201</v>
      </c>
      <c r="F435" s="18">
        <f t="shared" si="1"/>
        <v>33.94</v>
      </c>
      <c r="G435" s="17" t="str">
        <f>Github!H$1306</f>
        <v>Algorithms</v>
      </c>
      <c r="H435" s="19" t="str">
        <f>SUBSTITUTE(Github!L$1306, ";", ", ")</f>
        <v>Tree, Depth-First Search, Binary Search Tree, Sorting, Binary Tree, </v>
      </c>
      <c r="I435" s="17" t="str">
        <f>Github!E$1306</f>
        <v>Medium</v>
      </c>
      <c r="J435" s="17" t="str">
        <f>IF(TRIM(Github!D$1306)="TRUE","FALSE","TRUE")</f>
        <v>TRUE</v>
      </c>
      <c r="K435" s="17" t="b">
        <f>Github!M$1306</f>
        <v>1</v>
      </c>
      <c r="L435" s="17" t="b">
        <f>Github!N$1306</f>
        <v>0</v>
      </c>
      <c r="M435" s="17" t="str">
        <f>ROUND(Github!O$1306, 2)&amp;"%"</f>
        <v>79.62%</v>
      </c>
      <c r="N435" s="17">
        <f>Github!P$1306</f>
        <v>156360</v>
      </c>
      <c r="O435" s="17">
        <f>Github!Q$1306</f>
        <v>196383</v>
      </c>
    </row>
    <row r="436" ht="18.0" customHeight="1">
      <c r="A436" s="17">
        <f>Github!J$828</f>
        <v>827</v>
      </c>
      <c r="B436" s="27" t="str">
        <f>HYPERLINK(CONCAT("http://leetcode.com/problems/",Github!C$828), Github!B$828)</f>
        <v>Making A Large Island</v>
      </c>
      <c r="C436" s="17">
        <f>Github!F$828</f>
        <v>2131</v>
      </c>
      <c r="D436" s="17">
        <f>Github!G$828</f>
        <v>47</v>
      </c>
      <c r="E436" s="17">
        <f>Github!F$828+Github!G$828</f>
        <v>2178</v>
      </c>
      <c r="F436" s="18">
        <f t="shared" si="1"/>
        <v>45.34</v>
      </c>
      <c r="G436" s="17" t="str">
        <f>Github!H$828</f>
        <v>Algorithms</v>
      </c>
      <c r="H436" s="19" t="str">
        <f>SUBSTITUTE(Github!L$828, ";", ", ")</f>
        <v>Array, Depth-First Search, Breadth-First Search, Union Find, Matrix, </v>
      </c>
      <c r="I436" s="17" t="str">
        <f>Github!E$828</f>
        <v>Hard</v>
      </c>
      <c r="J436" s="17" t="str">
        <f>IF(TRIM(Github!D$828)="TRUE","FALSE","TRUE")</f>
        <v>TRUE</v>
      </c>
      <c r="K436" s="17" t="b">
        <f>Github!M$828</f>
        <v>1</v>
      </c>
      <c r="L436" s="17" t="b">
        <f>Github!N$828</f>
        <v>0</v>
      </c>
      <c r="M436" s="17" t="str">
        <f>ROUND(Github!O$828, 2)&amp;"%"</f>
        <v>44.69%</v>
      </c>
      <c r="N436" s="17">
        <f>Github!P$828</f>
        <v>99989</v>
      </c>
      <c r="O436" s="17">
        <f>Github!Q$828</f>
        <v>223739</v>
      </c>
    </row>
    <row r="437" ht="18.0" customHeight="1">
      <c r="A437" s="17">
        <f>Github!J$887</f>
        <v>886</v>
      </c>
      <c r="B437" s="27" t="str">
        <f>HYPERLINK(CONCAT("http://leetcode.com/problems/",Github!C$887), Github!B$887)</f>
        <v>Possible Bipartition</v>
      </c>
      <c r="C437" s="17">
        <f>Github!F$887</f>
        <v>2128</v>
      </c>
      <c r="D437" s="17">
        <f>Github!G$887</f>
        <v>51</v>
      </c>
      <c r="E437" s="17">
        <f>Github!F$887+Github!G$887</f>
        <v>2179</v>
      </c>
      <c r="F437" s="18">
        <f t="shared" si="1"/>
        <v>41.73</v>
      </c>
      <c r="G437" s="17" t="str">
        <f>Github!H$887</f>
        <v>Algorithms</v>
      </c>
      <c r="H437" s="19" t="str">
        <f>SUBSTITUTE(Github!L$887, ";", ", ")</f>
        <v>Depth-First Search, Breadth-First Search, Union Find, Graph, </v>
      </c>
      <c r="I437" s="17" t="str">
        <f>Github!E$887</f>
        <v>Medium</v>
      </c>
      <c r="J437" s="17" t="str">
        <f>IF(TRIM(Github!D$887)="TRUE","FALSE","TRUE")</f>
        <v>TRUE</v>
      </c>
      <c r="K437" s="17" t="b">
        <f>Github!M$887</f>
        <v>0</v>
      </c>
      <c r="L437" s="17" t="b">
        <f>Github!N$887</f>
        <v>0</v>
      </c>
      <c r="M437" s="17" t="str">
        <f>ROUND(Github!O$887, 2)&amp;"%"</f>
        <v>46.92%</v>
      </c>
      <c r="N437" s="17">
        <f>Github!P$887</f>
        <v>100693</v>
      </c>
      <c r="O437" s="17">
        <f>Github!Q$887</f>
        <v>214598</v>
      </c>
    </row>
    <row r="438" ht="18.0" customHeight="1">
      <c r="A438" s="17">
        <f>Github!J$647</f>
        <v>646</v>
      </c>
      <c r="B438" s="27" t="str">
        <f>HYPERLINK(CONCAT("http://leetcode.com/problems/",Github!C$647), Github!B$647)</f>
        <v>Maximum Length of Pair Chain</v>
      </c>
      <c r="C438" s="17">
        <f>Github!F$647</f>
        <v>2110</v>
      </c>
      <c r="D438" s="17">
        <f>Github!G$647</f>
        <v>99</v>
      </c>
      <c r="E438" s="17">
        <f>Github!F$647+Github!G$647</f>
        <v>2209</v>
      </c>
      <c r="F438" s="18">
        <f t="shared" si="1"/>
        <v>21.31</v>
      </c>
      <c r="G438" s="17" t="str">
        <f>Github!H$647</f>
        <v>Algorithms</v>
      </c>
      <c r="H438" s="19" t="str">
        <f>SUBSTITUTE(Github!L$647, ";", ", ")</f>
        <v>Array, Dynamic Programming, Greedy, Sorting, </v>
      </c>
      <c r="I438" s="17" t="str">
        <f>Github!E$647</f>
        <v>Medium</v>
      </c>
      <c r="J438" s="17" t="str">
        <f>IF(TRIM(Github!D$647)="TRUE","FALSE","TRUE")</f>
        <v>TRUE</v>
      </c>
      <c r="K438" s="17" t="b">
        <f>Github!M$647</f>
        <v>1</v>
      </c>
      <c r="L438" s="17" t="b">
        <f>Github!N$647</f>
        <v>0</v>
      </c>
      <c r="M438" s="17" t="str">
        <f>ROUND(Github!O$647, 2)&amp;"%"</f>
        <v>55.45%</v>
      </c>
      <c r="N438" s="17">
        <f>Github!P$647</f>
        <v>104231</v>
      </c>
      <c r="O438" s="17">
        <f>Github!Q$647</f>
        <v>187973</v>
      </c>
    </row>
    <row r="439" ht="18.0" customHeight="1">
      <c r="A439" s="17">
        <f>Github!J$822</f>
        <v>821</v>
      </c>
      <c r="B439" s="27" t="str">
        <f>HYPERLINK(CONCAT("http://leetcode.com/problems/",Github!C$822), Github!B$822)</f>
        <v>Shortest Distance to a Character</v>
      </c>
      <c r="C439" s="17">
        <f>Github!F$822</f>
        <v>2107</v>
      </c>
      <c r="D439" s="17">
        <f>Github!G$822</f>
        <v>120</v>
      </c>
      <c r="E439" s="17">
        <f>Github!F$822+Github!G$822</f>
        <v>2227</v>
      </c>
      <c r="F439" s="18">
        <f t="shared" si="1"/>
        <v>17.56</v>
      </c>
      <c r="G439" s="17" t="str">
        <f>Github!H$822</f>
        <v>Algorithms</v>
      </c>
      <c r="H439" s="19" t="str">
        <f>SUBSTITUTE(Github!L$822, ";", ", ")</f>
        <v>Array, Two Pointers, String, </v>
      </c>
      <c r="I439" s="17" t="str">
        <f>Github!E$822</f>
        <v>Easy</v>
      </c>
      <c r="J439" s="17" t="str">
        <f>IF(TRIM(Github!D$822)="TRUE","FALSE","TRUE")</f>
        <v>TRUE</v>
      </c>
      <c r="K439" s="17" t="b">
        <f>Github!M$822</f>
        <v>1</v>
      </c>
      <c r="L439" s="17" t="b">
        <f>Github!N$822</f>
        <v>0</v>
      </c>
      <c r="M439" s="17" t="str">
        <f>ROUND(Github!O$822, 2)&amp;"%"</f>
        <v>70.91%</v>
      </c>
      <c r="N439" s="17">
        <f>Github!P$822</f>
        <v>128208</v>
      </c>
      <c r="O439" s="17">
        <f>Github!Q$822</f>
        <v>180810</v>
      </c>
    </row>
    <row r="440" ht="18.0" customHeight="1">
      <c r="A440" s="17">
        <f>Github!J$1269</f>
        <v>1268</v>
      </c>
      <c r="B440" s="27" t="str">
        <f>HYPERLINK(CONCAT("http://leetcode.com/problems/",Github!C$1269), Github!B$1269)</f>
        <v>Search Suggestions System</v>
      </c>
      <c r="C440" s="17">
        <f>Github!F$1269</f>
        <v>2101</v>
      </c>
      <c r="D440" s="17">
        <f>Github!G$1269</f>
        <v>126</v>
      </c>
      <c r="E440" s="17">
        <f>Github!F$1269+Github!G$1269</f>
        <v>2227</v>
      </c>
      <c r="F440" s="18">
        <f t="shared" si="1"/>
        <v>16.67</v>
      </c>
      <c r="G440" s="17" t="str">
        <f>Github!H$1269</f>
        <v>Algorithms</v>
      </c>
      <c r="H440" s="19" t="str">
        <f>SUBSTITUTE(Github!L$1269, ";", ", ")</f>
        <v>Array, String, Trie, </v>
      </c>
      <c r="I440" s="17" t="str">
        <f>Github!E$1269</f>
        <v>Medium</v>
      </c>
      <c r="J440" s="17" t="str">
        <f>IF(TRIM(Github!D$1269)="TRUE","FALSE","TRUE")</f>
        <v>TRUE</v>
      </c>
      <c r="K440" s="17" t="b">
        <f>Github!M$1269</f>
        <v>1</v>
      </c>
      <c r="L440" s="17" t="b">
        <f>Github!N$1269</f>
        <v>0</v>
      </c>
      <c r="M440" s="17" t="str">
        <f>ROUND(Github!O$1269, 2)&amp;"%"</f>
        <v>65.51%</v>
      </c>
      <c r="N440" s="17">
        <f>Github!P$1269</f>
        <v>141087</v>
      </c>
      <c r="O440" s="17">
        <f>Github!Q$1269</f>
        <v>215359</v>
      </c>
    </row>
    <row r="441" ht="18.0" customHeight="1">
      <c r="A441" s="17">
        <f>Github!J$490</f>
        <v>489</v>
      </c>
      <c r="B441" s="27" t="str">
        <f>HYPERLINK(CONCAT("http://leetcode.com/problems/",Github!C$490), Github!B$490)</f>
        <v>Robot Room Cleaner</v>
      </c>
      <c r="C441" s="17">
        <f>Github!F$490</f>
        <v>2083</v>
      </c>
      <c r="D441" s="17">
        <f>Github!G$490</f>
        <v>122</v>
      </c>
      <c r="E441" s="17">
        <f>Github!F$490+Github!G$490</f>
        <v>2205</v>
      </c>
      <c r="F441" s="18">
        <f t="shared" si="1"/>
        <v>17.07</v>
      </c>
      <c r="G441" s="17" t="str">
        <f>Github!H$490</f>
        <v>Algorithms</v>
      </c>
      <c r="H441" s="19" t="str">
        <f>SUBSTITUTE(Github!L$490, ";", ", ")</f>
        <v>Backtracking, Interactive, </v>
      </c>
      <c r="I441" s="17" t="str">
        <f>Github!E$490</f>
        <v>Hard</v>
      </c>
      <c r="J441" s="17" t="str">
        <f>IF(TRIM(Github!D$490)="TRUE","FALSE","TRUE")</f>
        <v>FALSE</v>
      </c>
      <c r="K441" s="17" t="b">
        <f>Github!M$490</f>
        <v>1</v>
      </c>
      <c r="L441" s="17" t="b">
        <f>Github!N$490</f>
        <v>0</v>
      </c>
      <c r="M441" s="17" t="str">
        <f>ROUND(Github!O$490, 2)&amp;"%"</f>
        <v>75.38%</v>
      </c>
      <c r="N441" s="17">
        <f>Github!P$490</f>
        <v>111510</v>
      </c>
      <c r="O441" s="17">
        <f>Github!Q$490</f>
        <v>147932</v>
      </c>
    </row>
    <row r="442" ht="18.0" customHeight="1">
      <c r="A442" s="17">
        <f>Github!J$932</f>
        <v>931</v>
      </c>
      <c r="B442" s="27" t="str">
        <f>HYPERLINK(CONCAT("http://leetcode.com/problems/",Github!C$932), Github!B$932)</f>
        <v>Minimum Falling Path Sum</v>
      </c>
      <c r="C442" s="17">
        <f>Github!F$932</f>
        <v>2080</v>
      </c>
      <c r="D442" s="17">
        <f>Github!G$932</f>
        <v>90</v>
      </c>
      <c r="E442" s="17">
        <f>Github!F$932+Github!G$932</f>
        <v>2170</v>
      </c>
      <c r="F442" s="18">
        <f t="shared" si="1"/>
        <v>23.11</v>
      </c>
      <c r="G442" s="17" t="str">
        <f>Github!H$932</f>
        <v>Algorithms</v>
      </c>
      <c r="H442" s="19" t="str">
        <f>SUBSTITUTE(Github!L$932, ";", ", ")</f>
        <v>Array, Dynamic Programming, Matrix, </v>
      </c>
      <c r="I442" s="17" t="str">
        <f>Github!E$932</f>
        <v>Medium</v>
      </c>
      <c r="J442" s="17" t="str">
        <f>IF(TRIM(Github!D$932)="TRUE","FALSE","TRUE")</f>
        <v>TRUE</v>
      </c>
      <c r="K442" s="17" t="b">
        <f>Github!M$932</f>
        <v>0</v>
      </c>
      <c r="L442" s="17" t="b">
        <f>Github!N$932</f>
        <v>0</v>
      </c>
      <c r="M442" s="17" t="str">
        <f>ROUND(Github!O$932, 2)&amp;"%"</f>
        <v>67.08%</v>
      </c>
      <c r="N442" s="17">
        <f>Github!P$932</f>
        <v>114928</v>
      </c>
      <c r="O442" s="17">
        <f>Github!Q$932</f>
        <v>171321</v>
      </c>
    </row>
    <row r="443" ht="18.0" customHeight="1">
      <c r="A443" s="17">
        <f>Github!J$427</f>
        <v>426</v>
      </c>
      <c r="B443" s="27" t="str">
        <f>HYPERLINK(CONCAT("http://leetcode.com/problems/",Github!C$427), Github!B$427)</f>
        <v>Convert Binary Search Tree to Sorted Doubly Linked List</v>
      </c>
      <c r="C443" s="17">
        <f>Github!F$427</f>
        <v>2071</v>
      </c>
      <c r="D443" s="17">
        <f>Github!G$427</f>
        <v>168</v>
      </c>
      <c r="E443" s="17">
        <f>Github!F$427+Github!G$427</f>
        <v>2239</v>
      </c>
      <c r="F443" s="18">
        <f t="shared" si="1"/>
        <v>12.33</v>
      </c>
      <c r="G443" s="17" t="str">
        <f>Github!H$427</f>
        <v>Algorithms</v>
      </c>
      <c r="H443" s="19" t="str">
        <f>SUBSTITUTE(Github!L$427, ";", ", ")</f>
        <v>Linked List, Stack, Tree, Depth-First Search, Binary Search Tree, Binary Tree, Doubly-Linked List, </v>
      </c>
      <c r="I443" s="17" t="str">
        <f>Github!E$427</f>
        <v>Medium</v>
      </c>
      <c r="J443" s="17" t="str">
        <f>IF(TRIM(Github!D$427)="TRUE","FALSE","TRUE")</f>
        <v>FALSE</v>
      </c>
      <c r="K443" s="17" t="b">
        <f>Github!M$427</f>
        <v>1</v>
      </c>
      <c r="L443" s="17" t="b">
        <f>Github!N$427</f>
        <v>0</v>
      </c>
      <c r="M443" s="17" t="str">
        <f>ROUND(Github!O$427, 2)&amp;"%"</f>
        <v>64.17%</v>
      </c>
      <c r="N443" s="17">
        <f>Github!P$427</f>
        <v>196523</v>
      </c>
      <c r="O443" s="17">
        <f>Github!Q$427</f>
        <v>306254</v>
      </c>
    </row>
    <row r="444" ht="18.0" customHeight="1">
      <c r="A444" s="17">
        <f>Github!J$942</f>
        <v>941</v>
      </c>
      <c r="B444" s="27" t="str">
        <f>HYPERLINK(CONCAT("http://leetcode.com/problems/",Github!C$942), Github!B$942)</f>
        <v>Valid Mountain Array</v>
      </c>
      <c r="C444" s="17">
        <f>Github!F$942</f>
        <v>2054</v>
      </c>
      <c r="D444" s="17">
        <f>Github!G$942</f>
        <v>142</v>
      </c>
      <c r="E444" s="17">
        <f>Github!F$942+Github!G$942</f>
        <v>2196</v>
      </c>
      <c r="F444" s="18">
        <f t="shared" si="1"/>
        <v>14.46</v>
      </c>
      <c r="G444" s="17" t="str">
        <f>Github!H$942</f>
        <v>Algorithms</v>
      </c>
      <c r="H444" s="19" t="str">
        <f>SUBSTITUTE(Github!L$942, ";", ", ")</f>
        <v>Array, </v>
      </c>
      <c r="I444" s="17" t="str">
        <f>Github!E$942</f>
        <v>Easy</v>
      </c>
      <c r="J444" s="17" t="str">
        <f>IF(TRIM(Github!D$942)="TRUE","FALSE","TRUE")</f>
        <v>TRUE</v>
      </c>
      <c r="K444" s="17" t="b">
        <f>Github!M$942</f>
        <v>1</v>
      </c>
      <c r="L444" s="17" t="b">
        <f>Github!N$942</f>
        <v>0</v>
      </c>
      <c r="M444" s="17" t="str">
        <f>ROUND(Github!O$942, 2)&amp;"%"</f>
        <v>33.84%</v>
      </c>
      <c r="N444" s="17">
        <f>Github!P$942</f>
        <v>279267</v>
      </c>
      <c r="O444" s="17">
        <f>Github!Q$942</f>
        <v>825341</v>
      </c>
    </row>
    <row r="445" ht="18.0" customHeight="1">
      <c r="A445" s="17">
        <f>Github!J$660</f>
        <v>659</v>
      </c>
      <c r="B445" s="27" t="str">
        <f>HYPERLINK(CONCAT("http://leetcode.com/problems/",Github!C$660), Github!B$660)</f>
        <v>Split Array into Consecutive Subsequences</v>
      </c>
      <c r="C445" s="17">
        <f>Github!F$660</f>
        <v>2049</v>
      </c>
      <c r="D445" s="17">
        <f>Github!G$660</f>
        <v>543</v>
      </c>
      <c r="E445" s="17">
        <f>Github!F$660+Github!G$660</f>
        <v>2592</v>
      </c>
      <c r="F445" s="18">
        <f t="shared" si="1"/>
        <v>3.77</v>
      </c>
      <c r="G445" s="17" t="str">
        <f>Github!H$660</f>
        <v>Algorithms</v>
      </c>
      <c r="H445" s="19" t="str">
        <f>SUBSTITUTE(Github!L$660, ";", ", ")</f>
        <v>Array, Hash Table, Greedy, Heap (Priority Queue), </v>
      </c>
      <c r="I445" s="17" t="str">
        <f>Github!E$660</f>
        <v>Medium</v>
      </c>
      <c r="J445" s="17" t="str">
        <f>IF(TRIM(Github!D$660)="TRUE","FALSE","TRUE")</f>
        <v>TRUE</v>
      </c>
      <c r="K445" s="17" t="b">
        <f>Github!M$660</f>
        <v>1</v>
      </c>
      <c r="L445" s="17" t="b">
        <f>Github!N$660</f>
        <v>0</v>
      </c>
      <c r="M445" s="17" t="str">
        <f>ROUND(Github!O$660, 2)&amp;"%"</f>
        <v>45.5%</v>
      </c>
      <c r="N445" s="17">
        <f>Github!P$660</f>
        <v>67640</v>
      </c>
      <c r="O445" s="17">
        <f>Github!Q$660</f>
        <v>148661</v>
      </c>
    </row>
    <row r="446" ht="18.0" customHeight="1">
      <c r="A446" s="17">
        <f>Github!J$286</f>
        <v>285</v>
      </c>
      <c r="B446" s="27" t="str">
        <f>HYPERLINK(CONCAT("http://leetcode.com/problems/",Github!C$286), Github!B$286)</f>
        <v>Inorder Successor in BST</v>
      </c>
      <c r="C446" s="17">
        <f>Github!F$286</f>
        <v>2044</v>
      </c>
      <c r="D446" s="17">
        <f>Github!G$286</f>
        <v>77</v>
      </c>
      <c r="E446" s="17">
        <f>Github!F$286+Github!G$286</f>
        <v>2121</v>
      </c>
      <c r="F446" s="18">
        <f t="shared" si="1"/>
        <v>26.55</v>
      </c>
      <c r="G446" s="17" t="str">
        <f>Github!H$286</f>
        <v>Algorithms</v>
      </c>
      <c r="H446" s="19" t="str">
        <f>SUBSTITUTE(Github!L$286, ";", ", ")</f>
        <v>Tree, Depth-First Search, Binary Search Tree, Binary Tree, </v>
      </c>
      <c r="I446" s="17" t="str">
        <f>Github!E$286</f>
        <v>Medium</v>
      </c>
      <c r="J446" s="17" t="str">
        <f>IF(TRIM(Github!D$286)="TRUE","FALSE","TRUE")</f>
        <v>FALSE</v>
      </c>
      <c r="K446" s="17" t="b">
        <f>Github!M$286</f>
        <v>1</v>
      </c>
      <c r="L446" s="17" t="b">
        <f>Github!N$286</f>
        <v>0</v>
      </c>
      <c r="M446" s="17" t="str">
        <f>ROUND(Github!O$286, 2)&amp;"%"</f>
        <v>46.64%</v>
      </c>
      <c r="N446" s="17">
        <f>Github!P$286</f>
        <v>252493</v>
      </c>
      <c r="O446" s="17">
        <f>Github!Q$286</f>
        <v>541348</v>
      </c>
    </row>
    <row r="447" ht="18.0" customHeight="1">
      <c r="A447" s="17">
        <f>Github!J$557</f>
        <v>556</v>
      </c>
      <c r="B447" s="27" t="str">
        <f>HYPERLINK(CONCAT("http://leetcode.com/problems/",Github!C$557), Github!B$557)</f>
        <v>Next Greater Element III</v>
      </c>
      <c r="C447" s="17">
        <f>Github!F$557</f>
        <v>2044</v>
      </c>
      <c r="D447" s="17">
        <f>Github!G$557</f>
        <v>327</v>
      </c>
      <c r="E447" s="17">
        <f>Github!F$557+Github!G$557</f>
        <v>2371</v>
      </c>
      <c r="F447" s="18">
        <f t="shared" si="1"/>
        <v>6.25</v>
      </c>
      <c r="G447" s="17" t="str">
        <f>Github!H$557</f>
        <v>Algorithms</v>
      </c>
      <c r="H447" s="19" t="str">
        <f>SUBSTITUTE(Github!L$557, ";", ", ")</f>
        <v>Math, Two Pointers, String, </v>
      </c>
      <c r="I447" s="17" t="str">
        <f>Github!E$557</f>
        <v>Medium</v>
      </c>
      <c r="J447" s="17" t="str">
        <f>IF(TRIM(Github!D$557)="TRUE","FALSE","TRUE")</f>
        <v>TRUE</v>
      </c>
      <c r="K447" s="17" t="b">
        <f>Github!M$557</f>
        <v>1</v>
      </c>
      <c r="L447" s="17" t="b">
        <f>Github!N$557</f>
        <v>0</v>
      </c>
      <c r="M447" s="17" t="str">
        <f>ROUND(Github!O$557, 2)&amp;"%"</f>
        <v>33.64%</v>
      </c>
      <c r="N447" s="17">
        <f>Github!P$557</f>
        <v>92295</v>
      </c>
      <c r="O447" s="17">
        <f>Github!Q$557</f>
        <v>274378</v>
      </c>
    </row>
    <row r="448" ht="18.0" customHeight="1">
      <c r="A448" s="17">
        <f>Github!J$527</f>
        <v>526</v>
      </c>
      <c r="B448" s="27" t="str">
        <f>HYPERLINK(CONCAT("http://leetcode.com/problems/",Github!C$527), Github!B$527)</f>
        <v>Beautiful Arrangement</v>
      </c>
      <c r="C448" s="17">
        <f>Github!F$527</f>
        <v>2042</v>
      </c>
      <c r="D448" s="17">
        <f>Github!G$527</f>
        <v>283</v>
      </c>
      <c r="E448" s="17">
        <f>Github!F$527+Github!G$527</f>
        <v>2325</v>
      </c>
      <c r="F448" s="18">
        <f t="shared" si="1"/>
        <v>7.22</v>
      </c>
      <c r="G448" s="17" t="str">
        <f>Github!H$527</f>
        <v>Algorithms</v>
      </c>
      <c r="H448" s="19" t="str">
        <f>SUBSTITUTE(Github!L$527, ";", ", ")</f>
        <v>Array, Dynamic Programming, Backtracking, Bit Manipulation, Bitmask, </v>
      </c>
      <c r="I448" s="17" t="str">
        <f>Github!E$527</f>
        <v>Medium</v>
      </c>
      <c r="J448" s="17" t="str">
        <f>IF(TRIM(Github!D$527)="TRUE","FALSE","TRUE")</f>
        <v>TRUE</v>
      </c>
      <c r="K448" s="17" t="b">
        <f>Github!M$527</f>
        <v>1</v>
      </c>
      <c r="L448" s="17" t="b">
        <f>Github!N$527</f>
        <v>0</v>
      </c>
      <c r="M448" s="17" t="str">
        <f>ROUND(Github!O$527, 2)&amp;"%"</f>
        <v>64.19%</v>
      </c>
      <c r="N448" s="17">
        <f>Github!P$527</f>
        <v>125219</v>
      </c>
      <c r="O448" s="17">
        <f>Github!Q$527</f>
        <v>195080</v>
      </c>
    </row>
    <row r="449" ht="18.0" customHeight="1">
      <c r="A449" s="17">
        <f>Github!J$1020</f>
        <v>1019</v>
      </c>
      <c r="B449" s="27" t="str">
        <f>HYPERLINK(CONCAT("http://leetcode.com/problems/",Github!C$1020), Github!B$1020)</f>
        <v>Next Greater Node In Linked List</v>
      </c>
      <c r="C449" s="17">
        <f>Github!F$1020</f>
        <v>2042</v>
      </c>
      <c r="D449" s="17">
        <f>Github!G$1020</f>
        <v>97</v>
      </c>
      <c r="E449" s="17">
        <f>Github!F$1020+Github!G$1020</f>
        <v>2139</v>
      </c>
      <c r="F449" s="18">
        <f t="shared" si="1"/>
        <v>21.05</v>
      </c>
      <c r="G449" s="17" t="str">
        <f>Github!H$1020</f>
        <v>Algorithms</v>
      </c>
      <c r="H449" s="19" t="str">
        <f>SUBSTITUTE(Github!L$1020, ";", ", ")</f>
        <v>Array, Linked List, Stack, Monotonic Stack, </v>
      </c>
      <c r="I449" s="17" t="str">
        <f>Github!E$1020</f>
        <v>Medium</v>
      </c>
      <c r="J449" s="17" t="str">
        <f>IF(TRIM(Github!D$1020)="TRUE","FALSE","TRUE")</f>
        <v>TRUE</v>
      </c>
      <c r="K449" s="17" t="b">
        <f>Github!M$1020</f>
        <v>0</v>
      </c>
      <c r="L449" s="17" t="b">
        <f>Github!N$1020</f>
        <v>0</v>
      </c>
      <c r="M449" s="17" t="str">
        <f>ROUND(Github!O$1020, 2)&amp;"%"</f>
        <v>59.57%</v>
      </c>
      <c r="N449" s="17">
        <f>Github!P$1020</f>
        <v>97571</v>
      </c>
      <c r="O449" s="17">
        <f>Github!Q$1020</f>
        <v>163804</v>
      </c>
    </row>
    <row r="450" ht="18.0" customHeight="1">
      <c r="A450" s="17">
        <f>Github!J$481</f>
        <v>480</v>
      </c>
      <c r="B450" s="27" t="str">
        <f>HYPERLINK(CONCAT("http://leetcode.com/problems/",Github!C$481), Github!B$481)</f>
        <v>Sliding Window Median</v>
      </c>
      <c r="C450" s="17">
        <f>Github!F$481</f>
        <v>2034</v>
      </c>
      <c r="D450" s="17">
        <f>Github!G$481</f>
        <v>125</v>
      </c>
      <c r="E450" s="17">
        <f>Github!F$481+Github!G$481</f>
        <v>2159</v>
      </c>
      <c r="F450" s="18">
        <f t="shared" si="1"/>
        <v>16.27</v>
      </c>
      <c r="G450" s="17" t="str">
        <f>Github!H$481</f>
        <v>Algorithms</v>
      </c>
      <c r="H450" s="19" t="str">
        <f>SUBSTITUTE(Github!L$481, ";", ", ")</f>
        <v>Array, Hash Table, Sliding Window, Heap (Priority Queue), </v>
      </c>
      <c r="I450" s="17" t="str">
        <f>Github!E$481</f>
        <v>Hard</v>
      </c>
      <c r="J450" s="17" t="str">
        <f>IF(TRIM(Github!D$481)="TRUE","FALSE","TRUE")</f>
        <v>TRUE</v>
      </c>
      <c r="K450" s="17" t="b">
        <f>Github!M$481</f>
        <v>1</v>
      </c>
      <c r="L450" s="17" t="b">
        <f>Github!N$481</f>
        <v>0</v>
      </c>
      <c r="M450" s="17" t="str">
        <f>ROUND(Github!O$481, 2)&amp;"%"</f>
        <v>40.71%</v>
      </c>
      <c r="N450" s="17">
        <f>Github!P$481</f>
        <v>100045</v>
      </c>
      <c r="O450" s="17">
        <f>Github!Q$481</f>
        <v>245736</v>
      </c>
    </row>
    <row r="451" ht="18.0" customHeight="1">
      <c r="A451" s="17">
        <f>Github!J$633</f>
        <v>632</v>
      </c>
      <c r="B451" s="27" t="str">
        <f>HYPERLINK(CONCAT("http://leetcode.com/problems/",Github!C$633), Github!B$633)</f>
        <v>Smallest Range Covering Elements from K Lists</v>
      </c>
      <c r="C451" s="17">
        <f>Github!F$633</f>
        <v>2028</v>
      </c>
      <c r="D451" s="17">
        <f>Github!G$633</f>
        <v>34</v>
      </c>
      <c r="E451" s="17">
        <f>Github!F$633+Github!G$633</f>
        <v>2062</v>
      </c>
      <c r="F451" s="18">
        <f t="shared" si="1"/>
        <v>59.65</v>
      </c>
      <c r="G451" s="17" t="str">
        <f>Github!H$633</f>
        <v>Algorithms</v>
      </c>
      <c r="H451" s="19" t="str">
        <f>SUBSTITUTE(Github!L$633, ";", ", ")</f>
        <v>Array, Hash Table, Greedy, Sliding Window, Sorting, Heap (Priority Queue), </v>
      </c>
      <c r="I451" s="17" t="str">
        <f>Github!E$633</f>
        <v>Hard</v>
      </c>
      <c r="J451" s="17" t="str">
        <f>IF(TRIM(Github!D$633)="TRUE","FALSE","TRUE")</f>
        <v>TRUE</v>
      </c>
      <c r="K451" s="17" t="b">
        <f>Github!M$633</f>
        <v>1</v>
      </c>
      <c r="L451" s="17" t="b">
        <f>Github!N$633</f>
        <v>0</v>
      </c>
      <c r="M451" s="17" t="str">
        <f>ROUND(Github!O$633, 2)&amp;"%"</f>
        <v>58.04%</v>
      </c>
      <c r="N451" s="17">
        <f>Github!P$633</f>
        <v>61706</v>
      </c>
      <c r="O451" s="17">
        <f>Github!Q$633</f>
        <v>106318</v>
      </c>
    </row>
    <row r="452" ht="18.0" customHeight="1">
      <c r="A452" s="17">
        <f>Github!J$567</f>
        <v>566</v>
      </c>
      <c r="B452" s="27" t="str">
        <f>HYPERLINK(CONCAT("http://leetcode.com/problems/",Github!C$567), Github!B$567)</f>
        <v>Reshape the Matrix</v>
      </c>
      <c r="C452" s="17">
        <f>Github!F$567</f>
        <v>2026</v>
      </c>
      <c r="D452" s="17">
        <f>Github!G$567</f>
        <v>232</v>
      </c>
      <c r="E452" s="17">
        <f>Github!F$567+Github!G$567</f>
        <v>2258</v>
      </c>
      <c r="F452" s="18">
        <f t="shared" si="1"/>
        <v>8.73</v>
      </c>
      <c r="G452" s="17" t="str">
        <f>Github!H$567</f>
        <v>Algorithms</v>
      </c>
      <c r="H452" s="19" t="str">
        <f>SUBSTITUTE(Github!L$567, ";", ", ")</f>
        <v>Array, Matrix, Simulation, </v>
      </c>
      <c r="I452" s="17" t="str">
        <f>Github!E$567</f>
        <v>Easy</v>
      </c>
      <c r="J452" s="17" t="str">
        <f>IF(TRIM(Github!D$567)="TRUE","FALSE","TRUE")</f>
        <v>TRUE</v>
      </c>
      <c r="K452" s="17" t="b">
        <f>Github!M$567</f>
        <v>1</v>
      </c>
      <c r="L452" s="17" t="b">
        <f>Github!N$567</f>
        <v>0</v>
      </c>
      <c r="M452" s="17" t="str">
        <f>ROUND(Github!O$567, 2)&amp;"%"</f>
        <v>62.27%</v>
      </c>
      <c r="N452" s="17">
        <f>Github!P$567</f>
        <v>214382</v>
      </c>
      <c r="O452" s="17">
        <f>Github!Q$567</f>
        <v>344307</v>
      </c>
    </row>
    <row r="453" ht="18.0" customHeight="1">
      <c r="A453" s="17">
        <f>Github!J$499</f>
        <v>498</v>
      </c>
      <c r="B453" s="27" t="str">
        <f>HYPERLINK(CONCAT("http://leetcode.com/problems/",Github!C$499), Github!B$499)</f>
        <v>Diagonal Traverse</v>
      </c>
      <c r="C453" s="17">
        <f>Github!F$499</f>
        <v>2018</v>
      </c>
      <c r="D453" s="17">
        <f>Github!G$499</f>
        <v>512</v>
      </c>
      <c r="E453" s="17">
        <f>Github!F$499+Github!G$499</f>
        <v>2530</v>
      </c>
      <c r="F453" s="18">
        <f t="shared" si="1"/>
        <v>3.94</v>
      </c>
      <c r="G453" s="17" t="str">
        <f>Github!H$499</f>
        <v>Algorithms</v>
      </c>
      <c r="H453" s="19" t="str">
        <f>SUBSTITUTE(Github!L$499, ";", ", ")</f>
        <v>Array, Matrix, Simulation, </v>
      </c>
      <c r="I453" s="17" t="str">
        <f>Github!E$499</f>
        <v>Medium</v>
      </c>
      <c r="J453" s="17" t="str">
        <f>IF(TRIM(Github!D$499)="TRUE","FALSE","TRUE")</f>
        <v>TRUE</v>
      </c>
      <c r="K453" s="17" t="b">
        <f>Github!M$499</f>
        <v>1</v>
      </c>
      <c r="L453" s="17" t="b">
        <f>Github!N$499</f>
        <v>0</v>
      </c>
      <c r="M453" s="17" t="str">
        <f>ROUND(Github!O$499, 2)&amp;"%"</f>
        <v>55.98%</v>
      </c>
      <c r="N453" s="17">
        <f>Github!P$499</f>
        <v>186070</v>
      </c>
      <c r="O453" s="17">
        <f>Github!Q$499</f>
        <v>332391</v>
      </c>
    </row>
    <row r="454" ht="18.0" customHeight="1">
      <c r="A454" s="17">
        <f>Github!J$368</f>
        <v>367</v>
      </c>
      <c r="B454" s="27" t="str">
        <f>HYPERLINK(CONCAT("http://leetcode.com/problems/",Github!C$368), Github!B$368)</f>
        <v>Valid Perfect Square</v>
      </c>
      <c r="C454" s="17">
        <f>Github!F$368</f>
        <v>2017</v>
      </c>
      <c r="D454" s="17">
        <f>Github!G$368</f>
        <v>224</v>
      </c>
      <c r="E454" s="17">
        <f>Github!F$368+Github!G$368</f>
        <v>2241</v>
      </c>
      <c r="F454" s="18">
        <f t="shared" si="1"/>
        <v>9</v>
      </c>
      <c r="G454" s="17" t="str">
        <f>Github!H$368</f>
        <v>Algorithms</v>
      </c>
      <c r="H454" s="19" t="str">
        <f>SUBSTITUTE(Github!L$368, ";", ", ")</f>
        <v>Math, Binary Search, </v>
      </c>
      <c r="I454" s="17" t="str">
        <f>Github!E$368</f>
        <v>Easy</v>
      </c>
      <c r="J454" s="17" t="str">
        <f>IF(TRIM(Github!D$368)="TRUE","FALSE","TRUE")</f>
        <v>TRUE</v>
      </c>
      <c r="K454" s="17" t="b">
        <f>Github!M$368</f>
        <v>1</v>
      </c>
      <c r="L454" s="17" t="b">
        <f>Github!N$368</f>
        <v>0</v>
      </c>
      <c r="M454" s="17" t="str">
        <f>ROUND(Github!O$368, 2)&amp;"%"</f>
        <v>42.86%</v>
      </c>
      <c r="N454" s="17">
        <f>Github!P$368</f>
        <v>339201</v>
      </c>
      <c r="O454" s="17">
        <f>Github!Q$368</f>
        <v>791459</v>
      </c>
    </row>
    <row r="455" ht="18.0" customHeight="1">
      <c r="A455" s="17">
        <f>Github!J$442</f>
        <v>441</v>
      </c>
      <c r="B455" s="27" t="str">
        <f>HYPERLINK(CONCAT("http://leetcode.com/problems/",Github!C$442), Github!B$442)</f>
        <v>Arranging Coins</v>
      </c>
      <c r="C455" s="17">
        <f>Github!F$442</f>
        <v>2007</v>
      </c>
      <c r="D455" s="17">
        <f>Github!G$442</f>
        <v>996</v>
      </c>
      <c r="E455" s="17">
        <f>Github!F$442+Github!G$442</f>
        <v>3003</v>
      </c>
      <c r="F455" s="18">
        <f t="shared" si="1"/>
        <v>2.02</v>
      </c>
      <c r="G455" s="17" t="str">
        <f>Github!H$442</f>
        <v>Algorithms</v>
      </c>
      <c r="H455" s="19" t="str">
        <f>SUBSTITUTE(Github!L$442, ";", ", ")</f>
        <v>Math, Binary Search, </v>
      </c>
      <c r="I455" s="17" t="str">
        <f>Github!E$442</f>
        <v>Easy</v>
      </c>
      <c r="J455" s="17" t="str">
        <f>IF(TRIM(Github!D$442)="TRUE","FALSE","TRUE")</f>
        <v>TRUE</v>
      </c>
      <c r="K455" s="17" t="b">
        <f>Github!M$442</f>
        <v>1</v>
      </c>
      <c r="L455" s="17" t="b">
        <f>Github!N$442</f>
        <v>0</v>
      </c>
      <c r="M455" s="17" t="str">
        <f>ROUND(Github!O$442, 2)&amp;"%"</f>
        <v>45.07%</v>
      </c>
      <c r="N455" s="17">
        <f>Github!P$442</f>
        <v>264066</v>
      </c>
      <c r="O455" s="17">
        <f>Github!Q$442</f>
        <v>585901</v>
      </c>
    </row>
    <row r="456" ht="18.0" customHeight="1">
      <c r="A456" s="17">
        <f>Github!J$1044</f>
        <v>1043</v>
      </c>
      <c r="B456" s="27" t="str">
        <f>HYPERLINK(CONCAT("http://leetcode.com/problems/",Github!C$1044), Github!B$1044)</f>
        <v>Partition Array for Maximum Sum</v>
      </c>
      <c r="C456" s="17">
        <f>Github!F$1044</f>
        <v>2006</v>
      </c>
      <c r="D456" s="17">
        <f>Github!G$1044</f>
        <v>191</v>
      </c>
      <c r="E456" s="17">
        <f>Github!F$1044+Github!G$1044</f>
        <v>2197</v>
      </c>
      <c r="F456" s="18">
        <f t="shared" si="1"/>
        <v>10.5</v>
      </c>
      <c r="G456" s="17" t="str">
        <f>Github!H$1044</f>
        <v>Algorithms</v>
      </c>
      <c r="H456" s="19" t="str">
        <f>SUBSTITUTE(Github!L$1044, ";", ", ")</f>
        <v>Array, Dynamic Programming, </v>
      </c>
      <c r="I456" s="17" t="str">
        <f>Github!E$1044</f>
        <v>Medium</v>
      </c>
      <c r="J456" s="17" t="str">
        <f>IF(TRIM(Github!D$1044)="TRUE","FALSE","TRUE")</f>
        <v>TRUE</v>
      </c>
      <c r="K456" s="17" t="b">
        <f>Github!M$1044</f>
        <v>0</v>
      </c>
      <c r="L456" s="17" t="b">
        <f>Github!N$1044</f>
        <v>0</v>
      </c>
      <c r="M456" s="17" t="str">
        <f>ROUND(Github!O$1044, 2)&amp;"%"</f>
        <v>70.11%</v>
      </c>
      <c r="N456" s="17">
        <f>Github!P$1044</f>
        <v>45717</v>
      </c>
      <c r="O456" s="17">
        <f>Github!Q$1044</f>
        <v>65207</v>
      </c>
    </row>
    <row r="457" ht="18.0" customHeight="1">
      <c r="A457" s="17">
        <f>Github!J$1047</f>
        <v>1046</v>
      </c>
      <c r="B457" s="27" t="str">
        <f>HYPERLINK(CONCAT("http://leetcode.com/problems/",Github!C$1047), Github!B$1047)</f>
        <v>Last Stone Weight</v>
      </c>
      <c r="C457" s="17">
        <f>Github!F$1047</f>
        <v>2003</v>
      </c>
      <c r="D457" s="17">
        <f>Github!G$1047</f>
        <v>49</v>
      </c>
      <c r="E457" s="17">
        <f>Github!F$1047+Github!G$1047</f>
        <v>2052</v>
      </c>
      <c r="F457" s="18">
        <f t="shared" si="1"/>
        <v>40.88</v>
      </c>
      <c r="G457" s="17" t="str">
        <f>Github!H$1047</f>
        <v>Algorithms</v>
      </c>
      <c r="H457" s="19" t="str">
        <f>SUBSTITUTE(Github!L$1047, ";", ", ")</f>
        <v>Array, Heap (Priority Queue), </v>
      </c>
      <c r="I457" s="17" t="str">
        <f>Github!E$1047</f>
        <v>Easy</v>
      </c>
      <c r="J457" s="17" t="str">
        <f>IF(TRIM(Github!D$1047)="TRUE","FALSE","TRUE")</f>
        <v>TRUE</v>
      </c>
      <c r="K457" s="17" t="b">
        <f>Github!M$1047</f>
        <v>1</v>
      </c>
      <c r="L457" s="17" t="b">
        <f>Github!N$1047</f>
        <v>0</v>
      </c>
      <c r="M457" s="17" t="str">
        <f>ROUND(Github!O$1047, 2)&amp;"%"</f>
        <v>63.04%</v>
      </c>
      <c r="N457" s="17">
        <f>Github!P$1047</f>
        <v>214625</v>
      </c>
      <c r="O457" s="17">
        <f>Github!Q$1047</f>
        <v>340482</v>
      </c>
    </row>
    <row r="458" ht="18.0" customHeight="1">
      <c r="A458" s="17">
        <f>Github!J$1093</f>
        <v>1092</v>
      </c>
      <c r="B458" s="27" t="str">
        <f>HYPERLINK(CONCAT("http://leetcode.com/problems/",Github!C$1093), Github!B$1093)</f>
        <v>Shortest Common Supersequence </v>
      </c>
      <c r="C458" s="17">
        <f>Github!F$1093</f>
        <v>2005</v>
      </c>
      <c r="D458" s="17">
        <f>Github!G$1093</f>
        <v>39</v>
      </c>
      <c r="E458" s="17">
        <f>Github!F$1093+Github!G$1093</f>
        <v>2044</v>
      </c>
      <c r="F458" s="18">
        <f t="shared" si="1"/>
        <v>51.41</v>
      </c>
      <c r="G458" s="17" t="str">
        <f>Github!H$1093</f>
        <v>Algorithms</v>
      </c>
      <c r="H458" s="19" t="str">
        <f>SUBSTITUTE(Github!L$1093, ";", ", ")</f>
        <v>String, Dynamic Programming, </v>
      </c>
      <c r="I458" s="17" t="str">
        <f>Github!E$1093</f>
        <v>Hard</v>
      </c>
      <c r="J458" s="17" t="str">
        <f>IF(TRIM(Github!D$1093)="TRUE","FALSE","TRUE")</f>
        <v>TRUE</v>
      </c>
      <c r="K458" s="17" t="b">
        <f>Github!M$1093</f>
        <v>0</v>
      </c>
      <c r="L458" s="17" t="b">
        <f>Github!N$1093</f>
        <v>0</v>
      </c>
      <c r="M458" s="17" t="str">
        <f>ROUND(Github!O$1093, 2)&amp;"%"</f>
        <v>55.65%</v>
      </c>
      <c r="N458" s="17">
        <f>Github!P$1093</f>
        <v>41384</v>
      </c>
      <c r="O458" s="17">
        <f>Github!Q$1093</f>
        <v>74366</v>
      </c>
    </row>
    <row r="459" ht="18.0" customHeight="1">
      <c r="A459" s="17">
        <f>Github!J$502</f>
        <v>501</v>
      </c>
      <c r="B459" s="27" t="str">
        <f>HYPERLINK(CONCAT("http://leetcode.com/problems/",Github!C$502), Github!B$502)</f>
        <v>Find Mode in Binary Search Tree</v>
      </c>
      <c r="C459" s="17">
        <f>Github!F$502</f>
        <v>1998</v>
      </c>
      <c r="D459" s="17">
        <f>Github!G$502</f>
        <v>540</v>
      </c>
      <c r="E459" s="17">
        <f>Github!F$502+Github!G$502</f>
        <v>2538</v>
      </c>
      <c r="F459" s="18">
        <f t="shared" si="1"/>
        <v>3.7</v>
      </c>
      <c r="G459" s="17" t="str">
        <f>Github!H$502</f>
        <v>Algorithms</v>
      </c>
      <c r="H459" s="19" t="str">
        <f>SUBSTITUTE(Github!L$502, ";", ", ")</f>
        <v>Tree, Depth-First Search, Binary Search Tree, Binary Tree, </v>
      </c>
      <c r="I459" s="17" t="str">
        <f>Github!E$502</f>
        <v>Easy</v>
      </c>
      <c r="J459" s="17" t="str">
        <f>IF(TRIM(Github!D$502)="TRUE","FALSE","TRUE")</f>
        <v>TRUE</v>
      </c>
      <c r="K459" s="17" t="b">
        <f>Github!M$502</f>
        <v>0</v>
      </c>
      <c r="L459" s="17" t="b">
        <f>Github!N$502</f>
        <v>0</v>
      </c>
      <c r="M459" s="17" t="str">
        <f>ROUND(Github!O$502, 2)&amp;"%"</f>
        <v>46.84%</v>
      </c>
      <c r="N459" s="17">
        <f>Github!P$502</f>
        <v>144662</v>
      </c>
      <c r="O459" s="17">
        <f>Github!Q$502</f>
        <v>308835</v>
      </c>
    </row>
    <row r="460" ht="18.0" customHeight="1">
      <c r="A460" s="17">
        <f>Github!J$165</f>
        <v>164</v>
      </c>
      <c r="B460" s="27" t="str">
        <f>HYPERLINK(CONCAT("http://leetcode.com/problems/",Github!C$165), Github!B$165)</f>
        <v>Maximum Gap</v>
      </c>
      <c r="C460" s="17">
        <f>Github!F$165</f>
        <v>1994</v>
      </c>
      <c r="D460" s="17">
        <f>Github!G$165</f>
        <v>277</v>
      </c>
      <c r="E460" s="17">
        <f>Github!F$165+Github!G$165</f>
        <v>2271</v>
      </c>
      <c r="F460" s="18">
        <f t="shared" si="1"/>
        <v>7.2</v>
      </c>
      <c r="G460" s="17" t="str">
        <f>Github!H$165</f>
        <v>Algorithms</v>
      </c>
      <c r="H460" s="19" t="str">
        <f>SUBSTITUTE(Github!L$165, ";", ", ")</f>
        <v>Array, Sorting, Bucket Sort, Radix Sort, </v>
      </c>
      <c r="I460" s="17" t="str">
        <f>Github!E$165</f>
        <v>Hard</v>
      </c>
      <c r="J460" s="17" t="str">
        <f>IF(TRIM(Github!D$165)="TRUE","FALSE","TRUE")</f>
        <v>TRUE</v>
      </c>
      <c r="K460" s="17" t="b">
        <f>Github!M$165</f>
        <v>1</v>
      </c>
      <c r="L460" s="17" t="b">
        <f>Github!N$165</f>
        <v>0</v>
      </c>
      <c r="M460" s="17" t="str">
        <f>ROUND(Github!O$165, 2)&amp;"%"</f>
        <v>41.14%</v>
      </c>
      <c r="N460" s="17">
        <f>Github!P$165</f>
        <v>135531</v>
      </c>
      <c r="O460" s="17">
        <f>Github!Q$165</f>
        <v>329421</v>
      </c>
    </row>
    <row r="461" ht="18.0" customHeight="1">
      <c r="A461" s="17">
        <f>Github!J$1050</f>
        <v>1049</v>
      </c>
      <c r="B461" s="27" t="str">
        <f>HYPERLINK(CONCAT("http://leetcode.com/problems/",Github!C$1050), Github!B$1050)</f>
        <v>Last Stone Weight II</v>
      </c>
      <c r="C461" s="17">
        <f>Github!F$1050</f>
        <v>1992</v>
      </c>
      <c r="D461" s="17">
        <f>Github!G$1050</f>
        <v>70</v>
      </c>
      <c r="E461" s="17">
        <f>Github!F$1050+Github!G$1050</f>
        <v>2062</v>
      </c>
      <c r="F461" s="18">
        <f t="shared" si="1"/>
        <v>28.46</v>
      </c>
      <c r="G461" s="17" t="str">
        <f>Github!H$1050</f>
        <v>Algorithms</v>
      </c>
      <c r="H461" s="19" t="str">
        <f>SUBSTITUTE(Github!L$1050, ";", ", ")</f>
        <v>Array, Dynamic Programming, </v>
      </c>
      <c r="I461" s="17" t="str">
        <f>Github!E$1050</f>
        <v>Medium</v>
      </c>
      <c r="J461" s="17" t="str">
        <f>IF(TRIM(Github!D$1050)="TRUE","FALSE","TRUE")</f>
        <v>TRUE</v>
      </c>
      <c r="K461" s="17" t="b">
        <f>Github!M$1050</f>
        <v>0</v>
      </c>
      <c r="L461" s="17" t="b">
        <f>Github!N$1050</f>
        <v>0</v>
      </c>
      <c r="M461" s="17" t="str">
        <f>ROUND(Github!O$1050, 2)&amp;"%"</f>
        <v>50.69%</v>
      </c>
      <c r="N461" s="17">
        <f>Github!P$1050</f>
        <v>50475</v>
      </c>
      <c r="O461" s="17">
        <f>Github!Q$1050</f>
        <v>99575</v>
      </c>
    </row>
    <row r="462" ht="18.0" customHeight="1">
      <c r="A462" s="17">
        <f>Github!J$704</f>
        <v>703</v>
      </c>
      <c r="B462" s="27" t="str">
        <f>HYPERLINK(CONCAT("http://leetcode.com/problems/",Github!C$704), Github!B$704)</f>
        <v>Kth Largest Element in a Stream</v>
      </c>
      <c r="C462" s="17">
        <f>Github!F$704</f>
        <v>1992</v>
      </c>
      <c r="D462" s="17">
        <f>Github!G$704</f>
        <v>1162</v>
      </c>
      <c r="E462" s="17">
        <f>Github!F$704+Github!G$704</f>
        <v>3154</v>
      </c>
      <c r="F462" s="18">
        <f t="shared" si="1"/>
        <v>1.71</v>
      </c>
      <c r="G462" s="17" t="str">
        <f>Github!H$704</f>
        <v>Algorithms</v>
      </c>
      <c r="H462" s="19" t="str">
        <f>SUBSTITUTE(Github!L$704, ";", ", ")</f>
        <v>Tree, Design, Binary Search Tree, Heap (Priority Queue), Binary Tree, Data Stream, </v>
      </c>
      <c r="I462" s="17" t="str">
        <f>Github!E$704</f>
        <v>Easy</v>
      </c>
      <c r="J462" s="17" t="str">
        <f>IF(TRIM(Github!D$704)="TRUE","FALSE","TRUE")</f>
        <v>TRUE</v>
      </c>
      <c r="K462" s="17" t="b">
        <f>Github!M$704</f>
        <v>1</v>
      </c>
      <c r="L462" s="17" t="b">
        <f>Github!N$704</f>
        <v>0</v>
      </c>
      <c r="M462" s="17" t="str">
        <f>ROUND(Github!O$704, 2)&amp;"%"</f>
        <v>52.66%</v>
      </c>
      <c r="N462" s="17">
        <f>Github!P$704</f>
        <v>188774</v>
      </c>
      <c r="O462" s="17">
        <f>Github!Q$704</f>
        <v>358482</v>
      </c>
    </row>
    <row r="463" ht="18.0" customHeight="1">
      <c r="A463" s="17">
        <f>Github!J$325</f>
        <v>324</v>
      </c>
      <c r="B463" s="27" t="str">
        <f>HYPERLINK(CONCAT("http://leetcode.com/problems/",Github!C$325), Github!B$325)</f>
        <v>Wiggle Sort II</v>
      </c>
      <c r="C463" s="17">
        <f>Github!F$325</f>
        <v>1987</v>
      </c>
      <c r="D463" s="17">
        <f>Github!G$325</f>
        <v>780</v>
      </c>
      <c r="E463" s="17">
        <f>Github!F$325+Github!G$325</f>
        <v>2767</v>
      </c>
      <c r="F463" s="18">
        <f t="shared" si="1"/>
        <v>2.55</v>
      </c>
      <c r="G463" s="17" t="str">
        <f>Github!H$325</f>
        <v>Algorithms</v>
      </c>
      <c r="H463" s="19" t="str">
        <f>SUBSTITUTE(Github!L$325, ";", ", ")</f>
        <v>Array, Divide and Conquer, Sorting, Quickselect, </v>
      </c>
      <c r="I463" s="17" t="str">
        <f>Github!E$325</f>
        <v>Medium</v>
      </c>
      <c r="J463" s="17" t="str">
        <f>IF(TRIM(Github!D$325)="TRUE","FALSE","TRUE")</f>
        <v>TRUE</v>
      </c>
      <c r="K463" s="17" t="b">
        <f>Github!M$325</f>
        <v>0</v>
      </c>
      <c r="L463" s="17" t="b">
        <f>Github!N$325</f>
        <v>0</v>
      </c>
      <c r="M463" s="17" t="str">
        <f>ROUND(Github!O$325, 2)&amp;"%"</f>
        <v>32.06%</v>
      </c>
      <c r="N463" s="17">
        <f>Github!P$325</f>
        <v>117638</v>
      </c>
      <c r="O463" s="17">
        <f>Github!Q$325</f>
        <v>366988</v>
      </c>
    </row>
    <row r="464" ht="18.0" customHeight="1">
      <c r="A464" s="17">
        <f>Github!J$229</f>
        <v>228</v>
      </c>
      <c r="B464" s="27" t="str">
        <f>HYPERLINK(CONCAT("http://leetcode.com/problems/",Github!C$229), Github!B$229)</f>
        <v>Summary Ranges</v>
      </c>
      <c r="C464" s="17">
        <f>Github!F$229</f>
        <v>1985</v>
      </c>
      <c r="D464" s="17">
        <f>Github!G$229</f>
        <v>1119</v>
      </c>
      <c r="E464" s="17">
        <f>Github!F$229+Github!G$229</f>
        <v>3104</v>
      </c>
      <c r="F464" s="18">
        <f t="shared" si="1"/>
        <v>1.77</v>
      </c>
      <c r="G464" s="17" t="str">
        <f>Github!H$229</f>
        <v>Algorithms</v>
      </c>
      <c r="H464" s="19" t="str">
        <f>SUBSTITUTE(Github!L$229, ";", ", ")</f>
        <v>Array, </v>
      </c>
      <c r="I464" s="17" t="str">
        <f>Github!E$229</f>
        <v>Easy</v>
      </c>
      <c r="J464" s="17" t="str">
        <f>IF(TRIM(Github!D$229)="TRUE","FALSE","TRUE")</f>
        <v>TRUE</v>
      </c>
      <c r="K464" s="17" t="b">
        <f>Github!M$229</f>
        <v>1</v>
      </c>
      <c r="L464" s="17" t="b">
        <f>Github!N$229</f>
        <v>0</v>
      </c>
      <c r="M464" s="17" t="str">
        <f>ROUND(Github!O$229, 2)&amp;"%"</f>
        <v>46.23%</v>
      </c>
      <c r="N464" s="17">
        <f>Github!P$229</f>
        <v>286964</v>
      </c>
      <c r="O464" s="17">
        <f>Github!Q$229</f>
        <v>620726</v>
      </c>
    </row>
    <row r="465" ht="18.0" customHeight="1">
      <c r="A465" s="17">
        <f>Github!J$1632</f>
        <v>1631</v>
      </c>
      <c r="B465" s="27" t="str">
        <f>HYPERLINK(CONCAT("http://leetcode.com/problems/",Github!C$1632), Github!B$1632)</f>
        <v>Path With Minimum Effort</v>
      </c>
      <c r="C465" s="17">
        <f>Github!F$1632</f>
        <v>1983</v>
      </c>
      <c r="D465" s="17">
        <f>Github!G$1632</f>
        <v>95</v>
      </c>
      <c r="E465" s="17">
        <f>Github!F$1632+Github!G$1632</f>
        <v>2078</v>
      </c>
      <c r="F465" s="18">
        <f t="shared" si="1"/>
        <v>20.87</v>
      </c>
      <c r="G465" s="17" t="str">
        <f>Github!H$1632</f>
        <v>Algorithms</v>
      </c>
      <c r="H465" s="19" t="str">
        <f>SUBSTITUTE(Github!L$1632, ";", ", ")</f>
        <v>Array, Binary Search, Depth-First Search, Breadth-First Search, Union Find, Heap (Priority Queue), Matrix, </v>
      </c>
      <c r="I465" s="17" t="str">
        <f>Github!E$1632</f>
        <v>Medium</v>
      </c>
      <c r="J465" s="17" t="str">
        <f>IF(TRIM(Github!D$1632)="TRUE","FALSE","TRUE")</f>
        <v>TRUE</v>
      </c>
      <c r="K465" s="17" t="b">
        <f>Github!M$1632</f>
        <v>1</v>
      </c>
      <c r="L465" s="17" t="b">
        <f>Github!N$1632</f>
        <v>0</v>
      </c>
      <c r="M465" s="17" t="str">
        <f>ROUND(Github!O$1632, 2)&amp;"%"</f>
        <v>51.77%</v>
      </c>
      <c r="N465" s="17">
        <f>Github!P$1632</f>
        <v>71185</v>
      </c>
      <c r="O465" s="17">
        <f>Github!Q$1632</f>
        <v>137493</v>
      </c>
    </row>
    <row r="466" ht="18.0" customHeight="1">
      <c r="A466" s="17">
        <f>Github!J$833</f>
        <v>832</v>
      </c>
      <c r="B466" s="27" t="str">
        <f>HYPERLINK(CONCAT("http://leetcode.com/problems/",Github!C$833), Github!B$833)</f>
        <v>Flipping an Image</v>
      </c>
      <c r="C466" s="17">
        <f>Github!F$833</f>
        <v>1982</v>
      </c>
      <c r="D466" s="17">
        <f>Github!G$833</f>
        <v>198</v>
      </c>
      <c r="E466" s="17">
        <f>Github!F$833+Github!G$833</f>
        <v>2180</v>
      </c>
      <c r="F466" s="18">
        <f t="shared" si="1"/>
        <v>10.01</v>
      </c>
      <c r="G466" s="17" t="str">
        <f>Github!H$833</f>
        <v>Algorithms</v>
      </c>
      <c r="H466" s="19" t="str">
        <f>SUBSTITUTE(Github!L$833, ";", ", ")</f>
        <v>Array, Two Pointers, Matrix, Simulation, </v>
      </c>
      <c r="I466" s="17" t="str">
        <f>Github!E$833</f>
        <v>Easy</v>
      </c>
      <c r="J466" s="17" t="str">
        <f>IF(TRIM(Github!D$833)="TRUE","FALSE","TRUE")</f>
        <v>TRUE</v>
      </c>
      <c r="K466" s="17" t="b">
        <f>Github!M$833</f>
        <v>1</v>
      </c>
      <c r="L466" s="17" t="b">
        <f>Github!N$833</f>
        <v>0</v>
      </c>
      <c r="M466" s="17" t="str">
        <f>ROUND(Github!O$833, 2)&amp;"%"</f>
        <v>79.52%</v>
      </c>
      <c r="N466" s="17">
        <f>Github!P$833</f>
        <v>285147</v>
      </c>
      <c r="O466" s="17">
        <f>Github!Q$833</f>
        <v>358566</v>
      </c>
    </row>
    <row r="467" ht="18.0" customHeight="1">
      <c r="A467" s="17">
        <f>Github!J$514</f>
        <v>513</v>
      </c>
      <c r="B467" s="27" t="str">
        <f>HYPERLINK(CONCAT("http://leetcode.com/problems/",Github!C$514), Github!B$514)</f>
        <v>Find Bottom Left Tree Value</v>
      </c>
      <c r="C467" s="17">
        <f>Github!F$514</f>
        <v>1981</v>
      </c>
      <c r="D467" s="17">
        <f>Github!G$514</f>
        <v>207</v>
      </c>
      <c r="E467" s="17">
        <f>Github!F$514+Github!G$514</f>
        <v>2188</v>
      </c>
      <c r="F467" s="18">
        <f t="shared" si="1"/>
        <v>9.57</v>
      </c>
      <c r="G467" s="17" t="str">
        <f>Github!H$514</f>
        <v>Algorithms</v>
      </c>
      <c r="H467" s="19" t="str">
        <f>SUBSTITUTE(Github!L$514, ";", ", ")</f>
        <v>Tree, Depth-First Search, Breadth-First Search, Binary Tree, </v>
      </c>
      <c r="I467" s="17" t="str">
        <f>Github!E$514</f>
        <v>Medium</v>
      </c>
      <c r="J467" s="17" t="str">
        <f>IF(TRIM(Github!D$514)="TRUE","FALSE","TRUE")</f>
        <v>TRUE</v>
      </c>
      <c r="K467" s="17" t="b">
        <f>Github!M$514</f>
        <v>0</v>
      </c>
      <c r="L467" s="17" t="b">
        <f>Github!N$514</f>
        <v>0</v>
      </c>
      <c r="M467" s="17" t="str">
        <f>ROUND(Github!O$514, 2)&amp;"%"</f>
        <v>64.94%</v>
      </c>
      <c r="N467" s="17">
        <f>Github!P$514</f>
        <v>165331</v>
      </c>
      <c r="O467" s="17">
        <f>Github!Q$514</f>
        <v>254606</v>
      </c>
    </row>
    <row r="468" ht="18.0" customHeight="1">
      <c r="A468" s="17">
        <f>Github!J$274</f>
        <v>273</v>
      </c>
      <c r="B468" s="27" t="str">
        <f>HYPERLINK(CONCAT("http://leetcode.com/problems/",Github!C$274), Github!B$274)</f>
        <v>Integer to English Words</v>
      </c>
      <c r="C468" s="17">
        <f>Github!F$274</f>
        <v>1974</v>
      </c>
      <c r="D468" s="17">
        <f>Github!G$274</f>
        <v>4826</v>
      </c>
      <c r="E468" s="17">
        <f>Github!F$274+Github!G$274</f>
        <v>6800</v>
      </c>
      <c r="F468" s="18">
        <f t="shared" si="1"/>
        <v>0.41</v>
      </c>
      <c r="G468" s="17" t="str">
        <f>Github!H$274</f>
        <v>Algorithms</v>
      </c>
      <c r="H468" s="19" t="str">
        <f>SUBSTITUTE(Github!L$274, ";", ", ")</f>
        <v>Math, String, Recursion, </v>
      </c>
      <c r="I468" s="17" t="str">
        <f>Github!E$274</f>
        <v>Hard</v>
      </c>
      <c r="J468" s="17" t="str">
        <f>IF(TRIM(Github!D$274)="TRUE","FALSE","TRUE")</f>
        <v>TRUE</v>
      </c>
      <c r="K468" s="17" t="b">
        <f>Github!M$274</f>
        <v>1</v>
      </c>
      <c r="L468" s="17" t="b">
        <f>Github!N$274</f>
        <v>0</v>
      </c>
      <c r="M468" s="17" t="str">
        <f>ROUND(Github!O$274, 2)&amp;"%"</f>
        <v>29.49%</v>
      </c>
      <c r="N468" s="17">
        <f>Github!P$274</f>
        <v>291632</v>
      </c>
      <c r="O468" s="17">
        <f>Github!Q$274</f>
        <v>988982</v>
      </c>
    </row>
    <row r="469" ht="18.0" customHeight="1">
      <c r="A469" s="17">
        <f>Github!J$1439</f>
        <v>1438</v>
      </c>
      <c r="B469" s="27" t="str">
        <f>HYPERLINK(CONCAT("http://leetcode.com/problems/",Github!C$1439), Github!B$1439)</f>
        <v>Longest Continuous Subarray With Absolute Diff Less Than or Equal to Limit</v>
      </c>
      <c r="C469" s="17">
        <f>Github!F$1439</f>
        <v>1973</v>
      </c>
      <c r="D469" s="17">
        <f>Github!G$1439</f>
        <v>83</v>
      </c>
      <c r="E469" s="17">
        <f>Github!F$1439+Github!G$1439</f>
        <v>2056</v>
      </c>
      <c r="F469" s="18">
        <f t="shared" si="1"/>
        <v>23.77</v>
      </c>
      <c r="G469" s="17" t="str">
        <f>Github!H$1439</f>
        <v>Algorithms</v>
      </c>
      <c r="H469" s="19" t="str">
        <f>SUBSTITUTE(Github!L$1439, ";", ", ")</f>
        <v>Array, Queue, Sliding Window, Heap (Priority Queue), Ordered Set, Monotonic Queue, </v>
      </c>
      <c r="I469" s="17" t="str">
        <f>Github!E$1439</f>
        <v>Medium</v>
      </c>
      <c r="J469" s="17" t="str">
        <f>IF(TRIM(Github!D$1439)="TRUE","FALSE","TRUE")</f>
        <v>TRUE</v>
      </c>
      <c r="K469" s="17" t="b">
        <f>Github!M$1439</f>
        <v>0</v>
      </c>
      <c r="L469" s="17" t="b">
        <f>Github!N$1439</f>
        <v>0</v>
      </c>
      <c r="M469" s="17" t="str">
        <f>ROUND(Github!O$1439, 2)&amp;"%"</f>
        <v>45.94%</v>
      </c>
      <c r="N469" s="17">
        <f>Github!P$1439</f>
        <v>75521</v>
      </c>
      <c r="O469" s="17">
        <f>Github!Q$1439</f>
        <v>164389</v>
      </c>
    </row>
    <row r="470" ht="18.0" customHeight="1">
      <c r="A470" s="17">
        <f>Github!J$1028</f>
        <v>1027</v>
      </c>
      <c r="B470" s="27" t="str">
        <f>HYPERLINK(CONCAT("http://leetcode.com/problems/",Github!C$1028), Github!B$1028)</f>
        <v>Longest Arithmetic Subsequence</v>
      </c>
      <c r="C470" s="17">
        <f>Github!F$1028</f>
        <v>1972</v>
      </c>
      <c r="D470" s="17">
        <f>Github!G$1028</f>
        <v>94</v>
      </c>
      <c r="E470" s="17">
        <f>Github!F$1028+Github!G$1028</f>
        <v>2066</v>
      </c>
      <c r="F470" s="18">
        <f t="shared" si="1"/>
        <v>20.98</v>
      </c>
      <c r="G470" s="17" t="str">
        <f>Github!H$1028</f>
        <v>Algorithms</v>
      </c>
      <c r="H470" s="19" t="str">
        <f>SUBSTITUTE(Github!L$1028, ";", ", ")</f>
        <v>Array, Hash Table, Binary Search, Dynamic Programming, </v>
      </c>
      <c r="I470" s="17" t="str">
        <f>Github!E$1028</f>
        <v>Medium</v>
      </c>
      <c r="J470" s="17" t="str">
        <f>IF(TRIM(Github!D$1028)="TRUE","FALSE","TRUE")</f>
        <v>TRUE</v>
      </c>
      <c r="K470" s="17" t="b">
        <f>Github!M$1028</f>
        <v>0</v>
      </c>
      <c r="L470" s="17" t="b">
        <f>Github!N$1028</f>
        <v>0</v>
      </c>
      <c r="M470" s="17" t="str">
        <f>ROUND(Github!O$1028, 2)&amp;"%"</f>
        <v>48.33%</v>
      </c>
      <c r="N470" s="17">
        <f>Github!P$1028</f>
        <v>82936</v>
      </c>
      <c r="O470" s="17">
        <f>Github!Q$1028</f>
        <v>171591</v>
      </c>
    </row>
    <row r="471" ht="18.0" customHeight="1">
      <c r="A471" s="17">
        <f>Github!J$960</f>
        <v>959</v>
      </c>
      <c r="B471" s="27" t="str">
        <f>HYPERLINK(CONCAT("http://leetcode.com/problems/",Github!C$960), Github!B$960)</f>
        <v>Regions Cut By Slashes</v>
      </c>
      <c r="C471" s="17">
        <f>Github!F$960</f>
        <v>1965</v>
      </c>
      <c r="D471" s="17">
        <f>Github!G$960</f>
        <v>389</v>
      </c>
      <c r="E471" s="17">
        <f>Github!F$960+Github!G$960</f>
        <v>2354</v>
      </c>
      <c r="F471" s="18">
        <f t="shared" si="1"/>
        <v>5.05</v>
      </c>
      <c r="G471" s="17" t="str">
        <f>Github!H$960</f>
        <v>Algorithms</v>
      </c>
      <c r="H471" s="19" t="str">
        <f>SUBSTITUTE(Github!L$960, ";", ", ")</f>
        <v>Depth-First Search, Breadth-First Search, Union Find, Graph, </v>
      </c>
      <c r="I471" s="17" t="str">
        <f>Github!E$960</f>
        <v>Medium</v>
      </c>
      <c r="J471" s="17" t="str">
        <f>IF(TRIM(Github!D$960)="TRUE","FALSE","TRUE")</f>
        <v>TRUE</v>
      </c>
      <c r="K471" s="17" t="b">
        <f>Github!M$960</f>
        <v>1</v>
      </c>
      <c r="L471" s="17" t="b">
        <f>Github!N$960</f>
        <v>0</v>
      </c>
      <c r="M471" s="17" t="str">
        <f>ROUND(Github!O$960, 2)&amp;"%"</f>
        <v>68.44%</v>
      </c>
      <c r="N471" s="17">
        <f>Github!P$960</f>
        <v>35312</v>
      </c>
      <c r="O471" s="17">
        <f>Github!Q$960</f>
        <v>51595</v>
      </c>
    </row>
    <row r="472" ht="18.0" customHeight="1">
      <c r="A472" s="17">
        <f>Github!J$1352</f>
        <v>1351</v>
      </c>
      <c r="B472" s="27" t="str">
        <f>HYPERLINK(CONCAT("http://leetcode.com/problems/",Github!C$1352), Github!B$1352)</f>
        <v>Count Negative Numbers in a Sorted Matrix</v>
      </c>
      <c r="C472" s="17">
        <f>Github!F$1352</f>
        <v>1950</v>
      </c>
      <c r="D472" s="17">
        <f>Github!G$1352</f>
        <v>68</v>
      </c>
      <c r="E472" s="17">
        <f>Github!F$1352+Github!G$1352</f>
        <v>2018</v>
      </c>
      <c r="F472" s="18">
        <f t="shared" si="1"/>
        <v>28.68</v>
      </c>
      <c r="G472" s="17" t="str">
        <f>Github!H$1352</f>
        <v>Algorithms</v>
      </c>
      <c r="H472" s="19" t="str">
        <f>SUBSTITUTE(Github!L$1352, ";", ", ")</f>
        <v>Array, Binary Search, Matrix, </v>
      </c>
      <c r="I472" s="17" t="str">
        <f>Github!E$1352</f>
        <v>Easy</v>
      </c>
      <c r="J472" s="17" t="str">
        <f>IF(TRIM(Github!D$1352)="TRUE","FALSE","TRUE")</f>
        <v>TRUE</v>
      </c>
      <c r="K472" s="17" t="b">
        <f>Github!M$1352</f>
        <v>0</v>
      </c>
      <c r="L472" s="17" t="b">
        <f>Github!N$1352</f>
        <v>0</v>
      </c>
      <c r="M472" s="17" t="str">
        <f>ROUND(Github!O$1352, 2)&amp;"%"</f>
        <v>75.15%</v>
      </c>
      <c r="N472" s="17">
        <f>Github!P$1352</f>
        <v>160042</v>
      </c>
      <c r="O472" s="17">
        <f>Github!Q$1352</f>
        <v>212969</v>
      </c>
    </row>
    <row r="473" ht="18.0" customHeight="1">
      <c r="A473" s="17">
        <f>Github!J$444</f>
        <v>443</v>
      </c>
      <c r="B473" s="27" t="str">
        <f>HYPERLINK(CONCAT("http://leetcode.com/problems/",Github!C$444), Github!B$444)</f>
        <v>String Compression</v>
      </c>
      <c r="C473" s="17">
        <f>Github!F$444</f>
        <v>1947</v>
      </c>
      <c r="D473" s="17">
        <f>Github!G$444</f>
        <v>4066</v>
      </c>
      <c r="E473" s="17">
        <f>Github!F$444+Github!G$444</f>
        <v>6013</v>
      </c>
      <c r="F473" s="18">
        <f t="shared" si="1"/>
        <v>0.48</v>
      </c>
      <c r="G473" s="17" t="str">
        <f>Github!H$444</f>
        <v>Algorithms</v>
      </c>
      <c r="H473" s="19" t="str">
        <f>SUBSTITUTE(Github!L$444, ";", ", ")</f>
        <v>Two Pointers, String, </v>
      </c>
      <c r="I473" s="17" t="str">
        <f>Github!E$444</f>
        <v>Medium</v>
      </c>
      <c r="J473" s="17" t="str">
        <f>IF(TRIM(Github!D$444)="TRUE","FALSE","TRUE")</f>
        <v>TRUE</v>
      </c>
      <c r="K473" s="17" t="b">
        <f>Github!M$444</f>
        <v>0</v>
      </c>
      <c r="L473" s="17" t="b">
        <f>Github!N$444</f>
        <v>0</v>
      </c>
      <c r="M473" s="17" t="str">
        <f>ROUND(Github!O$444, 2)&amp;"%"</f>
        <v>47.25%</v>
      </c>
      <c r="N473" s="17">
        <f>Github!P$444</f>
        <v>236220</v>
      </c>
      <c r="O473" s="17">
        <f>Github!Q$444</f>
        <v>499976</v>
      </c>
    </row>
    <row r="474" ht="18.0" customHeight="1">
      <c r="A474" s="17">
        <f>Github!J$982</f>
        <v>981</v>
      </c>
      <c r="B474" s="27" t="str">
        <f>HYPERLINK(CONCAT("http://leetcode.com/problems/",Github!C$982), Github!B$982)</f>
        <v>Time Based Key-Value Store</v>
      </c>
      <c r="C474" s="17">
        <f>Github!F$982</f>
        <v>1947</v>
      </c>
      <c r="D474" s="17">
        <f>Github!G$982</f>
        <v>202</v>
      </c>
      <c r="E474" s="17">
        <f>Github!F$982+Github!G$982</f>
        <v>2149</v>
      </c>
      <c r="F474" s="18">
        <f t="shared" si="1"/>
        <v>9.64</v>
      </c>
      <c r="G474" s="17" t="str">
        <f>Github!H$982</f>
        <v>Algorithms</v>
      </c>
      <c r="H474" s="19" t="str">
        <f>SUBSTITUTE(Github!L$982, ";", ", ")</f>
        <v>Hash Table, String, Binary Search, Design, </v>
      </c>
      <c r="I474" s="17" t="str">
        <f>Github!E$982</f>
        <v>Medium</v>
      </c>
      <c r="J474" s="17" t="str">
        <f>IF(TRIM(Github!D$982)="TRUE","FALSE","TRUE")</f>
        <v>TRUE</v>
      </c>
      <c r="K474" s="17" t="b">
        <f>Github!M$982</f>
        <v>0</v>
      </c>
      <c r="L474" s="17" t="b">
        <f>Github!N$982</f>
        <v>0</v>
      </c>
      <c r="M474" s="17" t="str">
        <f>ROUND(Github!O$982, 2)&amp;"%"</f>
        <v>52.8%</v>
      </c>
      <c r="N474" s="17">
        <f>Github!P$982</f>
        <v>169501</v>
      </c>
      <c r="O474" s="17">
        <f>Github!Q$982</f>
        <v>321051</v>
      </c>
    </row>
    <row r="475" ht="18.0" customHeight="1">
      <c r="A475" s="17">
        <f>Github!J$802</f>
        <v>801</v>
      </c>
      <c r="B475" s="27" t="str">
        <f>HYPERLINK(CONCAT("http://leetcode.com/problems/",Github!C$802), Github!B$802)</f>
        <v>Minimum Swaps To Make Sequences Increasing</v>
      </c>
      <c r="C475" s="17">
        <f>Github!F$802</f>
        <v>1942</v>
      </c>
      <c r="D475" s="17">
        <f>Github!G$802</f>
        <v>123</v>
      </c>
      <c r="E475" s="17">
        <f>Github!F$802+Github!G$802</f>
        <v>2065</v>
      </c>
      <c r="F475" s="18">
        <f t="shared" si="1"/>
        <v>15.79</v>
      </c>
      <c r="G475" s="17" t="str">
        <f>Github!H$802</f>
        <v>Algorithms</v>
      </c>
      <c r="H475" s="19" t="str">
        <f>SUBSTITUTE(Github!L$802, ";", ", ")</f>
        <v>Array, Dynamic Programming, </v>
      </c>
      <c r="I475" s="17" t="str">
        <f>Github!E$802</f>
        <v>Hard</v>
      </c>
      <c r="J475" s="17" t="str">
        <f>IF(TRIM(Github!D$802)="TRUE","FALSE","TRUE")</f>
        <v>TRUE</v>
      </c>
      <c r="K475" s="17" t="b">
        <f>Github!M$802</f>
        <v>0</v>
      </c>
      <c r="L475" s="17" t="b">
        <f>Github!N$802</f>
        <v>0</v>
      </c>
      <c r="M475" s="17" t="str">
        <f>ROUND(Github!O$802, 2)&amp;"%"</f>
        <v>39.21%</v>
      </c>
      <c r="N475" s="17">
        <f>Github!P$802</f>
        <v>51654</v>
      </c>
      <c r="O475" s="17">
        <f>Github!Q$802</f>
        <v>131739</v>
      </c>
    </row>
    <row r="476" ht="18.0" customHeight="1">
      <c r="A476" s="17">
        <f>Github!J$1294</f>
        <v>1293</v>
      </c>
      <c r="B476" s="27" t="str">
        <f>HYPERLINK(CONCAT("http://leetcode.com/problems/",Github!C$1294), Github!B$1294)</f>
        <v>Shortest Path in a Grid with Obstacles Elimination</v>
      </c>
      <c r="C476" s="17">
        <f>Github!F$1294</f>
        <v>1943</v>
      </c>
      <c r="D476" s="17">
        <f>Github!G$1294</f>
        <v>36</v>
      </c>
      <c r="E476" s="17">
        <f>Github!F$1294+Github!G$1294</f>
        <v>1979</v>
      </c>
      <c r="F476" s="18">
        <f t="shared" si="1"/>
        <v>53.97</v>
      </c>
      <c r="G476" s="17" t="str">
        <f>Github!H$1294</f>
        <v>Algorithms</v>
      </c>
      <c r="H476" s="19" t="str">
        <f>SUBSTITUTE(Github!L$1294, ";", ", ")</f>
        <v>Array, Breadth-First Search, Matrix, </v>
      </c>
      <c r="I476" s="17" t="str">
        <f>Github!E$1294</f>
        <v>Hard</v>
      </c>
      <c r="J476" s="17" t="str">
        <f>IF(TRIM(Github!D$1294)="TRUE","FALSE","TRUE")</f>
        <v>TRUE</v>
      </c>
      <c r="K476" s="17" t="b">
        <f>Github!M$1294</f>
        <v>1</v>
      </c>
      <c r="L476" s="17" t="b">
        <f>Github!N$1294</f>
        <v>0</v>
      </c>
      <c r="M476" s="17" t="str">
        <f>ROUND(Github!O$1294, 2)&amp;"%"</f>
        <v>43.57%</v>
      </c>
      <c r="N476" s="17">
        <f>Github!P$1294</f>
        <v>82171</v>
      </c>
      <c r="O476" s="17">
        <f>Github!Q$1294</f>
        <v>188587</v>
      </c>
    </row>
    <row r="477" ht="18.0" customHeight="1">
      <c r="A477" s="17">
        <f>Github!J$531</f>
        <v>530</v>
      </c>
      <c r="B477" s="27" t="str">
        <f>HYPERLINK(CONCAT("http://leetcode.com/problems/",Github!C$531), Github!B$531)</f>
        <v>Minimum Absolute Difference in BST</v>
      </c>
      <c r="C477" s="17">
        <f>Github!F$531</f>
        <v>1929</v>
      </c>
      <c r="D477" s="17">
        <f>Github!G$531</f>
        <v>113</v>
      </c>
      <c r="E477" s="17">
        <f>Github!F$531+Github!G$531</f>
        <v>2042</v>
      </c>
      <c r="F477" s="18">
        <f t="shared" si="1"/>
        <v>17.07</v>
      </c>
      <c r="G477" s="17" t="str">
        <f>Github!H$531</f>
        <v>Algorithms</v>
      </c>
      <c r="H477" s="19" t="str">
        <f>SUBSTITUTE(Github!L$531, ";", ", ")</f>
        <v>Tree, Depth-First Search, Breadth-First Search, Binary Search Tree, Binary Tree, </v>
      </c>
      <c r="I477" s="17" t="str">
        <f>Github!E$531</f>
        <v>Easy</v>
      </c>
      <c r="J477" s="17" t="str">
        <f>IF(TRIM(Github!D$531)="TRUE","FALSE","TRUE")</f>
        <v>TRUE</v>
      </c>
      <c r="K477" s="17" t="b">
        <f>Github!M$531</f>
        <v>0</v>
      </c>
      <c r="L477" s="17" t="b">
        <f>Github!N$531</f>
        <v>0</v>
      </c>
      <c r="M477" s="17" t="str">
        <f>ROUND(Github!O$531, 2)&amp;"%"</f>
        <v>56.13%</v>
      </c>
      <c r="N477" s="17">
        <f>Github!P$531</f>
        <v>149756</v>
      </c>
      <c r="O477" s="17">
        <f>Github!Q$531</f>
        <v>266823</v>
      </c>
    </row>
    <row r="478" ht="18.0" customHeight="1">
      <c r="A478" s="17">
        <f>Github!J$477</f>
        <v>476</v>
      </c>
      <c r="B478" s="27" t="str">
        <f>HYPERLINK(CONCAT("http://leetcode.com/problems/",Github!C$477), Github!B$477)</f>
        <v>Number Complement</v>
      </c>
      <c r="C478" s="17">
        <f>Github!F$477</f>
        <v>1918</v>
      </c>
      <c r="D478" s="17">
        <f>Github!G$477</f>
        <v>103</v>
      </c>
      <c r="E478" s="17">
        <f>Github!F$477+Github!G$477</f>
        <v>2021</v>
      </c>
      <c r="F478" s="18">
        <f t="shared" si="1"/>
        <v>18.62</v>
      </c>
      <c r="G478" s="17" t="str">
        <f>Github!H$477</f>
        <v>Algorithms</v>
      </c>
      <c r="H478" s="19" t="str">
        <f>SUBSTITUTE(Github!L$477, ";", ", ")</f>
        <v>Bit Manipulation, </v>
      </c>
      <c r="I478" s="17" t="str">
        <f>Github!E$477</f>
        <v>Easy</v>
      </c>
      <c r="J478" s="17" t="str">
        <f>IF(TRIM(Github!D$477)="TRUE","FALSE","TRUE")</f>
        <v>TRUE</v>
      </c>
      <c r="K478" s="17" t="b">
        <f>Github!M$477</f>
        <v>1</v>
      </c>
      <c r="L478" s="17" t="b">
        <f>Github!N$477</f>
        <v>0</v>
      </c>
      <c r="M478" s="17" t="str">
        <f>ROUND(Github!O$477, 2)&amp;"%"</f>
        <v>66.61%</v>
      </c>
      <c r="N478" s="17">
        <f>Github!P$477</f>
        <v>259311</v>
      </c>
      <c r="O478" s="17">
        <f>Github!Q$477</f>
        <v>389276</v>
      </c>
    </row>
    <row r="479" ht="18.0" customHeight="1">
      <c r="A479" s="17">
        <f>Github!J$148</f>
        <v>147</v>
      </c>
      <c r="B479" s="27" t="str">
        <f>HYPERLINK(CONCAT("http://leetcode.com/problems/",Github!C$148), Github!B$148)</f>
        <v>Insertion Sort List</v>
      </c>
      <c r="C479" s="17">
        <f>Github!F$148</f>
        <v>1914</v>
      </c>
      <c r="D479" s="17">
        <f>Github!G$148</f>
        <v>783</v>
      </c>
      <c r="E479" s="17">
        <f>Github!F$148+Github!G$148</f>
        <v>2697</v>
      </c>
      <c r="F479" s="18">
        <f t="shared" si="1"/>
        <v>2.44</v>
      </c>
      <c r="G479" s="17" t="str">
        <f>Github!H$148</f>
        <v>Algorithms</v>
      </c>
      <c r="H479" s="19" t="str">
        <f>SUBSTITUTE(Github!L$148, ";", ", ")</f>
        <v>Linked List, Sorting, </v>
      </c>
      <c r="I479" s="17" t="str">
        <f>Github!E$148</f>
        <v>Medium</v>
      </c>
      <c r="J479" s="17" t="str">
        <f>IF(TRIM(Github!D$148)="TRUE","FALSE","TRUE")</f>
        <v>TRUE</v>
      </c>
      <c r="K479" s="17" t="b">
        <f>Github!M$148</f>
        <v>1</v>
      </c>
      <c r="L479" s="17" t="b">
        <f>Github!N$148</f>
        <v>1</v>
      </c>
      <c r="M479" s="17" t="str">
        <f>ROUND(Github!O$148, 2)&amp;"%"</f>
        <v>48.55%</v>
      </c>
      <c r="N479" s="17">
        <f>Github!P$148</f>
        <v>278655</v>
      </c>
      <c r="O479" s="17">
        <f>Github!Q$148</f>
        <v>574008</v>
      </c>
    </row>
    <row r="480" ht="18.0" customHeight="1">
      <c r="A480" s="17">
        <f>Github!J$226</f>
        <v>225</v>
      </c>
      <c r="B480" s="27" t="str">
        <f>HYPERLINK(CONCAT("http://leetcode.com/problems/",Github!C$226), Github!B$226)</f>
        <v>Implement Stack using Queues</v>
      </c>
      <c r="C480" s="17">
        <f>Github!F$226</f>
        <v>1913</v>
      </c>
      <c r="D480" s="17">
        <f>Github!G$226</f>
        <v>775</v>
      </c>
      <c r="E480" s="17">
        <f>Github!F$226+Github!G$226</f>
        <v>2688</v>
      </c>
      <c r="F480" s="18">
        <f t="shared" si="1"/>
        <v>2.47</v>
      </c>
      <c r="G480" s="17" t="str">
        <f>Github!H$226</f>
        <v>Algorithms</v>
      </c>
      <c r="H480" s="19" t="str">
        <f>SUBSTITUTE(Github!L$226, ";", ", ")</f>
        <v>Stack, Design, Queue, </v>
      </c>
      <c r="I480" s="17" t="str">
        <f>Github!E$226</f>
        <v>Easy</v>
      </c>
      <c r="J480" s="17" t="str">
        <f>IF(TRIM(Github!D$226)="TRUE","FALSE","TRUE")</f>
        <v>TRUE</v>
      </c>
      <c r="K480" s="17" t="b">
        <f>Github!M$226</f>
        <v>1</v>
      </c>
      <c r="L480" s="17" t="b">
        <f>Github!N$226</f>
        <v>0</v>
      </c>
      <c r="M480" s="17" t="str">
        <f>ROUND(Github!O$226, 2)&amp;"%"</f>
        <v>52.05%</v>
      </c>
      <c r="N480" s="17">
        <f>Github!P$226</f>
        <v>281229</v>
      </c>
      <c r="O480" s="17">
        <f>Github!Q$226</f>
        <v>540337</v>
      </c>
    </row>
    <row r="481" ht="18.0" customHeight="1">
      <c r="A481" s="17">
        <f>Github!J$516</f>
        <v>515</v>
      </c>
      <c r="B481" s="27" t="str">
        <f>HYPERLINK(CONCAT("http://leetcode.com/problems/",Github!C$516), Github!B$516)</f>
        <v>Find Largest Value in Each Tree Row</v>
      </c>
      <c r="C481" s="17">
        <f>Github!F$516</f>
        <v>1907</v>
      </c>
      <c r="D481" s="17">
        <f>Github!G$516</f>
        <v>80</v>
      </c>
      <c r="E481" s="17">
        <f>Github!F$516+Github!G$516</f>
        <v>1987</v>
      </c>
      <c r="F481" s="18">
        <f t="shared" si="1"/>
        <v>23.84</v>
      </c>
      <c r="G481" s="17" t="str">
        <f>Github!H$516</f>
        <v>Algorithms</v>
      </c>
      <c r="H481" s="19" t="str">
        <f>SUBSTITUTE(Github!L$516, ";", ", ")</f>
        <v>Tree, Depth-First Search, Breadth-First Search, Binary Tree, </v>
      </c>
      <c r="I481" s="17" t="str">
        <f>Github!E$516</f>
        <v>Medium</v>
      </c>
      <c r="J481" s="17" t="str">
        <f>IF(TRIM(Github!D$516)="TRUE","FALSE","TRUE")</f>
        <v>TRUE</v>
      </c>
      <c r="K481" s="17" t="b">
        <f>Github!M$516</f>
        <v>0</v>
      </c>
      <c r="L481" s="17" t="b">
        <f>Github!N$516</f>
        <v>0</v>
      </c>
      <c r="M481" s="17" t="str">
        <f>ROUND(Github!O$516, 2)&amp;"%"</f>
        <v>64.27%</v>
      </c>
      <c r="N481" s="17">
        <f>Github!P$516</f>
        <v>181778</v>
      </c>
      <c r="O481" s="17">
        <f>Github!Q$516</f>
        <v>282814</v>
      </c>
    </row>
    <row r="482" ht="18.0" customHeight="1">
      <c r="A482" s="17">
        <f>Github!J$356</f>
        <v>355</v>
      </c>
      <c r="B482" s="27" t="str">
        <f>HYPERLINK(CONCAT("http://leetcode.com/problems/",Github!C$356), Github!B$356)</f>
        <v>Design Twitter</v>
      </c>
      <c r="C482" s="17">
        <f>Github!F$356</f>
        <v>1903</v>
      </c>
      <c r="D482" s="17">
        <f>Github!G$356</f>
        <v>268</v>
      </c>
      <c r="E482" s="17">
        <f>Github!F$356+Github!G$356</f>
        <v>2171</v>
      </c>
      <c r="F482" s="18">
        <f t="shared" si="1"/>
        <v>7.1</v>
      </c>
      <c r="G482" s="17" t="str">
        <f>Github!H$356</f>
        <v>Algorithms</v>
      </c>
      <c r="H482" s="19" t="str">
        <f>SUBSTITUTE(Github!L$356, ";", ", ")</f>
        <v>Hash Table, Linked List, Design, Heap (Priority Queue), </v>
      </c>
      <c r="I482" s="17" t="str">
        <f>Github!E$356</f>
        <v>Medium</v>
      </c>
      <c r="J482" s="17" t="str">
        <f>IF(TRIM(Github!D$356)="TRUE","FALSE","TRUE")</f>
        <v>TRUE</v>
      </c>
      <c r="K482" s="17" t="b">
        <f>Github!M$356</f>
        <v>0</v>
      </c>
      <c r="L482" s="17" t="b">
        <f>Github!N$356</f>
        <v>0</v>
      </c>
      <c r="M482" s="17" t="str">
        <f>ROUND(Github!O$356, 2)&amp;"%"</f>
        <v>34.14%</v>
      </c>
      <c r="N482" s="17">
        <f>Github!P$356</f>
        <v>82081</v>
      </c>
      <c r="O482" s="17">
        <f>Github!Q$356</f>
        <v>240444</v>
      </c>
    </row>
    <row r="483" ht="18.0" customHeight="1">
      <c r="A483" s="17">
        <f>Github!J$560</f>
        <v>559</v>
      </c>
      <c r="B483" s="27" t="str">
        <f>HYPERLINK(CONCAT("http://leetcode.com/problems/",Github!C$560), Github!B$560)</f>
        <v>Maximum Depth of N-ary Tree</v>
      </c>
      <c r="C483" s="17">
        <f>Github!F$560</f>
        <v>1903</v>
      </c>
      <c r="D483" s="17">
        <f>Github!G$560</f>
        <v>68</v>
      </c>
      <c r="E483" s="17">
        <f>Github!F$560+Github!G$560</f>
        <v>1971</v>
      </c>
      <c r="F483" s="18">
        <f t="shared" si="1"/>
        <v>27.99</v>
      </c>
      <c r="G483" s="17" t="str">
        <f>Github!H$560</f>
        <v>Algorithms</v>
      </c>
      <c r="H483" s="19" t="str">
        <f>SUBSTITUTE(Github!L$560, ";", ", ")</f>
        <v>Tree, Depth-First Search, Breadth-First Search, </v>
      </c>
      <c r="I483" s="17" t="str">
        <f>Github!E$560</f>
        <v>Easy</v>
      </c>
      <c r="J483" s="17" t="str">
        <f>IF(TRIM(Github!D$560)="TRUE","FALSE","TRUE")</f>
        <v>TRUE</v>
      </c>
      <c r="K483" s="17" t="b">
        <f>Github!M$560</f>
        <v>1</v>
      </c>
      <c r="L483" s="17" t="b">
        <f>Github!N$560</f>
        <v>0</v>
      </c>
      <c r="M483" s="17" t="str">
        <f>ROUND(Github!O$560, 2)&amp;"%"</f>
        <v>70.88%</v>
      </c>
      <c r="N483" s="17">
        <f>Github!P$560</f>
        <v>202869</v>
      </c>
      <c r="O483" s="17">
        <f>Github!Q$560</f>
        <v>286225</v>
      </c>
    </row>
    <row r="484" ht="18.0" customHeight="1">
      <c r="A484" s="17">
        <f>Github!J$878</f>
        <v>877</v>
      </c>
      <c r="B484" s="27" t="str">
        <f>HYPERLINK(CONCAT("http://leetcode.com/problems/",Github!C$878), Github!B$878)</f>
        <v>Stone Game</v>
      </c>
      <c r="C484" s="17">
        <f>Github!F$878</f>
        <v>1899</v>
      </c>
      <c r="D484" s="17">
        <f>Github!G$878</f>
        <v>1958</v>
      </c>
      <c r="E484" s="17">
        <f>Github!F$878+Github!G$878</f>
        <v>3857</v>
      </c>
      <c r="F484" s="18">
        <f t="shared" si="1"/>
        <v>0.97</v>
      </c>
      <c r="G484" s="17" t="str">
        <f>Github!H$878</f>
        <v>Algorithms</v>
      </c>
      <c r="H484" s="19" t="str">
        <f>SUBSTITUTE(Github!L$878, ";", ", ")</f>
        <v>Array, Math, Dynamic Programming, Game Theory, </v>
      </c>
      <c r="I484" s="17" t="str">
        <f>Github!E$878</f>
        <v>Medium</v>
      </c>
      <c r="J484" s="17" t="str">
        <f>IF(TRIM(Github!D$878)="TRUE","FALSE","TRUE")</f>
        <v>TRUE</v>
      </c>
      <c r="K484" s="17" t="b">
        <f>Github!M$878</f>
        <v>1</v>
      </c>
      <c r="L484" s="17" t="b">
        <f>Github!N$878</f>
        <v>0</v>
      </c>
      <c r="M484" s="17" t="str">
        <f>ROUND(Github!O$878, 2)&amp;"%"</f>
        <v>69.05%</v>
      </c>
      <c r="N484" s="17">
        <f>Github!P$878</f>
        <v>150039</v>
      </c>
      <c r="O484" s="17">
        <f>Github!Q$878</f>
        <v>217298</v>
      </c>
    </row>
    <row r="485" ht="18.0" customHeight="1">
      <c r="A485" s="17">
        <f>Github!J$173</f>
        <v>172</v>
      </c>
      <c r="B485" s="27" t="str">
        <f>HYPERLINK(CONCAT("http://leetcode.com/problems/",Github!C$173), Github!B$173)</f>
        <v>Factorial Trailing Zeroes</v>
      </c>
      <c r="C485" s="17">
        <f>Github!F$173</f>
        <v>1896</v>
      </c>
      <c r="D485" s="17">
        <f>Github!G$173</f>
        <v>1639</v>
      </c>
      <c r="E485" s="17">
        <f>Github!F$173+Github!G$173</f>
        <v>3535</v>
      </c>
      <c r="F485" s="18">
        <f t="shared" si="1"/>
        <v>1.16</v>
      </c>
      <c r="G485" s="17" t="str">
        <f>Github!H$173</f>
        <v>Algorithms</v>
      </c>
      <c r="H485" s="19" t="str">
        <f>SUBSTITUTE(Github!L$173, ";", ", ")</f>
        <v>Math, </v>
      </c>
      <c r="I485" s="17" t="str">
        <f>Github!E$173</f>
        <v>Medium</v>
      </c>
      <c r="J485" s="17" t="str">
        <f>IF(TRIM(Github!D$173)="TRUE","FALSE","TRUE")</f>
        <v>TRUE</v>
      </c>
      <c r="K485" s="17" t="b">
        <f>Github!M$173</f>
        <v>1</v>
      </c>
      <c r="L485" s="17" t="b">
        <f>Github!N$173</f>
        <v>0</v>
      </c>
      <c r="M485" s="17" t="str">
        <f>ROUND(Github!O$173, 2)&amp;"%"</f>
        <v>40.56%</v>
      </c>
      <c r="N485" s="17">
        <f>Github!P$173</f>
        <v>308942</v>
      </c>
      <c r="O485" s="17">
        <f>Github!Q$173</f>
        <v>761739</v>
      </c>
    </row>
    <row r="486" ht="18.0" customHeight="1">
      <c r="A486" s="17">
        <f>Github!J$698</f>
        <v>697</v>
      </c>
      <c r="B486" s="27" t="str">
        <f>HYPERLINK(CONCAT("http://leetcode.com/problems/",Github!C$698), Github!B$698)</f>
        <v>Degree of an Array</v>
      </c>
      <c r="C486" s="17">
        <f>Github!F$698</f>
        <v>1894</v>
      </c>
      <c r="D486" s="17">
        <f>Github!G$698</f>
        <v>1246</v>
      </c>
      <c r="E486" s="17">
        <f>Github!F$698+Github!G$698</f>
        <v>3140</v>
      </c>
      <c r="F486" s="18">
        <f t="shared" si="1"/>
        <v>1.52</v>
      </c>
      <c r="G486" s="17" t="str">
        <f>Github!H$698</f>
        <v>Algorithms</v>
      </c>
      <c r="H486" s="19" t="str">
        <f>SUBSTITUTE(Github!L$698, ";", ", ")</f>
        <v>Array, Hash Table, </v>
      </c>
      <c r="I486" s="17" t="str">
        <f>Github!E$698</f>
        <v>Easy</v>
      </c>
      <c r="J486" s="17" t="str">
        <f>IF(TRIM(Github!D$698)="TRUE","FALSE","TRUE")</f>
        <v>TRUE</v>
      </c>
      <c r="K486" s="17" t="b">
        <f>Github!M$698</f>
        <v>1</v>
      </c>
      <c r="L486" s="17" t="b">
        <f>Github!N$698</f>
        <v>0</v>
      </c>
      <c r="M486" s="17" t="str">
        <f>ROUND(Github!O$698, 2)&amp;"%"</f>
        <v>55.58%</v>
      </c>
      <c r="N486" s="17">
        <f>Github!P$698</f>
        <v>143635</v>
      </c>
      <c r="O486" s="17">
        <f>Github!Q$698</f>
        <v>258449</v>
      </c>
    </row>
    <row r="487" ht="18.0" customHeight="1">
      <c r="A487" s="17">
        <f>Github!J$913</f>
        <v>912</v>
      </c>
      <c r="B487" s="27" t="str">
        <f>HYPERLINK(CONCAT("http://leetcode.com/problems/",Github!C$913), Github!B$913)</f>
        <v>Sort an Array</v>
      </c>
      <c r="C487" s="17">
        <f>Github!F$913</f>
        <v>1889</v>
      </c>
      <c r="D487" s="17">
        <f>Github!G$913</f>
        <v>504</v>
      </c>
      <c r="E487" s="17">
        <f>Github!F$913+Github!G$913</f>
        <v>2393</v>
      </c>
      <c r="F487" s="18">
        <f t="shared" si="1"/>
        <v>3.75</v>
      </c>
      <c r="G487" s="17" t="str">
        <f>Github!H$913</f>
        <v>Algorithms</v>
      </c>
      <c r="H487" s="19" t="str">
        <f>SUBSTITUTE(Github!L$913, ";", ", ")</f>
        <v>Array, Divide and Conquer, Sorting, Heap (Priority Queue), Merge Sort, Bucket Sort, Radix Sort, Counting Sort, </v>
      </c>
      <c r="I487" s="17" t="str">
        <f>Github!E$913</f>
        <v>Medium</v>
      </c>
      <c r="J487" s="17" t="str">
        <f>IF(TRIM(Github!D$913)="TRUE","FALSE","TRUE")</f>
        <v>TRUE</v>
      </c>
      <c r="K487" s="17" t="b">
        <f>Github!M$913</f>
        <v>0</v>
      </c>
      <c r="L487" s="17" t="b">
        <f>Github!N$913</f>
        <v>0</v>
      </c>
      <c r="M487" s="17" t="str">
        <f>ROUND(Github!O$913, 2)&amp;"%"</f>
        <v>61.66%</v>
      </c>
      <c r="N487" s="17">
        <f>Github!P$913</f>
        <v>243568</v>
      </c>
      <c r="O487" s="17">
        <f>Github!Q$913</f>
        <v>395025</v>
      </c>
    </row>
    <row r="488" ht="18.0" customHeight="1">
      <c r="A488" s="17">
        <f>Github!J$1156</f>
        <v>1155</v>
      </c>
      <c r="B488" s="27" t="str">
        <f>HYPERLINK(CONCAT("http://leetcode.com/problems/",Github!C$1156), Github!B$1156)</f>
        <v>Number of Dice Rolls With Target Sum</v>
      </c>
      <c r="C488" s="17">
        <f>Github!F$1156</f>
        <v>1884</v>
      </c>
      <c r="D488" s="17">
        <f>Github!G$1156</f>
        <v>84</v>
      </c>
      <c r="E488" s="17">
        <f>Github!F$1156+Github!G$1156</f>
        <v>1968</v>
      </c>
      <c r="F488" s="18">
        <f t="shared" si="1"/>
        <v>22.43</v>
      </c>
      <c r="G488" s="17" t="str">
        <f>Github!H$1156</f>
        <v>Algorithms</v>
      </c>
      <c r="H488" s="19" t="str">
        <f>SUBSTITUTE(Github!L$1156, ";", ", ")</f>
        <v>Dynamic Programming, </v>
      </c>
      <c r="I488" s="17" t="str">
        <f>Github!E$1156</f>
        <v>Medium</v>
      </c>
      <c r="J488" s="17" t="str">
        <f>IF(TRIM(Github!D$1156)="TRUE","FALSE","TRUE")</f>
        <v>TRUE</v>
      </c>
      <c r="K488" s="17" t="b">
        <f>Github!M$1156</f>
        <v>0</v>
      </c>
      <c r="L488" s="17" t="b">
        <f>Github!N$1156</f>
        <v>0</v>
      </c>
      <c r="M488" s="17" t="str">
        <f>ROUND(Github!O$1156, 2)&amp;"%"</f>
        <v>47.65%</v>
      </c>
      <c r="N488" s="17">
        <f>Github!P$1156</f>
        <v>97993</v>
      </c>
      <c r="O488" s="17">
        <f>Github!Q$1156</f>
        <v>205656</v>
      </c>
    </row>
    <row r="489" ht="18.0" customHeight="1">
      <c r="A489" s="17">
        <f>Github!J$792</f>
        <v>791</v>
      </c>
      <c r="B489" s="27" t="str">
        <f>HYPERLINK(CONCAT("http://leetcode.com/problems/",Github!C$792), Github!B$792)</f>
        <v>Custom Sort String</v>
      </c>
      <c r="C489" s="17">
        <f>Github!F$792</f>
        <v>1884</v>
      </c>
      <c r="D489" s="17">
        <f>Github!G$792</f>
        <v>274</v>
      </c>
      <c r="E489" s="17">
        <f>Github!F$792+Github!G$792</f>
        <v>2158</v>
      </c>
      <c r="F489" s="18">
        <f t="shared" si="1"/>
        <v>6.88</v>
      </c>
      <c r="G489" s="17" t="str">
        <f>Github!H$792</f>
        <v>Algorithms</v>
      </c>
      <c r="H489" s="19" t="str">
        <f>SUBSTITUTE(Github!L$792, ";", ", ")</f>
        <v>Hash Table, String, Sorting, </v>
      </c>
      <c r="I489" s="17" t="str">
        <f>Github!E$792</f>
        <v>Medium</v>
      </c>
      <c r="J489" s="17" t="str">
        <f>IF(TRIM(Github!D$792)="TRUE","FALSE","TRUE")</f>
        <v>TRUE</v>
      </c>
      <c r="K489" s="17" t="b">
        <f>Github!M$792</f>
        <v>1</v>
      </c>
      <c r="L489" s="17" t="b">
        <f>Github!N$792</f>
        <v>0</v>
      </c>
      <c r="M489" s="17" t="str">
        <f>ROUND(Github!O$792, 2)&amp;"%"</f>
        <v>68.78%</v>
      </c>
      <c r="N489" s="17">
        <f>Github!P$792</f>
        <v>165981</v>
      </c>
      <c r="O489" s="17">
        <f>Github!Q$792</f>
        <v>241328</v>
      </c>
    </row>
    <row r="490" ht="18.0" customHeight="1">
      <c r="A490" s="17">
        <f>Github!J$1320</f>
        <v>1319</v>
      </c>
      <c r="B490" s="27" t="str">
        <f>HYPERLINK(CONCAT("http://leetcode.com/problems/",Github!C$1320), Github!B$1320)</f>
        <v>Number of Operations to Make Network Connected</v>
      </c>
      <c r="C490" s="17">
        <f>Github!F$1320</f>
        <v>1886</v>
      </c>
      <c r="D490" s="17">
        <f>Github!G$1320</f>
        <v>29</v>
      </c>
      <c r="E490" s="17">
        <f>Github!F$1320+Github!G$1320</f>
        <v>1915</v>
      </c>
      <c r="F490" s="18">
        <f t="shared" si="1"/>
        <v>65.03</v>
      </c>
      <c r="G490" s="17" t="str">
        <f>Github!H$1320</f>
        <v>Algorithms</v>
      </c>
      <c r="H490" s="19" t="str">
        <f>SUBSTITUTE(Github!L$1320, ";", ", ")</f>
        <v>Depth-First Search, Breadth-First Search, Union Find, Graph, </v>
      </c>
      <c r="I490" s="17" t="str">
        <f>Github!E$1320</f>
        <v>Medium</v>
      </c>
      <c r="J490" s="17" t="str">
        <f>IF(TRIM(Github!D$1320)="TRUE","FALSE","TRUE")</f>
        <v>TRUE</v>
      </c>
      <c r="K490" s="17" t="b">
        <f>Github!M$1320</f>
        <v>0</v>
      </c>
      <c r="L490" s="17" t="b">
        <f>Github!N$1320</f>
        <v>0</v>
      </c>
      <c r="M490" s="17" t="str">
        <f>ROUND(Github!O$1320, 2)&amp;"%"</f>
        <v>57.46%</v>
      </c>
      <c r="N490" s="17">
        <f>Github!P$1320</f>
        <v>67690</v>
      </c>
      <c r="O490" s="17">
        <f>Github!Q$1320</f>
        <v>117806</v>
      </c>
    </row>
    <row r="491" ht="18.0" customHeight="1">
      <c r="A491" s="17">
        <f>Github!J$720</f>
        <v>719</v>
      </c>
      <c r="B491" s="27" t="str">
        <f>HYPERLINK(CONCAT("http://leetcode.com/problems/",Github!C$720), Github!B$720)</f>
        <v>Find K-th Smallest Pair Distance</v>
      </c>
      <c r="C491" s="17">
        <f>Github!F$720</f>
        <v>1876</v>
      </c>
      <c r="D491" s="17">
        <f>Github!G$720</f>
        <v>61</v>
      </c>
      <c r="E491" s="17">
        <f>Github!F$720+Github!G$720</f>
        <v>1937</v>
      </c>
      <c r="F491" s="18">
        <f t="shared" si="1"/>
        <v>30.75</v>
      </c>
      <c r="G491" s="17" t="str">
        <f>Github!H$720</f>
        <v>Algorithms</v>
      </c>
      <c r="H491" s="19" t="str">
        <f>SUBSTITUTE(Github!L$720, ";", ", ")</f>
        <v>Array, Two Pointers, Binary Search, Sorting, </v>
      </c>
      <c r="I491" s="17" t="str">
        <f>Github!E$720</f>
        <v>Hard</v>
      </c>
      <c r="J491" s="17" t="str">
        <f>IF(TRIM(Github!D$720)="TRUE","FALSE","TRUE")</f>
        <v>TRUE</v>
      </c>
      <c r="K491" s="17" t="b">
        <f>Github!M$720</f>
        <v>1</v>
      </c>
      <c r="L491" s="17" t="b">
        <f>Github!N$720</f>
        <v>0</v>
      </c>
      <c r="M491" s="17" t="str">
        <f>ROUND(Github!O$720, 2)&amp;"%"</f>
        <v>34.77%</v>
      </c>
      <c r="N491" s="17">
        <f>Github!P$720</f>
        <v>56502</v>
      </c>
      <c r="O491" s="17">
        <f>Github!Q$720</f>
        <v>162501</v>
      </c>
    </row>
    <row r="492" ht="18.0" customHeight="1">
      <c r="A492" s="17">
        <f>Github!J$816</f>
        <v>815</v>
      </c>
      <c r="B492" s="27" t="str">
        <f>HYPERLINK(CONCAT("http://leetcode.com/problems/",Github!C$816), Github!B$816)</f>
        <v>Bus Routes</v>
      </c>
      <c r="C492" s="17">
        <f>Github!F$816</f>
        <v>1863</v>
      </c>
      <c r="D492" s="17">
        <f>Github!G$816</f>
        <v>49</v>
      </c>
      <c r="E492" s="17">
        <f>Github!F$816+Github!G$816</f>
        <v>1912</v>
      </c>
      <c r="F492" s="18">
        <f t="shared" si="1"/>
        <v>38.02</v>
      </c>
      <c r="G492" s="17" t="str">
        <f>Github!H$816</f>
        <v>Algorithms</v>
      </c>
      <c r="H492" s="19" t="str">
        <f>SUBSTITUTE(Github!L$816, ";", ", ")</f>
        <v>Array, Hash Table, Breadth-First Search, </v>
      </c>
      <c r="I492" s="17" t="str">
        <f>Github!E$816</f>
        <v>Hard</v>
      </c>
      <c r="J492" s="17" t="str">
        <f>IF(TRIM(Github!D$816)="TRUE","FALSE","TRUE")</f>
        <v>TRUE</v>
      </c>
      <c r="K492" s="17" t="b">
        <f>Github!M$816</f>
        <v>1</v>
      </c>
      <c r="L492" s="17" t="b">
        <f>Github!N$816</f>
        <v>0</v>
      </c>
      <c r="M492" s="17" t="str">
        <f>ROUND(Github!O$816, 2)&amp;"%"</f>
        <v>45.07%</v>
      </c>
      <c r="N492" s="17">
        <f>Github!P$816</f>
        <v>78606</v>
      </c>
      <c r="O492" s="17">
        <f>Github!Q$816</f>
        <v>174414</v>
      </c>
    </row>
    <row r="493" ht="18.0" customHeight="1">
      <c r="A493" s="17">
        <f>Github!J$767</f>
        <v>766</v>
      </c>
      <c r="B493" s="27" t="str">
        <f>HYPERLINK(CONCAT("http://leetcode.com/problems/",Github!C$767), Github!B$767)</f>
        <v>Toeplitz Matrix</v>
      </c>
      <c r="C493" s="17">
        <f>Github!F$767</f>
        <v>1860</v>
      </c>
      <c r="D493" s="17">
        <f>Github!G$767</f>
        <v>117</v>
      </c>
      <c r="E493" s="17">
        <f>Github!F$767+Github!G$767</f>
        <v>1977</v>
      </c>
      <c r="F493" s="18">
        <f t="shared" si="1"/>
        <v>15.9</v>
      </c>
      <c r="G493" s="17" t="str">
        <f>Github!H$767</f>
        <v>Algorithms</v>
      </c>
      <c r="H493" s="19" t="str">
        <f>SUBSTITUTE(Github!L$767, ";", ", ")</f>
        <v>Array, Matrix, </v>
      </c>
      <c r="I493" s="17" t="str">
        <f>Github!E$767</f>
        <v>Easy</v>
      </c>
      <c r="J493" s="17" t="str">
        <f>IF(TRIM(Github!D$767)="TRUE","FALSE","TRUE")</f>
        <v>TRUE</v>
      </c>
      <c r="K493" s="17" t="b">
        <f>Github!M$767</f>
        <v>1</v>
      </c>
      <c r="L493" s="17" t="b">
        <f>Github!N$767</f>
        <v>0</v>
      </c>
      <c r="M493" s="17" t="str">
        <f>ROUND(Github!O$767, 2)&amp;"%"</f>
        <v>67.69%</v>
      </c>
      <c r="N493" s="17">
        <f>Github!P$767</f>
        <v>175964</v>
      </c>
      <c r="O493" s="17">
        <f>Github!Q$767</f>
        <v>259949</v>
      </c>
    </row>
    <row r="494" ht="18.0" customHeight="1">
      <c r="A494" s="17">
        <f>Github!J$364</f>
        <v>363</v>
      </c>
      <c r="B494" s="27" t="str">
        <f>HYPERLINK(CONCAT("http://leetcode.com/problems/",Github!C$364), Github!B$364)</f>
        <v>Max Sum of Rectangle No Larger Than K</v>
      </c>
      <c r="C494" s="17">
        <f>Github!F$364</f>
        <v>1858</v>
      </c>
      <c r="D494" s="17">
        <f>Github!G$364</f>
        <v>105</v>
      </c>
      <c r="E494" s="17">
        <f>Github!F$364+Github!G$364</f>
        <v>1963</v>
      </c>
      <c r="F494" s="18">
        <f t="shared" si="1"/>
        <v>17.7</v>
      </c>
      <c r="G494" s="17" t="str">
        <f>Github!H$364</f>
        <v>Algorithms</v>
      </c>
      <c r="H494" s="19" t="str">
        <f>SUBSTITUTE(Github!L$364, ";", ", ")</f>
        <v>Array, Binary Search, Dynamic Programming, Matrix, Ordered Set, </v>
      </c>
      <c r="I494" s="17" t="str">
        <f>Github!E$364</f>
        <v>Hard</v>
      </c>
      <c r="J494" s="17" t="str">
        <f>IF(TRIM(Github!D$364)="TRUE","FALSE","TRUE")</f>
        <v>TRUE</v>
      </c>
      <c r="K494" s="17" t="b">
        <f>Github!M$364</f>
        <v>1</v>
      </c>
      <c r="L494" s="17" t="b">
        <f>Github!N$364</f>
        <v>0</v>
      </c>
      <c r="M494" s="17" t="str">
        <f>ROUND(Github!O$364, 2)&amp;"%"</f>
        <v>40.14%</v>
      </c>
      <c r="N494" s="17">
        <f>Github!P$364</f>
        <v>77686</v>
      </c>
      <c r="O494" s="17">
        <f>Github!Q$364</f>
        <v>193519</v>
      </c>
    </row>
    <row r="495" ht="18.0" customHeight="1">
      <c r="A495" s="17">
        <f>Github!J$689</f>
        <v>688</v>
      </c>
      <c r="B495" s="27" t="str">
        <f>HYPERLINK(CONCAT("http://leetcode.com/problems/",Github!C$689), Github!B$689)</f>
        <v>Knight Probability in Chessboard</v>
      </c>
      <c r="C495" s="17">
        <f>Github!F$689</f>
        <v>1857</v>
      </c>
      <c r="D495" s="17">
        <f>Github!G$689</f>
        <v>285</v>
      </c>
      <c r="E495" s="17">
        <f>Github!F$689+Github!G$689</f>
        <v>2142</v>
      </c>
      <c r="F495" s="18">
        <f t="shared" si="1"/>
        <v>6.52</v>
      </c>
      <c r="G495" s="17" t="str">
        <f>Github!H$689</f>
        <v>Algorithms</v>
      </c>
      <c r="H495" s="19" t="str">
        <f>SUBSTITUTE(Github!L$689, ";", ", ")</f>
        <v>Dynamic Programming, </v>
      </c>
      <c r="I495" s="17" t="str">
        <f>Github!E$689</f>
        <v>Medium</v>
      </c>
      <c r="J495" s="17" t="str">
        <f>IF(TRIM(Github!D$689)="TRUE","FALSE","TRUE")</f>
        <v>TRUE</v>
      </c>
      <c r="K495" s="17" t="b">
        <f>Github!M$689</f>
        <v>1</v>
      </c>
      <c r="L495" s="17" t="b">
        <f>Github!N$689</f>
        <v>0</v>
      </c>
      <c r="M495" s="17" t="str">
        <f>ROUND(Github!O$689, 2)&amp;"%"</f>
        <v>51.49%</v>
      </c>
      <c r="N495" s="17">
        <f>Github!P$689</f>
        <v>77452</v>
      </c>
      <c r="O495" s="17">
        <f>Github!Q$689</f>
        <v>150428</v>
      </c>
    </row>
    <row r="496" ht="18.0" customHeight="1">
      <c r="A496" s="17">
        <f>Github!J$324</f>
        <v>323</v>
      </c>
      <c r="B496" s="27" t="str">
        <f>HYPERLINK(CONCAT("http://leetcode.com/problems/",Github!C$324), Github!B$324)</f>
        <v>Number of Connected Components in an Undirected Graph</v>
      </c>
      <c r="C496" s="17">
        <f>Github!F$324</f>
        <v>1856</v>
      </c>
      <c r="D496" s="17">
        <f>Github!G$324</f>
        <v>56</v>
      </c>
      <c r="E496" s="17">
        <f>Github!F$324+Github!G$324</f>
        <v>1912</v>
      </c>
      <c r="F496" s="18">
        <f t="shared" si="1"/>
        <v>33.14</v>
      </c>
      <c r="G496" s="17" t="str">
        <f>Github!H$324</f>
        <v>Algorithms</v>
      </c>
      <c r="H496" s="19" t="str">
        <f>SUBSTITUTE(Github!L$324, ";", ", ")</f>
        <v>Depth-First Search, Breadth-First Search, Union Find, Graph, </v>
      </c>
      <c r="I496" s="17" t="str">
        <f>Github!E$324</f>
        <v>Medium</v>
      </c>
      <c r="J496" s="17" t="str">
        <f>IF(TRIM(Github!D$324)="TRUE","FALSE","TRUE")</f>
        <v>FALSE</v>
      </c>
      <c r="K496" s="17" t="b">
        <f>Github!M$324</f>
        <v>1</v>
      </c>
      <c r="L496" s="17" t="b">
        <f>Github!N$324</f>
        <v>1</v>
      </c>
      <c r="M496" s="17" t="str">
        <f>ROUND(Github!O$324, 2)&amp;"%"</f>
        <v>60.78%</v>
      </c>
      <c r="N496" s="17">
        <f>Github!P$324</f>
        <v>234337</v>
      </c>
      <c r="O496" s="17">
        <f>Github!Q$324</f>
        <v>385518</v>
      </c>
    </row>
    <row r="497" ht="18.0" customHeight="1">
      <c r="A497" s="17">
        <f>Github!J$866</f>
        <v>865</v>
      </c>
      <c r="B497" s="27" t="str">
        <f>HYPERLINK(CONCAT("http://leetcode.com/problems/",Github!C$866), Github!B$866)</f>
        <v>Smallest Subtree with all the Deepest Nodes</v>
      </c>
      <c r="C497" s="17">
        <f>Github!F$866</f>
        <v>1851</v>
      </c>
      <c r="D497" s="17">
        <f>Github!G$866</f>
        <v>321</v>
      </c>
      <c r="E497" s="17">
        <f>Github!F$866+Github!G$866</f>
        <v>2172</v>
      </c>
      <c r="F497" s="18">
        <f t="shared" si="1"/>
        <v>5.77</v>
      </c>
      <c r="G497" s="17" t="str">
        <f>Github!H$866</f>
        <v>Algorithms</v>
      </c>
      <c r="H497" s="19" t="str">
        <f>SUBSTITUTE(Github!L$866, ";", ", ")</f>
        <v>Hash Table, Tree, Depth-First Search, Breadth-First Search, Binary Tree, </v>
      </c>
      <c r="I497" s="17" t="str">
        <f>Github!E$866</f>
        <v>Medium</v>
      </c>
      <c r="J497" s="17" t="str">
        <f>IF(TRIM(Github!D$866)="TRUE","FALSE","TRUE")</f>
        <v>TRUE</v>
      </c>
      <c r="K497" s="17" t="b">
        <f>Github!M$866</f>
        <v>1</v>
      </c>
      <c r="L497" s="17" t="b">
        <f>Github!N$866</f>
        <v>0</v>
      </c>
      <c r="M497" s="17" t="str">
        <f>ROUND(Github!O$866, 2)&amp;"%"</f>
        <v>67.61%</v>
      </c>
      <c r="N497" s="17">
        <f>Github!P$866</f>
        <v>98819</v>
      </c>
      <c r="O497" s="17">
        <f>Github!Q$866</f>
        <v>146170</v>
      </c>
    </row>
    <row r="498" ht="18.0" customHeight="1">
      <c r="A498" s="17">
        <f>Github!J$1464</f>
        <v>1463</v>
      </c>
      <c r="B498" s="27" t="str">
        <f>HYPERLINK(CONCAT("http://leetcode.com/problems/",Github!C$1464), Github!B$1464)</f>
        <v>Cherry Pickup II</v>
      </c>
      <c r="C498" s="17">
        <f>Github!F$1464</f>
        <v>1849</v>
      </c>
      <c r="D498" s="17">
        <f>Github!G$1464</f>
        <v>18</v>
      </c>
      <c r="E498" s="17">
        <f>Github!F$1464+Github!G$1464</f>
        <v>1867</v>
      </c>
      <c r="F498" s="18">
        <f t="shared" si="1"/>
        <v>102.72</v>
      </c>
      <c r="G498" s="17" t="str">
        <f>Github!H$1464</f>
        <v>Algorithms</v>
      </c>
      <c r="H498" s="19" t="str">
        <f>SUBSTITUTE(Github!L$1464, ";", ", ")</f>
        <v>Array, Dynamic Programming, Matrix, </v>
      </c>
      <c r="I498" s="17" t="str">
        <f>Github!E$1464</f>
        <v>Hard</v>
      </c>
      <c r="J498" s="17" t="str">
        <f>IF(TRIM(Github!D$1464)="TRUE","FALSE","TRUE")</f>
        <v>TRUE</v>
      </c>
      <c r="K498" s="17" t="b">
        <f>Github!M$1464</f>
        <v>1</v>
      </c>
      <c r="L498" s="17" t="b">
        <f>Github!N$1464</f>
        <v>0</v>
      </c>
      <c r="M498" s="17" t="str">
        <f>ROUND(Github!O$1464, 2)&amp;"%"</f>
        <v>70.86%</v>
      </c>
      <c r="N498" s="17">
        <f>Github!P$1464</f>
        <v>56167</v>
      </c>
      <c r="O498" s="17">
        <f>Github!Q$1464</f>
        <v>79262</v>
      </c>
    </row>
    <row r="499" ht="18.0" customHeight="1">
      <c r="A499" s="17">
        <f>Github!J$631</f>
        <v>630</v>
      </c>
      <c r="B499" s="27" t="str">
        <f>HYPERLINK(CONCAT("http://leetcode.com/problems/",Github!C$631), Github!B$631)</f>
        <v>Course Schedule III</v>
      </c>
      <c r="C499" s="17">
        <f>Github!F$631</f>
        <v>1846</v>
      </c>
      <c r="D499" s="17">
        <f>Github!G$631</f>
        <v>53</v>
      </c>
      <c r="E499" s="17">
        <f>Github!F$631+Github!G$631</f>
        <v>1899</v>
      </c>
      <c r="F499" s="18">
        <f t="shared" si="1"/>
        <v>34.83</v>
      </c>
      <c r="G499" s="17" t="str">
        <f>Github!H$631</f>
        <v>Algorithms</v>
      </c>
      <c r="H499" s="19" t="str">
        <f>SUBSTITUTE(Github!L$631, ";", ", ")</f>
        <v>Array, Greedy, Heap (Priority Queue), </v>
      </c>
      <c r="I499" s="17" t="str">
        <f>Github!E$631</f>
        <v>Hard</v>
      </c>
      <c r="J499" s="17" t="str">
        <f>IF(TRIM(Github!D$631)="TRUE","FALSE","TRUE")</f>
        <v>TRUE</v>
      </c>
      <c r="K499" s="17" t="b">
        <f>Github!M$631</f>
        <v>1</v>
      </c>
      <c r="L499" s="17" t="b">
        <f>Github!N$631</f>
        <v>0</v>
      </c>
      <c r="M499" s="17" t="str">
        <f>ROUND(Github!O$631, 2)&amp;"%"</f>
        <v>35.62%</v>
      </c>
      <c r="N499" s="17">
        <f>Github!P$631</f>
        <v>54908</v>
      </c>
      <c r="O499" s="17">
        <f>Github!Q$631</f>
        <v>154142</v>
      </c>
    </row>
    <row r="500" ht="18.0" customHeight="1">
      <c r="A500" s="17">
        <f>Github!J$188</f>
        <v>187</v>
      </c>
      <c r="B500" s="27" t="str">
        <f>HYPERLINK(CONCAT("http://leetcode.com/problems/",Github!C$188), Github!B$188)</f>
        <v>Repeated DNA Sequences</v>
      </c>
      <c r="C500" s="17">
        <f>Github!F$188</f>
        <v>1846</v>
      </c>
      <c r="D500" s="17">
        <f>Github!G$188</f>
        <v>399</v>
      </c>
      <c r="E500" s="17">
        <f>Github!F$188+Github!G$188</f>
        <v>2245</v>
      </c>
      <c r="F500" s="18">
        <f t="shared" si="1"/>
        <v>4.63</v>
      </c>
      <c r="G500" s="17" t="str">
        <f>Github!H$188</f>
        <v>Algorithms</v>
      </c>
      <c r="H500" s="19" t="str">
        <f>SUBSTITUTE(Github!L$188, ";", ", ")</f>
        <v>Hash Table, String, Bit Manipulation, Sliding Window, Rolling Hash, Hash Function, </v>
      </c>
      <c r="I500" s="17" t="str">
        <f>Github!E$188</f>
        <v>Medium</v>
      </c>
      <c r="J500" s="17" t="str">
        <f>IF(TRIM(Github!D$188)="TRUE","FALSE","TRUE")</f>
        <v>TRUE</v>
      </c>
      <c r="K500" s="17" t="b">
        <f>Github!M$188</f>
        <v>1</v>
      </c>
      <c r="L500" s="17" t="b">
        <f>Github!N$188</f>
        <v>0</v>
      </c>
      <c r="M500" s="17" t="str">
        <f>ROUND(Github!O$188, 2)&amp;"%"</f>
        <v>44.25%</v>
      </c>
      <c r="N500" s="17">
        <f>Github!P$188</f>
        <v>254624</v>
      </c>
      <c r="O500" s="17">
        <f>Github!Q$188</f>
        <v>575386</v>
      </c>
    </row>
    <row r="501" ht="18.0" customHeight="1">
      <c r="A501" s="17">
        <f>Github!J$304</f>
        <v>303</v>
      </c>
      <c r="B501" s="27" t="str">
        <f>HYPERLINK(CONCAT("http://leetcode.com/problems/",Github!C$304), Github!B$304)</f>
        <v>Range Sum Query - Immutable</v>
      </c>
      <c r="C501" s="17">
        <f>Github!F$304</f>
        <v>1845</v>
      </c>
      <c r="D501" s="17">
        <f>Github!G$304</f>
        <v>1611</v>
      </c>
      <c r="E501" s="17">
        <f>Github!F$304+Github!G$304</f>
        <v>3456</v>
      </c>
      <c r="F501" s="18">
        <f t="shared" si="1"/>
        <v>1.15</v>
      </c>
      <c r="G501" s="17" t="str">
        <f>Github!H$304</f>
        <v>Algorithms</v>
      </c>
      <c r="H501" s="19" t="str">
        <f>SUBSTITUTE(Github!L$304, ";", ", ")</f>
        <v>Array, Design, Prefix Sum, </v>
      </c>
      <c r="I501" s="17" t="str">
        <f>Github!E$304</f>
        <v>Easy</v>
      </c>
      <c r="J501" s="17" t="str">
        <f>IF(TRIM(Github!D$304)="TRUE","FALSE","TRUE")</f>
        <v>TRUE</v>
      </c>
      <c r="K501" s="17" t="b">
        <f>Github!M$304</f>
        <v>1</v>
      </c>
      <c r="L501" s="17" t="b">
        <f>Github!N$304</f>
        <v>0</v>
      </c>
      <c r="M501" s="17" t="str">
        <f>ROUND(Github!O$304, 2)&amp;"%"</f>
        <v>54.61%</v>
      </c>
      <c r="N501" s="17">
        <f>Github!P$304</f>
        <v>336935</v>
      </c>
      <c r="O501" s="17">
        <f>Github!Q$304</f>
        <v>616949</v>
      </c>
    </row>
    <row r="502" ht="18.0" customHeight="1">
      <c r="A502" s="17">
        <f>Github!J$803</f>
        <v>802</v>
      </c>
      <c r="B502" s="27" t="str">
        <f>HYPERLINK(CONCAT("http://leetcode.com/problems/",Github!C$803), Github!B$803)</f>
        <v>Find Eventual Safe States</v>
      </c>
      <c r="C502" s="17">
        <f>Github!F$803</f>
        <v>1847</v>
      </c>
      <c r="D502" s="17">
        <f>Github!G$803</f>
        <v>305</v>
      </c>
      <c r="E502" s="17">
        <f>Github!F$803+Github!G$803</f>
        <v>2152</v>
      </c>
      <c r="F502" s="18">
        <f t="shared" si="1"/>
        <v>6.06</v>
      </c>
      <c r="G502" s="17" t="str">
        <f>Github!H$803</f>
        <v>Algorithms</v>
      </c>
      <c r="H502" s="19" t="str">
        <f>SUBSTITUTE(Github!L$803, ";", ", ")</f>
        <v>Depth-First Search, Breadth-First Search, Graph, Topological Sort, </v>
      </c>
      <c r="I502" s="17" t="str">
        <f>Github!E$803</f>
        <v>Medium</v>
      </c>
      <c r="J502" s="17" t="str">
        <f>IF(TRIM(Github!D$803)="TRUE","FALSE","TRUE")</f>
        <v>TRUE</v>
      </c>
      <c r="K502" s="17" t="b">
        <f>Github!M$803</f>
        <v>1</v>
      </c>
      <c r="L502" s="17" t="b">
        <f>Github!N$803</f>
        <v>0</v>
      </c>
      <c r="M502" s="17" t="str">
        <f>ROUND(Github!O$803, 2)&amp;"%"</f>
        <v>52.06%</v>
      </c>
      <c r="N502" s="17">
        <f>Github!P$803</f>
        <v>72081</v>
      </c>
      <c r="O502" s="17">
        <f>Github!Q$803</f>
        <v>138450</v>
      </c>
    </row>
    <row r="503" ht="18.0" customHeight="1">
      <c r="A503" s="17">
        <f>Github!J$1289</f>
        <v>1288</v>
      </c>
      <c r="B503" s="27" t="str">
        <f>HYPERLINK(CONCAT("http://leetcode.com/problems/",Github!C$1289), Github!B$1289)</f>
        <v>Remove Covered Intervals</v>
      </c>
      <c r="C503" s="17">
        <f>Github!F$1289</f>
        <v>1829</v>
      </c>
      <c r="D503" s="17">
        <f>Github!G$1289</f>
        <v>44</v>
      </c>
      <c r="E503" s="17">
        <f>Github!F$1289+Github!G$1289</f>
        <v>1873</v>
      </c>
      <c r="F503" s="18">
        <f t="shared" si="1"/>
        <v>41.57</v>
      </c>
      <c r="G503" s="17" t="str">
        <f>Github!H$1289</f>
        <v>Algorithms</v>
      </c>
      <c r="H503" s="19" t="str">
        <f>SUBSTITUTE(Github!L$1289, ";", ", ")</f>
        <v>Array, Sorting, </v>
      </c>
      <c r="I503" s="17" t="str">
        <f>Github!E$1289</f>
        <v>Medium</v>
      </c>
      <c r="J503" s="17" t="str">
        <f>IF(TRIM(Github!D$1289)="TRUE","FALSE","TRUE")</f>
        <v>TRUE</v>
      </c>
      <c r="K503" s="17" t="b">
        <f>Github!M$1289</f>
        <v>1</v>
      </c>
      <c r="L503" s="17" t="b">
        <f>Github!N$1289</f>
        <v>0</v>
      </c>
      <c r="M503" s="17" t="str">
        <f>ROUND(Github!O$1289, 2)&amp;"%"</f>
        <v>57.4%</v>
      </c>
      <c r="N503" s="17">
        <f>Github!P$1289</f>
        <v>93945</v>
      </c>
      <c r="O503" s="17">
        <f>Github!Q$1289</f>
        <v>163668</v>
      </c>
    </row>
    <row r="504" ht="18.0" customHeight="1">
      <c r="A504" s="17">
        <f>Github!J$959</f>
        <v>958</v>
      </c>
      <c r="B504" s="27" t="str">
        <f>HYPERLINK(CONCAT("http://leetcode.com/problems/",Github!C$959), Github!B$959)</f>
        <v>Check Completeness of a Binary Tree</v>
      </c>
      <c r="C504" s="17">
        <f>Github!F$959</f>
        <v>1828</v>
      </c>
      <c r="D504" s="17">
        <f>Github!G$959</f>
        <v>27</v>
      </c>
      <c r="E504" s="17">
        <f>Github!F$959+Github!G$959</f>
        <v>1855</v>
      </c>
      <c r="F504" s="18">
        <f t="shared" si="1"/>
        <v>67.7</v>
      </c>
      <c r="G504" s="17" t="str">
        <f>Github!H$959</f>
        <v>Algorithms</v>
      </c>
      <c r="H504" s="19" t="str">
        <f>SUBSTITUTE(Github!L$959, ";", ", ")</f>
        <v>Tree, Breadth-First Search, Binary Tree, </v>
      </c>
      <c r="I504" s="17" t="str">
        <f>Github!E$959</f>
        <v>Medium</v>
      </c>
      <c r="J504" s="17" t="str">
        <f>IF(TRIM(Github!D$959)="TRUE","FALSE","TRUE")</f>
        <v>TRUE</v>
      </c>
      <c r="K504" s="17" t="b">
        <f>Github!M$959</f>
        <v>0</v>
      </c>
      <c r="L504" s="17" t="b">
        <f>Github!N$959</f>
        <v>0</v>
      </c>
      <c r="M504" s="17" t="str">
        <f>ROUND(Github!O$959, 2)&amp;"%"</f>
        <v>53.51%</v>
      </c>
      <c r="N504" s="17">
        <f>Github!P$959</f>
        <v>110665</v>
      </c>
      <c r="O504" s="17">
        <f>Github!Q$959</f>
        <v>206800</v>
      </c>
    </row>
    <row r="505" ht="18.0" customHeight="1">
      <c r="A505" s="17">
        <f>Github!J$713</f>
        <v>712</v>
      </c>
      <c r="B505" s="27" t="str">
        <f>HYPERLINK(CONCAT("http://leetcode.com/problems/",Github!C$713), Github!B$713)</f>
        <v>Minimum ASCII Delete Sum for Two Strings</v>
      </c>
      <c r="C505" s="17">
        <f>Github!F$713</f>
        <v>1827</v>
      </c>
      <c r="D505" s="17">
        <f>Github!G$713</f>
        <v>61</v>
      </c>
      <c r="E505" s="17">
        <f>Github!F$713+Github!G$713</f>
        <v>1888</v>
      </c>
      <c r="F505" s="18">
        <f t="shared" si="1"/>
        <v>29.95</v>
      </c>
      <c r="G505" s="17" t="str">
        <f>Github!H$713</f>
        <v>Algorithms</v>
      </c>
      <c r="H505" s="19" t="str">
        <f>SUBSTITUTE(Github!L$713, ";", ", ")</f>
        <v>String, Dynamic Programming, </v>
      </c>
      <c r="I505" s="17" t="str">
        <f>Github!E$713</f>
        <v>Medium</v>
      </c>
      <c r="J505" s="17" t="str">
        <f>IF(TRIM(Github!D$713)="TRUE","FALSE","TRUE")</f>
        <v>TRUE</v>
      </c>
      <c r="K505" s="17" t="b">
        <f>Github!M$713</f>
        <v>1</v>
      </c>
      <c r="L505" s="17" t="b">
        <f>Github!N$713</f>
        <v>0</v>
      </c>
      <c r="M505" s="17" t="str">
        <f>ROUND(Github!O$713, 2)&amp;"%"</f>
        <v>61.36%</v>
      </c>
      <c r="N505" s="17">
        <f>Github!P$713</f>
        <v>59775</v>
      </c>
      <c r="O505" s="17">
        <f>Github!Q$713</f>
        <v>97418</v>
      </c>
    </row>
    <row r="506" ht="18.0" customHeight="1">
      <c r="A506" s="17">
        <f>Github!J$730</f>
        <v>729</v>
      </c>
      <c r="B506" s="27" t="str">
        <f>HYPERLINK(CONCAT("http://leetcode.com/problems/",Github!C$730), Github!B$730)</f>
        <v>My Calendar I</v>
      </c>
      <c r="C506" s="17">
        <f>Github!F$730</f>
        <v>1826</v>
      </c>
      <c r="D506" s="17">
        <f>Github!G$730</f>
        <v>56</v>
      </c>
      <c r="E506" s="17">
        <f>Github!F$730+Github!G$730</f>
        <v>1882</v>
      </c>
      <c r="F506" s="18">
        <f t="shared" si="1"/>
        <v>32.61</v>
      </c>
      <c r="G506" s="17" t="str">
        <f>Github!H$730</f>
        <v>Algorithms</v>
      </c>
      <c r="H506" s="19" t="str">
        <f>SUBSTITUTE(Github!L$730, ";", ", ")</f>
        <v>Design, Segment Tree, Ordered Set, </v>
      </c>
      <c r="I506" s="17" t="str">
        <f>Github!E$730</f>
        <v>Medium</v>
      </c>
      <c r="J506" s="17" t="str">
        <f>IF(TRIM(Github!D$730)="TRUE","FALSE","TRUE")</f>
        <v>TRUE</v>
      </c>
      <c r="K506" s="17" t="b">
        <f>Github!M$730</f>
        <v>1</v>
      </c>
      <c r="L506" s="17" t="b">
        <f>Github!N$730</f>
        <v>0</v>
      </c>
      <c r="M506" s="17" t="str">
        <f>ROUND(Github!O$730, 2)&amp;"%"</f>
        <v>55.01%</v>
      </c>
      <c r="N506" s="17">
        <f>Github!P$730</f>
        <v>141184</v>
      </c>
      <c r="O506" s="17">
        <f>Github!Q$730</f>
        <v>256670</v>
      </c>
    </row>
    <row r="507" ht="18.0" customHeight="1">
      <c r="A507" s="17">
        <f>Github!J$927</f>
        <v>926</v>
      </c>
      <c r="B507" s="27" t="str">
        <f>HYPERLINK(CONCAT("http://leetcode.com/problems/",Github!C$927), Github!B$927)</f>
        <v>Flip String to Monotone Increasing</v>
      </c>
      <c r="C507" s="17">
        <f>Github!F$927</f>
        <v>1827</v>
      </c>
      <c r="D507" s="17">
        <f>Github!G$927</f>
        <v>74</v>
      </c>
      <c r="E507" s="17">
        <f>Github!F$927+Github!G$927</f>
        <v>1901</v>
      </c>
      <c r="F507" s="18">
        <f t="shared" si="1"/>
        <v>24.69</v>
      </c>
      <c r="G507" s="17" t="str">
        <f>Github!H$927</f>
        <v>Algorithms</v>
      </c>
      <c r="H507" s="19" t="str">
        <f>SUBSTITUTE(Github!L$927, ";", ", ")</f>
        <v>String, Dynamic Programming, </v>
      </c>
      <c r="I507" s="17" t="str">
        <f>Github!E$927</f>
        <v>Medium</v>
      </c>
      <c r="J507" s="17" t="str">
        <f>IF(TRIM(Github!D$927)="TRUE","FALSE","TRUE")</f>
        <v>TRUE</v>
      </c>
      <c r="K507" s="17" t="b">
        <f>Github!M$927</f>
        <v>1</v>
      </c>
      <c r="L507" s="17" t="b">
        <f>Github!N$927</f>
        <v>0</v>
      </c>
      <c r="M507" s="17" t="str">
        <f>ROUND(Github!O$927, 2)&amp;"%"</f>
        <v>58.35%</v>
      </c>
      <c r="N507" s="17">
        <f>Github!P$927</f>
        <v>81557</v>
      </c>
      <c r="O507" s="17">
        <f>Github!Q$927</f>
        <v>139769</v>
      </c>
    </row>
    <row r="508" ht="18.0" customHeight="1">
      <c r="A508" s="17">
        <f>Github!J$31</f>
        <v>30</v>
      </c>
      <c r="B508" s="27" t="str">
        <f>HYPERLINK(CONCAT("http://leetcode.com/problems/",Github!C$31), Github!B$31)</f>
        <v>Substring with Concatenation of All Words</v>
      </c>
      <c r="C508" s="17">
        <f>Github!F$31</f>
        <v>1812</v>
      </c>
      <c r="D508" s="17">
        <f>Github!G$31</f>
        <v>1798</v>
      </c>
      <c r="E508" s="17">
        <f>Github!F$31+Github!G$31</f>
        <v>3610</v>
      </c>
      <c r="F508" s="18">
        <f t="shared" si="1"/>
        <v>1.01</v>
      </c>
      <c r="G508" s="17" t="str">
        <f>Github!H$31</f>
        <v>Algorithms</v>
      </c>
      <c r="H508" s="19" t="str">
        <f>SUBSTITUTE(Github!L$31, ";", ", ")</f>
        <v>Hash Table, String, Sliding Window, </v>
      </c>
      <c r="I508" s="17" t="str">
        <f>Github!E$31</f>
        <v>Hard</v>
      </c>
      <c r="J508" s="17" t="str">
        <f>IF(TRIM(Github!D$31)="TRUE","FALSE","TRUE")</f>
        <v>TRUE</v>
      </c>
      <c r="K508" s="17" t="b">
        <f>Github!M$31</f>
        <v>1</v>
      </c>
      <c r="L508" s="17" t="b">
        <f>Github!N$31</f>
        <v>0</v>
      </c>
      <c r="M508" s="17" t="str">
        <f>ROUND(Github!O$31, 2)&amp;"%"</f>
        <v>27.87%</v>
      </c>
      <c r="N508" s="17">
        <f>Github!P$31</f>
        <v>245286</v>
      </c>
      <c r="O508" s="17">
        <f>Github!Q$31</f>
        <v>880041</v>
      </c>
    </row>
    <row r="509" ht="18.0" customHeight="1">
      <c r="A509" s="17">
        <f>Github!J$566</f>
        <v>565</v>
      </c>
      <c r="B509" s="27" t="str">
        <f>HYPERLINK(CONCAT("http://leetcode.com/problems/",Github!C$566), Github!B$566)</f>
        <v>Array Nesting</v>
      </c>
      <c r="C509" s="17">
        <f>Github!F$566</f>
        <v>1808</v>
      </c>
      <c r="D509" s="17">
        <f>Github!G$566</f>
        <v>138</v>
      </c>
      <c r="E509" s="17">
        <f>Github!F$566+Github!G$566</f>
        <v>1946</v>
      </c>
      <c r="F509" s="18">
        <f t="shared" si="1"/>
        <v>13.1</v>
      </c>
      <c r="G509" s="17" t="str">
        <f>Github!H$566</f>
        <v>Algorithms</v>
      </c>
      <c r="H509" s="19" t="str">
        <f>SUBSTITUTE(Github!L$566, ";", ", ")</f>
        <v>Array, Depth-First Search, </v>
      </c>
      <c r="I509" s="17" t="str">
        <f>Github!E$566</f>
        <v>Medium</v>
      </c>
      <c r="J509" s="17" t="str">
        <f>IF(TRIM(Github!D$566)="TRUE","FALSE","TRUE")</f>
        <v>TRUE</v>
      </c>
      <c r="K509" s="17" t="b">
        <f>Github!M$566</f>
        <v>1</v>
      </c>
      <c r="L509" s="17" t="b">
        <f>Github!N$566</f>
        <v>0</v>
      </c>
      <c r="M509" s="17" t="str">
        <f>ROUND(Github!O$566, 2)&amp;"%"</f>
        <v>56.25%</v>
      </c>
      <c r="N509" s="17">
        <f>Github!P$566</f>
        <v>111592</v>
      </c>
      <c r="O509" s="17">
        <f>Github!Q$566</f>
        <v>198391</v>
      </c>
    </row>
    <row r="510" ht="18.0" customHeight="1">
      <c r="A510" s="17">
        <f>Github!J$1396</f>
        <v>1395</v>
      </c>
      <c r="B510" s="27" t="str">
        <f>HYPERLINK(CONCAT("http://leetcode.com/problems/",Github!C$1396), Github!B$1396)</f>
        <v>Count Number of Teams</v>
      </c>
      <c r="C510" s="17">
        <f>Github!F$1396</f>
        <v>1799</v>
      </c>
      <c r="D510" s="17">
        <f>Github!G$1396</f>
        <v>158</v>
      </c>
      <c r="E510" s="17">
        <f>Github!F$1396+Github!G$1396</f>
        <v>1957</v>
      </c>
      <c r="F510" s="18">
        <f t="shared" si="1"/>
        <v>11.39</v>
      </c>
      <c r="G510" s="17" t="str">
        <f>Github!H$1396</f>
        <v>Algorithms</v>
      </c>
      <c r="H510" s="19" t="str">
        <f>SUBSTITUTE(Github!L$1396, ";", ", ")</f>
        <v>Array, Dynamic Programming, Binary Indexed Tree, </v>
      </c>
      <c r="I510" s="17" t="str">
        <f>Github!E$1396</f>
        <v>Medium</v>
      </c>
      <c r="J510" s="17" t="str">
        <f>IF(TRIM(Github!D$1396)="TRUE","FALSE","TRUE")</f>
        <v>TRUE</v>
      </c>
      <c r="K510" s="17" t="b">
        <f>Github!M$1396</f>
        <v>0</v>
      </c>
      <c r="L510" s="17" t="b">
        <f>Github!N$1396</f>
        <v>0</v>
      </c>
      <c r="M510" s="17" t="str">
        <f>ROUND(Github!O$1396, 2)&amp;"%"</f>
        <v>69.7%</v>
      </c>
      <c r="N510" s="17">
        <f>Github!P$1396</f>
        <v>83191</v>
      </c>
      <c r="O510" s="17">
        <f>Github!Q$1396</f>
        <v>119355</v>
      </c>
    </row>
    <row r="511" ht="18.0" customHeight="1">
      <c r="A511" s="17">
        <f>Github!J$882</f>
        <v>881</v>
      </c>
      <c r="B511" s="27" t="str">
        <f>HYPERLINK(CONCAT("http://leetcode.com/problems/",Github!C$882), Github!B$882)</f>
        <v>Boats to Save People</v>
      </c>
      <c r="C511" s="17">
        <f>Github!F$882</f>
        <v>1794</v>
      </c>
      <c r="D511" s="17">
        <f>Github!G$882</f>
        <v>53</v>
      </c>
      <c r="E511" s="17">
        <f>Github!F$882+Github!G$882</f>
        <v>1847</v>
      </c>
      <c r="F511" s="18">
        <f t="shared" si="1"/>
        <v>33.85</v>
      </c>
      <c r="G511" s="17" t="str">
        <f>Github!H$882</f>
        <v>Algorithms</v>
      </c>
      <c r="H511" s="19" t="str">
        <f>SUBSTITUTE(Github!L$882, ";", ", ")</f>
        <v>Array, Two Pointers, Greedy, Sorting, </v>
      </c>
      <c r="I511" s="17" t="str">
        <f>Github!E$882</f>
        <v>Medium</v>
      </c>
      <c r="J511" s="17" t="str">
        <f>IF(TRIM(Github!D$882)="TRUE","FALSE","TRUE")</f>
        <v>TRUE</v>
      </c>
      <c r="K511" s="17" t="b">
        <f>Github!M$882</f>
        <v>1</v>
      </c>
      <c r="L511" s="17" t="b">
        <f>Github!N$882</f>
        <v>0</v>
      </c>
      <c r="M511" s="17" t="str">
        <f>ROUND(Github!O$882, 2)&amp;"%"</f>
        <v>49.92%</v>
      </c>
      <c r="N511" s="17">
        <f>Github!P$882</f>
        <v>93698</v>
      </c>
      <c r="O511" s="17">
        <f>Github!Q$882</f>
        <v>187700</v>
      </c>
    </row>
    <row r="512" ht="18.0" customHeight="1">
      <c r="A512" s="17">
        <f>Github!J$176</f>
        <v>175</v>
      </c>
      <c r="B512" s="27" t="str">
        <f>HYPERLINK(CONCAT("http://leetcode.com/problems/",Github!C$176), Github!B$176)</f>
        <v>Combine Two Tables</v>
      </c>
      <c r="C512" s="17">
        <f>Github!F$176</f>
        <v>1790</v>
      </c>
      <c r="D512" s="17">
        <f>Github!G$176</f>
        <v>183</v>
      </c>
      <c r="E512" s="17">
        <f>Github!F$176+Github!G$176</f>
        <v>1973</v>
      </c>
      <c r="F512" s="18">
        <f t="shared" si="1"/>
        <v>9.78</v>
      </c>
      <c r="G512" s="17" t="str">
        <f>Github!H$176</f>
        <v>Database</v>
      </c>
      <c r="H512" s="19" t="str">
        <f>SUBSTITUTE(Github!L$176, ";", ", ")</f>
        <v>Database, </v>
      </c>
      <c r="I512" s="17" t="str">
        <f>Github!E$176</f>
        <v>Easy</v>
      </c>
      <c r="J512" s="17" t="str">
        <f>IF(TRIM(Github!D$176)="TRUE","FALSE","TRUE")</f>
        <v>TRUE</v>
      </c>
      <c r="K512" s="17" t="b">
        <f>Github!M$176</f>
        <v>1</v>
      </c>
      <c r="L512" s="17" t="b">
        <f>Github!N$176</f>
        <v>0</v>
      </c>
      <c r="M512" s="17" t="str">
        <f>ROUND(Github!O$176, 2)&amp;"%"</f>
        <v>69.45%</v>
      </c>
      <c r="N512" s="17">
        <f>Github!P$176</f>
        <v>502896</v>
      </c>
      <c r="O512" s="17">
        <f>Github!Q$176</f>
        <v>724092</v>
      </c>
    </row>
    <row r="513" ht="18.0" customHeight="1">
      <c r="A513" s="17">
        <f>Github!J$473</f>
        <v>472</v>
      </c>
      <c r="B513" s="27" t="str">
        <f>HYPERLINK(CONCAT("http://leetcode.com/problems/",Github!C$473), Github!B$473)</f>
        <v>Concatenated Words</v>
      </c>
      <c r="C513" s="17">
        <f>Github!F$473</f>
        <v>1788</v>
      </c>
      <c r="D513" s="17">
        <f>Github!G$473</f>
        <v>208</v>
      </c>
      <c r="E513" s="17">
        <f>Github!F$473+Github!G$473</f>
        <v>1996</v>
      </c>
      <c r="F513" s="18">
        <f t="shared" si="1"/>
        <v>8.6</v>
      </c>
      <c r="G513" s="17" t="str">
        <f>Github!H$473</f>
        <v>Algorithms</v>
      </c>
      <c r="H513" s="19" t="str">
        <f>SUBSTITUTE(Github!L$473, ";", ", ")</f>
        <v>Array, String, Dynamic Programming, Depth-First Search, Trie, </v>
      </c>
      <c r="I513" s="17" t="str">
        <f>Github!E$473</f>
        <v>Hard</v>
      </c>
      <c r="J513" s="17" t="str">
        <f>IF(TRIM(Github!D$473)="TRUE","FALSE","TRUE")</f>
        <v>TRUE</v>
      </c>
      <c r="K513" s="17" t="b">
        <f>Github!M$473</f>
        <v>0</v>
      </c>
      <c r="L513" s="17" t="b">
        <f>Github!N$473</f>
        <v>0</v>
      </c>
      <c r="M513" s="17" t="str">
        <f>ROUND(Github!O$473, 2)&amp;"%"</f>
        <v>42.47%</v>
      </c>
      <c r="N513" s="17">
        <f>Github!P$473</f>
        <v>124459</v>
      </c>
      <c r="O513" s="17">
        <f>Github!Q$473</f>
        <v>293037</v>
      </c>
    </row>
    <row r="514" ht="18.0" customHeight="1">
      <c r="A514" s="17">
        <f>Github!J$846</f>
        <v>845</v>
      </c>
      <c r="B514" s="27" t="str">
        <f>HYPERLINK(CONCAT("http://leetcode.com/problems/",Github!C$846), Github!B$846)</f>
        <v>Longest Mountain in Array</v>
      </c>
      <c r="C514" s="17">
        <f>Github!F$846</f>
        <v>1790</v>
      </c>
      <c r="D514" s="17">
        <f>Github!G$846</f>
        <v>55</v>
      </c>
      <c r="E514" s="17">
        <f>Github!F$846+Github!G$846</f>
        <v>1845</v>
      </c>
      <c r="F514" s="18">
        <f t="shared" si="1"/>
        <v>32.55</v>
      </c>
      <c r="G514" s="17" t="str">
        <f>Github!H$846</f>
        <v>Algorithms</v>
      </c>
      <c r="H514" s="19" t="str">
        <f>SUBSTITUTE(Github!L$846, ";", ", ")</f>
        <v>Array, Two Pointers, Dynamic Programming, Enumeration, </v>
      </c>
      <c r="I514" s="17" t="str">
        <f>Github!E$846</f>
        <v>Medium</v>
      </c>
      <c r="J514" s="17" t="str">
        <f>IF(TRIM(Github!D$846)="TRUE","FALSE","TRUE")</f>
        <v>TRUE</v>
      </c>
      <c r="K514" s="17" t="b">
        <f>Github!M$846</f>
        <v>1</v>
      </c>
      <c r="L514" s="17" t="b">
        <f>Github!N$846</f>
        <v>0</v>
      </c>
      <c r="M514" s="17" t="str">
        <f>ROUND(Github!O$846, 2)&amp;"%"</f>
        <v>39.71%</v>
      </c>
      <c r="N514" s="17">
        <f>Github!P$846</f>
        <v>86958</v>
      </c>
      <c r="O514" s="17">
        <f>Github!Q$846</f>
        <v>218962</v>
      </c>
    </row>
    <row r="515" ht="18.0" customHeight="1">
      <c r="A515" s="17">
        <f>Github!J$779</f>
        <v>778</v>
      </c>
      <c r="B515" s="27" t="str">
        <f>HYPERLINK(CONCAT("http://leetcode.com/problems/",Github!C$779), Github!B$779)</f>
        <v>Swim in Rising Water</v>
      </c>
      <c r="C515" s="17">
        <f>Github!F$779</f>
        <v>1785</v>
      </c>
      <c r="D515" s="17">
        <f>Github!G$779</f>
        <v>127</v>
      </c>
      <c r="E515" s="17">
        <f>Github!F$779+Github!G$779</f>
        <v>1912</v>
      </c>
      <c r="F515" s="18">
        <f t="shared" si="1"/>
        <v>14.06</v>
      </c>
      <c r="G515" s="17" t="str">
        <f>Github!H$779</f>
        <v>Algorithms</v>
      </c>
      <c r="H515" s="19" t="str">
        <f>SUBSTITUTE(Github!L$779, ";", ", ")</f>
        <v>Array, Binary Search, Depth-First Search, Breadth-First Search, Union Find, Heap (Priority Queue), Matrix, </v>
      </c>
      <c r="I515" s="17" t="str">
        <f>Github!E$779</f>
        <v>Hard</v>
      </c>
      <c r="J515" s="17" t="str">
        <f>IF(TRIM(Github!D$779)="TRUE","FALSE","TRUE")</f>
        <v>TRUE</v>
      </c>
      <c r="K515" s="17" t="b">
        <f>Github!M$779</f>
        <v>1</v>
      </c>
      <c r="L515" s="17" t="b">
        <f>Github!N$779</f>
        <v>0</v>
      </c>
      <c r="M515" s="17" t="str">
        <f>ROUND(Github!O$779, 2)&amp;"%"</f>
        <v>58.44%</v>
      </c>
      <c r="N515" s="17">
        <f>Github!P$779</f>
        <v>70127</v>
      </c>
      <c r="O515" s="17">
        <f>Github!Q$779</f>
        <v>119989</v>
      </c>
    </row>
    <row r="516" ht="18.0" customHeight="1">
      <c r="A516" s="17">
        <f>Github!J$465</f>
        <v>464</v>
      </c>
      <c r="B516" s="27" t="str">
        <f>HYPERLINK(CONCAT("http://leetcode.com/problems/",Github!C$465), Github!B$465)</f>
        <v>Can I Win</v>
      </c>
      <c r="C516" s="17">
        <f>Github!F$465</f>
        <v>1780</v>
      </c>
      <c r="D516" s="17">
        <f>Github!G$465</f>
        <v>288</v>
      </c>
      <c r="E516" s="17">
        <f>Github!F$465+Github!G$465</f>
        <v>2068</v>
      </c>
      <c r="F516" s="18">
        <f t="shared" si="1"/>
        <v>6.18</v>
      </c>
      <c r="G516" s="17" t="str">
        <f>Github!H$465</f>
        <v>Algorithms</v>
      </c>
      <c r="H516" s="19" t="str">
        <f>SUBSTITUTE(Github!L$465, ";", ", ")</f>
        <v>Math, Dynamic Programming, Bit Manipulation, Memoization, Game Theory, Bitmask, </v>
      </c>
      <c r="I516" s="17" t="str">
        <f>Github!E$465</f>
        <v>Medium</v>
      </c>
      <c r="J516" s="17" t="str">
        <f>IF(TRIM(Github!D$465)="TRUE","FALSE","TRUE")</f>
        <v>TRUE</v>
      </c>
      <c r="K516" s="17" t="b">
        <f>Github!M$465</f>
        <v>0</v>
      </c>
      <c r="L516" s="17" t="b">
        <f>Github!N$465</f>
        <v>0</v>
      </c>
      <c r="M516" s="17" t="str">
        <f>ROUND(Github!O$465, 2)&amp;"%"</f>
        <v>29.85%</v>
      </c>
      <c r="N516" s="17">
        <f>Github!P$465</f>
        <v>73428</v>
      </c>
      <c r="O516" s="17">
        <f>Github!Q$465</f>
        <v>245978</v>
      </c>
    </row>
    <row r="517" ht="18.0" customHeight="1">
      <c r="A517" s="17">
        <f>Github!J$646</f>
        <v>645</v>
      </c>
      <c r="B517" s="27" t="str">
        <f>HYPERLINK(CONCAT("http://leetcode.com/problems/",Github!C$646), Github!B$646)</f>
        <v>Set Mismatch</v>
      </c>
      <c r="C517" s="17">
        <f>Github!F$646</f>
        <v>1776</v>
      </c>
      <c r="D517" s="17">
        <f>Github!G$646</f>
        <v>544</v>
      </c>
      <c r="E517" s="17">
        <f>Github!F$646+Github!G$646</f>
        <v>2320</v>
      </c>
      <c r="F517" s="18">
        <f t="shared" si="1"/>
        <v>3.26</v>
      </c>
      <c r="G517" s="17" t="str">
        <f>Github!H$646</f>
        <v>Algorithms</v>
      </c>
      <c r="H517" s="19" t="str">
        <f>SUBSTITUTE(Github!L$646, ";", ", ")</f>
        <v>Array, Hash Table, Bit Manipulation, Sorting, </v>
      </c>
      <c r="I517" s="17" t="str">
        <f>Github!E$646</f>
        <v>Easy</v>
      </c>
      <c r="J517" s="17" t="str">
        <f>IF(TRIM(Github!D$646)="TRUE","FALSE","TRUE")</f>
        <v>TRUE</v>
      </c>
      <c r="K517" s="17" t="b">
        <f>Github!M$646</f>
        <v>1</v>
      </c>
      <c r="L517" s="17" t="b">
        <f>Github!N$646</f>
        <v>0</v>
      </c>
      <c r="M517" s="17" t="str">
        <f>ROUND(Github!O$646, 2)&amp;"%"</f>
        <v>41.23%</v>
      </c>
      <c r="N517" s="17">
        <f>Github!P$646</f>
        <v>160839</v>
      </c>
      <c r="O517" s="17">
        <f>Github!Q$646</f>
        <v>390113</v>
      </c>
    </row>
    <row r="518" ht="18.0" customHeight="1">
      <c r="A518" s="17">
        <f>Github!J$890</f>
        <v>889</v>
      </c>
      <c r="B518" s="27" t="str">
        <f>HYPERLINK(CONCAT("http://leetcode.com/problems/",Github!C$890), Github!B$890)</f>
        <v>Construct Binary Tree from Preorder and Postorder Traversal</v>
      </c>
      <c r="C518" s="17">
        <f>Github!F$890</f>
        <v>1780</v>
      </c>
      <c r="D518" s="17">
        <f>Github!G$890</f>
        <v>82</v>
      </c>
      <c r="E518" s="17">
        <f>Github!F$890+Github!G$890</f>
        <v>1862</v>
      </c>
      <c r="F518" s="18">
        <f t="shared" si="1"/>
        <v>21.71</v>
      </c>
      <c r="G518" s="17" t="str">
        <f>Github!H$890</f>
        <v>Algorithms</v>
      </c>
      <c r="H518" s="19" t="str">
        <f>SUBSTITUTE(Github!L$890, ";", ", ")</f>
        <v>Array, Hash Table, Divide and Conquer, Tree, Binary Tree, </v>
      </c>
      <c r="I518" s="17" t="str">
        <f>Github!E$890</f>
        <v>Medium</v>
      </c>
      <c r="J518" s="17" t="str">
        <f>IF(TRIM(Github!D$890)="TRUE","FALSE","TRUE")</f>
        <v>TRUE</v>
      </c>
      <c r="K518" s="17" t="b">
        <f>Github!M$890</f>
        <v>0</v>
      </c>
      <c r="L518" s="17" t="b">
        <f>Github!N$890</f>
        <v>0</v>
      </c>
      <c r="M518" s="17" t="str">
        <f>ROUND(Github!O$890, 2)&amp;"%"</f>
        <v>69.75%</v>
      </c>
      <c r="N518" s="17">
        <f>Github!P$890</f>
        <v>67799</v>
      </c>
      <c r="O518" s="17">
        <f>Github!Q$890</f>
        <v>97199</v>
      </c>
    </row>
    <row r="519" ht="18.0" customHeight="1">
      <c r="A519" s="17">
        <f>Github!J$1589</f>
        <v>1588</v>
      </c>
      <c r="B519" s="27" t="str">
        <f>HYPERLINK(CONCAT("http://leetcode.com/problems/",Github!C$1589), Github!B$1589)</f>
        <v>Sum of All Odd Length Subarrays</v>
      </c>
      <c r="C519" s="17">
        <f>Github!F$1589</f>
        <v>1778</v>
      </c>
      <c r="D519" s="17">
        <f>Github!G$1589</f>
        <v>145</v>
      </c>
      <c r="E519" s="17">
        <f>Github!F$1589+Github!G$1589</f>
        <v>1923</v>
      </c>
      <c r="F519" s="18">
        <f t="shared" si="1"/>
        <v>12.26</v>
      </c>
      <c r="G519" s="17" t="str">
        <f>Github!H$1589</f>
        <v>Algorithms</v>
      </c>
      <c r="H519" s="19" t="str">
        <f>SUBSTITUTE(Github!L$1589, ";", ", ")</f>
        <v>Array, Math, Prefix Sum, </v>
      </c>
      <c r="I519" s="17" t="str">
        <f>Github!E$1589</f>
        <v>Easy</v>
      </c>
      <c r="J519" s="17" t="str">
        <f>IF(TRIM(Github!D$1589)="TRUE","FALSE","TRUE")</f>
        <v>TRUE</v>
      </c>
      <c r="K519" s="17" t="b">
        <f>Github!M$1589</f>
        <v>0</v>
      </c>
      <c r="L519" s="17" t="b">
        <f>Github!N$1589</f>
        <v>0</v>
      </c>
      <c r="M519" s="17" t="str">
        <f>ROUND(Github!O$1589, 2)&amp;"%"</f>
        <v>83.15%</v>
      </c>
      <c r="N519" s="17">
        <f>Github!P$1589</f>
        <v>83918</v>
      </c>
      <c r="O519" s="17">
        <f>Github!Q$1589</f>
        <v>100929</v>
      </c>
    </row>
    <row r="520" ht="18.0" customHeight="1">
      <c r="A520" s="17">
        <f>Github!J$1220</f>
        <v>1219</v>
      </c>
      <c r="B520" s="27" t="str">
        <f>HYPERLINK(CONCAT("http://leetcode.com/problems/",Github!C$1220), Github!B$1220)</f>
        <v>Path with Maximum Gold</v>
      </c>
      <c r="C520" s="17">
        <f>Github!F$1220</f>
        <v>1760</v>
      </c>
      <c r="D520" s="17">
        <f>Github!G$1220</f>
        <v>47</v>
      </c>
      <c r="E520" s="17">
        <f>Github!F$1220+Github!G$1220</f>
        <v>1807</v>
      </c>
      <c r="F520" s="18">
        <f t="shared" si="1"/>
        <v>37.45</v>
      </c>
      <c r="G520" s="17" t="str">
        <f>Github!H$1220</f>
        <v>Algorithms</v>
      </c>
      <c r="H520" s="19" t="str">
        <f>SUBSTITUTE(Github!L$1220, ";", ", ")</f>
        <v>Array, Backtracking, Matrix, </v>
      </c>
      <c r="I520" s="17" t="str">
        <f>Github!E$1220</f>
        <v>Medium</v>
      </c>
      <c r="J520" s="17" t="str">
        <f>IF(TRIM(Github!D$1220)="TRUE","FALSE","TRUE")</f>
        <v>TRUE</v>
      </c>
      <c r="K520" s="17" t="b">
        <f>Github!M$1220</f>
        <v>0</v>
      </c>
      <c r="L520" s="17" t="b">
        <f>Github!N$1220</f>
        <v>0</v>
      </c>
      <c r="M520" s="17" t="str">
        <f>ROUND(Github!O$1220, 2)&amp;"%"</f>
        <v>65.86%</v>
      </c>
      <c r="N520" s="17">
        <f>Github!P$1220</f>
        <v>78540</v>
      </c>
      <c r="O520" s="17">
        <f>Github!Q$1220</f>
        <v>119247</v>
      </c>
    </row>
    <row r="521" ht="18.0" customHeight="1">
      <c r="A521" s="17">
        <f>Github!J$951</f>
        <v>950</v>
      </c>
      <c r="B521" s="27" t="str">
        <f>HYPERLINK(CONCAT("http://leetcode.com/problems/",Github!C$951), Github!B$951)</f>
        <v>Reveal Cards In Increasing Order</v>
      </c>
      <c r="C521" s="17">
        <f>Github!F$951</f>
        <v>1762</v>
      </c>
      <c r="D521" s="17">
        <f>Github!G$951</f>
        <v>271</v>
      </c>
      <c r="E521" s="17">
        <f>Github!F$951+Github!G$951</f>
        <v>2033</v>
      </c>
      <c r="F521" s="18">
        <f t="shared" si="1"/>
        <v>6.5</v>
      </c>
      <c r="G521" s="17" t="str">
        <f>Github!H$951</f>
        <v>Algorithms</v>
      </c>
      <c r="H521" s="19" t="str">
        <f>SUBSTITUTE(Github!L$951, ";", ", ")</f>
        <v>Array, Queue, Sorting, Simulation, </v>
      </c>
      <c r="I521" s="17" t="str">
        <f>Github!E$951</f>
        <v>Medium</v>
      </c>
      <c r="J521" s="17" t="str">
        <f>IF(TRIM(Github!D$951)="TRUE","FALSE","TRUE")</f>
        <v>TRUE</v>
      </c>
      <c r="K521" s="17" t="b">
        <f>Github!M$951</f>
        <v>1</v>
      </c>
      <c r="L521" s="17" t="b">
        <f>Github!N$951</f>
        <v>0</v>
      </c>
      <c r="M521" s="17" t="str">
        <f>ROUND(Github!O$951, 2)&amp;"%"</f>
        <v>76.93%</v>
      </c>
      <c r="N521" s="17">
        <f>Github!P$951</f>
        <v>55664</v>
      </c>
      <c r="O521" s="17">
        <f>Github!Q$951</f>
        <v>72361</v>
      </c>
    </row>
    <row r="522" ht="18.0" customHeight="1">
      <c r="A522" s="17">
        <f>Github!J$555</f>
        <v>554</v>
      </c>
      <c r="B522" s="27" t="str">
        <f>HYPERLINK(CONCAT("http://leetcode.com/problems/",Github!C$555), Github!B$555)</f>
        <v>Brick Wall</v>
      </c>
      <c r="C522" s="17">
        <f>Github!F$555</f>
        <v>1750</v>
      </c>
      <c r="D522" s="17">
        <f>Github!G$555</f>
        <v>97</v>
      </c>
      <c r="E522" s="17">
        <f>Github!F$555+Github!G$555</f>
        <v>1847</v>
      </c>
      <c r="F522" s="18">
        <f t="shared" si="1"/>
        <v>18.04</v>
      </c>
      <c r="G522" s="17" t="str">
        <f>Github!H$555</f>
        <v>Algorithms</v>
      </c>
      <c r="H522" s="19" t="str">
        <f>SUBSTITUTE(Github!L$555, ";", ", ")</f>
        <v>Array, Hash Table, </v>
      </c>
      <c r="I522" s="17" t="str">
        <f>Github!E$555</f>
        <v>Medium</v>
      </c>
      <c r="J522" s="17" t="str">
        <f>IF(TRIM(Github!D$555)="TRUE","FALSE","TRUE")</f>
        <v>TRUE</v>
      </c>
      <c r="K522" s="17" t="b">
        <f>Github!M$555</f>
        <v>1</v>
      </c>
      <c r="L522" s="17" t="b">
        <f>Github!N$555</f>
        <v>1</v>
      </c>
      <c r="M522" s="17" t="str">
        <f>ROUND(Github!O$555, 2)&amp;"%"</f>
        <v>52.5%</v>
      </c>
      <c r="N522" s="17">
        <f>Github!P$555</f>
        <v>98611</v>
      </c>
      <c r="O522" s="17">
        <f>Github!Q$555</f>
        <v>187827</v>
      </c>
    </row>
    <row r="523" ht="18.0" customHeight="1">
      <c r="A523" s="17">
        <f>Github!J$1346</f>
        <v>1345</v>
      </c>
      <c r="B523" s="27" t="str">
        <f>HYPERLINK(CONCAT("http://leetcode.com/problems/",Github!C$1346), Github!B$1346)</f>
        <v>Jump Game IV</v>
      </c>
      <c r="C523" s="17">
        <f>Github!F$1346</f>
        <v>1746</v>
      </c>
      <c r="D523" s="17">
        <f>Github!G$1346</f>
        <v>69</v>
      </c>
      <c r="E523" s="17">
        <f>Github!F$1346+Github!G$1346</f>
        <v>1815</v>
      </c>
      <c r="F523" s="18">
        <f t="shared" si="1"/>
        <v>25.3</v>
      </c>
      <c r="G523" s="17" t="str">
        <f>Github!H$1346</f>
        <v>Algorithms</v>
      </c>
      <c r="H523" s="19" t="str">
        <f>SUBSTITUTE(Github!L$1346, ";", ", ")</f>
        <v>Array, Hash Table, Breadth-First Search, </v>
      </c>
      <c r="I523" s="17" t="str">
        <f>Github!E$1346</f>
        <v>Hard</v>
      </c>
      <c r="J523" s="17" t="str">
        <f>IF(TRIM(Github!D$1346)="TRUE","FALSE","TRUE")</f>
        <v>TRUE</v>
      </c>
      <c r="K523" s="17" t="b">
        <f>Github!M$1346</f>
        <v>1</v>
      </c>
      <c r="L523" s="17" t="b">
        <f>Github!N$1346</f>
        <v>0</v>
      </c>
      <c r="M523" s="17" t="str">
        <f>ROUND(Github!O$1346, 2)&amp;"%"</f>
        <v>44.4%</v>
      </c>
      <c r="N523" s="17">
        <f>Github!P$1346</f>
        <v>68964</v>
      </c>
      <c r="O523" s="17">
        <f>Github!Q$1346</f>
        <v>155328</v>
      </c>
    </row>
    <row r="524" ht="18.0" customHeight="1">
      <c r="A524" s="17">
        <f>Github!J$891</f>
        <v>890</v>
      </c>
      <c r="B524" s="27" t="str">
        <f>HYPERLINK(CONCAT("http://leetcode.com/problems/",Github!C$891), Github!B$891)</f>
        <v>Find and Replace Pattern</v>
      </c>
      <c r="C524" s="17">
        <f>Github!F$891</f>
        <v>1739</v>
      </c>
      <c r="D524" s="17">
        <f>Github!G$891</f>
        <v>115</v>
      </c>
      <c r="E524" s="17">
        <f>Github!F$891+Github!G$891</f>
        <v>1854</v>
      </c>
      <c r="F524" s="18">
        <f t="shared" si="1"/>
        <v>15.12</v>
      </c>
      <c r="G524" s="17" t="str">
        <f>Github!H$891</f>
        <v>Algorithms</v>
      </c>
      <c r="H524" s="19" t="str">
        <f>SUBSTITUTE(Github!L$891, ";", ", ")</f>
        <v>Array, Hash Table, String, </v>
      </c>
      <c r="I524" s="17" t="str">
        <f>Github!E$891</f>
        <v>Medium</v>
      </c>
      <c r="J524" s="17" t="str">
        <f>IF(TRIM(Github!D$891)="TRUE","FALSE","TRUE")</f>
        <v>TRUE</v>
      </c>
      <c r="K524" s="17" t="b">
        <f>Github!M$891</f>
        <v>1</v>
      </c>
      <c r="L524" s="17" t="b">
        <f>Github!N$891</f>
        <v>0</v>
      </c>
      <c r="M524" s="17" t="str">
        <f>ROUND(Github!O$891, 2)&amp;"%"</f>
        <v>75.59%</v>
      </c>
      <c r="N524" s="17">
        <f>Github!P$891</f>
        <v>95771</v>
      </c>
      <c r="O524" s="17">
        <f>Github!Q$891</f>
        <v>126706</v>
      </c>
    </row>
    <row r="525" ht="18.0" customHeight="1">
      <c r="A525" s="17">
        <f>Github!J$770</f>
        <v>769</v>
      </c>
      <c r="B525" s="27" t="str">
        <f>HYPERLINK(CONCAT("http://leetcode.com/problems/",Github!C$770), Github!B$770)</f>
        <v>Max Chunks To Make Sorted</v>
      </c>
      <c r="C525" s="17">
        <f>Github!F$770</f>
        <v>1739</v>
      </c>
      <c r="D525" s="17">
        <f>Github!G$770</f>
        <v>178</v>
      </c>
      <c r="E525" s="17">
        <f>Github!F$770+Github!G$770</f>
        <v>1917</v>
      </c>
      <c r="F525" s="18">
        <f t="shared" si="1"/>
        <v>9.77</v>
      </c>
      <c r="G525" s="17" t="str">
        <f>Github!H$770</f>
        <v>Algorithms</v>
      </c>
      <c r="H525" s="19" t="str">
        <f>SUBSTITUTE(Github!L$770, ";", ", ")</f>
        <v>Array, Stack, Greedy, Sorting, Monotonic Stack, </v>
      </c>
      <c r="I525" s="17" t="str">
        <f>Github!E$770</f>
        <v>Medium</v>
      </c>
      <c r="J525" s="17" t="str">
        <f>IF(TRIM(Github!D$770)="TRUE","FALSE","TRUE")</f>
        <v>TRUE</v>
      </c>
      <c r="K525" s="17" t="b">
        <f>Github!M$770</f>
        <v>0</v>
      </c>
      <c r="L525" s="17" t="b">
        <f>Github!N$770</f>
        <v>0</v>
      </c>
      <c r="M525" s="17" t="str">
        <f>ROUND(Github!O$770, 2)&amp;"%"</f>
        <v>57.53%</v>
      </c>
      <c r="N525" s="17">
        <f>Github!P$770</f>
        <v>68242</v>
      </c>
      <c r="O525" s="17">
        <f>Github!Q$770</f>
        <v>118613</v>
      </c>
    </row>
    <row r="526" ht="18.0" customHeight="1">
      <c r="A526" s="17">
        <f>Github!J$726</f>
        <v>725</v>
      </c>
      <c r="B526" s="27" t="str">
        <f>HYPERLINK(CONCAT("http://leetcode.com/problems/",Github!C$726), Github!B$726)</f>
        <v>Split Linked List in Parts</v>
      </c>
      <c r="C526" s="17">
        <f>Github!F$726</f>
        <v>1725</v>
      </c>
      <c r="D526" s="17">
        <f>Github!G$726</f>
        <v>191</v>
      </c>
      <c r="E526" s="17">
        <f>Github!F$726+Github!G$726</f>
        <v>1916</v>
      </c>
      <c r="F526" s="18">
        <f t="shared" si="1"/>
        <v>9.03</v>
      </c>
      <c r="G526" s="17" t="str">
        <f>Github!H$726</f>
        <v>Algorithms</v>
      </c>
      <c r="H526" s="19" t="str">
        <f>SUBSTITUTE(Github!L$726, ";", ", ")</f>
        <v>Linked List, </v>
      </c>
      <c r="I526" s="17" t="str">
        <f>Github!E$726</f>
        <v>Medium</v>
      </c>
      <c r="J526" s="17" t="str">
        <f>IF(TRIM(Github!D$726)="TRUE","FALSE","TRUE")</f>
        <v>TRUE</v>
      </c>
      <c r="K526" s="17" t="b">
        <f>Github!M$726</f>
        <v>1</v>
      </c>
      <c r="L526" s="17" t="b">
        <f>Github!N$726</f>
        <v>0</v>
      </c>
      <c r="M526" s="17" t="str">
        <f>ROUND(Github!O$726, 2)&amp;"%"</f>
        <v>56.68%</v>
      </c>
      <c r="N526" s="17">
        <f>Github!P$726</f>
        <v>93351</v>
      </c>
      <c r="O526" s="17">
        <f>Github!Q$726</f>
        <v>164687</v>
      </c>
    </row>
    <row r="527" ht="18.0" customHeight="1">
      <c r="A527" s="17">
        <f>Github!J$797</f>
        <v>796</v>
      </c>
      <c r="B527" s="27" t="str">
        <f>HYPERLINK(CONCAT("http://leetcode.com/problems/",Github!C$797), Github!B$797)</f>
        <v>Rotate String</v>
      </c>
      <c r="C527" s="17">
        <f>Github!F$797</f>
        <v>1715</v>
      </c>
      <c r="D527" s="17">
        <f>Github!G$797</f>
        <v>82</v>
      </c>
      <c r="E527" s="17">
        <f>Github!F$797+Github!G$797</f>
        <v>1797</v>
      </c>
      <c r="F527" s="18">
        <f t="shared" si="1"/>
        <v>20.91</v>
      </c>
      <c r="G527" s="17" t="str">
        <f>Github!H$797</f>
        <v>Algorithms</v>
      </c>
      <c r="H527" s="19" t="str">
        <f>SUBSTITUTE(Github!L$797, ";", ", ")</f>
        <v>String, String Matching, </v>
      </c>
      <c r="I527" s="17" t="str">
        <f>Github!E$797</f>
        <v>Easy</v>
      </c>
      <c r="J527" s="17" t="str">
        <f>IF(TRIM(Github!D$797)="TRUE","FALSE","TRUE")</f>
        <v>TRUE</v>
      </c>
      <c r="K527" s="17" t="b">
        <f>Github!M$797</f>
        <v>1</v>
      </c>
      <c r="L527" s="17" t="b">
        <f>Github!N$797</f>
        <v>0</v>
      </c>
      <c r="M527" s="17" t="str">
        <f>ROUND(Github!O$797, 2)&amp;"%"</f>
        <v>51.69%</v>
      </c>
      <c r="N527" s="17">
        <f>Github!P$797</f>
        <v>139285</v>
      </c>
      <c r="O527" s="17">
        <f>Github!Q$797</f>
        <v>269472</v>
      </c>
    </row>
    <row r="528" ht="18.0" customHeight="1">
      <c r="A528" s="17">
        <f>Github!J$257</f>
        <v>256</v>
      </c>
      <c r="B528" s="27" t="str">
        <f>HYPERLINK(CONCAT("http://leetcode.com/problems/",Github!C$257), Github!B$257)</f>
        <v>Paint House</v>
      </c>
      <c r="C528" s="17">
        <f>Github!F$257</f>
        <v>1707</v>
      </c>
      <c r="D528" s="17">
        <f>Github!G$257</f>
        <v>117</v>
      </c>
      <c r="E528" s="17">
        <f>Github!F$257+Github!G$257</f>
        <v>1824</v>
      </c>
      <c r="F528" s="18">
        <f t="shared" si="1"/>
        <v>14.59</v>
      </c>
      <c r="G528" s="17" t="str">
        <f>Github!H$257</f>
        <v>Algorithms</v>
      </c>
      <c r="H528" s="19" t="str">
        <f>SUBSTITUTE(Github!L$257, ";", ", ")</f>
        <v>Array, Dynamic Programming, </v>
      </c>
      <c r="I528" s="17" t="str">
        <f>Github!E$257</f>
        <v>Medium</v>
      </c>
      <c r="J528" s="17" t="str">
        <f>IF(TRIM(Github!D$257)="TRUE","FALSE","TRUE")</f>
        <v>FALSE</v>
      </c>
      <c r="K528" s="17" t="b">
        <f>Github!M$257</f>
        <v>1</v>
      </c>
      <c r="L528" s="17" t="b">
        <f>Github!N$257</f>
        <v>0</v>
      </c>
      <c r="M528" s="17" t="str">
        <f>ROUND(Github!O$257, 2)&amp;"%"</f>
        <v>58.24%</v>
      </c>
      <c r="N528" s="17">
        <f>Github!P$257</f>
        <v>149518</v>
      </c>
      <c r="O528" s="17">
        <f>Github!Q$257</f>
        <v>256714</v>
      </c>
    </row>
    <row r="529" ht="18.0" customHeight="1">
      <c r="A529" s="17">
        <f>Github!J$430</f>
        <v>429</v>
      </c>
      <c r="B529" s="27" t="str">
        <f>HYPERLINK(CONCAT("http://leetcode.com/problems/",Github!C$430), Github!B$430)</f>
        <v>N-ary Tree Level Order Traversal</v>
      </c>
      <c r="C529" s="17">
        <f>Github!F$430</f>
        <v>1702</v>
      </c>
      <c r="D529" s="17">
        <f>Github!G$430</f>
        <v>82</v>
      </c>
      <c r="E529" s="17">
        <f>Github!F$430+Github!G$430</f>
        <v>1784</v>
      </c>
      <c r="F529" s="18">
        <f t="shared" si="1"/>
        <v>20.76</v>
      </c>
      <c r="G529" s="17" t="str">
        <f>Github!H$430</f>
        <v>Algorithms</v>
      </c>
      <c r="H529" s="19" t="str">
        <f>SUBSTITUTE(Github!L$430, ";", ", ")</f>
        <v>Tree, Breadth-First Search, </v>
      </c>
      <c r="I529" s="17" t="str">
        <f>Github!E$430</f>
        <v>Medium</v>
      </c>
      <c r="J529" s="17" t="str">
        <f>IF(TRIM(Github!D$430)="TRUE","FALSE","TRUE")</f>
        <v>TRUE</v>
      </c>
      <c r="K529" s="17" t="b">
        <f>Github!M$430</f>
        <v>1</v>
      </c>
      <c r="L529" s="17" t="b">
        <f>Github!N$430</f>
        <v>0</v>
      </c>
      <c r="M529" s="17" t="str">
        <f>ROUND(Github!O$430, 2)&amp;"%"</f>
        <v>68.67%</v>
      </c>
      <c r="N529" s="17">
        <f>Github!P$430</f>
        <v>167085</v>
      </c>
      <c r="O529" s="17">
        <f>Github!Q$430</f>
        <v>243315</v>
      </c>
    </row>
    <row r="530" ht="18.0" customHeight="1">
      <c r="A530" s="17">
        <f>Github!J$643</f>
        <v>642</v>
      </c>
      <c r="B530" s="27" t="str">
        <f>HYPERLINK(CONCAT("http://leetcode.com/problems/",Github!C$643), Github!B$643)</f>
        <v>Design Search Autocomplete System</v>
      </c>
      <c r="C530" s="17">
        <f>Github!F$643</f>
        <v>1700</v>
      </c>
      <c r="D530" s="17">
        <f>Github!G$643</f>
        <v>117</v>
      </c>
      <c r="E530" s="17">
        <f>Github!F$643+Github!G$643</f>
        <v>1817</v>
      </c>
      <c r="F530" s="18">
        <f t="shared" si="1"/>
        <v>14.53</v>
      </c>
      <c r="G530" s="17" t="str">
        <f>Github!H$643</f>
        <v>Algorithms</v>
      </c>
      <c r="H530" s="19" t="str">
        <f>SUBSTITUTE(Github!L$643, ";", ", ")</f>
        <v>String, Design, Trie, Data Stream, </v>
      </c>
      <c r="I530" s="17" t="str">
        <f>Github!E$643</f>
        <v>Hard</v>
      </c>
      <c r="J530" s="17" t="str">
        <f>IF(TRIM(Github!D$643)="TRUE","FALSE","TRUE")</f>
        <v>FALSE</v>
      </c>
      <c r="K530" s="17" t="b">
        <f>Github!M$643</f>
        <v>0</v>
      </c>
      <c r="L530" s="17" t="b">
        <f>Github!N$643</f>
        <v>0</v>
      </c>
      <c r="M530" s="17" t="str">
        <f>ROUND(Github!O$643, 2)&amp;"%"</f>
        <v>48.07%</v>
      </c>
      <c r="N530" s="17">
        <f>Github!P$643</f>
        <v>108316</v>
      </c>
      <c r="O530" s="17">
        <f>Github!Q$643</f>
        <v>225351</v>
      </c>
    </row>
    <row r="531" ht="18.0" customHeight="1">
      <c r="A531" s="17">
        <f>Github!J$177</f>
        <v>176</v>
      </c>
      <c r="B531" s="27" t="str">
        <f>HYPERLINK(CONCAT("http://leetcode.com/problems/",Github!C$177), Github!B$177)</f>
        <v>Second Highest Salary</v>
      </c>
      <c r="C531" s="17">
        <f>Github!F$177</f>
        <v>1691</v>
      </c>
      <c r="D531" s="17">
        <f>Github!G$177</f>
        <v>687</v>
      </c>
      <c r="E531" s="17">
        <f>Github!F$177+Github!G$177</f>
        <v>2378</v>
      </c>
      <c r="F531" s="18">
        <f t="shared" si="1"/>
        <v>2.46</v>
      </c>
      <c r="G531" s="17" t="str">
        <f>Github!H$177</f>
        <v>Database</v>
      </c>
      <c r="H531" s="19" t="str">
        <f>SUBSTITUTE(Github!L$177, ";", ", ")</f>
        <v>Database, </v>
      </c>
      <c r="I531" s="17" t="str">
        <f>Github!E$177</f>
        <v>Medium</v>
      </c>
      <c r="J531" s="17" t="str">
        <f>IF(TRIM(Github!D$177)="TRUE","FALSE","TRUE")</f>
        <v>TRUE</v>
      </c>
      <c r="K531" s="17" t="b">
        <f>Github!M$177</f>
        <v>1</v>
      </c>
      <c r="L531" s="17" t="b">
        <f>Github!N$177</f>
        <v>0</v>
      </c>
      <c r="M531" s="17" t="str">
        <f>ROUND(Github!O$177, 2)&amp;"%"</f>
        <v>35.07%</v>
      </c>
      <c r="N531" s="17">
        <f>Github!P$177</f>
        <v>446801</v>
      </c>
      <c r="O531" s="17">
        <f>Github!Q$177</f>
        <v>1274018</v>
      </c>
    </row>
    <row r="532" ht="18.0" customHeight="1">
      <c r="A532" s="17">
        <f>Github!J$930</f>
        <v>929</v>
      </c>
      <c r="B532" s="27" t="str">
        <f>HYPERLINK(CONCAT("http://leetcode.com/problems/",Github!C$930), Github!B$930)</f>
        <v>Unique Email Addresses</v>
      </c>
      <c r="C532" s="17">
        <f>Github!F$930</f>
        <v>1689</v>
      </c>
      <c r="D532" s="17">
        <f>Github!G$930</f>
        <v>241</v>
      </c>
      <c r="E532" s="17">
        <f>Github!F$930+Github!G$930</f>
        <v>1930</v>
      </c>
      <c r="F532" s="18">
        <f t="shared" si="1"/>
        <v>7.01</v>
      </c>
      <c r="G532" s="17" t="str">
        <f>Github!H$930</f>
        <v>Algorithms</v>
      </c>
      <c r="H532" s="19" t="str">
        <f>SUBSTITUTE(Github!L$930, ";", ", ")</f>
        <v>Array, Hash Table, String, </v>
      </c>
      <c r="I532" s="17" t="str">
        <f>Github!E$930</f>
        <v>Easy</v>
      </c>
      <c r="J532" s="17" t="str">
        <f>IF(TRIM(Github!D$930)="TRUE","FALSE","TRUE")</f>
        <v>TRUE</v>
      </c>
      <c r="K532" s="17" t="b">
        <f>Github!M$930</f>
        <v>1</v>
      </c>
      <c r="L532" s="17" t="b">
        <f>Github!N$930</f>
        <v>0</v>
      </c>
      <c r="M532" s="17" t="str">
        <f>ROUND(Github!O$930, 2)&amp;"%"</f>
        <v>67.38%</v>
      </c>
      <c r="N532" s="17">
        <f>Github!P$930</f>
        <v>340795</v>
      </c>
      <c r="O532" s="17">
        <f>Github!Q$930</f>
        <v>505754</v>
      </c>
    </row>
    <row r="533" ht="18.0" customHeight="1">
      <c r="A533" s="17">
        <f>Github!J$1642</f>
        <v>1641</v>
      </c>
      <c r="B533" s="27" t="str">
        <f>HYPERLINK(CONCAT("http://leetcode.com/problems/",Github!C$1642), Github!B$1642)</f>
        <v>Count Sorted Vowel Strings</v>
      </c>
      <c r="C533" s="17">
        <f>Github!F$1642</f>
        <v>1684</v>
      </c>
      <c r="D533" s="17">
        <f>Github!G$1642</f>
        <v>37</v>
      </c>
      <c r="E533" s="17">
        <f>Github!F$1642+Github!G$1642</f>
        <v>1721</v>
      </c>
      <c r="F533" s="18">
        <f t="shared" si="1"/>
        <v>45.51</v>
      </c>
      <c r="G533" s="17" t="str">
        <f>Github!H$1642</f>
        <v>Algorithms</v>
      </c>
      <c r="H533" s="19" t="str">
        <f>SUBSTITUTE(Github!L$1642, ";", ", ")</f>
        <v>Dynamic Programming, </v>
      </c>
      <c r="I533" s="17" t="str">
        <f>Github!E$1642</f>
        <v>Medium</v>
      </c>
      <c r="J533" s="17" t="str">
        <f>IF(TRIM(Github!D$1642)="TRUE","FALSE","TRUE")</f>
        <v>TRUE</v>
      </c>
      <c r="K533" s="17" t="b">
        <f>Github!M$1642</f>
        <v>1</v>
      </c>
      <c r="L533" s="17" t="b">
        <f>Github!N$1642</f>
        <v>0</v>
      </c>
      <c r="M533" s="17" t="str">
        <f>ROUND(Github!O$1642, 2)&amp;"%"</f>
        <v>74.78%</v>
      </c>
      <c r="N533" s="17">
        <f>Github!P$1642</f>
        <v>80190</v>
      </c>
      <c r="O533" s="17">
        <f>Github!Q$1642</f>
        <v>107240</v>
      </c>
    </row>
    <row r="534" ht="18.0" customHeight="1">
      <c r="A534" s="17">
        <f>Github!J$383</f>
        <v>382</v>
      </c>
      <c r="B534" s="27" t="str">
        <f>HYPERLINK(CONCAT("http://leetcode.com/problems/",Github!C$383), Github!B$383)</f>
        <v>Linked List Random Node</v>
      </c>
      <c r="C534" s="17">
        <f>Github!F$383</f>
        <v>1682</v>
      </c>
      <c r="D534" s="17">
        <f>Github!G$383</f>
        <v>428</v>
      </c>
      <c r="E534" s="17">
        <f>Github!F$383+Github!G$383</f>
        <v>2110</v>
      </c>
      <c r="F534" s="18">
        <f t="shared" si="1"/>
        <v>3.93</v>
      </c>
      <c r="G534" s="17" t="str">
        <f>Github!H$383</f>
        <v>Algorithms</v>
      </c>
      <c r="H534" s="19" t="str">
        <f>SUBSTITUTE(Github!L$383, ";", ", ")</f>
        <v>Linked List, Math, Reservoir Sampling, Randomized, </v>
      </c>
      <c r="I534" s="17" t="str">
        <f>Github!E$383</f>
        <v>Medium</v>
      </c>
      <c r="J534" s="17" t="str">
        <f>IF(TRIM(Github!D$383)="TRUE","FALSE","TRUE")</f>
        <v>TRUE</v>
      </c>
      <c r="K534" s="17" t="b">
        <f>Github!M$383</f>
        <v>1</v>
      </c>
      <c r="L534" s="17" t="b">
        <f>Github!N$383</f>
        <v>0</v>
      </c>
      <c r="M534" s="17" t="str">
        <f>ROUND(Github!O$383, 2)&amp;"%"</f>
        <v>58.81%</v>
      </c>
      <c r="N534" s="17">
        <f>Github!P$383</f>
        <v>148815</v>
      </c>
      <c r="O534" s="17">
        <f>Github!Q$383</f>
        <v>253028</v>
      </c>
    </row>
    <row r="535" ht="18.0" customHeight="1">
      <c r="A535" s="17">
        <f>Github!J$1240</f>
        <v>1239</v>
      </c>
      <c r="B535" s="27" t="str">
        <f>HYPERLINK(CONCAT("http://leetcode.com/problems/",Github!C$1240), Github!B$1240)</f>
        <v>Maximum Length of a Concatenated String with Unique Characters</v>
      </c>
      <c r="C535" s="17">
        <f>Github!F$1240</f>
        <v>1672</v>
      </c>
      <c r="D535" s="17">
        <f>Github!G$1240</f>
        <v>151</v>
      </c>
      <c r="E535" s="17">
        <f>Github!F$1240+Github!G$1240</f>
        <v>1823</v>
      </c>
      <c r="F535" s="18">
        <f t="shared" si="1"/>
        <v>11.07</v>
      </c>
      <c r="G535" s="17" t="str">
        <f>Github!H$1240</f>
        <v>Algorithms</v>
      </c>
      <c r="H535" s="19" t="str">
        <f>SUBSTITUTE(Github!L$1240, ";", ", ")</f>
        <v>Array, String, Backtracking, Bit Manipulation, </v>
      </c>
      <c r="I535" s="17" t="str">
        <f>Github!E$1240</f>
        <v>Medium</v>
      </c>
      <c r="J535" s="17" t="str">
        <f>IF(TRIM(Github!D$1240)="TRUE","FALSE","TRUE")</f>
        <v>TRUE</v>
      </c>
      <c r="K535" s="17" t="b">
        <f>Github!M$1240</f>
        <v>1</v>
      </c>
      <c r="L535" s="17" t="b">
        <f>Github!N$1240</f>
        <v>0</v>
      </c>
      <c r="M535" s="17" t="str">
        <f>ROUND(Github!O$1240, 2)&amp;"%"</f>
        <v>50.6%</v>
      </c>
      <c r="N535" s="17">
        <f>Github!P$1240</f>
        <v>102974</v>
      </c>
      <c r="O535" s="17">
        <f>Github!Q$1240</f>
        <v>203494</v>
      </c>
    </row>
    <row r="536" ht="18.0" customHeight="1">
      <c r="A536" s="17">
        <f>Github!J$695</f>
        <v>694</v>
      </c>
      <c r="B536" s="27" t="str">
        <f>HYPERLINK(CONCAT("http://leetcode.com/problems/",Github!C$695), Github!B$695)</f>
        <v>Number of Distinct Islands</v>
      </c>
      <c r="C536" s="17">
        <f>Github!F$695</f>
        <v>1671</v>
      </c>
      <c r="D536" s="17">
        <f>Github!G$695</f>
        <v>95</v>
      </c>
      <c r="E536" s="17">
        <f>Github!F$695+Github!G$695</f>
        <v>1766</v>
      </c>
      <c r="F536" s="18">
        <f t="shared" si="1"/>
        <v>17.59</v>
      </c>
      <c r="G536" s="17" t="str">
        <f>Github!H$695</f>
        <v>Algorithms</v>
      </c>
      <c r="H536" s="19" t="str">
        <f>SUBSTITUTE(Github!L$695, ";", ", ")</f>
        <v>Hash Table, Depth-First Search, Breadth-First Search, Union Find, Hash Function, </v>
      </c>
      <c r="I536" s="17" t="str">
        <f>Github!E$695</f>
        <v>Medium</v>
      </c>
      <c r="J536" s="17" t="str">
        <f>IF(TRIM(Github!D$695)="TRUE","FALSE","TRUE")</f>
        <v>FALSE</v>
      </c>
      <c r="K536" s="17" t="b">
        <f>Github!M$695</f>
        <v>1</v>
      </c>
      <c r="L536" s="17" t="b">
        <f>Github!N$695</f>
        <v>1</v>
      </c>
      <c r="M536" s="17" t="str">
        <f>ROUND(Github!O$695, 2)&amp;"%"</f>
        <v>59.51%</v>
      </c>
      <c r="N536" s="17">
        <f>Github!P$695</f>
        <v>116970</v>
      </c>
      <c r="O536" s="17">
        <f>Github!Q$695</f>
        <v>196550</v>
      </c>
    </row>
    <row r="537" ht="18.0" customHeight="1">
      <c r="A537" s="17">
        <f>Github!J$1354</f>
        <v>1353</v>
      </c>
      <c r="B537" s="27" t="str">
        <f>HYPERLINK(CONCAT("http://leetcode.com/problems/",Github!C$1354), Github!B$1354)</f>
        <v>Maximum Number of Events That Can Be Attended</v>
      </c>
      <c r="C537" s="17">
        <f>Github!F$1354</f>
        <v>1667</v>
      </c>
      <c r="D537" s="17">
        <f>Github!G$1354</f>
        <v>233</v>
      </c>
      <c r="E537" s="17">
        <f>Github!F$1354+Github!G$1354</f>
        <v>1900</v>
      </c>
      <c r="F537" s="18">
        <f t="shared" si="1"/>
        <v>7.15</v>
      </c>
      <c r="G537" s="17" t="str">
        <f>Github!H$1354</f>
        <v>Algorithms</v>
      </c>
      <c r="H537" s="19" t="str">
        <f>SUBSTITUTE(Github!L$1354, ";", ", ")</f>
        <v>Array, Greedy, Heap (Priority Queue), </v>
      </c>
      <c r="I537" s="17" t="str">
        <f>Github!E$1354</f>
        <v>Medium</v>
      </c>
      <c r="J537" s="17" t="str">
        <f>IF(TRIM(Github!D$1354)="TRUE","FALSE","TRUE")</f>
        <v>TRUE</v>
      </c>
      <c r="K537" s="17" t="b">
        <f>Github!M$1354</f>
        <v>0</v>
      </c>
      <c r="L537" s="17" t="b">
        <f>Github!N$1354</f>
        <v>0</v>
      </c>
      <c r="M537" s="17" t="str">
        <f>ROUND(Github!O$1354, 2)&amp;"%"</f>
        <v>33.32%</v>
      </c>
      <c r="N537" s="17">
        <f>Github!P$1354</f>
        <v>51705</v>
      </c>
      <c r="O537" s="17">
        <f>Github!Q$1354</f>
        <v>155162</v>
      </c>
    </row>
    <row r="538" ht="18.0" customHeight="1">
      <c r="A538" s="17">
        <f>Github!J$923</f>
        <v>922</v>
      </c>
      <c r="B538" s="27" t="str">
        <f>HYPERLINK(CONCAT("http://leetcode.com/problems/",Github!C$923), Github!B$923)</f>
        <v>Sort Array By Parity II</v>
      </c>
      <c r="C538" s="17">
        <f>Github!F$923</f>
        <v>1661</v>
      </c>
      <c r="D538" s="17">
        <f>Github!G$923</f>
        <v>70</v>
      </c>
      <c r="E538" s="17">
        <f>Github!F$923+Github!G$923</f>
        <v>1731</v>
      </c>
      <c r="F538" s="18">
        <f t="shared" si="1"/>
        <v>23.73</v>
      </c>
      <c r="G538" s="17" t="str">
        <f>Github!H$923</f>
        <v>Algorithms</v>
      </c>
      <c r="H538" s="19" t="str">
        <f>SUBSTITUTE(Github!L$923, ";", ", ")</f>
        <v>Array, Two Pointers, Sorting, </v>
      </c>
      <c r="I538" s="17" t="str">
        <f>Github!E$923</f>
        <v>Easy</v>
      </c>
      <c r="J538" s="17" t="str">
        <f>IF(TRIM(Github!D$923)="TRUE","FALSE","TRUE")</f>
        <v>TRUE</v>
      </c>
      <c r="K538" s="17" t="b">
        <f>Github!M$923</f>
        <v>1</v>
      </c>
      <c r="L538" s="17" t="b">
        <f>Github!N$923</f>
        <v>1</v>
      </c>
      <c r="M538" s="17" t="str">
        <f>ROUND(Github!O$923, 2)&amp;"%"</f>
        <v>70.63%</v>
      </c>
      <c r="N538" s="17">
        <f>Github!P$923</f>
        <v>178400</v>
      </c>
      <c r="O538" s="17">
        <f>Github!Q$923</f>
        <v>252603</v>
      </c>
    </row>
    <row r="539" ht="18.0" customHeight="1">
      <c r="A539" s="17">
        <f>Github!J$1383</f>
        <v>1382</v>
      </c>
      <c r="B539" s="27" t="str">
        <f>HYPERLINK(CONCAT("http://leetcode.com/problems/",Github!C$1383), Github!B$1383)</f>
        <v>Balance a Binary Search Tree</v>
      </c>
      <c r="C539" s="17">
        <f>Github!F$1383</f>
        <v>1664</v>
      </c>
      <c r="D539" s="17">
        <f>Github!G$1383</f>
        <v>54</v>
      </c>
      <c r="E539" s="17">
        <f>Github!F$1383+Github!G$1383</f>
        <v>1718</v>
      </c>
      <c r="F539" s="18">
        <f t="shared" si="1"/>
        <v>30.81</v>
      </c>
      <c r="G539" s="17" t="str">
        <f>Github!H$1383</f>
        <v>Algorithms</v>
      </c>
      <c r="H539" s="19" t="str">
        <f>SUBSTITUTE(Github!L$1383, ";", ", ")</f>
        <v>Divide and Conquer, Greedy, Tree, Depth-First Search, Binary Search Tree, Binary Tree, </v>
      </c>
      <c r="I539" s="17" t="str">
        <f>Github!E$1383</f>
        <v>Medium</v>
      </c>
      <c r="J539" s="17" t="str">
        <f>IF(TRIM(Github!D$1383)="TRUE","FALSE","TRUE")</f>
        <v>TRUE</v>
      </c>
      <c r="K539" s="17" t="b">
        <f>Github!M$1383</f>
        <v>0</v>
      </c>
      <c r="L539" s="17" t="b">
        <f>Github!N$1383</f>
        <v>0</v>
      </c>
      <c r="M539" s="17" t="str">
        <f>ROUND(Github!O$1383, 2)&amp;"%"</f>
        <v>80.15%</v>
      </c>
      <c r="N539" s="17">
        <f>Github!P$1383</f>
        <v>85301</v>
      </c>
      <c r="O539" s="17">
        <f>Github!Q$1383</f>
        <v>106429</v>
      </c>
    </row>
    <row r="540" ht="18.0" customHeight="1">
      <c r="A540" s="17">
        <f>Github!J$1673</f>
        <v>1672</v>
      </c>
      <c r="B540" s="27" t="str">
        <f>HYPERLINK(CONCAT("http://leetcode.com/problems/",Github!C$1673), Github!B$1673)</f>
        <v>Richest Customer Wealth</v>
      </c>
      <c r="C540" s="17">
        <f>Github!F$1673</f>
        <v>1660</v>
      </c>
      <c r="D540" s="17">
        <f>Github!G$1673</f>
        <v>249</v>
      </c>
      <c r="E540" s="17">
        <f>Github!F$1673+Github!G$1673</f>
        <v>1909</v>
      </c>
      <c r="F540" s="18">
        <f t="shared" si="1"/>
        <v>6.67</v>
      </c>
      <c r="G540" s="17" t="str">
        <f>Github!H$1673</f>
        <v>Algorithms</v>
      </c>
      <c r="H540" s="19" t="str">
        <f>SUBSTITUTE(Github!L$1673, ";", ", ")</f>
        <v>Array, Matrix, </v>
      </c>
      <c r="I540" s="17" t="str">
        <f>Github!E$1673</f>
        <v>Easy</v>
      </c>
      <c r="J540" s="17" t="str">
        <f>IF(TRIM(Github!D$1673)="TRUE","FALSE","TRUE")</f>
        <v>TRUE</v>
      </c>
      <c r="K540" s="17" t="b">
        <f>Github!M$1673</f>
        <v>1</v>
      </c>
      <c r="L540" s="17" t="b">
        <f>Github!N$1673</f>
        <v>0</v>
      </c>
      <c r="M540" s="17" t="str">
        <f>ROUND(Github!O$1673, 2)&amp;"%"</f>
        <v>89.35%</v>
      </c>
      <c r="N540" s="17">
        <f>Github!P$1673</f>
        <v>256598</v>
      </c>
      <c r="O540" s="17">
        <f>Github!Q$1673</f>
        <v>287175</v>
      </c>
    </row>
    <row r="541" ht="18.0" customHeight="1">
      <c r="A541" s="17">
        <f>Github!J$319</f>
        <v>318</v>
      </c>
      <c r="B541" s="27" t="str">
        <f>HYPERLINK(CONCAT("http://leetcode.com/problems/",Github!C$319), Github!B$319)</f>
        <v>Maximum Product of Word Lengths</v>
      </c>
      <c r="C541" s="17">
        <f>Github!F$319</f>
        <v>1657</v>
      </c>
      <c r="D541" s="17">
        <f>Github!G$319</f>
        <v>93</v>
      </c>
      <c r="E541" s="17">
        <f>Github!F$319+Github!G$319</f>
        <v>1750</v>
      </c>
      <c r="F541" s="18">
        <f t="shared" si="1"/>
        <v>17.82</v>
      </c>
      <c r="G541" s="17" t="str">
        <f>Github!H$319</f>
        <v>Algorithms</v>
      </c>
      <c r="H541" s="19" t="str">
        <f>SUBSTITUTE(Github!L$319, ";", ", ")</f>
        <v>Array, String, Bit Manipulation, </v>
      </c>
      <c r="I541" s="17" t="str">
        <f>Github!E$319</f>
        <v>Medium</v>
      </c>
      <c r="J541" s="17" t="str">
        <f>IF(TRIM(Github!D$319)="TRUE","FALSE","TRUE")</f>
        <v>TRUE</v>
      </c>
      <c r="K541" s="17" t="b">
        <f>Github!M$319</f>
        <v>1</v>
      </c>
      <c r="L541" s="17" t="b">
        <f>Github!N$319</f>
        <v>0</v>
      </c>
      <c r="M541" s="17" t="str">
        <f>ROUND(Github!O$319, 2)&amp;"%"</f>
        <v>56.46%</v>
      </c>
      <c r="N541" s="17">
        <f>Github!P$319</f>
        <v>140785</v>
      </c>
      <c r="O541" s="17">
        <f>Github!Q$319</f>
        <v>249354</v>
      </c>
    </row>
    <row r="542" ht="18.0" customHeight="1">
      <c r="A542" s="17">
        <f>Github!J$69</f>
        <v>68</v>
      </c>
      <c r="B542" s="27" t="str">
        <f>HYPERLINK(CONCAT("http://leetcode.com/problems/",Github!C$69), Github!B$69)</f>
        <v>Text Justification</v>
      </c>
      <c r="C542" s="17">
        <f>Github!F$69</f>
        <v>1649</v>
      </c>
      <c r="D542" s="17">
        <f>Github!G$69</f>
        <v>2758</v>
      </c>
      <c r="E542" s="17">
        <f>Github!F$69+Github!G$69</f>
        <v>4407</v>
      </c>
      <c r="F542" s="18">
        <f t="shared" si="1"/>
        <v>0.6</v>
      </c>
      <c r="G542" s="17" t="str">
        <f>Github!H$69</f>
        <v>Algorithms</v>
      </c>
      <c r="H542" s="19" t="str">
        <f>SUBSTITUTE(Github!L$69, ";", ", ")</f>
        <v>Array, String, Simulation, </v>
      </c>
      <c r="I542" s="17" t="str">
        <f>Github!E$69</f>
        <v>Hard</v>
      </c>
      <c r="J542" s="17" t="str">
        <f>IF(TRIM(Github!D$69)="TRUE","FALSE","TRUE")</f>
        <v>TRUE</v>
      </c>
      <c r="K542" s="17" t="b">
        <f>Github!M$69</f>
        <v>0</v>
      </c>
      <c r="L542" s="17" t="b">
        <f>Github!N$69</f>
        <v>0</v>
      </c>
      <c r="M542" s="17" t="str">
        <f>ROUND(Github!O$69, 2)&amp;"%"</f>
        <v>34.57%</v>
      </c>
      <c r="N542" s="17">
        <f>Github!P$69</f>
        <v>233660</v>
      </c>
      <c r="O542" s="17">
        <f>Github!Q$69</f>
        <v>675869</v>
      </c>
    </row>
    <row r="543" ht="18.0" customHeight="1">
      <c r="A543" s="17">
        <f>Github!J$160</f>
        <v>159</v>
      </c>
      <c r="B543" s="27" t="str">
        <f>HYPERLINK(CONCAT("http://leetcode.com/problems/",Github!C$160), Github!B$160)</f>
        <v>Longest Substring with At Most Two Distinct Characters</v>
      </c>
      <c r="C543" s="17">
        <f>Github!F$160</f>
        <v>1646</v>
      </c>
      <c r="D543" s="17">
        <f>Github!G$160</f>
        <v>25</v>
      </c>
      <c r="E543" s="17">
        <f>Github!F$160+Github!G$160</f>
        <v>1671</v>
      </c>
      <c r="F543" s="18">
        <f t="shared" si="1"/>
        <v>65.84</v>
      </c>
      <c r="G543" s="17" t="str">
        <f>Github!H$160</f>
        <v>Algorithms</v>
      </c>
      <c r="H543" s="19" t="str">
        <f>SUBSTITUTE(Github!L$160, ";", ", ")</f>
        <v>Hash Table, String, Sliding Window, </v>
      </c>
      <c r="I543" s="17" t="str">
        <f>Github!E$160</f>
        <v>Medium</v>
      </c>
      <c r="J543" s="17" t="str">
        <f>IF(TRIM(Github!D$160)="TRUE","FALSE","TRUE")</f>
        <v>FALSE</v>
      </c>
      <c r="K543" s="17" t="b">
        <f>Github!M$160</f>
        <v>1</v>
      </c>
      <c r="L543" s="17" t="b">
        <f>Github!N$160</f>
        <v>1</v>
      </c>
      <c r="M543" s="17" t="str">
        <f>ROUND(Github!O$160, 2)&amp;"%"</f>
        <v>52.46%</v>
      </c>
      <c r="N543" s="17">
        <f>Github!P$160</f>
        <v>184345</v>
      </c>
      <c r="O543" s="17">
        <f>Github!Q$160</f>
        <v>351413</v>
      </c>
    </row>
    <row r="544" ht="18.0" customHeight="1">
      <c r="A544" s="17">
        <f>Github!J$808</f>
        <v>807</v>
      </c>
      <c r="B544" s="27" t="str">
        <f>HYPERLINK(CONCAT("http://leetcode.com/problems/",Github!C$808), Github!B$808)</f>
        <v>Max Increase to Keep City Skyline</v>
      </c>
      <c r="C544" s="17">
        <f>Github!F$808</f>
        <v>1634</v>
      </c>
      <c r="D544" s="17">
        <f>Github!G$808</f>
        <v>407</v>
      </c>
      <c r="E544" s="17">
        <f>Github!F$808+Github!G$808</f>
        <v>2041</v>
      </c>
      <c r="F544" s="18">
        <f t="shared" si="1"/>
        <v>4.01</v>
      </c>
      <c r="G544" s="17" t="str">
        <f>Github!H$808</f>
        <v>Algorithms</v>
      </c>
      <c r="H544" s="19" t="str">
        <f>SUBSTITUTE(Github!L$808, ";", ", ")</f>
        <v>Array, Greedy, Matrix, </v>
      </c>
      <c r="I544" s="17" t="str">
        <f>Github!E$808</f>
        <v>Medium</v>
      </c>
      <c r="J544" s="17" t="str">
        <f>IF(TRIM(Github!D$808)="TRUE","FALSE","TRUE")</f>
        <v>TRUE</v>
      </c>
      <c r="K544" s="17" t="b">
        <f>Github!M$808</f>
        <v>1</v>
      </c>
      <c r="L544" s="17" t="b">
        <f>Github!N$808</f>
        <v>0</v>
      </c>
      <c r="M544" s="17" t="str">
        <f>ROUND(Github!O$808, 2)&amp;"%"</f>
        <v>85.4%</v>
      </c>
      <c r="N544" s="17">
        <f>Github!P$808</f>
        <v>120488</v>
      </c>
      <c r="O544" s="17">
        <f>Github!Q$808</f>
        <v>141085</v>
      </c>
    </row>
    <row r="545" ht="18.0" customHeight="1">
      <c r="A545" s="17">
        <f>Github!J$1316</f>
        <v>1315</v>
      </c>
      <c r="B545" s="27" t="str">
        <f>HYPERLINK(CONCAT("http://leetcode.com/problems/",Github!C$1316), Github!B$1316)</f>
        <v>Sum of Nodes with Even-Valued Grandparent</v>
      </c>
      <c r="C545" s="17">
        <f>Github!F$1316</f>
        <v>1626</v>
      </c>
      <c r="D545" s="17">
        <f>Github!G$1316</f>
        <v>54</v>
      </c>
      <c r="E545" s="17">
        <f>Github!F$1316+Github!G$1316</f>
        <v>1680</v>
      </c>
      <c r="F545" s="18">
        <f t="shared" si="1"/>
        <v>30.11</v>
      </c>
      <c r="G545" s="17" t="str">
        <f>Github!H$1316</f>
        <v>Algorithms</v>
      </c>
      <c r="H545" s="19" t="str">
        <f>SUBSTITUTE(Github!L$1316, ";", ", ")</f>
        <v>Tree, Depth-First Search, Breadth-First Search, Binary Tree, </v>
      </c>
      <c r="I545" s="17" t="str">
        <f>Github!E$1316</f>
        <v>Medium</v>
      </c>
      <c r="J545" s="17" t="str">
        <f>IF(TRIM(Github!D$1316)="TRUE","FALSE","TRUE")</f>
        <v>TRUE</v>
      </c>
      <c r="K545" s="17" t="b">
        <f>Github!M$1316</f>
        <v>0</v>
      </c>
      <c r="L545" s="17" t="b">
        <f>Github!N$1316</f>
        <v>0</v>
      </c>
      <c r="M545" s="17" t="str">
        <f>ROUND(Github!O$1316, 2)&amp;"%"</f>
        <v>85.13%</v>
      </c>
      <c r="N545" s="17">
        <f>Github!P$1316</f>
        <v>95470</v>
      </c>
      <c r="O545" s="17">
        <f>Github!Q$1316</f>
        <v>112144</v>
      </c>
    </row>
    <row r="546" ht="18.0" customHeight="1">
      <c r="A546" s="17">
        <f>Github!J$658</f>
        <v>657</v>
      </c>
      <c r="B546" s="27" t="str">
        <f>HYPERLINK(CONCAT("http://leetcode.com/problems/",Github!C$658), Github!B$658)</f>
        <v>Robot Return to Origin</v>
      </c>
      <c r="C546" s="17">
        <f>Github!F$658</f>
        <v>1624</v>
      </c>
      <c r="D546" s="17">
        <f>Github!G$658</f>
        <v>712</v>
      </c>
      <c r="E546" s="17">
        <f>Github!F$658+Github!G$658</f>
        <v>2336</v>
      </c>
      <c r="F546" s="18">
        <f t="shared" si="1"/>
        <v>2.28</v>
      </c>
      <c r="G546" s="17" t="str">
        <f>Github!H$658</f>
        <v>Algorithms</v>
      </c>
      <c r="H546" s="19" t="str">
        <f>SUBSTITUTE(Github!L$658, ";", ", ")</f>
        <v>String, Simulation, </v>
      </c>
      <c r="I546" s="17" t="str">
        <f>Github!E$658</f>
        <v>Easy</v>
      </c>
      <c r="J546" s="17" t="str">
        <f>IF(TRIM(Github!D$658)="TRUE","FALSE","TRUE")</f>
        <v>TRUE</v>
      </c>
      <c r="K546" s="17" t="b">
        <f>Github!M$658</f>
        <v>1</v>
      </c>
      <c r="L546" s="17" t="b">
        <f>Github!N$658</f>
        <v>0</v>
      </c>
      <c r="M546" s="17" t="str">
        <f>ROUND(Github!O$658, 2)&amp;"%"</f>
        <v>74.97%</v>
      </c>
      <c r="N546" s="17">
        <f>Github!P$658</f>
        <v>322638</v>
      </c>
      <c r="O546" s="17">
        <f>Github!Q$658</f>
        <v>430336</v>
      </c>
    </row>
    <row r="547" ht="18.0" customHeight="1">
      <c r="A547" s="17">
        <f>Github!J$332</f>
        <v>331</v>
      </c>
      <c r="B547" s="27" t="str">
        <f>HYPERLINK(CONCAT("http://leetcode.com/problems/",Github!C$332), Github!B$332)</f>
        <v>Verify Preorder Serialization of a Binary Tree</v>
      </c>
      <c r="C547" s="17">
        <f>Github!F$332</f>
        <v>1618</v>
      </c>
      <c r="D547" s="17">
        <f>Github!G$332</f>
        <v>80</v>
      </c>
      <c r="E547" s="17">
        <f>Github!F$332+Github!G$332</f>
        <v>1698</v>
      </c>
      <c r="F547" s="18">
        <f t="shared" si="1"/>
        <v>20.23</v>
      </c>
      <c r="G547" s="17" t="str">
        <f>Github!H$332</f>
        <v>Algorithms</v>
      </c>
      <c r="H547" s="19" t="str">
        <f>SUBSTITUTE(Github!L$332, ";", ", ")</f>
        <v>String, Stack, Tree, Binary Tree, </v>
      </c>
      <c r="I547" s="17" t="str">
        <f>Github!E$332</f>
        <v>Medium</v>
      </c>
      <c r="J547" s="17" t="str">
        <f>IF(TRIM(Github!D$332)="TRUE","FALSE","TRUE")</f>
        <v>TRUE</v>
      </c>
      <c r="K547" s="17" t="b">
        <f>Github!M$332</f>
        <v>1</v>
      </c>
      <c r="L547" s="17" t="b">
        <f>Github!N$332</f>
        <v>0</v>
      </c>
      <c r="M547" s="17" t="str">
        <f>ROUND(Github!O$332, 2)&amp;"%"</f>
        <v>43.61%</v>
      </c>
      <c r="N547" s="17">
        <f>Github!P$332</f>
        <v>111512</v>
      </c>
      <c r="O547" s="17">
        <f>Github!Q$332</f>
        <v>255717</v>
      </c>
    </row>
    <row r="548" ht="18.0" customHeight="1">
      <c r="A548" s="17">
        <f>Github!J$1222</f>
        <v>1221</v>
      </c>
      <c r="B548" s="27" t="str">
        <f>HYPERLINK(CONCAT("http://leetcode.com/problems/",Github!C$1222), Github!B$1222)</f>
        <v>Split a String in Balanced Strings</v>
      </c>
      <c r="C548" s="17">
        <f>Github!F$1222</f>
        <v>1617</v>
      </c>
      <c r="D548" s="17">
        <f>Github!G$1222</f>
        <v>732</v>
      </c>
      <c r="E548" s="17">
        <f>Github!F$1222+Github!G$1222</f>
        <v>2349</v>
      </c>
      <c r="F548" s="18">
        <f t="shared" si="1"/>
        <v>2.21</v>
      </c>
      <c r="G548" s="17" t="str">
        <f>Github!H$1222</f>
        <v>Algorithms</v>
      </c>
      <c r="H548" s="19" t="str">
        <f>SUBSTITUTE(Github!L$1222, ";", ", ")</f>
        <v>String, Greedy, Counting, </v>
      </c>
      <c r="I548" s="17" t="str">
        <f>Github!E$1222</f>
        <v>Easy</v>
      </c>
      <c r="J548" s="17" t="str">
        <f>IF(TRIM(Github!D$1222)="TRUE","FALSE","TRUE")</f>
        <v>TRUE</v>
      </c>
      <c r="K548" s="17" t="b">
        <f>Github!M$1222</f>
        <v>0</v>
      </c>
      <c r="L548" s="17" t="b">
        <f>Github!N$1222</f>
        <v>0</v>
      </c>
      <c r="M548" s="17" t="str">
        <f>ROUND(Github!O$1222, 2)&amp;"%"</f>
        <v>84.7%</v>
      </c>
      <c r="N548" s="17">
        <f>Github!P$1222</f>
        <v>191583</v>
      </c>
      <c r="O548" s="17">
        <f>Github!Q$1222</f>
        <v>226192</v>
      </c>
    </row>
    <row r="549" ht="18.0" customHeight="1">
      <c r="A549" s="17">
        <f>Github!J$1008</f>
        <v>1007</v>
      </c>
      <c r="B549" s="27" t="str">
        <f>HYPERLINK(CONCAT("http://leetcode.com/problems/",Github!C$1008), Github!B$1008)</f>
        <v>Minimum Domino Rotations For Equal Row</v>
      </c>
      <c r="C549" s="17">
        <f>Github!F$1008</f>
        <v>1614</v>
      </c>
      <c r="D549" s="17">
        <f>Github!G$1008</f>
        <v>208</v>
      </c>
      <c r="E549" s="17">
        <f>Github!F$1008+Github!G$1008</f>
        <v>1822</v>
      </c>
      <c r="F549" s="18">
        <f t="shared" si="1"/>
        <v>7.76</v>
      </c>
      <c r="G549" s="17" t="str">
        <f>Github!H$1008</f>
        <v>Algorithms</v>
      </c>
      <c r="H549" s="19" t="str">
        <f>SUBSTITUTE(Github!L$1008, ";", ", ")</f>
        <v>Array, Greedy, </v>
      </c>
      <c r="I549" s="17" t="str">
        <f>Github!E$1008</f>
        <v>Medium</v>
      </c>
      <c r="J549" s="17" t="str">
        <f>IF(TRIM(Github!D$1008)="TRUE","FALSE","TRUE")</f>
        <v>TRUE</v>
      </c>
      <c r="K549" s="17" t="b">
        <f>Github!M$1008</f>
        <v>1</v>
      </c>
      <c r="L549" s="17" t="b">
        <f>Github!N$1008</f>
        <v>0</v>
      </c>
      <c r="M549" s="17" t="str">
        <f>ROUND(Github!O$1008, 2)&amp;"%"</f>
        <v>50.74%</v>
      </c>
      <c r="N549" s="17">
        <f>Github!P$1008</f>
        <v>140761</v>
      </c>
      <c r="O549" s="17">
        <f>Github!Q$1008</f>
        <v>277417</v>
      </c>
    </row>
    <row r="550" ht="18.0" customHeight="1">
      <c r="A550" s="17">
        <f>Github!J$1032</f>
        <v>1031</v>
      </c>
      <c r="B550" s="27" t="str">
        <f>HYPERLINK(CONCAT("http://leetcode.com/problems/",Github!C$1032), Github!B$1032)</f>
        <v>Maximum Sum of Two Non-Overlapping Subarrays</v>
      </c>
      <c r="C550" s="17">
        <f>Github!F$1032</f>
        <v>1605</v>
      </c>
      <c r="D550" s="17">
        <f>Github!G$1032</f>
        <v>69</v>
      </c>
      <c r="E550" s="17">
        <f>Github!F$1032+Github!G$1032</f>
        <v>1674</v>
      </c>
      <c r="F550" s="18">
        <f t="shared" si="1"/>
        <v>23.26</v>
      </c>
      <c r="G550" s="17" t="str">
        <f>Github!H$1032</f>
        <v>Algorithms</v>
      </c>
      <c r="H550" s="19" t="str">
        <f>SUBSTITUTE(Github!L$1032, ";", ", ")</f>
        <v>Array, Dynamic Programming, Sliding Window, </v>
      </c>
      <c r="I550" s="17" t="str">
        <f>Github!E$1032</f>
        <v>Medium</v>
      </c>
      <c r="J550" s="17" t="str">
        <f>IF(TRIM(Github!D$1032)="TRUE","FALSE","TRUE")</f>
        <v>TRUE</v>
      </c>
      <c r="K550" s="17" t="b">
        <f>Github!M$1032</f>
        <v>0</v>
      </c>
      <c r="L550" s="17" t="b">
        <f>Github!N$1032</f>
        <v>0</v>
      </c>
      <c r="M550" s="17" t="str">
        <f>ROUND(Github!O$1032, 2)&amp;"%"</f>
        <v>59.36%</v>
      </c>
      <c r="N550" s="17">
        <f>Github!P$1032</f>
        <v>47841</v>
      </c>
      <c r="O550" s="17">
        <f>Github!Q$1032</f>
        <v>80590</v>
      </c>
    </row>
    <row r="551" ht="18.0" customHeight="1">
      <c r="A551" s="17">
        <f>Github!J$675</f>
        <v>674</v>
      </c>
      <c r="B551" s="27" t="str">
        <f>HYPERLINK(CONCAT("http://leetcode.com/problems/",Github!C$675), Github!B$675)</f>
        <v>Longest Continuous Increasing Subsequence</v>
      </c>
      <c r="C551" s="17">
        <f>Github!F$675</f>
        <v>1603</v>
      </c>
      <c r="D551" s="17">
        <f>Github!G$675</f>
        <v>160</v>
      </c>
      <c r="E551" s="17">
        <f>Github!F$675+Github!G$675</f>
        <v>1763</v>
      </c>
      <c r="F551" s="18">
        <f t="shared" si="1"/>
        <v>10.02</v>
      </c>
      <c r="G551" s="17" t="str">
        <f>Github!H$675</f>
        <v>Algorithms</v>
      </c>
      <c r="H551" s="19" t="str">
        <f>SUBSTITUTE(Github!L$675, ";", ", ")</f>
        <v>Array, </v>
      </c>
      <c r="I551" s="17" t="str">
        <f>Github!E$675</f>
        <v>Easy</v>
      </c>
      <c r="J551" s="17" t="str">
        <f>IF(TRIM(Github!D$675)="TRUE","FALSE","TRUE")</f>
        <v>TRUE</v>
      </c>
      <c r="K551" s="17" t="b">
        <f>Github!M$675</f>
        <v>1</v>
      </c>
      <c r="L551" s="17" t="b">
        <f>Github!N$675</f>
        <v>0</v>
      </c>
      <c r="M551" s="17" t="str">
        <f>ROUND(Github!O$675, 2)&amp;"%"</f>
        <v>48.18%</v>
      </c>
      <c r="N551" s="17">
        <f>Github!P$675</f>
        <v>186427</v>
      </c>
      <c r="O551" s="17">
        <f>Github!Q$675</f>
        <v>386954</v>
      </c>
    </row>
    <row r="552" ht="18.0" customHeight="1">
      <c r="A552" s="17">
        <f>Github!J$1255</f>
        <v>1254</v>
      </c>
      <c r="B552" s="27" t="str">
        <f>HYPERLINK(CONCAT("http://leetcode.com/problems/",Github!C$1255), Github!B$1255)</f>
        <v>Number of Closed Islands</v>
      </c>
      <c r="C552" s="17">
        <f>Github!F$1255</f>
        <v>1607</v>
      </c>
      <c r="D552" s="17">
        <f>Github!G$1255</f>
        <v>35</v>
      </c>
      <c r="E552" s="17">
        <f>Github!F$1255+Github!G$1255</f>
        <v>1642</v>
      </c>
      <c r="F552" s="18">
        <f t="shared" si="1"/>
        <v>45.91</v>
      </c>
      <c r="G552" s="17" t="str">
        <f>Github!H$1255</f>
        <v>Algorithms</v>
      </c>
      <c r="H552" s="19" t="str">
        <f>SUBSTITUTE(Github!L$1255, ";", ", ")</f>
        <v>Array, Depth-First Search, Breadth-First Search, Union Find, Matrix, </v>
      </c>
      <c r="I552" s="17" t="str">
        <f>Github!E$1255</f>
        <v>Medium</v>
      </c>
      <c r="J552" s="17" t="str">
        <f>IF(TRIM(Github!D$1255)="TRUE","FALSE","TRUE")</f>
        <v>TRUE</v>
      </c>
      <c r="K552" s="17" t="b">
        <f>Github!M$1255</f>
        <v>0</v>
      </c>
      <c r="L552" s="17" t="b">
        <f>Github!N$1255</f>
        <v>0</v>
      </c>
      <c r="M552" s="17" t="str">
        <f>ROUND(Github!O$1255, 2)&amp;"%"</f>
        <v>63.09%</v>
      </c>
      <c r="N552" s="17">
        <f>Github!P$1255</f>
        <v>77337</v>
      </c>
      <c r="O552" s="17">
        <f>Github!Q$1255</f>
        <v>122588</v>
      </c>
    </row>
    <row r="553" ht="18.0" customHeight="1">
      <c r="A553" s="17">
        <f>Github!J$943</f>
        <v>942</v>
      </c>
      <c r="B553" s="27" t="str">
        <f>HYPERLINK(CONCAT("http://leetcode.com/problems/",Github!C$943), Github!B$943)</f>
        <v>DI String Match</v>
      </c>
      <c r="C553" s="17">
        <f>Github!F$943</f>
        <v>1604</v>
      </c>
      <c r="D553" s="17">
        <f>Github!G$943</f>
        <v>632</v>
      </c>
      <c r="E553" s="17">
        <f>Github!F$943+Github!G$943</f>
        <v>2236</v>
      </c>
      <c r="F553" s="18">
        <f t="shared" si="1"/>
        <v>2.54</v>
      </c>
      <c r="G553" s="17" t="str">
        <f>Github!H$943</f>
        <v>Algorithms</v>
      </c>
      <c r="H553" s="19" t="str">
        <f>SUBSTITUTE(Github!L$943, ";", ", ")</f>
        <v>Array, Math, Two Pointers, String, Greedy, </v>
      </c>
      <c r="I553" s="17" t="str">
        <f>Github!E$943</f>
        <v>Easy</v>
      </c>
      <c r="J553" s="17" t="str">
        <f>IF(TRIM(Github!D$943)="TRUE","FALSE","TRUE")</f>
        <v>TRUE</v>
      </c>
      <c r="K553" s="17" t="b">
        <f>Github!M$943</f>
        <v>1</v>
      </c>
      <c r="L553" s="17" t="b">
        <f>Github!N$943</f>
        <v>0</v>
      </c>
      <c r="M553" s="17" t="str">
        <f>ROUND(Github!O$943, 2)&amp;"%"</f>
        <v>75.62%</v>
      </c>
      <c r="N553" s="17">
        <f>Github!P$943</f>
        <v>102825</v>
      </c>
      <c r="O553" s="17">
        <f>Github!Q$943</f>
        <v>135967</v>
      </c>
    </row>
    <row r="554" ht="18.0" customHeight="1">
      <c r="A554" s="17">
        <f>Github!J$524</f>
        <v>523</v>
      </c>
      <c r="B554" s="27" t="str">
        <f>HYPERLINK(CONCAT("http://leetcode.com/problems/",Github!C$524), Github!B$524)</f>
        <v>Continuous Subarray Sum</v>
      </c>
      <c r="C554" s="17">
        <f>Github!F$524</f>
        <v>1599</v>
      </c>
      <c r="D554" s="17">
        <f>Github!G$524</f>
        <v>226</v>
      </c>
      <c r="E554" s="17">
        <f>Github!F$524+Github!G$524</f>
        <v>1825</v>
      </c>
      <c r="F554" s="18">
        <f t="shared" si="1"/>
        <v>7.08</v>
      </c>
      <c r="G554" s="17" t="str">
        <f>Github!H$524</f>
        <v>Algorithms</v>
      </c>
      <c r="H554" s="19" t="str">
        <f>SUBSTITUTE(Github!L$524, ";", ", ")</f>
        <v>Array, Hash Table, Math, Prefix Sum, </v>
      </c>
      <c r="I554" s="17" t="str">
        <f>Github!E$524</f>
        <v>Medium</v>
      </c>
      <c r="J554" s="17" t="str">
        <f>IF(TRIM(Github!D$524)="TRUE","FALSE","TRUE")</f>
        <v>TRUE</v>
      </c>
      <c r="K554" s="17" t="b">
        <f>Github!M$524</f>
        <v>0</v>
      </c>
      <c r="L554" s="17" t="b">
        <f>Github!N$524</f>
        <v>0</v>
      </c>
      <c r="M554" s="17" t="str">
        <f>ROUND(Github!O$524, 2)&amp;"%"</f>
        <v>26.99%</v>
      </c>
      <c r="N554" s="17">
        <f>Github!P$524</f>
        <v>273962</v>
      </c>
      <c r="O554" s="17">
        <f>Github!Q$524</f>
        <v>1014858</v>
      </c>
    </row>
    <row r="555" ht="18.0" customHeight="1">
      <c r="A555" s="17">
        <f>Github!J$590</f>
        <v>589</v>
      </c>
      <c r="B555" s="27" t="str">
        <f>HYPERLINK(CONCAT("http://leetcode.com/problems/",Github!C$590), Github!B$590)</f>
        <v>N-ary Tree Preorder Traversal</v>
      </c>
      <c r="C555" s="17">
        <f>Github!F$590</f>
        <v>1599</v>
      </c>
      <c r="D555" s="17">
        <f>Github!G$590</f>
        <v>77</v>
      </c>
      <c r="E555" s="17">
        <f>Github!F$590+Github!G$590</f>
        <v>1676</v>
      </c>
      <c r="F555" s="18">
        <f t="shared" si="1"/>
        <v>20.77</v>
      </c>
      <c r="G555" s="17" t="str">
        <f>Github!H$590</f>
        <v>Algorithms</v>
      </c>
      <c r="H555" s="19" t="str">
        <f>SUBSTITUTE(Github!L$590, ";", ", ")</f>
        <v>Stack, Tree, Depth-First Search, </v>
      </c>
      <c r="I555" s="17" t="str">
        <f>Github!E$590</f>
        <v>Easy</v>
      </c>
      <c r="J555" s="17" t="str">
        <f>IF(TRIM(Github!D$590)="TRUE","FALSE","TRUE")</f>
        <v>TRUE</v>
      </c>
      <c r="K555" s="17" t="b">
        <f>Github!M$590</f>
        <v>1</v>
      </c>
      <c r="L555" s="17" t="b">
        <f>Github!N$590</f>
        <v>0</v>
      </c>
      <c r="M555" s="17" t="str">
        <f>ROUND(Github!O$590, 2)&amp;"%"</f>
        <v>75.88%</v>
      </c>
      <c r="N555" s="17">
        <f>Github!P$590</f>
        <v>214403</v>
      </c>
      <c r="O555" s="17">
        <f>Github!Q$590</f>
        <v>282566</v>
      </c>
    </row>
    <row r="556" ht="18.0" customHeight="1">
      <c r="A556" s="17">
        <f>Github!J$873</f>
        <v>872</v>
      </c>
      <c r="B556" s="27" t="str">
        <f>HYPERLINK(CONCAT("http://leetcode.com/problems/",Github!C$873), Github!B$873)</f>
        <v>Leaf-Similar Trees</v>
      </c>
      <c r="C556" s="17">
        <f>Github!F$873</f>
        <v>1598</v>
      </c>
      <c r="D556" s="17">
        <f>Github!G$873</f>
        <v>55</v>
      </c>
      <c r="E556" s="17">
        <f>Github!F$873+Github!G$873</f>
        <v>1653</v>
      </c>
      <c r="F556" s="18">
        <f t="shared" si="1"/>
        <v>29.05</v>
      </c>
      <c r="G556" s="17" t="str">
        <f>Github!H$873</f>
        <v>Algorithms</v>
      </c>
      <c r="H556" s="19" t="str">
        <f>SUBSTITUTE(Github!L$873, ";", ", ")</f>
        <v>Tree, Depth-First Search, Binary Tree, </v>
      </c>
      <c r="I556" s="17" t="str">
        <f>Github!E$873</f>
        <v>Easy</v>
      </c>
      <c r="J556" s="17" t="str">
        <f>IF(TRIM(Github!D$873)="TRUE","FALSE","TRUE")</f>
        <v>TRUE</v>
      </c>
      <c r="K556" s="17" t="b">
        <f>Github!M$873</f>
        <v>1</v>
      </c>
      <c r="L556" s="17" t="b">
        <f>Github!N$873</f>
        <v>0</v>
      </c>
      <c r="M556" s="17" t="str">
        <f>ROUND(Github!O$873, 2)&amp;"%"</f>
        <v>64.92%</v>
      </c>
      <c r="N556" s="17">
        <f>Github!P$873</f>
        <v>158698</v>
      </c>
      <c r="O556" s="17">
        <f>Github!Q$873</f>
        <v>244449</v>
      </c>
    </row>
    <row r="557" ht="18.0" customHeight="1">
      <c r="A557" s="17">
        <f>Github!J$938</f>
        <v>937</v>
      </c>
      <c r="B557" s="27" t="str">
        <f>HYPERLINK(CONCAT("http://leetcode.com/problems/",Github!C$938), Github!B$938)</f>
        <v>Reorder Data in Log Files</v>
      </c>
      <c r="C557" s="17">
        <f>Github!F$938</f>
        <v>1599</v>
      </c>
      <c r="D557" s="17">
        <f>Github!G$938</f>
        <v>3747</v>
      </c>
      <c r="E557" s="17">
        <f>Github!F$938+Github!G$938</f>
        <v>5346</v>
      </c>
      <c r="F557" s="18">
        <f t="shared" si="1"/>
        <v>0.43</v>
      </c>
      <c r="G557" s="17" t="str">
        <f>Github!H$938</f>
        <v>Algorithms</v>
      </c>
      <c r="H557" s="19" t="str">
        <f>SUBSTITUTE(Github!L$938, ";", ", ")</f>
        <v>Array, String, Sorting, </v>
      </c>
      <c r="I557" s="17" t="str">
        <f>Github!E$938</f>
        <v>Easy</v>
      </c>
      <c r="J557" s="17" t="str">
        <f>IF(TRIM(Github!D$938)="TRUE","FALSE","TRUE")</f>
        <v>TRUE</v>
      </c>
      <c r="K557" s="17" t="b">
        <f>Github!M$938</f>
        <v>1</v>
      </c>
      <c r="L557" s="17" t="b">
        <f>Github!N$938</f>
        <v>0</v>
      </c>
      <c r="M557" s="17" t="str">
        <f>ROUND(Github!O$938, 2)&amp;"%"</f>
        <v>55.91%</v>
      </c>
      <c r="N557" s="17">
        <f>Github!P$938</f>
        <v>283285</v>
      </c>
      <c r="O557" s="17">
        <f>Github!Q$938</f>
        <v>506651</v>
      </c>
    </row>
    <row r="558" ht="18.0" customHeight="1">
      <c r="A558" s="17">
        <f>Github!J$1138</f>
        <v>1137</v>
      </c>
      <c r="B558" s="27" t="str">
        <f>HYPERLINK(CONCAT("http://leetcode.com/problems/",Github!C$1138), Github!B$1138)</f>
        <v>N-th Tribonacci Number</v>
      </c>
      <c r="C558" s="17">
        <f>Github!F$1138</f>
        <v>1597</v>
      </c>
      <c r="D558" s="17">
        <f>Github!G$1138</f>
        <v>98</v>
      </c>
      <c r="E558" s="17">
        <f>Github!F$1138+Github!G$1138</f>
        <v>1695</v>
      </c>
      <c r="F558" s="18">
        <f t="shared" si="1"/>
        <v>16.3</v>
      </c>
      <c r="G558" s="17" t="str">
        <f>Github!H$1138</f>
        <v>Algorithms</v>
      </c>
      <c r="H558" s="19" t="str">
        <f>SUBSTITUTE(Github!L$1138, ";", ", ")</f>
        <v>Math, Dynamic Programming, Memoization, </v>
      </c>
      <c r="I558" s="17" t="str">
        <f>Github!E$1138</f>
        <v>Easy</v>
      </c>
      <c r="J558" s="17" t="str">
        <f>IF(TRIM(Github!D$1138)="TRUE","FALSE","TRUE")</f>
        <v>TRUE</v>
      </c>
      <c r="K558" s="17" t="b">
        <f>Github!M$1138</f>
        <v>1</v>
      </c>
      <c r="L558" s="17" t="b">
        <f>Github!N$1138</f>
        <v>0</v>
      </c>
      <c r="M558" s="17" t="str">
        <f>ROUND(Github!O$1138, 2)&amp;"%"</f>
        <v>62.63%</v>
      </c>
      <c r="N558" s="17">
        <f>Github!P$1138</f>
        <v>237127</v>
      </c>
      <c r="O558" s="17">
        <f>Github!Q$1138</f>
        <v>378647</v>
      </c>
    </row>
    <row r="559" ht="18.0" customHeight="1">
      <c r="A559" s="17">
        <f>Github!J$1722</f>
        <v>1721</v>
      </c>
      <c r="B559" s="27" t="str">
        <f>HYPERLINK(CONCAT("http://leetcode.com/problems/",Github!C$1722), Github!B$1722)</f>
        <v>Swapping Nodes in a Linked List</v>
      </c>
      <c r="C559" s="17">
        <f>Github!F$1722</f>
        <v>1597</v>
      </c>
      <c r="D559" s="17">
        <f>Github!G$1722</f>
        <v>73</v>
      </c>
      <c r="E559" s="17">
        <f>Github!F$1722+Github!G$1722</f>
        <v>1670</v>
      </c>
      <c r="F559" s="18">
        <f t="shared" si="1"/>
        <v>21.88</v>
      </c>
      <c r="G559" s="17" t="str">
        <f>Github!H$1722</f>
        <v>Algorithms</v>
      </c>
      <c r="H559" s="19" t="str">
        <f>SUBSTITUTE(Github!L$1722, ";", ", ")</f>
        <v>Linked List, Two Pointers, </v>
      </c>
      <c r="I559" s="17" t="str">
        <f>Github!E$1722</f>
        <v>Medium</v>
      </c>
      <c r="J559" s="17" t="str">
        <f>IF(TRIM(Github!D$1722)="TRUE","FALSE","TRUE")</f>
        <v>TRUE</v>
      </c>
      <c r="K559" s="17" t="b">
        <f>Github!M$1722</f>
        <v>1</v>
      </c>
      <c r="L559" s="17" t="b">
        <f>Github!N$1722</f>
        <v>0</v>
      </c>
      <c r="M559" s="17" t="str">
        <f>ROUND(Github!O$1722, 2)&amp;"%"</f>
        <v>65.43%</v>
      </c>
      <c r="N559" s="17">
        <f>Github!P$1722</f>
        <v>96876</v>
      </c>
      <c r="O559" s="17">
        <f>Github!Q$1722</f>
        <v>148051</v>
      </c>
    </row>
    <row r="560" ht="18.0" customHeight="1">
      <c r="A560" s="17">
        <f>Github!J$53</f>
        <v>52</v>
      </c>
      <c r="B560" s="27" t="str">
        <f>HYPERLINK(CONCAT("http://leetcode.com/problems/",Github!C$53), Github!B$53)</f>
        <v>N-Queens II</v>
      </c>
      <c r="C560" s="17">
        <f>Github!F$53</f>
        <v>1594</v>
      </c>
      <c r="D560" s="17">
        <f>Github!G$53</f>
        <v>209</v>
      </c>
      <c r="E560" s="17">
        <f>Github!F$53+Github!G$53</f>
        <v>1803</v>
      </c>
      <c r="F560" s="18">
        <f t="shared" si="1"/>
        <v>7.63</v>
      </c>
      <c r="G560" s="17" t="str">
        <f>Github!H$53</f>
        <v>Algorithms</v>
      </c>
      <c r="H560" s="19" t="str">
        <f>SUBSTITUTE(Github!L$53, ";", ", ")</f>
        <v>Backtracking, </v>
      </c>
      <c r="I560" s="17" t="str">
        <f>Github!E$53</f>
        <v>Hard</v>
      </c>
      <c r="J560" s="17" t="str">
        <f>IF(TRIM(Github!D$53)="TRUE","FALSE","TRUE")</f>
        <v>TRUE</v>
      </c>
      <c r="K560" s="17" t="b">
        <f>Github!M$53</f>
        <v>1</v>
      </c>
      <c r="L560" s="17" t="b">
        <f>Github!N$53</f>
        <v>0</v>
      </c>
      <c r="M560" s="17" t="str">
        <f>ROUND(Github!O$53, 2)&amp;"%"</f>
        <v>65.69%</v>
      </c>
      <c r="N560" s="17">
        <f>Github!P$53</f>
        <v>211574</v>
      </c>
      <c r="O560" s="17">
        <f>Github!Q$53</f>
        <v>322094</v>
      </c>
    </row>
    <row r="561" ht="18.0" customHeight="1">
      <c r="A561" s="17">
        <f>Github!J$1045</f>
        <v>1044</v>
      </c>
      <c r="B561" s="27" t="str">
        <f>HYPERLINK(CONCAT("http://leetcode.com/problems/",Github!C$1045), Github!B$1045)</f>
        <v>Longest Duplicate Substring</v>
      </c>
      <c r="C561" s="17">
        <f>Github!F$1045</f>
        <v>1590</v>
      </c>
      <c r="D561" s="17">
        <f>Github!G$1045</f>
        <v>316</v>
      </c>
      <c r="E561" s="17">
        <f>Github!F$1045+Github!G$1045</f>
        <v>1906</v>
      </c>
      <c r="F561" s="18">
        <f t="shared" si="1"/>
        <v>5.03</v>
      </c>
      <c r="G561" s="17" t="str">
        <f>Github!H$1045</f>
        <v>Algorithms</v>
      </c>
      <c r="H561" s="19" t="str">
        <f>SUBSTITUTE(Github!L$1045, ";", ", ")</f>
        <v>String, Binary Search, Sliding Window, Rolling Hash, Suffix Array, Hash Function, </v>
      </c>
      <c r="I561" s="17" t="str">
        <f>Github!E$1045</f>
        <v>Hard</v>
      </c>
      <c r="J561" s="17" t="str">
        <f>IF(TRIM(Github!D$1045)="TRUE","FALSE","TRUE")</f>
        <v>TRUE</v>
      </c>
      <c r="K561" s="17" t="b">
        <f>Github!M$1045</f>
        <v>1</v>
      </c>
      <c r="L561" s="17" t="b">
        <f>Github!N$1045</f>
        <v>0</v>
      </c>
      <c r="M561" s="17" t="str">
        <f>ROUND(Github!O$1045, 2)&amp;"%"</f>
        <v>31.23%</v>
      </c>
      <c r="N561" s="17">
        <f>Github!P$1045</f>
        <v>51245</v>
      </c>
      <c r="O561" s="17">
        <f>Github!Q$1045</f>
        <v>164075</v>
      </c>
    </row>
    <row r="562" ht="18.0" customHeight="1">
      <c r="A562" s="17">
        <f>Github!J$780</f>
        <v>779</v>
      </c>
      <c r="B562" s="27" t="str">
        <f>HYPERLINK(CONCAT("http://leetcode.com/problems/",Github!C$780), Github!B$780)</f>
        <v>K-th Symbol in Grammar</v>
      </c>
      <c r="C562" s="17">
        <f>Github!F$780</f>
        <v>1588</v>
      </c>
      <c r="D562" s="17">
        <f>Github!G$780</f>
        <v>243</v>
      </c>
      <c r="E562" s="17">
        <f>Github!F$780+Github!G$780</f>
        <v>1831</v>
      </c>
      <c r="F562" s="18">
        <f t="shared" si="1"/>
        <v>6.53</v>
      </c>
      <c r="G562" s="17" t="str">
        <f>Github!H$780</f>
        <v>Algorithms</v>
      </c>
      <c r="H562" s="19" t="str">
        <f>SUBSTITUTE(Github!L$780, ";", ", ")</f>
        <v>Math, Bit Manipulation, Recursion, </v>
      </c>
      <c r="I562" s="17" t="str">
        <f>Github!E$780</f>
        <v>Medium</v>
      </c>
      <c r="J562" s="17" t="str">
        <f>IF(TRIM(Github!D$780)="TRUE","FALSE","TRUE")</f>
        <v>TRUE</v>
      </c>
      <c r="K562" s="17" t="b">
        <f>Github!M$780</f>
        <v>0</v>
      </c>
      <c r="L562" s="17" t="b">
        <f>Github!N$780</f>
        <v>0</v>
      </c>
      <c r="M562" s="17" t="str">
        <f>ROUND(Github!O$780, 2)&amp;"%"</f>
        <v>39.81%</v>
      </c>
      <c r="N562" s="17">
        <f>Github!P$780</f>
        <v>80179</v>
      </c>
      <c r="O562" s="17">
        <f>Github!Q$780</f>
        <v>201416</v>
      </c>
    </row>
    <row r="563" ht="18.0" customHeight="1">
      <c r="A563" s="17">
        <f>Github!J$1036</f>
        <v>1035</v>
      </c>
      <c r="B563" s="27" t="str">
        <f>HYPERLINK(CONCAT("http://leetcode.com/problems/",Github!C$1036), Github!B$1036)</f>
        <v>Uncrossed Lines</v>
      </c>
      <c r="C563" s="17">
        <f>Github!F$1036</f>
        <v>1585</v>
      </c>
      <c r="D563" s="17">
        <f>Github!G$1036</f>
        <v>27</v>
      </c>
      <c r="E563" s="17">
        <f>Github!F$1036+Github!G$1036</f>
        <v>1612</v>
      </c>
      <c r="F563" s="18">
        <f t="shared" si="1"/>
        <v>58.7</v>
      </c>
      <c r="G563" s="17" t="str">
        <f>Github!H$1036</f>
        <v>Algorithms</v>
      </c>
      <c r="H563" s="19" t="str">
        <f>SUBSTITUTE(Github!L$1036, ";", ", ")</f>
        <v>Array, Dynamic Programming, </v>
      </c>
      <c r="I563" s="17" t="str">
        <f>Github!E$1036</f>
        <v>Medium</v>
      </c>
      <c r="J563" s="17" t="str">
        <f>IF(TRIM(Github!D$1036)="TRUE","FALSE","TRUE")</f>
        <v>TRUE</v>
      </c>
      <c r="K563" s="17" t="b">
        <f>Github!M$1036</f>
        <v>0</v>
      </c>
      <c r="L563" s="17" t="b">
        <f>Github!N$1036</f>
        <v>0</v>
      </c>
      <c r="M563" s="17" t="str">
        <f>ROUND(Github!O$1036, 2)&amp;"%"</f>
        <v>57.75%</v>
      </c>
      <c r="N563" s="17">
        <f>Github!P$1036</f>
        <v>65577</v>
      </c>
      <c r="O563" s="17">
        <f>Github!Q$1036</f>
        <v>113549</v>
      </c>
    </row>
    <row r="564" ht="18.0" customHeight="1">
      <c r="A564" s="17">
        <f>Github!J$1249</f>
        <v>1248</v>
      </c>
      <c r="B564" s="27" t="str">
        <f>HYPERLINK(CONCAT("http://leetcode.com/problems/",Github!C$1249), Github!B$1249)</f>
        <v>Count Number of Nice Subarrays</v>
      </c>
      <c r="C564" s="17">
        <f>Github!F$1249</f>
        <v>1583</v>
      </c>
      <c r="D564" s="17">
        <f>Github!G$1249</f>
        <v>39</v>
      </c>
      <c r="E564" s="17">
        <f>Github!F$1249+Github!G$1249</f>
        <v>1622</v>
      </c>
      <c r="F564" s="18">
        <f t="shared" si="1"/>
        <v>40.59</v>
      </c>
      <c r="G564" s="17" t="str">
        <f>Github!H$1249</f>
        <v>Algorithms</v>
      </c>
      <c r="H564" s="19" t="str">
        <f>SUBSTITUTE(Github!L$1249, ";", ", ")</f>
        <v>Array, Hash Table, Math, Sliding Window, </v>
      </c>
      <c r="I564" s="17" t="str">
        <f>Github!E$1249</f>
        <v>Medium</v>
      </c>
      <c r="J564" s="17" t="str">
        <f>IF(TRIM(Github!D$1249)="TRUE","FALSE","TRUE")</f>
        <v>TRUE</v>
      </c>
      <c r="K564" s="17" t="b">
        <f>Github!M$1249</f>
        <v>0</v>
      </c>
      <c r="L564" s="17" t="b">
        <f>Github!N$1249</f>
        <v>0</v>
      </c>
      <c r="M564" s="17" t="str">
        <f>ROUND(Github!O$1249, 2)&amp;"%"</f>
        <v>58.36%</v>
      </c>
      <c r="N564" s="17">
        <f>Github!P$1249</f>
        <v>50027</v>
      </c>
      <c r="O564" s="17">
        <f>Github!Q$1249</f>
        <v>85721</v>
      </c>
    </row>
    <row r="565" ht="18.0" customHeight="1">
      <c r="A565" s="17">
        <f>Github!J$326</f>
        <v>325</v>
      </c>
      <c r="B565" s="27" t="str">
        <f>HYPERLINK(CONCAT("http://leetcode.com/problems/",Github!C$326), Github!B$326)</f>
        <v>Maximum Size Subarray Sum Equals k</v>
      </c>
      <c r="C565" s="17">
        <f>Github!F$326</f>
        <v>1583</v>
      </c>
      <c r="D565" s="17">
        <f>Github!G$326</f>
        <v>47</v>
      </c>
      <c r="E565" s="17">
        <f>Github!F$326+Github!G$326</f>
        <v>1630</v>
      </c>
      <c r="F565" s="18">
        <f t="shared" si="1"/>
        <v>33.68</v>
      </c>
      <c r="G565" s="17" t="str">
        <f>Github!H$326</f>
        <v>Algorithms</v>
      </c>
      <c r="H565" s="19" t="str">
        <f>SUBSTITUTE(Github!L$326, ";", ", ")</f>
        <v>Array, Hash Table, </v>
      </c>
      <c r="I565" s="17" t="str">
        <f>Github!E$326</f>
        <v>Medium</v>
      </c>
      <c r="J565" s="17" t="str">
        <f>IF(TRIM(Github!D$326)="TRUE","FALSE","TRUE")</f>
        <v>FALSE</v>
      </c>
      <c r="K565" s="17" t="b">
        <f>Github!M$326</f>
        <v>1</v>
      </c>
      <c r="L565" s="17" t="b">
        <f>Github!N$326</f>
        <v>0</v>
      </c>
      <c r="M565" s="17" t="str">
        <f>ROUND(Github!O$326, 2)&amp;"%"</f>
        <v>48.97%</v>
      </c>
      <c r="N565" s="17">
        <f>Github!P$326</f>
        <v>149659</v>
      </c>
      <c r="O565" s="17">
        <f>Github!Q$326</f>
        <v>305614</v>
      </c>
    </row>
    <row r="566" ht="18.0" customHeight="1">
      <c r="A566" s="17">
        <f>Github!J$1123</f>
        <v>1122</v>
      </c>
      <c r="B566" s="27" t="str">
        <f>HYPERLINK(CONCAT("http://leetcode.com/problems/",Github!C$1123), Github!B$1123)</f>
        <v>Relative Sort Array</v>
      </c>
      <c r="C566" s="17">
        <f>Github!F$1123</f>
        <v>1583</v>
      </c>
      <c r="D566" s="17">
        <f>Github!G$1123</f>
        <v>96</v>
      </c>
      <c r="E566" s="17">
        <f>Github!F$1123+Github!G$1123</f>
        <v>1679</v>
      </c>
      <c r="F566" s="18">
        <f t="shared" si="1"/>
        <v>16.49</v>
      </c>
      <c r="G566" s="17" t="str">
        <f>Github!H$1123</f>
        <v>Algorithms</v>
      </c>
      <c r="H566" s="19" t="str">
        <f>SUBSTITUTE(Github!L$1123, ";", ", ")</f>
        <v>Array, Hash Table, Sorting, Counting Sort, </v>
      </c>
      <c r="I566" s="17" t="str">
        <f>Github!E$1123</f>
        <v>Easy</v>
      </c>
      <c r="J566" s="17" t="str">
        <f>IF(TRIM(Github!D$1123)="TRUE","FALSE","TRUE")</f>
        <v>TRUE</v>
      </c>
      <c r="K566" s="17" t="b">
        <f>Github!M$1123</f>
        <v>0</v>
      </c>
      <c r="L566" s="17" t="b">
        <f>Github!N$1123</f>
        <v>0</v>
      </c>
      <c r="M566" s="17" t="str">
        <f>ROUND(Github!O$1123, 2)&amp;"%"</f>
        <v>68.09%</v>
      </c>
      <c r="N566" s="17">
        <f>Github!P$1123</f>
        <v>120288</v>
      </c>
      <c r="O566" s="17">
        <f>Github!Q$1123</f>
        <v>176670</v>
      </c>
    </row>
    <row r="567" ht="18.0" customHeight="1">
      <c r="A567" s="17">
        <f>Github!J$1315</f>
        <v>1314</v>
      </c>
      <c r="B567" s="27" t="str">
        <f>HYPERLINK(CONCAT("http://leetcode.com/problems/",Github!C$1315), Github!B$1315)</f>
        <v>Matrix Block Sum</v>
      </c>
      <c r="C567" s="17">
        <f>Github!F$1315</f>
        <v>1578</v>
      </c>
      <c r="D567" s="17">
        <f>Github!G$1315</f>
        <v>251</v>
      </c>
      <c r="E567" s="17">
        <f>Github!F$1315+Github!G$1315</f>
        <v>1829</v>
      </c>
      <c r="F567" s="18">
        <f t="shared" si="1"/>
        <v>6.29</v>
      </c>
      <c r="G567" s="17" t="str">
        <f>Github!H$1315</f>
        <v>Algorithms</v>
      </c>
      <c r="H567" s="19" t="str">
        <f>SUBSTITUTE(Github!L$1315, ";", ", ")</f>
        <v>Array, Matrix, Prefix Sum, </v>
      </c>
      <c r="I567" s="17" t="str">
        <f>Github!E$1315</f>
        <v>Medium</v>
      </c>
      <c r="J567" s="17" t="str">
        <f>IF(TRIM(Github!D$1315)="TRUE","FALSE","TRUE")</f>
        <v>TRUE</v>
      </c>
      <c r="K567" s="17" t="b">
        <f>Github!M$1315</f>
        <v>0</v>
      </c>
      <c r="L567" s="17" t="b">
        <f>Github!N$1315</f>
        <v>0</v>
      </c>
      <c r="M567" s="17" t="str">
        <f>ROUND(Github!O$1315, 2)&amp;"%"</f>
        <v>75.03%</v>
      </c>
      <c r="N567" s="17">
        <f>Github!P$1315</f>
        <v>56480</v>
      </c>
      <c r="O567" s="17">
        <f>Github!Q$1315</f>
        <v>75272</v>
      </c>
    </row>
    <row r="568" ht="18.0" customHeight="1">
      <c r="A568" s="17">
        <f>Github!J$349</f>
        <v>348</v>
      </c>
      <c r="B568" s="27" t="str">
        <f>HYPERLINK(CONCAT("http://leetcode.com/problems/",Github!C$349), Github!B$349)</f>
        <v>Design Tic-Tac-Toe</v>
      </c>
      <c r="C568" s="17">
        <f>Github!F$349</f>
        <v>1577</v>
      </c>
      <c r="D568" s="17">
        <f>Github!G$349</f>
        <v>92</v>
      </c>
      <c r="E568" s="17">
        <f>Github!F$349+Github!G$349</f>
        <v>1669</v>
      </c>
      <c r="F568" s="18">
        <f t="shared" si="1"/>
        <v>17.14</v>
      </c>
      <c r="G568" s="17" t="str">
        <f>Github!H$349</f>
        <v>Algorithms</v>
      </c>
      <c r="H568" s="19" t="str">
        <f>SUBSTITUTE(Github!L$349, ";", ", ")</f>
        <v>Array, Hash Table, Design, Matrix, </v>
      </c>
      <c r="I568" s="17" t="str">
        <f>Github!E$349</f>
        <v>Medium</v>
      </c>
      <c r="J568" s="17" t="str">
        <f>IF(TRIM(Github!D$349)="TRUE","FALSE","TRUE")</f>
        <v>FALSE</v>
      </c>
      <c r="K568" s="17" t="b">
        <f>Github!M$349</f>
        <v>1</v>
      </c>
      <c r="L568" s="17" t="b">
        <f>Github!N$349</f>
        <v>0</v>
      </c>
      <c r="M568" s="17" t="str">
        <f>ROUND(Github!O$349, 2)&amp;"%"</f>
        <v>57.12%</v>
      </c>
      <c r="N568" s="17">
        <f>Github!P$349</f>
        <v>173963</v>
      </c>
      <c r="O568" s="17">
        <f>Github!Q$349</f>
        <v>304570</v>
      </c>
    </row>
    <row r="569" ht="18.0" customHeight="1">
      <c r="A569" s="17">
        <f>Github!J$623</f>
        <v>622</v>
      </c>
      <c r="B569" s="27" t="str">
        <f>HYPERLINK(CONCAT("http://leetcode.com/problems/",Github!C$623), Github!B$623)</f>
        <v>Design Circular Queue</v>
      </c>
      <c r="C569" s="17">
        <f>Github!F$623</f>
        <v>1578</v>
      </c>
      <c r="D569" s="17">
        <f>Github!G$623</f>
        <v>163</v>
      </c>
      <c r="E569" s="17">
        <f>Github!F$623+Github!G$623</f>
        <v>1741</v>
      </c>
      <c r="F569" s="18">
        <f t="shared" si="1"/>
        <v>9.68</v>
      </c>
      <c r="G569" s="17" t="str">
        <f>Github!H$623</f>
        <v>Algorithms</v>
      </c>
      <c r="H569" s="19" t="str">
        <f>SUBSTITUTE(Github!L$623, ";", ", ")</f>
        <v>Array, Linked List, Design, Queue, </v>
      </c>
      <c r="I569" s="17" t="str">
        <f>Github!E$623</f>
        <v>Medium</v>
      </c>
      <c r="J569" s="17" t="str">
        <f>IF(TRIM(Github!D$623)="TRUE","FALSE","TRUE")</f>
        <v>TRUE</v>
      </c>
      <c r="K569" s="17" t="b">
        <f>Github!M$623</f>
        <v>1</v>
      </c>
      <c r="L569" s="17" t="b">
        <f>Github!N$623</f>
        <v>0</v>
      </c>
      <c r="M569" s="17" t="str">
        <f>ROUND(Github!O$623, 2)&amp;"%"</f>
        <v>48.53%</v>
      </c>
      <c r="N569" s="17">
        <f>Github!P$623</f>
        <v>164028</v>
      </c>
      <c r="O569" s="17">
        <f>Github!Q$623</f>
        <v>337999</v>
      </c>
    </row>
    <row r="570" ht="18.0" customHeight="1">
      <c r="A570" s="17">
        <f>Github!J$478</f>
        <v>477</v>
      </c>
      <c r="B570" s="27" t="str">
        <f>HYPERLINK(CONCAT("http://leetcode.com/problems/",Github!C$478), Github!B$478)</f>
        <v>Total Hamming Distance</v>
      </c>
      <c r="C570" s="17">
        <f>Github!F$478</f>
        <v>1575</v>
      </c>
      <c r="D570" s="17">
        <f>Github!G$478</f>
        <v>79</v>
      </c>
      <c r="E570" s="17">
        <f>Github!F$478+Github!G$478</f>
        <v>1654</v>
      </c>
      <c r="F570" s="18">
        <f t="shared" si="1"/>
        <v>19.94</v>
      </c>
      <c r="G570" s="17" t="str">
        <f>Github!H$478</f>
        <v>Algorithms</v>
      </c>
      <c r="H570" s="19" t="str">
        <f>SUBSTITUTE(Github!L$478, ";", ", ")</f>
        <v>Array, Math, Bit Manipulation, </v>
      </c>
      <c r="I570" s="17" t="str">
        <f>Github!E$478</f>
        <v>Medium</v>
      </c>
      <c r="J570" s="17" t="str">
        <f>IF(TRIM(Github!D$478)="TRUE","FALSE","TRUE")</f>
        <v>TRUE</v>
      </c>
      <c r="K570" s="17" t="b">
        <f>Github!M$478</f>
        <v>1</v>
      </c>
      <c r="L570" s="17" t="b">
        <f>Github!N$478</f>
        <v>0</v>
      </c>
      <c r="M570" s="17" t="str">
        <f>ROUND(Github!O$478, 2)&amp;"%"</f>
        <v>51.89%</v>
      </c>
      <c r="N570" s="17">
        <f>Github!P$478</f>
        <v>85893</v>
      </c>
      <c r="O570" s="17">
        <f>Github!Q$478</f>
        <v>165542</v>
      </c>
    </row>
    <row r="571" ht="18.0" customHeight="1">
      <c r="A571" s="17">
        <f>Github!J$1643</f>
        <v>1642</v>
      </c>
      <c r="B571" s="27" t="str">
        <f>HYPERLINK(CONCAT("http://leetcode.com/problems/",Github!C$1643), Github!B$1643)</f>
        <v>Furthest Building You Can Reach</v>
      </c>
      <c r="C571" s="17">
        <f>Github!F$1643</f>
        <v>1573</v>
      </c>
      <c r="D571" s="17">
        <f>Github!G$1643</f>
        <v>48</v>
      </c>
      <c r="E571" s="17">
        <f>Github!F$1643+Github!G$1643</f>
        <v>1621</v>
      </c>
      <c r="F571" s="18">
        <f t="shared" si="1"/>
        <v>32.77</v>
      </c>
      <c r="G571" s="17" t="str">
        <f>Github!H$1643</f>
        <v>Algorithms</v>
      </c>
      <c r="H571" s="19" t="str">
        <f>SUBSTITUTE(Github!L$1643, ";", ", ")</f>
        <v>Array, Greedy, Heap (Priority Queue), </v>
      </c>
      <c r="I571" s="17" t="str">
        <f>Github!E$1643</f>
        <v>Medium</v>
      </c>
      <c r="J571" s="17" t="str">
        <f>IF(TRIM(Github!D$1643)="TRUE","FALSE","TRUE")</f>
        <v>TRUE</v>
      </c>
      <c r="K571" s="17" t="b">
        <f>Github!M$1643</f>
        <v>1</v>
      </c>
      <c r="L571" s="17" t="b">
        <f>Github!N$1643</f>
        <v>0</v>
      </c>
      <c r="M571" s="17" t="str">
        <f>ROUND(Github!O$1643, 2)&amp;"%"</f>
        <v>44.92%</v>
      </c>
      <c r="N571" s="17">
        <f>Github!P$1643</f>
        <v>44820</v>
      </c>
      <c r="O571" s="17">
        <f>Github!Q$1643</f>
        <v>99784</v>
      </c>
    </row>
    <row r="572" ht="18.0" customHeight="1">
      <c r="A572" s="17">
        <f>Github!J$1292</f>
        <v>1291</v>
      </c>
      <c r="B572" s="27" t="str">
        <f>HYPERLINK(CONCAT("http://leetcode.com/problems/",Github!C$1292), Github!B$1292)</f>
        <v>Sequential Digits</v>
      </c>
      <c r="C572" s="17">
        <f>Github!F$1292</f>
        <v>1572</v>
      </c>
      <c r="D572" s="17">
        <f>Github!G$1292</f>
        <v>98</v>
      </c>
      <c r="E572" s="17">
        <f>Github!F$1292+Github!G$1292</f>
        <v>1670</v>
      </c>
      <c r="F572" s="18">
        <f t="shared" si="1"/>
        <v>16.04</v>
      </c>
      <c r="G572" s="17" t="str">
        <f>Github!H$1292</f>
        <v>Algorithms</v>
      </c>
      <c r="H572" s="19" t="str">
        <f>SUBSTITUTE(Github!L$1292, ";", ", ")</f>
        <v>Enumeration, </v>
      </c>
      <c r="I572" s="17" t="str">
        <f>Github!E$1292</f>
        <v>Medium</v>
      </c>
      <c r="J572" s="17" t="str">
        <f>IF(TRIM(Github!D$1292)="TRUE","FALSE","TRUE")</f>
        <v>TRUE</v>
      </c>
      <c r="K572" s="17" t="b">
        <f>Github!M$1292</f>
        <v>1</v>
      </c>
      <c r="L572" s="17" t="b">
        <f>Github!N$1292</f>
        <v>0</v>
      </c>
      <c r="M572" s="17" t="str">
        <f>ROUND(Github!O$1292, 2)&amp;"%"</f>
        <v>60.83%</v>
      </c>
      <c r="N572" s="17">
        <f>Github!P$1292</f>
        <v>74523</v>
      </c>
      <c r="O572" s="17">
        <f>Github!Q$1292</f>
        <v>122502</v>
      </c>
    </row>
    <row r="573" ht="18.0" customHeight="1">
      <c r="A573" s="17">
        <f>Github!J$690</f>
        <v>689</v>
      </c>
      <c r="B573" s="27" t="str">
        <f>HYPERLINK(CONCAT("http://leetcode.com/problems/",Github!C$690), Github!B$690)</f>
        <v>Maximum Sum of 3 Non-Overlapping Subarrays</v>
      </c>
      <c r="C573" s="17">
        <f>Github!F$690</f>
        <v>1572</v>
      </c>
      <c r="D573" s="17">
        <f>Github!G$690</f>
        <v>95</v>
      </c>
      <c r="E573" s="17">
        <f>Github!F$690+Github!G$690</f>
        <v>1667</v>
      </c>
      <c r="F573" s="18">
        <f t="shared" si="1"/>
        <v>16.55</v>
      </c>
      <c r="G573" s="17" t="str">
        <f>Github!H$690</f>
        <v>Algorithms</v>
      </c>
      <c r="H573" s="19" t="str">
        <f>SUBSTITUTE(Github!L$690, ";", ", ")</f>
        <v>Array, Dynamic Programming, </v>
      </c>
      <c r="I573" s="17" t="str">
        <f>Github!E$690</f>
        <v>Hard</v>
      </c>
      <c r="J573" s="17" t="str">
        <f>IF(TRIM(Github!D$690)="TRUE","FALSE","TRUE")</f>
        <v>TRUE</v>
      </c>
      <c r="K573" s="17" t="b">
        <f>Github!M$690</f>
        <v>1</v>
      </c>
      <c r="L573" s="17" t="b">
        <f>Github!N$690</f>
        <v>0</v>
      </c>
      <c r="M573" s="17" t="str">
        <f>ROUND(Github!O$690, 2)&amp;"%"</f>
        <v>48.36%</v>
      </c>
      <c r="N573" s="17">
        <f>Github!P$690</f>
        <v>61310</v>
      </c>
      <c r="O573" s="17">
        <f>Github!Q$690</f>
        <v>126767</v>
      </c>
    </row>
    <row r="574" ht="18.0" customHeight="1">
      <c r="A574" s="17">
        <f>Github!J$839</f>
        <v>838</v>
      </c>
      <c r="B574" s="27" t="str">
        <f>HYPERLINK(CONCAT("http://leetcode.com/problems/",Github!C$839), Github!B$839)</f>
        <v>Push Dominoes</v>
      </c>
      <c r="C574" s="17">
        <f>Github!F$839</f>
        <v>1572</v>
      </c>
      <c r="D574" s="17">
        <f>Github!G$839</f>
        <v>105</v>
      </c>
      <c r="E574" s="17">
        <f>Github!F$839+Github!G$839</f>
        <v>1677</v>
      </c>
      <c r="F574" s="18">
        <f t="shared" si="1"/>
        <v>14.97</v>
      </c>
      <c r="G574" s="17" t="str">
        <f>Github!H$839</f>
        <v>Algorithms</v>
      </c>
      <c r="H574" s="19" t="str">
        <f>SUBSTITUTE(Github!L$839, ";", ", ")</f>
        <v>Two Pointers, String, Dynamic Programming, </v>
      </c>
      <c r="I574" s="17" t="str">
        <f>Github!E$839</f>
        <v>Medium</v>
      </c>
      <c r="J574" s="17" t="str">
        <f>IF(TRIM(Github!D$839)="TRUE","FALSE","TRUE")</f>
        <v>TRUE</v>
      </c>
      <c r="K574" s="17" t="b">
        <f>Github!M$839</f>
        <v>1</v>
      </c>
      <c r="L574" s="17" t="b">
        <f>Github!N$839</f>
        <v>0</v>
      </c>
      <c r="M574" s="17" t="str">
        <f>ROUND(Github!O$839, 2)&amp;"%"</f>
        <v>52.2%</v>
      </c>
      <c r="N574" s="17">
        <f>Github!P$839</f>
        <v>56152</v>
      </c>
      <c r="O574" s="17">
        <f>Github!Q$839</f>
        <v>107574</v>
      </c>
    </row>
    <row r="575" ht="18.0" customHeight="1">
      <c r="A575" s="17">
        <f>Github!J$858</f>
        <v>857</v>
      </c>
      <c r="B575" s="27" t="str">
        <f>HYPERLINK(CONCAT("http://leetcode.com/problems/",Github!C$858), Github!B$858)</f>
        <v>Minimum Cost to Hire K Workers</v>
      </c>
      <c r="C575" s="17">
        <f>Github!F$858</f>
        <v>1564</v>
      </c>
      <c r="D575" s="17">
        <f>Github!G$858</f>
        <v>187</v>
      </c>
      <c r="E575" s="17">
        <f>Github!F$858+Github!G$858</f>
        <v>1751</v>
      </c>
      <c r="F575" s="18">
        <f t="shared" si="1"/>
        <v>8.36</v>
      </c>
      <c r="G575" s="17" t="str">
        <f>Github!H$858</f>
        <v>Algorithms</v>
      </c>
      <c r="H575" s="19" t="str">
        <f>SUBSTITUTE(Github!L$858, ";", ", ")</f>
        <v>Array, Greedy, Sorting, Heap (Priority Queue), </v>
      </c>
      <c r="I575" s="17" t="str">
        <f>Github!E$858</f>
        <v>Hard</v>
      </c>
      <c r="J575" s="17" t="str">
        <f>IF(TRIM(Github!D$858)="TRUE","FALSE","TRUE")</f>
        <v>TRUE</v>
      </c>
      <c r="K575" s="17" t="b">
        <f>Github!M$858</f>
        <v>1</v>
      </c>
      <c r="L575" s="17" t="b">
        <f>Github!N$858</f>
        <v>0</v>
      </c>
      <c r="M575" s="17" t="str">
        <f>ROUND(Github!O$858, 2)&amp;"%"</f>
        <v>51.54%</v>
      </c>
      <c r="N575" s="17">
        <f>Github!P$858</f>
        <v>48800</v>
      </c>
      <c r="O575" s="17">
        <f>Github!Q$858</f>
        <v>94679</v>
      </c>
    </row>
    <row r="576" ht="18.0" customHeight="1">
      <c r="A576" s="17">
        <f>Github!J$1313</f>
        <v>1312</v>
      </c>
      <c r="B576" s="27" t="str">
        <f>HYPERLINK(CONCAT("http://leetcode.com/problems/",Github!C$1313), Github!B$1313)</f>
        <v>Minimum Insertion Steps to Make a String Palindrome</v>
      </c>
      <c r="C576" s="17">
        <f>Github!F$1313</f>
        <v>1567</v>
      </c>
      <c r="D576" s="17">
        <f>Github!G$1313</f>
        <v>25</v>
      </c>
      <c r="E576" s="17">
        <f>Github!F$1313+Github!G$1313</f>
        <v>1592</v>
      </c>
      <c r="F576" s="18">
        <f t="shared" si="1"/>
        <v>62.68</v>
      </c>
      <c r="G576" s="17" t="str">
        <f>Github!H$1313</f>
        <v>Algorithms</v>
      </c>
      <c r="H576" s="19" t="str">
        <f>SUBSTITUTE(Github!L$1313, ";", ", ")</f>
        <v>String, Dynamic Programming, </v>
      </c>
      <c r="I576" s="17" t="str">
        <f>Github!E$1313</f>
        <v>Hard</v>
      </c>
      <c r="J576" s="17" t="str">
        <f>IF(TRIM(Github!D$1313)="TRUE","FALSE","TRUE")</f>
        <v>TRUE</v>
      </c>
      <c r="K576" s="17" t="b">
        <f>Github!M$1313</f>
        <v>0</v>
      </c>
      <c r="L576" s="17" t="b">
        <f>Github!N$1313</f>
        <v>0</v>
      </c>
      <c r="M576" s="17" t="str">
        <f>ROUND(Github!O$1313, 2)&amp;"%"</f>
        <v>63.12%</v>
      </c>
      <c r="N576" s="17">
        <f>Github!P$1313</f>
        <v>43129</v>
      </c>
      <c r="O576" s="17">
        <f>Github!Q$1313</f>
        <v>68329</v>
      </c>
    </row>
    <row r="577" ht="18.0" customHeight="1">
      <c r="A577" s="17">
        <f>Github!J$415</f>
        <v>414</v>
      </c>
      <c r="B577" s="27" t="str">
        <f>HYPERLINK(CONCAT("http://leetcode.com/problems/",Github!C$415), Github!B$415)</f>
        <v>Third Maximum Number</v>
      </c>
      <c r="C577" s="17">
        <f>Github!F$415</f>
        <v>1563</v>
      </c>
      <c r="D577" s="17">
        <f>Github!G$415</f>
        <v>2232</v>
      </c>
      <c r="E577" s="17">
        <f>Github!F$415+Github!G$415</f>
        <v>3795</v>
      </c>
      <c r="F577" s="18">
        <f t="shared" si="1"/>
        <v>0.7</v>
      </c>
      <c r="G577" s="17" t="str">
        <f>Github!H$415</f>
        <v>Algorithms</v>
      </c>
      <c r="H577" s="19" t="str">
        <f>SUBSTITUTE(Github!L$415, ";", ", ")</f>
        <v>Array, Sorting, </v>
      </c>
      <c r="I577" s="17" t="str">
        <f>Github!E$415</f>
        <v>Easy</v>
      </c>
      <c r="J577" s="17" t="str">
        <f>IF(TRIM(Github!D$415)="TRUE","FALSE","TRUE")</f>
        <v>TRUE</v>
      </c>
      <c r="K577" s="17" t="b">
        <f>Github!M$415</f>
        <v>1</v>
      </c>
      <c r="L577" s="17" t="b">
        <f>Github!N$415</f>
        <v>0</v>
      </c>
      <c r="M577" s="17" t="str">
        <f>ROUND(Github!O$415, 2)&amp;"%"</f>
        <v>31.64%</v>
      </c>
      <c r="N577" s="17">
        <f>Github!P$415</f>
        <v>309677</v>
      </c>
      <c r="O577" s="17">
        <f>Github!Q$415</f>
        <v>978802</v>
      </c>
    </row>
    <row r="578" ht="18.0" customHeight="1">
      <c r="A578" s="17">
        <f>Github!J$521</f>
        <v>520</v>
      </c>
      <c r="B578" s="27" t="str">
        <f>HYPERLINK(CONCAT("http://leetcode.com/problems/",Github!C$521), Github!B$521)</f>
        <v>Detect Capital</v>
      </c>
      <c r="C578" s="17">
        <f>Github!F$521</f>
        <v>1562</v>
      </c>
      <c r="D578" s="17">
        <f>Github!G$521</f>
        <v>358</v>
      </c>
      <c r="E578" s="17">
        <f>Github!F$521+Github!G$521</f>
        <v>1920</v>
      </c>
      <c r="F578" s="18">
        <f t="shared" si="1"/>
        <v>4.36</v>
      </c>
      <c r="G578" s="17" t="str">
        <f>Github!H$521</f>
        <v>Algorithms</v>
      </c>
      <c r="H578" s="19" t="str">
        <f>SUBSTITUTE(Github!L$521, ";", ", ")</f>
        <v>String, </v>
      </c>
      <c r="I578" s="17" t="str">
        <f>Github!E$521</f>
        <v>Easy</v>
      </c>
      <c r="J578" s="17" t="str">
        <f>IF(TRIM(Github!D$521)="TRUE","FALSE","TRUE")</f>
        <v>TRUE</v>
      </c>
      <c r="K578" s="17" t="b">
        <f>Github!M$521</f>
        <v>1</v>
      </c>
      <c r="L578" s="17" t="b">
        <f>Github!N$521</f>
        <v>0</v>
      </c>
      <c r="M578" s="17" t="str">
        <f>ROUND(Github!O$521, 2)&amp;"%"</f>
        <v>55.71%</v>
      </c>
      <c r="N578" s="17">
        <f>Github!P$521</f>
        <v>258586</v>
      </c>
      <c r="O578" s="17">
        <f>Github!Q$521</f>
        <v>464133</v>
      </c>
    </row>
    <row r="579" ht="18.0" customHeight="1">
      <c r="A579" s="17">
        <f>Github!J$1080</f>
        <v>1079</v>
      </c>
      <c r="B579" s="27" t="str">
        <f>HYPERLINK(CONCAT("http://leetcode.com/problems/",Github!C$1080), Github!B$1080)</f>
        <v>Letter Tile Possibilities</v>
      </c>
      <c r="C579" s="17">
        <f>Github!F$1080</f>
        <v>1563</v>
      </c>
      <c r="D579" s="17">
        <f>Github!G$1080</f>
        <v>45</v>
      </c>
      <c r="E579" s="17">
        <f>Github!F$1080+Github!G$1080</f>
        <v>1608</v>
      </c>
      <c r="F579" s="18">
        <f t="shared" si="1"/>
        <v>34.73</v>
      </c>
      <c r="G579" s="17" t="str">
        <f>Github!H$1080</f>
        <v>Algorithms</v>
      </c>
      <c r="H579" s="19" t="str">
        <f>SUBSTITUTE(Github!L$1080, ";", ", ")</f>
        <v>String, Backtracking, </v>
      </c>
      <c r="I579" s="17" t="str">
        <f>Github!E$1080</f>
        <v>Medium</v>
      </c>
      <c r="J579" s="17" t="str">
        <f>IF(TRIM(Github!D$1080)="TRUE","FALSE","TRUE")</f>
        <v>TRUE</v>
      </c>
      <c r="K579" s="17" t="b">
        <f>Github!M$1080</f>
        <v>0</v>
      </c>
      <c r="L579" s="17" t="b">
        <f>Github!N$1080</f>
        <v>0</v>
      </c>
      <c r="M579" s="17" t="str">
        <f>ROUND(Github!O$1080, 2)&amp;"%"</f>
        <v>76.21%</v>
      </c>
      <c r="N579" s="17">
        <f>Github!P$1080</f>
        <v>65221</v>
      </c>
      <c r="O579" s="17">
        <f>Github!Q$1080</f>
        <v>85578</v>
      </c>
    </row>
    <row r="580" ht="18.0" customHeight="1">
      <c r="A580" s="17">
        <f>Github!J$1090</f>
        <v>1089</v>
      </c>
      <c r="B580" s="27" t="str">
        <f>HYPERLINK(CONCAT("http://leetcode.com/problems/",Github!C$1090), Github!B$1090)</f>
        <v>Duplicate Zeros</v>
      </c>
      <c r="C580" s="17">
        <f>Github!F$1090</f>
        <v>1562</v>
      </c>
      <c r="D580" s="17">
        <f>Github!G$1090</f>
        <v>501</v>
      </c>
      <c r="E580" s="17">
        <f>Github!F$1090+Github!G$1090</f>
        <v>2063</v>
      </c>
      <c r="F580" s="18">
        <f t="shared" si="1"/>
        <v>3.12</v>
      </c>
      <c r="G580" s="17" t="str">
        <f>Github!H$1090</f>
        <v>Algorithms</v>
      </c>
      <c r="H580" s="19" t="str">
        <f>SUBSTITUTE(Github!L$1090, ";", ", ")</f>
        <v>Array, Two Pointers, </v>
      </c>
      <c r="I580" s="17" t="str">
        <f>Github!E$1090</f>
        <v>Easy</v>
      </c>
      <c r="J580" s="17" t="str">
        <f>IF(TRIM(Github!D$1090)="TRUE","FALSE","TRUE")</f>
        <v>TRUE</v>
      </c>
      <c r="K580" s="17" t="b">
        <f>Github!M$1090</f>
        <v>1</v>
      </c>
      <c r="L580" s="17" t="b">
        <f>Github!N$1090</f>
        <v>0</v>
      </c>
      <c r="M580" s="17" t="str">
        <f>ROUND(Github!O$1090, 2)&amp;"%"</f>
        <v>51.12%</v>
      </c>
      <c r="N580" s="17">
        <f>Github!P$1090</f>
        <v>250588</v>
      </c>
      <c r="O580" s="17">
        <f>Github!Q$1090</f>
        <v>490180</v>
      </c>
    </row>
    <row r="581" ht="18.0" customHeight="1">
      <c r="A581" s="17">
        <f>Github!J$564</f>
        <v>563</v>
      </c>
      <c r="B581" s="27" t="str">
        <f>HYPERLINK(CONCAT("http://leetcode.com/problems/",Github!C$564), Github!B$564)</f>
        <v>Binary Tree Tilt</v>
      </c>
      <c r="C581" s="17">
        <f>Github!F$564</f>
        <v>1559</v>
      </c>
      <c r="D581" s="17">
        <f>Github!G$564</f>
        <v>1893</v>
      </c>
      <c r="E581" s="17">
        <f>Github!F$564+Github!G$564</f>
        <v>3452</v>
      </c>
      <c r="F581" s="18">
        <f t="shared" si="1"/>
        <v>0.82</v>
      </c>
      <c r="G581" s="17" t="str">
        <f>Github!H$564</f>
        <v>Algorithms</v>
      </c>
      <c r="H581" s="19" t="str">
        <f>SUBSTITUTE(Github!L$564, ";", ", ")</f>
        <v>Tree, Depth-First Search, Binary Tree, </v>
      </c>
      <c r="I581" s="17" t="str">
        <f>Github!E$564</f>
        <v>Easy</v>
      </c>
      <c r="J581" s="17" t="str">
        <f>IF(TRIM(Github!D$564)="TRUE","FALSE","TRUE")</f>
        <v>TRUE</v>
      </c>
      <c r="K581" s="17" t="b">
        <f>Github!M$564</f>
        <v>1</v>
      </c>
      <c r="L581" s="17" t="b">
        <f>Github!N$564</f>
        <v>0</v>
      </c>
      <c r="M581" s="17" t="str">
        <f>ROUND(Github!O$564, 2)&amp;"%"</f>
        <v>58.29%</v>
      </c>
      <c r="N581" s="17">
        <f>Github!P$564</f>
        <v>162763</v>
      </c>
      <c r="O581" s="17">
        <f>Github!Q$564</f>
        <v>279250</v>
      </c>
    </row>
    <row r="582" ht="18.0" customHeight="1">
      <c r="A582" s="17">
        <f>Github!J$669</f>
        <v>668</v>
      </c>
      <c r="B582" s="27" t="str">
        <f>HYPERLINK(CONCAT("http://leetcode.com/problems/",Github!C$669), Github!B$669)</f>
        <v>Kth Smallest Number in Multiplication Table</v>
      </c>
      <c r="C582" s="17">
        <f>Github!F$669</f>
        <v>1558</v>
      </c>
      <c r="D582" s="17">
        <f>Github!G$669</f>
        <v>44</v>
      </c>
      <c r="E582" s="17">
        <f>Github!F$669+Github!G$669</f>
        <v>1602</v>
      </c>
      <c r="F582" s="18">
        <f t="shared" si="1"/>
        <v>35.41</v>
      </c>
      <c r="G582" s="17" t="str">
        <f>Github!H$669</f>
        <v>Algorithms</v>
      </c>
      <c r="H582" s="19" t="str">
        <f>SUBSTITUTE(Github!L$669, ";", ", ")</f>
        <v>Binary Search, </v>
      </c>
      <c r="I582" s="17" t="str">
        <f>Github!E$669</f>
        <v>Hard</v>
      </c>
      <c r="J582" s="17" t="str">
        <f>IF(TRIM(Github!D$669)="TRUE","FALSE","TRUE")</f>
        <v>TRUE</v>
      </c>
      <c r="K582" s="17" t="b">
        <f>Github!M$669</f>
        <v>1</v>
      </c>
      <c r="L582" s="17" t="b">
        <f>Github!N$669</f>
        <v>0</v>
      </c>
      <c r="M582" s="17" t="str">
        <f>ROUND(Github!O$669, 2)&amp;"%"</f>
        <v>50.89%</v>
      </c>
      <c r="N582" s="17">
        <f>Github!P$669</f>
        <v>47080</v>
      </c>
      <c r="O582" s="17">
        <f>Github!Q$669</f>
        <v>92511</v>
      </c>
    </row>
    <row r="583" ht="18.0" customHeight="1">
      <c r="A583" s="17">
        <f>Github!J$1676</f>
        <v>1675</v>
      </c>
      <c r="B583" s="27" t="str">
        <f>HYPERLINK(CONCAT("http://leetcode.com/problems/",Github!C$1676), Github!B$1676)</f>
        <v>Minimize Deviation in Array</v>
      </c>
      <c r="C583" s="17">
        <f>Github!F$1676</f>
        <v>1556</v>
      </c>
      <c r="D583" s="17">
        <f>Github!G$1676</f>
        <v>79</v>
      </c>
      <c r="E583" s="17">
        <f>Github!F$1676+Github!G$1676</f>
        <v>1635</v>
      </c>
      <c r="F583" s="18">
        <f t="shared" si="1"/>
        <v>19.7</v>
      </c>
      <c r="G583" s="17" t="str">
        <f>Github!H$1676</f>
        <v>Algorithms</v>
      </c>
      <c r="H583" s="19" t="str">
        <f>SUBSTITUTE(Github!L$1676, ";", ", ")</f>
        <v>Array, Greedy, Heap (Priority Queue), Ordered Set, </v>
      </c>
      <c r="I583" s="17" t="str">
        <f>Github!E$1676</f>
        <v>Hard</v>
      </c>
      <c r="J583" s="17" t="str">
        <f>IF(TRIM(Github!D$1676)="TRUE","FALSE","TRUE")</f>
        <v>TRUE</v>
      </c>
      <c r="K583" s="17" t="b">
        <f>Github!M$1676</f>
        <v>1</v>
      </c>
      <c r="L583" s="17" t="b">
        <f>Github!N$1676</f>
        <v>0</v>
      </c>
      <c r="M583" s="17" t="str">
        <f>ROUND(Github!O$1676, 2)&amp;"%"</f>
        <v>52.58%</v>
      </c>
      <c r="N583" s="17">
        <f>Github!P$1676</f>
        <v>42198</v>
      </c>
      <c r="O583" s="17">
        <f>Github!Q$1676</f>
        <v>80256</v>
      </c>
    </row>
    <row r="584" ht="18.0" customHeight="1">
      <c r="A584" s="17">
        <f>Github!J$796</f>
        <v>795</v>
      </c>
      <c r="B584" s="27" t="str">
        <f>HYPERLINK(CONCAT("http://leetcode.com/problems/",Github!C$796), Github!B$796)</f>
        <v>Number of Subarrays with Bounded Maximum</v>
      </c>
      <c r="C584" s="17">
        <f>Github!F$796</f>
        <v>1553</v>
      </c>
      <c r="D584" s="17">
        <f>Github!G$796</f>
        <v>89</v>
      </c>
      <c r="E584" s="17">
        <f>Github!F$796+Github!G$796</f>
        <v>1642</v>
      </c>
      <c r="F584" s="18">
        <f t="shared" si="1"/>
        <v>17.45</v>
      </c>
      <c r="G584" s="17" t="str">
        <f>Github!H$796</f>
        <v>Algorithms</v>
      </c>
      <c r="H584" s="19" t="str">
        <f>SUBSTITUTE(Github!L$796, ";", ", ")</f>
        <v>Array, Two Pointers, </v>
      </c>
      <c r="I584" s="17" t="str">
        <f>Github!E$796</f>
        <v>Medium</v>
      </c>
      <c r="J584" s="17" t="str">
        <f>IF(TRIM(Github!D$796)="TRUE","FALSE","TRUE")</f>
        <v>TRUE</v>
      </c>
      <c r="K584" s="17" t="b">
        <f>Github!M$796</f>
        <v>1</v>
      </c>
      <c r="L584" s="17" t="b">
        <f>Github!N$796</f>
        <v>0</v>
      </c>
      <c r="M584" s="17" t="str">
        <f>ROUND(Github!O$796, 2)&amp;"%"</f>
        <v>52.33%</v>
      </c>
      <c r="N584" s="17">
        <f>Github!P$796</f>
        <v>51127</v>
      </c>
      <c r="O584" s="17">
        <f>Github!Q$796</f>
        <v>97700</v>
      </c>
    </row>
    <row r="585" ht="18.0" customHeight="1">
      <c r="A585" s="17">
        <f>Github!J$637</f>
        <v>636</v>
      </c>
      <c r="B585" s="27" t="str">
        <f>HYPERLINK(CONCAT("http://leetcode.com/problems/",Github!C$637), Github!B$637)</f>
        <v>Exclusive Time of Functions</v>
      </c>
      <c r="C585" s="17">
        <f>Github!F$637</f>
        <v>1548</v>
      </c>
      <c r="D585" s="17">
        <f>Github!G$637</f>
        <v>2318</v>
      </c>
      <c r="E585" s="17">
        <f>Github!F$637+Github!G$637</f>
        <v>3866</v>
      </c>
      <c r="F585" s="18">
        <f t="shared" si="1"/>
        <v>0.67</v>
      </c>
      <c r="G585" s="17" t="str">
        <f>Github!H$637</f>
        <v>Algorithms</v>
      </c>
      <c r="H585" s="19" t="str">
        <f>SUBSTITUTE(Github!L$637, ";", ", ")</f>
        <v>Array, Stack, </v>
      </c>
      <c r="I585" s="17" t="str">
        <f>Github!E$637</f>
        <v>Medium</v>
      </c>
      <c r="J585" s="17" t="str">
        <f>IF(TRIM(Github!D$637)="TRUE","FALSE","TRUE")</f>
        <v>TRUE</v>
      </c>
      <c r="K585" s="17" t="b">
        <f>Github!M$637</f>
        <v>0</v>
      </c>
      <c r="L585" s="17" t="b">
        <f>Github!N$637</f>
        <v>0</v>
      </c>
      <c r="M585" s="17" t="str">
        <f>ROUND(Github!O$637, 2)&amp;"%"</f>
        <v>59.72%</v>
      </c>
      <c r="N585" s="17">
        <f>Github!P$637</f>
        <v>160621</v>
      </c>
      <c r="O585" s="17">
        <f>Github!Q$637</f>
        <v>268988</v>
      </c>
    </row>
    <row r="586" ht="18.0" customHeight="1">
      <c r="A586" s="17">
        <f>Github!J$384</f>
        <v>383</v>
      </c>
      <c r="B586" s="27" t="str">
        <f>HYPERLINK(CONCAT("http://leetcode.com/problems/",Github!C$384), Github!B$384)</f>
        <v>Ransom Note</v>
      </c>
      <c r="C586" s="17">
        <f>Github!F$384</f>
        <v>1549</v>
      </c>
      <c r="D586" s="17">
        <f>Github!G$384</f>
        <v>287</v>
      </c>
      <c r="E586" s="17">
        <f>Github!F$384+Github!G$384</f>
        <v>1836</v>
      </c>
      <c r="F586" s="18">
        <f t="shared" si="1"/>
        <v>5.4</v>
      </c>
      <c r="G586" s="17" t="str">
        <f>Github!H$384</f>
        <v>Algorithms</v>
      </c>
      <c r="H586" s="19" t="str">
        <f>SUBSTITUTE(Github!L$384, ";", ", ")</f>
        <v>Hash Table, String, Counting, </v>
      </c>
      <c r="I586" s="17" t="str">
        <f>Github!E$384</f>
        <v>Easy</v>
      </c>
      <c r="J586" s="17" t="str">
        <f>IF(TRIM(Github!D$384)="TRUE","FALSE","TRUE")</f>
        <v>TRUE</v>
      </c>
      <c r="K586" s="17" t="b">
        <f>Github!M$384</f>
        <v>1</v>
      </c>
      <c r="L586" s="17" t="b">
        <f>Github!N$384</f>
        <v>0</v>
      </c>
      <c r="M586" s="17" t="str">
        <f>ROUND(Github!O$384, 2)&amp;"%"</f>
        <v>55.64%</v>
      </c>
      <c r="N586" s="17">
        <f>Github!P$384</f>
        <v>350094</v>
      </c>
      <c r="O586" s="17">
        <f>Github!Q$384</f>
        <v>629187</v>
      </c>
    </row>
    <row r="587" ht="18.0" customHeight="1">
      <c r="A587" s="17">
        <f>Github!J$1163</f>
        <v>1162</v>
      </c>
      <c r="B587" s="27" t="str">
        <f>HYPERLINK(CONCAT("http://leetcode.com/problems/",Github!C$1163), Github!B$1163)</f>
        <v>As Far from Land as Possible</v>
      </c>
      <c r="C587" s="17">
        <f>Github!F$1163</f>
        <v>1545</v>
      </c>
      <c r="D587" s="17">
        <f>Github!G$1163</f>
        <v>52</v>
      </c>
      <c r="E587" s="17">
        <f>Github!F$1163+Github!G$1163</f>
        <v>1597</v>
      </c>
      <c r="F587" s="18">
        <f t="shared" si="1"/>
        <v>29.71</v>
      </c>
      <c r="G587" s="17" t="str">
        <f>Github!H$1163</f>
        <v>Algorithms</v>
      </c>
      <c r="H587" s="19" t="str">
        <f>SUBSTITUTE(Github!L$1163, ";", ", ")</f>
        <v>Array, Dynamic Programming, Breadth-First Search, Matrix, </v>
      </c>
      <c r="I587" s="17" t="str">
        <f>Github!E$1163</f>
        <v>Medium</v>
      </c>
      <c r="J587" s="17" t="str">
        <f>IF(TRIM(Github!D$1163)="TRUE","FALSE","TRUE")</f>
        <v>TRUE</v>
      </c>
      <c r="K587" s="17" t="b">
        <f>Github!M$1163</f>
        <v>0</v>
      </c>
      <c r="L587" s="17" t="b">
        <f>Github!N$1163</f>
        <v>0</v>
      </c>
      <c r="M587" s="17" t="str">
        <f>ROUND(Github!O$1163, 2)&amp;"%"</f>
        <v>47.85%</v>
      </c>
      <c r="N587" s="17">
        <f>Github!P$1163</f>
        <v>53621</v>
      </c>
      <c r="O587" s="17">
        <f>Github!Q$1163</f>
        <v>112066</v>
      </c>
    </row>
    <row r="588" ht="18.0" customHeight="1">
      <c r="A588" s="17">
        <f>Github!J$382</f>
        <v>381</v>
      </c>
      <c r="B588" s="27" t="str">
        <f>HYPERLINK(CONCAT("http://leetcode.com/problems/",Github!C$382), Github!B$382)</f>
        <v>Insert Delete GetRandom O(1) - Duplicates allowed</v>
      </c>
      <c r="C588" s="17">
        <f>Github!F$382</f>
        <v>1540</v>
      </c>
      <c r="D588" s="17">
        <f>Github!G$382</f>
        <v>112</v>
      </c>
      <c r="E588" s="17">
        <f>Github!F$382+Github!G$382</f>
        <v>1652</v>
      </c>
      <c r="F588" s="18">
        <f t="shared" si="1"/>
        <v>13.75</v>
      </c>
      <c r="G588" s="17" t="str">
        <f>Github!H$382</f>
        <v>Algorithms</v>
      </c>
      <c r="H588" s="19" t="str">
        <f>SUBSTITUTE(Github!L$382, ";", ", ")</f>
        <v>Array, Hash Table, Math, Design, Randomized, </v>
      </c>
      <c r="I588" s="17" t="str">
        <f>Github!E$382</f>
        <v>Hard</v>
      </c>
      <c r="J588" s="17" t="str">
        <f>IF(TRIM(Github!D$382)="TRUE","FALSE","TRUE")</f>
        <v>TRUE</v>
      </c>
      <c r="K588" s="17" t="b">
        <f>Github!M$382</f>
        <v>1</v>
      </c>
      <c r="L588" s="17" t="b">
        <f>Github!N$382</f>
        <v>0</v>
      </c>
      <c r="M588" s="17" t="str">
        <f>ROUND(Github!O$382, 2)&amp;"%"</f>
        <v>35.42%</v>
      </c>
      <c r="N588" s="17">
        <f>Github!P$382</f>
        <v>104138</v>
      </c>
      <c r="O588" s="17">
        <f>Github!Q$382</f>
        <v>293975</v>
      </c>
    </row>
    <row r="589" ht="18.0" customHeight="1">
      <c r="A589" s="17">
        <f>Github!J$952</f>
        <v>951</v>
      </c>
      <c r="B589" s="27" t="str">
        <f>HYPERLINK(CONCAT("http://leetcode.com/problems/",Github!C$952), Github!B$952)</f>
        <v>Flip Equivalent Binary Trees</v>
      </c>
      <c r="C589" s="17">
        <f>Github!F$952</f>
        <v>1541</v>
      </c>
      <c r="D589" s="17">
        <f>Github!G$952</f>
        <v>69</v>
      </c>
      <c r="E589" s="17">
        <f>Github!F$952+Github!G$952</f>
        <v>1610</v>
      </c>
      <c r="F589" s="18">
        <f t="shared" si="1"/>
        <v>22.33</v>
      </c>
      <c r="G589" s="17" t="str">
        <f>Github!H$952</f>
        <v>Algorithms</v>
      </c>
      <c r="H589" s="19" t="str">
        <f>SUBSTITUTE(Github!L$952, ";", ", ")</f>
        <v>Tree, Depth-First Search, Binary Tree, </v>
      </c>
      <c r="I589" s="17" t="str">
        <f>Github!E$952</f>
        <v>Medium</v>
      </c>
      <c r="J589" s="17" t="str">
        <f>IF(TRIM(Github!D$952)="TRUE","FALSE","TRUE")</f>
        <v>TRUE</v>
      </c>
      <c r="K589" s="17" t="b">
        <f>Github!M$952</f>
        <v>1</v>
      </c>
      <c r="L589" s="17" t="b">
        <f>Github!N$952</f>
        <v>0</v>
      </c>
      <c r="M589" s="17" t="str">
        <f>ROUND(Github!O$952, 2)&amp;"%"</f>
        <v>66.61%</v>
      </c>
      <c r="N589" s="17">
        <f>Github!P$952</f>
        <v>105354</v>
      </c>
      <c r="O589" s="17">
        <f>Github!Q$952</f>
        <v>158158</v>
      </c>
    </row>
    <row r="590" ht="18.0" customHeight="1">
      <c r="A590" s="17">
        <f>Github!J$1330</f>
        <v>1329</v>
      </c>
      <c r="B590" s="27" t="str">
        <f>HYPERLINK(CONCAT("http://leetcode.com/problems/",Github!C$1330), Github!B$1330)</f>
        <v>Sort the Matrix Diagonally</v>
      </c>
      <c r="C590" s="17">
        <f>Github!F$1330</f>
        <v>1533</v>
      </c>
      <c r="D590" s="17">
        <f>Github!G$1330</f>
        <v>173</v>
      </c>
      <c r="E590" s="17">
        <f>Github!F$1330+Github!G$1330</f>
        <v>1706</v>
      </c>
      <c r="F590" s="18">
        <f t="shared" si="1"/>
        <v>8.86</v>
      </c>
      <c r="G590" s="17" t="str">
        <f>Github!H$1330</f>
        <v>Algorithms</v>
      </c>
      <c r="H590" s="19" t="str">
        <f>SUBSTITUTE(Github!L$1330, ";", ", ")</f>
        <v>Array, Sorting, Matrix, </v>
      </c>
      <c r="I590" s="17" t="str">
        <f>Github!E$1330</f>
        <v>Medium</v>
      </c>
      <c r="J590" s="17" t="str">
        <f>IF(TRIM(Github!D$1330)="TRUE","FALSE","TRUE")</f>
        <v>TRUE</v>
      </c>
      <c r="K590" s="17" t="b">
        <f>Github!M$1330</f>
        <v>1</v>
      </c>
      <c r="L590" s="17" t="b">
        <f>Github!N$1330</f>
        <v>1</v>
      </c>
      <c r="M590" s="17" t="str">
        <f>ROUND(Github!O$1330, 2)&amp;"%"</f>
        <v>81.35%</v>
      </c>
      <c r="N590" s="17">
        <f>Github!P$1330</f>
        <v>80620</v>
      </c>
      <c r="O590" s="17">
        <f>Github!Q$1330</f>
        <v>99097</v>
      </c>
    </row>
    <row r="591" ht="18.0" customHeight="1">
      <c r="A591" s="17">
        <f>Github!J$766</f>
        <v>765</v>
      </c>
      <c r="B591" s="27" t="str">
        <f>HYPERLINK(CONCAT("http://leetcode.com/problems/",Github!C$766), Github!B$766)</f>
        <v>Couples Holding Hands</v>
      </c>
      <c r="C591" s="17">
        <f>Github!F$766</f>
        <v>1531</v>
      </c>
      <c r="D591" s="17">
        <f>Github!G$766</f>
        <v>83</v>
      </c>
      <c r="E591" s="17">
        <f>Github!F$766+Github!G$766</f>
        <v>1614</v>
      </c>
      <c r="F591" s="18">
        <f t="shared" si="1"/>
        <v>18.45</v>
      </c>
      <c r="G591" s="17" t="str">
        <f>Github!H$766</f>
        <v>Algorithms</v>
      </c>
      <c r="H591" s="19" t="str">
        <f>SUBSTITUTE(Github!L$766, ";", ", ")</f>
        <v>Greedy, Depth-First Search, Breadth-First Search, Union Find, Graph, </v>
      </c>
      <c r="I591" s="17" t="str">
        <f>Github!E$766</f>
        <v>Hard</v>
      </c>
      <c r="J591" s="17" t="str">
        <f>IF(TRIM(Github!D$766)="TRUE","FALSE","TRUE")</f>
        <v>TRUE</v>
      </c>
      <c r="K591" s="17" t="b">
        <f>Github!M$766</f>
        <v>1</v>
      </c>
      <c r="L591" s="17" t="b">
        <f>Github!N$766</f>
        <v>0</v>
      </c>
      <c r="M591" s="17" t="str">
        <f>ROUND(Github!O$766, 2)&amp;"%"</f>
        <v>56.34%</v>
      </c>
      <c r="N591" s="17">
        <f>Github!P$766</f>
        <v>42114</v>
      </c>
      <c r="O591" s="17">
        <f>Github!Q$766</f>
        <v>74745</v>
      </c>
    </row>
    <row r="592" ht="18.0" customHeight="1">
      <c r="A592" s="17">
        <f>Github!J$784</f>
        <v>783</v>
      </c>
      <c r="B592" s="27" t="str">
        <f>HYPERLINK(CONCAT("http://leetcode.com/problems/",Github!C$784), Github!B$784)</f>
        <v>Minimum Distance Between BST Nodes</v>
      </c>
      <c r="C592" s="17">
        <f>Github!F$784</f>
        <v>1531</v>
      </c>
      <c r="D592" s="17">
        <f>Github!G$784</f>
        <v>308</v>
      </c>
      <c r="E592" s="17">
        <f>Github!F$784+Github!G$784</f>
        <v>1839</v>
      </c>
      <c r="F592" s="18">
        <f t="shared" si="1"/>
        <v>4.97</v>
      </c>
      <c r="G592" s="17" t="str">
        <f>Github!H$784</f>
        <v>Algorithms</v>
      </c>
      <c r="H592" s="19" t="str">
        <f>SUBSTITUTE(Github!L$784, ";", ", ")</f>
        <v>Tree, Depth-First Search, Breadth-First Search, Binary Search Tree, Binary Tree, </v>
      </c>
      <c r="I592" s="17" t="str">
        <f>Github!E$784</f>
        <v>Easy</v>
      </c>
      <c r="J592" s="17" t="str">
        <f>IF(TRIM(Github!D$784)="TRUE","FALSE","TRUE")</f>
        <v>TRUE</v>
      </c>
      <c r="K592" s="17" t="b">
        <f>Github!M$784</f>
        <v>1</v>
      </c>
      <c r="L592" s="17" t="b">
        <f>Github!N$784</f>
        <v>0</v>
      </c>
      <c r="M592" s="17" t="str">
        <f>ROUND(Github!O$784, 2)&amp;"%"</f>
        <v>55.88%</v>
      </c>
      <c r="N592" s="17">
        <f>Github!P$784</f>
        <v>116126</v>
      </c>
      <c r="O592" s="17">
        <f>Github!Q$784</f>
        <v>207796</v>
      </c>
    </row>
    <row r="593" ht="18.0" customHeight="1">
      <c r="A593" s="17">
        <f>Github!J$166</f>
        <v>165</v>
      </c>
      <c r="B593" s="27" t="str">
        <f>HYPERLINK(CONCAT("http://leetcode.com/problems/",Github!C$166), Github!B$166)</f>
        <v>Compare Version Numbers</v>
      </c>
      <c r="C593" s="17">
        <f>Github!F$166</f>
        <v>1531</v>
      </c>
      <c r="D593" s="17">
        <f>Github!G$166</f>
        <v>2212</v>
      </c>
      <c r="E593" s="17">
        <f>Github!F$166+Github!G$166</f>
        <v>3743</v>
      </c>
      <c r="F593" s="18">
        <f t="shared" si="1"/>
        <v>0.69</v>
      </c>
      <c r="G593" s="17" t="str">
        <f>Github!H$166</f>
        <v>Algorithms</v>
      </c>
      <c r="H593" s="19" t="str">
        <f>SUBSTITUTE(Github!L$166, ";", ", ")</f>
        <v>Two Pointers, String, </v>
      </c>
      <c r="I593" s="17" t="str">
        <f>Github!E$166</f>
        <v>Medium</v>
      </c>
      <c r="J593" s="17" t="str">
        <f>IF(TRIM(Github!D$166)="TRUE","FALSE","TRUE")</f>
        <v>TRUE</v>
      </c>
      <c r="K593" s="17" t="b">
        <f>Github!M$166</f>
        <v>1</v>
      </c>
      <c r="L593" s="17" t="b">
        <f>Github!N$166</f>
        <v>0</v>
      </c>
      <c r="M593" s="17" t="str">
        <f>ROUND(Github!O$166, 2)&amp;"%"</f>
        <v>34.32%</v>
      </c>
      <c r="N593" s="17">
        <f>Github!P$166</f>
        <v>309158</v>
      </c>
      <c r="O593" s="17">
        <f>Github!Q$166</f>
        <v>900849</v>
      </c>
    </row>
    <row r="594" ht="18.0" customHeight="1">
      <c r="A594" s="17">
        <f>Github!J$1147</f>
        <v>1146</v>
      </c>
      <c r="B594" s="27" t="str">
        <f>HYPERLINK(CONCAT("http://leetcode.com/problems/",Github!C$1147), Github!B$1147)</f>
        <v>Snapshot Array</v>
      </c>
      <c r="C594" s="17">
        <f>Github!F$1147</f>
        <v>1528</v>
      </c>
      <c r="D594" s="17">
        <f>Github!G$1147</f>
        <v>237</v>
      </c>
      <c r="E594" s="17">
        <f>Github!F$1147+Github!G$1147</f>
        <v>1765</v>
      </c>
      <c r="F594" s="18">
        <f t="shared" si="1"/>
        <v>6.45</v>
      </c>
      <c r="G594" s="17" t="str">
        <f>Github!H$1147</f>
        <v>Algorithms</v>
      </c>
      <c r="H594" s="19" t="str">
        <f>SUBSTITUTE(Github!L$1147, ";", ", ")</f>
        <v>Array, Hash Table, Binary Search, Design, </v>
      </c>
      <c r="I594" s="17" t="str">
        <f>Github!E$1147</f>
        <v>Medium</v>
      </c>
      <c r="J594" s="17" t="str">
        <f>IF(TRIM(Github!D$1147)="TRUE","FALSE","TRUE")</f>
        <v>TRUE</v>
      </c>
      <c r="K594" s="17" t="b">
        <f>Github!M$1147</f>
        <v>0</v>
      </c>
      <c r="L594" s="17" t="b">
        <f>Github!N$1147</f>
        <v>0</v>
      </c>
      <c r="M594" s="17" t="str">
        <f>ROUND(Github!O$1147, 2)&amp;"%"</f>
        <v>37.02%</v>
      </c>
      <c r="N594" s="17">
        <f>Github!P$1147</f>
        <v>97639</v>
      </c>
      <c r="O594" s="17">
        <f>Github!Q$1147</f>
        <v>263743</v>
      </c>
    </row>
    <row r="595" ht="18.0" customHeight="1">
      <c r="A595" s="17">
        <f>Github!J$474</f>
        <v>473</v>
      </c>
      <c r="B595" s="27" t="str">
        <f>HYPERLINK(CONCAT("http://leetcode.com/problems/",Github!C$474), Github!B$474)</f>
        <v>Matchsticks to Square</v>
      </c>
      <c r="C595" s="17">
        <f>Github!F$474</f>
        <v>1526</v>
      </c>
      <c r="D595" s="17">
        <f>Github!G$474</f>
        <v>119</v>
      </c>
      <c r="E595" s="17">
        <f>Github!F$474+Github!G$474</f>
        <v>1645</v>
      </c>
      <c r="F595" s="18">
        <f t="shared" si="1"/>
        <v>12.82</v>
      </c>
      <c r="G595" s="17" t="str">
        <f>Github!H$474</f>
        <v>Algorithms</v>
      </c>
      <c r="H595" s="19" t="str">
        <f>SUBSTITUTE(Github!L$474, ";", ", ")</f>
        <v>Array, Dynamic Programming, Backtracking, Bit Manipulation, Bitmask, </v>
      </c>
      <c r="I595" s="17" t="str">
        <f>Github!E$474</f>
        <v>Medium</v>
      </c>
      <c r="J595" s="17" t="str">
        <f>IF(TRIM(Github!D$474)="TRUE","FALSE","TRUE")</f>
        <v>TRUE</v>
      </c>
      <c r="K595" s="17" t="b">
        <f>Github!M$474</f>
        <v>1</v>
      </c>
      <c r="L595" s="17" t="b">
        <f>Github!N$474</f>
        <v>0</v>
      </c>
      <c r="M595" s="17" t="str">
        <f>ROUND(Github!O$474, 2)&amp;"%"</f>
        <v>40.38%</v>
      </c>
      <c r="N595" s="17">
        <f>Github!P$474</f>
        <v>74695</v>
      </c>
      <c r="O595" s="17">
        <f>Github!Q$474</f>
        <v>184992</v>
      </c>
    </row>
    <row r="596" ht="18.0" customHeight="1">
      <c r="A596" s="17">
        <f>Github!J$926</f>
        <v>925</v>
      </c>
      <c r="B596" s="27" t="str">
        <f>HYPERLINK(CONCAT("http://leetcode.com/problems/",Github!C$926), Github!B$926)</f>
        <v>Long Pressed Name</v>
      </c>
      <c r="C596" s="17">
        <f>Github!F$926</f>
        <v>1525</v>
      </c>
      <c r="D596" s="17">
        <f>Github!G$926</f>
        <v>234</v>
      </c>
      <c r="E596" s="17">
        <f>Github!F$926+Github!G$926</f>
        <v>1759</v>
      </c>
      <c r="F596" s="18">
        <f t="shared" si="1"/>
        <v>6.52</v>
      </c>
      <c r="G596" s="17" t="str">
        <f>Github!H$926</f>
        <v>Algorithms</v>
      </c>
      <c r="H596" s="19" t="str">
        <f>SUBSTITUTE(Github!L$926, ";", ", ")</f>
        <v>Two Pointers, String, </v>
      </c>
      <c r="I596" s="17" t="str">
        <f>Github!E$926</f>
        <v>Easy</v>
      </c>
      <c r="J596" s="17" t="str">
        <f>IF(TRIM(Github!D$926)="TRUE","FALSE","TRUE")</f>
        <v>TRUE</v>
      </c>
      <c r="K596" s="17" t="b">
        <f>Github!M$926</f>
        <v>0</v>
      </c>
      <c r="L596" s="17" t="b">
        <f>Github!N$926</f>
        <v>0</v>
      </c>
      <c r="M596" s="17" t="str">
        <f>ROUND(Github!O$926, 2)&amp;"%"</f>
        <v>34.89%</v>
      </c>
      <c r="N596" s="17">
        <f>Github!P$926</f>
        <v>89200</v>
      </c>
      <c r="O596" s="17">
        <f>Github!Q$926</f>
        <v>255686</v>
      </c>
    </row>
    <row r="597" ht="18.0" customHeight="1">
      <c r="A597" s="17">
        <f>Github!J$1377</f>
        <v>1376</v>
      </c>
      <c r="B597" s="27" t="str">
        <f>HYPERLINK(CONCAT("http://leetcode.com/problems/",Github!C$1377), Github!B$1377)</f>
        <v>Time Needed to Inform All Employees</v>
      </c>
      <c r="C597" s="17">
        <f>Github!F$1377</f>
        <v>1523</v>
      </c>
      <c r="D597" s="17">
        <f>Github!G$1377</f>
        <v>89</v>
      </c>
      <c r="E597" s="17">
        <f>Github!F$1377+Github!G$1377</f>
        <v>1612</v>
      </c>
      <c r="F597" s="18">
        <f t="shared" si="1"/>
        <v>17.11</v>
      </c>
      <c r="G597" s="17" t="str">
        <f>Github!H$1377</f>
        <v>Algorithms</v>
      </c>
      <c r="H597" s="19" t="str">
        <f>SUBSTITUTE(Github!L$1377, ";", ", ")</f>
        <v>Tree, Depth-First Search, Breadth-First Search, </v>
      </c>
      <c r="I597" s="17" t="str">
        <f>Github!E$1377</f>
        <v>Medium</v>
      </c>
      <c r="J597" s="17" t="str">
        <f>IF(TRIM(Github!D$1377)="TRUE","FALSE","TRUE")</f>
        <v>TRUE</v>
      </c>
      <c r="K597" s="17" t="b">
        <f>Github!M$1377</f>
        <v>0</v>
      </c>
      <c r="L597" s="17" t="b">
        <f>Github!N$1377</f>
        <v>0</v>
      </c>
      <c r="M597" s="17" t="str">
        <f>ROUND(Github!O$1377, 2)&amp;"%"</f>
        <v>57.85%</v>
      </c>
      <c r="N597" s="17">
        <f>Github!P$1377</f>
        <v>81283</v>
      </c>
      <c r="O597" s="17">
        <f>Github!Q$1377</f>
        <v>140495</v>
      </c>
    </row>
    <row r="598" ht="18.0" customHeight="1">
      <c r="A598" s="17">
        <f>Github!J$691</f>
        <v>690</v>
      </c>
      <c r="B598" s="27" t="str">
        <f>HYPERLINK(CONCAT("http://leetcode.com/problems/",Github!C$691), Github!B$691)</f>
        <v>Employee Importance</v>
      </c>
      <c r="C598" s="17">
        <f>Github!F$691</f>
        <v>1515</v>
      </c>
      <c r="D598" s="17">
        <f>Github!G$691</f>
        <v>1216</v>
      </c>
      <c r="E598" s="17">
        <f>Github!F$691+Github!G$691</f>
        <v>2731</v>
      </c>
      <c r="F598" s="18">
        <f t="shared" si="1"/>
        <v>1.25</v>
      </c>
      <c r="G598" s="17" t="str">
        <f>Github!H$691</f>
        <v>Algorithms</v>
      </c>
      <c r="H598" s="19" t="str">
        <f>SUBSTITUTE(Github!L$691, ";", ", ")</f>
        <v>Hash Table, Depth-First Search, Breadth-First Search, </v>
      </c>
      <c r="I598" s="17" t="str">
        <f>Github!E$691</f>
        <v>Medium</v>
      </c>
      <c r="J598" s="17" t="str">
        <f>IF(TRIM(Github!D$691)="TRUE","FALSE","TRUE")</f>
        <v>TRUE</v>
      </c>
      <c r="K598" s="17" t="b">
        <f>Github!M$691</f>
        <v>1</v>
      </c>
      <c r="L598" s="17" t="b">
        <f>Github!N$691</f>
        <v>0</v>
      </c>
      <c r="M598" s="17" t="str">
        <f>ROUND(Github!O$691, 2)&amp;"%"</f>
        <v>63.58%</v>
      </c>
      <c r="N598" s="17">
        <f>Github!P$691</f>
        <v>168199</v>
      </c>
      <c r="O598" s="17">
        <f>Github!Q$691</f>
        <v>264529</v>
      </c>
    </row>
    <row r="599" ht="18.0" customHeight="1">
      <c r="A599" s="17">
        <f>Github!J$814</f>
        <v>813</v>
      </c>
      <c r="B599" s="27" t="str">
        <f>HYPERLINK(CONCAT("http://leetcode.com/problems/",Github!C$814), Github!B$814)</f>
        <v>Largest Sum of Averages</v>
      </c>
      <c r="C599" s="17">
        <f>Github!F$814</f>
        <v>1515</v>
      </c>
      <c r="D599" s="17">
        <f>Github!G$814</f>
        <v>75</v>
      </c>
      <c r="E599" s="17">
        <f>Github!F$814+Github!G$814</f>
        <v>1590</v>
      </c>
      <c r="F599" s="18">
        <f t="shared" si="1"/>
        <v>20.2</v>
      </c>
      <c r="G599" s="17" t="str">
        <f>Github!H$814</f>
        <v>Algorithms</v>
      </c>
      <c r="H599" s="19" t="str">
        <f>SUBSTITUTE(Github!L$814, ";", ", ")</f>
        <v>Array, Dynamic Programming, </v>
      </c>
      <c r="I599" s="17" t="str">
        <f>Github!E$814</f>
        <v>Medium</v>
      </c>
      <c r="J599" s="17" t="str">
        <f>IF(TRIM(Github!D$814)="TRUE","FALSE","TRUE")</f>
        <v>TRUE</v>
      </c>
      <c r="K599" s="17" t="b">
        <f>Github!M$814</f>
        <v>1</v>
      </c>
      <c r="L599" s="17" t="b">
        <f>Github!N$814</f>
        <v>0</v>
      </c>
      <c r="M599" s="17" t="str">
        <f>ROUND(Github!O$814, 2)&amp;"%"</f>
        <v>52.25%</v>
      </c>
      <c r="N599" s="17">
        <f>Github!P$814</f>
        <v>38682</v>
      </c>
      <c r="O599" s="17">
        <f>Github!Q$814</f>
        <v>74038</v>
      </c>
    </row>
    <row r="600" ht="18.0" customHeight="1">
      <c r="A600" s="17">
        <f>Github!J$1343</f>
        <v>1342</v>
      </c>
      <c r="B600" s="27" t="str">
        <f>HYPERLINK(CONCAT("http://leetcode.com/problems/",Github!C$1343), Github!B$1343)</f>
        <v>Number of Steps to Reduce a Number to Zero</v>
      </c>
      <c r="C600" s="17">
        <f>Github!F$1343</f>
        <v>1515</v>
      </c>
      <c r="D600" s="17">
        <f>Github!G$1343</f>
        <v>103</v>
      </c>
      <c r="E600" s="17">
        <f>Github!F$1343+Github!G$1343</f>
        <v>1618</v>
      </c>
      <c r="F600" s="18">
        <f t="shared" si="1"/>
        <v>14.71</v>
      </c>
      <c r="G600" s="17" t="str">
        <f>Github!H$1343</f>
        <v>Algorithms</v>
      </c>
      <c r="H600" s="19" t="str">
        <f>SUBSTITUTE(Github!L$1343, ";", ", ")</f>
        <v>Math, Bit Manipulation, </v>
      </c>
      <c r="I600" s="17" t="str">
        <f>Github!E$1343</f>
        <v>Easy</v>
      </c>
      <c r="J600" s="17" t="str">
        <f>IF(TRIM(Github!D$1343)="TRUE","FALSE","TRUE")</f>
        <v>TRUE</v>
      </c>
      <c r="K600" s="17" t="b">
        <f>Github!M$1343</f>
        <v>1</v>
      </c>
      <c r="L600" s="17" t="b">
        <f>Github!N$1343</f>
        <v>0</v>
      </c>
      <c r="M600" s="17" t="str">
        <f>ROUND(Github!O$1343, 2)&amp;"%"</f>
        <v>85.71%</v>
      </c>
      <c r="N600" s="17">
        <f>Github!P$1343</f>
        <v>242318</v>
      </c>
      <c r="O600" s="17">
        <f>Github!Q$1343</f>
        <v>282722</v>
      </c>
    </row>
    <row r="601" ht="18.0" customHeight="1">
      <c r="A601" s="17">
        <f>Github!J$167</f>
        <v>166</v>
      </c>
      <c r="B601" s="27" t="str">
        <f>HYPERLINK(CONCAT("http://leetcode.com/problems/",Github!C$167), Github!B$167)</f>
        <v>Fraction to Recurring Decimal</v>
      </c>
      <c r="C601" s="17">
        <f>Github!F$167</f>
        <v>1511</v>
      </c>
      <c r="D601" s="17">
        <f>Github!G$167</f>
        <v>2857</v>
      </c>
      <c r="E601" s="17">
        <f>Github!F$167+Github!G$167</f>
        <v>4368</v>
      </c>
      <c r="F601" s="18">
        <f t="shared" si="1"/>
        <v>0.53</v>
      </c>
      <c r="G601" s="17" t="str">
        <f>Github!H$167</f>
        <v>Algorithms</v>
      </c>
      <c r="H601" s="19" t="str">
        <f>SUBSTITUTE(Github!L$167, ";", ", ")</f>
        <v>Hash Table, Math, String, </v>
      </c>
      <c r="I601" s="17" t="str">
        <f>Github!E$167</f>
        <v>Medium</v>
      </c>
      <c r="J601" s="17" t="str">
        <f>IF(TRIM(Github!D$167)="TRUE","FALSE","TRUE")</f>
        <v>TRUE</v>
      </c>
      <c r="K601" s="17" t="b">
        <f>Github!M$167</f>
        <v>1</v>
      </c>
      <c r="L601" s="17" t="b">
        <f>Github!N$167</f>
        <v>0</v>
      </c>
      <c r="M601" s="17" t="str">
        <f>ROUND(Github!O$167, 2)&amp;"%"</f>
        <v>23.45%</v>
      </c>
      <c r="N601" s="17">
        <f>Github!P$167</f>
        <v>178249</v>
      </c>
      <c r="O601" s="17">
        <f>Github!Q$167</f>
        <v>760073</v>
      </c>
    </row>
    <row r="602" ht="18.0" customHeight="1">
      <c r="A602" s="17">
        <f>Github!J$591</f>
        <v>590</v>
      </c>
      <c r="B602" s="27" t="str">
        <f>HYPERLINK(CONCAT("http://leetcode.com/problems/",Github!C$591), Github!B$591)</f>
        <v>N-ary Tree Postorder Traversal</v>
      </c>
      <c r="C602" s="17">
        <f>Github!F$591</f>
        <v>1501</v>
      </c>
      <c r="D602" s="17">
        <f>Github!G$591</f>
        <v>79</v>
      </c>
      <c r="E602" s="17">
        <f>Github!F$591+Github!G$591</f>
        <v>1580</v>
      </c>
      <c r="F602" s="18">
        <f t="shared" si="1"/>
        <v>19</v>
      </c>
      <c r="G602" s="17" t="str">
        <f>Github!H$591</f>
        <v>Algorithms</v>
      </c>
      <c r="H602" s="19" t="str">
        <f>SUBSTITUTE(Github!L$591, ";", ", ")</f>
        <v>Stack, Tree, Depth-First Search, </v>
      </c>
      <c r="I602" s="17" t="str">
        <f>Github!E$591</f>
        <v>Easy</v>
      </c>
      <c r="J602" s="17" t="str">
        <f>IF(TRIM(Github!D$591)="TRUE","FALSE","TRUE")</f>
        <v>TRUE</v>
      </c>
      <c r="K602" s="17" t="b">
        <f>Github!M$591</f>
        <v>1</v>
      </c>
      <c r="L602" s="17" t="b">
        <f>Github!N$591</f>
        <v>0</v>
      </c>
      <c r="M602" s="17" t="str">
        <f>ROUND(Github!O$591, 2)&amp;"%"</f>
        <v>75.91%</v>
      </c>
      <c r="N602" s="17">
        <f>Github!P$591</f>
        <v>173547</v>
      </c>
      <c r="O602" s="17">
        <f>Github!Q$591</f>
        <v>228618</v>
      </c>
    </row>
    <row r="603" ht="18.0" customHeight="1">
      <c r="A603" s="17">
        <f>Github!J$1659</f>
        <v>1658</v>
      </c>
      <c r="B603" s="27" t="str">
        <f>HYPERLINK(CONCAT("http://leetcode.com/problems/",Github!C$1659), Github!B$1659)</f>
        <v>Minimum Operations to Reduce X to Zero</v>
      </c>
      <c r="C603" s="17">
        <f>Github!F$1659</f>
        <v>1501</v>
      </c>
      <c r="D603" s="17">
        <f>Github!G$1659</f>
        <v>28</v>
      </c>
      <c r="E603" s="17">
        <f>Github!F$1659+Github!G$1659</f>
        <v>1529</v>
      </c>
      <c r="F603" s="18">
        <f t="shared" si="1"/>
        <v>53.61</v>
      </c>
      <c r="G603" s="17" t="str">
        <f>Github!H$1659</f>
        <v>Algorithms</v>
      </c>
      <c r="H603" s="19" t="str">
        <f>SUBSTITUTE(Github!L$1659, ";", ", ")</f>
        <v>Array, Hash Table, Binary Search, Sliding Window, Prefix Sum, </v>
      </c>
      <c r="I603" s="17" t="str">
        <f>Github!E$1659</f>
        <v>Medium</v>
      </c>
      <c r="J603" s="17" t="str">
        <f>IF(TRIM(Github!D$1659)="TRUE","FALSE","TRUE")</f>
        <v>TRUE</v>
      </c>
      <c r="K603" s="17" t="b">
        <f>Github!M$1659</f>
        <v>1</v>
      </c>
      <c r="L603" s="17" t="b">
        <f>Github!N$1659</f>
        <v>0</v>
      </c>
      <c r="M603" s="17" t="str">
        <f>ROUND(Github!O$1659, 2)&amp;"%"</f>
        <v>33.49%</v>
      </c>
      <c r="N603" s="17">
        <f>Github!P$1659</f>
        <v>44584</v>
      </c>
      <c r="O603" s="17">
        <f>Github!Q$1659</f>
        <v>133128</v>
      </c>
    </row>
    <row r="604" ht="18.0" customHeight="1">
      <c r="A604" s="17">
        <f>Github!J$686</f>
        <v>685</v>
      </c>
      <c r="B604" s="27" t="str">
        <f>HYPERLINK(CONCAT("http://leetcode.com/problems/",Github!C$686), Github!B$686)</f>
        <v>Redundant Connection II</v>
      </c>
      <c r="C604" s="17">
        <f>Github!F$686</f>
        <v>1498</v>
      </c>
      <c r="D604" s="17">
        <f>Github!G$686</f>
        <v>264</v>
      </c>
      <c r="E604" s="17">
        <f>Github!F$686+Github!G$686</f>
        <v>1762</v>
      </c>
      <c r="F604" s="18">
        <f t="shared" si="1"/>
        <v>5.67</v>
      </c>
      <c r="G604" s="17" t="str">
        <f>Github!H$686</f>
        <v>Algorithms</v>
      </c>
      <c r="H604" s="19" t="str">
        <f>SUBSTITUTE(Github!L$686, ";", ", ")</f>
        <v>Depth-First Search, Breadth-First Search, Union Find, Graph, </v>
      </c>
      <c r="I604" s="17" t="str">
        <f>Github!E$686</f>
        <v>Hard</v>
      </c>
      <c r="J604" s="17" t="str">
        <f>IF(TRIM(Github!D$686)="TRUE","FALSE","TRUE")</f>
        <v>TRUE</v>
      </c>
      <c r="K604" s="17" t="b">
        <f>Github!M$686</f>
        <v>0</v>
      </c>
      <c r="L604" s="17" t="b">
        <f>Github!N$686</f>
        <v>0</v>
      </c>
      <c r="M604" s="17" t="str">
        <f>ROUND(Github!O$686, 2)&amp;"%"</f>
        <v>33.65%</v>
      </c>
      <c r="N604" s="17">
        <f>Github!P$686</f>
        <v>50348</v>
      </c>
      <c r="O604" s="17">
        <f>Github!Q$686</f>
        <v>149620</v>
      </c>
    </row>
    <row r="605" ht="18.0" customHeight="1">
      <c r="A605" s="17">
        <f>Github!J$595</f>
        <v>594</v>
      </c>
      <c r="B605" s="27" t="str">
        <f>HYPERLINK(CONCAT("http://leetcode.com/problems/",Github!C$595), Github!B$595)</f>
        <v>Longest Harmonious Subsequence</v>
      </c>
      <c r="C605" s="17">
        <f>Github!F$595</f>
        <v>1496</v>
      </c>
      <c r="D605" s="17">
        <f>Github!G$595</f>
        <v>147</v>
      </c>
      <c r="E605" s="17">
        <f>Github!F$595+Github!G$595</f>
        <v>1643</v>
      </c>
      <c r="F605" s="18">
        <f t="shared" si="1"/>
        <v>10.18</v>
      </c>
      <c r="G605" s="17" t="str">
        <f>Github!H$595</f>
        <v>Algorithms</v>
      </c>
      <c r="H605" s="19" t="str">
        <f>SUBSTITUTE(Github!L$595, ";", ", ")</f>
        <v>Array, Hash Table, Sorting, </v>
      </c>
      <c r="I605" s="17" t="str">
        <f>Github!E$595</f>
        <v>Easy</v>
      </c>
      <c r="J605" s="17" t="str">
        <f>IF(TRIM(Github!D$595)="TRUE","FALSE","TRUE")</f>
        <v>TRUE</v>
      </c>
      <c r="K605" s="17" t="b">
        <f>Github!M$595</f>
        <v>1</v>
      </c>
      <c r="L605" s="17" t="b">
        <f>Github!N$595</f>
        <v>0</v>
      </c>
      <c r="M605" s="17" t="str">
        <f>ROUND(Github!O$595, 2)&amp;"%"</f>
        <v>52.53%</v>
      </c>
      <c r="N605" s="17">
        <f>Github!P$595</f>
        <v>112877</v>
      </c>
      <c r="O605" s="17">
        <f>Github!Q$595</f>
        <v>214869</v>
      </c>
    </row>
    <row r="606" ht="18.0" customHeight="1">
      <c r="A606" s="17">
        <f>Github!J$1075</f>
        <v>1074</v>
      </c>
      <c r="B606" s="27" t="str">
        <f>HYPERLINK(CONCAT("http://leetcode.com/problems/",Github!C$1075), Github!B$1075)</f>
        <v>Number of Submatrices That Sum to Target</v>
      </c>
      <c r="C606" s="17">
        <f>Github!F$1075</f>
        <v>1497</v>
      </c>
      <c r="D606" s="17">
        <f>Github!G$1075</f>
        <v>37</v>
      </c>
      <c r="E606" s="17">
        <f>Github!F$1075+Github!G$1075</f>
        <v>1534</v>
      </c>
      <c r="F606" s="18">
        <f t="shared" si="1"/>
        <v>40.46</v>
      </c>
      <c r="G606" s="17" t="str">
        <f>Github!H$1075</f>
        <v>Algorithms</v>
      </c>
      <c r="H606" s="19" t="str">
        <f>SUBSTITUTE(Github!L$1075, ";", ", ")</f>
        <v>Array, Hash Table, Matrix, Prefix Sum, </v>
      </c>
      <c r="I606" s="17" t="str">
        <f>Github!E$1075</f>
        <v>Hard</v>
      </c>
      <c r="J606" s="17" t="str">
        <f>IF(TRIM(Github!D$1075)="TRUE","FALSE","TRUE")</f>
        <v>TRUE</v>
      </c>
      <c r="K606" s="17" t="b">
        <f>Github!M$1075</f>
        <v>1</v>
      </c>
      <c r="L606" s="17" t="b">
        <f>Github!N$1075</f>
        <v>0</v>
      </c>
      <c r="M606" s="17" t="str">
        <f>ROUND(Github!O$1075, 2)&amp;"%"</f>
        <v>66.28%</v>
      </c>
      <c r="N606" s="17">
        <f>Github!P$1075</f>
        <v>47034</v>
      </c>
      <c r="O606" s="17">
        <f>Github!Q$1075</f>
        <v>70958</v>
      </c>
    </row>
    <row r="607" ht="18.0" customHeight="1">
      <c r="A607" s="17">
        <f>Github!J$644</f>
        <v>643</v>
      </c>
      <c r="B607" s="27" t="str">
        <f>HYPERLINK(CONCAT("http://leetcode.com/problems/",Github!C$644), Github!B$644)</f>
        <v>Maximum Average Subarray I</v>
      </c>
      <c r="C607" s="17">
        <f>Github!F$644</f>
        <v>1495</v>
      </c>
      <c r="D607" s="17">
        <f>Github!G$644</f>
        <v>155</v>
      </c>
      <c r="E607" s="17">
        <f>Github!F$644+Github!G$644</f>
        <v>1650</v>
      </c>
      <c r="F607" s="18">
        <f t="shared" si="1"/>
        <v>9.65</v>
      </c>
      <c r="G607" s="17" t="str">
        <f>Github!H$644</f>
        <v>Algorithms</v>
      </c>
      <c r="H607" s="19" t="str">
        <f>SUBSTITUTE(Github!L$644, ";", ", ")</f>
        <v>Array, Sliding Window, </v>
      </c>
      <c r="I607" s="17" t="str">
        <f>Github!E$644</f>
        <v>Easy</v>
      </c>
      <c r="J607" s="17" t="str">
        <f>IF(TRIM(Github!D$644)="TRUE","FALSE","TRUE")</f>
        <v>TRUE</v>
      </c>
      <c r="K607" s="17" t="b">
        <f>Github!M$644</f>
        <v>1</v>
      </c>
      <c r="L607" s="17" t="b">
        <f>Github!N$644</f>
        <v>0</v>
      </c>
      <c r="M607" s="17" t="str">
        <f>ROUND(Github!O$644, 2)&amp;"%"</f>
        <v>43.38%</v>
      </c>
      <c r="N607" s="17">
        <f>Github!P$644</f>
        <v>135144</v>
      </c>
      <c r="O607" s="17">
        <f>Github!Q$644</f>
        <v>311550</v>
      </c>
    </row>
    <row r="608" ht="18.0" customHeight="1">
      <c r="A608" s="17">
        <f>Github!J$1483</f>
        <v>1482</v>
      </c>
      <c r="B608" s="27" t="str">
        <f>HYPERLINK(CONCAT("http://leetcode.com/problems/",Github!C$1483), Github!B$1483)</f>
        <v>Minimum Number of Days to Make m Bouquets</v>
      </c>
      <c r="C608" s="17">
        <f>Github!F$1483</f>
        <v>1487</v>
      </c>
      <c r="D608" s="17">
        <f>Github!G$1483</f>
        <v>37</v>
      </c>
      <c r="E608" s="17">
        <f>Github!F$1483+Github!G$1483</f>
        <v>1524</v>
      </c>
      <c r="F608" s="18">
        <f t="shared" si="1"/>
        <v>40.19</v>
      </c>
      <c r="G608" s="17" t="str">
        <f>Github!H$1483</f>
        <v>Algorithms</v>
      </c>
      <c r="H608" s="19" t="str">
        <f>SUBSTITUTE(Github!L$1483, ";", ", ")</f>
        <v>Array, Binary Search, </v>
      </c>
      <c r="I608" s="17" t="str">
        <f>Github!E$1483</f>
        <v>Medium</v>
      </c>
      <c r="J608" s="17" t="str">
        <f>IF(TRIM(Github!D$1483)="TRUE","FALSE","TRUE")</f>
        <v>TRUE</v>
      </c>
      <c r="K608" s="17" t="b">
        <f>Github!M$1483</f>
        <v>0</v>
      </c>
      <c r="L608" s="17" t="b">
        <f>Github!N$1483</f>
        <v>0</v>
      </c>
      <c r="M608" s="17" t="str">
        <f>ROUND(Github!O$1483, 2)&amp;"%"</f>
        <v>55.23%</v>
      </c>
      <c r="N608" s="17">
        <f>Github!P$1483</f>
        <v>34379</v>
      </c>
      <c r="O608" s="17">
        <f>Github!Q$1483</f>
        <v>62247</v>
      </c>
    </row>
    <row r="609" ht="18.0" customHeight="1">
      <c r="A609" s="17">
        <f>Github!J$1338</f>
        <v>1337</v>
      </c>
      <c r="B609" s="27" t="str">
        <f>HYPERLINK(CONCAT("http://leetcode.com/problems/",Github!C$1338), Github!B$1338)</f>
        <v>The K Weakest Rows in a Matrix</v>
      </c>
      <c r="C609" s="17">
        <f>Github!F$1338</f>
        <v>1481</v>
      </c>
      <c r="D609" s="17">
        <f>Github!G$1338</f>
        <v>88</v>
      </c>
      <c r="E609" s="17">
        <f>Github!F$1338+Github!G$1338</f>
        <v>1569</v>
      </c>
      <c r="F609" s="18">
        <f t="shared" si="1"/>
        <v>16.83</v>
      </c>
      <c r="G609" s="17" t="str">
        <f>Github!H$1338</f>
        <v>Algorithms</v>
      </c>
      <c r="H609" s="19" t="str">
        <f>SUBSTITUTE(Github!L$1338, ";", ", ")</f>
        <v>Array, Binary Search, Sorting, Heap (Priority Queue), Matrix, </v>
      </c>
      <c r="I609" s="17" t="str">
        <f>Github!E$1338</f>
        <v>Easy</v>
      </c>
      <c r="J609" s="17" t="str">
        <f>IF(TRIM(Github!D$1338)="TRUE","FALSE","TRUE")</f>
        <v>TRUE</v>
      </c>
      <c r="K609" s="17" t="b">
        <f>Github!M$1338</f>
        <v>1</v>
      </c>
      <c r="L609" s="17" t="b">
        <f>Github!N$1338</f>
        <v>0</v>
      </c>
      <c r="M609" s="17" t="str">
        <f>ROUND(Github!O$1338, 2)&amp;"%"</f>
        <v>72.22%</v>
      </c>
      <c r="N609" s="17">
        <f>Github!P$1338</f>
        <v>104923</v>
      </c>
      <c r="O609" s="17">
        <f>Github!Q$1338</f>
        <v>145278</v>
      </c>
    </row>
    <row r="610" ht="18.0" customHeight="1">
      <c r="A610" s="17">
        <f>Github!J$1033</f>
        <v>1032</v>
      </c>
      <c r="B610" s="27" t="str">
        <f>HYPERLINK(CONCAT("http://leetcode.com/problems/",Github!C$1033), Github!B$1033)</f>
        <v>Stream of Characters</v>
      </c>
      <c r="C610" s="17">
        <f>Github!F$1033</f>
        <v>1480</v>
      </c>
      <c r="D610" s="17">
        <f>Github!G$1033</f>
        <v>168</v>
      </c>
      <c r="E610" s="17">
        <f>Github!F$1033+Github!G$1033</f>
        <v>1648</v>
      </c>
      <c r="F610" s="18">
        <f t="shared" si="1"/>
        <v>8.81</v>
      </c>
      <c r="G610" s="17" t="str">
        <f>Github!H$1033</f>
        <v>Algorithms</v>
      </c>
      <c r="H610" s="19" t="str">
        <f>SUBSTITUTE(Github!L$1033, ";", ", ")</f>
        <v>Array, String, Design, Trie, Data Stream, </v>
      </c>
      <c r="I610" s="17" t="str">
        <f>Github!E$1033</f>
        <v>Hard</v>
      </c>
      <c r="J610" s="17" t="str">
        <f>IF(TRIM(Github!D$1033)="TRUE","FALSE","TRUE")</f>
        <v>TRUE</v>
      </c>
      <c r="K610" s="17" t="b">
        <f>Github!M$1033</f>
        <v>1</v>
      </c>
      <c r="L610" s="17" t="b">
        <f>Github!N$1033</f>
        <v>0</v>
      </c>
      <c r="M610" s="17" t="str">
        <f>ROUND(Github!O$1033, 2)&amp;"%"</f>
        <v>51.33%</v>
      </c>
      <c r="N610" s="17">
        <f>Github!P$1033</f>
        <v>72487</v>
      </c>
      <c r="O610" s="17">
        <f>Github!Q$1033</f>
        <v>141224</v>
      </c>
    </row>
    <row r="611" ht="18.0" customHeight="1">
      <c r="A611" s="17">
        <f>Github!J$346</f>
        <v>345</v>
      </c>
      <c r="B611" s="27" t="str">
        <f>HYPERLINK(CONCAT("http://leetcode.com/problems/",Github!C$346), Github!B$346)</f>
        <v>Reverse Vowels of a String</v>
      </c>
      <c r="C611" s="17">
        <f>Github!F$346</f>
        <v>1480</v>
      </c>
      <c r="D611" s="17">
        <f>Github!G$346</f>
        <v>1774</v>
      </c>
      <c r="E611" s="17">
        <f>Github!F$346+Github!G$346</f>
        <v>3254</v>
      </c>
      <c r="F611" s="18">
        <f t="shared" si="1"/>
        <v>0.83</v>
      </c>
      <c r="G611" s="17" t="str">
        <f>Github!H$346</f>
        <v>Algorithms</v>
      </c>
      <c r="H611" s="19" t="str">
        <f>SUBSTITUTE(Github!L$346, ";", ", ")</f>
        <v>Two Pointers, String, </v>
      </c>
      <c r="I611" s="17" t="str">
        <f>Github!E$346</f>
        <v>Easy</v>
      </c>
      <c r="J611" s="17" t="str">
        <f>IF(TRIM(Github!D$346)="TRUE","FALSE","TRUE")</f>
        <v>TRUE</v>
      </c>
      <c r="K611" s="17" t="b">
        <f>Github!M$346</f>
        <v>0</v>
      </c>
      <c r="L611" s="17" t="b">
        <f>Github!N$346</f>
        <v>0</v>
      </c>
      <c r="M611" s="17" t="str">
        <f>ROUND(Github!O$346, 2)&amp;"%"</f>
        <v>46.75%</v>
      </c>
      <c r="N611" s="17">
        <f>Github!P$346</f>
        <v>337127</v>
      </c>
      <c r="O611" s="17">
        <f>Github!Q$346</f>
        <v>721178</v>
      </c>
    </row>
    <row r="612" ht="18.0" customHeight="1">
      <c r="A612" s="17">
        <f>Github!J$1001</f>
        <v>1000</v>
      </c>
      <c r="B612" s="27" t="str">
        <f>HYPERLINK(CONCAT("http://leetcode.com/problems/",Github!C$1001), Github!B$1001)</f>
        <v>Minimum Cost to Merge Stones</v>
      </c>
      <c r="C612" s="17">
        <f>Github!F$1001</f>
        <v>1471</v>
      </c>
      <c r="D612" s="17">
        <f>Github!G$1001</f>
        <v>77</v>
      </c>
      <c r="E612" s="17">
        <f>Github!F$1001+Github!G$1001</f>
        <v>1548</v>
      </c>
      <c r="F612" s="18">
        <f t="shared" si="1"/>
        <v>19.1</v>
      </c>
      <c r="G612" s="17" t="str">
        <f>Github!H$1001</f>
        <v>Algorithms</v>
      </c>
      <c r="H612" s="19" t="str">
        <f>SUBSTITUTE(Github!L$1001, ";", ", ")</f>
        <v>Array, Dynamic Programming, </v>
      </c>
      <c r="I612" s="17" t="str">
        <f>Github!E$1001</f>
        <v>Hard</v>
      </c>
      <c r="J612" s="17" t="str">
        <f>IF(TRIM(Github!D$1001)="TRUE","FALSE","TRUE")</f>
        <v>TRUE</v>
      </c>
      <c r="K612" s="17" t="b">
        <f>Github!M$1001</f>
        <v>0</v>
      </c>
      <c r="L612" s="17" t="b">
        <f>Github!N$1001</f>
        <v>0</v>
      </c>
      <c r="M612" s="17" t="str">
        <f>ROUND(Github!O$1001, 2)&amp;"%"</f>
        <v>42.01%</v>
      </c>
      <c r="N612" s="17">
        <f>Github!P$1001</f>
        <v>26803</v>
      </c>
      <c r="O612" s="17">
        <f>Github!Q$1001</f>
        <v>63806</v>
      </c>
    </row>
    <row r="613" ht="18.0" customHeight="1">
      <c r="A613" s="17">
        <f>Github!J$318</f>
        <v>317</v>
      </c>
      <c r="B613" s="27" t="str">
        <f>HYPERLINK(CONCAT("http://leetcode.com/problems/",Github!C$318), Github!B$318)</f>
        <v>Shortest Distance from All Buildings</v>
      </c>
      <c r="C613" s="17">
        <f>Github!F$318</f>
        <v>1470</v>
      </c>
      <c r="D613" s="17">
        <f>Github!G$318</f>
        <v>156</v>
      </c>
      <c r="E613" s="17">
        <f>Github!F$318+Github!G$318</f>
        <v>1626</v>
      </c>
      <c r="F613" s="18">
        <f t="shared" si="1"/>
        <v>9.42</v>
      </c>
      <c r="G613" s="17" t="str">
        <f>Github!H$318</f>
        <v>Algorithms</v>
      </c>
      <c r="H613" s="19" t="str">
        <f>SUBSTITUTE(Github!L$318, ";", ", ")</f>
        <v>Array, Breadth-First Search, Matrix, </v>
      </c>
      <c r="I613" s="17" t="str">
        <f>Github!E$318</f>
        <v>Hard</v>
      </c>
      <c r="J613" s="17" t="str">
        <f>IF(TRIM(Github!D$318)="TRUE","FALSE","TRUE")</f>
        <v>FALSE</v>
      </c>
      <c r="K613" s="17" t="b">
        <f>Github!M$318</f>
        <v>1</v>
      </c>
      <c r="L613" s="17" t="b">
        <f>Github!N$318</f>
        <v>0</v>
      </c>
      <c r="M613" s="17" t="str">
        <f>ROUND(Github!O$318, 2)&amp;"%"</f>
        <v>43.41%</v>
      </c>
      <c r="N613" s="17">
        <f>Github!P$318</f>
        <v>130967</v>
      </c>
      <c r="O613" s="17">
        <f>Github!Q$318</f>
        <v>301697</v>
      </c>
    </row>
    <row r="614" ht="18.0" customHeight="1">
      <c r="A614" s="17">
        <f>Github!J$328</f>
        <v>327</v>
      </c>
      <c r="B614" s="27" t="str">
        <f>HYPERLINK(CONCAT("http://leetcode.com/problems/",Github!C$328), Github!B$328)</f>
        <v>Count of Range Sum</v>
      </c>
      <c r="C614" s="17">
        <f>Github!F$328</f>
        <v>1464</v>
      </c>
      <c r="D614" s="17">
        <f>Github!G$328</f>
        <v>153</v>
      </c>
      <c r="E614" s="17">
        <f>Github!F$328+Github!G$328</f>
        <v>1617</v>
      </c>
      <c r="F614" s="18">
        <f t="shared" si="1"/>
        <v>9.57</v>
      </c>
      <c r="G614" s="17" t="str">
        <f>Github!H$328</f>
        <v>Algorithms</v>
      </c>
      <c r="H614" s="19" t="str">
        <f>SUBSTITUTE(Github!L$328, ";", ", ")</f>
        <v>Array, Binary Search, Divide and Conquer, Binary Indexed Tree, Segment Tree, Merge Sort, Ordered Set, </v>
      </c>
      <c r="I614" s="17" t="str">
        <f>Github!E$328</f>
        <v>Hard</v>
      </c>
      <c r="J614" s="17" t="str">
        <f>IF(TRIM(Github!D$328)="TRUE","FALSE","TRUE")</f>
        <v>TRUE</v>
      </c>
      <c r="K614" s="17" t="b">
        <f>Github!M$328</f>
        <v>0</v>
      </c>
      <c r="L614" s="17" t="b">
        <f>Github!N$328</f>
        <v>0</v>
      </c>
      <c r="M614" s="17" t="str">
        <f>ROUND(Github!O$328, 2)&amp;"%"</f>
        <v>36.03%</v>
      </c>
      <c r="N614" s="17">
        <f>Github!P$328</f>
        <v>57933</v>
      </c>
      <c r="O614" s="17">
        <f>Github!Q$328</f>
        <v>160791</v>
      </c>
    </row>
    <row r="615" ht="18.0" customHeight="1">
      <c r="A615" s="17">
        <f>Github!J$1015</f>
        <v>1014</v>
      </c>
      <c r="B615" s="27" t="str">
        <f>HYPERLINK(CONCAT("http://leetcode.com/problems/",Github!C$1015), Github!B$1015)</f>
        <v>Best Sightseeing Pair</v>
      </c>
      <c r="C615" s="17">
        <f>Github!F$1015</f>
        <v>1461</v>
      </c>
      <c r="D615" s="17">
        <f>Github!G$1015</f>
        <v>38</v>
      </c>
      <c r="E615" s="17">
        <f>Github!F$1015+Github!G$1015</f>
        <v>1499</v>
      </c>
      <c r="F615" s="18">
        <f t="shared" si="1"/>
        <v>38.45</v>
      </c>
      <c r="G615" s="17" t="str">
        <f>Github!H$1015</f>
        <v>Algorithms</v>
      </c>
      <c r="H615" s="19" t="str">
        <f>SUBSTITUTE(Github!L$1015, ";", ", ")</f>
        <v>Array, Dynamic Programming, </v>
      </c>
      <c r="I615" s="17" t="str">
        <f>Github!E$1015</f>
        <v>Medium</v>
      </c>
      <c r="J615" s="17" t="str">
        <f>IF(TRIM(Github!D$1015)="TRUE","FALSE","TRUE")</f>
        <v>TRUE</v>
      </c>
      <c r="K615" s="17" t="b">
        <f>Github!M$1015</f>
        <v>0</v>
      </c>
      <c r="L615" s="17" t="b">
        <f>Github!N$1015</f>
        <v>0</v>
      </c>
      <c r="M615" s="17" t="str">
        <f>ROUND(Github!O$1015, 2)&amp;"%"</f>
        <v>58.23%</v>
      </c>
      <c r="N615" s="17">
        <f>Github!P$1015</f>
        <v>50737</v>
      </c>
      <c r="O615" s="17">
        <f>Github!Q$1015</f>
        <v>87137</v>
      </c>
    </row>
    <row r="616" ht="18.0" customHeight="1">
      <c r="A616" s="17">
        <f>Github!J$1360</f>
        <v>1359</v>
      </c>
      <c r="B616" s="27" t="str">
        <f>HYPERLINK(CONCAT("http://leetcode.com/problems/",Github!C$1360), Github!B$1360)</f>
        <v>Count All Valid Pickup and Delivery Options</v>
      </c>
      <c r="C616" s="17">
        <f>Github!F$1360</f>
        <v>1462</v>
      </c>
      <c r="D616" s="17">
        <f>Github!G$1360</f>
        <v>132</v>
      </c>
      <c r="E616" s="17">
        <f>Github!F$1360+Github!G$1360</f>
        <v>1594</v>
      </c>
      <c r="F616" s="18">
        <f t="shared" si="1"/>
        <v>11.08</v>
      </c>
      <c r="G616" s="17" t="str">
        <f>Github!H$1360</f>
        <v>Algorithms</v>
      </c>
      <c r="H616" s="19" t="str">
        <f>SUBSTITUTE(Github!L$1360, ";", ", ")</f>
        <v>Math, Dynamic Programming, Combinatorics, </v>
      </c>
      <c r="I616" s="17" t="str">
        <f>Github!E$1360</f>
        <v>Hard</v>
      </c>
      <c r="J616" s="17" t="str">
        <f>IF(TRIM(Github!D$1360)="TRUE","FALSE","TRUE")</f>
        <v>TRUE</v>
      </c>
      <c r="K616" s="17" t="b">
        <f>Github!M$1360</f>
        <v>1</v>
      </c>
      <c r="L616" s="17" t="b">
        <f>Github!N$1360</f>
        <v>0</v>
      </c>
      <c r="M616" s="17" t="str">
        <f>ROUND(Github!O$1360, 2)&amp;"%"</f>
        <v>63.32%</v>
      </c>
      <c r="N616" s="17">
        <f>Github!P$1360</f>
        <v>49508</v>
      </c>
      <c r="O616" s="17">
        <f>Github!Q$1360</f>
        <v>78188</v>
      </c>
    </row>
    <row r="617" ht="18.0" customHeight="1">
      <c r="A617" s="17">
        <f>Github!J$547</f>
        <v>546</v>
      </c>
      <c r="B617" s="27" t="str">
        <f>HYPERLINK(CONCAT("http://leetcode.com/problems/",Github!C$547), Github!B$547)</f>
        <v>Remove Boxes</v>
      </c>
      <c r="C617" s="17">
        <f>Github!F$547</f>
        <v>1456</v>
      </c>
      <c r="D617" s="17">
        <f>Github!G$547</f>
        <v>92</v>
      </c>
      <c r="E617" s="17">
        <f>Github!F$547+Github!G$547</f>
        <v>1548</v>
      </c>
      <c r="F617" s="18">
        <f t="shared" si="1"/>
        <v>15.83</v>
      </c>
      <c r="G617" s="17" t="str">
        <f>Github!H$547</f>
        <v>Algorithms</v>
      </c>
      <c r="H617" s="19" t="str">
        <f>SUBSTITUTE(Github!L$547, ";", ", ")</f>
        <v>Array, Dynamic Programming, Memoization, </v>
      </c>
      <c r="I617" s="17" t="str">
        <f>Github!E$547</f>
        <v>Hard</v>
      </c>
      <c r="J617" s="17" t="str">
        <f>IF(TRIM(Github!D$547)="TRUE","FALSE","TRUE")</f>
        <v>TRUE</v>
      </c>
      <c r="K617" s="17" t="b">
        <f>Github!M$547</f>
        <v>1</v>
      </c>
      <c r="L617" s="17" t="b">
        <f>Github!N$547</f>
        <v>0</v>
      </c>
      <c r="M617" s="17" t="str">
        <f>ROUND(Github!O$547, 2)&amp;"%"</f>
        <v>47.32%</v>
      </c>
      <c r="N617" s="17">
        <f>Github!P$547</f>
        <v>33392</v>
      </c>
      <c r="O617" s="17">
        <f>Github!Q$547</f>
        <v>70568</v>
      </c>
    </row>
    <row r="618" ht="18.0" customHeight="1">
      <c r="A618" s="17">
        <f>Github!J$9</f>
        <v>8</v>
      </c>
      <c r="B618" s="27" t="str">
        <f>HYPERLINK(CONCAT("http://leetcode.com/problems/",Github!C$9), Github!B$9)</f>
        <v>String to Integer (atoi)</v>
      </c>
      <c r="C618" s="17">
        <f>Github!F$9</f>
        <v>1451</v>
      </c>
      <c r="D618" s="17">
        <f>Github!G$9</f>
        <v>4150</v>
      </c>
      <c r="E618" s="17">
        <f>Github!F$9+Github!G$9</f>
        <v>5601</v>
      </c>
      <c r="F618" s="18">
        <f t="shared" si="1"/>
        <v>0.35</v>
      </c>
      <c r="G618" s="17" t="str">
        <f>Github!H$9</f>
        <v>Algorithms</v>
      </c>
      <c r="H618" s="19" t="str">
        <f>SUBSTITUTE(Github!L$9, ";", ", ")</f>
        <v>String, </v>
      </c>
      <c r="I618" s="17" t="str">
        <f>Github!E$9</f>
        <v>Medium</v>
      </c>
      <c r="J618" s="17" t="str">
        <f>IF(TRIM(Github!D$9)="TRUE","FALSE","TRUE")</f>
        <v>TRUE</v>
      </c>
      <c r="K618" s="17" t="b">
        <f>Github!M$9</f>
        <v>1</v>
      </c>
      <c r="L618" s="17" t="b">
        <f>Github!N$9</f>
        <v>0</v>
      </c>
      <c r="M618" s="17" t="str">
        <f>ROUND(Github!O$9, 2)&amp;"%"</f>
        <v>16.48%</v>
      </c>
      <c r="N618" s="17">
        <f>Github!P$9</f>
        <v>958225</v>
      </c>
      <c r="O618" s="17">
        <f>Github!Q$9</f>
        <v>5815658</v>
      </c>
    </row>
    <row r="619" ht="18.0" customHeight="1">
      <c r="A619" s="17">
        <f>Github!J$1505</f>
        <v>1504</v>
      </c>
      <c r="B619" s="27" t="str">
        <f>HYPERLINK(CONCAT("http://leetcode.com/problems/",Github!C$1505), Github!B$1505)</f>
        <v>Count Submatrices With All Ones</v>
      </c>
      <c r="C619" s="17">
        <f>Github!F$1505</f>
        <v>1445</v>
      </c>
      <c r="D619" s="17">
        <f>Github!G$1505</f>
        <v>114</v>
      </c>
      <c r="E619" s="17">
        <f>Github!F$1505+Github!G$1505</f>
        <v>1559</v>
      </c>
      <c r="F619" s="18">
        <f t="shared" si="1"/>
        <v>12.68</v>
      </c>
      <c r="G619" s="17" t="str">
        <f>Github!H$1505</f>
        <v>Algorithms</v>
      </c>
      <c r="H619" s="19" t="str">
        <f>SUBSTITUTE(Github!L$1505, ";", ", ")</f>
        <v>Array, Dynamic Programming, Stack, Matrix, Monotonic Stack, </v>
      </c>
      <c r="I619" s="17" t="str">
        <f>Github!E$1505</f>
        <v>Medium</v>
      </c>
      <c r="J619" s="17" t="str">
        <f>IF(TRIM(Github!D$1505)="TRUE","FALSE","TRUE")</f>
        <v>TRUE</v>
      </c>
      <c r="K619" s="17" t="b">
        <f>Github!M$1505</f>
        <v>0</v>
      </c>
      <c r="L619" s="17" t="b">
        <f>Github!N$1505</f>
        <v>0</v>
      </c>
      <c r="M619" s="17" t="str">
        <f>ROUND(Github!O$1505, 2)&amp;"%"</f>
        <v>58.78%</v>
      </c>
      <c r="N619" s="17">
        <f>Github!P$1505</f>
        <v>33830</v>
      </c>
      <c r="O619" s="17">
        <f>Github!Q$1505</f>
        <v>57552</v>
      </c>
    </row>
    <row r="620" ht="18.0" customHeight="1">
      <c r="A620" s="17">
        <f>Github!J$363</f>
        <v>362</v>
      </c>
      <c r="B620" s="27" t="str">
        <f>HYPERLINK(CONCAT("http://leetcode.com/problems/",Github!C$363), Github!B$363)</f>
        <v>Design Hit Counter</v>
      </c>
      <c r="C620" s="17">
        <f>Github!F$363</f>
        <v>1442</v>
      </c>
      <c r="D620" s="17">
        <f>Github!G$363</f>
        <v>124</v>
      </c>
      <c r="E620" s="17">
        <f>Github!F$363+Github!G$363</f>
        <v>1566</v>
      </c>
      <c r="F620" s="18">
        <f t="shared" si="1"/>
        <v>11.63</v>
      </c>
      <c r="G620" s="17" t="str">
        <f>Github!H$363</f>
        <v>Algorithms</v>
      </c>
      <c r="H620" s="19" t="str">
        <f>SUBSTITUTE(Github!L$363, ";", ", ")</f>
        <v>Array, Hash Table, Binary Search, Design, Queue, </v>
      </c>
      <c r="I620" s="17" t="str">
        <f>Github!E$363</f>
        <v>Medium</v>
      </c>
      <c r="J620" s="17" t="str">
        <f>IF(TRIM(Github!D$363)="TRUE","FALSE","TRUE")</f>
        <v>FALSE</v>
      </c>
      <c r="K620" s="17" t="b">
        <f>Github!M$363</f>
        <v>1</v>
      </c>
      <c r="L620" s="17" t="b">
        <f>Github!N$363</f>
        <v>0</v>
      </c>
      <c r="M620" s="17" t="str">
        <f>ROUND(Github!O$363, 2)&amp;"%"</f>
        <v>67.15%</v>
      </c>
      <c r="N620" s="17">
        <f>Github!P$363</f>
        <v>154726</v>
      </c>
      <c r="O620" s="17">
        <f>Github!Q$363</f>
        <v>230406</v>
      </c>
    </row>
    <row r="621" ht="18.0" customHeight="1">
      <c r="A621" s="17">
        <f>Github!J$1432</f>
        <v>1431</v>
      </c>
      <c r="B621" s="27" t="str">
        <f>HYPERLINK(CONCAT("http://leetcode.com/problems/",Github!C$1432), Github!B$1432)</f>
        <v>Kids With the Greatest Number of Candies</v>
      </c>
      <c r="C621" s="17">
        <f>Github!F$1432</f>
        <v>1441</v>
      </c>
      <c r="D621" s="17">
        <f>Github!G$1432</f>
        <v>264</v>
      </c>
      <c r="E621" s="17">
        <f>Github!F$1432+Github!G$1432</f>
        <v>1705</v>
      </c>
      <c r="F621" s="18">
        <f t="shared" si="1"/>
        <v>5.46</v>
      </c>
      <c r="G621" s="17" t="str">
        <f>Github!H$1432</f>
        <v>Algorithms</v>
      </c>
      <c r="H621" s="19" t="str">
        <f>SUBSTITUTE(Github!L$1432, ";", ", ")</f>
        <v>Array, </v>
      </c>
      <c r="I621" s="17" t="str">
        <f>Github!E$1432</f>
        <v>Easy</v>
      </c>
      <c r="J621" s="17" t="str">
        <f>IF(TRIM(Github!D$1432)="TRUE","FALSE","TRUE")</f>
        <v>TRUE</v>
      </c>
      <c r="K621" s="17" t="b">
        <f>Github!M$1432</f>
        <v>0</v>
      </c>
      <c r="L621" s="17" t="b">
        <f>Github!N$1432</f>
        <v>0</v>
      </c>
      <c r="M621" s="17" t="str">
        <f>ROUND(Github!O$1432, 2)&amp;"%"</f>
        <v>87.78%</v>
      </c>
      <c r="N621" s="17">
        <f>Github!P$1432</f>
        <v>295837</v>
      </c>
      <c r="O621" s="17">
        <f>Github!Q$1432</f>
        <v>337035</v>
      </c>
    </row>
    <row r="622" ht="18.0" customHeight="1">
      <c r="A622" s="17">
        <f>Github!J$577</f>
        <v>576</v>
      </c>
      <c r="B622" s="27" t="str">
        <f>HYPERLINK(CONCAT("http://leetcode.com/problems/",Github!C$577), Github!B$577)</f>
        <v>Out of Boundary Paths</v>
      </c>
      <c r="C622" s="17">
        <f>Github!F$577</f>
        <v>1438</v>
      </c>
      <c r="D622" s="17">
        <f>Github!G$577</f>
        <v>181</v>
      </c>
      <c r="E622" s="17">
        <f>Github!F$577+Github!G$577</f>
        <v>1619</v>
      </c>
      <c r="F622" s="18">
        <f t="shared" si="1"/>
        <v>7.94</v>
      </c>
      <c r="G622" s="17" t="str">
        <f>Github!H$577</f>
        <v>Algorithms</v>
      </c>
      <c r="H622" s="19" t="str">
        <f>SUBSTITUTE(Github!L$577, ";", ", ")</f>
        <v>Dynamic Programming, </v>
      </c>
      <c r="I622" s="17" t="str">
        <f>Github!E$577</f>
        <v>Medium</v>
      </c>
      <c r="J622" s="17" t="str">
        <f>IF(TRIM(Github!D$577)="TRUE","FALSE","TRUE")</f>
        <v>TRUE</v>
      </c>
      <c r="K622" s="17" t="b">
        <f>Github!M$577</f>
        <v>1</v>
      </c>
      <c r="L622" s="17" t="b">
        <f>Github!N$577</f>
        <v>0</v>
      </c>
      <c r="M622" s="17" t="str">
        <f>ROUND(Github!O$577, 2)&amp;"%"</f>
        <v>39.99%</v>
      </c>
      <c r="N622" s="17">
        <f>Github!P$577</f>
        <v>62279</v>
      </c>
      <c r="O622" s="17">
        <f>Github!Q$577</f>
        <v>155747</v>
      </c>
    </row>
    <row r="623" ht="18.0" customHeight="1">
      <c r="A623" s="17">
        <f>Github!J$1711</f>
        <v>1710</v>
      </c>
      <c r="B623" s="27" t="str">
        <f>HYPERLINK(CONCAT("http://leetcode.com/problems/",Github!C$1711), Github!B$1711)</f>
        <v>Maximum Units on a Truck</v>
      </c>
      <c r="C623" s="17">
        <f>Github!F$1711</f>
        <v>1436</v>
      </c>
      <c r="D623" s="17">
        <f>Github!G$1711</f>
        <v>100</v>
      </c>
      <c r="E623" s="17">
        <f>Github!F$1711+Github!G$1711</f>
        <v>1536</v>
      </c>
      <c r="F623" s="18">
        <f t="shared" si="1"/>
        <v>14.36</v>
      </c>
      <c r="G623" s="17" t="str">
        <f>Github!H$1711</f>
        <v>Algorithms</v>
      </c>
      <c r="H623" s="19" t="str">
        <f>SUBSTITUTE(Github!L$1711, ";", ", ")</f>
        <v>Array, Greedy, Sorting, </v>
      </c>
      <c r="I623" s="17" t="str">
        <f>Github!E$1711</f>
        <v>Easy</v>
      </c>
      <c r="J623" s="17" t="str">
        <f>IF(TRIM(Github!D$1711)="TRUE","FALSE","TRUE")</f>
        <v>TRUE</v>
      </c>
      <c r="K623" s="17" t="b">
        <f>Github!M$1711</f>
        <v>1</v>
      </c>
      <c r="L623" s="17" t="b">
        <f>Github!N$1711</f>
        <v>0</v>
      </c>
      <c r="M623" s="17" t="str">
        <f>ROUND(Github!O$1711, 2)&amp;"%"</f>
        <v>72.08%</v>
      </c>
      <c r="N623" s="17">
        <f>Github!P$1711</f>
        <v>127755</v>
      </c>
      <c r="O623" s="17">
        <f>Github!Q$1711</f>
        <v>177239</v>
      </c>
    </row>
    <row r="624" ht="18.0" customHeight="1">
      <c r="A624" s="17">
        <f>Github!J$1203</f>
        <v>1202</v>
      </c>
      <c r="B624" s="27" t="str">
        <f>HYPERLINK(CONCAT("http://leetcode.com/problems/",Github!C$1203), Github!B$1203)</f>
        <v>Smallest String With Swaps</v>
      </c>
      <c r="C624" s="17">
        <f>Github!F$1203</f>
        <v>1431</v>
      </c>
      <c r="D624" s="17">
        <f>Github!G$1203</f>
        <v>49</v>
      </c>
      <c r="E624" s="17">
        <f>Github!F$1203+Github!G$1203</f>
        <v>1480</v>
      </c>
      <c r="F624" s="18">
        <f t="shared" si="1"/>
        <v>29.2</v>
      </c>
      <c r="G624" s="17" t="str">
        <f>Github!H$1203</f>
        <v>Algorithms</v>
      </c>
      <c r="H624" s="19" t="str">
        <f>SUBSTITUTE(Github!L$1203, ";", ", ")</f>
        <v>Hash Table, String, Depth-First Search, Breadth-First Search, Union Find, </v>
      </c>
      <c r="I624" s="17" t="str">
        <f>Github!E$1203</f>
        <v>Medium</v>
      </c>
      <c r="J624" s="17" t="str">
        <f>IF(TRIM(Github!D$1203)="TRUE","FALSE","TRUE")</f>
        <v>TRUE</v>
      </c>
      <c r="K624" s="17" t="b">
        <f>Github!M$1203</f>
        <v>0</v>
      </c>
      <c r="L624" s="17" t="b">
        <f>Github!N$1203</f>
        <v>0</v>
      </c>
      <c r="M624" s="17" t="str">
        <f>ROUND(Github!O$1203, 2)&amp;"%"</f>
        <v>52.39%</v>
      </c>
      <c r="N624" s="17">
        <f>Github!P$1203</f>
        <v>42978</v>
      </c>
      <c r="O624" s="17">
        <f>Github!Q$1203</f>
        <v>82033</v>
      </c>
    </row>
    <row r="625" ht="18.0" customHeight="1">
      <c r="A625" s="17">
        <f>Github!J$649</f>
        <v>648</v>
      </c>
      <c r="B625" s="27" t="str">
        <f>HYPERLINK(CONCAT("http://leetcode.com/problems/",Github!C$649), Github!B$649)</f>
        <v>Replace Words</v>
      </c>
      <c r="C625" s="17">
        <f>Github!F$649</f>
        <v>1428</v>
      </c>
      <c r="D625" s="17">
        <f>Github!G$649</f>
        <v>150</v>
      </c>
      <c r="E625" s="17">
        <f>Github!F$649+Github!G$649</f>
        <v>1578</v>
      </c>
      <c r="F625" s="18">
        <f t="shared" si="1"/>
        <v>9.52</v>
      </c>
      <c r="G625" s="17" t="str">
        <f>Github!H$649</f>
        <v>Algorithms</v>
      </c>
      <c r="H625" s="19" t="str">
        <f>SUBSTITUTE(Github!L$649, ";", ", ")</f>
        <v>Array, Hash Table, String, Trie, </v>
      </c>
      <c r="I625" s="17" t="str">
        <f>Github!E$649</f>
        <v>Medium</v>
      </c>
      <c r="J625" s="17" t="str">
        <f>IF(TRIM(Github!D$649)="TRUE","FALSE","TRUE")</f>
        <v>TRUE</v>
      </c>
      <c r="K625" s="17" t="b">
        <f>Github!M$649</f>
        <v>1</v>
      </c>
      <c r="L625" s="17" t="b">
        <f>Github!N$649</f>
        <v>0</v>
      </c>
      <c r="M625" s="17" t="str">
        <f>ROUND(Github!O$649, 2)&amp;"%"</f>
        <v>61.77%</v>
      </c>
      <c r="N625" s="17">
        <f>Github!P$649</f>
        <v>91805</v>
      </c>
      <c r="O625" s="17">
        <f>Github!Q$649</f>
        <v>148620</v>
      </c>
    </row>
    <row r="626" ht="18.0" customHeight="1">
      <c r="A626" s="17">
        <f>Github!J$791</f>
        <v>790</v>
      </c>
      <c r="B626" s="27" t="str">
        <f>HYPERLINK(CONCAT("http://leetcode.com/problems/",Github!C$791), Github!B$791)</f>
        <v>Domino and Tromino Tiling</v>
      </c>
      <c r="C626" s="17">
        <f>Github!F$791</f>
        <v>1417</v>
      </c>
      <c r="D626" s="17">
        <f>Github!G$791</f>
        <v>556</v>
      </c>
      <c r="E626" s="17">
        <f>Github!F$791+Github!G$791</f>
        <v>1973</v>
      </c>
      <c r="F626" s="18">
        <f t="shared" si="1"/>
        <v>2.55</v>
      </c>
      <c r="G626" s="17" t="str">
        <f>Github!H$791</f>
        <v>Algorithms</v>
      </c>
      <c r="H626" s="19" t="str">
        <f>SUBSTITUTE(Github!L$791, ";", ", ")</f>
        <v>Dynamic Programming, </v>
      </c>
      <c r="I626" s="17" t="str">
        <f>Github!E$791</f>
        <v>Medium</v>
      </c>
      <c r="J626" s="17" t="str">
        <f>IF(TRIM(Github!D$791)="TRUE","FALSE","TRUE")</f>
        <v>TRUE</v>
      </c>
      <c r="K626" s="17" t="b">
        <f>Github!M$791</f>
        <v>1</v>
      </c>
      <c r="L626" s="17" t="b">
        <f>Github!N$791</f>
        <v>0</v>
      </c>
      <c r="M626" s="17" t="str">
        <f>ROUND(Github!O$791, 2)&amp;"%"</f>
        <v>47.69%</v>
      </c>
      <c r="N626" s="17">
        <f>Github!P$791</f>
        <v>44540</v>
      </c>
      <c r="O626" s="17">
        <f>Github!Q$791</f>
        <v>93396</v>
      </c>
    </row>
    <row r="627" ht="18.0" customHeight="1">
      <c r="A627" s="17">
        <f>Github!J$72</f>
        <v>71</v>
      </c>
      <c r="B627" s="27" t="str">
        <f>HYPERLINK(CONCAT("http://leetcode.com/problems/",Github!C$72), Github!B$72)</f>
        <v>Simplify Path</v>
      </c>
      <c r="C627" s="17">
        <f>Github!F$72</f>
        <v>1416</v>
      </c>
      <c r="D627" s="17">
        <f>Github!G$72</f>
        <v>320</v>
      </c>
      <c r="E627" s="17">
        <f>Github!F$72+Github!G$72</f>
        <v>1736</v>
      </c>
      <c r="F627" s="18">
        <f t="shared" si="1"/>
        <v>4.43</v>
      </c>
      <c r="G627" s="17" t="str">
        <f>Github!H$72</f>
        <v>Algorithms</v>
      </c>
      <c r="H627" s="19" t="str">
        <f>SUBSTITUTE(Github!L$72, ";", ", ")</f>
        <v>String, Stack, </v>
      </c>
      <c r="I627" s="17" t="str">
        <f>Github!E$72</f>
        <v>Medium</v>
      </c>
      <c r="J627" s="17" t="str">
        <f>IF(TRIM(Github!D$72)="TRUE","FALSE","TRUE")</f>
        <v>TRUE</v>
      </c>
      <c r="K627" s="17" t="b">
        <f>Github!M$72</f>
        <v>1</v>
      </c>
      <c r="L627" s="17" t="b">
        <f>Github!N$72</f>
        <v>0</v>
      </c>
      <c r="M627" s="17" t="str">
        <f>ROUND(Github!O$72, 2)&amp;"%"</f>
        <v>37.56%</v>
      </c>
      <c r="N627" s="17">
        <f>Github!P$72</f>
        <v>370687</v>
      </c>
      <c r="O627" s="17">
        <f>Github!Q$72</f>
        <v>986848</v>
      </c>
    </row>
    <row r="628" ht="18.0" customHeight="1">
      <c r="A628" s="17">
        <f>Github!J$1201</f>
        <v>1200</v>
      </c>
      <c r="B628" s="27" t="str">
        <f>HYPERLINK(CONCAT("http://leetcode.com/problems/",Github!C$1201), Github!B$1201)</f>
        <v>Minimum Absolute Difference</v>
      </c>
      <c r="C628" s="17">
        <f>Github!F$1201</f>
        <v>1414</v>
      </c>
      <c r="D628" s="17">
        <f>Github!G$1201</f>
        <v>58</v>
      </c>
      <c r="E628" s="17">
        <f>Github!F$1201+Github!G$1201</f>
        <v>1472</v>
      </c>
      <c r="F628" s="18">
        <f t="shared" si="1"/>
        <v>24.38</v>
      </c>
      <c r="G628" s="17" t="str">
        <f>Github!H$1201</f>
        <v>Algorithms</v>
      </c>
      <c r="H628" s="19" t="str">
        <f>SUBSTITUTE(Github!L$1201, ";", ", ")</f>
        <v>Array, Sorting, </v>
      </c>
      <c r="I628" s="17" t="str">
        <f>Github!E$1201</f>
        <v>Easy</v>
      </c>
      <c r="J628" s="17" t="str">
        <f>IF(TRIM(Github!D$1201)="TRUE","FALSE","TRUE")</f>
        <v>TRUE</v>
      </c>
      <c r="K628" s="17" t="b">
        <f>Github!M$1201</f>
        <v>1</v>
      </c>
      <c r="L628" s="17" t="b">
        <f>Github!N$1201</f>
        <v>0</v>
      </c>
      <c r="M628" s="17" t="str">
        <f>ROUND(Github!O$1201, 2)&amp;"%"</f>
        <v>69.83%</v>
      </c>
      <c r="N628" s="17">
        <f>Github!P$1201</f>
        <v>115399</v>
      </c>
      <c r="O628" s="17">
        <f>Github!Q$1201</f>
        <v>165254</v>
      </c>
    </row>
    <row r="629" ht="18.0" customHeight="1">
      <c r="A629" s="17">
        <f>Github!J$717</f>
        <v>716</v>
      </c>
      <c r="B629" s="27" t="str">
        <f>HYPERLINK(CONCAT("http://leetcode.com/problems/",Github!C$717), Github!B$717)</f>
        <v>Max Stack</v>
      </c>
      <c r="C629" s="17">
        <f>Github!F$717</f>
        <v>1415</v>
      </c>
      <c r="D629" s="17">
        <f>Github!G$717</f>
        <v>410</v>
      </c>
      <c r="E629" s="17">
        <f>Github!F$717+Github!G$717</f>
        <v>1825</v>
      </c>
      <c r="F629" s="18">
        <f t="shared" si="1"/>
        <v>3.45</v>
      </c>
      <c r="G629" s="17" t="str">
        <f>Github!H$717</f>
        <v>Algorithms</v>
      </c>
      <c r="H629" s="19" t="str">
        <f>SUBSTITUTE(Github!L$717, ";", ", ")</f>
        <v>Linked List, Stack, Design, Doubly-Linked List, Ordered Set, </v>
      </c>
      <c r="I629" s="17" t="str">
        <f>Github!E$717</f>
        <v>Easy</v>
      </c>
      <c r="J629" s="17" t="str">
        <f>IF(TRIM(Github!D$717)="TRUE","FALSE","TRUE")</f>
        <v>FALSE</v>
      </c>
      <c r="K629" s="17" t="b">
        <f>Github!M$717</f>
        <v>1</v>
      </c>
      <c r="L629" s="17" t="b">
        <f>Github!N$717</f>
        <v>0</v>
      </c>
      <c r="M629" s="17" t="str">
        <f>ROUND(Github!O$717, 2)&amp;"%"</f>
        <v>44.93%</v>
      </c>
      <c r="N629" s="17">
        <f>Github!P$717</f>
        <v>113575</v>
      </c>
      <c r="O629" s="17">
        <f>Github!Q$717</f>
        <v>252780</v>
      </c>
    </row>
    <row r="630" ht="18.0" customHeight="1">
      <c r="A630" s="17">
        <f>Github!J$774</f>
        <v>773</v>
      </c>
      <c r="B630" s="27" t="str">
        <f>HYPERLINK(CONCAT("http://leetcode.com/problems/",Github!C$774), Github!B$774)</f>
        <v>Sliding Puzzle</v>
      </c>
      <c r="C630" s="17">
        <f>Github!F$774</f>
        <v>1413</v>
      </c>
      <c r="D630" s="17">
        <f>Github!G$774</f>
        <v>36</v>
      </c>
      <c r="E630" s="17">
        <f>Github!F$774+Github!G$774</f>
        <v>1449</v>
      </c>
      <c r="F630" s="18">
        <f t="shared" si="1"/>
        <v>39.25</v>
      </c>
      <c r="G630" s="17" t="str">
        <f>Github!H$774</f>
        <v>Algorithms</v>
      </c>
      <c r="H630" s="19" t="str">
        <f>SUBSTITUTE(Github!L$774, ";", ", ")</f>
        <v>Array, Breadth-First Search, Matrix, </v>
      </c>
      <c r="I630" s="17" t="str">
        <f>Github!E$774</f>
        <v>Hard</v>
      </c>
      <c r="J630" s="17" t="str">
        <f>IF(TRIM(Github!D$774)="TRUE","FALSE","TRUE")</f>
        <v>TRUE</v>
      </c>
      <c r="K630" s="17" t="b">
        <f>Github!M$774</f>
        <v>0</v>
      </c>
      <c r="L630" s="17" t="b">
        <f>Github!N$774</f>
        <v>0</v>
      </c>
      <c r="M630" s="17" t="str">
        <f>ROUND(Github!O$774, 2)&amp;"%"</f>
        <v>62.97%</v>
      </c>
      <c r="N630" s="17">
        <f>Github!P$774</f>
        <v>68782</v>
      </c>
      <c r="O630" s="17">
        <f>Github!Q$774</f>
        <v>109228</v>
      </c>
    </row>
    <row r="631" ht="18.0" customHeight="1">
      <c r="A631" s="17">
        <f>Github!J$991</f>
        <v>990</v>
      </c>
      <c r="B631" s="27" t="str">
        <f>HYPERLINK(CONCAT("http://leetcode.com/problems/",Github!C$991), Github!B$991)</f>
        <v>Satisfiability of Equality Equations</v>
      </c>
      <c r="C631" s="17">
        <f>Github!F$991</f>
        <v>1410</v>
      </c>
      <c r="D631" s="17">
        <f>Github!G$991</f>
        <v>15</v>
      </c>
      <c r="E631" s="17">
        <f>Github!F$991+Github!G$991</f>
        <v>1425</v>
      </c>
      <c r="F631" s="18">
        <f t="shared" si="1"/>
        <v>94</v>
      </c>
      <c r="G631" s="17" t="str">
        <f>Github!H$991</f>
        <v>Algorithms</v>
      </c>
      <c r="H631" s="19" t="str">
        <f>SUBSTITUTE(Github!L$991, ";", ", ")</f>
        <v>Array, String, Union Find, Graph, </v>
      </c>
      <c r="I631" s="17" t="str">
        <f>Github!E$991</f>
        <v>Medium</v>
      </c>
      <c r="J631" s="17" t="str">
        <f>IF(TRIM(Github!D$991)="TRUE","FALSE","TRUE")</f>
        <v>TRUE</v>
      </c>
      <c r="K631" s="17" t="b">
        <f>Github!M$991</f>
        <v>1</v>
      </c>
      <c r="L631" s="17" t="b">
        <f>Github!N$991</f>
        <v>0</v>
      </c>
      <c r="M631" s="17" t="str">
        <f>ROUND(Github!O$991, 2)&amp;"%"</f>
        <v>49.72%</v>
      </c>
      <c r="N631" s="17">
        <f>Github!P$991</f>
        <v>46445</v>
      </c>
      <c r="O631" s="17">
        <f>Github!Q$991</f>
        <v>93410</v>
      </c>
    </row>
    <row r="632" ht="18.0" customHeight="1">
      <c r="A632" s="17">
        <f>Github!J$1082</f>
        <v>1081</v>
      </c>
      <c r="B632" s="27" t="str">
        <f>HYPERLINK(CONCAT("http://leetcode.com/problems/",Github!C$1082), Github!B$1082)</f>
        <v>Smallest Subsequence of Distinct Characters</v>
      </c>
      <c r="C632" s="17">
        <f>Github!F$1082</f>
        <v>1412</v>
      </c>
      <c r="D632" s="17">
        <f>Github!G$1082</f>
        <v>137</v>
      </c>
      <c r="E632" s="17">
        <f>Github!F$1082+Github!G$1082</f>
        <v>1549</v>
      </c>
      <c r="F632" s="18">
        <f t="shared" si="1"/>
        <v>10.31</v>
      </c>
      <c r="G632" s="17" t="str">
        <f>Github!H$1082</f>
        <v>Algorithms</v>
      </c>
      <c r="H632" s="19" t="str">
        <f>SUBSTITUTE(Github!L$1082, ";", ", ")</f>
        <v>String, Stack, Greedy, Monotonic Stack, </v>
      </c>
      <c r="I632" s="17" t="str">
        <f>Github!E$1082</f>
        <v>Medium</v>
      </c>
      <c r="J632" s="17" t="str">
        <f>IF(TRIM(Github!D$1082)="TRUE","FALSE","TRUE")</f>
        <v>TRUE</v>
      </c>
      <c r="K632" s="17" t="b">
        <f>Github!M$1082</f>
        <v>0</v>
      </c>
      <c r="L632" s="17" t="b">
        <f>Github!N$1082</f>
        <v>0</v>
      </c>
      <c r="M632" s="17" t="str">
        <f>ROUND(Github!O$1082, 2)&amp;"%"</f>
        <v>55.05%</v>
      </c>
      <c r="N632" s="17">
        <f>Github!P$1082</f>
        <v>33622</v>
      </c>
      <c r="O632" s="17">
        <f>Github!Q$1082</f>
        <v>61079</v>
      </c>
    </row>
    <row r="633" ht="18.0" customHeight="1">
      <c r="A633" s="17">
        <f>Github!J$509</f>
        <v>508</v>
      </c>
      <c r="B633" s="27" t="str">
        <f>HYPERLINK(CONCAT("http://leetcode.com/problems/",Github!C$509), Github!B$509)</f>
        <v>Most Frequent Subtree Sum</v>
      </c>
      <c r="C633" s="17">
        <f>Github!F$509</f>
        <v>1409</v>
      </c>
      <c r="D633" s="17">
        <f>Github!G$509</f>
        <v>211</v>
      </c>
      <c r="E633" s="17">
        <f>Github!F$509+Github!G$509</f>
        <v>1620</v>
      </c>
      <c r="F633" s="18">
        <f t="shared" si="1"/>
        <v>6.68</v>
      </c>
      <c r="G633" s="17" t="str">
        <f>Github!H$509</f>
        <v>Algorithms</v>
      </c>
      <c r="H633" s="19" t="str">
        <f>SUBSTITUTE(Github!L$509, ";", ", ")</f>
        <v>Hash Table, Tree, Depth-First Search, Binary Tree, </v>
      </c>
      <c r="I633" s="17" t="str">
        <f>Github!E$509</f>
        <v>Medium</v>
      </c>
      <c r="J633" s="17" t="str">
        <f>IF(TRIM(Github!D$509)="TRUE","FALSE","TRUE")</f>
        <v>TRUE</v>
      </c>
      <c r="K633" s="17" t="b">
        <f>Github!M$509</f>
        <v>0</v>
      </c>
      <c r="L633" s="17" t="b">
        <f>Github!N$509</f>
        <v>0</v>
      </c>
      <c r="M633" s="17" t="str">
        <f>ROUND(Github!O$509, 2)&amp;"%"</f>
        <v>62.42%</v>
      </c>
      <c r="N633" s="17">
        <f>Github!P$509</f>
        <v>104315</v>
      </c>
      <c r="O633" s="17">
        <f>Github!Q$509</f>
        <v>167111</v>
      </c>
    </row>
    <row r="634" ht="18.0" customHeight="1">
      <c r="A634" s="17">
        <f>Github!J$376</f>
        <v>375</v>
      </c>
      <c r="B634" s="27" t="str">
        <f>HYPERLINK(CONCAT("http://leetcode.com/problems/",Github!C$376), Github!B$376)</f>
        <v>Guess Number Higher or Lower II</v>
      </c>
      <c r="C634" s="17">
        <f>Github!F$376</f>
        <v>1406</v>
      </c>
      <c r="D634" s="17">
        <f>Github!G$376</f>
        <v>1746</v>
      </c>
      <c r="E634" s="17">
        <f>Github!F$376+Github!G$376</f>
        <v>3152</v>
      </c>
      <c r="F634" s="18">
        <f t="shared" si="1"/>
        <v>0.81</v>
      </c>
      <c r="G634" s="17" t="str">
        <f>Github!H$376</f>
        <v>Algorithms</v>
      </c>
      <c r="H634" s="19" t="str">
        <f>SUBSTITUTE(Github!L$376, ";", ", ")</f>
        <v>Math, Dynamic Programming, Game Theory, </v>
      </c>
      <c r="I634" s="17" t="str">
        <f>Github!E$376</f>
        <v>Medium</v>
      </c>
      <c r="J634" s="17" t="str">
        <f>IF(TRIM(Github!D$376)="TRUE","FALSE","TRUE")</f>
        <v>TRUE</v>
      </c>
      <c r="K634" s="17" t="b">
        <f>Github!M$376</f>
        <v>0</v>
      </c>
      <c r="L634" s="17" t="b">
        <f>Github!N$376</f>
        <v>0</v>
      </c>
      <c r="M634" s="17" t="str">
        <f>ROUND(Github!O$376, 2)&amp;"%"</f>
        <v>45.19%</v>
      </c>
      <c r="N634" s="17">
        <f>Github!P$376</f>
        <v>90968</v>
      </c>
      <c r="O634" s="17">
        <f>Github!Q$376</f>
        <v>201286</v>
      </c>
    </row>
    <row r="635" ht="18.0" customHeight="1">
      <c r="A635" s="17">
        <f>Github!J$314</f>
        <v>313</v>
      </c>
      <c r="B635" s="27" t="str">
        <f>HYPERLINK(CONCAT("http://leetcode.com/problems/",Github!C$314), Github!B$314)</f>
        <v>Super Ugly Number</v>
      </c>
      <c r="C635" s="17">
        <f>Github!F$314</f>
        <v>1403</v>
      </c>
      <c r="D635" s="17">
        <f>Github!G$314</f>
        <v>261</v>
      </c>
      <c r="E635" s="17">
        <f>Github!F$314+Github!G$314</f>
        <v>1664</v>
      </c>
      <c r="F635" s="18">
        <f t="shared" si="1"/>
        <v>5.38</v>
      </c>
      <c r="G635" s="17" t="str">
        <f>Github!H$314</f>
        <v>Algorithms</v>
      </c>
      <c r="H635" s="19" t="str">
        <f>SUBSTITUTE(Github!L$314, ";", ", ")</f>
        <v>Array, Hash Table, Math, Dynamic Programming, Heap (Priority Queue), </v>
      </c>
      <c r="I635" s="17" t="str">
        <f>Github!E$314</f>
        <v>Medium</v>
      </c>
      <c r="J635" s="17" t="str">
        <f>IF(TRIM(Github!D$314)="TRUE","FALSE","TRUE")</f>
        <v>TRUE</v>
      </c>
      <c r="K635" s="17" t="b">
        <f>Github!M$314</f>
        <v>0</v>
      </c>
      <c r="L635" s="17" t="b">
        <f>Github!N$314</f>
        <v>0</v>
      </c>
      <c r="M635" s="17" t="str">
        <f>ROUND(Github!O$314, 2)&amp;"%"</f>
        <v>45.98%</v>
      </c>
      <c r="N635" s="17">
        <f>Github!P$314</f>
        <v>102502</v>
      </c>
      <c r="O635" s="17">
        <f>Github!Q$314</f>
        <v>222947</v>
      </c>
    </row>
    <row r="636" ht="18.0" customHeight="1">
      <c r="A636" s="17">
        <f>Github!J$745</f>
        <v>744</v>
      </c>
      <c r="B636" s="27" t="str">
        <f>HYPERLINK(CONCAT("http://leetcode.com/problems/",Github!C$745), Github!B$745)</f>
        <v>Find Smallest Letter Greater Than Target</v>
      </c>
      <c r="C636" s="17">
        <f>Github!F$745</f>
        <v>1400</v>
      </c>
      <c r="D636" s="17">
        <f>Github!G$745</f>
        <v>1297</v>
      </c>
      <c r="E636" s="17">
        <f>Github!F$745+Github!G$745</f>
        <v>2697</v>
      </c>
      <c r="F636" s="18">
        <f t="shared" si="1"/>
        <v>1.08</v>
      </c>
      <c r="G636" s="17" t="str">
        <f>Github!H$745</f>
        <v>Algorithms</v>
      </c>
      <c r="H636" s="19" t="str">
        <f>SUBSTITUTE(Github!L$745, ";", ", ")</f>
        <v>Array, Binary Search, </v>
      </c>
      <c r="I636" s="17" t="str">
        <f>Github!E$745</f>
        <v>Easy</v>
      </c>
      <c r="J636" s="17" t="str">
        <f>IF(TRIM(Github!D$745)="TRUE","FALSE","TRUE")</f>
        <v>TRUE</v>
      </c>
      <c r="K636" s="17" t="b">
        <f>Github!M$745</f>
        <v>1</v>
      </c>
      <c r="L636" s="17" t="b">
        <f>Github!N$745</f>
        <v>0</v>
      </c>
      <c r="M636" s="17" t="str">
        <f>ROUND(Github!O$745, 2)&amp;"%"</f>
        <v>45.36%</v>
      </c>
      <c r="N636" s="17">
        <f>Github!P$745</f>
        <v>170113</v>
      </c>
      <c r="O636" s="17">
        <f>Github!Q$745</f>
        <v>375006</v>
      </c>
    </row>
    <row r="637" ht="18.0" customHeight="1">
      <c r="A637" s="17">
        <f>Github!J$420</f>
        <v>419</v>
      </c>
      <c r="B637" s="27" t="str">
        <f>HYPERLINK(CONCAT("http://leetcode.com/problems/",Github!C$420), Github!B$420)</f>
        <v>Battleships in a Board</v>
      </c>
      <c r="C637" s="17">
        <f>Github!F$420</f>
        <v>1399</v>
      </c>
      <c r="D637" s="17">
        <f>Github!G$420</f>
        <v>714</v>
      </c>
      <c r="E637" s="17">
        <f>Github!F$420+Github!G$420</f>
        <v>2113</v>
      </c>
      <c r="F637" s="18">
        <f t="shared" si="1"/>
        <v>1.96</v>
      </c>
      <c r="G637" s="17" t="str">
        <f>Github!H$420</f>
        <v>Algorithms</v>
      </c>
      <c r="H637" s="19" t="str">
        <f>SUBSTITUTE(Github!L$420, ";", ", ")</f>
        <v>Array, Depth-First Search, Matrix, </v>
      </c>
      <c r="I637" s="17" t="str">
        <f>Github!E$420</f>
        <v>Medium</v>
      </c>
      <c r="J637" s="17" t="str">
        <f>IF(TRIM(Github!D$420)="TRUE","FALSE","TRUE")</f>
        <v>TRUE</v>
      </c>
      <c r="K637" s="17" t="b">
        <f>Github!M$420</f>
        <v>0</v>
      </c>
      <c r="L637" s="17" t="b">
        <f>Github!N$420</f>
        <v>0</v>
      </c>
      <c r="M637" s="17" t="str">
        <f>ROUND(Github!O$420, 2)&amp;"%"</f>
        <v>73.16%</v>
      </c>
      <c r="N637" s="17">
        <f>Github!P$420</f>
        <v>140261</v>
      </c>
      <c r="O637" s="17">
        <f>Github!Q$420</f>
        <v>191709</v>
      </c>
    </row>
    <row r="638" ht="18.0" customHeight="1">
      <c r="A638" s="17">
        <f>Github!J$1218</f>
        <v>1217</v>
      </c>
      <c r="B638" s="27" t="str">
        <f>HYPERLINK(CONCAT("http://leetcode.com/problems/",Github!C$1218), Github!B$1218)</f>
        <v>Minimum Cost to Move Chips to The Same Position</v>
      </c>
      <c r="C638" s="17">
        <f>Github!F$1218</f>
        <v>1398</v>
      </c>
      <c r="D638" s="17">
        <f>Github!G$1218</f>
        <v>192</v>
      </c>
      <c r="E638" s="17">
        <f>Github!F$1218+Github!G$1218</f>
        <v>1590</v>
      </c>
      <c r="F638" s="18">
        <f t="shared" si="1"/>
        <v>7.28</v>
      </c>
      <c r="G638" s="17" t="str">
        <f>Github!H$1218</f>
        <v>Algorithms</v>
      </c>
      <c r="H638" s="19" t="str">
        <f>SUBSTITUTE(Github!L$1218, ";", ", ")</f>
        <v>Array, Math, Greedy, </v>
      </c>
      <c r="I638" s="17" t="str">
        <f>Github!E$1218</f>
        <v>Easy</v>
      </c>
      <c r="J638" s="17" t="str">
        <f>IF(TRIM(Github!D$1218)="TRUE","FALSE","TRUE")</f>
        <v>TRUE</v>
      </c>
      <c r="K638" s="17" t="b">
        <f>Github!M$1218</f>
        <v>1</v>
      </c>
      <c r="L638" s="17" t="b">
        <f>Github!N$1218</f>
        <v>0</v>
      </c>
      <c r="M638" s="17" t="str">
        <f>ROUND(Github!O$1218, 2)&amp;"%"</f>
        <v>72.74%</v>
      </c>
      <c r="N638" s="17">
        <f>Github!P$1218</f>
        <v>92638</v>
      </c>
      <c r="O638" s="17">
        <f>Github!Q$1218</f>
        <v>127347</v>
      </c>
    </row>
    <row r="639" ht="18.0" customHeight="1">
      <c r="A639" s="17">
        <f>Github!J$1327</f>
        <v>1326</v>
      </c>
      <c r="B639" s="27" t="str">
        <f>HYPERLINK(CONCAT("http://leetcode.com/problems/",Github!C$1327), Github!B$1327)</f>
        <v>Minimum Number of Taps to Open to Water a Garden</v>
      </c>
      <c r="C639" s="17">
        <f>Github!F$1327</f>
        <v>1392</v>
      </c>
      <c r="D639" s="17">
        <f>Github!G$1327</f>
        <v>99</v>
      </c>
      <c r="E639" s="17">
        <f>Github!F$1327+Github!G$1327</f>
        <v>1491</v>
      </c>
      <c r="F639" s="18">
        <f t="shared" si="1"/>
        <v>14.06</v>
      </c>
      <c r="G639" s="17" t="str">
        <f>Github!H$1327</f>
        <v>Algorithms</v>
      </c>
      <c r="H639" s="19" t="str">
        <f>SUBSTITUTE(Github!L$1327, ";", ", ")</f>
        <v>Array, Dynamic Programming, Greedy, </v>
      </c>
      <c r="I639" s="17" t="str">
        <f>Github!E$1327</f>
        <v>Hard</v>
      </c>
      <c r="J639" s="17" t="str">
        <f>IF(TRIM(Github!D$1327)="TRUE","FALSE","TRUE")</f>
        <v>TRUE</v>
      </c>
      <c r="K639" s="17" t="b">
        <f>Github!M$1327</f>
        <v>0</v>
      </c>
      <c r="L639" s="17" t="b">
        <f>Github!N$1327</f>
        <v>0</v>
      </c>
      <c r="M639" s="17" t="str">
        <f>ROUND(Github!O$1327, 2)&amp;"%"</f>
        <v>48.18%</v>
      </c>
      <c r="N639" s="17">
        <f>Github!P$1327</f>
        <v>52294</v>
      </c>
      <c r="O639" s="17">
        <f>Github!Q$1327</f>
        <v>108536</v>
      </c>
    </row>
    <row r="640" ht="18.0" customHeight="1">
      <c r="A640" s="17">
        <f>Github!J$897</f>
        <v>896</v>
      </c>
      <c r="B640" s="27" t="str">
        <f>HYPERLINK(CONCAT("http://leetcode.com/problems/",Github!C$897), Github!B$897)</f>
        <v>Monotonic Array</v>
      </c>
      <c r="C640" s="17">
        <f>Github!F$897</f>
        <v>1390</v>
      </c>
      <c r="D640" s="17">
        <f>Github!G$897</f>
        <v>53</v>
      </c>
      <c r="E640" s="17">
        <f>Github!F$897+Github!G$897</f>
        <v>1443</v>
      </c>
      <c r="F640" s="18">
        <f t="shared" si="1"/>
        <v>26.23</v>
      </c>
      <c r="G640" s="17" t="str">
        <f>Github!H$897</f>
        <v>Algorithms</v>
      </c>
      <c r="H640" s="19" t="str">
        <f>SUBSTITUTE(Github!L$897, ";", ", ")</f>
        <v>Array, </v>
      </c>
      <c r="I640" s="17" t="str">
        <f>Github!E$897</f>
        <v>Easy</v>
      </c>
      <c r="J640" s="17" t="str">
        <f>IF(TRIM(Github!D$897)="TRUE","FALSE","TRUE")</f>
        <v>TRUE</v>
      </c>
      <c r="K640" s="17" t="b">
        <f>Github!M$897</f>
        <v>1</v>
      </c>
      <c r="L640" s="17" t="b">
        <f>Github!N$897</f>
        <v>0</v>
      </c>
      <c r="M640" s="17" t="str">
        <f>ROUND(Github!O$897, 2)&amp;"%"</f>
        <v>58.46%</v>
      </c>
      <c r="N640" s="17">
        <f>Github!P$897</f>
        <v>192095</v>
      </c>
      <c r="O640" s="17">
        <f>Github!Q$897</f>
        <v>328617</v>
      </c>
    </row>
    <row r="641" ht="18.0" customHeight="1">
      <c r="A641" s="17">
        <f>Github!J$492</f>
        <v>491</v>
      </c>
      <c r="B641" s="27" t="str">
        <f>HYPERLINK(CONCAT("http://leetcode.com/problems/",Github!C$492), Github!B$492)</f>
        <v>Increasing Subsequences</v>
      </c>
      <c r="C641" s="17">
        <f>Github!F$492</f>
        <v>1387</v>
      </c>
      <c r="D641" s="17">
        <f>Github!G$492</f>
        <v>147</v>
      </c>
      <c r="E641" s="17">
        <f>Github!F$492+Github!G$492</f>
        <v>1534</v>
      </c>
      <c r="F641" s="18">
        <f t="shared" si="1"/>
        <v>9.44</v>
      </c>
      <c r="G641" s="17" t="str">
        <f>Github!H$492</f>
        <v>Algorithms</v>
      </c>
      <c r="H641" s="19" t="str">
        <f>SUBSTITUTE(Github!L$492, ";", ", ")</f>
        <v>Array, Hash Table, Backtracking, Bit Manipulation, </v>
      </c>
      <c r="I641" s="17" t="str">
        <f>Github!E$492</f>
        <v>Medium</v>
      </c>
      <c r="J641" s="17" t="str">
        <f>IF(TRIM(Github!D$492)="TRUE","FALSE","TRUE")</f>
        <v>TRUE</v>
      </c>
      <c r="K641" s="17" t="b">
        <f>Github!M$492</f>
        <v>0</v>
      </c>
      <c r="L641" s="17" t="b">
        <f>Github!N$492</f>
        <v>0</v>
      </c>
      <c r="M641" s="17" t="str">
        <f>ROUND(Github!O$492, 2)&amp;"%"</f>
        <v>50.54%</v>
      </c>
      <c r="N641" s="17">
        <f>Github!P$492</f>
        <v>71872</v>
      </c>
      <c r="O641" s="17">
        <f>Github!Q$492</f>
        <v>142198</v>
      </c>
    </row>
    <row r="642" ht="18.0" customHeight="1">
      <c r="A642" s="17">
        <f>Github!J$918</f>
        <v>917</v>
      </c>
      <c r="B642" s="27" t="str">
        <f>HYPERLINK(CONCAT("http://leetcode.com/problems/",Github!C$918), Github!B$918)</f>
        <v>Reverse Only Letters</v>
      </c>
      <c r="C642" s="17">
        <f>Github!F$918</f>
        <v>1383</v>
      </c>
      <c r="D642" s="17">
        <f>Github!G$918</f>
        <v>51</v>
      </c>
      <c r="E642" s="17">
        <f>Github!F$918+Github!G$918</f>
        <v>1434</v>
      </c>
      <c r="F642" s="18">
        <f t="shared" si="1"/>
        <v>27.12</v>
      </c>
      <c r="G642" s="17" t="str">
        <f>Github!H$918</f>
        <v>Algorithms</v>
      </c>
      <c r="H642" s="19" t="str">
        <f>SUBSTITUTE(Github!L$918, ";", ", ")</f>
        <v>Two Pointers, String, </v>
      </c>
      <c r="I642" s="17" t="str">
        <f>Github!E$918</f>
        <v>Easy</v>
      </c>
      <c r="J642" s="17" t="str">
        <f>IF(TRIM(Github!D$918)="TRUE","FALSE","TRUE")</f>
        <v>TRUE</v>
      </c>
      <c r="K642" s="17" t="b">
        <f>Github!M$918</f>
        <v>1</v>
      </c>
      <c r="L642" s="17" t="b">
        <f>Github!N$918</f>
        <v>0</v>
      </c>
      <c r="M642" s="17" t="str">
        <f>ROUND(Github!O$918, 2)&amp;"%"</f>
        <v>60.92%</v>
      </c>
      <c r="N642" s="17">
        <f>Github!P$918</f>
        <v>129397</v>
      </c>
      <c r="O642" s="17">
        <f>Github!Q$918</f>
        <v>212408</v>
      </c>
    </row>
    <row r="643" ht="18.0" customHeight="1">
      <c r="A643" s="17">
        <f>Github!J$90</f>
        <v>89</v>
      </c>
      <c r="B643" s="27" t="str">
        <f>HYPERLINK(CONCAT("http://leetcode.com/problems/",Github!C$90), Github!B$90)</f>
        <v>Gray Code</v>
      </c>
      <c r="C643" s="17">
        <f>Github!F$90</f>
        <v>1376</v>
      </c>
      <c r="D643" s="17">
        <f>Github!G$90</f>
        <v>2223</v>
      </c>
      <c r="E643" s="17">
        <f>Github!F$90+Github!G$90</f>
        <v>3599</v>
      </c>
      <c r="F643" s="18">
        <f t="shared" si="1"/>
        <v>0.62</v>
      </c>
      <c r="G643" s="17" t="str">
        <f>Github!H$90</f>
        <v>Algorithms</v>
      </c>
      <c r="H643" s="19" t="str">
        <f>SUBSTITUTE(Github!L$90, ";", ", ")</f>
        <v>Math, Backtracking, Bit Manipulation, </v>
      </c>
      <c r="I643" s="17" t="str">
        <f>Github!E$90</f>
        <v>Medium</v>
      </c>
      <c r="J643" s="17" t="str">
        <f>IF(TRIM(Github!D$90)="TRUE","FALSE","TRUE")</f>
        <v>TRUE</v>
      </c>
      <c r="K643" s="17" t="b">
        <f>Github!M$90</f>
        <v>1</v>
      </c>
      <c r="L643" s="17" t="b">
        <f>Github!N$90</f>
        <v>0</v>
      </c>
      <c r="M643" s="17" t="str">
        <f>ROUND(Github!O$90, 2)&amp;"%"</f>
        <v>54.97%</v>
      </c>
      <c r="N643" s="17">
        <f>Github!P$90</f>
        <v>228326</v>
      </c>
      <c r="O643" s="17">
        <f>Github!Q$90</f>
        <v>415336</v>
      </c>
    </row>
    <row r="644" ht="18.0" customHeight="1">
      <c r="A644" s="17">
        <f>Github!J$940</f>
        <v>939</v>
      </c>
      <c r="B644" s="27" t="str">
        <f>HYPERLINK(CONCAT("http://leetcode.com/problems/",Github!C$940), Github!B$940)</f>
        <v>Minimum Area Rectangle</v>
      </c>
      <c r="C644" s="17">
        <f>Github!F$940</f>
        <v>1373</v>
      </c>
      <c r="D644" s="17">
        <f>Github!G$940</f>
        <v>217</v>
      </c>
      <c r="E644" s="17">
        <f>Github!F$940+Github!G$940</f>
        <v>1590</v>
      </c>
      <c r="F644" s="18">
        <f t="shared" si="1"/>
        <v>6.33</v>
      </c>
      <c r="G644" s="17" t="str">
        <f>Github!H$940</f>
        <v>Algorithms</v>
      </c>
      <c r="H644" s="19" t="str">
        <f>SUBSTITUTE(Github!L$940, ";", ", ")</f>
        <v>Array, Hash Table, Math, Geometry, Sorting, </v>
      </c>
      <c r="I644" s="17" t="str">
        <f>Github!E$940</f>
        <v>Medium</v>
      </c>
      <c r="J644" s="17" t="str">
        <f>IF(TRIM(Github!D$940)="TRUE","FALSE","TRUE")</f>
        <v>TRUE</v>
      </c>
      <c r="K644" s="17" t="b">
        <f>Github!M$940</f>
        <v>0</v>
      </c>
      <c r="L644" s="17" t="b">
        <f>Github!N$940</f>
        <v>0</v>
      </c>
      <c r="M644" s="17" t="str">
        <f>ROUND(Github!O$940, 2)&amp;"%"</f>
        <v>53.43%</v>
      </c>
      <c r="N644" s="17">
        <f>Github!P$940</f>
        <v>96383</v>
      </c>
      <c r="O644" s="17">
        <f>Github!Q$940</f>
        <v>180389</v>
      </c>
    </row>
    <row r="645" ht="18.0" customHeight="1">
      <c r="A645" s="17">
        <f>Github!J$454</f>
        <v>453</v>
      </c>
      <c r="B645" s="27" t="str">
        <f>HYPERLINK(CONCAT("http://leetcode.com/problems/",Github!C$454), Github!B$454)</f>
        <v>Minimum Moves to Equal Array Elements</v>
      </c>
      <c r="C645" s="17">
        <f>Github!F$454</f>
        <v>1372</v>
      </c>
      <c r="D645" s="17">
        <f>Github!G$454</f>
        <v>1516</v>
      </c>
      <c r="E645" s="17">
        <f>Github!F$454+Github!G$454</f>
        <v>2888</v>
      </c>
      <c r="F645" s="18">
        <f t="shared" si="1"/>
        <v>0.91</v>
      </c>
      <c r="G645" s="17" t="str">
        <f>Github!H$454</f>
        <v>Algorithms</v>
      </c>
      <c r="H645" s="19" t="str">
        <f>SUBSTITUTE(Github!L$454, ";", ", ")</f>
        <v>Array, Math, </v>
      </c>
      <c r="I645" s="17" t="str">
        <f>Github!E$454</f>
        <v>Medium</v>
      </c>
      <c r="J645" s="17" t="str">
        <f>IF(TRIM(Github!D$454)="TRUE","FALSE","TRUE")</f>
        <v>TRUE</v>
      </c>
      <c r="K645" s="17" t="b">
        <f>Github!M$454</f>
        <v>1</v>
      </c>
      <c r="L645" s="17" t="b">
        <f>Github!N$454</f>
        <v>0</v>
      </c>
      <c r="M645" s="17" t="str">
        <f>ROUND(Github!O$454, 2)&amp;"%"</f>
        <v>53.74%</v>
      </c>
      <c r="N645" s="17">
        <f>Github!P$454</f>
        <v>118345</v>
      </c>
      <c r="O645" s="17">
        <f>Github!Q$454</f>
        <v>220209</v>
      </c>
    </row>
    <row r="646" ht="18.0" customHeight="1">
      <c r="A646" s="17">
        <f>Github!J$306</f>
        <v>305</v>
      </c>
      <c r="B646" s="27" t="str">
        <f>HYPERLINK(CONCAT("http://leetcode.com/problems/",Github!C$306), Github!B$306)</f>
        <v>Number of Islands II</v>
      </c>
      <c r="C646" s="17">
        <f>Github!F$306</f>
        <v>1370</v>
      </c>
      <c r="D646" s="17">
        <f>Github!G$306</f>
        <v>42</v>
      </c>
      <c r="E646" s="17">
        <f>Github!F$306+Github!G$306</f>
        <v>1412</v>
      </c>
      <c r="F646" s="18">
        <f t="shared" si="1"/>
        <v>32.62</v>
      </c>
      <c r="G646" s="17" t="str">
        <f>Github!H$306</f>
        <v>Algorithms</v>
      </c>
      <c r="H646" s="19" t="str">
        <f>SUBSTITUTE(Github!L$306, ";", ", ")</f>
        <v>Array, Union Find, </v>
      </c>
      <c r="I646" s="17" t="str">
        <f>Github!E$306</f>
        <v>Hard</v>
      </c>
      <c r="J646" s="17" t="str">
        <f>IF(TRIM(Github!D$306)="TRUE","FALSE","TRUE")</f>
        <v>FALSE</v>
      </c>
      <c r="K646" s="17" t="b">
        <f>Github!M$306</f>
        <v>1</v>
      </c>
      <c r="L646" s="17" t="b">
        <f>Github!N$306</f>
        <v>0</v>
      </c>
      <c r="M646" s="17" t="str">
        <f>ROUND(Github!O$306, 2)&amp;"%"</f>
        <v>39.33%</v>
      </c>
      <c r="N646" s="17">
        <f>Github!P$306</f>
        <v>109573</v>
      </c>
      <c r="O646" s="17">
        <f>Github!Q$306</f>
        <v>278616</v>
      </c>
    </row>
    <row r="647" ht="18.0" customHeight="1">
      <c r="A647" s="17">
        <f>Github!J$271</f>
        <v>270</v>
      </c>
      <c r="B647" s="27" t="str">
        <f>HYPERLINK(CONCAT("http://leetcode.com/problems/",Github!C$271), Github!B$271)</f>
        <v>Closest Binary Search Tree Value</v>
      </c>
      <c r="C647" s="17">
        <f>Github!F$271</f>
        <v>1370</v>
      </c>
      <c r="D647" s="17">
        <f>Github!G$271</f>
        <v>86</v>
      </c>
      <c r="E647" s="17">
        <f>Github!F$271+Github!G$271</f>
        <v>1456</v>
      </c>
      <c r="F647" s="18">
        <f t="shared" si="1"/>
        <v>15.93</v>
      </c>
      <c r="G647" s="17" t="str">
        <f>Github!H$271</f>
        <v>Algorithms</v>
      </c>
      <c r="H647" s="19" t="str">
        <f>SUBSTITUTE(Github!L$271, ";", ", ")</f>
        <v>Binary Search, Tree, Depth-First Search, Binary Search Tree, Binary Tree, </v>
      </c>
      <c r="I647" s="17" t="str">
        <f>Github!E$271</f>
        <v>Easy</v>
      </c>
      <c r="J647" s="17" t="str">
        <f>IF(TRIM(Github!D$271)="TRUE","FALSE","TRUE")</f>
        <v>FALSE</v>
      </c>
      <c r="K647" s="17" t="b">
        <f>Github!M$271</f>
        <v>1</v>
      </c>
      <c r="L647" s="17" t="b">
        <f>Github!N$271</f>
        <v>0</v>
      </c>
      <c r="M647" s="17" t="str">
        <f>ROUND(Github!O$271, 2)&amp;"%"</f>
        <v>53.42%</v>
      </c>
      <c r="N647" s="17">
        <f>Github!P$271</f>
        <v>242448</v>
      </c>
      <c r="O647" s="17">
        <f>Github!Q$271</f>
        <v>453880</v>
      </c>
    </row>
    <row r="648" ht="18.0" customHeight="1">
      <c r="A648" s="17">
        <f>Github!J$343</f>
        <v>342</v>
      </c>
      <c r="B648" s="27" t="str">
        <f>HYPERLINK(CONCAT("http://leetcode.com/problems/",Github!C$343), Github!B$343)</f>
        <v>Power of Four</v>
      </c>
      <c r="C648" s="17">
        <f>Github!F$343</f>
        <v>1370</v>
      </c>
      <c r="D648" s="17">
        <f>Github!G$343</f>
        <v>283</v>
      </c>
      <c r="E648" s="17">
        <f>Github!F$343+Github!G$343</f>
        <v>1653</v>
      </c>
      <c r="F648" s="18">
        <f t="shared" si="1"/>
        <v>4.84</v>
      </c>
      <c r="G648" s="17" t="str">
        <f>Github!H$343</f>
        <v>Algorithms</v>
      </c>
      <c r="H648" s="19" t="str">
        <f>SUBSTITUTE(Github!L$343, ";", ", ")</f>
        <v>Math, Bit Manipulation, Recursion, </v>
      </c>
      <c r="I648" s="17" t="str">
        <f>Github!E$343</f>
        <v>Easy</v>
      </c>
      <c r="J648" s="17" t="str">
        <f>IF(TRIM(Github!D$343)="TRUE","FALSE","TRUE")</f>
        <v>TRUE</v>
      </c>
      <c r="K648" s="17" t="b">
        <f>Github!M$343</f>
        <v>1</v>
      </c>
      <c r="L648" s="17" t="b">
        <f>Github!N$343</f>
        <v>0</v>
      </c>
      <c r="M648" s="17" t="str">
        <f>ROUND(Github!O$343, 2)&amp;"%"</f>
        <v>43.68%</v>
      </c>
      <c r="N648" s="17">
        <f>Github!P$343</f>
        <v>283758</v>
      </c>
      <c r="O648" s="17">
        <f>Github!Q$343</f>
        <v>649635</v>
      </c>
    </row>
    <row r="649" ht="18.0" customHeight="1">
      <c r="A649" s="17">
        <f>Github!J$874</f>
        <v>873</v>
      </c>
      <c r="B649" s="27" t="str">
        <f>HYPERLINK(CONCAT("http://leetcode.com/problems/",Github!C$874), Github!B$874)</f>
        <v>Length of Longest Fibonacci Subsequence</v>
      </c>
      <c r="C649" s="17">
        <f>Github!F$874</f>
        <v>1367</v>
      </c>
      <c r="D649" s="17">
        <f>Github!G$874</f>
        <v>50</v>
      </c>
      <c r="E649" s="17">
        <f>Github!F$874+Github!G$874</f>
        <v>1417</v>
      </c>
      <c r="F649" s="18">
        <f t="shared" si="1"/>
        <v>27.34</v>
      </c>
      <c r="G649" s="17" t="str">
        <f>Github!H$874</f>
        <v>Algorithms</v>
      </c>
      <c r="H649" s="19" t="str">
        <f>SUBSTITUTE(Github!L$874, ";", ", ")</f>
        <v>Array, Hash Table, Dynamic Programming, </v>
      </c>
      <c r="I649" s="17" t="str">
        <f>Github!E$874</f>
        <v>Medium</v>
      </c>
      <c r="J649" s="17" t="str">
        <f>IF(TRIM(Github!D$874)="TRUE","FALSE","TRUE")</f>
        <v>TRUE</v>
      </c>
      <c r="K649" s="17" t="b">
        <f>Github!M$874</f>
        <v>1</v>
      </c>
      <c r="L649" s="17" t="b">
        <f>Github!N$874</f>
        <v>0</v>
      </c>
      <c r="M649" s="17" t="str">
        <f>ROUND(Github!O$874, 2)&amp;"%"</f>
        <v>48.57%</v>
      </c>
      <c r="N649" s="17">
        <f>Github!P$874</f>
        <v>46575</v>
      </c>
      <c r="O649" s="17">
        <f>Github!Q$874</f>
        <v>95890</v>
      </c>
    </row>
    <row r="650" ht="18.0" customHeight="1">
      <c r="A650" s="17">
        <f>Github!J$936</f>
        <v>935</v>
      </c>
      <c r="B650" s="27" t="str">
        <f>HYPERLINK(CONCAT("http://leetcode.com/problems/",Github!C$936), Github!B$936)</f>
        <v>Knight Dialer</v>
      </c>
      <c r="C650" s="17">
        <f>Github!F$936</f>
        <v>1364</v>
      </c>
      <c r="D650" s="17">
        <f>Github!G$936</f>
        <v>344</v>
      </c>
      <c r="E650" s="17">
        <f>Github!F$936+Github!G$936</f>
        <v>1708</v>
      </c>
      <c r="F650" s="18">
        <f t="shared" si="1"/>
        <v>3.97</v>
      </c>
      <c r="G650" s="17" t="str">
        <f>Github!H$936</f>
        <v>Algorithms</v>
      </c>
      <c r="H650" s="19" t="str">
        <f>SUBSTITUTE(Github!L$936, ";", ", ")</f>
        <v>Dynamic Programming, </v>
      </c>
      <c r="I650" s="17" t="str">
        <f>Github!E$936</f>
        <v>Medium</v>
      </c>
      <c r="J650" s="17" t="str">
        <f>IF(TRIM(Github!D$936)="TRUE","FALSE","TRUE")</f>
        <v>TRUE</v>
      </c>
      <c r="K650" s="17" t="b">
        <f>Github!M$936</f>
        <v>0</v>
      </c>
      <c r="L650" s="17" t="b">
        <f>Github!N$936</f>
        <v>0</v>
      </c>
      <c r="M650" s="17" t="str">
        <f>ROUND(Github!O$936, 2)&amp;"%"</f>
        <v>48.8%</v>
      </c>
      <c r="N650" s="17">
        <f>Github!P$936</f>
        <v>74101</v>
      </c>
      <c r="O650" s="17">
        <f>Github!Q$936</f>
        <v>151846</v>
      </c>
    </row>
    <row r="651" ht="18.0" customHeight="1">
      <c r="A651" s="17">
        <f>Github!J$491</f>
        <v>490</v>
      </c>
      <c r="B651" s="27" t="str">
        <f>HYPERLINK(CONCAT("http://leetcode.com/problems/",Github!C$491), Github!B$491)</f>
        <v>The Maze</v>
      </c>
      <c r="C651" s="17">
        <f>Github!F$491</f>
        <v>1361</v>
      </c>
      <c r="D651" s="17">
        <f>Github!G$491</f>
        <v>148</v>
      </c>
      <c r="E651" s="17">
        <f>Github!F$491+Github!G$491</f>
        <v>1509</v>
      </c>
      <c r="F651" s="18">
        <f t="shared" si="1"/>
        <v>9.2</v>
      </c>
      <c r="G651" s="17" t="str">
        <f>Github!H$491</f>
        <v>Algorithms</v>
      </c>
      <c r="H651" s="19" t="str">
        <f>SUBSTITUTE(Github!L$491, ";", ", ")</f>
        <v>Depth-First Search, Breadth-First Search, Graph, </v>
      </c>
      <c r="I651" s="17" t="str">
        <f>Github!E$491</f>
        <v>Medium</v>
      </c>
      <c r="J651" s="17" t="str">
        <f>IF(TRIM(Github!D$491)="TRUE","FALSE","TRUE")</f>
        <v>FALSE</v>
      </c>
      <c r="K651" s="17" t="b">
        <f>Github!M$491</f>
        <v>1</v>
      </c>
      <c r="L651" s="17" t="b">
        <f>Github!N$491</f>
        <v>0</v>
      </c>
      <c r="M651" s="17" t="str">
        <f>ROUND(Github!O$491, 2)&amp;"%"</f>
        <v>54.49%</v>
      </c>
      <c r="N651" s="17">
        <f>Github!P$491</f>
        <v>114133</v>
      </c>
      <c r="O651" s="17">
        <f>Github!Q$491</f>
        <v>209442</v>
      </c>
    </row>
    <row r="652" ht="18.0" customHeight="1">
      <c r="A652" s="17">
        <f>Github!J$88</f>
        <v>87</v>
      </c>
      <c r="B652" s="27" t="str">
        <f>HYPERLINK(CONCAT("http://leetcode.com/problems/",Github!C$88), Github!B$88)</f>
        <v>Scramble String</v>
      </c>
      <c r="C652" s="17">
        <f>Github!F$88</f>
        <v>1359</v>
      </c>
      <c r="D652" s="17">
        <f>Github!G$88</f>
        <v>920</v>
      </c>
      <c r="E652" s="17">
        <f>Github!F$88+Github!G$88</f>
        <v>2279</v>
      </c>
      <c r="F652" s="18">
        <f t="shared" si="1"/>
        <v>1.48</v>
      </c>
      <c r="G652" s="17" t="str">
        <f>Github!H$88</f>
        <v>Algorithms</v>
      </c>
      <c r="H652" s="19" t="str">
        <f>SUBSTITUTE(Github!L$88, ";", ", ")</f>
        <v>String, Dynamic Programming, </v>
      </c>
      <c r="I652" s="17" t="str">
        <f>Github!E$88</f>
        <v>Hard</v>
      </c>
      <c r="J652" s="17" t="str">
        <f>IF(TRIM(Github!D$88)="TRUE","FALSE","TRUE")</f>
        <v>TRUE</v>
      </c>
      <c r="K652" s="17" t="b">
        <f>Github!M$88</f>
        <v>0</v>
      </c>
      <c r="L652" s="17" t="b">
        <f>Github!N$88</f>
        <v>0</v>
      </c>
      <c r="M652" s="17" t="str">
        <f>ROUND(Github!O$88, 2)&amp;"%"</f>
        <v>35.49%</v>
      </c>
      <c r="N652" s="17">
        <f>Github!P$88</f>
        <v>141239</v>
      </c>
      <c r="O652" s="17">
        <f>Github!Q$88</f>
        <v>398005</v>
      </c>
    </row>
    <row r="653" ht="18.0" customHeight="1">
      <c r="A653" s="17">
        <f>Github!J$837</f>
        <v>836</v>
      </c>
      <c r="B653" s="27" t="str">
        <f>HYPERLINK(CONCAT("http://leetcode.com/problems/",Github!C$837), Github!B$837)</f>
        <v>Rectangle Overlap</v>
      </c>
      <c r="C653" s="17">
        <f>Github!F$837</f>
        <v>1355</v>
      </c>
      <c r="D653" s="17">
        <f>Github!G$837</f>
        <v>375</v>
      </c>
      <c r="E653" s="17">
        <f>Github!F$837+Github!G$837</f>
        <v>1730</v>
      </c>
      <c r="F653" s="18">
        <f t="shared" si="1"/>
        <v>3.61</v>
      </c>
      <c r="G653" s="17" t="str">
        <f>Github!H$837</f>
        <v>Algorithms</v>
      </c>
      <c r="H653" s="19" t="str">
        <f>SUBSTITUTE(Github!L$837, ";", ", ")</f>
        <v>Math, Geometry, </v>
      </c>
      <c r="I653" s="17" t="str">
        <f>Github!E$837</f>
        <v>Easy</v>
      </c>
      <c r="J653" s="17" t="str">
        <f>IF(TRIM(Github!D$837)="TRUE","FALSE","TRUE")</f>
        <v>TRUE</v>
      </c>
      <c r="K653" s="17" t="b">
        <f>Github!M$837</f>
        <v>1</v>
      </c>
      <c r="L653" s="17" t="b">
        <f>Github!N$837</f>
        <v>0</v>
      </c>
      <c r="M653" s="17" t="str">
        <f>ROUND(Github!O$837, 2)&amp;"%"</f>
        <v>43.15%</v>
      </c>
      <c r="N653" s="17">
        <f>Github!P$837</f>
        <v>97998</v>
      </c>
      <c r="O653" s="17">
        <f>Github!Q$837</f>
        <v>227108</v>
      </c>
    </row>
    <row r="654" ht="18.0" customHeight="1">
      <c r="A654" s="17">
        <f>Github!J$708</f>
        <v>707</v>
      </c>
      <c r="B654" s="27" t="str">
        <f>HYPERLINK(CONCAT("http://leetcode.com/problems/",Github!C$708), Github!B$708)</f>
        <v>Design Linked List</v>
      </c>
      <c r="C654" s="17">
        <f>Github!F$708</f>
        <v>1355</v>
      </c>
      <c r="D654" s="17">
        <f>Github!G$708</f>
        <v>1132</v>
      </c>
      <c r="E654" s="17">
        <f>Github!F$708+Github!G$708</f>
        <v>2487</v>
      </c>
      <c r="F654" s="18">
        <f t="shared" si="1"/>
        <v>1.2</v>
      </c>
      <c r="G654" s="17" t="str">
        <f>Github!H$708</f>
        <v>Algorithms</v>
      </c>
      <c r="H654" s="19" t="str">
        <f>SUBSTITUTE(Github!L$708, ";", ", ")</f>
        <v>Linked List, Design, </v>
      </c>
      <c r="I654" s="17" t="str">
        <f>Github!E$708</f>
        <v>Medium</v>
      </c>
      <c r="J654" s="17" t="str">
        <f>IF(TRIM(Github!D$708)="TRUE","FALSE","TRUE")</f>
        <v>TRUE</v>
      </c>
      <c r="K654" s="17" t="b">
        <f>Github!M$708</f>
        <v>1</v>
      </c>
      <c r="L654" s="17" t="b">
        <f>Github!N$708</f>
        <v>0</v>
      </c>
      <c r="M654" s="17" t="str">
        <f>ROUND(Github!O$708, 2)&amp;"%"</f>
        <v>26.86%</v>
      </c>
      <c r="N654" s="17">
        <f>Github!P$708</f>
        <v>174828</v>
      </c>
      <c r="O654" s="17">
        <f>Github!Q$708</f>
        <v>650873</v>
      </c>
    </row>
    <row r="655" ht="18.0" customHeight="1">
      <c r="A655" s="17">
        <f>Github!J$687</f>
        <v>686</v>
      </c>
      <c r="B655" s="27" t="str">
        <f>HYPERLINK(CONCAT("http://leetcode.com/problems/",Github!C$687), Github!B$687)</f>
        <v>Repeated String Match</v>
      </c>
      <c r="C655" s="17">
        <f>Github!F$687</f>
        <v>1353</v>
      </c>
      <c r="D655" s="17">
        <f>Github!G$687</f>
        <v>891</v>
      </c>
      <c r="E655" s="17">
        <f>Github!F$687+Github!G$687</f>
        <v>2244</v>
      </c>
      <c r="F655" s="18">
        <f t="shared" si="1"/>
        <v>1.52</v>
      </c>
      <c r="G655" s="17" t="str">
        <f>Github!H$687</f>
        <v>Algorithms</v>
      </c>
      <c r="H655" s="19" t="str">
        <f>SUBSTITUTE(Github!L$687, ";", ", ")</f>
        <v>String, String Matching, </v>
      </c>
      <c r="I655" s="17" t="str">
        <f>Github!E$687</f>
        <v>Medium</v>
      </c>
      <c r="J655" s="17" t="str">
        <f>IF(TRIM(Github!D$687)="TRUE","FALSE","TRUE")</f>
        <v>TRUE</v>
      </c>
      <c r="K655" s="17" t="b">
        <f>Github!M$687</f>
        <v>0</v>
      </c>
      <c r="L655" s="17" t="b">
        <f>Github!N$687</f>
        <v>0</v>
      </c>
      <c r="M655" s="17" t="str">
        <f>ROUND(Github!O$687, 2)&amp;"%"</f>
        <v>33.48%</v>
      </c>
      <c r="N655" s="17">
        <f>Github!P$687</f>
        <v>118535</v>
      </c>
      <c r="O655" s="17">
        <f>Github!Q$687</f>
        <v>354047</v>
      </c>
    </row>
    <row r="656" ht="18.0" customHeight="1">
      <c r="A656" s="17">
        <f>Github!J$456</f>
        <v>455</v>
      </c>
      <c r="B656" s="27" t="str">
        <f>HYPERLINK(CONCAT("http://leetcode.com/problems/",Github!C$456), Github!B$456)</f>
        <v>Assign Cookies</v>
      </c>
      <c r="C656" s="17">
        <f>Github!F$456</f>
        <v>1348</v>
      </c>
      <c r="D656" s="17">
        <f>Github!G$456</f>
        <v>150</v>
      </c>
      <c r="E656" s="17">
        <f>Github!F$456+Github!G$456</f>
        <v>1498</v>
      </c>
      <c r="F656" s="18">
        <f t="shared" si="1"/>
        <v>8.99</v>
      </c>
      <c r="G656" s="17" t="str">
        <f>Github!H$456</f>
        <v>Algorithms</v>
      </c>
      <c r="H656" s="19" t="str">
        <f>SUBSTITUTE(Github!L$456, ";", ", ")</f>
        <v>Array, Greedy, Sorting, </v>
      </c>
      <c r="I656" s="17" t="str">
        <f>Github!E$456</f>
        <v>Easy</v>
      </c>
      <c r="J656" s="17" t="str">
        <f>IF(TRIM(Github!D$456)="TRUE","FALSE","TRUE")</f>
        <v>TRUE</v>
      </c>
      <c r="K656" s="17" t="b">
        <f>Github!M$456</f>
        <v>0</v>
      </c>
      <c r="L656" s="17" t="b">
        <f>Github!N$456</f>
        <v>0</v>
      </c>
      <c r="M656" s="17" t="str">
        <f>ROUND(Github!O$456, 2)&amp;"%"</f>
        <v>50.73%</v>
      </c>
      <c r="N656" s="17">
        <f>Github!P$456</f>
        <v>157768</v>
      </c>
      <c r="O656" s="17">
        <f>Github!Q$456</f>
        <v>311011</v>
      </c>
    </row>
    <row r="657" ht="18.0" customHeight="1">
      <c r="A657" s="17">
        <f>Github!J$1172</f>
        <v>1171</v>
      </c>
      <c r="B657" s="27" t="str">
        <f>HYPERLINK(CONCAT("http://leetcode.com/problems/",Github!C$1172), Github!B$1172)</f>
        <v>Remove Zero Sum Consecutive Nodes from Linked List</v>
      </c>
      <c r="C657" s="17">
        <f>Github!F$1172</f>
        <v>1341</v>
      </c>
      <c r="D657" s="17">
        <f>Github!G$1172</f>
        <v>68</v>
      </c>
      <c r="E657" s="17">
        <f>Github!F$1172+Github!G$1172</f>
        <v>1409</v>
      </c>
      <c r="F657" s="18">
        <f t="shared" si="1"/>
        <v>19.72</v>
      </c>
      <c r="G657" s="17" t="str">
        <f>Github!H$1172</f>
        <v>Algorithms</v>
      </c>
      <c r="H657" s="19" t="str">
        <f>SUBSTITUTE(Github!L$1172, ";", ", ")</f>
        <v>Hash Table, Linked List, </v>
      </c>
      <c r="I657" s="17" t="str">
        <f>Github!E$1172</f>
        <v>Medium</v>
      </c>
      <c r="J657" s="17" t="str">
        <f>IF(TRIM(Github!D$1172)="TRUE","FALSE","TRUE")</f>
        <v>TRUE</v>
      </c>
      <c r="K657" s="17" t="b">
        <f>Github!M$1172</f>
        <v>0</v>
      </c>
      <c r="L657" s="17" t="b">
        <f>Github!N$1172</f>
        <v>0</v>
      </c>
      <c r="M657" s="17" t="str">
        <f>ROUND(Github!O$1172, 2)&amp;"%"</f>
        <v>42.41%</v>
      </c>
      <c r="N657" s="17">
        <f>Github!P$1172</f>
        <v>34297</v>
      </c>
      <c r="O657" s="17">
        <f>Github!Q$1172</f>
        <v>80863</v>
      </c>
    </row>
    <row r="658" ht="18.0" customHeight="1">
      <c r="A658" s="17">
        <f>Github!J$860</f>
        <v>859</v>
      </c>
      <c r="B658" s="27" t="str">
        <f>HYPERLINK(CONCAT("http://leetcode.com/problems/",Github!C$860), Github!B$860)</f>
        <v>Buddy Strings</v>
      </c>
      <c r="C658" s="17">
        <f>Github!F$860</f>
        <v>1338</v>
      </c>
      <c r="D658" s="17">
        <f>Github!G$860</f>
        <v>861</v>
      </c>
      <c r="E658" s="17">
        <f>Github!F$860+Github!G$860</f>
        <v>2199</v>
      </c>
      <c r="F658" s="18">
        <f t="shared" si="1"/>
        <v>1.55</v>
      </c>
      <c r="G658" s="17" t="str">
        <f>Github!H$860</f>
        <v>Algorithms</v>
      </c>
      <c r="H658" s="19" t="str">
        <f>SUBSTITUTE(Github!L$860, ";", ", ")</f>
        <v>Hash Table, String, </v>
      </c>
      <c r="I658" s="17" t="str">
        <f>Github!E$860</f>
        <v>Easy</v>
      </c>
      <c r="J658" s="17" t="str">
        <f>IF(TRIM(Github!D$860)="TRUE","FALSE","TRUE")</f>
        <v>TRUE</v>
      </c>
      <c r="K658" s="17" t="b">
        <f>Github!M$860</f>
        <v>1</v>
      </c>
      <c r="L658" s="17" t="b">
        <f>Github!N$860</f>
        <v>0</v>
      </c>
      <c r="M658" s="17" t="str">
        <f>ROUND(Github!O$860, 2)&amp;"%"</f>
        <v>28.76%</v>
      </c>
      <c r="N658" s="17">
        <f>Github!P$860</f>
        <v>114681</v>
      </c>
      <c r="O658" s="17">
        <f>Github!Q$860</f>
        <v>398786</v>
      </c>
    </row>
    <row r="659" ht="18.0" customHeight="1">
      <c r="A659" s="17">
        <f>Github!J$1326</f>
        <v>1325</v>
      </c>
      <c r="B659" s="27" t="str">
        <f>HYPERLINK(CONCAT("http://leetcode.com/problems/",Github!C$1326), Github!B$1326)</f>
        <v>Delete Leaves With a Given Value</v>
      </c>
      <c r="C659" s="17">
        <f>Github!F$1326</f>
        <v>1331</v>
      </c>
      <c r="D659" s="17">
        <f>Github!G$1326</f>
        <v>25</v>
      </c>
      <c r="E659" s="17">
        <f>Github!F$1326+Github!G$1326</f>
        <v>1356</v>
      </c>
      <c r="F659" s="18">
        <f t="shared" si="1"/>
        <v>53.24</v>
      </c>
      <c r="G659" s="17" t="str">
        <f>Github!H$1326</f>
        <v>Algorithms</v>
      </c>
      <c r="H659" s="19" t="str">
        <f>SUBSTITUTE(Github!L$1326, ";", ", ")</f>
        <v>Tree, Depth-First Search, Binary Tree, </v>
      </c>
      <c r="I659" s="17" t="str">
        <f>Github!E$1326</f>
        <v>Medium</v>
      </c>
      <c r="J659" s="17" t="str">
        <f>IF(TRIM(Github!D$1326)="TRUE","FALSE","TRUE")</f>
        <v>TRUE</v>
      </c>
      <c r="K659" s="17" t="b">
        <f>Github!M$1326</f>
        <v>0</v>
      </c>
      <c r="L659" s="17" t="b">
        <f>Github!N$1326</f>
        <v>0</v>
      </c>
      <c r="M659" s="17" t="str">
        <f>ROUND(Github!O$1326, 2)&amp;"%"</f>
        <v>74.82%</v>
      </c>
      <c r="N659" s="17">
        <f>Github!P$1326</f>
        <v>63158</v>
      </c>
      <c r="O659" s="17">
        <f>Github!Q$1326</f>
        <v>84414</v>
      </c>
    </row>
    <row r="660" ht="18.0" customHeight="1">
      <c r="A660" s="17">
        <f>Github!J$253</f>
        <v>252</v>
      </c>
      <c r="B660" s="27" t="str">
        <f>HYPERLINK(CONCAT("http://leetcode.com/problems/",Github!C$253), Github!B$253)</f>
        <v>Meeting Rooms</v>
      </c>
      <c r="C660" s="17">
        <f>Github!F$253</f>
        <v>1329</v>
      </c>
      <c r="D660" s="17">
        <f>Github!G$253</f>
        <v>65</v>
      </c>
      <c r="E660" s="17">
        <f>Github!F$253+Github!G$253</f>
        <v>1394</v>
      </c>
      <c r="F660" s="18">
        <f t="shared" si="1"/>
        <v>20.45</v>
      </c>
      <c r="G660" s="17" t="str">
        <f>Github!H$253</f>
        <v>Algorithms</v>
      </c>
      <c r="H660" s="19" t="str">
        <f>SUBSTITUTE(Github!L$253, ";", ", ")</f>
        <v>Array, Sorting, </v>
      </c>
      <c r="I660" s="17" t="str">
        <f>Github!E$253</f>
        <v>Easy</v>
      </c>
      <c r="J660" s="17" t="str">
        <f>IF(TRIM(Github!D$253)="TRUE","FALSE","TRUE")</f>
        <v>FALSE</v>
      </c>
      <c r="K660" s="17" t="b">
        <f>Github!M$253</f>
        <v>1</v>
      </c>
      <c r="L660" s="17" t="b">
        <f>Github!N$253</f>
        <v>1</v>
      </c>
      <c r="M660" s="17" t="str">
        <f>ROUND(Github!O$253, 2)&amp;"%"</f>
        <v>56.59%</v>
      </c>
      <c r="N660" s="17">
        <f>Github!P$253</f>
        <v>254147</v>
      </c>
      <c r="O660" s="17">
        <f>Github!Q$253</f>
        <v>449093</v>
      </c>
    </row>
    <row r="661" ht="18.0" customHeight="1">
      <c r="A661" s="17">
        <f>Github!J$463</f>
        <v>462</v>
      </c>
      <c r="B661" s="27" t="str">
        <f>HYPERLINK(CONCAT("http://leetcode.com/problems/",Github!C$463), Github!B$463)</f>
        <v>Minimum Moves to Equal Array Elements II</v>
      </c>
      <c r="C661" s="17">
        <f>Github!F$463</f>
        <v>1326</v>
      </c>
      <c r="D661" s="17">
        <f>Github!G$463</f>
        <v>72</v>
      </c>
      <c r="E661" s="17">
        <f>Github!F$463+Github!G$463</f>
        <v>1398</v>
      </c>
      <c r="F661" s="18">
        <f t="shared" si="1"/>
        <v>18.42</v>
      </c>
      <c r="G661" s="17" t="str">
        <f>Github!H$463</f>
        <v>Algorithms</v>
      </c>
      <c r="H661" s="19" t="str">
        <f>SUBSTITUTE(Github!L$463, ";", ", ")</f>
        <v>Array, Math, Sorting, </v>
      </c>
      <c r="I661" s="17" t="str">
        <f>Github!E$463</f>
        <v>Medium</v>
      </c>
      <c r="J661" s="17" t="str">
        <f>IF(TRIM(Github!D$463)="TRUE","FALSE","TRUE")</f>
        <v>TRUE</v>
      </c>
      <c r="K661" s="17" t="b">
        <f>Github!M$463</f>
        <v>1</v>
      </c>
      <c r="L661" s="17" t="b">
        <f>Github!N$463</f>
        <v>0</v>
      </c>
      <c r="M661" s="17" t="str">
        <f>ROUND(Github!O$463, 2)&amp;"%"</f>
        <v>56.74%</v>
      </c>
      <c r="N661" s="17">
        <f>Github!P$463</f>
        <v>85754</v>
      </c>
      <c r="O661" s="17">
        <f>Github!Q$463</f>
        <v>151143</v>
      </c>
    </row>
    <row r="662" ht="18.0" customHeight="1">
      <c r="A662" s="17">
        <f>Github!J$1467</f>
        <v>1466</v>
      </c>
      <c r="B662" s="27" t="str">
        <f>HYPERLINK(CONCAT("http://leetcode.com/problems/",Github!C$1467), Github!B$1467)</f>
        <v>Reorder Routes to Make All Paths Lead to the City Zero</v>
      </c>
      <c r="C662" s="17">
        <f>Github!F$1467</f>
        <v>1327</v>
      </c>
      <c r="D662" s="17">
        <f>Github!G$1467</f>
        <v>33</v>
      </c>
      <c r="E662" s="17">
        <f>Github!F$1467+Github!G$1467</f>
        <v>1360</v>
      </c>
      <c r="F662" s="18">
        <f t="shared" si="1"/>
        <v>40.21</v>
      </c>
      <c r="G662" s="17" t="str">
        <f>Github!H$1467</f>
        <v>Algorithms</v>
      </c>
      <c r="H662" s="19" t="str">
        <f>SUBSTITUTE(Github!L$1467, ";", ", ")</f>
        <v>Depth-First Search, Breadth-First Search, Graph, </v>
      </c>
      <c r="I662" s="17" t="str">
        <f>Github!E$1467</f>
        <v>Medium</v>
      </c>
      <c r="J662" s="17" t="str">
        <f>IF(TRIM(Github!D$1467)="TRUE","FALSE","TRUE")</f>
        <v>TRUE</v>
      </c>
      <c r="K662" s="17" t="b">
        <f>Github!M$1467</f>
        <v>0</v>
      </c>
      <c r="L662" s="17" t="b">
        <f>Github!N$1467</f>
        <v>0</v>
      </c>
      <c r="M662" s="17" t="str">
        <f>ROUND(Github!O$1467, 2)&amp;"%"</f>
        <v>60.71%</v>
      </c>
      <c r="N662" s="17">
        <f>Github!P$1467</f>
        <v>48027</v>
      </c>
      <c r="O662" s="17">
        <f>Github!Q$1467</f>
        <v>79106</v>
      </c>
    </row>
    <row r="663" ht="18.0" customHeight="1">
      <c r="A663" s="17">
        <f>Github!J$1359</f>
        <v>1358</v>
      </c>
      <c r="B663" s="27" t="str">
        <f>HYPERLINK(CONCAT("http://leetcode.com/problems/",Github!C$1359), Github!B$1359)</f>
        <v>Number of Substrings Containing All Three Characters</v>
      </c>
      <c r="C663" s="17">
        <f>Github!F$1359</f>
        <v>1321</v>
      </c>
      <c r="D663" s="17">
        <f>Github!G$1359</f>
        <v>24</v>
      </c>
      <c r="E663" s="17">
        <f>Github!F$1359+Github!G$1359</f>
        <v>1345</v>
      </c>
      <c r="F663" s="18">
        <f t="shared" si="1"/>
        <v>55.04</v>
      </c>
      <c r="G663" s="17" t="str">
        <f>Github!H$1359</f>
        <v>Algorithms</v>
      </c>
      <c r="H663" s="19" t="str">
        <f>SUBSTITUTE(Github!L$1359, ";", ", ")</f>
        <v>Hash Table, String, Sliding Window, </v>
      </c>
      <c r="I663" s="17" t="str">
        <f>Github!E$1359</f>
        <v>Medium</v>
      </c>
      <c r="J663" s="17" t="str">
        <f>IF(TRIM(Github!D$1359)="TRUE","FALSE","TRUE")</f>
        <v>TRUE</v>
      </c>
      <c r="K663" s="17" t="b">
        <f>Github!M$1359</f>
        <v>0</v>
      </c>
      <c r="L663" s="17" t="b">
        <f>Github!N$1359</f>
        <v>0</v>
      </c>
      <c r="M663" s="17" t="str">
        <f>ROUND(Github!O$1359, 2)&amp;"%"</f>
        <v>62.1%</v>
      </c>
      <c r="N663" s="17">
        <f>Github!P$1359</f>
        <v>34437</v>
      </c>
      <c r="O663" s="17">
        <f>Github!Q$1359</f>
        <v>55454</v>
      </c>
    </row>
    <row r="664" ht="18.0" customHeight="1">
      <c r="A664" s="17">
        <f>Github!J$760</f>
        <v>759</v>
      </c>
      <c r="B664" s="27" t="str">
        <f>HYPERLINK(CONCAT("http://leetcode.com/problems/",Github!C$760), Github!B$760)</f>
        <v>Employee Free Time</v>
      </c>
      <c r="C664" s="17">
        <f>Github!F$760</f>
        <v>1319</v>
      </c>
      <c r="D664" s="17">
        <f>Github!G$760</f>
        <v>84</v>
      </c>
      <c r="E664" s="17">
        <f>Github!F$760+Github!G$760</f>
        <v>1403</v>
      </c>
      <c r="F664" s="18">
        <f t="shared" si="1"/>
        <v>15.7</v>
      </c>
      <c r="G664" s="17" t="str">
        <f>Github!H$760</f>
        <v>Algorithms</v>
      </c>
      <c r="H664" s="19" t="str">
        <f>SUBSTITUTE(Github!L$760, ";", ", ")</f>
        <v>Array, Sorting, Heap (Priority Queue), </v>
      </c>
      <c r="I664" s="17" t="str">
        <f>Github!E$760</f>
        <v>Hard</v>
      </c>
      <c r="J664" s="17" t="str">
        <f>IF(TRIM(Github!D$760)="TRUE","FALSE","TRUE")</f>
        <v>FALSE</v>
      </c>
      <c r="K664" s="17" t="b">
        <f>Github!M$760</f>
        <v>0</v>
      </c>
      <c r="L664" s="17" t="b">
        <f>Github!N$760</f>
        <v>0</v>
      </c>
      <c r="M664" s="17" t="str">
        <f>ROUND(Github!O$760, 2)&amp;"%"</f>
        <v>70.87%</v>
      </c>
      <c r="N664" s="17">
        <f>Github!P$760</f>
        <v>101615</v>
      </c>
      <c r="O664" s="17">
        <f>Github!Q$760</f>
        <v>143387</v>
      </c>
    </row>
    <row r="665" ht="18.0" customHeight="1">
      <c r="A665" s="17">
        <f>Github!J$300</f>
        <v>299</v>
      </c>
      <c r="B665" s="27" t="str">
        <f>HYPERLINK(CONCAT("http://leetcode.com/problems/",Github!C$300), Github!B$300)</f>
        <v>Bulls and Cows</v>
      </c>
      <c r="C665" s="17">
        <f>Github!F$300</f>
        <v>1316</v>
      </c>
      <c r="D665" s="17">
        <f>Github!G$300</f>
        <v>1268</v>
      </c>
      <c r="E665" s="17">
        <f>Github!F$300+Github!G$300</f>
        <v>2584</v>
      </c>
      <c r="F665" s="18">
        <f t="shared" si="1"/>
        <v>1.04</v>
      </c>
      <c r="G665" s="17" t="str">
        <f>Github!H$300</f>
        <v>Algorithms</v>
      </c>
      <c r="H665" s="19" t="str">
        <f>SUBSTITUTE(Github!L$300, ";", ", ")</f>
        <v>Hash Table, String, Counting, </v>
      </c>
      <c r="I665" s="17" t="str">
        <f>Github!E$300</f>
        <v>Medium</v>
      </c>
      <c r="J665" s="17" t="str">
        <f>IF(TRIM(Github!D$300)="TRUE","FALSE","TRUE")</f>
        <v>TRUE</v>
      </c>
      <c r="K665" s="17" t="b">
        <f>Github!M$300</f>
        <v>1</v>
      </c>
      <c r="L665" s="17" t="b">
        <f>Github!N$300</f>
        <v>0</v>
      </c>
      <c r="M665" s="17" t="str">
        <f>ROUND(Github!O$300, 2)&amp;"%"</f>
        <v>46.95%</v>
      </c>
      <c r="N665" s="17">
        <f>Github!P$300</f>
        <v>259618</v>
      </c>
      <c r="O665" s="17">
        <f>Github!Q$300</f>
        <v>552915</v>
      </c>
    </row>
    <row r="666" ht="18.0" customHeight="1">
      <c r="A666" s="17">
        <f>Github!J$1162</f>
        <v>1161</v>
      </c>
      <c r="B666" s="27" t="str">
        <f>HYPERLINK(CONCAT("http://leetcode.com/problems/",Github!C$1162), Github!B$1162)</f>
        <v>Maximum Level Sum of a Binary Tree</v>
      </c>
      <c r="C666" s="17">
        <f>Github!F$1162</f>
        <v>1316</v>
      </c>
      <c r="D666" s="17">
        <f>Github!G$1162</f>
        <v>54</v>
      </c>
      <c r="E666" s="17">
        <f>Github!F$1162+Github!G$1162</f>
        <v>1370</v>
      </c>
      <c r="F666" s="18">
        <f t="shared" si="1"/>
        <v>24.37</v>
      </c>
      <c r="G666" s="17" t="str">
        <f>Github!H$1162</f>
        <v>Algorithms</v>
      </c>
      <c r="H666" s="19" t="str">
        <f>SUBSTITUTE(Github!L$1162, ";", ", ")</f>
        <v>Tree, Depth-First Search, Breadth-First Search, Binary Tree, </v>
      </c>
      <c r="I666" s="17" t="str">
        <f>Github!E$1162</f>
        <v>Medium</v>
      </c>
      <c r="J666" s="17" t="str">
        <f>IF(TRIM(Github!D$1162)="TRUE","FALSE","TRUE")</f>
        <v>TRUE</v>
      </c>
      <c r="K666" s="17" t="b">
        <f>Github!M$1162</f>
        <v>1</v>
      </c>
      <c r="L666" s="17" t="b">
        <f>Github!N$1162</f>
        <v>0</v>
      </c>
      <c r="M666" s="17" t="str">
        <f>ROUND(Github!O$1162, 2)&amp;"%"</f>
        <v>66.66%</v>
      </c>
      <c r="N666" s="17">
        <f>Github!P$1162</f>
        <v>98806</v>
      </c>
      <c r="O666" s="17">
        <f>Github!Q$1162</f>
        <v>148219</v>
      </c>
    </row>
    <row r="667" ht="18.0" customHeight="1">
      <c r="A667" s="17">
        <f>Github!J$447</f>
        <v>446</v>
      </c>
      <c r="B667" s="27" t="str">
        <f>HYPERLINK(CONCAT("http://leetcode.com/problems/",Github!C$447), Github!B$447)</f>
        <v>Arithmetic Slices II - Subsequence</v>
      </c>
      <c r="C667" s="17">
        <f>Github!F$447</f>
        <v>1313</v>
      </c>
      <c r="D667" s="17">
        <f>Github!G$447</f>
        <v>84</v>
      </c>
      <c r="E667" s="17">
        <f>Github!F$447+Github!G$447</f>
        <v>1397</v>
      </c>
      <c r="F667" s="18">
        <f t="shared" si="1"/>
        <v>15.63</v>
      </c>
      <c r="G667" s="17" t="str">
        <f>Github!H$447</f>
        <v>Algorithms</v>
      </c>
      <c r="H667" s="19" t="str">
        <f>SUBSTITUTE(Github!L$447, ";", ", ")</f>
        <v>Array, Dynamic Programming, </v>
      </c>
      <c r="I667" s="17" t="str">
        <f>Github!E$447</f>
        <v>Hard</v>
      </c>
      <c r="J667" s="17" t="str">
        <f>IF(TRIM(Github!D$447)="TRUE","FALSE","TRUE")</f>
        <v>TRUE</v>
      </c>
      <c r="K667" s="17" t="b">
        <f>Github!M$447</f>
        <v>1</v>
      </c>
      <c r="L667" s="17" t="b">
        <f>Github!N$447</f>
        <v>0</v>
      </c>
      <c r="M667" s="17" t="str">
        <f>ROUND(Github!O$447, 2)&amp;"%"</f>
        <v>39.34%</v>
      </c>
      <c r="N667" s="17">
        <f>Github!P$447</f>
        <v>42973</v>
      </c>
      <c r="O667" s="17">
        <f>Github!Q$447</f>
        <v>109240</v>
      </c>
    </row>
    <row r="668" ht="18.0" customHeight="1">
      <c r="A668" s="17">
        <f>Github!J$530</f>
        <v>529</v>
      </c>
      <c r="B668" s="27" t="str">
        <f>HYPERLINK(CONCAT("http://leetcode.com/problems/",Github!C$530), Github!B$530)</f>
        <v>Minesweeper</v>
      </c>
      <c r="C668" s="17">
        <f>Github!F$530</f>
        <v>1310</v>
      </c>
      <c r="D668" s="17">
        <f>Github!G$530</f>
        <v>836</v>
      </c>
      <c r="E668" s="17">
        <f>Github!F$530+Github!G$530</f>
        <v>2146</v>
      </c>
      <c r="F668" s="18">
        <f t="shared" si="1"/>
        <v>1.57</v>
      </c>
      <c r="G668" s="17" t="str">
        <f>Github!H$530</f>
        <v>Algorithms</v>
      </c>
      <c r="H668" s="19" t="str">
        <f>SUBSTITUTE(Github!L$530, ";", ", ")</f>
        <v>Array, Depth-First Search, Breadth-First Search, Matrix, </v>
      </c>
      <c r="I668" s="17" t="str">
        <f>Github!E$530</f>
        <v>Medium</v>
      </c>
      <c r="J668" s="17" t="str">
        <f>IF(TRIM(Github!D$530)="TRUE","FALSE","TRUE")</f>
        <v>TRUE</v>
      </c>
      <c r="K668" s="17" t="b">
        <f>Github!M$530</f>
        <v>0</v>
      </c>
      <c r="L668" s="17" t="b">
        <f>Github!N$530</f>
        <v>0</v>
      </c>
      <c r="M668" s="17" t="str">
        <f>ROUND(Github!O$530, 2)&amp;"%"</f>
        <v>64.36%</v>
      </c>
      <c r="N668" s="17">
        <f>Github!P$530</f>
        <v>111375</v>
      </c>
      <c r="O668" s="17">
        <f>Github!Q$530</f>
        <v>173062</v>
      </c>
    </row>
    <row r="669" ht="18.0" customHeight="1">
      <c r="A669" s="17">
        <f>Github!J$607</f>
        <v>606</v>
      </c>
      <c r="B669" s="27" t="str">
        <f>HYPERLINK(CONCAT("http://leetcode.com/problems/",Github!C$607), Github!B$607)</f>
        <v>Construct String from Binary Tree</v>
      </c>
      <c r="C669" s="17">
        <f>Github!F$607</f>
        <v>1306</v>
      </c>
      <c r="D669" s="17">
        <f>Github!G$607</f>
        <v>1681</v>
      </c>
      <c r="E669" s="17">
        <f>Github!F$607+Github!G$607</f>
        <v>2987</v>
      </c>
      <c r="F669" s="18">
        <f t="shared" si="1"/>
        <v>0.78</v>
      </c>
      <c r="G669" s="17" t="str">
        <f>Github!H$607</f>
        <v>Algorithms</v>
      </c>
      <c r="H669" s="19" t="str">
        <f>SUBSTITUTE(Github!L$607, ";", ", ")</f>
        <v>String, Tree, Depth-First Search, Binary Tree, </v>
      </c>
      <c r="I669" s="17" t="str">
        <f>Github!E$607</f>
        <v>Easy</v>
      </c>
      <c r="J669" s="17" t="str">
        <f>IF(TRIM(Github!D$607)="TRUE","FALSE","TRUE")</f>
        <v>TRUE</v>
      </c>
      <c r="K669" s="17" t="b">
        <f>Github!M$607</f>
        <v>1</v>
      </c>
      <c r="L669" s="17" t="b">
        <f>Github!N$607</f>
        <v>0</v>
      </c>
      <c r="M669" s="17" t="str">
        <f>ROUND(Github!O$607, 2)&amp;"%"</f>
        <v>57.43%</v>
      </c>
      <c r="N669" s="17">
        <f>Github!P$607</f>
        <v>124927</v>
      </c>
      <c r="O669" s="17">
        <f>Github!Q$607</f>
        <v>217511</v>
      </c>
    </row>
    <row r="670" ht="18.0" customHeight="1">
      <c r="A670" s="17">
        <f>Github!J$1208</f>
        <v>1207</v>
      </c>
      <c r="B670" s="27" t="str">
        <f>HYPERLINK(CONCAT("http://leetcode.com/problems/",Github!C$1208), Github!B$1208)</f>
        <v>Unique Number of Occurrences</v>
      </c>
      <c r="C670" s="17">
        <f>Github!F$1208</f>
        <v>1301</v>
      </c>
      <c r="D670" s="17">
        <f>Github!G$1208</f>
        <v>33</v>
      </c>
      <c r="E670" s="17">
        <f>Github!F$1208+Github!G$1208</f>
        <v>1334</v>
      </c>
      <c r="F670" s="18">
        <f t="shared" si="1"/>
        <v>39.42</v>
      </c>
      <c r="G670" s="17" t="str">
        <f>Github!H$1208</f>
        <v>Algorithms</v>
      </c>
      <c r="H670" s="19" t="str">
        <f>SUBSTITUTE(Github!L$1208, ";", ", ")</f>
        <v>Array, Hash Table, </v>
      </c>
      <c r="I670" s="17" t="str">
        <f>Github!E$1208</f>
        <v>Easy</v>
      </c>
      <c r="J670" s="17" t="str">
        <f>IF(TRIM(Github!D$1208)="TRUE","FALSE","TRUE")</f>
        <v>TRUE</v>
      </c>
      <c r="K670" s="17" t="b">
        <f>Github!M$1208</f>
        <v>0</v>
      </c>
      <c r="L670" s="17" t="b">
        <f>Github!N$1208</f>
        <v>0</v>
      </c>
      <c r="M670" s="17" t="str">
        <f>ROUND(Github!O$1208, 2)&amp;"%"</f>
        <v>71.99%</v>
      </c>
      <c r="N670" s="17">
        <f>Github!P$1208</f>
        <v>116738</v>
      </c>
      <c r="O670" s="17">
        <f>Github!Q$1208</f>
        <v>162165</v>
      </c>
    </row>
    <row r="671" ht="18.0" customHeight="1">
      <c r="A671" s="17">
        <f>Github!J$264</f>
        <v>263</v>
      </c>
      <c r="B671" s="27" t="str">
        <f>HYPERLINK(CONCAT("http://leetcode.com/problems/",Github!C$264), Github!B$264)</f>
        <v>Ugly Number</v>
      </c>
      <c r="C671" s="17">
        <f>Github!F$264</f>
        <v>1300</v>
      </c>
      <c r="D671" s="17">
        <f>Github!G$264</f>
        <v>1004</v>
      </c>
      <c r="E671" s="17">
        <f>Github!F$264+Github!G$264</f>
        <v>2304</v>
      </c>
      <c r="F671" s="18">
        <f t="shared" si="1"/>
        <v>1.29</v>
      </c>
      <c r="G671" s="17" t="str">
        <f>Github!H$264</f>
        <v>Algorithms</v>
      </c>
      <c r="H671" s="19" t="str">
        <f>SUBSTITUTE(Github!L$264, ";", ", ")</f>
        <v>Math, </v>
      </c>
      <c r="I671" s="17" t="str">
        <f>Github!E$264</f>
        <v>Easy</v>
      </c>
      <c r="J671" s="17" t="str">
        <f>IF(TRIM(Github!D$264)="TRUE","FALSE","TRUE")</f>
        <v>TRUE</v>
      </c>
      <c r="K671" s="17" t="b">
        <f>Github!M$264</f>
        <v>0</v>
      </c>
      <c r="L671" s="17" t="b">
        <f>Github!N$264</f>
        <v>0</v>
      </c>
      <c r="M671" s="17" t="str">
        <f>ROUND(Github!O$264, 2)&amp;"%"</f>
        <v>41.86%</v>
      </c>
      <c r="N671" s="17">
        <f>Github!P$264</f>
        <v>286527</v>
      </c>
      <c r="O671" s="17">
        <f>Github!Q$264</f>
        <v>684561</v>
      </c>
    </row>
    <row r="672" ht="18.0" customHeight="1">
      <c r="A672" s="17">
        <f>Github!J$476</f>
        <v>475</v>
      </c>
      <c r="B672" s="27" t="str">
        <f>HYPERLINK(CONCAT("http://leetcode.com/problems/",Github!C$476), Github!B$476)</f>
        <v>Heaters</v>
      </c>
      <c r="C672" s="17">
        <f>Github!F$476</f>
        <v>1289</v>
      </c>
      <c r="D672" s="17">
        <f>Github!G$476</f>
        <v>1012</v>
      </c>
      <c r="E672" s="17">
        <f>Github!F$476+Github!G$476</f>
        <v>2301</v>
      </c>
      <c r="F672" s="18">
        <f t="shared" si="1"/>
        <v>1.27</v>
      </c>
      <c r="G672" s="17" t="str">
        <f>Github!H$476</f>
        <v>Algorithms</v>
      </c>
      <c r="H672" s="19" t="str">
        <f>SUBSTITUTE(Github!L$476, ";", ", ")</f>
        <v>Array, Two Pointers, Binary Search, Sorting, </v>
      </c>
      <c r="I672" s="17" t="str">
        <f>Github!E$476</f>
        <v>Medium</v>
      </c>
      <c r="J672" s="17" t="str">
        <f>IF(TRIM(Github!D$476)="TRUE","FALSE","TRUE")</f>
        <v>TRUE</v>
      </c>
      <c r="K672" s="17" t="b">
        <f>Github!M$476</f>
        <v>0</v>
      </c>
      <c r="L672" s="17" t="b">
        <f>Github!N$476</f>
        <v>0</v>
      </c>
      <c r="M672" s="17" t="str">
        <f>ROUND(Github!O$476, 2)&amp;"%"</f>
        <v>35.06%</v>
      </c>
      <c r="N672" s="17">
        <f>Github!P$476</f>
        <v>85574</v>
      </c>
      <c r="O672" s="17">
        <f>Github!Q$476</f>
        <v>244055</v>
      </c>
    </row>
    <row r="673" ht="18.0" customHeight="1">
      <c r="A673" s="17">
        <f>Github!J$525</f>
        <v>524</v>
      </c>
      <c r="B673" s="27" t="str">
        <f>HYPERLINK(CONCAT("http://leetcode.com/problems/",Github!C$525), Github!B$525)</f>
        <v>Longest Word in Dictionary through Deleting</v>
      </c>
      <c r="C673" s="17">
        <f>Github!F$525</f>
        <v>1282</v>
      </c>
      <c r="D673" s="17">
        <f>Github!G$525</f>
        <v>323</v>
      </c>
      <c r="E673" s="17">
        <f>Github!F$525+Github!G$525</f>
        <v>1605</v>
      </c>
      <c r="F673" s="18">
        <f t="shared" si="1"/>
        <v>3.97</v>
      </c>
      <c r="G673" s="17" t="str">
        <f>Github!H$525</f>
        <v>Algorithms</v>
      </c>
      <c r="H673" s="19" t="str">
        <f>SUBSTITUTE(Github!L$525, ";", ", ")</f>
        <v>Array, Two Pointers, String, Sorting, </v>
      </c>
      <c r="I673" s="17" t="str">
        <f>Github!E$525</f>
        <v>Medium</v>
      </c>
      <c r="J673" s="17" t="str">
        <f>IF(TRIM(Github!D$525)="TRUE","FALSE","TRUE")</f>
        <v>TRUE</v>
      </c>
      <c r="K673" s="17" t="b">
        <f>Github!M$525</f>
        <v>1</v>
      </c>
      <c r="L673" s="17" t="b">
        <f>Github!N$525</f>
        <v>0</v>
      </c>
      <c r="M673" s="17" t="str">
        <f>ROUND(Github!O$525, 2)&amp;"%"</f>
        <v>50.82%</v>
      </c>
      <c r="N673" s="17">
        <f>Github!P$525</f>
        <v>123165</v>
      </c>
      <c r="O673" s="17">
        <f>Github!Q$525</f>
        <v>242354</v>
      </c>
    </row>
    <row r="674" ht="18.0" customHeight="1">
      <c r="A674" s="17">
        <f>Github!J$182</f>
        <v>181</v>
      </c>
      <c r="B674" s="27" t="str">
        <f>HYPERLINK(CONCAT("http://leetcode.com/problems/",Github!C$182), Github!B$182)</f>
        <v>Employees Earning More Than Their Managers</v>
      </c>
      <c r="C674" s="17">
        <f>Github!F$182</f>
        <v>1281</v>
      </c>
      <c r="D674" s="17">
        <f>Github!G$182</f>
        <v>150</v>
      </c>
      <c r="E674" s="17">
        <f>Github!F$182+Github!G$182</f>
        <v>1431</v>
      </c>
      <c r="F674" s="18">
        <f t="shared" si="1"/>
        <v>8.54</v>
      </c>
      <c r="G674" s="17" t="str">
        <f>Github!H$182</f>
        <v>Database</v>
      </c>
      <c r="H674" s="19" t="str">
        <f>SUBSTITUTE(Github!L$182, ";", ", ")</f>
        <v>Database, </v>
      </c>
      <c r="I674" s="17" t="str">
        <f>Github!E$182</f>
        <v>Easy</v>
      </c>
      <c r="J674" s="17" t="str">
        <f>IF(TRIM(Github!D$182)="TRUE","FALSE","TRUE")</f>
        <v>TRUE</v>
      </c>
      <c r="K674" s="17" t="b">
        <f>Github!M$182</f>
        <v>1</v>
      </c>
      <c r="L674" s="17" t="b">
        <f>Github!N$182</f>
        <v>0</v>
      </c>
      <c r="M674" s="17" t="str">
        <f>ROUND(Github!O$182, 2)&amp;"%"</f>
        <v>65.77%</v>
      </c>
      <c r="N674" s="17">
        <f>Github!P$182</f>
        <v>336303</v>
      </c>
      <c r="O674" s="17">
        <f>Github!Q$182</f>
        <v>511305</v>
      </c>
    </row>
    <row r="675" ht="18.0" customHeight="1">
      <c r="A675" s="17">
        <f>Github!J$847</f>
        <v>846</v>
      </c>
      <c r="B675" s="27" t="str">
        <f>HYPERLINK(CONCAT("http://leetcode.com/problems/",Github!C$847), Github!B$847)</f>
        <v>Hand of Straights</v>
      </c>
      <c r="C675" s="17">
        <f>Github!F$847</f>
        <v>1281</v>
      </c>
      <c r="D675" s="17">
        <f>Github!G$847</f>
        <v>107</v>
      </c>
      <c r="E675" s="17">
        <f>Github!F$847+Github!G$847</f>
        <v>1388</v>
      </c>
      <c r="F675" s="18">
        <f t="shared" si="1"/>
        <v>11.97</v>
      </c>
      <c r="G675" s="17" t="str">
        <f>Github!H$847</f>
        <v>Algorithms</v>
      </c>
      <c r="H675" s="19" t="str">
        <f>SUBSTITUTE(Github!L$847, ";", ", ")</f>
        <v>Array, Hash Table, Greedy, Sorting, </v>
      </c>
      <c r="I675" s="17" t="str">
        <f>Github!E$847</f>
        <v>Medium</v>
      </c>
      <c r="J675" s="17" t="str">
        <f>IF(TRIM(Github!D$847)="TRUE","FALSE","TRUE")</f>
        <v>TRUE</v>
      </c>
      <c r="K675" s="17" t="b">
        <f>Github!M$847</f>
        <v>0</v>
      </c>
      <c r="L675" s="17" t="b">
        <f>Github!N$847</f>
        <v>0</v>
      </c>
      <c r="M675" s="17" t="str">
        <f>ROUND(Github!O$847, 2)&amp;"%"</f>
        <v>56.13%</v>
      </c>
      <c r="N675" s="17">
        <f>Github!P$847</f>
        <v>84388</v>
      </c>
      <c r="O675" s="17">
        <f>Github!Q$847</f>
        <v>150355</v>
      </c>
    </row>
    <row r="676" ht="18.0" customHeight="1">
      <c r="A676" s="17">
        <f>Github!J$322</f>
        <v>321</v>
      </c>
      <c r="B676" s="27" t="str">
        <f>HYPERLINK(CONCAT("http://leetcode.com/problems/",Github!C$322), Github!B$322)</f>
        <v>Create Maximum Number</v>
      </c>
      <c r="C676" s="17">
        <f>Github!F$322</f>
        <v>1281</v>
      </c>
      <c r="D676" s="17">
        <f>Github!G$322</f>
        <v>306</v>
      </c>
      <c r="E676" s="17">
        <f>Github!F$322+Github!G$322</f>
        <v>1587</v>
      </c>
      <c r="F676" s="18">
        <f t="shared" si="1"/>
        <v>4.19</v>
      </c>
      <c r="G676" s="17" t="str">
        <f>Github!H$322</f>
        <v>Algorithms</v>
      </c>
      <c r="H676" s="19" t="str">
        <f>SUBSTITUTE(Github!L$322, ";", ", ")</f>
        <v>Stack, Greedy, Monotonic Stack, </v>
      </c>
      <c r="I676" s="17" t="str">
        <f>Github!E$322</f>
        <v>Hard</v>
      </c>
      <c r="J676" s="17" t="str">
        <f>IF(TRIM(Github!D$322)="TRUE","FALSE","TRUE")</f>
        <v>TRUE</v>
      </c>
      <c r="K676" s="17" t="b">
        <f>Github!M$322</f>
        <v>0</v>
      </c>
      <c r="L676" s="17" t="b">
        <f>Github!N$322</f>
        <v>0</v>
      </c>
      <c r="M676" s="17" t="str">
        <f>ROUND(Github!O$322, 2)&amp;"%"</f>
        <v>28.28%</v>
      </c>
      <c r="N676" s="17">
        <f>Github!P$322</f>
        <v>48757</v>
      </c>
      <c r="O676" s="17">
        <f>Github!Q$322</f>
        <v>172419</v>
      </c>
    </row>
    <row r="677" ht="18.0" customHeight="1">
      <c r="A677" s="17">
        <f>Github!J$1368</f>
        <v>1367</v>
      </c>
      <c r="B677" s="27" t="str">
        <f>HYPERLINK(CONCAT("http://leetcode.com/problems/",Github!C$1368), Github!B$1368)</f>
        <v>Linked List in Binary Tree</v>
      </c>
      <c r="C677" s="17">
        <f>Github!F$1368</f>
        <v>1279</v>
      </c>
      <c r="D677" s="17">
        <f>Github!G$1368</f>
        <v>46</v>
      </c>
      <c r="E677" s="17">
        <f>Github!F$1368+Github!G$1368</f>
        <v>1325</v>
      </c>
      <c r="F677" s="18">
        <f t="shared" si="1"/>
        <v>27.8</v>
      </c>
      <c r="G677" s="17" t="str">
        <f>Github!H$1368</f>
        <v>Algorithms</v>
      </c>
      <c r="H677" s="19" t="str">
        <f>SUBSTITUTE(Github!L$1368, ";", ", ")</f>
        <v>Linked List, Tree, Depth-First Search, Breadth-First Search, Binary Tree, </v>
      </c>
      <c r="I677" s="17" t="str">
        <f>Github!E$1368</f>
        <v>Medium</v>
      </c>
      <c r="J677" s="17" t="str">
        <f>IF(TRIM(Github!D$1368)="TRUE","FALSE","TRUE")</f>
        <v>TRUE</v>
      </c>
      <c r="K677" s="17" t="b">
        <f>Github!M$1368</f>
        <v>0</v>
      </c>
      <c r="L677" s="17" t="b">
        <f>Github!N$1368</f>
        <v>0</v>
      </c>
      <c r="M677" s="17" t="str">
        <f>ROUND(Github!O$1368, 2)&amp;"%"</f>
        <v>42.44%</v>
      </c>
      <c r="N677" s="17">
        <f>Github!P$1368</f>
        <v>43864</v>
      </c>
      <c r="O677" s="17">
        <f>Github!Q$1368</f>
        <v>103360</v>
      </c>
    </row>
    <row r="678" ht="18.0" customHeight="1">
      <c r="A678" s="17">
        <f>Github!J$634</f>
        <v>633</v>
      </c>
      <c r="B678" s="27" t="str">
        <f>HYPERLINK(CONCAT("http://leetcode.com/problems/",Github!C$634), Github!B$634)</f>
        <v>Sum of Square Numbers</v>
      </c>
      <c r="C678" s="17">
        <f>Github!F$634</f>
        <v>1277</v>
      </c>
      <c r="D678" s="17">
        <f>Github!G$634</f>
        <v>456</v>
      </c>
      <c r="E678" s="17">
        <f>Github!F$634+Github!G$634</f>
        <v>1733</v>
      </c>
      <c r="F678" s="18">
        <f t="shared" si="1"/>
        <v>2.8</v>
      </c>
      <c r="G678" s="17" t="str">
        <f>Github!H$634</f>
        <v>Algorithms</v>
      </c>
      <c r="H678" s="19" t="str">
        <f>SUBSTITUTE(Github!L$634, ";", ", ")</f>
        <v>Math, Two Pointers, Binary Search, </v>
      </c>
      <c r="I678" s="17" t="str">
        <f>Github!E$634</f>
        <v>Medium</v>
      </c>
      <c r="J678" s="17" t="str">
        <f>IF(TRIM(Github!D$634)="TRUE","FALSE","TRUE")</f>
        <v>TRUE</v>
      </c>
      <c r="K678" s="17" t="b">
        <f>Github!M$634</f>
        <v>1</v>
      </c>
      <c r="L678" s="17" t="b">
        <f>Github!N$634</f>
        <v>0</v>
      </c>
      <c r="M678" s="17" t="str">
        <f>ROUND(Github!O$634, 2)&amp;"%"</f>
        <v>34.52%</v>
      </c>
      <c r="N678" s="17">
        <f>Github!P$634</f>
        <v>128187</v>
      </c>
      <c r="O678" s="17">
        <f>Github!Q$634</f>
        <v>371320</v>
      </c>
    </row>
    <row r="679" ht="18.0" customHeight="1">
      <c r="A679" s="17">
        <f>Github!J$39</f>
        <v>38</v>
      </c>
      <c r="B679" s="27" t="str">
        <f>HYPERLINK(CONCAT("http://leetcode.com/problems/",Github!C$39), Github!B$39)</f>
        <v>Count and Say</v>
      </c>
      <c r="C679" s="17">
        <f>Github!F$39</f>
        <v>1274</v>
      </c>
      <c r="D679" s="17">
        <f>Github!G$39</f>
        <v>3302</v>
      </c>
      <c r="E679" s="17">
        <f>Github!F$39+Github!G$39</f>
        <v>4576</v>
      </c>
      <c r="F679" s="18">
        <f t="shared" si="1"/>
        <v>0.39</v>
      </c>
      <c r="G679" s="17" t="str">
        <f>Github!H$39</f>
        <v>Algorithms</v>
      </c>
      <c r="H679" s="19" t="str">
        <f>SUBSTITUTE(Github!L$39, ";", ", ")</f>
        <v>String, </v>
      </c>
      <c r="I679" s="17" t="str">
        <f>Github!E$39</f>
        <v>Medium</v>
      </c>
      <c r="J679" s="17" t="str">
        <f>IF(TRIM(Github!D$39)="TRUE","FALSE","TRUE")</f>
        <v>TRUE</v>
      </c>
      <c r="K679" s="17" t="b">
        <f>Github!M$39</f>
        <v>0</v>
      </c>
      <c r="L679" s="17" t="b">
        <f>Github!N$39</f>
        <v>0</v>
      </c>
      <c r="M679" s="17" t="str">
        <f>ROUND(Github!O$39, 2)&amp;"%"</f>
        <v>48.34%</v>
      </c>
      <c r="N679" s="17">
        <f>Github!P$39</f>
        <v>603702</v>
      </c>
      <c r="O679" s="17">
        <f>Github!Q$39</f>
        <v>1248778</v>
      </c>
    </row>
    <row r="680" ht="18.0" customHeight="1">
      <c r="A680" s="17">
        <f>Github!J$976</f>
        <v>975</v>
      </c>
      <c r="B680" s="27" t="str">
        <f>HYPERLINK(CONCAT("http://leetcode.com/problems/",Github!C$976), Github!B$976)</f>
        <v>Odd Even Jump</v>
      </c>
      <c r="C680" s="17">
        <f>Github!F$976</f>
        <v>1277</v>
      </c>
      <c r="D680" s="17">
        <f>Github!G$976</f>
        <v>359</v>
      </c>
      <c r="E680" s="17">
        <f>Github!F$976+Github!G$976</f>
        <v>1636</v>
      </c>
      <c r="F680" s="18">
        <f t="shared" si="1"/>
        <v>3.56</v>
      </c>
      <c r="G680" s="17" t="str">
        <f>Github!H$976</f>
        <v>Algorithms</v>
      </c>
      <c r="H680" s="19" t="str">
        <f>SUBSTITUTE(Github!L$976, ";", ", ")</f>
        <v>Array, Dynamic Programming, Stack, Monotonic Stack, Ordered Set, </v>
      </c>
      <c r="I680" s="17" t="str">
        <f>Github!E$976</f>
        <v>Hard</v>
      </c>
      <c r="J680" s="17" t="str">
        <f>IF(TRIM(Github!D$976)="TRUE","FALSE","TRUE")</f>
        <v>TRUE</v>
      </c>
      <c r="K680" s="17" t="b">
        <f>Github!M$976</f>
        <v>0</v>
      </c>
      <c r="L680" s="17" t="b">
        <f>Github!N$976</f>
        <v>0</v>
      </c>
      <c r="M680" s="17" t="str">
        <f>ROUND(Github!O$976, 2)&amp;"%"</f>
        <v>39.04%</v>
      </c>
      <c r="N680" s="17">
        <f>Github!P$976</f>
        <v>55403</v>
      </c>
      <c r="O680" s="17">
        <f>Github!Q$976</f>
        <v>141917</v>
      </c>
    </row>
    <row r="681" ht="18.0" customHeight="1">
      <c r="A681" s="17">
        <f>Github!J$1770</f>
        <v>1769</v>
      </c>
      <c r="B681" s="27" t="str">
        <f>HYPERLINK(CONCAT("http://leetcode.com/problems/",Github!C$1770), Github!B$1770)</f>
        <v>Minimum Number of Operations to Move All Balls to Each Box</v>
      </c>
      <c r="C681" s="17">
        <f>Github!F$1770</f>
        <v>1276</v>
      </c>
      <c r="D681" s="17">
        <f>Github!G$1770</f>
        <v>47</v>
      </c>
      <c r="E681" s="17">
        <f>Github!F$1770+Github!G$1770</f>
        <v>1323</v>
      </c>
      <c r="F681" s="18">
        <f t="shared" si="1"/>
        <v>27.15</v>
      </c>
      <c r="G681" s="17" t="str">
        <f>Github!H$1770</f>
        <v>Algorithms</v>
      </c>
      <c r="H681" s="19" t="str">
        <f>SUBSTITUTE(Github!L$1770, ";", ", ")</f>
        <v>Array, String, </v>
      </c>
      <c r="I681" s="17" t="str">
        <f>Github!E$1770</f>
        <v>Medium</v>
      </c>
      <c r="J681" s="17" t="str">
        <f>IF(TRIM(Github!D$1770)="TRUE","FALSE","TRUE")</f>
        <v>TRUE</v>
      </c>
      <c r="K681" s="17" t="b">
        <f>Github!M$1770</f>
        <v>0</v>
      </c>
      <c r="L681" s="17" t="b">
        <f>Github!N$1770</f>
        <v>0</v>
      </c>
      <c r="M681" s="17" t="str">
        <f>ROUND(Github!O$1770, 2)&amp;"%"</f>
        <v>85.65%</v>
      </c>
      <c r="N681" s="17">
        <f>Github!P$1770</f>
        <v>68349</v>
      </c>
      <c r="O681" s="17">
        <f>Github!Q$1770</f>
        <v>79800</v>
      </c>
    </row>
    <row r="682" ht="18.0" customHeight="1">
      <c r="A682" s="17">
        <f>Github!J$1938</f>
        <v>1937</v>
      </c>
      <c r="B682" s="27" t="str">
        <f>HYPERLINK(CONCAT("http://leetcode.com/problems/",Github!C$1938), Github!B$1938)</f>
        <v>Maximum Number of Points with Cost</v>
      </c>
      <c r="C682" s="17">
        <f>Github!F$1938</f>
        <v>1274</v>
      </c>
      <c r="D682" s="17">
        <f>Github!G$1938</f>
        <v>67</v>
      </c>
      <c r="E682" s="17">
        <f>Github!F$1938+Github!G$1938</f>
        <v>1341</v>
      </c>
      <c r="F682" s="18">
        <f t="shared" si="1"/>
        <v>19.01</v>
      </c>
      <c r="G682" s="17" t="str">
        <f>Github!H$1938</f>
        <v>Algorithms</v>
      </c>
      <c r="H682" s="19" t="str">
        <f>SUBSTITUTE(Github!L$1938, ";", ", ")</f>
        <v>Array, Dynamic Programming, </v>
      </c>
      <c r="I682" s="17" t="str">
        <f>Github!E$1938</f>
        <v>Medium</v>
      </c>
      <c r="J682" s="17" t="str">
        <f>IF(TRIM(Github!D$1938)="TRUE","FALSE","TRUE")</f>
        <v>TRUE</v>
      </c>
      <c r="K682" s="17" t="b">
        <f>Github!M$1938</f>
        <v>0</v>
      </c>
      <c r="L682" s="17" t="b">
        <f>Github!N$1938</f>
        <v>0</v>
      </c>
      <c r="M682" s="17" t="str">
        <f>ROUND(Github!O$1938, 2)&amp;"%"</f>
        <v>34.96%</v>
      </c>
      <c r="N682" s="17">
        <f>Github!P$1938</f>
        <v>30131</v>
      </c>
      <c r="O682" s="17">
        <f>Github!Q$1938</f>
        <v>86183</v>
      </c>
    </row>
    <row r="683" ht="18.0" customHeight="1">
      <c r="A683" s="17">
        <f>Github!J$721</f>
        <v>720</v>
      </c>
      <c r="B683" s="27" t="str">
        <f>HYPERLINK(CONCAT("http://leetcode.com/problems/",Github!C$721), Github!B$721)</f>
        <v>Longest Word in Dictionary</v>
      </c>
      <c r="C683" s="17">
        <f>Github!F$721</f>
        <v>1270</v>
      </c>
      <c r="D683" s="17">
        <f>Github!G$721</f>
        <v>1270</v>
      </c>
      <c r="E683" s="17">
        <f>Github!F$721+Github!G$721</f>
        <v>2540</v>
      </c>
      <c r="F683" s="18">
        <f t="shared" si="1"/>
        <v>1</v>
      </c>
      <c r="G683" s="17" t="str">
        <f>Github!H$721</f>
        <v>Algorithms</v>
      </c>
      <c r="H683" s="19" t="str">
        <f>SUBSTITUTE(Github!L$721, ";", ", ")</f>
        <v>Array, Hash Table, String, Trie, Sorting, </v>
      </c>
      <c r="I683" s="17" t="str">
        <f>Github!E$721</f>
        <v>Medium</v>
      </c>
      <c r="J683" s="17" t="str">
        <f>IF(TRIM(Github!D$721)="TRUE","FALSE","TRUE")</f>
        <v>TRUE</v>
      </c>
      <c r="K683" s="17" t="b">
        <f>Github!M$721</f>
        <v>1</v>
      </c>
      <c r="L683" s="17" t="b">
        <f>Github!N$721</f>
        <v>0</v>
      </c>
      <c r="M683" s="17" t="str">
        <f>ROUND(Github!O$721, 2)&amp;"%"</f>
        <v>50.83%</v>
      </c>
      <c r="N683" s="17">
        <f>Github!P$721</f>
        <v>109182</v>
      </c>
      <c r="O683" s="17">
        <f>Github!Q$721</f>
        <v>214810</v>
      </c>
    </row>
    <row r="684" ht="18.0" customHeight="1">
      <c r="A684" s="17">
        <f>Github!J$1558</f>
        <v>1557</v>
      </c>
      <c r="B684" s="27" t="str">
        <f>HYPERLINK(CONCAT("http://leetcode.com/problems/",Github!C$1558), Github!B$1558)</f>
        <v>Minimum Number of Vertices to Reach All Nodes</v>
      </c>
      <c r="C684" s="17">
        <f>Github!F$1558</f>
        <v>1271</v>
      </c>
      <c r="D684" s="17">
        <f>Github!G$1558</f>
        <v>58</v>
      </c>
      <c r="E684" s="17">
        <f>Github!F$1558+Github!G$1558</f>
        <v>1329</v>
      </c>
      <c r="F684" s="18">
        <f t="shared" si="1"/>
        <v>21.91</v>
      </c>
      <c r="G684" s="17" t="str">
        <f>Github!H$1558</f>
        <v>Algorithms</v>
      </c>
      <c r="H684" s="19" t="str">
        <f>SUBSTITUTE(Github!L$1558, ";", ", ")</f>
        <v>Graph, </v>
      </c>
      <c r="I684" s="17" t="str">
        <f>Github!E$1558</f>
        <v>Medium</v>
      </c>
      <c r="J684" s="17" t="str">
        <f>IF(TRIM(Github!D$1558)="TRUE","FALSE","TRUE")</f>
        <v>TRUE</v>
      </c>
      <c r="K684" s="17" t="b">
        <f>Github!M$1558</f>
        <v>0</v>
      </c>
      <c r="L684" s="17" t="b">
        <f>Github!N$1558</f>
        <v>0</v>
      </c>
      <c r="M684" s="17" t="str">
        <f>ROUND(Github!O$1558, 2)&amp;"%"</f>
        <v>78.1%</v>
      </c>
      <c r="N684" s="17">
        <f>Github!P$1558</f>
        <v>52920</v>
      </c>
      <c r="O684" s="17">
        <f>Github!Q$1558</f>
        <v>67761</v>
      </c>
    </row>
    <row r="685" ht="18.0" customHeight="1">
      <c r="A685" s="17">
        <f>Github!J$1284</f>
        <v>1283</v>
      </c>
      <c r="B685" s="27" t="str">
        <f>HYPERLINK(CONCAT("http://leetcode.com/problems/",Github!C$1284), Github!B$1284)</f>
        <v>Find the Smallest Divisor Given a Threshold</v>
      </c>
      <c r="C685" s="17">
        <f>Github!F$1284</f>
        <v>1268</v>
      </c>
      <c r="D685" s="17">
        <f>Github!G$1284</f>
        <v>149</v>
      </c>
      <c r="E685" s="17">
        <f>Github!F$1284+Github!G$1284</f>
        <v>1417</v>
      </c>
      <c r="F685" s="18">
        <f t="shared" si="1"/>
        <v>8.51</v>
      </c>
      <c r="G685" s="17" t="str">
        <f>Github!H$1284</f>
        <v>Algorithms</v>
      </c>
      <c r="H685" s="19" t="str">
        <f>SUBSTITUTE(Github!L$1284, ";", ", ")</f>
        <v>Array, Binary Search, </v>
      </c>
      <c r="I685" s="17" t="str">
        <f>Github!E$1284</f>
        <v>Medium</v>
      </c>
      <c r="J685" s="17" t="str">
        <f>IF(TRIM(Github!D$1284)="TRUE","FALSE","TRUE")</f>
        <v>TRUE</v>
      </c>
      <c r="K685" s="17" t="b">
        <f>Github!M$1284</f>
        <v>0</v>
      </c>
      <c r="L685" s="17" t="b">
        <f>Github!N$1284</f>
        <v>0</v>
      </c>
      <c r="M685" s="17" t="str">
        <f>ROUND(Github!O$1284, 2)&amp;"%"</f>
        <v>53.36%</v>
      </c>
      <c r="N685" s="17">
        <f>Github!P$1284</f>
        <v>78038</v>
      </c>
      <c r="O685" s="17">
        <f>Github!Q$1284</f>
        <v>146233</v>
      </c>
    </row>
    <row r="686" ht="18.0" customHeight="1">
      <c r="A686" s="17">
        <f>Github!J$1010</f>
        <v>1009</v>
      </c>
      <c r="B686" s="27" t="str">
        <f>HYPERLINK(CONCAT("http://leetcode.com/problems/",Github!C$1010), Github!B$1010)</f>
        <v>Complement of Base 10 Integer</v>
      </c>
      <c r="C686" s="17">
        <f>Github!F$1010</f>
        <v>1265</v>
      </c>
      <c r="D686" s="17">
        <f>Github!G$1010</f>
        <v>69</v>
      </c>
      <c r="E686" s="17">
        <f>Github!F$1010+Github!G$1010</f>
        <v>1334</v>
      </c>
      <c r="F686" s="18">
        <f t="shared" si="1"/>
        <v>18.33</v>
      </c>
      <c r="G686" s="17" t="str">
        <f>Github!H$1010</f>
        <v>Algorithms</v>
      </c>
      <c r="H686" s="19" t="str">
        <f>SUBSTITUTE(Github!L$1010, ";", ", ")</f>
        <v>Bit Manipulation, </v>
      </c>
      <c r="I686" s="17" t="str">
        <f>Github!E$1010</f>
        <v>Easy</v>
      </c>
      <c r="J686" s="17" t="str">
        <f>IF(TRIM(Github!D$1010)="TRUE","FALSE","TRUE")</f>
        <v>TRUE</v>
      </c>
      <c r="K686" s="17" t="b">
        <f>Github!M$1010</f>
        <v>1</v>
      </c>
      <c r="L686" s="17" t="b">
        <f>Github!N$1010</f>
        <v>0</v>
      </c>
      <c r="M686" s="17" t="str">
        <f>ROUND(Github!O$1010, 2)&amp;"%"</f>
        <v>62.34%</v>
      </c>
      <c r="N686" s="17">
        <f>Github!P$1010</f>
        <v>121894</v>
      </c>
      <c r="O686" s="17">
        <f>Github!Q$1010</f>
        <v>195540</v>
      </c>
    </row>
    <row r="687" ht="18.0" customHeight="1">
      <c r="A687" s="17">
        <f>Github!J$1529</f>
        <v>1528</v>
      </c>
      <c r="B687" s="27" t="str">
        <f>HYPERLINK(CONCAT("http://leetcode.com/problems/",Github!C$1529), Github!B$1529)</f>
        <v>Shuffle String</v>
      </c>
      <c r="C687" s="17">
        <f>Github!F$1529</f>
        <v>1264</v>
      </c>
      <c r="D687" s="17">
        <f>Github!G$1529</f>
        <v>243</v>
      </c>
      <c r="E687" s="17">
        <f>Github!F$1529+Github!G$1529</f>
        <v>1507</v>
      </c>
      <c r="F687" s="18">
        <f t="shared" si="1"/>
        <v>5.2</v>
      </c>
      <c r="G687" s="17" t="str">
        <f>Github!H$1529</f>
        <v>Algorithms</v>
      </c>
      <c r="H687" s="19" t="str">
        <f>SUBSTITUTE(Github!L$1529, ";", ", ")</f>
        <v>Array, String, </v>
      </c>
      <c r="I687" s="17" t="str">
        <f>Github!E$1529</f>
        <v>Easy</v>
      </c>
      <c r="J687" s="17" t="str">
        <f>IF(TRIM(Github!D$1529)="TRUE","FALSE","TRUE")</f>
        <v>TRUE</v>
      </c>
      <c r="K687" s="17" t="b">
        <f>Github!M$1529</f>
        <v>0</v>
      </c>
      <c r="L687" s="17" t="b">
        <f>Github!N$1529</f>
        <v>0</v>
      </c>
      <c r="M687" s="17" t="str">
        <f>ROUND(Github!O$1529, 2)&amp;"%"</f>
        <v>85.79%</v>
      </c>
      <c r="N687" s="17">
        <f>Github!P$1529</f>
        <v>189020</v>
      </c>
      <c r="O687" s="17">
        <f>Github!Q$1529</f>
        <v>220332</v>
      </c>
    </row>
    <row r="688" ht="18.0" customHeight="1">
      <c r="A688" s="17">
        <f>Github!J$931</f>
        <v>930</v>
      </c>
      <c r="B688" s="27" t="str">
        <f>HYPERLINK(CONCAT("http://leetcode.com/problems/",Github!C$931), Github!B$931)</f>
        <v>Binary Subarrays With Sum</v>
      </c>
      <c r="C688" s="17">
        <f>Github!F$931</f>
        <v>1257</v>
      </c>
      <c r="D688" s="17">
        <f>Github!G$931</f>
        <v>44</v>
      </c>
      <c r="E688" s="17">
        <f>Github!F$931+Github!G$931</f>
        <v>1301</v>
      </c>
      <c r="F688" s="18">
        <f t="shared" si="1"/>
        <v>28.57</v>
      </c>
      <c r="G688" s="17" t="str">
        <f>Github!H$931</f>
        <v>Algorithms</v>
      </c>
      <c r="H688" s="19" t="str">
        <f>SUBSTITUTE(Github!L$931, ";", ", ")</f>
        <v>Array, Hash Table, Sliding Window, Prefix Sum, </v>
      </c>
      <c r="I688" s="17" t="str">
        <f>Github!E$931</f>
        <v>Medium</v>
      </c>
      <c r="J688" s="17" t="str">
        <f>IF(TRIM(Github!D$931)="TRUE","FALSE","TRUE")</f>
        <v>TRUE</v>
      </c>
      <c r="K688" s="17" t="b">
        <f>Github!M$931</f>
        <v>1</v>
      </c>
      <c r="L688" s="17" t="b">
        <f>Github!N$931</f>
        <v>0</v>
      </c>
      <c r="M688" s="17" t="str">
        <f>ROUND(Github!O$931, 2)&amp;"%"</f>
        <v>48.41%</v>
      </c>
      <c r="N688" s="17">
        <f>Github!P$931</f>
        <v>43700</v>
      </c>
      <c r="O688" s="17">
        <f>Github!Q$931</f>
        <v>90270</v>
      </c>
    </row>
    <row r="689" ht="18.0" customHeight="1">
      <c r="A689" s="17">
        <f>Github!J$854</f>
        <v>853</v>
      </c>
      <c r="B689" s="27" t="str">
        <f>HYPERLINK(CONCAT("http://leetcode.com/problems/",Github!C$854), Github!B$854)</f>
        <v>Car Fleet</v>
      </c>
      <c r="C689" s="17">
        <f>Github!F$854</f>
        <v>1253</v>
      </c>
      <c r="D689" s="17">
        <f>Github!G$854</f>
        <v>388</v>
      </c>
      <c r="E689" s="17">
        <f>Github!F$854+Github!G$854</f>
        <v>1641</v>
      </c>
      <c r="F689" s="18">
        <f t="shared" si="1"/>
        <v>3.23</v>
      </c>
      <c r="G689" s="17" t="str">
        <f>Github!H$854</f>
        <v>Algorithms</v>
      </c>
      <c r="H689" s="19" t="str">
        <f>SUBSTITUTE(Github!L$854, ";", ", ")</f>
        <v>Array, Stack, Sorting, Monotonic Stack, </v>
      </c>
      <c r="I689" s="17" t="str">
        <f>Github!E$854</f>
        <v>Medium</v>
      </c>
      <c r="J689" s="17" t="str">
        <f>IF(TRIM(Github!D$854)="TRUE","FALSE","TRUE")</f>
        <v>TRUE</v>
      </c>
      <c r="K689" s="17" t="b">
        <f>Github!M$854</f>
        <v>0</v>
      </c>
      <c r="L689" s="17" t="b">
        <f>Github!N$854</f>
        <v>0</v>
      </c>
      <c r="M689" s="17" t="str">
        <f>ROUND(Github!O$854, 2)&amp;"%"</f>
        <v>47.8%</v>
      </c>
      <c r="N689" s="17">
        <f>Github!P$854</f>
        <v>74591</v>
      </c>
      <c r="O689" s="17">
        <f>Github!Q$854</f>
        <v>156048</v>
      </c>
    </row>
    <row r="690" ht="18.0" customHeight="1">
      <c r="A690" s="17">
        <f>Github!J$1526</f>
        <v>1525</v>
      </c>
      <c r="B690" s="27" t="str">
        <f>HYPERLINK(CONCAT("http://leetcode.com/problems/",Github!C$1526), Github!B$1526)</f>
        <v>Number of Good Ways to Split a String</v>
      </c>
      <c r="C690" s="17">
        <f>Github!F$1526</f>
        <v>1251</v>
      </c>
      <c r="D690" s="17">
        <f>Github!G$1526</f>
        <v>29</v>
      </c>
      <c r="E690" s="17">
        <f>Github!F$1526+Github!G$1526</f>
        <v>1280</v>
      </c>
      <c r="F690" s="18">
        <f t="shared" si="1"/>
        <v>43.14</v>
      </c>
      <c r="G690" s="17" t="str">
        <f>Github!H$1526</f>
        <v>Algorithms</v>
      </c>
      <c r="H690" s="19" t="str">
        <f>SUBSTITUTE(Github!L$1526, ";", ", ")</f>
        <v>String, Dynamic Programming, Bit Manipulation, </v>
      </c>
      <c r="I690" s="17" t="str">
        <f>Github!E$1526</f>
        <v>Medium</v>
      </c>
      <c r="J690" s="17" t="str">
        <f>IF(TRIM(Github!D$1526)="TRUE","FALSE","TRUE")</f>
        <v>TRUE</v>
      </c>
      <c r="K690" s="17" t="b">
        <f>Github!M$1526</f>
        <v>0</v>
      </c>
      <c r="L690" s="17" t="b">
        <f>Github!N$1526</f>
        <v>0</v>
      </c>
      <c r="M690" s="17" t="str">
        <f>ROUND(Github!O$1526, 2)&amp;"%"</f>
        <v>70.36%</v>
      </c>
      <c r="N690" s="17">
        <f>Github!P$1526</f>
        <v>66505</v>
      </c>
      <c r="O690" s="17">
        <f>Github!Q$1526</f>
        <v>94521</v>
      </c>
    </row>
    <row r="691" ht="18.0" customHeight="1">
      <c r="A691" s="17">
        <f>Github!J$1141</f>
        <v>1140</v>
      </c>
      <c r="B691" s="27" t="str">
        <f>HYPERLINK(CONCAT("http://leetcode.com/problems/",Github!C$1141), Github!B$1141)</f>
        <v>Stone Game II</v>
      </c>
      <c r="C691" s="17">
        <f>Github!F$1141</f>
        <v>1245</v>
      </c>
      <c r="D691" s="17">
        <f>Github!G$1141</f>
        <v>248</v>
      </c>
      <c r="E691" s="17">
        <f>Github!F$1141+Github!G$1141</f>
        <v>1493</v>
      </c>
      <c r="F691" s="18">
        <f t="shared" si="1"/>
        <v>5.02</v>
      </c>
      <c r="G691" s="17" t="str">
        <f>Github!H$1141</f>
        <v>Algorithms</v>
      </c>
      <c r="H691" s="19" t="str">
        <f>SUBSTITUTE(Github!L$1141, ";", ", ")</f>
        <v>Array, Math, Dynamic Programming, Game Theory, </v>
      </c>
      <c r="I691" s="17" t="str">
        <f>Github!E$1141</f>
        <v>Medium</v>
      </c>
      <c r="J691" s="17" t="str">
        <f>IF(TRIM(Github!D$1141)="TRUE","FALSE","TRUE")</f>
        <v>TRUE</v>
      </c>
      <c r="K691" s="17" t="b">
        <f>Github!M$1141</f>
        <v>0</v>
      </c>
      <c r="L691" s="17" t="b">
        <f>Github!N$1141</f>
        <v>0</v>
      </c>
      <c r="M691" s="17" t="str">
        <f>ROUND(Github!O$1141, 2)&amp;"%"</f>
        <v>64.95%</v>
      </c>
      <c r="N691" s="17">
        <f>Github!P$1141</f>
        <v>37823</v>
      </c>
      <c r="O691" s="17">
        <f>Github!Q$1141</f>
        <v>58237</v>
      </c>
    </row>
    <row r="692" ht="18.0" customHeight="1">
      <c r="A692" s="17">
        <f>Github!J$1697</f>
        <v>1696</v>
      </c>
      <c r="B692" s="27" t="str">
        <f>HYPERLINK(CONCAT("http://leetcode.com/problems/",Github!C$1697), Github!B$1697)</f>
        <v>Jump Game VI</v>
      </c>
      <c r="C692" s="17">
        <f>Github!F$1697</f>
        <v>1241</v>
      </c>
      <c r="D692" s="17">
        <f>Github!G$1697</f>
        <v>51</v>
      </c>
      <c r="E692" s="17">
        <f>Github!F$1697+Github!G$1697</f>
        <v>1292</v>
      </c>
      <c r="F692" s="18">
        <f t="shared" si="1"/>
        <v>24.33</v>
      </c>
      <c r="G692" s="17" t="str">
        <f>Github!H$1697</f>
        <v>Algorithms</v>
      </c>
      <c r="H692" s="19" t="str">
        <f>SUBSTITUTE(Github!L$1697, ";", ", ")</f>
        <v>Array, Dynamic Programming, Queue, Sliding Window, Heap (Priority Queue), Monotonic Queue, </v>
      </c>
      <c r="I692" s="17" t="str">
        <f>Github!E$1697</f>
        <v>Medium</v>
      </c>
      <c r="J692" s="17" t="str">
        <f>IF(TRIM(Github!D$1697)="TRUE","FALSE","TRUE")</f>
        <v>TRUE</v>
      </c>
      <c r="K692" s="17" t="b">
        <f>Github!M$1697</f>
        <v>1</v>
      </c>
      <c r="L692" s="17" t="b">
        <f>Github!N$1697</f>
        <v>0</v>
      </c>
      <c r="M692" s="17" t="str">
        <f>ROUND(Github!O$1697, 2)&amp;"%"</f>
        <v>42.55%</v>
      </c>
      <c r="N692" s="17">
        <f>Github!P$1697</f>
        <v>40879</v>
      </c>
      <c r="O692" s="17">
        <f>Github!Q$1697</f>
        <v>96076</v>
      </c>
    </row>
    <row r="693" ht="18.0" customHeight="1">
      <c r="A693" s="17">
        <f>Github!J$179</f>
        <v>178</v>
      </c>
      <c r="B693" s="27" t="str">
        <f>HYPERLINK(CONCAT("http://leetcode.com/problems/",Github!C$179), Github!B$179)</f>
        <v>Rank Scores</v>
      </c>
      <c r="C693" s="17">
        <f>Github!F$179</f>
        <v>1239</v>
      </c>
      <c r="D693" s="17">
        <f>Github!G$179</f>
        <v>200</v>
      </c>
      <c r="E693" s="17">
        <f>Github!F$179+Github!G$179</f>
        <v>1439</v>
      </c>
      <c r="F693" s="18">
        <f t="shared" si="1"/>
        <v>6.2</v>
      </c>
      <c r="G693" s="17" t="str">
        <f>Github!H$179</f>
        <v>Database</v>
      </c>
      <c r="H693" s="19" t="str">
        <f>SUBSTITUTE(Github!L$179, ";", ", ")</f>
        <v>Database, </v>
      </c>
      <c r="I693" s="17" t="str">
        <f>Github!E$179</f>
        <v>Medium</v>
      </c>
      <c r="J693" s="17" t="str">
        <f>IF(TRIM(Github!D$179)="TRUE","FALSE","TRUE")</f>
        <v>TRUE</v>
      </c>
      <c r="K693" s="17" t="b">
        <f>Github!M$179</f>
        <v>0</v>
      </c>
      <c r="L693" s="17" t="b">
        <f>Github!N$179</f>
        <v>0</v>
      </c>
      <c r="M693" s="17" t="str">
        <f>ROUND(Github!O$179, 2)&amp;"%"</f>
        <v>56.72%</v>
      </c>
      <c r="N693" s="17">
        <f>Github!P$179</f>
        <v>212710</v>
      </c>
      <c r="O693" s="17">
        <f>Github!Q$179</f>
        <v>375007</v>
      </c>
    </row>
    <row r="694" ht="18.0" customHeight="1">
      <c r="A694" s="17">
        <f>Github!J$250</f>
        <v>249</v>
      </c>
      <c r="B694" s="27" t="str">
        <f>HYPERLINK(CONCAT("http://leetcode.com/problems/",Github!C$250), Github!B$250)</f>
        <v>Group Shifted Strings</v>
      </c>
      <c r="C694" s="17">
        <f>Github!F$250</f>
        <v>1238</v>
      </c>
      <c r="D694" s="17">
        <f>Github!G$250</f>
        <v>227</v>
      </c>
      <c r="E694" s="17">
        <f>Github!F$250+Github!G$250</f>
        <v>1465</v>
      </c>
      <c r="F694" s="18">
        <f t="shared" si="1"/>
        <v>5.45</v>
      </c>
      <c r="G694" s="17" t="str">
        <f>Github!H$250</f>
        <v>Algorithms</v>
      </c>
      <c r="H694" s="19" t="str">
        <f>SUBSTITUTE(Github!L$250, ";", ", ")</f>
        <v>Array, Hash Table, String, </v>
      </c>
      <c r="I694" s="17" t="str">
        <f>Github!E$250</f>
        <v>Medium</v>
      </c>
      <c r="J694" s="17" t="str">
        <f>IF(TRIM(Github!D$250)="TRUE","FALSE","TRUE")</f>
        <v>FALSE</v>
      </c>
      <c r="K694" s="17" t="b">
        <f>Github!M$250</f>
        <v>1</v>
      </c>
      <c r="L694" s="17" t="b">
        <f>Github!N$250</f>
        <v>0</v>
      </c>
      <c r="M694" s="17" t="str">
        <f>ROUND(Github!O$250, 2)&amp;"%"</f>
        <v>63.01%</v>
      </c>
      <c r="N694" s="17">
        <f>Github!P$250</f>
        <v>157836</v>
      </c>
      <c r="O694" s="17">
        <f>Github!Q$250</f>
        <v>250477</v>
      </c>
    </row>
    <row r="695" ht="18.0" customHeight="1">
      <c r="A695" s="17">
        <f>Github!J$1061</f>
        <v>1060</v>
      </c>
      <c r="B695" s="27" t="str">
        <f>HYPERLINK(CONCAT("http://leetcode.com/problems/",Github!C$1061), Github!B$1061)</f>
        <v>Missing Element in Sorted Array</v>
      </c>
      <c r="C695" s="17">
        <f>Github!F$1061</f>
        <v>1234</v>
      </c>
      <c r="D695" s="17">
        <f>Github!G$1061</f>
        <v>49</v>
      </c>
      <c r="E695" s="17">
        <f>Github!F$1061+Github!G$1061</f>
        <v>1283</v>
      </c>
      <c r="F695" s="18">
        <f t="shared" si="1"/>
        <v>25.18</v>
      </c>
      <c r="G695" s="17" t="str">
        <f>Github!H$1061</f>
        <v>Algorithms</v>
      </c>
      <c r="H695" s="19" t="str">
        <f>SUBSTITUTE(Github!L$1061, ";", ", ")</f>
        <v>Array, Binary Search, </v>
      </c>
      <c r="I695" s="17" t="str">
        <f>Github!E$1061</f>
        <v>Medium</v>
      </c>
      <c r="J695" s="17" t="str">
        <f>IF(TRIM(Github!D$1061)="TRUE","FALSE","TRUE")</f>
        <v>FALSE</v>
      </c>
      <c r="K695" s="17" t="b">
        <f>Github!M$1061</f>
        <v>1</v>
      </c>
      <c r="L695" s="17" t="b">
        <f>Github!N$1061</f>
        <v>0</v>
      </c>
      <c r="M695" s="17" t="str">
        <f>ROUND(Github!O$1061, 2)&amp;"%"</f>
        <v>55.09%</v>
      </c>
      <c r="N695" s="17">
        <f>Github!P$1061</f>
        <v>89067</v>
      </c>
      <c r="O695" s="17">
        <f>Github!Q$1061</f>
        <v>161673</v>
      </c>
    </row>
    <row r="696" ht="18.0" customHeight="1">
      <c r="A696" s="17">
        <f>Github!J$1511</f>
        <v>1510</v>
      </c>
      <c r="B696" s="27" t="str">
        <f>HYPERLINK(CONCAT("http://leetcode.com/problems/",Github!C$1511), Github!B$1511)</f>
        <v>Stone Game IV</v>
      </c>
      <c r="C696" s="17">
        <f>Github!F$1511</f>
        <v>1232</v>
      </c>
      <c r="D696" s="17">
        <f>Github!G$1511</f>
        <v>53</v>
      </c>
      <c r="E696" s="17">
        <f>Github!F$1511+Github!G$1511</f>
        <v>1285</v>
      </c>
      <c r="F696" s="18">
        <f t="shared" si="1"/>
        <v>23.25</v>
      </c>
      <c r="G696" s="17" t="str">
        <f>Github!H$1511</f>
        <v>Algorithms</v>
      </c>
      <c r="H696" s="19" t="str">
        <f>SUBSTITUTE(Github!L$1511, ";", ", ")</f>
        <v>Math, Dynamic Programming, Game Theory, </v>
      </c>
      <c r="I696" s="17" t="str">
        <f>Github!E$1511</f>
        <v>Hard</v>
      </c>
      <c r="J696" s="17" t="str">
        <f>IF(TRIM(Github!D$1511)="TRUE","FALSE","TRUE")</f>
        <v>TRUE</v>
      </c>
      <c r="K696" s="17" t="b">
        <f>Github!M$1511</f>
        <v>1</v>
      </c>
      <c r="L696" s="17" t="b">
        <f>Github!N$1511</f>
        <v>0</v>
      </c>
      <c r="M696" s="17" t="str">
        <f>ROUND(Github!O$1511, 2)&amp;"%"</f>
        <v>60.81%</v>
      </c>
      <c r="N696" s="17">
        <f>Github!P$1511</f>
        <v>57215</v>
      </c>
      <c r="O696" s="17">
        <f>Github!Q$1511</f>
        <v>94089</v>
      </c>
    </row>
    <row r="697" ht="18.0" customHeight="1">
      <c r="A697" s="17">
        <f>Github!J$731</f>
        <v>730</v>
      </c>
      <c r="B697" s="27" t="str">
        <f>HYPERLINK(CONCAT("http://leetcode.com/problems/",Github!C$731), Github!B$731)</f>
        <v>Count Different Palindromic Subsequences</v>
      </c>
      <c r="C697" s="17">
        <f>Github!F$731</f>
        <v>1232</v>
      </c>
      <c r="D697" s="17">
        <f>Github!G$731</f>
        <v>67</v>
      </c>
      <c r="E697" s="17">
        <f>Github!F$731+Github!G$731</f>
        <v>1299</v>
      </c>
      <c r="F697" s="18">
        <f t="shared" si="1"/>
        <v>18.39</v>
      </c>
      <c r="G697" s="17" t="str">
        <f>Github!H$731</f>
        <v>Algorithms</v>
      </c>
      <c r="H697" s="19" t="str">
        <f>SUBSTITUTE(Github!L$731, ";", ", ")</f>
        <v>String, Dynamic Programming, </v>
      </c>
      <c r="I697" s="17" t="str">
        <f>Github!E$731</f>
        <v>Hard</v>
      </c>
      <c r="J697" s="17" t="str">
        <f>IF(TRIM(Github!D$731)="TRUE","FALSE","TRUE")</f>
        <v>TRUE</v>
      </c>
      <c r="K697" s="17" t="b">
        <f>Github!M$731</f>
        <v>0</v>
      </c>
      <c r="L697" s="17" t="b">
        <f>Github!N$731</f>
        <v>0</v>
      </c>
      <c r="M697" s="17" t="str">
        <f>ROUND(Github!O$731, 2)&amp;"%"</f>
        <v>44.1%</v>
      </c>
      <c r="N697" s="17">
        <f>Github!P$731</f>
        <v>25776</v>
      </c>
      <c r="O697" s="17">
        <f>Github!Q$731</f>
        <v>58453</v>
      </c>
    </row>
    <row r="698" ht="18.0" customHeight="1">
      <c r="A698" s="17">
        <f>Github!J$1072</f>
        <v>1071</v>
      </c>
      <c r="B698" s="27" t="str">
        <f>HYPERLINK(CONCAT("http://leetcode.com/problems/",Github!C$1072), Github!B$1072)</f>
        <v>Greatest Common Divisor of Strings</v>
      </c>
      <c r="C698" s="17">
        <f>Github!F$1072</f>
        <v>1230</v>
      </c>
      <c r="D698" s="17">
        <f>Github!G$1072</f>
        <v>247</v>
      </c>
      <c r="E698" s="17">
        <f>Github!F$1072+Github!G$1072</f>
        <v>1477</v>
      </c>
      <c r="F698" s="18">
        <f t="shared" si="1"/>
        <v>4.98</v>
      </c>
      <c r="G698" s="17" t="str">
        <f>Github!H$1072</f>
        <v>Algorithms</v>
      </c>
      <c r="H698" s="19" t="str">
        <f>SUBSTITUTE(Github!L$1072, ";", ", ")</f>
        <v>Math, String, </v>
      </c>
      <c r="I698" s="17" t="str">
        <f>Github!E$1072</f>
        <v>Easy</v>
      </c>
      <c r="J698" s="17" t="str">
        <f>IF(TRIM(Github!D$1072)="TRUE","FALSE","TRUE")</f>
        <v>TRUE</v>
      </c>
      <c r="K698" s="17" t="b">
        <f>Github!M$1072</f>
        <v>0</v>
      </c>
      <c r="L698" s="17" t="b">
        <f>Github!N$1072</f>
        <v>0</v>
      </c>
      <c r="M698" s="17" t="str">
        <f>ROUND(Github!O$1072, 2)&amp;"%"</f>
        <v>51.6%</v>
      </c>
      <c r="N698" s="17">
        <f>Github!P$1072</f>
        <v>68876</v>
      </c>
      <c r="O698" s="17">
        <f>Github!Q$1072</f>
        <v>133476</v>
      </c>
    </row>
    <row r="699" ht="18.0" customHeight="1">
      <c r="A699" s="17">
        <f>Github!J$820</f>
        <v>819</v>
      </c>
      <c r="B699" s="27" t="str">
        <f>HYPERLINK(CONCAT("http://leetcode.com/problems/",Github!C$820), Github!B$820)</f>
        <v>Most Common Word</v>
      </c>
      <c r="C699" s="17">
        <f>Github!F$820</f>
        <v>1224</v>
      </c>
      <c r="D699" s="17">
        <f>Github!G$820</f>
        <v>2498</v>
      </c>
      <c r="E699" s="17">
        <f>Github!F$820+Github!G$820</f>
        <v>3722</v>
      </c>
      <c r="F699" s="18">
        <f t="shared" si="1"/>
        <v>0.49</v>
      </c>
      <c r="G699" s="17" t="str">
        <f>Github!H$820</f>
        <v>Algorithms</v>
      </c>
      <c r="H699" s="19" t="str">
        <f>SUBSTITUTE(Github!L$820, ";", ", ")</f>
        <v>Hash Table, String, </v>
      </c>
      <c r="I699" s="17" t="str">
        <f>Github!E$820</f>
        <v>Easy</v>
      </c>
      <c r="J699" s="17" t="str">
        <f>IF(TRIM(Github!D$820)="TRUE","FALSE","TRUE")</f>
        <v>TRUE</v>
      </c>
      <c r="K699" s="17" t="b">
        <f>Github!M$820</f>
        <v>1</v>
      </c>
      <c r="L699" s="17" t="b">
        <f>Github!N$820</f>
        <v>0</v>
      </c>
      <c r="M699" s="17" t="str">
        <f>ROUND(Github!O$820, 2)&amp;"%"</f>
        <v>45.26%</v>
      </c>
      <c r="N699" s="17">
        <f>Github!P$820</f>
        <v>278224</v>
      </c>
      <c r="O699" s="17">
        <f>Github!Q$820</f>
        <v>614683</v>
      </c>
    </row>
    <row r="700" ht="18.0" customHeight="1">
      <c r="A700" s="17">
        <f>Github!J$979</f>
        <v>978</v>
      </c>
      <c r="B700" s="27" t="str">
        <f>HYPERLINK(CONCAT("http://leetcode.com/problems/",Github!C$979), Github!B$979)</f>
        <v>Longest Turbulent Subarray</v>
      </c>
      <c r="C700" s="17">
        <f>Github!F$979</f>
        <v>1225</v>
      </c>
      <c r="D700" s="17">
        <f>Github!G$979</f>
        <v>163</v>
      </c>
      <c r="E700" s="17">
        <f>Github!F$979+Github!G$979</f>
        <v>1388</v>
      </c>
      <c r="F700" s="18">
        <f t="shared" si="1"/>
        <v>7.52</v>
      </c>
      <c r="G700" s="17" t="str">
        <f>Github!H$979</f>
        <v>Algorithms</v>
      </c>
      <c r="H700" s="19" t="str">
        <f>SUBSTITUTE(Github!L$979, ";", ", ")</f>
        <v>Array, Dynamic Programming, Sliding Window, </v>
      </c>
      <c r="I700" s="17" t="str">
        <f>Github!E$979</f>
        <v>Medium</v>
      </c>
      <c r="J700" s="17" t="str">
        <f>IF(TRIM(Github!D$979)="TRUE","FALSE","TRUE")</f>
        <v>TRUE</v>
      </c>
      <c r="K700" s="17" t="b">
        <f>Github!M$979</f>
        <v>1</v>
      </c>
      <c r="L700" s="17" t="b">
        <f>Github!N$979</f>
        <v>0</v>
      </c>
      <c r="M700" s="17" t="str">
        <f>ROUND(Github!O$979, 2)&amp;"%"</f>
        <v>47.5%</v>
      </c>
      <c r="N700" s="17">
        <f>Github!P$979</f>
        <v>70152</v>
      </c>
      <c r="O700" s="17">
        <f>Github!Q$979</f>
        <v>147683</v>
      </c>
    </row>
    <row r="701" ht="18.0" customHeight="1">
      <c r="A701" s="17">
        <f>Github!J$1026</f>
        <v>1025</v>
      </c>
      <c r="B701" s="27" t="str">
        <f>HYPERLINK(CONCAT("http://leetcode.com/problems/",Github!C$1026), Github!B$1026)</f>
        <v>Divisor Game</v>
      </c>
      <c r="C701" s="17">
        <f>Github!F$1026</f>
        <v>1225</v>
      </c>
      <c r="D701" s="17">
        <f>Github!G$1026</f>
        <v>2943</v>
      </c>
      <c r="E701" s="17">
        <f>Github!F$1026+Github!G$1026</f>
        <v>4168</v>
      </c>
      <c r="F701" s="18">
        <f t="shared" si="1"/>
        <v>0.42</v>
      </c>
      <c r="G701" s="17" t="str">
        <f>Github!H$1026</f>
        <v>Algorithms</v>
      </c>
      <c r="H701" s="19" t="str">
        <f>SUBSTITUTE(Github!L$1026, ";", ", ")</f>
        <v>Math, Dynamic Programming, Brainteaser, Game Theory, </v>
      </c>
      <c r="I701" s="17" t="str">
        <f>Github!E$1026</f>
        <v>Easy</v>
      </c>
      <c r="J701" s="17" t="str">
        <f>IF(TRIM(Github!D$1026)="TRUE","FALSE","TRUE")</f>
        <v>TRUE</v>
      </c>
      <c r="K701" s="17" t="b">
        <f>Github!M$1026</f>
        <v>0</v>
      </c>
      <c r="L701" s="17" t="b">
        <f>Github!N$1026</f>
        <v>0</v>
      </c>
      <c r="M701" s="17" t="str">
        <f>ROUND(Github!O$1026, 2)&amp;"%"</f>
        <v>66.55%</v>
      </c>
      <c r="N701" s="17">
        <f>Github!P$1026</f>
        <v>146692</v>
      </c>
      <c r="O701" s="17">
        <f>Github!Q$1026</f>
        <v>220423</v>
      </c>
    </row>
    <row r="702" ht="18.0" customHeight="1">
      <c r="A702" s="17">
        <f>Github!J$1191</f>
        <v>1190</v>
      </c>
      <c r="B702" s="27" t="str">
        <f>HYPERLINK(CONCAT("http://leetcode.com/problems/",Github!C$1191), Github!B$1191)</f>
        <v>Reverse Substrings Between Each Pair of Parentheses</v>
      </c>
      <c r="C702" s="17">
        <f>Github!F$1191</f>
        <v>1218</v>
      </c>
      <c r="D702" s="17">
        <f>Github!G$1191</f>
        <v>34</v>
      </c>
      <c r="E702" s="17">
        <f>Github!F$1191+Github!G$1191</f>
        <v>1252</v>
      </c>
      <c r="F702" s="18">
        <f t="shared" si="1"/>
        <v>35.82</v>
      </c>
      <c r="G702" s="17" t="str">
        <f>Github!H$1191</f>
        <v>Algorithms</v>
      </c>
      <c r="H702" s="19" t="str">
        <f>SUBSTITUTE(Github!L$1191, ";", ", ")</f>
        <v>String, Stack, </v>
      </c>
      <c r="I702" s="17" t="str">
        <f>Github!E$1191</f>
        <v>Medium</v>
      </c>
      <c r="J702" s="17" t="str">
        <f>IF(TRIM(Github!D$1191)="TRUE","FALSE","TRUE")</f>
        <v>TRUE</v>
      </c>
      <c r="K702" s="17" t="b">
        <f>Github!M$1191</f>
        <v>0</v>
      </c>
      <c r="L702" s="17" t="b">
        <f>Github!N$1191</f>
        <v>0</v>
      </c>
      <c r="M702" s="17" t="str">
        <f>ROUND(Github!O$1191, 2)&amp;"%"</f>
        <v>65.6%</v>
      </c>
      <c r="N702" s="17">
        <f>Github!P$1191</f>
        <v>46204</v>
      </c>
      <c r="O702" s="17">
        <f>Github!Q$1191</f>
        <v>70432</v>
      </c>
    </row>
    <row r="703" ht="18.0" customHeight="1">
      <c r="A703" s="17">
        <f>Github!J$953</f>
        <v>952</v>
      </c>
      <c r="B703" s="27" t="str">
        <f>HYPERLINK(CONCAT("http://leetcode.com/problems/",Github!C$953), Github!B$953)</f>
        <v>Largest Component Size by Common Factor</v>
      </c>
      <c r="C703" s="17">
        <f>Github!F$953</f>
        <v>1218</v>
      </c>
      <c r="D703" s="17">
        <f>Github!G$953</f>
        <v>85</v>
      </c>
      <c r="E703" s="17">
        <f>Github!F$953+Github!G$953</f>
        <v>1303</v>
      </c>
      <c r="F703" s="18">
        <f t="shared" si="1"/>
        <v>14.33</v>
      </c>
      <c r="G703" s="17" t="str">
        <f>Github!H$953</f>
        <v>Algorithms</v>
      </c>
      <c r="H703" s="19" t="str">
        <f>SUBSTITUTE(Github!L$953, ";", ", ")</f>
        <v>Array, Math, Union Find, </v>
      </c>
      <c r="I703" s="17" t="str">
        <f>Github!E$953</f>
        <v>Hard</v>
      </c>
      <c r="J703" s="17" t="str">
        <f>IF(TRIM(Github!D$953)="TRUE","FALSE","TRUE")</f>
        <v>TRUE</v>
      </c>
      <c r="K703" s="17" t="b">
        <f>Github!M$953</f>
        <v>1</v>
      </c>
      <c r="L703" s="17" t="b">
        <f>Github!N$953</f>
        <v>0</v>
      </c>
      <c r="M703" s="17" t="str">
        <f>ROUND(Github!O$953, 2)&amp;"%"</f>
        <v>40.41%</v>
      </c>
      <c r="N703" s="17">
        <f>Github!P$953</f>
        <v>43407</v>
      </c>
      <c r="O703" s="17">
        <f>Github!Q$953</f>
        <v>107412</v>
      </c>
    </row>
    <row r="704" ht="18.0" customHeight="1">
      <c r="A704" s="17">
        <f>Github!J$624</f>
        <v>623</v>
      </c>
      <c r="B704" s="27" t="str">
        <f>HYPERLINK(CONCAT("http://leetcode.com/problems/",Github!C$624), Github!B$624)</f>
        <v>Add One Row to Tree</v>
      </c>
      <c r="C704" s="17">
        <f>Github!F$624</f>
        <v>1215</v>
      </c>
      <c r="D704" s="17">
        <f>Github!G$624</f>
        <v>170</v>
      </c>
      <c r="E704" s="17">
        <f>Github!F$624+Github!G$624</f>
        <v>1385</v>
      </c>
      <c r="F704" s="18">
        <f t="shared" si="1"/>
        <v>7.15</v>
      </c>
      <c r="G704" s="17" t="str">
        <f>Github!H$624</f>
        <v>Algorithms</v>
      </c>
      <c r="H704" s="19" t="str">
        <f>SUBSTITUTE(Github!L$624, ";", ", ")</f>
        <v>Tree, Depth-First Search, Breadth-First Search, Binary Tree, </v>
      </c>
      <c r="I704" s="17" t="str">
        <f>Github!E$624</f>
        <v>Medium</v>
      </c>
      <c r="J704" s="17" t="str">
        <f>IF(TRIM(Github!D$624)="TRUE","FALSE","TRUE")</f>
        <v>TRUE</v>
      </c>
      <c r="K704" s="17" t="b">
        <f>Github!M$624</f>
        <v>1</v>
      </c>
      <c r="L704" s="17" t="b">
        <f>Github!N$624</f>
        <v>0</v>
      </c>
      <c r="M704" s="17" t="str">
        <f>ROUND(Github!O$624, 2)&amp;"%"</f>
        <v>53.78%</v>
      </c>
      <c r="N704" s="17">
        <f>Github!P$624</f>
        <v>81116</v>
      </c>
      <c r="O704" s="17">
        <f>Github!Q$624</f>
        <v>150828</v>
      </c>
    </row>
    <row r="705" ht="18.0" customHeight="1">
      <c r="A705" s="17">
        <f>Github!J$966</f>
        <v>965</v>
      </c>
      <c r="B705" s="27" t="str">
        <f>HYPERLINK(CONCAT("http://leetcode.com/problems/",Github!C$966), Github!B$966)</f>
        <v>Univalued Binary Tree</v>
      </c>
      <c r="C705" s="17">
        <f>Github!F$966</f>
        <v>1217</v>
      </c>
      <c r="D705" s="17">
        <f>Github!G$966</f>
        <v>56</v>
      </c>
      <c r="E705" s="17">
        <f>Github!F$966+Github!G$966</f>
        <v>1273</v>
      </c>
      <c r="F705" s="18">
        <f t="shared" si="1"/>
        <v>21.73</v>
      </c>
      <c r="G705" s="17" t="str">
        <f>Github!H$966</f>
        <v>Algorithms</v>
      </c>
      <c r="H705" s="19" t="str">
        <f>SUBSTITUTE(Github!L$966, ";", ", ")</f>
        <v>Tree, Depth-First Search, Breadth-First Search, Binary Tree, </v>
      </c>
      <c r="I705" s="17" t="str">
        <f>Github!E$966</f>
        <v>Easy</v>
      </c>
      <c r="J705" s="17" t="str">
        <f>IF(TRIM(Github!D$966)="TRUE","FALSE","TRUE")</f>
        <v>TRUE</v>
      </c>
      <c r="K705" s="17" t="b">
        <f>Github!M$966</f>
        <v>1</v>
      </c>
      <c r="L705" s="17" t="b">
        <f>Github!N$966</f>
        <v>0</v>
      </c>
      <c r="M705" s="17" t="str">
        <f>ROUND(Github!O$966, 2)&amp;"%"</f>
        <v>68.84%</v>
      </c>
      <c r="N705" s="17">
        <f>Github!P$966</f>
        <v>153392</v>
      </c>
      <c r="O705" s="17">
        <f>Github!Q$966</f>
        <v>222835</v>
      </c>
    </row>
    <row r="706" ht="18.0" customHeight="1">
      <c r="A706" s="17">
        <f>Github!J$340</f>
        <v>339</v>
      </c>
      <c r="B706" s="27" t="str">
        <f>HYPERLINK(CONCAT("http://leetcode.com/problems/",Github!C$340), Github!B$340)</f>
        <v>Nested List Weight Sum</v>
      </c>
      <c r="C706" s="17">
        <f>Github!F$340</f>
        <v>1211</v>
      </c>
      <c r="D706" s="17">
        <f>Github!G$340</f>
        <v>279</v>
      </c>
      <c r="E706" s="17">
        <f>Github!F$340+Github!G$340</f>
        <v>1490</v>
      </c>
      <c r="F706" s="18">
        <f t="shared" si="1"/>
        <v>4.34</v>
      </c>
      <c r="G706" s="17" t="str">
        <f>Github!H$340</f>
        <v>Algorithms</v>
      </c>
      <c r="H706" s="19" t="str">
        <f>SUBSTITUTE(Github!L$340, ";", ", ")</f>
        <v>Depth-First Search, Breadth-First Search, </v>
      </c>
      <c r="I706" s="17" t="str">
        <f>Github!E$340</f>
        <v>Medium</v>
      </c>
      <c r="J706" s="17" t="str">
        <f>IF(TRIM(Github!D$340)="TRUE","FALSE","TRUE")</f>
        <v>FALSE</v>
      </c>
      <c r="K706" s="17" t="b">
        <f>Github!M$340</f>
        <v>1</v>
      </c>
      <c r="L706" s="17" t="b">
        <f>Github!N$340</f>
        <v>1</v>
      </c>
      <c r="M706" s="17" t="str">
        <f>ROUND(Github!O$340, 2)&amp;"%"</f>
        <v>80.59%</v>
      </c>
      <c r="N706" s="17">
        <f>Github!P$340</f>
        <v>177313</v>
      </c>
      <c r="O706" s="17">
        <f>Github!Q$340</f>
        <v>220028</v>
      </c>
    </row>
    <row r="707" ht="18.0" customHeight="1">
      <c r="A707" s="17">
        <f>Github!J$958</f>
        <v>957</v>
      </c>
      <c r="B707" s="27" t="str">
        <f>HYPERLINK(CONCAT("http://leetcode.com/problems/",Github!C$958), Github!B$958)</f>
        <v>Prison Cells After N Days</v>
      </c>
      <c r="C707" s="17">
        <f>Github!F$958</f>
        <v>1206</v>
      </c>
      <c r="D707" s="17">
        <f>Github!G$958</f>
        <v>1500</v>
      </c>
      <c r="E707" s="17">
        <f>Github!F$958+Github!G$958</f>
        <v>2706</v>
      </c>
      <c r="F707" s="18">
        <f t="shared" si="1"/>
        <v>0.8</v>
      </c>
      <c r="G707" s="17" t="str">
        <f>Github!H$958</f>
        <v>Algorithms</v>
      </c>
      <c r="H707" s="19" t="str">
        <f>SUBSTITUTE(Github!L$958, ";", ", ")</f>
        <v>Array, Hash Table, Math, Bit Manipulation, </v>
      </c>
      <c r="I707" s="17" t="str">
        <f>Github!E$958</f>
        <v>Medium</v>
      </c>
      <c r="J707" s="17" t="str">
        <f>IF(TRIM(Github!D$958)="TRUE","FALSE","TRUE")</f>
        <v>TRUE</v>
      </c>
      <c r="K707" s="17" t="b">
        <f>Github!M$958</f>
        <v>1</v>
      </c>
      <c r="L707" s="17" t="b">
        <f>Github!N$958</f>
        <v>0</v>
      </c>
      <c r="M707" s="17" t="str">
        <f>ROUND(Github!O$958, 2)&amp;"%"</f>
        <v>39.51%</v>
      </c>
      <c r="N707" s="17">
        <f>Github!P$958</f>
        <v>138525</v>
      </c>
      <c r="O707" s="17">
        <f>Github!Q$958</f>
        <v>350626</v>
      </c>
    </row>
    <row r="708" ht="18.0" customHeight="1">
      <c r="A708" s="17">
        <f>Github!J$277</f>
        <v>276</v>
      </c>
      <c r="B708" s="27" t="str">
        <f>HYPERLINK(CONCAT("http://leetcode.com/problems/",Github!C$277), Github!B$277)</f>
        <v>Paint Fence</v>
      </c>
      <c r="C708" s="17">
        <f>Github!F$277</f>
        <v>1205</v>
      </c>
      <c r="D708" s="17">
        <f>Github!G$277</f>
        <v>350</v>
      </c>
      <c r="E708" s="17">
        <f>Github!F$277+Github!G$277</f>
        <v>1555</v>
      </c>
      <c r="F708" s="18">
        <f t="shared" si="1"/>
        <v>3.44</v>
      </c>
      <c r="G708" s="17" t="str">
        <f>Github!H$277</f>
        <v>Algorithms</v>
      </c>
      <c r="H708" s="19" t="str">
        <f>SUBSTITUTE(Github!L$277, ";", ", ")</f>
        <v>Dynamic Programming, </v>
      </c>
      <c r="I708" s="17" t="str">
        <f>Github!E$277</f>
        <v>Medium</v>
      </c>
      <c r="J708" s="17" t="str">
        <f>IF(TRIM(Github!D$277)="TRUE","FALSE","TRUE")</f>
        <v>FALSE</v>
      </c>
      <c r="K708" s="17" t="b">
        <f>Github!M$277</f>
        <v>1</v>
      </c>
      <c r="L708" s="17" t="b">
        <f>Github!N$277</f>
        <v>0</v>
      </c>
      <c r="M708" s="17" t="str">
        <f>ROUND(Github!O$277, 2)&amp;"%"</f>
        <v>42.45%</v>
      </c>
      <c r="N708" s="17">
        <f>Github!P$277</f>
        <v>82322</v>
      </c>
      <c r="O708" s="17">
        <f>Github!Q$277</f>
        <v>193919</v>
      </c>
    </row>
    <row r="709" ht="18.0" customHeight="1">
      <c r="A709" s="17">
        <f>Github!J$347</f>
        <v>346</v>
      </c>
      <c r="B709" s="27" t="str">
        <f>HYPERLINK(CONCAT("http://leetcode.com/problems/",Github!C$347), Github!B$347)</f>
        <v>Moving Average from Data Stream</v>
      </c>
      <c r="C709" s="17">
        <f>Github!F$347</f>
        <v>1204</v>
      </c>
      <c r="D709" s="17">
        <f>Github!G$347</f>
        <v>116</v>
      </c>
      <c r="E709" s="17">
        <f>Github!F$347+Github!G$347</f>
        <v>1320</v>
      </c>
      <c r="F709" s="18">
        <f t="shared" si="1"/>
        <v>10.38</v>
      </c>
      <c r="G709" s="17" t="str">
        <f>Github!H$347</f>
        <v>Algorithms</v>
      </c>
      <c r="H709" s="19" t="str">
        <f>SUBSTITUTE(Github!L$347, ";", ", ")</f>
        <v>Array, Design, Queue, Data Stream, </v>
      </c>
      <c r="I709" s="17" t="str">
        <f>Github!E$347</f>
        <v>Easy</v>
      </c>
      <c r="J709" s="17" t="str">
        <f>IF(TRIM(Github!D$347)="TRUE","FALSE","TRUE")</f>
        <v>FALSE</v>
      </c>
      <c r="K709" s="17" t="b">
        <f>Github!M$347</f>
        <v>1</v>
      </c>
      <c r="L709" s="17" t="b">
        <f>Github!N$347</f>
        <v>0</v>
      </c>
      <c r="M709" s="17" t="str">
        <f>ROUND(Github!O$347, 2)&amp;"%"</f>
        <v>75.9%</v>
      </c>
      <c r="N709" s="17">
        <f>Github!P$347</f>
        <v>243127</v>
      </c>
      <c r="O709" s="17">
        <f>Github!Q$347</f>
        <v>320313</v>
      </c>
    </row>
    <row r="710" ht="18.0" customHeight="1">
      <c r="A710" s="17">
        <f>Github!J$1637</f>
        <v>1636</v>
      </c>
      <c r="B710" s="27" t="str">
        <f>HYPERLINK(CONCAT("http://leetcode.com/problems/",Github!C$1637), Github!B$1637)</f>
        <v>Sort Array by Increasing Frequency</v>
      </c>
      <c r="C710" s="17">
        <f>Github!F$1637</f>
        <v>1202</v>
      </c>
      <c r="D710" s="17">
        <f>Github!G$1637</f>
        <v>47</v>
      </c>
      <c r="E710" s="17">
        <f>Github!F$1637+Github!G$1637</f>
        <v>1249</v>
      </c>
      <c r="F710" s="18">
        <f t="shared" si="1"/>
        <v>25.57</v>
      </c>
      <c r="G710" s="17" t="str">
        <f>Github!H$1637</f>
        <v>Algorithms</v>
      </c>
      <c r="H710" s="19" t="str">
        <f>SUBSTITUTE(Github!L$1637, ";", ", ")</f>
        <v>Array, Hash Table, Sorting, </v>
      </c>
      <c r="I710" s="17" t="str">
        <f>Github!E$1637</f>
        <v>Easy</v>
      </c>
      <c r="J710" s="17" t="str">
        <f>IF(TRIM(Github!D$1637)="TRUE","FALSE","TRUE")</f>
        <v>TRUE</v>
      </c>
      <c r="K710" s="17" t="b">
        <f>Github!M$1637</f>
        <v>0</v>
      </c>
      <c r="L710" s="17" t="b">
        <f>Github!N$1637</f>
        <v>0</v>
      </c>
      <c r="M710" s="17" t="str">
        <f>ROUND(Github!O$1637, 2)&amp;"%"</f>
        <v>68.34%</v>
      </c>
      <c r="N710" s="17">
        <f>Github!P$1637</f>
        <v>54080</v>
      </c>
      <c r="O710" s="17">
        <f>Github!Q$1637</f>
        <v>79137</v>
      </c>
    </row>
    <row r="711" ht="18.0" customHeight="1">
      <c r="A711" s="17">
        <f>Github!J$706</f>
        <v>705</v>
      </c>
      <c r="B711" s="27" t="str">
        <f>HYPERLINK(CONCAT("http://leetcode.com/problems/",Github!C$706), Github!B$706)</f>
        <v>Design HashSet</v>
      </c>
      <c r="C711" s="17">
        <f>Github!F$706</f>
        <v>1201</v>
      </c>
      <c r="D711" s="17">
        <f>Github!G$706</f>
        <v>151</v>
      </c>
      <c r="E711" s="17">
        <f>Github!F$706+Github!G$706</f>
        <v>1352</v>
      </c>
      <c r="F711" s="18">
        <f t="shared" si="1"/>
        <v>7.95</v>
      </c>
      <c r="G711" s="17" t="str">
        <f>Github!H$706</f>
        <v>Algorithms</v>
      </c>
      <c r="H711" s="19" t="str">
        <f>SUBSTITUTE(Github!L$706, ";", ", ")</f>
        <v>Array, Hash Table, Linked List, Design, Hash Function, </v>
      </c>
      <c r="I711" s="17" t="str">
        <f>Github!E$706</f>
        <v>Easy</v>
      </c>
      <c r="J711" s="17" t="str">
        <f>IF(TRIM(Github!D$706)="TRUE","FALSE","TRUE")</f>
        <v>TRUE</v>
      </c>
      <c r="K711" s="17" t="b">
        <f>Github!M$706</f>
        <v>1</v>
      </c>
      <c r="L711" s="17" t="b">
        <f>Github!N$706</f>
        <v>0</v>
      </c>
      <c r="M711" s="17" t="str">
        <f>ROUND(Github!O$706, 2)&amp;"%"</f>
        <v>63.81%</v>
      </c>
      <c r="N711" s="17">
        <f>Github!P$706</f>
        <v>167548</v>
      </c>
      <c r="O711" s="17">
        <f>Github!Q$706</f>
        <v>262592</v>
      </c>
    </row>
    <row r="712" ht="18.0" customHeight="1">
      <c r="A712" s="17">
        <f>Github!J$1106</f>
        <v>1105</v>
      </c>
      <c r="B712" s="27" t="str">
        <f>HYPERLINK(CONCAT("http://leetcode.com/problems/",Github!C$1106), Github!B$1106)</f>
        <v>Filling Bookcase Shelves</v>
      </c>
      <c r="C712" s="17">
        <f>Github!F$1106</f>
        <v>1202</v>
      </c>
      <c r="D712" s="17">
        <f>Github!G$1106</f>
        <v>72</v>
      </c>
      <c r="E712" s="17">
        <f>Github!F$1106+Github!G$1106</f>
        <v>1274</v>
      </c>
      <c r="F712" s="18">
        <f t="shared" si="1"/>
        <v>16.69</v>
      </c>
      <c r="G712" s="17" t="str">
        <f>Github!H$1106</f>
        <v>Algorithms</v>
      </c>
      <c r="H712" s="19" t="str">
        <f>SUBSTITUTE(Github!L$1106, ";", ", ")</f>
        <v>Array, Dynamic Programming, </v>
      </c>
      <c r="I712" s="17" t="str">
        <f>Github!E$1106</f>
        <v>Medium</v>
      </c>
      <c r="J712" s="17" t="str">
        <f>IF(TRIM(Github!D$1106)="TRUE","FALSE","TRUE")</f>
        <v>TRUE</v>
      </c>
      <c r="K712" s="17" t="b">
        <f>Github!M$1106</f>
        <v>0</v>
      </c>
      <c r="L712" s="17" t="b">
        <f>Github!N$1106</f>
        <v>0</v>
      </c>
      <c r="M712" s="17" t="str">
        <f>ROUND(Github!O$1106, 2)&amp;"%"</f>
        <v>58%</v>
      </c>
      <c r="N712" s="17">
        <f>Github!P$1106</f>
        <v>31501</v>
      </c>
      <c r="O712" s="17">
        <f>Github!Q$1106</f>
        <v>54310</v>
      </c>
    </row>
    <row r="713" ht="18.0" customHeight="1">
      <c r="A713" s="17">
        <f>Github!J$871</f>
        <v>870</v>
      </c>
      <c r="B713" s="27" t="str">
        <f>HYPERLINK(CONCAT("http://leetcode.com/problems/",Github!C$871), Github!B$871)</f>
        <v>Advantage Shuffle</v>
      </c>
      <c r="C713" s="17">
        <f>Github!F$871</f>
        <v>1199</v>
      </c>
      <c r="D713" s="17">
        <f>Github!G$871</f>
        <v>75</v>
      </c>
      <c r="E713" s="17">
        <f>Github!F$871+Github!G$871</f>
        <v>1274</v>
      </c>
      <c r="F713" s="18">
        <f t="shared" si="1"/>
        <v>15.99</v>
      </c>
      <c r="G713" s="17" t="str">
        <f>Github!H$871</f>
        <v>Algorithms</v>
      </c>
      <c r="H713" s="19" t="str">
        <f>SUBSTITUTE(Github!L$871, ";", ", ")</f>
        <v>Array, Greedy, Sorting, </v>
      </c>
      <c r="I713" s="17" t="str">
        <f>Github!E$871</f>
        <v>Medium</v>
      </c>
      <c r="J713" s="17" t="str">
        <f>IF(TRIM(Github!D$871)="TRUE","FALSE","TRUE")</f>
        <v>TRUE</v>
      </c>
      <c r="K713" s="17" t="b">
        <f>Github!M$871</f>
        <v>1</v>
      </c>
      <c r="L713" s="17" t="b">
        <f>Github!N$871</f>
        <v>0</v>
      </c>
      <c r="M713" s="17" t="str">
        <f>ROUND(Github!O$871, 2)&amp;"%"</f>
        <v>51.17%</v>
      </c>
      <c r="N713" s="17">
        <f>Github!P$871</f>
        <v>51861</v>
      </c>
      <c r="O713" s="17">
        <f>Github!Q$871</f>
        <v>101344</v>
      </c>
    </row>
    <row r="714" ht="18.0" customHeight="1">
      <c r="A714" s="17">
        <f>Github!J$1674</f>
        <v>1673</v>
      </c>
      <c r="B714" s="27" t="str">
        <f>HYPERLINK(CONCAT("http://leetcode.com/problems/",Github!C$1674), Github!B$1674)</f>
        <v>Find the Most Competitive Subsequence</v>
      </c>
      <c r="C714" s="17">
        <f>Github!F$1674</f>
        <v>1198</v>
      </c>
      <c r="D714" s="17">
        <f>Github!G$1674</f>
        <v>59</v>
      </c>
      <c r="E714" s="17">
        <f>Github!F$1674+Github!G$1674</f>
        <v>1257</v>
      </c>
      <c r="F714" s="18">
        <f t="shared" si="1"/>
        <v>20.31</v>
      </c>
      <c r="G714" s="17" t="str">
        <f>Github!H$1674</f>
        <v>Algorithms</v>
      </c>
      <c r="H714" s="19" t="str">
        <f>SUBSTITUTE(Github!L$1674, ";", ", ")</f>
        <v>Array, Stack, Greedy, Monotonic Stack, </v>
      </c>
      <c r="I714" s="17" t="str">
        <f>Github!E$1674</f>
        <v>Medium</v>
      </c>
      <c r="J714" s="17" t="str">
        <f>IF(TRIM(Github!D$1674)="TRUE","FALSE","TRUE")</f>
        <v>TRUE</v>
      </c>
      <c r="K714" s="17" t="b">
        <f>Github!M$1674</f>
        <v>1</v>
      </c>
      <c r="L714" s="17" t="b">
        <f>Github!N$1674</f>
        <v>0</v>
      </c>
      <c r="M714" s="17" t="str">
        <f>ROUND(Github!O$1674, 2)&amp;"%"</f>
        <v>48.1%</v>
      </c>
      <c r="N714" s="17">
        <f>Github!P$1674</f>
        <v>40746</v>
      </c>
      <c r="O714" s="17">
        <f>Github!Q$1674</f>
        <v>84704</v>
      </c>
    </row>
    <row r="715" ht="18.0" customHeight="1">
      <c r="A715" s="17">
        <f>Github!J$728</f>
        <v>727</v>
      </c>
      <c r="B715" s="27" t="str">
        <f>HYPERLINK(CONCAT("http://leetcode.com/problems/",Github!C$728), Github!B$728)</f>
        <v>Minimum Window Subsequence</v>
      </c>
      <c r="C715" s="17">
        <f>Github!F$728</f>
        <v>1196</v>
      </c>
      <c r="D715" s="17">
        <f>Github!G$728</f>
        <v>71</v>
      </c>
      <c r="E715" s="17">
        <f>Github!F$728+Github!G$728</f>
        <v>1267</v>
      </c>
      <c r="F715" s="18">
        <f t="shared" si="1"/>
        <v>16.85</v>
      </c>
      <c r="G715" s="17" t="str">
        <f>Github!H$728</f>
        <v>Algorithms</v>
      </c>
      <c r="H715" s="19" t="str">
        <f>SUBSTITUTE(Github!L$728, ";", ", ")</f>
        <v>String, Dynamic Programming, Sliding Window, </v>
      </c>
      <c r="I715" s="17" t="str">
        <f>Github!E$728</f>
        <v>Hard</v>
      </c>
      <c r="J715" s="17" t="str">
        <f>IF(TRIM(Github!D$728)="TRUE","FALSE","TRUE")</f>
        <v>FALSE</v>
      </c>
      <c r="K715" s="17" t="b">
        <f>Github!M$728</f>
        <v>0</v>
      </c>
      <c r="L715" s="17" t="b">
        <f>Github!N$728</f>
        <v>0</v>
      </c>
      <c r="M715" s="17" t="str">
        <f>ROUND(Github!O$728, 2)&amp;"%"</f>
        <v>42.88%</v>
      </c>
      <c r="N715" s="17">
        <f>Github!P$728</f>
        <v>74611</v>
      </c>
      <c r="O715" s="17">
        <f>Github!Q$728</f>
        <v>174005</v>
      </c>
    </row>
    <row r="716" ht="18.0" customHeight="1">
      <c r="A716" s="17">
        <f>Github!J$260</f>
        <v>259</v>
      </c>
      <c r="B716" s="27" t="str">
        <f>HYPERLINK(CONCAT("http://leetcode.com/problems/",Github!C$260), Github!B$260)</f>
        <v>3Sum Smaller</v>
      </c>
      <c r="C716" s="17">
        <f>Github!F$260</f>
        <v>1195</v>
      </c>
      <c r="D716" s="17">
        <f>Github!G$260</f>
        <v>122</v>
      </c>
      <c r="E716" s="17">
        <f>Github!F$260+Github!G$260</f>
        <v>1317</v>
      </c>
      <c r="F716" s="18">
        <f t="shared" si="1"/>
        <v>9.8</v>
      </c>
      <c r="G716" s="17" t="str">
        <f>Github!H$260</f>
        <v>Algorithms</v>
      </c>
      <c r="H716" s="19" t="str">
        <f>SUBSTITUTE(Github!L$260, ";", ", ")</f>
        <v>Array, Two Pointers, Binary Search, Sorting, </v>
      </c>
      <c r="I716" s="17" t="str">
        <f>Github!E$260</f>
        <v>Medium</v>
      </c>
      <c r="J716" s="17" t="str">
        <f>IF(TRIM(Github!D$260)="TRUE","FALSE","TRUE")</f>
        <v>FALSE</v>
      </c>
      <c r="K716" s="17" t="b">
        <f>Github!M$260</f>
        <v>1</v>
      </c>
      <c r="L716" s="17" t="b">
        <f>Github!N$260</f>
        <v>0</v>
      </c>
      <c r="M716" s="17" t="str">
        <f>ROUND(Github!O$260, 2)&amp;"%"</f>
        <v>50.24%</v>
      </c>
      <c r="N716" s="17">
        <f>Github!P$260</f>
        <v>111242</v>
      </c>
      <c r="O716" s="17">
        <f>Github!Q$260</f>
        <v>221436</v>
      </c>
    </row>
    <row r="717" ht="18.0" customHeight="1">
      <c r="A717" s="17">
        <f>Github!J$889</f>
        <v>888</v>
      </c>
      <c r="B717" s="27" t="str">
        <f>HYPERLINK(CONCAT("http://leetcode.com/problems/",Github!C$889), Github!B$889)</f>
        <v>Fair Candy Swap</v>
      </c>
      <c r="C717" s="17">
        <f>Github!F$889</f>
        <v>1191</v>
      </c>
      <c r="D717" s="17">
        <f>Github!G$889</f>
        <v>220</v>
      </c>
      <c r="E717" s="17">
        <f>Github!F$889+Github!G$889</f>
        <v>1411</v>
      </c>
      <c r="F717" s="18">
        <f t="shared" si="1"/>
        <v>5.41</v>
      </c>
      <c r="G717" s="17" t="str">
        <f>Github!H$889</f>
        <v>Algorithms</v>
      </c>
      <c r="H717" s="19" t="str">
        <f>SUBSTITUTE(Github!L$889, ";", ", ")</f>
        <v>Array, Hash Table, Binary Search, Sorting, </v>
      </c>
      <c r="I717" s="17" t="str">
        <f>Github!E$889</f>
        <v>Easy</v>
      </c>
      <c r="J717" s="17" t="str">
        <f>IF(TRIM(Github!D$889)="TRUE","FALSE","TRUE")</f>
        <v>TRUE</v>
      </c>
      <c r="K717" s="17" t="b">
        <f>Github!M$889</f>
        <v>1</v>
      </c>
      <c r="L717" s="17" t="b">
        <f>Github!N$889</f>
        <v>0</v>
      </c>
      <c r="M717" s="17" t="str">
        <f>ROUND(Github!O$889, 2)&amp;"%"</f>
        <v>60.38%</v>
      </c>
      <c r="N717" s="17">
        <f>Github!P$889</f>
        <v>78680</v>
      </c>
      <c r="O717" s="17">
        <f>Github!Q$889</f>
        <v>130317</v>
      </c>
    </row>
    <row r="718" ht="18.0" customHeight="1">
      <c r="A718" s="17">
        <f>Github!J$371</f>
        <v>370</v>
      </c>
      <c r="B718" s="27" t="str">
        <f>HYPERLINK(CONCAT("http://leetcode.com/problems/",Github!C$371), Github!B$371)</f>
        <v>Range Addition</v>
      </c>
      <c r="C718" s="17">
        <f>Github!F$371</f>
        <v>1190</v>
      </c>
      <c r="D718" s="17">
        <f>Github!G$371</f>
        <v>55</v>
      </c>
      <c r="E718" s="17">
        <f>Github!F$371+Github!G$371</f>
        <v>1245</v>
      </c>
      <c r="F718" s="18">
        <f t="shared" si="1"/>
        <v>21.64</v>
      </c>
      <c r="G718" s="17" t="str">
        <f>Github!H$371</f>
        <v>Algorithms</v>
      </c>
      <c r="H718" s="19" t="str">
        <f>SUBSTITUTE(Github!L$371, ";", ", ")</f>
        <v>Array, Prefix Sum, </v>
      </c>
      <c r="I718" s="17" t="str">
        <f>Github!E$371</f>
        <v>Medium</v>
      </c>
      <c r="J718" s="17" t="str">
        <f>IF(TRIM(Github!D$371)="TRUE","FALSE","TRUE")</f>
        <v>FALSE</v>
      </c>
      <c r="K718" s="17" t="b">
        <f>Github!M$371</f>
        <v>1</v>
      </c>
      <c r="L718" s="17" t="b">
        <f>Github!N$371</f>
        <v>0</v>
      </c>
      <c r="M718" s="17" t="str">
        <f>ROUND(Github!O$371, 2)&amp;"%"</f>
        <v>68.95%</v>
      </c>
      <c r="N718" s="17">
        <f>Github!P$371</f>
        <v>62803</v>
      </c>
      <c r="O718" s="17">
        <f>Github!Q$371</f>
        <v>91080</v>
      </c>
    </row>
    <row r="719" ht="18.0" customHeight="1">
      <c r="A719" s="17">
        <f>Github!J$1568</f>
        <v>1567</v>
      </c>
      <c r="B719" s="27" t="str">
        <f>HYPERLINK(CONCAT("http://leetcode.com/problems/",Github!C$1568), Github!B$1568)</f>
        <v>Maximum Length of Subarray With Positive Product</v>
      </c>
      <c r="C719" s="17">
        <f>Github!F$1568</f>
        <v>1193</v>
      </c>
      <c r="D719" s="17">
        <f>Github!G$1568</f>
        <v>18</v>
      </c>
      <c r="E719" s="17">
        <f>Github!F$1568+Github!G$1568</f>
        <v>1211</v>
      </c>
      <c r="F719" s="18">
        <f t="shared" si="1"/>
        <v>66.28</v>
      </c>
      <c r="G719" s="17" t="str">
        <f>Github!H$1568</f>
        <v>Algorithms</v>
      </c>
      <c r="H719" s="19" t="str">
        <f>SUBSTITUTE(Github!L$1568, ";", ", ")</f>
        <v>Array, Dynamic Programming, Greedy, </v>
      </c>
      <c r="I719" s="17" t="str">
        <f>Github!E$1568</f>
        <v>Medium</v>
      </c>
      <c r="J719" s="17" t="str">
        <f>IF(TRIM(Github!D$1568)="TRUE","FALSE","TRUE")</f>
        <v>TRUE</v>
      </c>
      <c r="K719" s="17" t="b">
        <f>Github!M$1568</f>
        <v>0</v>
      </c>
      <c r="L719" s="17" t="b">
        <f>Github!N$1568</f>
        <v>0</v>
      </c>
      <c r="M719" s="17" t="str">
        <f>ROUND(Github!O$1568, 2)&amp;"%"</f>
        <v>42.62%</v>
      </c>
      <c r="N719" s="17">
        <f>Github!P$1568</f>
        <v>39436</v>
      </c>
      <c r="O719" s="17">
        <f>Github!Q$1568</f>
        <v>92527</v>
      </c>
    </row>
    <row r="720" ht="18.0" customHeight="1">
      <c r="A720" s="17">
        <f>Github!J$1022</f>
        <v>1021</v>
      </c>
      <c r="B720" s="27" t="str">
        <f>HYPERLINK(CONCAT("http://leetcode.com/problems/",Github!C$1022), Github!B$1022)</f>
        <v>Remove Outermost Parentheses</v>
      </c>
      <c r="C720" s="17">
        <f>Github!F$1022</f>
        <v>1188</v>
      </c>
      <c r="D720" s="17">
        <f>Github!G$1022</f>
        <v>1146</v>
      </c>
      <c r="E720" s="17">
        <f>Github!F$1022+Github!G$1022</f>
        <v>2334</v>
      </c>
      <c r="F720" s="18">
        <f t="shared" si="1"/>
        <v>1.04</v>
      </c>
      <c r="G720" s="17" t="str">
        <f>Github!H$1022</f>
        <v>Algorithms</v>
      </c>
      <c r="H720" s="19" t="str">
        <f>SUBSTITUTE(Github!L$1022, ";", ", ")</f>
        <v>String, Stack, </v>
      </c>
      <c r="I720" s="17" t="str">
        <f>Github!E$1022</f>
        <v>Easy</v>
      </c>
      <c r="J720" s="17" t="str">
        <f>IF(TRIM(Github!D$1022)="TRUE","FALSE","TRUE")</f>
        <v>TRUE</v>
      </c>
      <c r="K720" s="17" t="b">
        <f>Github!M$1022</f>
        <v>0</v>
      </c>
      <c r="L720" s="17" t="b">
        <f>Github!N$1022</f>
        <v>0</v>
      </c>
      <c r="M720" s="17" t="str">
        <f>ROUND(Github!O$1022, 2)&amp;"%"</f>
        <v>79.75%</v>
      </c>
      <c r="N720" s="17">
        <f>Github!P$1022</f>
        <v>165774</v>
      </c>
      <c r="O720" s="17">
        <f>Github!Q$1022</f>
        <v>207864</v>
      </c>
    </row>
    <row r="721" ht="18.0" customHeight="1">
      <c r="A721" s="17">
        <f>Github!J$1340</f>
        <v>1339</v>
      </c>
      <c r="B721" s="27" t="str">
        <f>HYPERLINK(CONCAT("http://leetcode.com/problems/",Github!C$1340), Github!B$1340)</f>
        <v>Maximum Product of Splitted Binary Tree</v>
      </c>
      <c r="C721" s="17">
        <f>Github!F$1340</f>
        <v>1182</v>
      </c>
      <c r="D721" s="17">
        <f>Github!G$1340</f>
        <v>52</v>
      </c>
      <c r="E721" s="17">
        <f>Github!F$1340+Github!G$1340</f>
        <v>1234</v>
      </c>
      <c r="F721" s="18">
        <f t="shared" si="1"/>
        <v>22.73</v>
      </c>
      <c r="G721" s="17" t="str">
        <f>Github!H$1340</f>
        <v>Algorithms</v>
      </c>
      <c r="H721" s="19" t="str">
        <f>SUBSTITUTE(Github!L$1340, ";", ", ")</f>
        <v>Tree, Depth-First Search, Binary Tree, </v>
      </c>
      <c r="I721" s="17" t="str">
        <f>Github!E$1340</f>
        <v>Medium</v>
      </c>
      <c r="J721" s="17" t="str">
        <f>IF(TRIM(Github!D$1340)="TRUE","FALSE","TRUE")</f>
        <v>TRUE</v>
      </c>
      <c r="K721" s="17" t="b">
        <f>Github!M$1340</f>
        <v>1</v>
      </c>
      <c r="L721" s="17" t="b">
        <f>Github!N$1340</f>
        <v>0</v>
      </c>
      <c r="M721" s="17" t="str">
        <f>ROUND(Github!O$1340, 2)&amp;"%"</f>
        <v>42.84%</v>
      </c>
      <c r="N721" s="17">
        <f>Github!P$1340</f>
        <v>54751</v>
      </c>
      <c r="O721" s="17">
        <f>Github!Q$1340</f>
        <v>127811</v>
      </c>
    </row>
    <row r="722" ht="18.0" customHeight="1">
      <c r="A722" s="17">
        <f>Github!J$1339</f>
        <v>1338</v>
      </c>
      <c r="B722" s="27" t="str">
        <f>HYPERLINK(CONCAT("http://leetcode.com/problems/",Github!C$1339), Github!B$1339)</f>
        <v>Reduce Array Size to The Half</v>
      </c>
      <c r="C722" s="17">
        <f>Github!F$1339</f>
        <v>1180</v>
      </c>
      <c r="D722" s="17">
        <f>Github!G$1339</f>
        <v>81</v>
      </c>
      <c r="E722" s="17">
        <f>Github!F$1339+Github!G$1339</f>
        <v>1261</v>
      </c>
      <c r="F722" s="18">
        <f t="shared" si="1"/>
        <v>14.57</v>
      </c>
      <c r="G722" s="17" t="str">
        <f>Github!H$1339</f>
        <v>Algorithms</v>
      </c>
      <c r="H722" s="19" t="str">
        <f>SUBSTITUTE(Github!L$1339, ";", ", ")</f>
        <v>Array, Hash Table, Greedy, Sorting, Heap (Priority Queue), </v>
      </c>
      <c r="I722" s="17" t="str">
        <f>Github!E$1339</f>
        <v>Medium</v>
      </c>
      <c r="J722" s="17" t="str">
        <f>IF(TRIM(Github!D$1339)="TRUE","FALSE","TRUE")</f>
        <v>TRUE</v>
      </c>
      <c r="K722" s="17" t="b">
        <f>Github!M$1339</f>
        <v>1</v>
      </c>
      <c r="L722" s="17" t="b">
        <f>Github!N$1339</f>
        <v>0</v>
      </c>
      <c r="M722" s="17" t="str">
        <f>ROUND(Github!O$1339, 2)&amp;"%"</f>
        <v>68.45%</v>
      </c>
      <c r="N722" s="17">
        <f>Github!P$1339</f>
        <v>81443</v>
      </c>
      <c r="O722" s="17">
        <f>Github!Q$1339</f>
        <v>118975</v>
      </c>
    </row>
    <row r="723" ht="18.0" customHeight="1">
      <c r="A723" s="17">
        <f>Github!J$1187</f>
        <v>1186</v>
      </c>
      <c r="B723" s="27" t="str">
        <f>HYPERLINK(CONCAT("http://leetcode.com/problems/",Github!C$1187), Github!B$1187)</f>
        <v>Maximum Subarray Sum with One Deletion</v>
      </c>
      <c r="C723" s="17">
        <f>Github!F$1187</f>
        <v>1181</v>
      </c>
      <c r="D723" s="17">
        <f>Github!G$1187</f>
        <v>42</v>
      </c>
      <c r="E723" s="17">
        <f>Github!F$1187+Github!G$1187</f>
        <v>1223</v>
      </c>
      <c r="F723" s="18">
        <f t="shared" si="1"/>
        <v>28.12</v>
      </c>
      <c r="G723" s="17" t="str">
        <f>Github!H$1187</f>
        <v>Algorithms</v>
      </c>
      <c r="H723" s="19" t="str">
        <f>SUBSTITUTE(Github!L$1187, ";", ", ")</f>
        <v>Array, Dynamic Programming, </v>
      </c>
      <c r="I723" s="17" t="str">
        <f>Github!E$1187</f>
        <v>Medium</v>
      </c>
      <c r="J723" s="17" t="str">
        <f>IF(TRIM(Github!D$1187)="TRUE","FALSE","TRUE")</f>
        <v>TRUE</v>
      </c>
      <c r="K723" s="17" t="b">
        <f>Github!M$1187</f>
        <v>0</v>
      </c>
      <c r="L723" s="17" t="b">
        <f>Github!N$1187</f>
        <v>0</v>
      </c>
      <c r="M723" s="17" t="str">
        <f>ROUND(Github!O$1187, 2)&amp;"%"</f>
        <v>40.52%</v>
      </c>
      <c r="N723" s="17">
        <f>Github!P$1187</f>
        <v>30714</v>
      </c>
      <c r="O723" s="17">
        <f>Github!Q$1187</f>
        <v>75807</v>
      </c>
    </row>
    <row r="724" ht="18.0" customHeight="1">
      <c r="A724" s="17">
        <f>Github!J$1447</f>
        <v>1446</v>
      </c>
      <c r="B724" s="27" t="str">
        <f>HYPERLINK(CONCAT("http://leetcode.com/problems/",Github!C$1447), Github!B$1447)</f>
        <v>Consecutive Characters</v>
      </c>
      <c r="C724" s="17">
        <f>Github!F$1447</f>
        <v>1179</v>
      </c>
      <c r="D724" s="17">
        <f>Github!G$1447</f>
        <v>24</v>
      </c>
      <c r="E724" s="17">
        <f>Github!F$1447+Github!G$1447</f>
        <v>1203</v>
      </c>
      <c r="F724" s="18">
        <f t="shared" si="1"/>
        <v>49.13</v>
      </c>
      <c r="G724" s="17" t="str">
        <f>Github!H$1447</f>
        <v>Algorithms</v>
      </c>
      <c r="H724" s="19" t="str">
        <f>SUBSTITUTE(Github!L$1447, ";", ", ")</f>
        <v>String, </v>
      </c>
      <c r="I724" s="17" t="str">
        <f>Github!E$1447</f>
        <v>Easy</v>
      </c>
      <c r="J724" s="17" t="str">
        <f>IF(TRIM(Github!D$1447)="TRUE","FALSE","TRUE")</f>
        <v>TRUE</v>
      </c>
      <c r="K724" s="17" t="b">
        <f>Github!M$1447</f>
        <v>1</v>
      </c>
      <c r="L724" s="17" t="b">
        <f>Github!N$1447</f>
        <v>0</v>
      </c>
      <c r="M724" s="17" t="str">
        <f>ROUND(Github!O$1447, 2)&amp;"%"</f>
        <v>61.98%</v>
      </c>
      <c r="N724" s="17">
        <f>Github!P$1447</f>
        <v>115487</v>
      </c>
      <c r="O724" s="17">
        <f>Github!Q$1447</f>
        <v>186328</v>
      </c>
    </row>
    <row r="725" ht="18.0" customHeight="1">
      <c r="A725" s="17">
        <f>Github!J$678</f>
        <v>677</v>
      </c>
      <c r="B725" s="27" t="str">
        <f>HYPERLINK(CONCAT("http://leetcode.com/problems/",Github!C$678), Github!B$678)</f>
        <v>Map Sum Pairs</v>
      </c>
      <c r="C725" s="17">
        <f>Github!F$678</f>
        <v>1177</v>
      </c>
      <c r="D725" s="17">
        <f>Github!G$678</f>
        <v>119</v>
      </c>
      <c r="E725" s="17">
        <f>Github!F$678+Github!G$678</f>
        <v>1296</v>
      </c>
      <c r="F725" s="18">
        <f t="shared" si="1"/>
        <v>9.89</v>
      </c>
      <c r="G725" s="17" t="str">
        <f>Github!H$678</f>
        <v>Algorithms</v>
      </c>
      <c r="H725" s="19" t="str">
        <f>SUBSTITUTE(Github!L$678, ";", ", ")</f>
        <v>Hash Table, String, Design, Trie, </v>
      </c>
      <c r="I725" s="17" t="str">
        <f>Github!E$678</f>
        <v>Medium</v>
      </c>
      <c r="J725" s="17" t="str">
        <f>IF(TRIM(Github!D$678)="TRUE","FALSE","TRUE")</f>
        <v>TRUE</v>
      </c>
      <c r="K725" s="17" t="b">
        <f>Github!M$678</f>
        <v>1</v>
      </c>
      <c r="L725" s="17" t="b">
        <f>Github!N$678</f>
        <v>0</v>
      </c>
      <c r="M725" s="17" t="str">
        <f>ROUND(Github!O$678, 2)&amp;"%"</f>
        <v>57.02%</v>
      </c>
      <c r="N725" s="17">
        <f>Github!P$678</f>
        <v>85073</v>
      </c>
      <c r="O725" s="17">
        <f>Github!Q$678</f>
        <v>149210</v>
      </c>
    </row>
    <row r="726" ht="18.0" customHeight="1">
      <c r="A726" s="17">
        <f>Github!J$915</f>
        <v>914</v>
      </c>
      <c r="B726" s="27" t="str">
        <f>HYPERLINK(CONCAT("http://leetcode.com/problems/",Github!C$915), Github!B$915)</f>
        <v>X of a Kind in a Deck of Cards</v>
      </c>
      <c r="C726" s="17">
        <f>Github!F$915</f>
        <v>1176</v>
      </c>
      <c r="D726" s="17">
        <f>Github!G$915</f>
        <v>287</v>
      </c>
      <c r="E726" s="17">
        <f>Github!F$915+Github!G$915</f>
        <v>1463</v>
      </c>
      <c r="F726" s="18">
        <f t="shared" si="1"/>
        <v>4.1</v>
      </c>
      <c r="G726" s="17" t="str">
        <f>Github!H$915</f>
        <v>Algorithms</v>
      </c>
      <c r="H726" s="19" t="str">
        <f>SUBSTITUTE(Github!L$915, ";", ", ")</f>
        <v>Array, Hash Table, Math, Counting, Number Theory, </v>
      </c>
      <c r="I726" s="17" t="str">
        <f>Github!E$915</f>
        <v>Easy</v>
      </c>
      <c r="J726" s="17" t="str">
        <f>IF(TRIM(Github!D$915)="TRUE","FALSE","TRUE")</f>
        <v>TRUE</v>
      </c>
      <c r="K726" s="17" t="b">
        <f>Github!M$915</f>
        <v>1</v>
      </c>
      <c r="L726" s="17" t="b">
        <f>Github!N$915</f>
        <v>0</v>
      </c>
      <c r="M726" s="17" t="str">
        <f>ROUND(Github!O$915, 2)&amp;"%"</f>
        <v>33.15%</v>
      </c>
      <c r="N726" s="17">
        <f>Github!P$915</f>
        <v>82476</v>
      </c>
      <c r="O726" s="17">
        <f>Github!Q$915</f>
        <v>248797</v>
      </c>
    </row>
    <row r="727" ht="18.0" customHeight="1">
      <c r="A727" s="17">
        <f>Github!J$805</f>
        <v>804</v>
      </c>
      <c r="B727" s="27" t="str">
        <f>HYPERLINK(CONCAT("http://leetcode.com/problems/",Github!C$805), Github!B$805)</f>
        <v>Unique Morse Code Words</v>
      </c>
      <c r="C727" s="17">
        <f>Github!F$805</f>
        <v>1172</v>
      </c>
      <c r="D727" s="17">
        <f>Github!G$805</f>
        <v>1003</v>
      </c>
      <c r="E727" s="17">
        <f>Github!F$805+Github!G$805</f>
        <v>2175</v>
      </c>
      <c r="F727" s="18">
        <f t="shared" si="1"/>
        <v>1.17</v>
      </c>
      <c r="G727" s="17" t="str">
        <f>Github!H$805</f>
        <v>Algorithms</v>
      </c>
      <c r="H727" s="19" t="str">
        <f>SUBSTITUTE(Github!L$805, ";", ", ")</f>
        <v>Array, Hash Table, String, </v>
      </c>
      <c r="I727" s="17" t="str">
        <f>Github!E$805</f>
        <v>Easy</v>
      </c>
      <c r="J727" s="17" t="str">
        <f>IF(TRIM(Github!D$805)="TRUE","FALSE","TRUE")</f>
        <v>TRUE</v>
      </c>
      <c r="K727" s="17" t="b">
        <f>Github!M$805</f>
        <v>1</v>
      </c>
      <c r="L727" s="17" t="b">
        <f>Github!N$805</f>
        <v>0</v>
      </c>
      <c r="M727" s="17" t="str">
        <f>ROUND(Github!O$805, 2)&amp;"%"</f>
        <v>79.86%</v>
      </c>
      <c r="N727" s="17">
        <f>Github!P$805</f>
        <v>211197</v>
      </c>
      <c r="O727" s="17">
        <f>Github!Q$805</f>
        <v>264462</v>
      </c>
    </row>
    <row r="728" ht="18.0" customHeight="1">
      <c r="A728" s="17">
        <f>Github!J$360</f>
        <v>359</v>
      </c>
      <c r="B728" s="27" t="str">
        <f>HYPERLINK(CONCAT("http://leetcode.com/problems/",Github!C$360), Github!B$360)</f>
        <v>Logger Rate Limiter</v>
      </c>
      <c r="C728" s="17">
        <f>Github!F$360</f>
        <v>1169</v>
      </c>
      <c r="D728" s="17">
        <f>Github!G$360</f>
        <v>157</v>
      </c>
      <c r="E728" s="17">
        <f>Github!F$360+Github!G$360</f>
        <v>1326</v>
      </c>
      <c r="F728" s="18">
        <f t="shared" si="1"/>
        <v>7.45</v>
      </c>
      <c r="G728" s="17" t="str">
        <f>Github!H$360</f>
        <v>Algorithms</v>
      </c>
      <c r="H728" s="19" t="str">
        <f>SUBSTITUTE(Github!L$360, ";", ", ")</f>
        <v>Hash Table, Design, </v>
      </c>
      <c r="I728" s="17" t="str">
        <f>Github!E$360</f>
        <v>Easy</v>
      </c>
      <c r="J728" s="17" t="str">
        <f>IF(TRIM(Github!D$360)="TRUE","FALSE","TRUE")</f>
        <v>FALSE</v>
      </c>
      <c r="K728" s="17" t="b">
        <f>Github!M$360</f>
        <v>1</v>
      </c>
      <c r="L728" s="17" t="b">
        <f>Github!N$360</f>
        <v>0</v>
      </c>
      <c r="M728" s="17" t="str">
        <f>ROUND(Github!O$360, 2)&amp;"%"</f>
        <v>74.75%</v>
      </c>
      <c r="N728" s="17">
        <f>Github!P$360</f>
        <v>211771</v>
      </c>
      <c r="O728" s="17">
        <f>Github!Q$360</f>
        <v>283303</v>
      </c>
    </row>
    <row r="729" ht="18.0" customHeight="1">
      <c r="A729" s="17">
        <f>Github!J$1336</f>
        <v>1335</v>
      </c>
      <c r="B729" s="27" t="str">
        <f>HYPERLINK(CONCAT("http://leetcode.com/problems/",Github!C$1336), Github!B$1336)</f>
        <v>Minimum Difficulty of a Job Schedule</v>
      </c>
      <c r="C729" s="17">
        <f>Github!F$1336</f>
        <v>1171</v>
      </c>
      <c r="D729" s="17">
        <f>Github!G$1336</f>
        <v>136</v>
      </c>
      <c r="E729" s="17">
        <f>Github!F$1336+Github!G$1336</f>
        <v>1307</v>
      </c>
      <c r="F729" s="18">
        <f t="shared" si="1"/>
        <v>8.61</v>
      </c>
      <c r="G729" s="17" t="str">
        <f>Github!H$1336</f>
        <v>Algorithms</v>
      </c>
      <c r="H729" s="19" t="str">
        <f>SUBSTITUTE(Github!L$1336, ";", ", ")</f>
        <v>Array, Dynamic Programming, </v>
      </c>
      <c r="I729" s="17" t="str">
        <f>Github!E$1336</f>
        <v>Hard</v>
      </c>
      <c r="J729" s="17" t="str">
        <f>IF(TRIM(Github!D$1336)="TRUE","FALSE","TRUE")</f>
        <v>TRUE</v>
      </c>
      <c r="K729" s="17" t="b">
        <f>Github!M$1336</f>
        <v>0</v>
      </c>
      <c r="L729" s="17" t="b">
        <f>Github!N$1336</f>
        <v>0</v>
      </c>
      <c r="M729" s="17" t="str">
        <f>ROUND(Github!O$1336, 2)&amp;"%"</f>
        <v>56.77%</v>
      </c>
      <c r="N729" s="17">
        <f>Github!P$1336</f>
        <v>64870</v>
      </c>
      <c r="O729" s="17">
        <f>Github!Q$1336</f>
        <v>114274</v>
      </c>
    </row>
    <row r="730" ht="18.0" customHeight="1">
      <c r="A730" s="17">
        <f>Github!J$844</f>
        <v>843</v>
      </c>
      <c r="B730" s="27" t="str">
        <f>HYPERLINK(CONCAT("http://leetcode.com/problems/",Github!C$844), Github!B$844)</f>
        <v>Guess the Word</v>
      </c>
      <c r="C730" s="17">
        <f>Github!F$844</f>
        <v>1166</v>
      </c>
      <c r="D730" s="17">
        <f>Github!G$844</f>
        <v>1291</v>
      </c>
      <c r="E730" s="17">
        <f>Github!F$844+Github!G$844</f>
        <v>2457</v>
      </c>
      <c r="F730" s="18">
        <f t="shared" si="1"/>
        <v>0.9</v>
      </c>
      <c r="G730" s="17" t="str">
        <f>Github!H$844</f>
        <v>Algorithms</v>
      </c>
      <c r="H730" s="19" t="str">
        <f>SUBSTITUTE(Github!L$844, ";", ", ")</f>
        <v>Array, Math, String, Interactive, Game Theory, </v>
      </c>
      <c r="I730" s="17" t="str">
        <f>Github!E$844</f>
        <v>Hard</v>
      </c>
      <c r="J730" s="17" t="str">
        <f>IF(TRIM(Github!D$844)="TRUE","FALSE","TRUE")</f>
        <v>TRUE</v>
      </c>
      <c r="K730" s="17" t="b">
        <f>Github!M$844</f>
        <v>0</v>
      </c>
      <c r="L730" s="17" t="b">
        <f>Github!N$844</f>
        <v>0</v>
      </c>
      <c r="M730" s="17" t="str">
        <f>ROUND(Github!O$844, 2)&amp;"%"</f>
        <v>43.2%</v>
      </c>
      <c r="N730" s="17">
        <f>Github!P$844</f>
        <v>110422</v>
      </c>
      <c r="O730" s="17">
        <f>Github!Q$844</f>
        <v>255591</v>
      </c>
    </row>
    <row r="731" ht="18.0" customHeight="1">
      <c r="A731" s="17">
        <f>Github!J$1397</f>
        <v>1396</v>
      </c>
      <c r="B731" s="27" t="str">
        <f>HYPERLINK(CONCAT("http://leetcode.com/problems/",Github!C$1397), Github!B$1397)</f>
        <v>Design Underground System</v>
      </c>
      <c r="C731" s="17">
        <f>Github!F$1397</f>
        <v>1163</v>
      </c>
      <c r="D731" s="17">
        <f>Github!G$1397</f>
        <v>65</v>
      </c>
      <c r="E731" s="17">
        <f>Github!F$1397+Github!G$1397</f>
        <v>1228</v>
      </c>
      <c r="F731" s="18">
        <f t="shared" si="1"/>
        <v>17.89</v>
      </c>
      <c r="G731" s="17" t="str">
        <f>Github!H$1397</f>
        <v>Algorithms</v>
      </c>
      <c r="H731" s="19" t="str">
        <f>SUBSTITUTE(Github!L$1397, ";", ", ")</f>
        <v>Hash Table, String, Design, </v>
      </c>
      <c r="I731" s="17" t="str">
        <f>Github!E$1397</f>
        <v>Medium</v>
      </c>
      <c r="J731" s="17" t="str">
        <f>IF(TRIM(Github!D$1397)="TRUE","FALSE","TRUE")</f>
        <v>TRUE</v>
      </c>
      <c r="K731" s="17" t="b">
        <f>Github!M$1397</f>
        <v>1</v>
      </c>
      <c r="L731" s="17" t="b">
        <f>Github!N$1397</f>
        <v>0</v>
      </c>
      <c r="M731" s="17" t="str">
        <f>ROUND(Github!O$1397, 2)&amp;"%"</f>
        <v>71.84%</v>
      </c>
      <c r="N731" s="17">
        <f>Github!P$1397</f>
        <v>91452</v>
      </c>
      <c r="O731" s="17">
        <f>Github!Q$1397</f>
        <v>127305</v>
      </c>
    </row>
    <row r="732" ht="18.0" customHeight="1">
      <c r="A732" s="17">
        <f>Github!J$1300</f>
        <v>1299</v>
      </c>
      <c r="B732" s="27" t="str">
        <f>HYPERLINK(CONCAT("http://leetcode.com/problems/",Github!C$1300), Github!B$1300)</f>
        <v>Replace Elements with Greatest Element on Right Side</v>
      </c>
      <c r="C732" s="17">
        <f>Github!F$1300</f>
        <v>1163</v>
      </c>
      <c r="D732" s="17">
        <f>Github!G$1300</f>
        <v>162</v>
      </c>
      <c r="E732" s="17">
        <f>Github!F$1300+Github!G$1300</f>
        <v>1325</v>
      </c>
      <c r="F732" s="18">
        <f t="shared" si="1"/>
        <v>7.18</v>
      </c>
      <c r="G732" s="17" t="str">
        <f>Github!H$1300</f>
        <v>Algorithms</v>
      </c>
      <c r="H732" s="19" t="str">
        <f>SUBSTITUTE(Github!L$1300, ";", ", ")</f>
        <v>Array, </v>
      </c>
      <c r="I732" s="17" t="str">
        <f>Github!E$1300</f>
        <v>Easy</v>
      </c>
      <c r="J732" s="17" t="str">
        <f>IF(TRIM(Github!D$1300)="TRUE","FALSE","TRUE")</f>
        <v>TRUE</v>
      </c>
      <c r="K732" s="17" t="b">
        <f>Github!M$1300</f>
        <v>0</v>
      </c>
      <c r="L732" s="17" t="b">
        <f>Github!N$1300</f>
        <v>0</v>
      </c>
      <c r="M732" s="17" t="str">
        <f>ROUND(Github!O$1300, 2)&amp;"%"</f>
        <v>74.42%</v>
      </c>
      <c r="N732" s="17">
        <f>Github!P$1300</f>
        <v>194397</v>
      </c>
      <c r="O732" s="17">
        <f>Github!Q$1300</f>
        <v>261221</v>
      </c>
    </row>
    <row r="733" ht="18.0" customHeight="1">
      <c r="A733" s="17">
        <f>Github!J$1648</f>
        <v>1647</v>
      </c>
      <c r="B733" s="27" t="str">
        <f>HYPERLINK(CONCAT("http://leetcode.com/problems/",Github!C$1648), Github!B$1648)</f>
        <v>Minimum Deletions to Make Character Frequencies Unique</v>
      </c>
      <c r="C733" s="17">
        <f>Github!F$1648</f>
        <v>1162</v>
      </c>
      <c r="D733" s="17">
        <f>Github!G$1648</f>
        <v>27</v>
      </c>
      <c r="E733" s="17">
        <f>Github!F$1648+Github!G$1648</f>
        <v>1189</v>
      </c>
      <c r="F733" s="18">
        <f t="shared" si="1"/>
        <v>43.04</v>
      </c>
      <c r="G733" s="17" t="str">
        <f>Github!H$1648</f>
        <v>Algorithms</v>
      </c>
      <c r="H733" s="19" t="str">
        <f>SUBSTITUTE(Github!L$1648, ";", ", ")</f>
        <v>String, Greedy, Sorting, </v>
      </c>
      <c r="I733" s="17" t="str">
        <f>Github!E$1648</f>
        <v>Medium</v>
      </c>
      <c r="J733" s="17" t="str">
        <f>IF(TRIM(Github!D$1648)="TRUE","FALSE","TRUE")</f>
        <v>TRUE</v>
      </c>
      <c r="K733" s="17" t="b">
        <f>Github!M$1648</f>
        <v>0</v>
      </c>
      <c r="L733" s="17" t="b">
        <f>Github!N$1648</f>
        <v>0</v>
      </c>
      <c r="M733" s="17" t="str">
        <f>ROUND(Github!O$1648, 2)&amp;"%"</f>
        <v>56.35%</v>
      </c>
      <c r="N733" s="17">
        <f>Github!P$1648</f>
        <v>75315</v>
      </c>
      <c r="O733" s="17">
        <f>Github!Q$1648</f>
        <v>133649</v>
      </c>
    </row>
    <row r="734" ht="18.0" customHeight="1">
      <c r="A734" s="17">
        <f>Github!J$275</f>
        <v>274</v>
      </c>
      <c r="B734" s="27" t="str">
        <f>HYPERLINK(CONCAT("http://leetcode.com/problems/",Github!C$275), Github!B$275)</f>
        <v>H-Index</v>
      </c>
      <c r="C734" s="17">
        <f>Github!F$275</f>
        <v>1159</v>
      </c>
      <c r="D734" s="17">
        <f>Github!G$275</f>
        <v>1764</v>
      </c>
      <c r="E734" s="17">
        <f>Github!F$275+Github!G$275</f>
        <v>2923</v>
      </c>
      <c r="F734" s="18">
        <f t="shared" si="1"/>
        <v>0.66</v>
      </c>
      <c r="G734" s="17" t="str">
        <f>Github!H$275</f>
        <v>Algorithms</v>
      </c>
      <c r="H734" s="19" t="str">
        <f>SUBSTITUTE(Github!L$275, ";", ", ")</f>
        <v>Array, Sorting, Counting Sort, </v>
      </c>
      <c r="I734" s="17" t="str">
        <f>Github!E$275</f>
        <v>Medium</v>
      </c>
      <c r="J734" s="17" t="str">
        <f>IF(TRIM(Github!D$275)="TRUE","FALSE","TRUE")</f>
        <v>TRUE</v>
      </c>
      <c r="K734" s="17" t="b">
        <f>Github!M$275</f>
        <v>1</v>
      </c>
      <c r="L734" s="17" t="b">
        <f>Github!N$275</f>
        <v>0</v>
      </c>
      <c r="M734" s="17" t="str">
        <f>ROUND(Github!O$275, 2)&amp;"%"</f>
        <v>37.41%</v>
      </c>
      <c r="N734" s="17">
        <f>Github!P$275</f>
        <v>227043</v>
      </c>
      <c r="O734" s="17">
        <f>Github!Q$275</f>
        <v>606882</v>
      </c>
    </row>
    <row r="735" ht="18.0" customHeight="1">
      <c r="A735" s="17">
        <f>Github!J$1296</f>
        <v>1295</v>
      </c>
      <c r="B735" s="27" t="str">
        <f>HYPERLINK(CONCAT("http://leetcode.com/problems/",Github!C$1296), Github!B$1296)</f>
        <v>Find Numbers with Even Number of Digits</v>
      </c>
      <c r="C735" s="17">
        <f>Github!F$1296</f>
        <v>1157</v>
      </c>
      <c r="D735" s="17">
        <f>Github!G$1296</f>
        <v>95</v>
      </c>
      <c r="E735" s="17">
        <f>Github!F$1296+Github!G$1296</f>
        <v>1252</v>
      </c>
      <c r="F735" s="18">
        <f t="shared" si="1"/>
        <v>12.18</v>
      </c>
      <c r="G735" s="17" t="str">
        <f>Github!H$1296</f>
        <v>Algorithms</v>
      </c>
      <c r="H735" s="19" t="str">
        <f>SUBSTITUTE(Github!L$1296, ";", ", ")</f>
        <v>Array, </v>
      </c>
      <c r="I735" s="17" t="str">
        <f>Github!E$1296</f>
        <v>Easy</v>
      </c>
      <c r="J735" s="17" t="str">
        <f>IF(TRIM(Github!D$1296)="TRUE","FALSE","TRUE")</f>
        <v>TRUE</v>
      </c>
      <c r="K735" s="17" t="b">
        <f>Github!M$1296</f>
        <v>0</v>
      </c>
      <c r="L735" s="17" t="b">
        <f>Github!N$1296</f>
        <v>0</v>
      </c>
      <c r="M735" s="17" t="str">
        <f>ROUND(Github!O$1296, 2)&amp;"%"</f>
        <v>77.22%</v>
      </c>
      <c r="N735" s="17">
        <f>Github!P$1296</f>
        <v>407106</v>
      </c>
      <c r="O735" s="17">
        <f>Github!Q$1296</f>
        <v>527200</v>
      </c>
    </row>
    <row r="736" ht="18.0" customHeight="1">
      <c r="A736" s="17">
        <f>Github!J$672</f>
        <v>671</v>
      </c>
      <c r="B736" s="27" t="str">
        <f>HYPERLINK(CONCAT("http://leetcode.com/problems/",Github!C$672), Github!B$672)</f>
        <v>Second Minimum Node In a Binary Tree</v>
      </c>
      <c r="C736" s="17">
        <f>Github!F$672</f>
        <v>1153</v>
      </c>
      <c r="D736" s="17">
        <f>Github!G$672</f>
        <v>1425</v>
      </c>
      <c r="E736" s="17">
        <f>Github!F$672+Github!G$672</f>
        <v>2578</v>
      </c>
      <c r="F736" s="18">
        <f t="shared" si="1"/>
        <v>0.81</v>
      </c>
      <c r="G736" s="17" t="str">
        <f>Github!H$672</f>
        <v>Algorithms</v>
      </c>
      <c r="H736" s="19" t="str">
        <f>SUBSTITUTE(Github!L$672, ";", ", ")</f>
        <v>Tree, Depth-First Search, Binary Tree, </v>
      </c>
      <c r="I736" s="17" t="str">
        <f>Github!E$672</f>
        <v>Easy</v>
      </c>
      <c r="J736" s="17" t="str">
        <f>IF(TRIM(Github!D$672)="TRUE","FALSE","TRUE")</f>
        <v>TRUE</v>
      </c>
      <c r="K736" s="17" t="b">
        <f>Github!M$672</f>
        <v>1</v>
      </c>
      <c r="L736" s="17" t="b">
        <f>Github!N$672</f>
        <v>0</v>
      </c>
      <c r="M736" s="17" t="str">
        <f>ROUND(Github!O$672, 2)&amp;"%"</f>
        <v>43.5%</v>
      </c>
      <c r="N736" s="17">
        <f>Github!P$672</f>
        <v>133196</v>
      </c>
      <c r="O736" s="17">
        <f>Github!Q$672</f>
        <v>306188</v>
      </c>
    </row>
    <row r="737" ht="18.0" customHeight="1">
      <c r="A737" s="17">
        <f>Github!J$680</f>
        <v>679</v>
      </c>
      <c r="B737" s="27" t="str">
        <f>HYPERLINK(CONCAT("http://leetcode.com/problems/",Github!C$680), Github!B$680)</f>
        <v>24 Game</v>
      </c>
      <c r="C737" s="17">
        <f>Github!F$680</f>
        <v>1149</v>
      </c>
      <c r="D737" s="17">
        <f>Github!G$680</f>
        <v>214</v>
      </c>
      <c r="E737" s="17">
        <f>Github!F$680+Github!G$680</f>
        <v>1363</v>
      </c>
      <c r="F737" s="18">
        <f t="shared" si="1"/>
        <v>5.37</v>
      </c>
      <c r="G737" s="17" t="str">
        <f>Github!H$680</f>
        <v>Algorithms</v>
      </c>
      <c r="H737" s="19" t="str">
        <f>SUBSTITUTE(Github!L$680, ";", ", ")</f>
        <v>Array, Math, Backtracking, </v>
      </c>
      <c r="I737" s="17" t="str">
        <f>Github!E$680</f>
        <v>Hard</v>
      </c>
      <c r="J737" s="17" t="str">
        <f>IF(TRIM(Github!D$680)="TRUE","FALSE","TRUE")</f>
        <v>TRUE</v>
      </c>
      <c r="K737" s="17" t="b">
        <f>Github!M$680</f>
        <v>0</v>
      </c>
      <c r="L737" s="17" t="b">
        <f>Github!N$680</f>
        <v>0</v>
      </c>
      <c r="M737" s="17" t="str">
        <f>ROUND(Github!O$680, 2)&amp;"%"</f>
        <v>48.61%</v>
      </c>
      <c r="N737" s="17">
        <f>Github!P$680</f>
        <v>61469</v>
      </c>
      <c r="O737" s="17">
        <f>Github!Q$680</f>
        <v>126453</v>
      </c>
    </row>
    <row r="738" ht="18.0" customHeight="1">
      <c r="A738" s="17">
        <f>Github!J$776</f>
        <v>775</v>
      </c>
      <c r="B738" s="27" t="str">
        <f>HYPERLINK(CONCAT("http://leetcode.com/problems/",Github!C$776), Github!B$776)</f>
        <v>Global and Local Inversions</v>
      </c>
      <c r="C738" s="17">
        <f>Github!F$776</f>
        <v>1149</v>
      </c>
      <c r="D738" s="17">
        <f>Github!G$776</f>
        <v>298</v>
      </c>
      <c r="E738" s="17">
        <f>Github!F$776+Github!G$776</f>
        <v>1447</v>
      </c>
      <c r="F738" s="18">
        <f t="shared" si="1"/>
        <v>3.86</v>
      </c>
      <c r="G738" s="17" t="str">
        <f>Github!H$776</f>
        <v>Algorithms</v>
      </c>
      <c r="H738" s="19" t="str">
        <f>SUBSTITUTE(Github!L$776, ";", ", ")</f>
        <v>Array, Math, </v>
      </c>
      <c r="I738" s="17" t="str">
        <f>Github!E$776</f>
        <v>Medium</v>
      </c>
      <c r="J738" s="17" t="str">
        <f>IF(TRIM(Github!D$776)="TRUE","FALSE","TRUE")</f>
        <v>TRUE</v>
      </c>
      <c r="K738" s="17" t="b">
        <f>Github!M$776</f>
        <v>1</v>
      </c>
      <c r="L738" s="17" t="b">
        <f>Github!N$776</f>
        <v>0</v>
      </c>
      <c r="M738" s="17" t="str">
        <f>ROUND(Github!O$776, 2)&amp;"%"</f>
        <v>45.36%</v>
      </c>
      <c r="N738" s="17">
        <f>Github!P$776</f>
        <v>55700</v>
      </c>
      <c r="O738" s="17">
        <f>Github!Q$776</f>
        <v>122784</v>
      </c>
    </row>
    <row r="739" ht="18.0" customHeight="1">
      <c r="A739" s="17">
        <f>Github!J$861</f>
        <v>860</v>
      </c>
      <c r="B739" s="27" t="str">
        <f>HYPERLINK(CONCAT("http://leetcode.com/problems/",Github!C$861), Github!B$861)</f>
        <v>Lemonade Change</v>
      </c>
      <c r="C739" s="17">
        <f>Github!F$861</f>
        <v>1147</v>
      </c>
      <c r="D739" s="17">
        <f>Github!G$861</f>
        <v>119</v>
      </c>
      <c r="E739" s="17">
        <f>Github!F$861+Github!G$861</f>
        <v>1266</v>
      </c>
      <c r="F739" s="18">
        <f t="shared" si="1"/>
        <v>9.64</v>
      </c>
      <c r="G739" s="17" t="str">
        <f>Github!H$861</f>
        <v>Algorithms</v>
      </c>
      <c r="H739" s="19" t="str">
        <f>SUBSTITUTE(Github!L$861, ";", ", ")</f>
        <v>Array, Greedy, </v>
      </c>
      <c r="I739" s="17" t="str">
        <f>Github!E$861</f>
        <v>Easy</v>
      </c>
      <c r="J739" s="17" t="str">
        <f>IF(TRIM(Github!D$861)="TRUE","FALSE","TRUE")</f>
        <v>TRUE</v>
      </c>
      <c r="K739" s="17" t="b">
        <f>Github!M$861</f>
        <v>1</v>
      </c>
      <c r="L739" s="17" t="b">
        <f>Github!N$861</f>
        <v>0</v>
      </c>
      <c r="M739" s="17" t="str">
        <f>ROUND(Github!O$861, 2)&amp;"%"</f>
        <v>52.32%</v>
      </c>
      <c r="N739" s="17">
        <f>Github!P$861</f>
        <v>91687</v>
      </c>
      <c r="O739" s="17">
        <f>Github!Q$861</f>
        <v>175232</v>
      </c>
    </row>
    <row r="740" ht="18.0" customHeight="1">
      <c r="A740" s="17">
        <f>Github!J$387</f>
        <v>386</v>
      </c>
      <c r="B740" s="27" t="str">
        <f>HYPERLINK(CONCAT("http://leetcode.com/problems/",Github!C$387), Github!B$387)</f>
        <v>Lexicographical Numbers</v>
      </c>
      <c r="C740" s="17">
        <f>Github!F$387</f>
        <v>1148</v>
      </c>
      <c r="D740" s="17">
        <f>Github!G$387</f>
        <v>112</v>
      </c>
      <c r="E740" s="17">
        <f>Github!F$387+Github!G$387</f>
        <v>1260</v>
      </c>
      <c r="F740" s="18">
        <f t="shared" si="1"/>
        <v>10.25</v>
      </c>
      <c r="G740" s="17" t="str">
        <f>Github!H$387</f>
        <v>Algorithms</v>
      </c>
      <c r="H740" s="19" t="str">
        <f>SUBSTITUTE(Github!L$387, ";", ", ")</f>
        <v>Depth-First Search, Trie, </v>
      </c>
      <c r="I740" s="17" t="str">
        <f>Github!E$387</f>
        <v>Medium</v>
      </c>
      <c r="J740" s="17" t="str">
        <f>IF(TRIM(Github!D$387)="TRUE","FALSE","TRUE")</f>
        <v>TRUE</v>
      </c>
      <c r="K740" s="17" t="b">
        <f>Github!M$387</f>
        <v>0</v>
      </c>
      <c r="L740" s="17" t="b">
        <f>Github!N$387</f>
        <v>0</v>
      </c>
      <c r="M740" s="17" t="str">
        <f>ROUND(Github!O$387, 2)&amp;"%"</f>
        <v>58.4%</v>
      </c>
      <c r="N740" s="17">
        <f>Github!P$387</f>
        <v>80674</v>
      </c>
      <c r="O740" s="17">
        <f>Github!Q$387</f>
        <v>138134</v>
      </c>
    </row>
    <row r="741" ht="18.0" customHeight="1">
      <c r="A741" s="17">
        <f>Github!J$1025</f>
        <v>1024</v>
      </c>
      <c r="B741" s="27" t="str">
        <f>HYPERLINK(CONCAT("http://leetcode.com/problems/",Github!C$1025), Github!B$1025)</f>
        <v>Video Stitching</v>
      </c>
      <c r="C741" s="17">
        <f>Github!F$1025</f>
        <v>1145</v>
      </c>
      <c r="D741" s="17">
        <f>Github!G$1025</f>
        <v>47</v>
      </c>
      <c r="E741" s="17">
        <f>Github!F$1025+Github!G$1025</f>
        <v>1192</v>
      </c>
      <c r="F741" s="18">
        <f t="shared" si="1"/>
        <v>24.36</v>
      </c>
      <c r="G741" s="17" t="str">
        <f>Github!H$1025</f>
        <v>Algorithms</v>
      </c>
      <c r="H741" s="19" t="str">
        <f>SUBSTITUTE(Github!L$1025, ";", ", ")</f>
        <v>Array, Dynamic Programming, Greedy, </v>
      </c>
      <c r="I741" s="17" t="str">
        <f>Github!E$1025</f>
        <v>Medium</v>
      </c>
      <c r="J741" s="17" t="str">
        <f>IF(TRIM(Github!D$1025)="TRUE","FALSE","TRUE")</f>
        <v>TRUE</v>
      </c>
      <c r="K741" s="17" t="b">
        <f>Github!M$1025</f>
        <v>0</v>
      </c>
      <c r="L741" s="17" t="b">
        <f>Github!N$1025</f>
        <v>0</v>
      </c>
      <c r="M741" s="17" t="str">
        <f>ROUND(Github!O$1025, 2)&amp;"%"</f>
        <v>49.99%</v>
      </c>
      <c r="N741" s="17">
        <f>Github!P$1025</f>
        <v>45227</v>
      </c>
      <c r="O741" s="17">
        <f>Github!Q$1025</f>
        <v>90463</v>
      </c>
    </row>
    <row r="742" ht="18.0" customHeight="1">
      <c r="A742" s="17">
        <f>Github!J$829</f>
        <v>828</v>
      </c>
      <c r="B742" s="27" t="str">
        <f>HYPERLINK(CONCAT("http://leetcode.com/problems/",Github!C$829), Github!B$829)</f>
        <v>Count Unique Characters of All Substrings of a Given String</v>
      </c>
      <c r="C742" s="17">
        <f>Github!F$829</f>
        <v>1147</v>
      </c>
      <c r="D742" s="17">
        <f>Github!G$829</f>
        <v>147</v>
      </c>
      <c r="E742" s="17">
        <f>Github!F$829+Github!G$829</f>
        <v>1294</v>
      </c>
      <c r="F742" s="18">
        <f t="shared" si="1"/>
        <v>7.8</v>
      </c>
      <c r="G742" s="17" t="str">
        <f>Github!H$829</f>
        <v>Algorithms</v>
      </c>
      <c r="H742" s="19" t="str">
        <f>SUBSTITUTE(Github!L$829, ";", ", ")</f>
        <v>String, Dynamic Programming, </v>
      </c>
      <c r="I742" s="17" t="str">
        <f>Github!E$829</f>
        <v>Hard</v>
      </c>
      <c r="J742" s="17" t="str">
        <f>IF(TRIM(Github!D$829)="TRUE","FALSE","TRUE")</f>
        <v>TRUE</v>
      </c>
      <c r="K742" s="17" t="b">
        <f>Github!M$829</f>
        <v>0</v>
      </c>
      <c r="L742" s="17" t="b">
        <f>Github!N$829</f>
        <v>0</v>
      </c>
      <c r="M742" s="17" t="str">
        <f>ROUND(Github!O$829, 2)&amp;"%"</f>
        <v>49.34%</v>
      </c>
      <c r="N742" s="17">
        <f>Github!P$829</f>
        <v>33979</v>
      </c>
      <c r="O742" s="17">
        <f>Github!Q$829</f>
        <v>68868</v>
      </c>
    </row>
    <row r="743" ht="18.0" customHeight="1">
      <c r="A743" s="17">
        <f>Github!J$1267</f>
        <v>1266</v>
      </c>
      <c r="B743" s="27" t="str">
        <f>HYPERLINK(CONCAT("http://leetcode.com/problems/",Github!C$1267), Github!B$1267)</f>
        <v>Minimum Time Visiting All Points</v>
      </c>
      <c r="C743" s="17">
        <f>Github!F$1267</f>
        <v>1143</v>
      </c>
      <c r="D743" s="17">
        <f>Github!G$1267</f>
        <v>155</v>
      </c>
      <c r="E743" s="17">
        <f>Github!F$1267+Github!G$1267</f>
        <v>1298</v>
      </c>
      <c r="F743" s="18">
        <f t="shared" si="1"/>
        <v>7.37</v>
      </c>
      <c r="G743" s="17" t="str">
        <f>Github!H$1267</f>
        <v>Algorithms</v>
      </c>
      <c r="H743" s="19" t="str">
        <f>SUBSTITUTE(Github!L$1267, ";", ", ")</f>
        <v>Array, Math, Geometry, </v>
      </c>
      <c r="I743" s="17" t="str">
        <f>Github!E$1267</f>
        <v>Easy</v>
      </c>
      <c r="J743" s="17" t="str">
        <f>IF(TRIM(Github!D$1267)="TRUE","FALSE","TRUE")</f>
        <v>TRUE</v>
      </c>
      <c r="K743" s="17" t="b">
        <f>Github!M$1267</f>
        <v>0</v>
      </c>
      <c r="L743" s="17" t="b">
        <f>Github!N$1267</f>
        <v>0</v>
      </c>
      <c r="M743" s="17" t="str">
        <f>ROUND(Github!O$1267, 2)&amp;"%"</f>
        <v>79.11%</v>
      </c>
      <c r="N743" s="17">
        <f>Github!P$1267</f>
        <v>111617</v>
      </c>
      <c r="O743" s="17">
        <f>Github!Q$1267</f>
        <v>141084</v>
      </c>
    </row>
    <row r="744" ht="18.0" customHeight="1">
      <c r="A744" s="17">
        <f>Github!J$334</f>
        <v>333</v>
      </c>
      <c r="B744" s="27" t="str">
        <f>HYPERLINK(CONCAT("http://leetcode.com/problems/",Github!C$334), Github!B$334)</f>
        <v>Largest BST Subtree</v>
      </c>
      <c r="C744" s="17">
        <f>Github!F$334</f>
        <v>1140</v>
      </c>
      <c r="D744" s="17">
        <f>Github!G$334</f>
        <v>94</v>
      </c>
      <c r="E744" s="17">
        <f>Github!F$334+Github!G$334</f>
        <v>1234</v>
      </c>
      <c r="F744" s="18">
        <f t="shared" si="1"/>
        <v>12.13</v>
      </c>
      <c r="G744" s="17" t="str">
        <f>Github!H$334</f>
        <v>Algorithms</v>
      </c>
      <c r="H744" s="19" t="str">
        <f>SUBSTITUTE(Github!L$334, ";", ", ")</f>
        <v>Dynamic Programming, Tree, Depth-First Search, Binary Search Tree, Binary Tree, </v>
      </c>
      <c r="I744" s="17" t="str">
        <f>Github!E$334</f>
        <v>Medium</v>
      </c>
      <c r="J744" s="17" t="str">
        <f>IF(TRIM(Github!D$334)="TRUE","FALSE","TRUE")</f>
        <v>FALSE</v>
      </c>
      <c r="K744" s="17" t="b">
        <f>Github!M$334</f>
        <v>1</v>
      </c>
      <c r="L744" s="17" t="b">
        <f>Github!N$334</f>
        <v>0</v>
      </c>
      <c r="M744" s="17" t="str">
        <f>ROUND(Github!O$334, 2)&amp;"%"</f>
        <v>40.93%</v>
      </c>
      <c r="N744" s="17">
        <f>Github!P$334</f>
        <v>79314</v>
      </c>
      <c r="O744" s="17">
        <f>Github!Q$334</f>
        <v>193760</v>
      </c>
    </row>
    <row r="745" ht="18.0" customHeight="1">
      <c r="A745" s="17">
        <f>Github!J$916</f>
        <v>915</v>
      </c>
      <c r="B745" s="27" t="str">
        <f>HYPERLINK(CONCAT("http://leetcode.com/problems/",Github!C$916), Github!B$916)</f>
        <v>Partition Array into Disjoint Intervals</v>
      </c>
      <c r="C745" s="17">
        <f>Github!F$916</f>
        <v>1140</v>
      </c>
      <c r="D745" s="17">
        <f>Github!G$916</f>
        <v>58</v>
      </c>
      <c r="E745" s="17">
        <f>Github!F$916+Github!G$916</f>
        <v>1198</v>
      </c>
      <c r="F745" s="18">
        <f t="shared" si="1"/>
        <v>19.66</v>
      </c>
      <c r="G745" s="17" t="str">
        <f>Github!H$916</f>
        <v>Algorithms</v>
      </c>
      <c r="H745" s="19" t="str">
        <f>SUBSTITUTE(Github!L$916, ";", ", ")</f>
        <v>Array, </v>
      </c>
      <c r="I745" s="17" t="str">
        <f>Github!E$916</f>
        <v>Medium</v>
      </c>
      <c r="J745" s="17" t="str">
        <f>IF(TRIM(Github!D$916)="TRUE","FALSE","TRUE")</f>
        <v>TRUE</v>
      </c>
      <c r="K745" s="17" t="b">
        <f>Github!M$916</f>
        <v>1</v>
      </c>
      <c r="L745" s="17" t="b">
        <f>Github!N$916</f>
        <v>0</v>
      </c>
      <c r="M745" s="17" t="str">
        <f>ROUND(Github!O$916, 2)&amp;"%"</f>
        <v>48.38%</v>
      </c>
      <c r="N745" s="17">
        <f>Github!P$916</f>
        <v>64740</v>
      </c>
      <c r="O745" s="17">
        <f>Github!Q$916</f>
        <v>133808</v>
      </c>
    </row>
    <row r="746" ht="18.0" customHeight="1">
      <c r="A746" s="17">
        <f>Github!J$1348</f>
        <v>1347</v>
      </c>
      <c r="B746" s="27" t="str">
        <f>HYPERLINK(CONCAT("http://leetcode.com/problems/",Github!C$1348), Github!B$1348)</f>
        <v>Minimum Number of Steps to Make Two Strings Anagram</v>
      </c>
      <c r="C746" s="17">
        <f>Github!F$1348</f>
        <v>1141</v>
      </c>
      <c r="D746" s="17">
        <f>Github!G$1348</f>
        <v>56</v>
      </c>
      <c r="E746" s="17">
        <f>Github!F$1348+Github!G$1348</f>
        <v>1197</v>
      </c>
      <c r="F746" s="18">
        <f t="shared" si="1"/>
        <v>20.38</v>
      </c>
      <c r="G746" s="17" t="str">
        <f>Github!H$1348</f>
        <v>Algorithms</v>
      </c>
      <c r="H746" s="19" t="str">
        <f>SUBSTITUTE(Github!L$1348, ";", ", ")</f>
        <v>Hash Table, String, Counting, </v>
      </c>
      <c r="I746" s="17" t="str">
        <f>Github!E$1348</f>
        <v>Medium</v>
      </c>
      <c r="J746" s="17" t="str">
        <f>IF(TRIM(Github!D$1348)="TRUE","FALSE","TRUE")</f>
        <v>TRUE</v>
      </c>
      <c r="K746" s="17" t="b">
        <f>Github!M$1348</f>
        <v>0</v>
      </c>
      <c r="L746" s="17" t="b">
        <f>Github!N$1348</f>
        <v>0</v>
      </c>
      <c r="M746" s="17" t="str">
        <f>ROUND(Github!O$1348, 2)&amp;"%"</f>
        <v>76.12%</v>
      </c>
      <c r="N746" s="17">
        <f>Github!P$1348</f>
        <v>83997</v>
      </c>
      <c r="O746" s="17">
        <f>Github!Q$1348</f>
        <v>110348</v>
      </c>
    </row>
    <row r="747" ht="18.0" customHeight="1">
      <c r="A747" s="17">
        <f>Github!J$1478</f>
        <v>1477</v>
      </c>
      <c r="B747" s="27" t="str">
        <f>HYPERLINK(CONCAT("http://leetcode.com/problems/",Github!C$1478), Github!B$1478)</f>
        <v>Find Two Non-overlapping Sub-arrays Each With Target Sum</v>
      </c>
      <c r="C747" s="17">
        <f>Github!F$1478</f>
        <v>1137</v>
      </c>
      <c r="D747" s="17">
        <f>Github!G$1478</f>
        <v>57</v>
      </c>
      <c r="E747" s="17">
        <f>Github!F$1478+Github!G$1478</f>
        <v>1194</v>
      </c>
      <c r="F747" s="18">
        <f t="shared" si="1"/>
        <v>19.95</v>
      </c>
      <c r="G747" s="17" t="str">
        <f>Github!H$1478</f>
        <v>Algorithms</v>
      </c>
      <c r="H747" s="19" t="str">
        <f>SUBSTITUTE(Github!L$1478, ";", ", ")</f>
        <v>Array, Hash Table, Binary Search, Dynamic Programming, Sliding Window, </v>
      </c>
      <c r="I747" s="17" t="str">
        <f>Github!E$1478</f>
        <v>Medium</v>
      </c>
      <c r="J747" s="17" t="str">
        <f>IF(TRIM(Github!D$1478)="TRUE","FALSE","TRUE")</f>
        <v>TRUE</v>
      </c>
      <c r="K747" s="17" t="b">
        <f>Github!M$1478</f>
        <v>0</v>
      </c>
      <c r="L747" s="17" t="b">
        <f>Github!N$1478</f>
        <v>0</v>
      </c>
      <c r="M747" s="17" t="str">
        <f>ROUND(Github!O$1478, 2)&amp;"%"</f>
        <v>36.58%</v>
      </c>
      <c r="N747" s="17">
        <f>Github!P$1478</f>
        <v>34971</v>
      </c>
      <c r="O747" s="17">
        <f>Github!Q$1478</f>
        <v>95595</v>
      </c>
    </row>
    <row r="748" ht="18.0" customHeight="1">
      <c r="A748" s="17">
        <f>Github!J$1263</f>
        <v>1262</v>
      </c>
      <c r="B748" s="27" t="str">
        <f>HYPERLINK(CONCAT("http://leetcode.com/problems/",Github!C$1263), Github!B$1263)</f>
        <v>Greatest Sum Divisible by Three</v>
      </c>
      <c r="C748" s="17">
        <f>Github!F$1263</f>
        <v>1135</v>
      </c>
      <c r="D748" s="17">
        <f>Github!G$1263</f>
        <v>33</v>
      </c>
      <c r="E748" s="17">
        <f>Github!F$1263+Github!G$1263</f>
        <v>1168</v>
      </c>
      <c r="F748" s="18">
        <f t="shared" si="1"/>
        <v>34.39</v>
      </c>
      <c r="G748" s="17" t="str">
        <f>Github!H$1263</f>
        <v>Algorithms</v>
      </c>
      <c r="H748" s="19" t="str">
        <f>SUBSTITUTE(Github!L$1263, ";", ", ")</f>
        <v>Array, Dynamic Programming, Greedy, </v>
      </c>
      <c r="I748" s="17" t="str">
        <f>Github!E$1263</f>
        <v>Medium</v>
      </c>
      <c r="J748" s="17" t="str">
        <f>IF(TRIM(Github!D$1263)="TRUE","FALSE","TRUE")</f>
        <v>TRUE</v>
      </c>
      <c r="K748" s="17" t="b">
        <f>Github!M$1263</f>
        <v>0</v>
      </c>
      <c r="L748" s="17" t="b">
        <f>Github!N$1263</f>
        <v>0</v>
      </c>
      <c r="M748" s="17" t="str">
        <f>ROUND(Github!O$1263, 2)&amp;"%"</f>
        <v>50.81%</v>
      </c>
      <c r="N748" s="17">
        <f>Github!P$1263</f>
        <v>36583</v>
      </c>
      <c r="O748" s="17">
        <f>Github!Q$1263</f>
        <v>72003</v>
      </c>
    </row>
    <row r="749" ht="18.0" customHeight="1">
      <c r="A749" s="17">
        <f>Github!J$536</f>
        <v>535</v>
      </c>
      <c r="B749" s="27" t="str">
        <f>HYPERLINK(CONCAT("http://leetcode.com/problems/",Github!C$536), Github!B$536)</f>
        <v>Encode and Decode TinyURL</v>
      </c>
      <c r="C749" s="17">
        <f>Github!F$536</f>
        <v>1132</v>
      </c>
      <c r="D749" s="17">
        <f>Github!G$536</f>
        <v>2171</v>
      </c>
      <c r="E749" s="17">
        <f>Github!F$536+Github!G$536</f>
        <v>3303</v>
      </c>
      <c r="F749" s="18">
        <f t="shared" si="1"/>
        <v>0.52</v>
      </c>
      <c r="G749" s="17" t="str">
        <f>Github!H$536</f>
        <v>Algorithms</v>
      </c>
      <c r="H749" s="19" t="str">
        <f>SUBSTITUTE(Github!L$536, ";", ", ")</f>
        <v>Hash Table, String, Design, Hash Function, </v>
      </c>
      <c r="I749" s="17" t="str">
        <f>Github!E$536</f>
        <v>Medium</v>
      </c>
      <c r="J749" s="17" t="str">
        <f>IF(TRIM(Github!D$536)="TRUE","FALSE","TRUE")</f>
        <v>TRUE</v>
      </c>
      <c r="K749" s="17" t="b">
        <f>Github!M$536</f>
        <v>1</v>
      </c>
      <c r="L749" s="17" t="b">
        <f>Github!N$536</f>
        <v>0</v>
      </c>
      <c r="M749" s="17" t="str">
        <f>ROUND(Github!O$536, 2)&amp;"%"</f>
        <v>83.36%</v>
      </c>
      <c r="N749" s="17">
        <f>Github!P$536</f>
        <v>163487</v>
      </c>
      <c r="O749" s="17">
        <f>Github!Q$536</f>
        <v>196119</v>
      </c>
    </row>
    <row r="750" ht="18.0" customHeight="1">
      <c r="A750" s="17">
        <f>Github!J$1473</f>
        <v>1472</v>
      </c>
      <c r="B750" s="27" t="str">
        <f>HYPERLINK(CONCAT("http://leetcode.com/problems/",Github!C$1473), Github!B$1473)</f>
        <v>Design Browser History</v>
      </c>
      <c r="C750" s="17">
        <f>Github!F$1473</f>
        <v>1132</v>
      </c>
      <c r="D750" s="17">
        <f>Github!G$1473</f>
        <v>99</v>
      </c>
      <c r="E750" s="17">
        <f>Github!F$1473+Github!G$1473</f>
        <v>1231</v>
      </c>
      <c r="F750" s="18">
        <f t="shared" si="1"/>
        <v>11.43</v>
      </c>
      <c r="G750" s="17" t="str">
        <f>Github!H$1473</f>
        <v>Algorithms</v>
      </c>
      <c r="H750" s="19" t="str">
        <f>SUBSTITUTE(Github!L$1473, ";", ", ")</f>
        <v>Array, Linked List, Stack, Design, Doubly-Linked List, Data Stream, </v>
      </c>
      <c r="I750" s="17" t="str">
        <f>Github!E$1473</f>
        <v>Medium</v>
      </c>
      <c r="J750" s="17" t="str">
        <f>IF(TRIM(Github!D$1473)="TRUE","FALSE","TRUE")</f>
        <v>TRUE</v>
      </c>
      <c r="K750" s="17" t="b">
        <f>Github!M$1473</f>
        <v>0</v>
      </c>
      <c r="L750" s="17" t="b">
        <f>Github!N$1473</f>
        <v>0</v>
      </c>
      <c r="M750" s="17" t="str">
        <f>ROUND(Github!O$1473, 2)&amp;"%"</f>
        <v>74.64%</v>
      </c>
      <c r="N750" s="17">
        <f>Github!P$1473</f>
        <v>69028</v>
      </c>
      <c r="O750" s="17">
        <f>Github!Q$1473</f>
        <v>92477</v>
      </c>
    </row>
    <row r="751" ht="18.0" customHeight="1">
      <c r="A751" s="17">
        <f>Github!J$600</f>
        <v>599</v>
      </c>
      <c r="B751" s="27" t="str">
        <f>HYPERLINK(CONCAT("http://leetcode.com/problems/",Github!C$600), Github!B$600)</f>
        <v>Minimum Index Sum of Two Lists</v>
      </c>
      <c r="C751" s="17">
        <f>Github!F$600</f>
        <v>1125</v>
      </c>
      <c r="D751" s="17">
        <f>Github!G$600</f>
        <v>317</v>
      </c>
      <c r="E751" s="17">
        <f>Github!F$600+Github!G$600</f>
        <v>1442</v>
      </c>
      <c r="F751" s="18">
        <f t="shared" si="1"/>
        <v>3.55</v>
      </c>
      <c r="G751" s="17" t="str">
        <f>Github!H$600</f>
        <v>Algorithms</v>
      </c>
      <c r="H751" s="19" t="str">
        <f>SUBSTITUTE(Github!L$600, ";", ", ")</f>
        <v>Array, Hash Table, String, </v>
      </c>
      <c r="I751" s="17" t="str">
        <f>Github!E$600</f>
        <v>Easy</v>
      </c>
      <c r="J751" s="17" t="str">
        <f>IF(TRIM(Github!D$600)="TRUE","FALSE","TRUE")</f>
        <v>TRUE</v>
      </c>
      <c r="K751" s="17" t="b">
        <f>Github!M$600</f>
        <v>1</v>
      </c>
      <c r="L751" s="17" t="b">
        <f>Github!N$600</f>
        <v>0</v>
      </c>
      <c r="M751" s="17" t="str">
        <f>ROUND(Github!O$600, 2)&amp;"%"</f>
        <v>52.84%</v>
      </c>
      <c r="N751" s="17">
        <f>Github!P$600</f>
        <v>143939</v>
      </c>
      <c r="O751" s="17">
        <f>Github!Q$600</f>
        <v>272402</v>
      </c>
    </row>
    <row r="752" ht="18.0" customHeight="1">
      <c r="A752" s="17">
        <f>Github!J$881</f>
        <v>880</v>
      </c>
      <c r="B752" s="27" t="str">
        <f>HYPERLINK(CONCAT("http://leetcode.com/problems/",Github!C$881), Github!B$881)</f>
        <v>Decoded String at Index</v>
      </c>
      <c r="C752" s="17">
        <f>Github!F$881</f>
        <v>1122</v>
      </c>
      <c r="D752" s="17">
        <f>Github!G$881</f>
        <v>183</v>
      </c>
      <c r="E752" s="17">
        <f>Github!F$881+Github!G$881</f>
        <v>1305</v>
      </c>
      <c r="F752" s="18">
        <f t="shared" si="1"/>
        <v>6.13</v>
      </c>
      <c r="G752" s="17" t="str">
        <f>Github!H$881</f>
        <v>Algorithms</v>
      </c>
      <c r="H752" s="19" t="str">
        <f>SUBSTITUTE(Github!L$881, ";", ", ")</f>
        <v>String, Stack, </v>
      </c>
      <c r="I752" s="17" t="str">
        <f>Github!E$881</f>
        <v>Medium</v>
      </c>
      <c r="J752" s="17" t="str">
        <f>IF(TRIM(Github!D$881)="TRUE","FALSE","TRUE")</f>
        <v>TRUE</v>
      </c>
      <c r="K752" s="17" t="b">
        <f>Github!M$881</f>
        <v>1</v>
      </c>
      <c r="L752" s="17" t="b">
        <f>Github!N$881</f>
        <v>0</v>
      </c>
      <c r="M752" s="17" t="str">
        <f>ROUND(Github!O$881, 2)&amp;"%"</f>
        <v>28.29%</v>
      </c>
      <c r="N752" s="17">
        <f>Github!P$881</f>
        <v>32819</v>
      </c>
      <c r="O752" s="17">
        <f>Github!Q$881</f>
        <v>116009</v>
      </c>
    </row>
    <row r="753" ht="18.0" customHeight="1">
      <c r="A753" s="17">
        <f>Github!J$1124</f>
        <v>1123</v>
      </c>
      <c r="B753" s="27" t="str">
        <f>HYPERLINK(CONCAT("http://leetcode.com/problems/",Github!C$1124), Github!B$1124)</f>
        <v>Lowest Common Ancestor of Deepest Leaves</v>
      </c>
      <c r="C753" s="17">
        <f>Github!F$1124</f>
        <v>1122</v>
      </c>
      <c r="D753" s="17">
        <f>Github!G$1124</f>
        <v>732</v>
      </c>
      <c r="E753" s="17">
        <f>Github!F$1124+Github!G$1124</f>
        <v>1854</v>
      </c>
      <c r="F753" s="18">
        <f t="shared" si="1"/>
        <v>1.53</v>
      </c>
      <c r="G753" s="17" t="str">
        <f>Github!H$1124</f>
        <v>Algorithms</v>
      </c>
      <c r="H753" s="19" t="str">
        <f>SUBSTITUTE(Github!L$1124, ";", ", ")</f>
        <v>Hash Table, Tree, Depth-First Search, Breadth-First Search, Binary Tree, </v>
      </c>
      <c r="I753" s="17" t="str">
        <f>Github!E$1124</f>
        <v>Medium</v>
      </c>
      <c r="J753" s="17" t="str">
        <f>IF(TRIM(Github!D$1124)="TRUE","FALSE","TRUE")</f>
        <v>TRUE</v>
      </c>
      <c r="K753" s="17" t="b">
        <f>Github!M$1124</f>
        <v>0</v>
      </c>
      <c r="L753" s="17" t="b">
        <f>Github!N$1124</f>
        <v>0</v>
      </c>
      <c r="M753" s="17" t="str">
        <f>ROUND(Github!O$1124, 2)&amp;"%"</f>
        <v>69.92%</v>
      </c>
      <c r="N753" s="17">
        <f>Github!P$1124</f>
        <v>71705</v>
      </c>
      <c r="O753" s="17">
        <f>Github!Q$1124</f>
        <v>102550</v>
      </c>
    </row>
    <row r="754" ht="18.0" customHeight="1">
      <c r="A754" s="17">
        <f>Github!J$1384</f>
        <v>1383</v>
      </c>
      <c r="B754" s="27" t="str">
        <f>HYPERLINK(CONCAT("http://leetcode.com/problems/",Github!C$1384), Github!B$1384)</f>
        <v>Maximum Performance of a Team</v>
      </c>
      <c r="C754" s="17">
        <f>Github!F$1384</f>
        <v>1119</v>
      </c>
      <c r="D754" s="17">
        <f>Github!G$1384</f>
        <v>39</v>
      </c>
      <c r="E754" s="17">
        <f>Github!F$1384+Github!G$1384</f>
        <v>1158</v>
      </c>
      <c r="F754" s="18">
        <f t="shared" si="1"/>
        <v>28.69</v>
      </c>
      <c r="G754" s="17" t="str">
        <f>Github!H$1384</f>
        <v>Algorithms</v>
      </c>
      <c r="H754" s="19" t="str">
        <f>SUBSTITUTE(Github!L$1384, ";", ", ")</f>
        <v>Array, Greedy, Sorting, Heap (Priority Queue), </v>
      </c>
      <c r="I754" s="17" t="str">
        <f>Github!E$1384</f>
        <v>Hard</v>
      </c>
      <c r="J754" s="17" t="str">
        <f>IF(TRIM(Github!D$1384)="TRUE","FALSE","TRUE")</f>
        <v>TRUE</v>
      </c>
      <c r="K754" s="17" t="b">
        <f>Github!M$1384</f>
        <v>1</v>
      </c>
      <c r="L754" s="17" t="b">
        <f>Github!N$1384</f>
        <v>0</v>
      </c>
      <c r="M754" s="17" t="str">
        <f>ROUND(Github!O$1384, 2)&amp;"%"</f>
        <v>41.43%</v>
      </c>
      <c r="N754" s="17">
        <f>Github!P$1384</f>
        <v>37960</v>
      </c>
      <c r="O754" s="17">
        <f>Github!Q$1384</f>
        <v>91632</v>
      </c>
    </row>
    <row r="755" ht="18.0" customHeight="1">
      <c r="A755" s="17">
        <f>Github!J$1287</f>
        <v>1286</v>
      </c>
      <c r="B755" s="27" t="str">
        <f>HYPERLINK(CONCAT("http://leetcode.com/problems/",Github!C$1287), Github!B$1287)</f>
        <v>Iterator for Combination</v>
      </c>
      <c r="C755" s="17">
        <f>Github!F$1287</f>
        <v>1118</v>
      </c>
      <c r="D755" s="17">
        <f>Github!G$1287</f>
        <v>90</v>
      </c>
      <c r="E755" s="17">
        <f>Github!F$1287+Github!G$1287</f>
        <v>1208</v>
      </c>
      <c r="F755" s="18">
        <f t="shared" si="1"/>
        <v>12.42</v>
      </c>
      <c r="G755" s="17" t="str">
        <f>Github!H$1287</f>
        <v>Algorithms</v>
      </c>
      <c r="H755" s="19" t="str">
        <f>SUBSTITUTE(Github!L$1287, ";", ", ")</f>
        <v>String, Backtracking, Design, Iterator, </v>
      </c>
      <c r="I755" s="17" t="str">
        <f>Github!E$1287</f>
        <v>Medium</v>
      </c>
      <c r="J755" s="17" t="str">
        <f>IF(TRIM(Github!D$1287)="TRUE","FALSE","TRUE")</f>
        <v>TRUE</v>
      </c>
      <c r="K755" s="17" t="b">
        <f>Github!M$1287</f>
        <v>1</v>
      </c>
      <c r="L755" s="17" t="b">
        <f>Github!N$1287</f>
        <v>0</v>
      </c>
      <c r="M755" s="17" t="str">
        <f>ROUND(Github!O$1287, 2)&amp;"%"</f>
        <v>73.19%</v>
      </c>
      <c r="N755" s="17">
        <f>Github!P$1287</f>
        <v>61297</v>
      </c>
      <c r="O755" s="17">
        <f>Github!Q$1287</f>
        <v>83752</v>
      </c>
    </row>
    <row r="756" ht="18.0" customHeight="1">
      <c r="A756" s="17">
        <f>Github!J$437</f>
        <v>436</v>
      </c>
      <c r="B756" s="27" t="str">
        <f>HYPERLINK(CONCAT("http://leetcode.com/problems/",Github!C$437), Github!B$437)</f>
        <v>Find Right Interval</v>
      </c>
      <c r="C756" s="17">
        <f>Github!F$437</f>
        <v>1115</v>
      </c>
      <c r="D756" s="17">
        <f>Github!G$437</f>
        <v>240</v>
      </c>
      <c r="E756" s="17">
        <f>Github!F$437+Github!G$437</f>
        <v>1355</v>
      </c>
      <c r="F756" s="18">
        <f t="shared" si="1"/>
        <v>4.65</v>
      </c>
      <c r="G756" s="17" t="str">
        <f>Github!H$437</f>
        <v>Algorithms</v>
      </c>
      <c r="H756" s="19" t="str">
        <f>SUBSTITUTE(Github!L$437, ";", ", ")</f>
        <v>Array, Binary Search, Sorting, </v>
      </c>
      <c r="I756" s="17" t="str">
        <f>Github!E$437</f>
        <v>Medium</v>
      </c>
      <c r="J756" s="17" t="str">
        <f>IF(TRIM(Github!D$437)="TRUE","FALSE","TRUE")</f>
        <v>TRUE</v>
      </c>
      <c r="K756" s="17" t="b">
        <f>Github!M$437</f>
        <v>1</v>
      </c>
      <c r="L756" s="17" t="b">
        <f>Github!N$437</f>
        <v>0</v>
      </c>
      <c r="M756" s="17" t="str">
        <f>ROUND(Github!O$437, 2)&amp;"%"</f>
        <v>49.3%</v>
      </c>
      <c r="N756" s="17">
        <f>Github!P$437</f>
        <v>74697</v>
      </c>
      <c r="O756" s="17">
        <f>Github!Q$437</f>
        <v>151522</v>
      </c>
    </row>
    <row r="757" ht="18.0" customHeight="1">
      <c r="A757" s="17">
        <f>Github!J$990</f>
        <v>989</v>
      </c>
      <c r="B757" s="27" t="str">
        <f>HYPERLINK(CONCAT("http://leetcode.com/problems/",Github!C$990), Github!B$990)</f>
        <v>Add to Array-Form of Integer</v>
      </c>
      <c r="C757" s="17">
        <f>Github!F$990</f>
        <v>1111</v>
      </c>
      <c r="D757" s="17">
        <f>Github!G$990</f>
        <v>140</v>
      </c>
      <c r="E757" s="17">
        <f>Github!F$990+Github!G$990</f>
        <v>1251</v>
      </c>
      <c r="F757" s="18">
        <f t="shared" si="1"/>
        <v>7.94</v>
      </c>
      <c r="G757" s="17" t="str">
        <f>Github!H$990</f>
        <v>Algorithms</v>
      </c>
      <c r="H757" s="19" t="str">
        <f>SUBSTITUTE(Github!L$990, ";", ", ")</f>
        <v>Array, Math, </v>
      </c>
      <c r="I757" s="17" t="str">
        <f>Github!E$990</f>
        <v>Easy</v>
      </c>
      <c r="J757" s="17" t="str">
        <f>IF(TRIM(Github!D$990)="TRUE","FALSE","TRUE")</f>
        <v>TRUE</v>
      </c>
      <c r="K757" s="17" t="b">
        <f>Github!M$990</f>
        <v>1</v>
      </c>
      <c r="L757" s="17" t="b">
        <f>Github!N$990</f>
        <v>0</v>
      </c>
      <c r="M757" s="17" t="str">
        <f>ROUND(Github!O$990, 2)&amp;"%"</f>
        <v>45.28%</v>
      </c>
      <c r="N757" s="17">
        <f>Github!P$990</f>
        <v>102039</v>
      </c>
      <c r="O757" s="17">
        <f>Github!Q$990</f>
        <v>225366</v>
      </c>
    </row>
    <row r="758" ht="18.0" customHeight="1">
      <c r="A758" s="17">
        <f>Github!J$1585</f>
        <v>1584</v>
      </c>
      <c r="B758" s="27" t="str">
        <f>HYPERLINK(CONCAT("http://leetcode.com/problems/",Github!C$1585), Github!B$1585)</f>
        <v>Min Cost to Connect All Points</v>
      </c>
      <c r="C758" s="17">
        <f>Github!F$1585</f>
        <v>1104</v>
      </c>
      <c r="D758" s="17">
        <f>Github!G$1585</f>
        <v>44</v>
      </c>
      <c r="E758" s="17">
        <f>Github!F$1585+Github!G$1585</f>
        <v>1148</v>
      </c>
      <c r="F758" s="18">
        <f t="shared" si="1"/>
        <v>25.09</v>
      </c>
      <c r="G758" s="17" t="str">
        <f>Github!H$1585</f>
        <v>Algorithms</v>
      </c>
      <c r="H758" s="19" t="str">
        <f>SUBSTITUTE(Github!L$1585, ";", ", ")</f>
        <v>Array, Union Find, Minimum Spanning Tree, </v>
      </c>
      <c r="I758" s="17" t="str">
        <f>Github!E$1585</f>
        <v>Medium</v>
      </c>
      <c r="J758" s="17" t="str">
        <f>IF(TRIM(Github!D$1585)="TRUE","FALSE","TRUE")</f>
        <v>TRUE</v>
      </c>
      <c r="K758" s="17" t="b">
        <f>Github!M$1585</f>
        <v>1</v>
      </c>
      <c r="L758" s="17" t="b">
        <f>Github!N$1585</f>
        <v>0</v>
      </c>
      <c r="M758" s="17" t="str">
        <f>ROUND(Github!O$1585, 2)&amp;"%"</f>
        <v>61.08%</v>
      </c>
      <c r="N758" s="17">
        <f>Github!P$1585</f>
        <v>50321</v>
      </c>
      <c r="O758" s="17">
        <f>Github!Q$1585</f>
        <v>82386</v>
      </c>
    </row>
    <row r="759" ht="18.0" customHeight="1">
      <c r="A759" s="17">
        <f>Github!J$466</f>
        <v>465</v>
      </c>
      <c r="B759" s="27" t="str">
        <f>HYPERLINK(CONCAT("http://leetcode.com/problems/",Github!C$466), Github!B$466)</f>
        <v>Optimal Account Balancing</v>
      </c>
      <c r="C759" s="17">
        <f>Github!F$466</f>
        <v>1099</v>
      </c>
      <c r="D759" s="17">
        <f>Github!G$466</f>
        <v>104</v>
      </c>
      <c r="E759" s="17">
        <f>Github!F$466+Github!G$466</f>
        <v>1203</v>
      </c>
      <c r="F759" s="18">
        <f t="shared" si="1"/>
        <v>10.57</v>
      </c>
      <c r="G759" s="17" t="str">
        <f>Github!H$466</f>
        <v>Algorithms</v>
      </c>
      <c r="H759" s="19" t="str">
        <f>SUBSTITUTE(Github!L$466, ";", ", ")</f>
        <v>Array, Backtracking, </v>
      </c>
      <c r="I759" s="17" t="str">
        <f>Github!E$466</f>
        <v>Hard</v>
      </c>
      <c r="J759" s="17" t="str">
        <f>IF(TRIM(Github!D$466)="TRUE","FALSE","TRUE")</f>
        <v>FALSE</v>
      </c>
      <c r="K759" s="17" t="b">
        <f>Github!M$466</f>
        <v>0</v>
      </c>
      <c r="L759" s="17" t="b">
        <f>Github!N$466</f>
        <v>0</v>
      </c>
      <c r="M759" s="17" t="str">
        <f>ROUND(Github!O$466, 2)&amp;"%"</f>
        <v>48.76%</v>
      </c>
      <c r="N759" s="17">
        <f>Github!P$466</f>
        <v>67349</v>
      </c>
      <c r="O759" s="17">
        <f>Github!Q$466</f>
        <v>138128</v>
      </c>
    </row>
    <row r="760" ht="18.0" customHeight="1">
      <c r="A760" s="17">
        <f>Github!J$729</f>
        <v>728</v>
      </c>
      <c r="B760" s="27" t="str">
        <f>HYPERLINK(CONCAT("http://leetcode.com/problems/",Github!C$729), Github!B$729)</f>
        <v>Self Dividing Numbers</v>
      </c>
      <c r="C760" s="17">
        <f>Github!F$729</f>
        <v>1100</v>
      </c>
      <c r="D760" s="17">
        <f>Github!G$729</f>
        <v>347</v>
      </c>
      <c r="E760" s="17">
        <f>Github!F$729+Github!G$729</f>
        <v>1447</v>
      </c>
      <c r="F760" s="18">
        <f t="shared" si="1"/>
        <v>3.17</v>
      </c>
      <c r="G760" s="17" t="str">
        <f>Github!H$729</f>
        <v>Algorithms</v>
      </c>
      <c r="H760" s="19" t="str">
        <f>SUBSTITUTE(Github!L$729, ";", ", ")</f>
        <v>Math, </v>
      </c>
      <c r="I760" s="17" t="str">
        <f>Github!E$729</f>
        <v>Easy</v>
      </c>
      <c r="J760" s="17" t="str">
        <f>IF(TRIM(Github!D$729)="TRUE","FALSE","TRUE")</f>
        <v>TRUE</v>
      </c>
      <c r="K760" s="17" t="b">
        <f>Github!M$729</f>
        <v>1</v>
      </c>
      <c r="L760" s="17" t="b">
        <f>Github!N$729</f>
        <v>0</v>
      </c>
      <c r="M760" s="17" t="str">
        <f>ROUND(Github!O$729, 2)&amp;"%"</f>
        <v>76.79%</v>
      </c>
      <c r="N760" s="17">
        <f>Github!P$729</f>
        <v>172009</v>
      </c>
      <c r="O760" s="17">
        <f>Github!Q$729</f>
        <v>224009</v>
      </c>
    </row>
    <row r="761" ht="18.0" customHeight="1">
      <c r="A761" s="17">
        <f>Github!J$553</f>
        <v>552</v>
      </c>
      <c r="B761" s="27" t="str">
        <f>HYPERLINK(CONCAT("http://leetcode.com/problems/",Github!C$553), Github!B$553)</f>
        <v>Student Attendance Record II</v>
      </c>
      <c r="C761" s="17">
        <f>Github!F$553</f>
        <v>1097</v>
      </c>
      <c r="D761" s="17">
        <f>Github!G$553</f>
        <v>189</v>
      </c>
      <c r="E761" s="17">
        <f>Github!F$553+Github!G$553</f>
        <v>1286</v>
      </c>
      <c r="F761" s="18">
        <f t="shared" si="1"/>
        <v>5.8</v>
      </c>
      <c r="G761" s="17" t="str">
        <f>Github!H$553</f>
        <v>Algorithms</v>
      </c>
      <c r="H761" s="19" t="str">
        <f>SUBSTITUTE(Github!L$553, ";", ", ")</f>
        <v>Dynamic Programming, </v>
      </c>
      <c r="I761" s="17" t="str">
        <f>Github!E$553</f>
        <v>Hard</v>
      </c>
      <c r="J761" s="17" t="str">
        <f>IF(TRIM(Github!D$553)="TRUE","FALSE","TRUE")</f>
        <v>TRUE</v>
      </c>
      <c r="K761" s="17" t="b">
        <f>Github!M$553</f>
        <v>1</v>
      </c>
      <c r="L761" s="17" t="b">
        <f>Github!N$553</f>
        <v>0</v>
      </c>
      <c r="M761" s="17" t="str">
        <f>ROUND(Github!O$553, 2)&amp;"%"</f>
        <v>40.31%</v>
      </c>
      <c r="N761" s="17">
        <f>Github!P$553</f>
        <v>43506</v>
      </c>
      <c r="O761" s="17">
        <f>Github!Q$553</f>
        <v>107926</v>
      </c>
    </row>
    <row r="762" ht="18.0" customHeight="1">
      <c r="A762" s="17">
        <f>Github!J$732</f>
        <v>731</v>
      </c>
      <c r="B762" s="27" t="str">
        <f>HYPERLINK(CONCAT("http://leetcode.com/problems/",Github!C$732), Github!B$732)</f>
        <v>My Calendar II</v>
      </c>
      <c r="C762" s="17">
        <f>Github!F$732</f>
        <v>1095</v>
      </c>
      <c r="D762" s="17">
        <f>Github!G$732</f>
        <v>122</v>
      </c>
      <c r="E762" s="17">
        <f>Github!F$732+Github!G$732</f>
        <v>1217</v>
      </c>
      <c r="F762" s="18">
        <f t="shared" si="1"/>
        <v>8.98</v>
      </c>
      <c r="G762" s="17" t="str">
        <f>Github!H$732</f>
        <v>Algorithms</v>
      </c>
      <c r="H762" s="19" t="str">
        <f>SUBSTITUTE(Github!L$732, ";", ", ")</f>
        <v>Design, Segment Tree, Ordered Set, </v>
      </c>
      <c r="I762" s="17" t="str">
        <f>Github!E$732</f>
        <v>Medium</v>
      </c>
      <c r="J762" s="17" t="str">
        <f>IF(TRIM(Github!D$732)="TRUE","FALSE","TRUE")</f>
        <v>TRUE</v>
      </c>
      <c r="K762" s="17" t="b">
        <f>Github!M$732</f>
        <v>1</v>
      </c>
      <c r="L762" s="17" t="b">
        <f>Github!N$732</f>
        <v>0</v>
      </c>
      <c r="M762" s="17" t="str">
        <f>ROUND(Github!O$732, 2)&amp;"%"</f>
        <v>53.14%</v>
      </c>
      <c r="N762" s="17">
        <f>Github!P$732</f>
        <v>70719</v>
      </c>
      <c r="O762" s="17">
        <f>Github!Q$732</f>
        <v>133070</v>
      </c>
    </row>
    <row r="763" ht="18.0" customHeight="1">
      <c r="A763" s="17">
        <f>Github!J$1130</f>
        <v>1129</v>
      </c>
      <c r="B763" s="27" t="str">
        <f>HYPERLINK(CONCAT("http://leetcode.com/problems/",Github!C$1130), Github!B$1130)</f>
        <v>Shortest Path with Alternating Colors</v>
      </c>
      <c r="C763" s="17">
        <f>Github!F$1130</f>
        <v>1097</v>
      </c>
      <c r="D763" s="17">
        <f>Github!G$1130</f>
        <v>59</v>
      </c>
      <c r="E763" s="17">
        <f>Github!F$1130+Github!G$1130</f>
        <v>1156</v>
      </c>
      <c r="F763" s="18">
        <f t="shared" si="1"/>
        <v>18.59</v>
      </c>
      <c r="G763" s="17" t="str">
        <f>Github!H$1130</f>
        <v>Algorithms</v>
      </c>
      <c r="H763" s="19" t="str">
        <f>SUBSTITUTE(Github!L$1130, ";", ", ")</f>
        <v>Breadth-First Search, Graph, </v>
      </c>
      <c r="I763" s="17" t="str">
        <f>Github!E$1130</f>
        <v>Medium</v>
      </c>
      <c r="J763" s="17" t="str">
        <f>IF(TRIM(Github!D$1130)="TRUE","FALSE","TRUE")</f>
        <v>TRUE</v>
      </c>
      <c r="K763" s="17" t="b">
        <f>Github!M$1130</f>
        <v>0</v>
      </c>
      <c r="L763" s="17" t="b">
        <f>Github!N$1130</f>
        <v>0</v>
      </c>
      <c r="M763" s="17" t="str">
        <f>ROUND(Github!O$1130, 2)&amp;"%"</f>
        <v>41.67%</v>
      </c>
      <c r="N763" s="17">
        <f>Github!P$1130</f>
        <v>32184</v>
      </c>
      <c r="O763" s="17">
        <f>Github!Q$1130</f>
        <v>77230</v>
      </c>
    </row>
    <row r="764" ht="18.0" customHeight="1">
      <c r="A764" s="17">
        <f>Github!J$1096</f>
        <v>1095</v>
      </c>
      <c r="B764" s="27" t="str">
        <f>HYPERLINK(CONCAT("http://leetcode.com/problems/",Github!C$1096), Github!B$1096)</f>
        <v>Find in Mountain Array</v>
      </c>
      <c r="C764" s="17">
        <f>Github!F$1096</f>
        <v>1091</v>
      </c>
      <c r="D764" s="17">
        <f>Github!G$1096</f>
        <v>55</v>
      </c>
      <c r="E764" s="17">
        <f>Github!F$1096+Github!G$1096</f>
        <v>1146</v>
      </c>
      <c r="F764" s="18">
        <f t="shared" si="1"/>
        <v>19.84</v>
      </c>
      <c r="G764" s="17" t="str">
        <f>Github!H$1096</f>
        <v>Algorithms</v>
      </c>
      <c r="H764" s="19" t="str">
        <f>SUBSTITUTE(Github!L$1096, ";", ", ")</f>
        <v>Array, Binary Search, Interactive, </v>
      </c>
      <c r="I764" s="17" t="str">
        <f>Github!E$1096</f>
        <v>Hard</v>
      </c>
      <c r="J764" s="17" t="str">
        <f>IF(TRIM(Github!D$1096)="TRUE","FALSE","TRUE")</f>
        <v>TRUE</v>
      </c>
      <c r="K764" s="17" t="b">
        <f>Github!M$1096</f>
        <v>0</v>
      </c>
      <c r="L764" s="17" t="b">
        <f>Github!N$1096</f>
        <v>0</v>
      </c>
      <c r="M764" s="17" t="str">
        <f>ROUND(Github!O$1096, 2)&amp;"%"</f>
        <v>35.92%</v>
      </c>
      <c r="N764" s="17">
        <f>Github!P$1096</f>
        <v>40679</v>
      </c>
      <c r="O764" s="17">
        <f>Github!Q$1096</f>
        <v>113233</v>
      </c>
    </row>
    <row r="765" ht="18.0" customHeight="1">
      <c r="A765" s="17">
        <f>Github!J$963</f>
        <v>962</v>
      </c>
      <c r="B765" s="27" t="str">
        <f>HYPERLINK(CONCAT("http://leetcode.com/problems/",Github!C$963), Github!B$963)</f>
        <v>Maximum Width Ramp</v>
      </c>
      <c r="C765" s="17">
        <f>Github!F$963</f>
        <v>1084</v>
      </c>
      <c r="D765" s="17">
        <f>Github!G$963</f>
        <v>32</v>
      </c>
      <c r="E765" s="17">
        <f>Github!F$963+Github!G$963</f>
        <v>1116</v>
      </c>
      <c r="F765" s="18">
        <f t="shared" si="1"/>
        <v>33.88</v>
      </c>
      <c r="G765" s="17" t="str">
        <f>Github!H$963</f>
        <v>Algorithms</v>
      </c>
      <c r="H765" s="19" t="str">
        <f>SUBSTITUTE(Github!L$963, ";", ", ")</f>
        <v>Array, Stack, Monotonic Stack, </v>
      </c>
      <c r="I765" s="17" t="str">
        <f>Github!E$963</f>
        <v>Medium</v>
      </c>
      <c r="J765" s="17" t="str">
        <f>IF(TRIM(Github!D$963)="TRUE","FALSE","TRUE")</f>
        <v>TRUE</v>
      </c>
      <c r="K765" s="17" t="b">
        <f>Github!M$963</f>
        <v>0</v>
      </c>
      <c r="L765" s="17" t="b">
        <f>Github!N$963</f>
        <v>0</v>
      </c>
      <c r="M765" s="17" t="str">
        <f>ROUND(Github!O$963, 2)&amp;"%"</f>
        <v>47.98%</v>
      </c>
      <c r="N765" s="17">
        <f>Github!P$963</f>
        <v>32014</v>
      </c>
      <c r="O765" s="17">
        <f>Github!Q$963</f>
        <v>66717</v>
      </c>
    </row>
    <row r="766" ht="18.0" customHeight="1">
      <c r="A766" s="17">
        <f>Github!J$868</f>
        <v>867</v>
      </c>
      <c r="B766" s="27" t="str">
        <f>HYPERLINK(CONCAT("http://leetcode.com/problems/",Github!C$868), Github!B$868)</f>
        <v>Transpose Matrix</v>
      </c>
      <c r="C766" s="17">
        <f>Github!F$868</f>
        <v>1083</v>
      </c>
      <c r="D766" s="17">
        <f>Github!G$868</f>
        <v>367</v>
      </c>
      <c r="E766" s="17">
        <f>Github!F$868+Github!G$868</f>
        <v>1450</v>
      </c>
      <c r="F766" s="18">
        <f t="shared" si="1"/>
        <v>2.95</v>
      </c>
      <c r="G766" s="17" t="str">
        <f>Github!H$868</f>
        <v>Algorithms</v>
      </c>
      <c r="H766" s="19" t="str">
        <f>SUBSTITUTE(Github!L$868, ";", ", ")</f>
        <v>Array, Matrix, Simulation, </v>
      </c>
      <c r="I766" s="17" t="str">
        <f>Github!E$868</f>
        <v>Easy</v>
      </c>
      <c r="J766" s="17" t="str">
        <f>IF(TRIM(Github!D$868)="TRUE","FALSE","TRUE")</f>
        <v>TRUE</v>
      </c>
      <c r="K766" s="17" t="b">
        <f>Github!M$868</f>
        <v>1</v>
      </c>
      <c r="L766" s="17" t="b">
        <f>Github!N$868</f>
        <v>0</v>
      </c>
      <c r="M766" s="17" t="str">
        <f>ROUND(Github!O$868, 2)&amp;"%"</f>
        <v>61.16%</v>
      </c>
      <c r="N766" s="17">
        <f>Github!P$868</f>
        <v>127177</v>
      </c>
      <c r="O766" s="17">
        <f>Github!Q$868</f>
        <v>207957</v>
      </c>
    </row>
    <row r="767" ht="18.0" customHeight="1">
      <c r="A767" s="17">
        <f>Github!J$1515</f>
        <v>1514</v>
      </c>
      <c r="B767" s="27" t="str">
        <f>HYPERLINK(CONCAT("http://leetcode.com/problems/",Github!C$1515), Github!B$1515)</f>
        <v>Path with Maximum Probability</v>
      </c>
      <c r="C767" s="17">
        <f>Github!F$1515</f>
        <v>1082</v>
      </c>
      <c r="D767" s="17">
        <f>Github!G$1515</f>
        <v>25</v>
      </c>
      <c r="E767" s="17">
        <f>Github!F$1515+Github!G$1515</f>
        <v>1107</v>
      </c>
      <c r="F767" s="18">
        <f t="shared" si="1"/>
        <v>43.28</v>
      </c>
      <c r="G767" s="17" t="str">
        <f>Github!H$1515</f>
        <v>Algorithms</v>
      </c>
      <c r="H767" s="19" t="str">
        <f>SUBSTITUTE(Github!L$1515, ";", ", ")</f>
        <v>Graph, Heap (Priority Queue), Shortest Path, </v>
      </c>
      <c r="I767" s="17" t="str">
        <f>Github!E$1515</f>
        <v>Medium</v>
      </c>
      <c r="J767" s="17" t="str">
        <f>IF(TRIM(Github!D$1515)="TRUE","FALSE","TRUE")</f>
        <v>TRUE</v>
      </c>
      <c r="K767" s="17" t="b">
        <f>Github!M$1515</f>
        <v>0</v>
      </c>
      <c r="L767" s="17" t="b">
        <f>Github!N$1515</f>
        <v>0</v>
      </c>
      <c r="M767" s="17" t="str">
        <f>ROUND(Github!O$1515, 2)&amp;"%"</f>
        <v>45.77%</v>
      </c>
      <c r="N767" s="17">
        <f>Github!P$1515</f>
        <v>38931</v>
      </c>
      <c r="O767" s="17">
        <f>Github!Q$1515</f>
        <v>85052</v>
      </c>
    </row>
    <row r="768" ht="18.0" customHeight="1">
      <c r="A768" s="17">
        <f>Github!J$162</f>
        <v>161</v>
      </c>
      <c r="B768" s="27" t="str">
        <f>HYPERLINK(CONCAT("http://leetcode.com/problems/",Github!C$162), Github!B$162)</f>
        <v>One Edit Distance</v>
      </c>
      <c r="C768" s="17">
        <f>Github!F$162</f>
        <v>1081</v>
      </c>
      <c r="D768" s="17">
        <f>Github!G$162</f>
        <v>160</v>
      </c>
      <c r="E768" s="17">
        <f>Github!F$162+Github!G$162</f>
        <v>1241</v>
      </c>
      <c r="F768" s="18">
        <f t="shared" si="1"/>
        <v>6.76</v>
      </c>
      <c r="G768" s="17" t="str">
        <f>Github!H$162</f>
        <v>Algorithms</v>
      </c>
      <c r="H768" s="19" t="str">
        <f>SUBSTITUTE(Github!L$162, ";", ", ")</f>
        <v>Two Pointers, String, </v>
      </c>
      <c r="I768" s="17" t="str">
        <f>Github!E$162</f>
        <v>Medium</v>
      </c>
      <c r="J768" s="17" t="str">
        <f>IF(TRIM(Github!D$162)="TRUE","FALSE","TRUE")</f>
        <v>FALSE</v>
      </c>
      <c r="K768" s="17" t="b">
        <f>Github!M$162</f>
        <v>1</v>
      </c>
      <c r="L768" s="17" t="b">
        <f>Github!N$162</f>
        <v>0</v>
      </c>
      <c r="M768" s="17" t="str">
        <f>ROUND(Github!O$162, 2)&amp;"%"</f>
        <v>33.89%</v>
      </c>
      <c r="N768" s="17">
        <f>Github!P$162</f>
        <v>167968</v>
      </c>
      <c r="O768" s="17">
        <f>Github!Q$162</f>
        <v>495674</v>
      </c>
    </row>
    <row r="769" ht="18.0" customHeight="1">
      <c r="A769" s="17">
        <f>Github!J$1053</f>
        <v>1052</v>
      </c>
      <c r="B769" s="27" t="str">
        <f>HYPERLINK(CONCAT("http://leetcode.com/problems/",Github!C$1053), Github!B$1053)</f>
        <v>Grumpy Bookstore Owner</v>
      </c>
      <c r="C769" s="17">
        <f>Github!F$1053</f>
        <v>1078</v>
      </c>
      <c r="D769" s="17">
        <f>Github!G$1053</f>
        <v>90</v>
      </c>
      <c r="E769" s="17">
        <f>Github!F$1053+Github!G$1053</f>
        <v>1168</v>
      </c>
      <c r="F769" s="18">
        <f t="shared" si="1"/>
        <v>11.98</v>
      </c>
      <c r="G769" s="17" t="str">
        <f>Github!H$1053</f>
        <v>Algorithms</v>
      </c>
      <c r="H769" s="19" t="str">
        <f>SUBSTITUTE(Github!L$1053, ";", ", ")</f>
        <v>Array, Sliding Window, </v>
      </c>
      <c r="I769" s="17" t="str">
        <f>Github!E$1053</f>
        <v>Medium</v>
      </c>
      <c r="J769" s="17" t="str">
        <f>IF(TRIM(Github!D$1053)="TRUE","FALSE","TRUE")</f>
        <v>TRUE</v>
      </c>
      <c r="K769" s="17" t="b">
        <f>Github!M$1053</f>
        <v>0</v>
      </c>
      <c r="L769" s="17" t="b">
        <f>Github!N$1053</f>
        <v>0</v>
      </c>
      <c r="M769" s="17" t="str">
        <f>ROUND(Github!O$1053, 2)&amp;"%"</f>
        <v>56.66%</v>
      </c>
      <c r="N769" s="17">
        <f>Github!P$1053</f>
        <v>51406</v>
      </c>
      <c r="O769" s="17">
        <f>Github!Q$1053</f>
        <v>90725</v>
      </c>
    </row>
    <row r="770" ht="18.0" customHeight="1">
      <c r="A770" s="17">
        <f>Github!J$765</f>
        <v>764</v>
      </c>
      <c r="B770" s="27" t="str">
        <f>HYPERLINK(CONCAT("http://leetcode.com/problems/",Github!C$765), Github!B$765)</f>
        <v>Largest Plus Sign</v>
      </c>
      <c r="C770" s="17">
        <f>Github!F$765</f>
        <v>1078</v>
      </c>
      <c r="D770" s="17">
        <f>Github!G$765</f>
        <v>187</v>
      </c>
      <c r="E770" s="17">
        <f>Github!F$765+Github!G$765</f>
        <v>1265</v>
      </c>
      <c r="F770" s="18">
        <f t="shared" si="1"/>
        <v>5.76</v>
      </c>
      <c r="G770" s="17" t="str">
        <f>Github!H$765</f>
        <v>Algorithms</v>
      </c>
      <c r="H770" s="19" t="str">
        <f>SUBSTITUTE(Github!L$765, ";", ", ")</f>
        <v>Array, Dynamic Programming, </v>
      </c>
      <c r="I770" s="17" t="str">
        <f>Github!E$765</f>
        <v>Medium</v>
      </c>
      <c r="J770" s="17" t="str">
        <f>IF(TRIM(Github!D$765)="TRUE","FALSE","TRUE")</f>
        <v>TRUE</v>
      </c>
      <c r="K770" s="17" t="b">
        <f>Github!M$765</f>
        <v>1</v>
      </c>
      <c r="L770" s="17" t="b">
        <f>Github!N$765</f>
        <v>0</v>
      </c>
      <c r="M770" s="17" t="str">
        <f>ROUND(Github!O$765, 2)&amp;"%"</f>
        <v>48.56%</v>
      </c>
      <c r="N770" s="17">
        <f>Github!P$765</f>
        <v>47566</v>
      </c>
      <c r="O770" s="17">
        <f>Github!Q$765</f>
        <v>97955</v>
      </c>
    </row>
    <row r="771" ht="18.0" customHeight="1">
      <c r="A771" s="17">
        <f>Github!J$769</f>
        <v>768</v>
      </c>
      <c r="B771" s="27" t="str">
        <f>HYPERLINK(CONCAT("http://leetcode.com/problems/",Github!C$769), Github!B$769)</f>
        <v>Max Chunks To Make Sorted II</v>
      </c>
      <c r="C771" s="17">
        <f>Github!F$769</f>
        <v>1075</v>
      </c>
      <c r="D771" s="17">
        <f>Github!G$769</f>
        <v>31</v>
      </c>
      <c r="E771" s="17">
        <f>Github!F$769+Github!G$769</f>
        <v>1106</v>
      </c>
      <c r="F771" s="18">
        <f t="shared" si="1"/>
        <v>34.68</v>
      </c>
      <c r="G771" s="17" t="str">
        <f>Github!H$769</f>
        <v>Algorithms</v>
      </c>
      <c r="H771" s="19" t="str">
        <f>SUBSTITUTE(Github!L$769, ";", ", ")</f>
        <v>Array, Stack, Greedy, Sorting, Monotonic Stack, </v>
      </c>
      <c r="I771" s="17" t="str">
        <f>Github!E$769</f>
        <v>Hard</v>
      </c>
      <c r="J771" s="17" t="str">
        <f>IF(TRIM(Github!D$769)="TRUE","FALSE","TRUE")</f>
        <v>TRUE</v>
      </c>
      <c r="K771" s="17" t="b">
        <f>Github!M$769</f>
        <v>0</v>
      </c>
      <c r="L771" s="17" t="b">
        <f>Github!N$769</f>
        <v>0</v>
      </c>
      <c r="M771" s="17" t="str">
        <f>ROUND(Github!O$769, 2)&amp;"%"</f>
        <v>51.83%</v>
      </c>
      <c r="N771" s="17">
        <f>Github!P$769</f>
        <v>39000</v>
      </c>
      <c r="O771" s="17">
        <f>Github!Q$769</f>
        <v>75255</v>
      </c>
    </row>
    <row r="772" ht="18.0" customHeight="1">
      <c r="A772" s="17">
        <f>Github!J$992</f>
        <v>991</v>
      </c>
      <c r="B772" s="27" t="str">
        <f>HYPERLINK(CONCAT("http://leetcode.com/problems/",Github!C$992), Github!B$992)</f>
        <v>Broken Calculator</v>
      </c>
      <c r="C772" s="17">
        <f>Github!F$992</f>
        <v>1072</v>
      </c>
      <c r="D772" s="17">
        <f>Github!G$992</f>
        <v>146</v>
      </c>
      <c r="E772" s="17">
        <f>Github!F$992+Github!G$992</f>
        <v>1218</v>
      </c>
      <c r="F772" s="18">
        <f t="shared" si="1"/>
        <v>7.34</v>
      </c>
      <c r="G772" s="17" t="str">
        <f>Github!H$992</f>
        <v>Algorithms</v>
      </c>
      <c r="H772" s="19" t="str">
        <f>SUBSTITUTE(Github!L$992, ";", ", ")</f>
        <v>Math, Greedy, </v>
      </c>
      <c r="I772" s="17" t="str">
        <f>Github!E$992</f>
        <v>Medium</v>
      </c>
      <c r="J772" s="17" t="str">
        <f>IF(TRIM(Github!D$992)="TRUE","FALSE","TRUE")</f>
        <v>TRUE</v>
      </c>
      <c r="K772" s="17" t="b">
        <f>Github!M$992</f>
        <v>1</v>
      </c>
      <c r="L772" s="17" t="b">
        <f>Github!N$992</f>
        <v>0</v>
      </c>
      <c r="M772" s="17" t="str">
        <f>ROUND(Github!O$992, 2)&amp;"%"</f>
        <v>50.07%</v>
      </c>
      <c r="N772" s="17">
        <f>Github!P$992</f>
        <v>47533</v>
      </c>
      <c r="O772" s="17">
        <f>Github!Q$992</f>
        <v>94932</v>
      </c>
    </row>
    <row r="773" ht="18.0" customHeight="1">
      <c r="A773" s="17">
        <f>Github!J$331</f>
        <v>330</v>
      </c>
      <c r="B773" s="27" t="str">
        <f>HYPERLINK(CONCAT("http://leetcode.com/problems/",Github!C$331), Github!B$331)</f>
        <v>Patching Array</v>
      </c>
      <c r="C773" s="17">
        <f>Github!F$331</f>
        <v>1071</v>
      </c>
      <c r="D773" s="17">
        <f>Github!G$331</f>
        <v>113</v>
      </c>
      <c r="E773" s="17">
        <f>Github!F$331+Github!G$331</f>
        <v>1184</v>
      </c>
      <c r="F773" s="18">
        <f t="shared" si="1"/>
        <v>9.48</v>
      </c>
      <c r="G773" s="17" t="str">
        <f>Github!H$331</f>
        <v>Algorithms</v>
      </c>
      <c r="H773" s="19" t="str">
        <f>SUBSTITUTE(Github!L$331, ";", ", ")</f>
        <v>Array, Greedy, </v>
      </c>
      <c r="I773" s="17" t="str">
        <f>Github!E$331</f>
        <v>Hard</v>
      </c>
      <c r="J773" s="17" t="str">
        <f>IF(TRIM(Github!D$331)="TRUE","FALSE","TRUE")</f>
        <v>TRUE</v>
      </c>
      <c r="K773" s="17" t="b">
        <f>Github!M$331</f>
        <v>1</v>
      </c>
      <c r="L773" s="17" t="b">
        <f>Github!N$331</f>
        <v>0</v>
      </c>
      <c r="M773" s="17" t="str">
        <f>ROUND(Github!O$331, 2)&amp;"%"</f>
        <v>39.41%</v>
      </c>
      <c r="N773" s="17">
        <f>Github!P$331</f>
        <v>55489</v>
      </c>
      <c r="O773" s="17">
        <f>Github!Q$331</f>
        <v>140789</v>
      </c>
    </row>
    <row r="774" ht="18.0" customHeight="1">
      <c r="A774" s="17">
        <f>Github!J$1548</f>
        <v>1547</v>
      </c>
      <c r="B774" s="27" t="str">
        <f>HYPERLINK(CONCAT("http://leetcode.com/problems/",Github!C$1548), Github!B$1548)</f>
        <v>Minimum Cost to Cut a Stick</v>
      </c>
      <c r="C774" s="17">
        <f>Github!F$1548</f>
        <v>1068</v>
      </c>
      <c r="D774" s="17">
        <f>Github!G$1548</f>
        <v>21</v>
      </c>
      <c r="E774" s="17">
        <f>Github!F$1548+Github!G$1548</f>
        <v>1089</v>
      </c>
      <c r="F774" s="18">
        <f t="shared" si="1"/>
        <v>50.86</v>
      </c>
      <c r="G774" s="17" t="str">
        <f>Github!H$1548</f>
        <v>Algorithms</v>
      </c>
      <c r="H774" s="19" t="str">
        <f>SUBSTITUTE(Github!L$1548, ";", ", ")</f>
        <v>Array, Dynamic Programming, </v>
      </c>
      <c r="I774" s="17" t="str">
        <f>Github!E$1548</f>
        <v>Hard</v>
      </c>
      <c r="J774" s="17" t="str">
        <f>IF(TRIM(Github!D$1548)="TRUE","FALSE","TRUE")</f>
        <v>TRUE</v>
      </c>
      <c r="K774" s="17" t="b">
        <f>Github!M$1548</f>
        <v>0</v>
      </c>
      <c r="L774" s="17" t="b">
        <f>Github!N$1548</f>
        <v>0</v>
      </c>
      <c r="M774" s="17" t="str">
        <f>ROUND(Github!O$1548, 2)&amp;"%"</f>
        <v>54.98%</v>
      </c>
      <c r="N774" s="17">
        <f>Github!P$1548</f>
        <v>20938</v>
      </c>
      <c r="O774" s="17">
        <f>Github!Q$1548</f>
        <v>38081</v>
      </c>
    </row>
    <row r="775" ht="18.0" customHeight="1">
      <c r="A775" s="17">
        <f>Github!J$1839</f>
        <v>1838</v>
      </c>
      <c r="B775" s="27" t="str">
        <f>HYPERLINK(CONCAT("http://leetcode.com/problems/",Github!C$1839), Github!B$1839)</f>
        <v>Frequency of the Most Frequent Element</v>
      </c>
      <c r="C775" s="17">
        <f>Github!F$1839</f>
        <v>1064</v>
      </c>
      <c r="D775" s="17">
        <f>Github!G$1839</f>
        <v>22</v>
      </c>
      <c r="E775" s="17">
        <f>Github!F$1839+Github!G$1839</f>
        <v>1086</v>
      </c>
      <c r="F775" s="18">
        <f t="shared" si="1"/>
        <v>48.36</v>
      </c>
      <c r="G775" s="17" t="str">
        <f>Github!H$1839</f>
        <v>Algorithms</v>
      </c>
      <c r="H775" s="19" t="str">
        <f>SUBSTITUTE(Github!L$1839, ";", ", ")</f>
        <v>Array, Binary Search, Greedy, Sliding Window, Sorting, Prefix Sum, </v>
      </c>
      <c r="I775" s="17" t="str">
        <f>Github!E$1839</f>
        <v>Medium</v>
      </c>
      <c r="J775" s="17" t="str">
        <f>IF(TRIM(Github!D$1839)="TRUE","FALSE","TRUE")</f>
        <v>TRUE</v>
      </c>
      <c r="K775" s="17" t="b">
        <f>Github!M$1839</f>
        <v>0</v>
      </c>
      <c r="L775" s="17" t="b">
        <f>Github!N$1839</f>
        <v>0</v>
      </c>
      <c r="M775" s="17" t="str">
        <f>ROUND(Github!O$1839, 2)&amp;"%"</f>
        <v>36.27%</v>
      </c>
      <c r="N775" s="17">
        <f>Github!P$1839</f>
        <v>19180</v>
      </c>
      <c r="O775" s="17">
        <f>Github!Q$1839</f>
        <v>52879</v>
      </c>
    </row>
    <row r="776" ht="18.0" customHeight="1">
      <c r="A776" s="17">
        <f>Github!J$1198</f>
        <v>1197</v>
      </c>
      <c r="B776" s="27" t="str">
        <f>HYPERLINK(CONCAT("http://leetcode.com/problems/",Github!C$1198), Github!B$1198)</f>
        <v>Minimum Knight Moves</v>
      </c>
      <c r="C776" s="17">
        <f>Github!F$1198</f>
        <v>1063</v>
      </c>
      <c r="D776" s="17">
        <f>Github!G$1198</f>
        <v>325</v>
      </c>
      <c r="E776" s="17">
        <f>Github!F$1198+Github!G$1198</f>
        <v>1388</v>
      </c>
      <c r="F776" s="18">
        <f t="shared" si="1"/>
        <v>3.27</v>
      </c>
      <c r="G776" s="17" t="str">
        <f>Github!H$1198</f>
        <v>Algorithms</v>
      </c>
      <c r="H776" s="19" t="str">
        <f>SUBSTITUTE(Github!L$1198, ";", ", ")</f>
        <v>Breadth-First Search, </v>
      </c>
      <c r="I776" s="17" t="str">
        <f>Github!E$1198</f>
        <v>Medium</v>
      </c>
      <c r="J776" s="17" t="str">
        <f>IF(TRIM(Github!D$1198)="TRUE","FALSE","TRUE")</f>
        <v>FALSE</v>
      </c>
      <c r="K776" s="17" t="b">
        <f>Github!M$1198</f>
        <v>1</v>
      </c>
      <c r="L776" s="17" t="b">
        <f>Github!N$1198</f>
        <v>0</v>
      </c>
      <c r="M776" s="17" t="str">
        <f>ROUND(Github!O$1198, 2)&amp;"%"</f>
        <v>39.51%</v>
      </c>
      <c r="N776" s="17">
        <f>Github!P$1198</f>
        <v>106256</v>
      </c>
      <c r="O776" s="17">
        <f>Github!Q$1198</f>
        <v>268919</v>
      </c>
    </row>
    <row r="777" ht="18.0" customHeight="1">
      <c r="A777" s="17">
        <f>Github!J$1335</f>
        <v>1334</v>
      </c>
      <c r="B777" s="27" t="str">
        <f>HYPERLINK(CONCAT("http://leetcode.com/problems/",Github!C$1335), Github!B$1335)</f>
        <v>Find the City With the Smallest Number of Neighbors at a Threshold Distance</v>
      </c>
      <c r="C777" s="17">
        <f>Github!F$1335</f>
        <v>1058</v>
      </c>
      <c r="D777" s="17">
        <f>Github!G$1335</f>
        <v>56</v>
      </c>
      <c r="E777" s="17">
        <f>Github!F$1335+Github!G$1335</f>
        <v>1114</v>
      </c>
      <c r="F777" s="18">
        <f t="shared" si="1"/>
        <v>18.89</v>
      </c>
      <c r="G777" s="17" t="str">
        <f>Github!H$1335</f>
        <v>Algorithms</v>
      </c>
      <c r="H777" s="19" t="str">
        <f>SUBSTITUTE(Github!L$1335, ";", ", ")</f>
        <v>Dynamic Programming, Graph, Shortest Path, </v>
      </c>
      <c r="I777" s="17" t="str">
        <f>Github!E$1335</f>
        <v>Medium</v>
      </c>
      <c r="J777" s="17" t="str">
        <f>IF(TRIM(Github!D$1335)="TRUE","FALSE","TRUE")</f>
        <v>TRUE</v>
      </c>
      <c r="K777" s="17" t="b">
        <f>Github!M$1335</f>
        <v>0</v>
      </c>
      <c r="L777" s="17" t="b">
        <f>Github!N$1335</f>
        <v>0</v>
      </c>
      <c r="M777" s="17" t="str">
        <f>ROUND(Github!O$1335, 2)&amp;"%"</f>
        <v>50.84%</v>
      </c>
      <c r="N777" s="17">
        <f>Github!P$1335</f>
        <v>36396</v>
      </c>
      <c r="O777" s="17">
        <f>Github!Q$1335</f>
        <v>71585</v>
      </c>
    </row>
    <row r="778" ht="18.0" customHeight="1">
      <c r="A778" s="17">
        <f>Github!J$1179</f>
        <v>1178</v>
      </c>
      <c r="B778" s="27" t="str">
        <f>HYPERLINK(CONCAT("http://leetcode.com/problems/",Github!C$1179), Github!B$1179)</f>
        <v>Number of Valid Words for Each Puzzle</v>
      </c>
      <c r="C778" s="17">
        <f>Github!F$1179</f>
        <v>1055</v>
      </c>
      <c r="D778" s="17">
        <f>Github!G$1179</f>
        <v>71</v>
      </c>
      <c r="E778" s="17">
        <f>Github!F$1179+Github!G$1179</f>
        <v>1126</v>
      </c>
      <c r="F778" s="18">
        <f t="shared" si="1"/>
        <v>14.86</v>
      </c>
      <c r="G778" s="17" t="str">
        <f>Github!H$1179</f>
        <v>Algorithms</v>
      </c>
      <c r="H778" s="19" t="str">
        <f>SUBSTITUTE(Github!L$1179, ";", ", ")</f>
        <v>Array, Hash Table, String, Bit Manipulation, Trie, </v>
      </c>
      <c r="I778" s="17" t="str">
        <f>Github!E$1179</f>
        <v>Hard</v>
      </c>
      <c r="J778" s="17" t="str">
        <f>IF(TRIM(Github!D$1179)="TRUE","FALSE","TRUE")</f>
        <v>TRUE</v>
      </c>
      <c r="K778" s="17" t="b">
        <f>Github!M$1179</f>
        <v>1</v>
      </c>
      <c r="L778" s="17" t="b">
        <f>Github!N$1179</f>
        <v>0</v>
      </c>
      <c r="M778" s="17" t="str">
        <f>ROUND(Github!O$1179, 2)&amp;"%"</f>
        <v>46.88%</v>
      </c>
      <c r="N778" s="17">
        <f>Github!P$1179</f>
        <v>26298</v>
      </c>
      <c r="O778" s="17">
        <f>Github!Q$1179</f>
        <v>56093</v>
      </c>
    </row>
    <row r="779" ht="18.0" customHeight="1">
      <c r="A779" s="17">
        <f>Github!J$1372</f>
        <v>1371</v>
      </c>
      <c r="B779" s="27" t="str">
        <f>HYPERLINK(CONCAT("http://leetcode.com/problems/",Github!C$1372), Github!B$1372)</f>
        <v>Find the Longest Substring Containing Vowels in Even Counts</v>
      </c>
      <c r="C779" s="17">
        <f>Github!F$1372</f>
        <v>1054</v>
      </c>
      <c r="D779" s="17">
        <f>Github!G$1372</f>
        <v>40</v>
      </c>
      <c r="E779" s="17">
        <f>Github!F$1372+Github!G$1372</f>
        <v>1094</v>
      </c>
      <c r="F779" s="18">
        <f t="shared" si="1"/>
        <v>26.35</v>
      </c>
      <c r="G779" s="17" t="str">
        <f>Github!H$1372</f>
        <v>Algorithms</v>
      </c>
      <c r="H779" s="19" t="str">
        <f>SUBSTITUTE(Github!L$1372, ";", ", ")</f>
        <v>Hash Table, String, Bit Manipulation, Prefix Sum, </v>
      </c>
      <c r="I779" s="17" t="str">
        <f>Github!E$1372</f>
        <v>Medium</v>
      </c>
      <c r="J779" s="17" t="str">
        <f>IF(TRIM(Github!D$1372)="TRUE","FALSE","TRUE")</f>
        <v>TRUE</v>
      </c>
      <c r="K779" s="17" t="b">
        <f>Github!M$1372</f>
        <v>0</v>
      </c>
      <c r="L779" s="17" t="b">
        <f>Github!N$1372</f>
        <v>0</v>
      </c>
      <c r="M779" s="17" t="str">
        <f>ROUND(Github!O$1372, 2)&amp;"%"</f>
        <v>62.35%</v>
      </c>
      <c r="N779" s="17">
        <f>Github!P$1372</f>
        <v>17803</v>
      </c>
      <c r="O779" s="17">
        <f>Github!Q$1372</f>
        <v>28555</v>
      </c>
    </row>
    <row r="780" ht="18.0" customHeight="1">
      <c r="A780" s="17">
        <f>Github!J$755</f>
        <v>754</v>
      </c>
      <c r="B780" s="27" t="str">
        <f>HYPERLINK(CONCAT("http://leetcode.com/problems/",Github!C$755), Github!B$755)</f>
        <v>Reach a Number</v>
      </c>
      <c r="C780" s="17">
        <f>Github!F$755</f>
        <v>1053</v>
      </c>
      <c r="D780" s="17">
        <f>Github!G$755</f>
        <v>649</v>
      </c>
      <c r="E780" s="17">
        <f>Github!F$755+Github!G$755</f>
        <v>1702</v>
      </c>
      <c r="F780" s="18">
        <f t="shared" si="1"/>
        <v>1.62</v>
      </c>
      <c r="G780" s="17" t="str">
        <f>Github!H$755</f>
        <v>Algorithms</v>
      </c>
      <c r="H780" s="19" t="str">
        <f>SUBSTITUTE(Github!L$755, ";", ", ")</f>
        <v>Math, Binary Search, </v>
      </c>
      <c r="I780" s="17" t="str">
        <f>Github!E$755</f>
        <v>Medium</v>
      </c>
      <c r="J780" s="17" t="str">
        <f>IF(TRIM(Github!D$755)="TRUE","FALSE","TRUE")</f>
        <v>TRUE</v>
      </c>
      <c r="K780" s="17" t="b">
        <f>Github!M$755</f>
        <v>1</v>
      </c>
      <c r="L780" s="17" t="b">
        <f>Github!N$755</f>
        <v>0</v>
      </c>
      <c r="M780" s="17" t="str">
        <f>ROUND(Github!O$755, 2)&amp;"%"</f>
        <v>41.74%</v>
      </c>
      <c r="N780" s="17">
        <f>Github!P$755</f>
        <v>37550</v>
      </c>
      <c r="O780" s="17">
        <f>Github!Q$755</f>
        <v>89972</v>
      </c>
    </row>
    <row r="781" ht="18.0" customHeight="1">
      <c r="A781" s="17">
        <f>Github!J$1014</f>
        <v>1013</v>
      </c>
      <c r="B781" s="27" t="str">
        <f>HYPERLINK(CONCAT("http://leetcode.com/problems/",Github!C$1014), Github!B$1014)</f>
        <v>Partition Array Into Three Parts With Equal Sum</v>
      </c>
      <c r="C781" s="17">
        <f>Github!F$1014</f>
        <v>1052</v>
      </c>
      <c r="D781" s="17">
        <f>Github!G$1014</f>
        <v>115</v>
      </c>
      <c r="E781" s="17">
        <f>Github!F$1014+Github!G$1014</f>
        <v>1167</v>
      </c>
      <c r="F781" s="18">
        <f t="shared" si="1"/>
        <v>9.15</v>
      </c>
      <c r="G781" s="17" t="str">
        <f>Github!H$1014</f>
        <v>Algorithms</v>
      </c>
      <c r="H781" s="19" t="str">
        <f>SUBSTITUTE(Github!L$1014, ";", ", ")</f>
        <v>Array, Greedy, </v>
      </c>
      <c r="I781" s="17" t="str">
        <f>Github!E$1014</f>
        <v>Easy</v>
      </c>
      <c r="J781" s="17" t="str">
        <f>IF(TRIM(Github!D$1014)="TRUE","FALSE","TRUE")</f>
        <v>TRUE</v>
      </c>
      <c r="K781" s="17" t="b">
        <f>Github!M$1014</f>
        <v>0</v>
      </c>
      <c r="L781" s="17" t="b">
        <f>Github!N$1014</f>
        <v>0</v>
      </c>
      <c r="M781" s="17" t="str">
        <f>ROUND(Github!O$1014, 2)&amp;"%"</f>
        <v>44.7%</v>
      </c>
      <c r="N781" s="17">
        <f>Github!P$1014</f>
        <v>61346</v>
      </c>
      <c r="O781" s="17">
        <f>Github!Q$1014</f>
        <v>137227</v>
      </c>
    </row>
    <row r="782" ht="18.0" customHeight="1">
      <c r="A782" s="17">
        <f>Github!J$1921</f>
        <v>1920</v>
      </c>
      <c r="B782" s="27" t="str">
        <f>HYPERLINK(CONCAT("http://leetcode.com/problems/",Github!C$1921), Github!B$1921)</f>
        <v>Build Array from Permutation</v>
      </c>
      <c r="C782" s="17">
        <f>Github!F$1921</f>
        <v>1050</v>
      </c>
      <c r="D782" s="17">
        <f>Github!G$1921</f>
        <v>146</v>
      </c>
      <c r="E782" s="17">
        <f>Github!F$1921+Github!G$1921</f>
        <v>1196</v>
      </c>
      <c r="F782" s="18">
        <f t="shared" si="1"/>
        <v>7.19</v>
      </c>
      <c r="G782" s="17" t="str">
        <f>Github!H$1921</f>
        <v>Algorithms</v>
      </c>
      <c r="H782" s="19" t="str">
        <f>SUBSTITUTE(Github!L$1921, ";", ", ")</f>
        <v>Array, Simulation, </v>
      </c>
      <c r="I782" s="17" t="str">
        <f>Github!E$1921</f>
        <v>Easy</v>
      </c>
      <c r="J782" s="17" t="str">
        <f>IF(TRIM(Github!D$1921)="TRUE","FALSE","TRUE")</f>
        <v>TRUE</v>
      </c>
      <c r="K782" s="17" t="b">
        <f>Github!M$1921</f>
        <v>0</v>
      </c>
      <c r="L782" s="17" t="b">
        <f>Github!N$1921</f>
        <v>0</v>
      </c>
      <c r="M782" s="17" t="str">
        <f>ROUND(Github!O$1921, 2)&amp;"%"</f>
        <v>91.76%</v>
      </c>
      <c r="N782" s="17">
        <f>Github!P$1921</f>
        <v>130357</v>
      </c>
      <c r="O782" s="17">
        <f>Github!Q$1921</f>
        <v>142066</v>
      </c>
    </row>
    <row r="783" ht="18.0" customHeight="1">
      <c r="A783" s="17">
        <f>Github!J$1021</f>
        <v>1020</v>
      </c>
      <c r="B783" s="27" t="str">
        <f>HYPERLINK(CONCAT("http://leetcode.com/problems/",Github!C$1021), Github!B$1021)</f>
        <v>Number of Enclaves</v>
      </c>
      <c r="C783" s="17">
        <f>Github!F$1021</f>
        <v>1047</v>
      </c>
      <c r="D783" s="17">
        <f>Github!G$1021</f>
        <v>30</v>
      </c>
      <c r="E783" s="17">
        <f>Github!F$1021+Github!G$1021</f>
        <v>1077</v>
      </c>
      <c r="F783" s="18">
        <f t="shared" si="1"/>
        <v>34.9</v>
      </c>
      <c r="G783" s="17" t="str">
        <f>Github!H$1021</f>
        <v>Algorithms</v>
      </c>
      <c r="H783" s="19" t="str">
        <f>SUBSTITUTE(Github!L$1021, ";", ", ")</f>
        <v>Array, Depth-First Search, Breadth-First Search, Union Find, Matrix, </v>
      </c>
      <c r="I783" s="17" t="str">
        <f>Github!E$1021</f>
        <v>Medium</v>
      </c>
      <c r="J783" s="17" t="str">
        <f>IF(TRIM(Github!D$1021)="TRUE","FALSE","TRUE")</f>
        <v>TRUE</v>
      </c>
      <c r="K783" s="17" t="b">
        <f>Github!M$1021</f>
        <v>0</v>
      </c>
      <c r="L783" s="17" t="b">
        <f>Github!N$1021</f>
        <v>0</v>
      </c>
      <c r="M783" s="17" t="str">
        <f>ROUND(Github!O$1021, 2)&amp;"%"</f>
        <v>61.99%</v>
      </c>
      <c r="N783" s="17">
        <f>Github!P$1021</f>
        <v>45201</v>
      </c>
      <c r="O783" s="17">
        <f>Github!Q$1021</f>
        <v>72918</v>
      </c>
    </row>
    <row r="784" ht="18.0" customHeight="1">
      <c r="A784" s="17">
        <f>Github!J$1382</f>
        <v>1381</v>
      </c>
      <c r="B784" s="27" t="str">
        <f>HYPERLINK(CONCAT("http://leetcode.com/problems/",Github!C$1382), Github!B$1382)</f>
        <v>Design a Stack With Increment Operation</v>
      </c>
      <c r="C784" s="17">
        <f>Github!F$1382</f>
        <v>1049</v>
      </c>
      <c r="D784" s="17">
        <f>Github!G$1382</f>
        <v>66</v>
      </c>
      <c r="E784" s="17">
        <f>Github!F$1382+Github!G$1382</f>
        <v>1115</v>
      </c>
      <c r="F784" s="18">
        <f t="shared" si="1"/>
        <v>15.89</v>
      </c>
      <c r="G784" s="17" t="str">
        <f>Github!H$1382</f>
        <v>Algorithms</v>
      </c>
      <c r="H784" s="19" t="str">
        <f>SUBSTITUTE(Github!L$1382, ";", ", ")</f>
        <v>Array, Stack, Design, </v>
      </c>
      <c r="I784" s="17" t="str">
        <f>Github!E$1382</f>
        <v>Medium</v>
      </c>
      <c r="J784" s="17" t="str">
        <f>IF(TRIM(Github!D$1382)="TRUE","FALSE","TRUE")</f>
        <v>TRUE</v>
      </c>
      <c r="K784" s="17" t="b">
        <f>Github!M$1382</f>
        <v>0</v>
      </c>
      <c r="L784" s="17" t="b">
        <f>Github!N$1382</f>
        <v>0</v>
      </c>
      <c r="M784" s="17" t="str">
        <f>ROUND(Github!O$1382, 2)&amp;"%"</f>
        <v>77.06%</v>
      </c>
      <c r="N784" s="17">
        <f>Github!P$1382</f>
        <v>64774</v>
      </c>
      <c r="O784" s="17">
        <f>Github!Q$1382</f>
        <v>84059</v>
      </c>
    </row>
    <row r="785" ht="18.0" customHeight="1">
      <c r="A785" s="17">
        <f>Github!J$970</f>
        <v>969</v>
      </c>
      <c r="B785" s="27" t="str">
        <f>HYPERLINK(CONCAT("http://leetcode.com/problems/",Github!C$970), Github!B$970)</f>
        <v>Pancake Sorting</v>
      </c>
      <c r="C785" s="17">
        <f>Github!F$970</f>
        <v>1043</v>
      </c>
      <c r="D785" s="17">
        <f>Github!G$970</f>
        <v>1217</v>
      </c>
      <c r="E785" s="17">
        <f>Github!F$970+Github!G$970</f>
        <v>2260</v>
      </c>
      <c r="F785" s="18">
        <f t="shared" si="1"/>
        <v>0.86</v>
      </c>
      <c r="G785" s="17" t="str">
        <f>Github!H$970</f>
        <v>Algorithms</v>
      </c>
      <c r="H785" s="19" t="str">
        <f>SUBSTITUTE(Github!L$970, ";", ", ")</f>
        <v>Array, Two Pointers, Greedy, Sorting, </v>
      </c>
      <c r="I785" s="17" t="str">
        <f>Github!E$970</f>
        <v>Medium</v>
      </c>
      <c r="J785" s="17" t="str">
        <f>IF(TRIM(Github!D$970)="TRUE","FALSE","TRUE")</f>
        <v>TRUE</v>
      </c>
      <c r="K785" s="17" t="b">
        <f>Github!M$970</f>
        <v>1</v>
      </c>
      <c r="L785" s="17" t="b">
        <f>Github!N$970</f>
        <v>0</v>
      </c>
      <c r="M785" s="17" t="str">
        <f>ROUND(Github!O$970, 2)&amp;"%"</f>
        <v>69.65%</v>
      </c>
      <c r="N785" s="17">
        <f>Github!P$970</f>
        <v>71920</v>
      </c>
      <c r="O785" s="17">
        <f>Github!Q$970</f>
        <v>103258</v>
      </c>
    </row>
    <row r="786" ht="18.0" customHeight="1">
      <c r="A786" s="17">
        <f>Github!J$433</f>
        <v>432</v>
      </c>
      <c r="B786" s="27" t="str">
        <f>HYPERLINK(CONCAT("http://leetcode.com/problems/",Github!C$433), Github!B$433)</f>
        <v>All O`one Data Structure</v>
      </c>
      <c r="C786" s="17">
        <f>Github!F$433</f>
        <v>1039</v>
      </c>
      <c r="D786" s="17">
        <f>Github!G$433</f>
        <v>124</v>
      </c>
      <c r="E786" s="17">
        <f>Github!F$433+Github!G$433</f>
        <v>1163</v>
      </c>
      <c r="F786" s="18">
        <f t="shared" si="1"/>
        <v>8.38</v>
      </c>
      <c r="G786" s="17" t="str">
        <f>Github!H$433</f>
        <v>Algorithms</v>
      </c>
      <c r="H786" s="19" t="str">
        <f>SUBSTITUTE(Github!L$433, ";", ", ")</f>
        <v>Hash Table, Linked List, Design, Doubly-Linked List, </v>
      </c>
      <c r="I786" s="17" t="str">
        <f>Github!E$433</f>
        <v>Hard</v>
      </c>
      <c r="J786" s="17" t="str">
        <f>IF(TRIM(Github!D$433)="TRUE","FALSE","TRUE")</f>
        <v>TRUE</v>
      </c>
      <c r="K786" s="17" t="b">
        <f>Github!M$433</f>
        <v>0</v>
      </c>
      <c r="L786" s="17" t="b">
        <f>Github!N$433</f>
        <v>0</v>
      </c>
      <c r="M786" s="17" t="str">
        <f>ROUND(Github!O$433, 2)&amp;"%"</f>
        <v>35.49%</v>
      </c>
      <c r="N786" s="17">
        <f>Github!P$433</f>
        <v>54102</v>
      </c>
      <c r="O786" s="17">
        <f>Github!Q$433</f>
        <v>152459</v>
      </c>
    </row>
    <row r="787" ht="18.0" customHeight="1">
      <c r="A787" s="17">
        <f>Github!J$955</f>
        <v>954</v>
      </c>
      <c r="B787" s="27" t="str">
        <f>HYPERLINK(CONCAT("http://leetcode.com/problems/",Github!C$955), Github!B$955)</f>
        <v>Array of Doubled Pairs</v>
      </c>
      <c r="C787" s="17">
        <f>Github!F$955</f>
        <v>1039</v>
      </c>
      <c r="D787" s="17">
        <f>Github!G$955</f>
        <v>123</v>
      </c>
      <c r="E787" s="17">
        <f>Github!F$955+Github!G$955</f>
        <v>1162</v>
      </c>
      <c r="F787" s="18">
        <f t="shared" si="1"/>
        <v>8.45</v>
      </c>
      <c r="G787" s="17" t="str">
        <f>Github!H$955</f>
        <v>Algorithms</v>
      </c>
      <c r="H787" s="19" t="str">
        <f>SUBSTITUTE(Github!L$955, ";", ", ")</f>
        <v>Array, Hash Table, Greedy, Sorting, </v>
      </c>
      <c r="I787" s="17" t="str">
        <f>Github!E$955</f>
        <v>Medium</v>
      </c>
      <c r="J787" s="17" t="str">
        <f>IF(TRIM(Github!D$955)="TRUE","FALSE","TRUE")</f>
        <v>TRUE</v>
      </c>
      <c r="K787" s="17" t="b">
        <f>Github!M$955</f>
        <v>1</v>
      </c>
      <c r="L787" s="17" t="b">
        <f>Github!N$955</f>
        <v>0</v>
      </c>
      <c r="M787" s="17" t="str">
        <f>ROUND(Github!O$955, 2)&amp;"%"</f>
        <v>38.5%</v>
      </c>
      <c r="N787" s="17">
        <f>Github!P$955</f>
        <v>68233</v>
      </c>
      <c r="O787" s="17">
        <f>Github!Q$955</f>
        <v>177242</v>
      </c>
    </row>
    <row r="788" ht="18.0" customHeight="1">
      <c r="A788" s="17">
        <f>Github!J$1499</f>
        <v>1498</v>
      </c>
      <c r="B788" s="27" t="str">
        <f>HYPERLINK(CONCAT("http://leetcode.com/problems/",Github!C$1499), Github!B$1499)</f>
        <v>Number of Subsequences That Satisfy the Given Sum Condition</v>
      </c>
      <c r="C788" s="17">
        <f>Github!F$1499</f>
        <v>1038</v>
      </c>
      <c r="D788" s="17">
        <f>Github!G$1499</f>
        <v>99</v>
      </c>
      <c r="E788" s="17">
        <f>Github!F$1499+Github!G$1499</f>
        <v>1137</v>
      </c>
      <c r="F788" s="18">
        <f t="shared" si="1"/>
        <v>10.48</v>
      </c>
      <c r="G788" s="17" t="str">
        <f>Github!H$1499</f>
        <v>Algorithms</v>
      </c>
      <c r="H788" s="19" t="str">
        <f>SUBSTITUTE(Github!L$1499, ";", ", ")</f>
        <v>Array, Two Pointers, Binary Search, Sorting, </v>
      </c>
      <c r="I788" s="17" t="str">
        <f>Github!E$1499</f>
        <v>Medium</v>
      </c>
      <c r="J788" s="17" t="str">
        <f>IF(TRIM(Github!D$1499)="TRUE","FALSE","TRUE")</f>
        <v>TRUE</v>
      </c>
      <c r="K788" s="17" t="b">
        <f>Github!M$1499</f>
        <v>0</v>
      </c>
      <c r="L788" s="17" t="b">
        <f>Github!N$1499</f>
        <v>0</v>
      </c>
      <c r="M788" s="17" t="str">
        <f>ROUND(Github!O$1499, 2)&amp;"%"</f>
        <v>39.17%</v>
      </c>
      <c r="N788" s="17">
        <f>Github!P$1499</f>
        <v>26345</v>
      </c>
      <c r="O788" s="17">
        <f>Github!Q$1499</f>
        <v>67265</v>
      </c>
    </row>
    <row r="789" ht="18.0" customHeight="1">
      <c r="A789" s="17">
        <f>Github!J$601</f>
        <v>600</v>
      </c>
      <c r="B789" s="27" t="str">
        <f>HYPERLINK(CONCAT("http://leetcode.com/problems/",Github!C$601), Github!B$601)</f>
        <v>Non-negative Integers without Consecutive Ones</v>
      </c>
      <c r="C789" s="17">
        <f>Github!F$601</f>
        <v>1037</v>
      </c>
      <c r="D789" s="17">
        <f>Github!G$601</f>
        <v>113</v>
      </c>
      <c r="E789" s="17">
        <f>Github!F$601+Github!G$601</f>
        <v>1150</v>
      </c>
      <c r="F789" s="18">
        <f t="shared" si="1"/>
        <v>9.18</v>
      </c>
      <c r="G789" s="17" t="str">
        <f>Github!H$601</f>
        <v>Algorithms</v>
      </c>
      <c r="H789" s="19" t="str">
        <f>SUBSTITUTE(Github!L$601, ";", ", ")</f>
        <v>Dynamic Programming, </v>
      </c>
      <c r="I789" s="17" t="str">
        <f>Github!E$601</f>
        <v>Hard</v>
      </c>
      <c r="J789" s="17" t="str">
        <f>IF(TRIM(Github!D$601)="TRUE","FALSE","TRUE")</f>
        <v>TRUE</v>
      </c>
      <c r="K789" s="17" t="b">
        <f>Github!M$601</f>
        <v>1</v>
      </c>
      <c r="L789" s="17" t="b">
        <f>Github!N$601</f>
        <v>0</v>
      </c>
      <c r="M789" s="17" t="str">
        <f>ROUND(Github!O$601, 2)&amp;"%"</f>
        <v>38.65%</v>
      </c>
      <c r="N789" s="17">
        <f>Github!P$601</f>
        <v>29993</v>
      </c>
      <c r="O789" s="17">
        <f>Github!Q$601</f>
        <v>77612</v>
      </c>
    </row>
    <row r="790" ht="18.0" customHeight="1">
      <c r="A790" s="17">
        <f>Github!J$468</f>
        <v>467</v>
      </c>
      <c r="B790" s="27" t="str">
        <f>HYPERLINK(CONCAT("http://leetcode.com/problems/",Github!C$468), Github!B$468)</f>
        <v>Unique Substrings in Wraparound String</v>
      </c>
      <c r="C790" s="17">
        <f>Github!F$468</f>
        <v>1035</v>
      </c>
      <c r="D790" s="17">
        <f>Github!G$468</f>
        <v>131</v>
      </c>
      <c r="E790" s="17">
        <f>Github!F$468+Github!G$468</f>
        <v>1166</v>
      </c>
      <c r="F790" s="18">
        <f t="shared" si="1"/>
        <v>7.9</v>
      </c>
      <c r="G790" s="17" t="str">
        <f>Github!H$468</f>
        <v>Algorithms</v>
      </c>
      <c r="H790" s="19" t="str">
        <f>SUBSTITUTE(Github!L$468, ";", ", ")</f>
        <v>String, Dynamic Programming, </v>
      </c>
      <c r="I790" s="17" t="str">
        <f>Github!E$468</f>
        <v>Medium</v>
      </c>
      <c r="J790" s="17" t="str">
        <f>IF(TRIM(Github!D$468)="TRUE","FALSE","TRUE")</f>
        <v>TRUE</v>
      </c>
      <c r="K790" s="17" t="b">
        <f>Github!M$468</f>
        <v>0</v>
      </c>
      <c r="L790" s="17" t="b">
        <f>Github!N$468</f>
        <v>0</v>
      </c>
      <c r="M790" s="17" t="str">
        <f>ROUND(Github!O$468, 2)&amp;"%"</f>
        <v>37.35%</v>
      </c>
      <c r="N790" s="17">
        <f>Github!P$468</f>
        <v>34235</v>
      </c>
      <c r="O790" s="17">
        <f>Github!Q$468</f>
        <v>91668</v>
      </c>
    </row>
    <row r="791" ht="18.0" customHeight="1">
      <c r="A791" s="17">
        <f>Github!J$903</f>
        <v>902</v>
      </c>
      <c r="B791" s="27" t="str">
        <f>HYPERLINK(CONCAT("http://leetcode.com/problems/",Github!C$903), Github!B$903)</f>
        <v>Numbers At Most N Given Digit Set</v>
      </c>
      <c r="C791" s="17">
        <f>Github!F$903</f>
        <v>1032</v>
      </c>
      <c r="D791" s="17">
        <f>Github!G$903</f>
        <v>88</v>
      </c>
      <c r="E791" s="17">
        <f>Github!F$903+Github!G$903</f>
        <v>1120</v>
      </c>
      <c r="F791" s="18">
        <f t="shared" si="1"/>
        <v>11.73</v>
      </c>
      <c r="G791" s="17" t="str">
        <f>Github!H$903</f>
        <v>Algorithms</v>
      </c>
      <c r="H791" s="19" t="str">
        <f>SUBSTITUTE(Github!L$903, ";", ", ")</f>
        <v>Array, Math, Binary Search, Dynamic Programming, </v>
      </c>
      <c r="I791" s="17" t="str">
        <f>Github!E$903</f>
        <v>Hard</v>
      </c>
      <c r="J791" s="17" t="str">
        <f>IF(TRIM(Github!D$903)="TRUE","FALSE","TRUE")</f>
        <v>TRUE</v>
      </c>
      <c r="K791" s="17" t="b">
        <f>Github!M$903</f>
        <v>1</v>
      </c>
      <c r="L791" s="17" t="b">
        <f>Github!N$903</f>
        <v>0</v>
      </c>
      <c r="M791" s="17" t="str">
        <f>ROUND(Github!O$903, 2)&amp;"%"</f>
        <v>40.8%</v>
      </c>
      <c r="N791" s="17">
        <f>Github!P$903</f>
        <v>34789</v>
      </c>
      <c r="O791" s="17">
        <f>Github!Q$903</f>
        <v>85260</v>
      </c>
    </row>
    <row r="792" ht="18.0" customHeight="1">
      <c r="A792" s="17">
        <f>Github!J$941</f>
        <v>940</v>
      </c>
      <c r="B792" s="27" t="str">
        <f>HYPERLINK(CONCAT("http://leetcode.com/problems/",Github!C$941), Github!B$941)</f>
        <v>Distinct Subsequences II</v>
      </c>
      <c r="C792" s="17">
        <f>Github!F$941</f>
        <v>1031</v>
      </c>
      <c r="D792" s="17">
        <f>Github!G$941</f>
        <v>27</v>
      </c>
      <c r="E792" s="17">
        <f>Github!F$941+Github!G$941</f>
        <v>1058</v>
      </c>
      <c r="F792" s="18">
        <f t="shared" si="1"/>
        <v>38.19</v>
      </c>
      <c r="G792" s="17" t="str">
        <f>Github!H$941</f>
        <v>Algorithms</v>
      </c>
      <c r="H792" s="19" t="str">
        <f>SUBSTITUTE(Github!L$941, ";", ", ")</f>
        <v>String, Dynamic Programming, </v>
      </c>
      <c r="I792" s="17" t="str">
        <f>Github!E$941</f>
        <v>Hard</v>
      </c>
      <c r="J792" s="17" t="str">
        <f>IF(TRIM(Github!D$941)="TRUE","FALSE","TRUE")</f>
        <v>TRUE</v>
      </c>
      <c r="K792" s="17" t="b">
        <f>Github!M$941</f>
        <v>1</v>
      </c>
      <c r="L792" s="17" t="b">
        <f>Github!N$941</f>
        <v>0</v>
      </c>
      <c r="M792" s="17" t="str">
        <f>ROUND(Github!O$941, 2)&amp;"%"</f>
        <v>44.2%</v>
      </c>
      <c r="N792" s="17">
        <f>Github!P$941</f>
        <v>26002</v>
      </c>
      <c r="O792" s="17">
        <f>Github!Q$941</f>
        <v>58834</v>
      </c>
    </row>
    <row r="793" ht="18.0" customHeight="1">
      <c r="A793" s="17">
        <f>Github!J$1109</f>
        <v>1108</v>
      </c>
      <c r="B793" s="27" t="str">
        <f>HYPERLINK(CONCAT("http://leetcode.com/problems/",Github!C$1109), Github!B$1109)</f>
        <v>Defanging an IP Address</v>
      </c>
      <c r="C793" s="17">
        <f>Github!F$1109</f>
        <v>1030</v>
      </c>
      <c r="D793" s="17">
        <f>Github!G$1109</f>
        <v>1438</v>
      </c>
      <c r="E793" s="17">
        <f>Github!F$1109+Github!G$1109</f>
        <v>2468</v>
      </c>
      <c r="F793" s="18">
        <f t="shared" si="1"/>
        <v>0.72</v>
      </c>
      <c r="G793" s="17" t="str">
        <f>Github!H$1109</f>
        <v>Algorithms</v>
      </c>
      <c r="H793" s="19" t="str">
        <f>SUBSTITUTE(Github!L$1109, ";", ", ")</f>
        <v>String, </v>
      </c>
      <c r="I793" s="17" t="str">
        <f>Github!E$1109</f>
        <v>Easy</v>
      </c>
      <c r="J793" s="17" t="str">
        <f>IF(TRIM(Github!D$1109)="TRUE","FALSE","TRUE")</f>
        <v>TRUE</v>
      </c>
      <c r="K793" s="17" t="b">
        <f>Github!M$1109</f>
        <v>0</v>
      </c>
      <c r="L793" s="17" t="b">
        <f>Github!N$1109</f>
        <v>0</v>
      </c>
      <c r="M793" s="17" t="str">
        <f>ROUND(Github!O$1109, 2)&amp;"%"</f>
        <v>88.9%</v>
      </c>
      <c r="N793" s="17">
        <f>Github!P$1109</f>
        <v>393427</v>
      </c>
      <c r="O793" s="17">
        <f>Github!Q$1109</f>
        <v>442528</v>
      </c>
    </row>
    <row r="794" ht="18.0" customHeight="1">
      <c r="A794" s="17">
        <f>Github!J$1553</f>
        <v>1552</v>
      </c>
      <c r="B794" s="27" t="str">
        <f>HYPERLINK(CONCAT("http://leetcode.com/problems/",Github!C$1553), Github!B$1553)</f>
        <v>Magnetic Force Between Two Balls</v>
      </c>
      <c r="C794" s="17">
        <f>Github!F$1553</f>
        <v>1030</v>
      </c>
      <c r="D794" s="17">
        <f>Github!G$1553</f>
        <v>76</v>
      </c>
      <c r="E794" s="17">
        <f>Github!F$1553+Github!G$1553</f>
        <v>1106</v>
      </c>
      <c r="F794" s="18">
        <f t="shared" si="1"/>
        <v>13.55</v>
      </c>
      <c r="G794" s="17" t="str">
        <f>Github!H$1553</f>
        <v>Algorithms</v>
      </c>
      <c r="H794" s="19" t="str">
        <f>SUBSTITUTE(Github!L$1553, ";", ", ")</f>
        <v>Array, Binary Search, Sorting, </v>
      </c>
      <c r="I794" s="17" t="str">
        <f>Github!E$1553</f>
        <v>Medium</v>
      </c>
      <c r="J794" s="17" t="str">
        <f>IF(TRIM(Github!D$1553)="TRUE","FALSE","TRUE")</f>
        <v>TRUE</v>
      </c>
      <c r="K794" s="17" t="b">
        <f>Github!M$1553</f>
        <v>0</v>
      </c>
      <c r="L794" s="17" t="b">
        <f>Github!N$1553</f>
        <v>0</v>
      </c>
      <c r="M794" s="17" t="str">
        <f>ROUND(Github!O$1553, 2)&amp;"%"</f>
        <v>53.87%</v>
      </c>
      <c r="N794" s="17">
        <f>Github!P$1553</f>
        <v>24330</v>
      </c>
      <c r="O794" s="17">
        <f>Github!Q$1553</f>
        <v>45167</v>
      </c>
    </row>
    <row r="795" ht="18.0" customHeight="1">
      <c r="A795" s="17">
        <f>Github!J$185</f>
        <v>184</v>
      </c>
      <c r="B795" s="27" t="str">
        <f>HYPERLINK(CONCAT("http://leetcode.com/problems/",Github!C$185), Github!B$185)</f>
        <v>Department Highest Salary</v>
      </c>
      <c r="C795" s="17">
        <f>Github!F$185</f>
        <v>1029</v>
      </c>
      <c r="D795" s="17">
        <f>Github!G$185</f>
        <v>163</v>
      </c>
      <c r="E795" s="17">
        <f>Github!F$185+Github!G$185</f>
        <v>1192</v>
      </c>
      <c r="F795" s="18">
        <f t="shared" si="1"/>
        <v>6.31</v>
      </c>
      <c r="G795" s="17" t="str">
        <f>Github!H$185</f>
        <v>Database</v>
      </c>
      <c r="H795" s="19" t="str">
        <f>SUBSTITUTE(Github!L$185, ";", ", ")</f>
        <v>Database, </v>
      </c>
      <c r="I795" s="17" t="str">
        <f>Github!E$185</f>
        <v>Medium</v>
      </c>
      <c r="J795" s="17" t="str">
        <f>IF(TRIM(Github!D$185)="TRUE","FALSE","TRUE")</f>
        <v>TRUE</v>
      </c>
      <c r="K795" s="17" t="b">
        <f>Github!M$185</f>
        <v>1</v>
      </c>
      <c r="L795" s="17" t="b">
        <f>Github!N$185</f>
        <v>0</v>
      </c>
      <c r="M795" s="17" t="str">
        <f>ROUND(Github!O$185, 2)&amp;"%"</f>
        <v>46.09%</v>
      </c>
      <c r="N795" s="17">
        <f>Github!P$185</f>
        <v>208867</v>
      </c>
      <c r="O795" s="17">
        <f>Github!Q$185</f>
        <v>453168</v>
      </c>
    </row>
    <row r="796" ht="18.0" customHeight="1">
      <c r="A796" s="17">
        <f>Github!J$1297</f>
        <v>1296</v>
      </c>
      <c r="B796" s="27" t="str">
        <f>HYPERLINK(CONCAT("http://leetcode.com/problems/",Github!C$1297), Github!B$1297)</f>
        <v>Divide Array in Sets of K Consecutive Numbers</v>
      </c>
      <c r="C796" s="17">
        <f>Github!F$1297</f>
        <v>1029</v>
      </c>
      <c r="D796" s="17">
        <f>Github!G$1297</f>
        <v>77</v>
      </c>
      <c r="E796" s="17">
        <f>Github!F$1297+Github!G$1297</f>
        <v>1106</v>
      </c>
      <c r="F796" s="18">
        <f t="shared" si="1"/>
        <v>13.36</v>
      </c>
      <c r="G796" s="17" t="str">
        <f>Github!H$1297</f>
        <v>Algorithms</v>
      </c>
      <c r="H796" s="19" t="str">
        <f>SUBSTITUTE(Github!L$1297, ";", ", ")</f>
        <v>Array, Hash Table, Greedy, Sorting, </v>
      </c>
      <c r="I796" s="17" t="str">
        <f>Github!E$1297</f>
        <v>Medium</v>
      </c>
      <c r="J796" s="17" t="str">
        <f>IF(TRIM(Github!D$1297)="TRUE","FALSE","TRUE")</f>
        <v>TRUE</v>
      </c>
      <c r="K796" s="17" t="b">
        <f>Github!M$1297</f>
        <v>0</v>
      </c>
      <c r="L796" s="17" t="b">
        <f>Github!N$1297</f>
        <v>0</v>
      </c>
      <c r="M796" s="17" t="str">
        <f>ROUND(Github!O$1297, 2)&amp;"%"</f>
        <v>56.45%</v>
      </c>
      <c r="N796" s="17">
        <f>Github!P$1297</f>
        <v>57320</v>
      </c>
      <c r="O796" s="17">
        <f>Github!Q$1297</f>
        <v>101547</v>
      </c>
    </row>
    <row r="797" ht="18.0" customHeight="1">
      <c r="A797" s="17">
        <f>Github!J$1282</f>
        <v>1281</v>
      </c>
      <c r="B797" s="27" t="str">
        <f>HYPERLINK(CONCAT("http://leetcode.com/problems/",Github!C$1282), Github!B$1282)</f>
        <v>Subtract the Product and Sum of Digits of an Integer</v>
      </c>
      <c r="C797" s="17">
        <f>Github!F$1282</f>
        <v>1028</v>
      </c>
      <c r="D797" s="17">
        <f>Github!G$1282</f>
        <v>183</v>
      </c>
      <c r="E797" s="17">
        <f>Github!F$1282+Github!G$1282</f>
        <v>1211</v>
      </c>
      <c r="F797" s="18">
        <f t="shared" si="1"/>
        <v>5.62</v>
      </c>
      <c r="G797" s="17" t="str">
        <f>Github!H$1282</f>
        <v>Algorithms</v>
      </c>
      <c r="H797" s="19" t="str">
        <f>SUBSTITUTE(Github!L$1282, ";", ", ")</f>
        <v>Math, </v>
      </c>
      <c r="I797" s="17" t="str">
        <f>Github!E$1282</f>
        <v>Easy</v>
      </c>
      <c r="J797" s="17" t="str">
        <f>IF(TRIM(Github!D$1282)="TRUE","FALSE","TRUE")</f>
        <v>TRUE</v>
      </c>
      <c r="K797" s="17" t="b">
        <f>Github!M$1282</f>
        <v>0</v>
      </c>
      <c r="L797" s="17" t="b">
        <f>Github!N$1282</f>
        <v>0</v>
      </c>
      <c r="M797" s="17" t="str">
        <f>ROUND(Github!O$1282, 2)&amp;"%"</f>
        <v>86.1%</v>
      </c>
      <c r="N797" s="17">
        <f>Github!P$1282</f>
        <v>203937</v>
      </c>
      <c r="O797" s="17">
        <f>Github!Q$1282</f>
        <v>236861</v>
      </c>
    </row>
    <row r="798" ht="18.0" customHeight="1">
      <c r="A798" s="17">
        <f>Github!J$488</f>
        <v>487</v>
      </c>
      <c r="B798" s="27" t="str">
        <f>HYPERLINK(CONCAT("http://leetcode.com/problems/",Github!C$488), Github!B$488)</f>
        <v>Max Consecutive Ones II</v>
      </c>
      <c r="C798" s="17">
        <f>Github!F$488</f>
        <v>1024</v>
      </c>
      <c r="D798" s="17">
        <f>Github!G$488</f>
        <v>21</v>
      </c>
      <c r="E798" s="17">
        <f>Github!F$488+Github!G$488</f>
        <v>1045</v>
      </c>
      <c r="F798" s="18">
        <f t="shared" si="1"/>
        <v>48.76</v>
      </c>
      <c r="G798" s="17" t="str">
        <f>Github!H$488</f>
        <v>Algorithms</v>
      </c>
      <c r="H798" s="19" t="str">
        <f>SUBSTITUTE(Github!L$488, ";", ", ")</f>
        <v>Array, Dynamic Programming, Sliding Window, </v>
      </c>
      <c r="I798" s="17" t="str">
        <f>Github!E$488</f>
        <v>Medium</v>
      </c>
      <c r="J798" s="17" t="str">
        <f>IF(TRIM(Github!D$488)="TRUE","FALSE","TRUE")</f>
        <v>FALSE</v>
      </c>
      <c r="K798" s="17" t="b">
        <f>Github!M$488</f>
        <v>1</v>
      </c>
      <c r="L798" s="17" t="b">
        <f>Github!N$488</f>
        <v>0</v>
      </c>
      <c r="M798" s="17" t="str">
        <f>ROUND(Github!O$488, 2)&amp;"%"</f>
        <v>48.78%</v>
      </c>
      <c r="N798" s="17">
        <f>Github!P$488</f>
        <v>86803</v>
      </c>
      <c r="O798" s="17">
        <f>Github!Q$488</f>
        <v>177936</v>
      </c>
    </row>
    <row r="799" ht="18.0" customHeight="1">
      <c r="A799" s="17">
        <f>Github!J$1531</f>
        <v>1530</v>
      </c>
      <c r="B799" s="27" t="str">
        <f>HYPERLINK(CONCAT("http://leetcode.com/problems/",Github!C$1531), Github!B$1531)</f>
        <v>Number of Good Leaf Nodes Pairs</v>
      </c>
      <c r="C799" s="17">
        <f>Github!F$1531</f>
        <v>1025</v>
      </c>
      <c r="D799" s="17">
        <f>Github!G$1531</f>
        <v>21</v>
      </c>
      <c r="E799" s="17">
        <f>Github!F$1531+Github!G$1531</f>
        <v>1046</v>
      </c>
      <c r="F799" s="18">
        <f t="shared" si="1"/>
        <v>48.81</v>
      </c>
      <c r="G799" s="17" t="str">
        <f>Github!H$1531</f>
        <v>Algorithms</v>
      </c>
      <c r="H799" s="19" t="str">
        <f>SUBSTITUTE(Github!L$1531, ";", ", ")</f>
        <v>Tree, Depth-First Search, Binary Tree, </v>
      </c>
      <c r="I799" s="17" t="str">
        <f>Github!E$1531</f>
        <v>Medium</v>
      </c>
      <c r="J799" s="17" t="str">
        <f>IF(TRIM(Github!D$1531)="TRUE","FALSE","TRUE")</f>
        <v>TRUE</v>
      </c>
      <c r="K799" s="17" t="b">
        <f>Github!M$1531</f>
        <v>0</v>
      </c>
      <c r="L799" s="17" t="b">
        <f>Github!N$1531</f>
        <v>0</v>
      </c>
      <c r="M799" s="17" t="str">
        <f>ROUND(Github!O$1531, 2)&amp;"%"</f>
        <v>59.49%</v>
      </c>
      <c r="N799" s="17">
        <f>Github!P$1531</f>
        <v>24075</v>
      </c>
      <c r="O799" s="17">
        <f>Github!Q$1531</f>
        <v>40472</v>
      </c>
    </row>
    <row r="800" ht="18.0" customHeight="1">
      <c r="A800" s="17">
        <f>Github!J$640</f>
        <v>639</v>
      </c>
      <c r="B800" s="27" t="str">
        <f>HYPERLINK(CONCAT("http://leetcode.com/problems/",Github!C$640), Github!B$640)</f>
        <v>Decode Ways II</v>
      </c>
      <c r="C800" s="17">
        <f>Github!F$640</f>
        <v>1020</v>
      </c>
      <c r="D800" s="17">
        <f>Github!G$640</f>
        <v>739</v>
      </c>
      <c r="E800" s="17">
        <f>Github!F$640+Github!G$640</f>
        <v>1759</v>
      </c>
      <c r="F800" s="18">
        <f t="shared" si="1"/>
        <v>1.38</v>
      </c>
      <c r="G800" s="17" t="str">
        <f>Github!H$640</f>
        <v>Algorithms</v>
      </c>
      <c r="H800" s="19" t="str">
        <f>SUBSTITUTE(Github!L$640, ";", ", ")</f>
        <v>String, Dynamic Programming, </v>
      </c>
      <c r="I800" s="17" t="str">
        <f>Github!E$640</f>
        <v>Hard</v>
      </c>
      <c r="J800" s="17" t="str">
        <f>IF(TRIM(Github!D$640)="TRUE","FALSE","TRUE")</f>
        <v>TRUE</v>
      </c>
      <c r="K800" s="17" t="b">
        <f>Github!M$640</f>
        <v>1</v>
      </c>
      <c r="L800" s="17" t="b">
        <f>Github!N$640</f>
        <v>0</v>
      </c>
      <c r="M800" s="17" t="str">
        <f>ROUND(Github!O$640, 2)&amp;"%"</f>
        <v>30.32%</v>
      </c>
      <c r="N800" s="17">
        <f>Github!P$640</f>
        <v>59578</v>
      </c>
      <c r="O800" s="17">
        <f>Github!Q$640</f>
        <v>196469</v>
      </c>
    </row>
    <row r="801" ht="18.0" customHeight="1">
      <c r="A801" s="17">
        <f>Github!J$989</f>
        <v>988</v>
      </c>
      <c r="B801" s="27" t="str">
        <f>HYPERLINK(CONCAT("http://leetcode.com/problems/",Github!C$989), Github!B$989)</f>
        <v>Smallest String Starting From Leaf</v>
      </c>
      <c r="C801" s="17">
        <f>Github!F$989</f>
        <v>1017</v>
      </c>
      <c r="D801" s="17">
        <f>Github!G$989</f>
        <v>166</v>
      </c>
      <c r="E801" s="17">
        <f>Github!F$989+Github!G$989</f>
        <v>1183</v>
      </c>
      <c r="F801" s="18">
        <f t="shared" si="1"/>
        <v>6.13</v>
      </c>
      <c r="G801" s="17" t="str">
        <f>Github!H$989</f>
        <v>Algorithms</v>
      </c>
      <c r="H801" s="19" t="str">
        <f>SUBSTITUTE(Github!L$989, ";", ", ")</f>
        <v>String, Tree, Depth-First Search, Binary Tree, </v>
      </c>
      <c r="I801" s="17" t="str">
        <f>Github!E$989</f>
        <v>Medium</v>
      </c>
      <c r="J801" s="17" t="str">
        <f>IF(TRIM(Github!D$989)="TRUE","FALSE","TRUE")</f>
        <v>TRUE</v>
      </c>
      <c r="K801" s="17" t="b">
        <f>Github!M$989</f>
        <v>1</v>
      </c>
      <c r="L801" s="17" t="b">
        <f>Github!N$989</f>
        <v>0</v>
      </c>
      <c r="M801" s="17" t="str">
        <f>ROUND(Github!O$989, 2)&amp;"%"</f>
        <v>48.59%</v>
      </c>
      <c r="N801" s="17">
        <f>Github!P$989</f>
        <v>50717</v>
      </c>
      <c r="O801" s="17">
        <f>Github!Q$989</f>
        <v>104368</v>
      </c>
    </row>
    <row r="802" ht="18.0" customHeight="1">
      <c r="A802" s="17">
        <f>Github!J$1406</f>
        <v>1405</v>
      </c>
      <c r="B802" s="27" t="str">
        <f>HYPERLINK(CONCAT("http://leetcode.com/problems/",Github!C$1406), Github!B$1406)</f>
        <v>Longest Happy String</v>
      </c>
      <c r="C802" s="17">
        <f>Github!F$1406</f>
        <v>1019</v>
      </c>
      <c r="D802" s="17">
        <f>Github!G$1406</f>
        <v>171</v>
      </c>
      <c r="E802" s="17">
        <f>Github!F$1406+Github!G$1406</f>
        <v>1190</v>
      </c>
      <c r="F802" s="18">
        <f t="shared" si="1"/>
        <v>5.96</v>
      </c>
      <c r="G802" s="17" t="str">
        <f>Github!H$1406</f>
        <v>Algorithms</v>
      </c>
      <c r="H802" s="19" t="str">
        <f>SUBSTITUTE(Github!L$1406, ";", ", ")</f>
        <v>String, Greedy, Heap (Priority Queue), </v>
      </c>
      <c r="I802" s="17" t="str">
        <f>Github!E$1406</f>
        <v>Medium</v>
      </c>
      <c r="J802" s="17" t="str">
        <f>IF(TRIM(Github!D$1406)="TRUE","FALSE","TRUE")</f>
        <v>TRUE</v>
      </c>
      <c r="K802" s="17" t="b">
        <f>Github!M$1406</f>
        <v>0</v>
      </c>
      <c r="L802" s="17" t="b">
        <f>Github!N$1406</f>
        <v>0</v>
      </c>
      <c r="M802" s="17" t="str">
        <f>ROUND(Github!O$1406, 2)&amp;"%"</f>
        <v>56.19%</v>
      </c>
      <c r="N802" s="17">
        <f>Github!P$1406</f>
        <v>38389</v>
      </c>
      <c r="O802" s="17">
        <f>Github!Q$1406</f>
        <v>68324</v>
      </c>
    </row>
    <row r="803" ht="18.0" customHeight="1">
      <c r="A803" s="17">
        <f>Github!J$293</f>
        <v>292</v>
      </c>
      <c r="B803" s="27" t="str">
        <f>HYPERLINK(CONCAT("http://leetcode.com/problems/",Github!C$293), Github!B$293)</f>
        <v>Nim Game</v>
      </c>
      <c r="C803" s="17">
        <f>Github!F$293</f>
        <v>1016</v>
      </c>
      <c r="D803" s="17">
        <f>Github!G$293</f>
        <v>2169</v>
      </c>
      <c r="E803" s="17">
        <f>Github!F$293+Github!G$293</f>
        <v>3185</v>
      </c>
      <c r="F803" s="18">
        <f t="shared" si="1"/>
        <v>0.47</v>
      </c>
      <c r="G803" s="17" t="str">
        <f>Github!H$293</f>
        <v>Algorithms</v>
      </c>
      <c r="H803" s="19" t="str">
        <f>SUBSTITUTE(Github!L$293, ";", ", ")</f>
        <v>Math, Brainteaser, Game Theory, </v>
      </c>
      <c r="I803" s="17" t="str">
        <f>Github!E$293</f>
        <v>Easy</v>
      </c>
      <c r="J803" s="17" t="str">
        <f>IF(TRIM(Github!D$293)="TRUE","FALSE","TRUE")</f>
        <v>TRUE</v>
      </c>
      <c r="K803" s="17" t="b">
        <f>Github!M$293</f>
        <v>1</v>
      </c>
      <c r="L803" s="17" t="b">
        <f>Github!N$293</f>
        <v>0</v>
      </c>
      <c r="M803" s="17" t="str">
        <f>ROUND(Github!O$293, 2)&amp;"%"</f>
        <v>55.43%</v>
      </c>
      <c r="N803" s="17">
        <f>Github!P$293</f>
        <v>272192</v>
      </c>
      <c r="O803" s="17">
        <f>Github!Q$293</f>
        <v>491086</v>
      </c>
    </row>
    <row r="804" ht="18.0" customHeight="1">
      <c r="A804" s="17">
        <f>Github!J$186</f>
        <v>185</v>
      </c>
      <c r="B804" s="27" t="str">
        <f>HYPERLINK(CONCAT("http://leetcode.com/problems/",Github!C$186), Github!B$186)</f>
        <v>Department Top Three Salaries</v>
      </c>
      <c r="C804" s="17">
        <f>Github!F$186</f>
        <v>1012</v>
      </c>
      <c r="D804" s="17">
        <f>Github!G$186</f>
        <v>180</v>
      </c>
      <c r="E804" s="17">
        <f>Github!F$186+Github!G$186</f>
        <v>1192</v>
      </c>
      <c r="F804" s="18">
        <f t="shared" si="1"/>
        <v>5.62</v>
      </c>
      <c r="G804" s="17" t="str">
        <f>Github!H$186</f>
        <v>Database</v>
      </c>
      <c r="H804" s="19" t="str">
        <f>SUBSTITUTE(Github!L$186, ";", ", ")</f>
        <v>Database, </v>
      </c>
      <c r="I804" s="17" t="str">
        <f>Github!E$186</f>
        <v>Hard</v>
      </c>
      <c r="J804" s="17" t="str">
        <f>IF(TRIM(Github!D$186)="TRUE","FALSE","TRUE")</f>
        <v>TRUE</v>
      </c>
      <c r="K804" s="17" t="b">
        <f>Github!M$186</f>
        <v>1</v>
      </c>
      <c r="L804" s="17" t="b">
        <f>Github!N$186</f>
        <v>0</v>
      </c>
      <c r="M804" s="17" t="str">
        <f>ROUND(Github!O$186, 2)&amp;"%"</f>
        <v>46.27%</v>
      </c>
      <c r="N804" s="17">
        <f>Github!P$186</f>
        <v>157366</v>
      </c>
      <c r="O804" s="17">
        <f>Github!Q$186</f>
        <v>340075</v>
      </c>
    </row>
    <row r="805" ht="18.0" customHeight="1">
      <c r="A805" s="17">
        <f>Github!J$1373</f>
        <v>1372</v>
      </c>
      <c r="B805" s="27" t="str">
        <f>HYPERLINK(CONCAT("http://leetcode.com/problems/",Github!C$1373), Github!B$1373)</f>
        <v>Longest ZigZag Path in a Binary Tree</v>
      </c>
      <c r="C805" s="17">
        <f>Github!F$1373</f>
        <v>1016</v>
      </c>
      <c r="D805" s="17">
        <f>Github!G$1373</f>
        <v>20</v>
      </c>
      <c r="E805" s="17">
        <f>Github!F$1373+Github!G$1373</f>
        <v>1036</v>
      </c>
      <c r="F805" s="18">
        <f t="shared" si="1"/>
        <v>50.8</v>
      </c>
      <c r="G805" s="17" t="str">
        <f>Github!H$1373</f>
        <v>Algorithms</v>
      </c>
      <c r="H805" s="19" t="str">
        <f>SUBSTITUTE(Github!L$1373, ";", ", ")</f>
        <v>Dynamic Programming, Tree, Depth-First Search, Binary Tree, </v>
      </c>
      <c r="I805" s="17" t="str">
        <f>Github!E$1373</f>
        <v>Medium</v>
      </c>
      <c r="J805" s="17" t="str">
        <f>IF(TRIM(Github!D$1373)="TRUE","FALSE","TRUE")</f>
        <v>TRUE</v>
      </c>
      <c r="K805" s="17" t="b">
        <f>Github!M$1373</f>
        <v>0</v>
      </c>
      <c r="L805" s="17" t="b">
        <f>Github!N$1373</f>
        <v>0</v>
      </c>
      <c r="M805" s="17" t="str">
        <f>ROUND(Github!O$1373, 2)&amp;"%"</f>
        <v>57.88%</v>
      </c>
      <c r="N805" s="17">
        <f>Github!P$1373</f>
        <v>32194</v>
      </c>
      <c r="O805" s="17">
        <f>Github!Q$1373</f>
        <v>55623</v>
      </c>
    </row>
    <row r="806" ht="18.0" customHeight="1">
      <c r="A806" s="17">
        <f>Github!J$911</f>
        <v>910</v>
      </c>
      <c r="B806" s="27" t="str">
        <f>HYPERLINK(CONCAT("http://leetcode.com/problems/",Github!C$911), Github!B$911)</f>
        <v>Smallest Range II</v>
      </c>
      <c r="C806" s="17">
        <f>Github!F$911</f>
        <v>1011</v>
      </c>
      <c r="D806" s="17">
        <f>Github!G$911</f>
        <v>343</v>
      </c>
      <c r="E806" s="17">
        <f>Github!F$911+Github!G$911</f>
        <v>1354</v>
      </c>
      <c r="F806" s="18">
        <f t="shared" si="1"/>
        <v>2.95</v>
      </c>
      <c r="G806" s="17" t="str">
        <f>Github!H$911</f>
        <v>Algorithms</v>
      </c>
      <c r="H806" s="19" t="str">
        <f>SUBSTITUTE(Github!L$911, ";", ", ")</f>
        <v>Array, Math, Greedy, Sorting, </v>
      </c>
      <c r="I806" s="17" t="str">
        <f>Github!E$911</f>
        <v>Medium</v>
      </c>
      <c r="J806" s="17" t="str">
        <f>IF(TRIM(Github!D$911)="TRUE","FALSE","TRUE")</f>
        <v>TRUE</v>
      </c>
      <c r="K806" s="17" t="b">
        <f>Github!M$911</f>
        <v>1</v>
      </c>
      <c r="L806" s="17" t="b">
        <f>Github!N$911</f>
        <v>0</v>
      </c>
      <c r="M806" s="17" t="str">
        <f>ROUND(Github!O$911, 2)&amp;"%"</f>
        <v>32.32%</v>
      </c>
      <c r="N806" s="17">
        <f>Github!P$911</f>
        <v>31648</v>
      </c>
      <c r="O806" s="17">
        <f>Github!Q$911</f>
        <v>97935</v>
      </c>
    </row>
    <row r="807" ht="18.0" customHeight="1">
      <c r="A807" s="17">
        <f>Github!J$1510</f>
        <v>1509</v>
      </c>
      <c r="B807" s="27" t="str">
        <f>HYPERLINK(CONCAT("http://leetcode.com/problems/",Github!C$1510), Github!B$1510)</f>
        <v>Minimum Difference Between Largest and Smallest Value in Three Moves</v>
      </c>
      <c r="C807" s="17">
        <f>Github!F$1510</f>
        <v>1011</v>
      </c>
      <c r="D807" s="17">
        <f>Github!G$1510</f>
        <v>144</v>
      </c>
      <c r="E807" s="17">
        <f>Github!F$1510+Github!G$1510</f>
        <v>1155</v>
      </c>
      <c r="F807" s="18">
        <f t="shared" si="1"/>
        <v>7.02</v>
      </c>
      <c r="G807" s="17" t="str">
        <f>Github!H$1510</f>
        <v>Algorithms</v>
      </c>
      <c r="H807" s="19" t="str">
        <f>SUBSTITUTE(Github!L$1510, ";", ", ")</f>
        <v>Array, Greedy, Sorting, </v>
      </c>
      <c r="I807" s="17" t="str">
        <f>Github!E$1510</f>
        <v>Medium</v>
      </c>
      <c r="J807" s="17" t="str">
        <f>IF(TRIM(Github!D$1510)="TRUE","FALSE","TRUE")</f>
        <v>TRUE</v>
      </c>
      <c r="K807" s="17" t="b">
        <f>Github!M$1510</f>
        <v>0</v>
      </c>
      <c r="L807" s="17" t="b">
        <f>Github!N$1510</f>
        <v>0</v>
      </c>
      <c r="M807" s="17" t="str">
        <f>ROUND(Github!O$1510, 2)&amp;"%"</f>
        <v>55.79%</v>
      </c>
      <c r="N807" s="17">
        <f>Github!P$1510</f>
        <v>58107</v>
      </c>
      <c r="O807" s="17">
        <f>Github!Q$1510</f>
        <v>104139</v>
      </c>
    </row>
    <row r="808" ht="18.0" customHeight="1">
      <c r="A808" s="17">
        <f>Github!J$710</f>
        <v>709</v>
      </c>
      <c r="B808" s="27" t="str">
        <f>HYPERLINK(CONCAT("http://leetcode.com/problems/",Github!C$710), Github!B$710)</f>
        <v>To Lower Case</v>
      </c>
      <c r="C808" s="17">
        <f>Github!F$710</f>
        <v>1010</v>
      </c>
      <c r="D808" s="17">
        <f>Github!G$710</f>
        <v>2262</v>
      </c>
      <c r="E808" s="17">
        <f>Github!F$710+Github!G$710</f>
        <v>3272</v>
      </c>
      <c r="F808" s="18">
        <f t="shared" si="1"/>
        <v>0.45</v>
      </c>
      <c r="G808" s="17" t="str">
        <f>Github!H$710</f>
        <v>Algorithms</v>
      </c>
      <c r="H808" s="19" t="str">
        <f>SUBSTITUTE(Github!L$710, ";", ", ")</f>
        <v>String, </v>
      </c>
      <c r="I808" s="17" t="str">
        <f>Github!E$710</f>
        <v>Easy</v>
      </c>
      <c r="J808" s="17" t="str">
        <f>IF(TRIM(Github!D$710)="TRUE","FALSE","TRUE")</f>
        <v>TRUE</v>
      </c>
      <c r="K808" s="17" t="b">
        <f>Github!M$710</f>
        <v>1</v>
      </c>
      <c r="L808" s="17" t="b">
        <f>Github!N$710</f>
        <v>0</v>
      </c>
      <c r="M808" s="17" t="str">
        <f>ROUND(Github!O$710, 2)&amp;"%"</f>
        <v>81.16%</v>
      </c>
      <c r="N808" s="17">
        <f>Github!P$710</f>
        <v>327443</v>
      </c>
      <c r="O808" s="17">
        <f>Github!Q$710</f>
        <v>403472</v>
      </c>
    </row>
    <row r="809" ht="18.0" customHeight="1">
      <c r="A809" s="17">
        <f>Github!J$812</f>
        <v>811</v>
      </c>
      <c r="B809" s="27" t="str">
        <f>HYPERLINK(CONCAT("http://leetcode.com/problems/",Github!C$812), Github!B$812)</f>
        <v>Subdomain Visit Count</v>
      </c>
      <c r="C809" s="17">
        <f>Github!F$812</f>
        <v>1009</v>
      </c>
      <c r="D809" s="17">
        <f>Github!G$812</f>
        <v>1091</v>
      </c>
      <c r="E809" s="17">
        <f>Github!F$812+Github!G$812</f>
        <v>2100</v>
      </c>
      <c r="F809" s="18">
        <f t="shared" si="1"/>
        <v>0.92</v>
      </c>
      <c r="G809" s="17" t="str">
        <f>Github!H$812</f>
        <v>Algorithms</v>
      </c>
      <c r="H809" s="19" t="str">
        <f>SUBSTITUTE(Github!L$812, ";", ", ")</f>
        <v>Array, Hash Table, String, Counting, </v>
      </c>
      <c r="I809" s="17" t="str">
        <f>Github!E$812</f>
        <v>Medium</v>
      </c>
      <c r="J809" s="17" t="str">
        <f>IF(TRIM(Github!D$812)="TRUE","FALSE","TRUE")</f>
        <v>TRUE</v>
      </c>
      <c r="K809" s="17" t="b">
        <f>Github!M$812</f>
        <v>1</v>
      </c>
      <c r="L809" s="17" t="b">
        <f>Github!N$812</f>
        <v>0</v>
      </c>
      <c r="M809" s="17" t="str">
        <f>ROUND(Github!O$812, 2)&amp;"%"</f>
        <v>73.96%</v>
      </c>
      <c r="N809" s="17">
        <f>Github!P$812</f>
        <v>164247</v>
      </c>
      <c r="O809" s="17">
        <f>Github!Q$812</f>
        <v>222075</v>
      </c>
    </row>
    <row r="810" ht="18.0" customHeight="1">
      <c r="A810" s="17">
        <f>Github!J$1824</f>
        <v>1823</v>
      </c>
      <c r="B810" s="27" t="str">
        <f>HYPERLINK(CONCAT("http://leetcode.com/problems/",Github!C$1824), Github!B$1824)</f>
        <v>Find the Winner of the Circular Game</v>
      </c>
      <c r="C810" s="17">
        <f>Github!F$1824</f>
        <v>1007</v>
      </c>
      <c r="D810" s="17">
        <f>Github!G$1824</f>
        <v>29</v>
      </c>
      <c r="E810" s="17">
        <f>Github!F$1824+Github!G$1824</f>
        <v>1036</v>
      </c>
      <c r="F810" s="18">
        <f t="shared" si="1"/>
        <v>34.72</v>
      </c>
      <c r="G810" s="17" t="str">
        <f>Github!H$1824</f>
        <v>Algorithms</v>
      </c>
      <c r="H810" s="19" t="str">
        <f>SUBSTITUTE(Github!L$1824, ";", ", ")</f>
        <v>Array, Math, Recursion, Queue, Simulation, </v>
      </c>
      <c r="I810" s="17" t="str">
        <f>Github!E$1824</f>
        <v>Medium</v>
      </c>
      <c r="J810" s="17" t="str">
        <f>IF(TRIM(Github!D$1824)="TRUE","FALSE","TRUE")</f>
        <v>TRUE</v>
      </c>
      <c r="K810" s="17" t="b">
        <f>Github!M$1824</f>
        <v>0</v>
      </c>
      <c r="L810" s="17" t="b">
        <f>Github!N$1824</f>
        <v>0</v>
      </c>
      <c r="M810" s="17" t="str">
        <f>ROUND(Github!O$1824, 2)&amp;"%"</f>
        <v>76.21%</v>
      </c>
      <c r="N810" s="17">
        <f>Github!P$1824</f>
        <v>38818</v>
      </c>
      <c r="O810" s="17">
        <f>Github!Q$1824</f>
        <v>50938</v>
      </c>
    </row>
    <row r="811" ht="18.0" customHeight="1">
      <c r="A811" s="17">
        <f>Github!J$273</f>
        <v>272</v>
      </c>
      <c r="B811" s="27" t="str">
        <f>HYPERLINK(CONCAT("http://leetcode.com/problems/",Github!C$273), Github!B$273)</f>
        <v>Closest Binary Search Tree Value II</v>
      </c>
      <c r="C811" s="17">
        <f>Github!F$273</f>
        <v>1005</v>
      </c>
      <c r="D811" s="17">
        <f>Github!G$273</f>
        <v>32</v>
      </c>
      <c r="E811" s="17">
        <f>Github!F$273+Github!G$273</f>
        <v>1037</v>
      </c>
      <c r="F811" s="18">
        <f t="shared" si="1"/>
        <v>31.41</v>
      </c>
      <c r="G811" s="17" t="str">
        <f>Github!H$273</f>
        <v>Algorithms</v>
      </c>
      <c r="H811" s="19" t="str">
        <f>SUBSTITUTE(Github!L$273, ";", ", ")</f>
        <v>Two Pointers, Stack, Tree, Depth-First Search, Binary Search Tree, Heap (Priority Queue), Binary Tree, </v>
      </c>
      <c r="I811" s="17" t="str">
        <f>Github!E$273</f>
        <v>Hard</v>
      </c>
      <c r="J811" s="17" t="str">
        <f>IF(TRIM(Github!D$273)="TRUE","FALSE","TRUE")</f>
        <v>FALSE</v>
      </c>
      <c r="K811" s="17" t="b">
        <f>Github!M$273</f>
        <v>1</v>
      </c>
      <c r="L811" s="17" t="b">
        <f>Github!N$273</f>
        <v>0</v>
      </c>
      <c r="M811" s="17" t="str">
        <f>ROUND(Github!O$273, 2)&amp;"%"</f>
        <v>56.29%</v>
      </c>
      <c r="N811" s="17">
        <f>Github!P$273</f>
        <v>91544</v>
      </c>
      <c r="O811" s="17">
        <f>Github!Q$273</f>
        <v>162622</v>
      </c>
    </row>
    <row r="812" ht="18.0" customHeight="1">
      <c r="A812" s="17">
        <f>Github!J$746</f>
        <v>745</v>
      </c>
      <c r="B812" s="27" t="str">
        <f>HYPERLINK(CONCAT("http://leetcode.com/problems/",Github!C$746), Github!B$746)</f>
        <v>Prefix and Suffix Search</v>
      </c>
      <c r="C812" s="17">
        <f>Github!F$746</f>
        <v>1005</v>
      </c>
      <c r="D812" s="17">
        <f>Github!G$746</f>
        <v>325</v>
      </c>
      <c r="E812" s="17">
        <f>Github!F$746+Github!G$746</f>
        <v>1330</v>
      </c>
      <c r="F812" s="18">
        <f t="shared" si="1"/>
        <v>3.09</v>
      </c>
      <c r="G812" s="17" t="str">
        <f>Github!H$746</f>
        <v>Algorithms</v>
      </c>
      <c r="H812" s="19" t="str">
        <f>SUBSTITUTE(Github!L$746, ";", ", ")</f>
        <v>String, Design, Trie, </v>
      </c>
      <c r="I812" s="17" t="str">
        <f>Github!E$746</f>
        <v>Hard</v>
      </c>
      <c r="J812" s="17" t="str">
        <f>IF(TRIM(Github!D$746)="TRUE","FALSE","TRUE")</f>
        <v>TRUE</v>
      </c>
      <c r="K812" s="17" t="b">
        <f>Github!M$746</f>
        <v>1</v>
      </c>
      <c r="L812" s="17" t="b">
        <f>Github!N$746</f>
        <v>0</v>
      </c>
      <c r="M812" s="17" t="str">
        <f>ROUND(Github!O$746, 2)&amp;"%"</f>
        <v>36.39%</v>
      </c>
      <c r="N812" s="17">
        <f>Github!P$746</f>
        <v>48722</v>
      </c>
      <c r="O812" s="17">
        <f>Github!Q$746</f>
        <v>133905</v>
      </c>
    </row>
    <row r="813" ht="18.0" customHeight="1">
      <c r="A813" s="17">
        <f>Github!J$1374</f>
        <v>1373</v>
      </c>
      <c r="B813" s="27" t="str">
        <f>HYPERLINK(CONCAT("http://leetcode.com/problems/",Github!C$1374), Github!B$1374)</f>
        <v>Maximum Sum BST in Binary Tree</v>
      </c>
      <c r="C813" s="17">
        <f>Github!F$1374</f>
        <v>1006</v>
      </c>
      <c r="D813" s="17">
        <f>Github!G$1374</f>
        <v>117</v>
      </c>
      <c r="E813" s="17">
        <f>Github!F$1374+Github!G$1374</f>
        <v>1123</v>
      </c>
      <c r="F813" s="18">
        <f t="shared" si="1"/>
        <v>8.6</v>
      </c>
      <c r="G813" s="17" t="str">
        <f>Github!H$1374</f>
        <v>Algorithms</v>
      </c>
      <c r="H813" s="19" t="str">
        <f>SUBSTITUTE(Github!L$1374, ";", ", ")</f>
        <v>Dynamic Programming, Tree, Depth-First Search, Binary Search Tree, Binary Tree, </v>
      </c>
      <c r="I813" s="17" t="str">
        <f>Github!E$1374</f>
        <v>Hard</v>
      </c>
      <c r="J813" s="17" t="str">
        <f>IF(TRIM(Github!D$1374)="TRUE","FALSE","TRUE")</f>
        <v>TRUE</v>
      </c>
      <c r="K813" s="17" t="b">
        <f>Github!M$1374</f>
        <v>0</v>
      </c>
      <c r="L813" s="17" t="b">
        <f>Github!N$1374</f>
        <v>0</v>
      </c>
      <c r="M813" s="17" t="str">
        <f>ROUND(Github!O$1374, 2)&amp;"%"</f>
        <v>38.55%</v>
      </c>
      <c r="N813" s="17">
        <f>Github!P$1374</f>
        <v>29776</v>
      </c>
      <c r="O813" s="17">
        <f>Github!Q$1374</f>
        <v>77236</v>
      </c>
    </row>
    <row r="814" ht="18.0" customHeight="1">
      <c r="A814" s="17">
        <f>Github!J$1466</f>
        <v>1465</v>
      </c>
      <c r="B814" s="27" t="str">
        <f>HYPERLINK(CONCAT("http://leetcode.com/problems/",Github!C$1466), Github!B$1466)</f>
        <v>Maximum Area of a Piece of Cake After Horizontal and Vertical Cuts</v>
      </c>
      <c r="C814" s="17">
        <f>Github!F$1466</f>
        <v>1003</v>
      </c>
      <c r="D814" s="17">
        <f>Github!G$1466</f>
        <v>231</v>
      </c>
      <c r="E814" s="17">
        <f>Github!F$1466+Github!G$1466</f>
        <v>1234</v>
      </c>
      <c r="F814" s="18">
        <f t="shared" si="1"/>
        <v>4.34</v>
      </c>
      <c r="G814" s="17" t="str">
        <f>Github!H$1466</f>
        <v>Algorithms</v>
      </c>
      <c r="H814" s="19" t="str">
        <f>SUBSTITUTE(Github!L$1466, ";", ", ")</f>
        <v>Array, Greedy, Sorting, </v>
      </c>
      <c r="I814" s="17" t="str">
        <f>Github!E$1466</f>
        <v>Medium</v>
      </c>
      <c r="J814" s="17" t="str">
        <f>IF(TRIM(Github!D$1466)="TRUE","FALSE","TRUE")</f>
        <v>TRUE</v>
      </c>
      <c r="K814" s="17" t="b">
        <f>Github!M$1466</f>
        <v>1</v>
      </c>
      <c r="L814" s="17" t="b">
        <f>Github!N$1466</f>
        <v>0</v>
      </c>
      <c r="M814" s="17" t="str">
        <f>ROUND(Github!O$1466, 2)&amp;"%"</f>
        <v>37.09%</v>
      </c>
      <c r="N814" s="17">
        <f>Github!P$1466</f>
        <v>89173</v>
      </c>
      <c r="O814" s="17">
        <f>Github!Q$1466</f>
        <v>240411</v>
      </c>
    </row>
    <row r="815" ht="18.0" customHeight="1">
      <c r="A815" s="17">
        <f>Github!J$506</f>
        <v>505</v>
      </c>
      <c r="B815" s="27" t="str">
        <f>HYPERLINK(CONCAT("http://leetcode.com/problems/",Github!C$506), Github!B$506)</f>
        <v>The Maze II</v>
      </c>
      <c r="C815" s="17">
        <f>Github!F$506</f>
        <v>1000</v>
      </c>
      <c r="D815" s="17">
        <f>Github!G$506</f>
        <v>45</v>
      </c>
      <c r="E815" s="17">
        <f>Github!F$506+Github!G$506</f>
        <v>1045</v>
      </c>
      <c r="F815" s="18">
        <f t="shared" si="1"/>
        <v>22.22</v>
      </c>
      <c r="G815" s="17" t="str">
        <f>Github!H$506</f>
        <v>Algorithms</v>
      </c>
      <c r="H815" s="19" t="str">
        <f>SUBSTITUTE(Github!L$506, ";", ", ")</f>
        <v>Depth-First Search, Breadth-First Search, Graph, Heap (Priority Queue), Shortest Path, </v>
      </c>
      <c r="I815" s="17" t="str">
        <f>Github!E$506</f>
        <v>Medium</v>
      </c>
      <c r="J815" s="17" t="str">
        <f>IF(TRIM(Github!D$506)="TRUE","FALSE","TRUE")</f>
        <v>FALSE</v>
      </c>
      <c r="K815" s="17" t="b">
        <f>Github!M$506</f>
        <v>1</v>
      </c>
      <c r="L815" s="17" t="b">
        <f>Github!N$506</f>
        <v>0</v>
      </c>
      <c r="M815" s="17" t="str">
        <f>ROUND(Github!O$506, 2)&amp;"%"</f>
        <v>51.12%</v>
      </c>
      <c r="N815" s="17">
        <f>Github!P$506</f>
        <v>78197</v>
      </c>
      <c r="O815" s="17">
        <f>Github!Q$506</f>
        <v>152980</v>
      </c>
    </row>
    <row r="816" ht="18.0" customHeight="1">
      <c r="A816" s="17">
        <f>Github!J$546</f>
        <v>545</v>
      </c>
      <c r="B816" s="27" t="str">
        <f>HYPERLINK(CONCAT("http://leetcode.com/problems/",Github!C$546), Github!B$546)</f>
        <v>Boundary of Binary Tree</v>
      </c>
      <c r="C816" s="17">
        <f>Github!F$546</f>
        <v>999</v>
      </c>
      <c r="D816" s="17">
        <f>Github!G$546</f>
        <v>1628</v>
      </c>
      <c r="E816" s="17">
        <f>Github!F$546+Github!G$546</f>
        <v>2627</v>
      </c>
      <c r="F816" s="18">
        <f t="shared" si="1"/>
        <v>0.61</v>
      </c>
      <c r="G816" s="17" t="str">
        <f>Github!H$546</f>
        <v>Algorithms</v>
      </c>
      <c r="H816" s="19" t="str">
        <f>SUBSTITUTE(Github!L$546, ";", ", ")</f>
        <v>Tree, Depth-First Search, Binary Tree, </v>
      </c>
      <c r="I816" s="17" t="str">
        <f>Github!E$546</f>
        <v>Medium</v>
      </c>
      <c r="J816" s="17" t="str">
        <f>IF(TRIM(Github!D$546)="TRUE","FALSE","TRUE")</f>
        <v>FALSE</v>
      </c>
      <c r="K816" s="17" t="b">
        <f>Github!M$546</f>
        <v>1</v>
      </c>
      <c r="L816" s="17" t="b">
        <f>Github!N$546</f>
        <v>0</v>
      </c>
      <c r="M816" s="17" t="str">
        <f>ROUND(Github!O$546, 2)&amp;"%"</f>
        <v>42.85%</v>
      </c>
      <c r="N816" s="17">
        <f>Github!P$546</f>
        <v>95309</v>
      </c>
      <c r="O816" s="17">
        <f>Github!Q$546</f>
        <v>222436</v>
      </c>
    </row>
    <row r="817" ht="18.0" customHeight="1">
      <c r="A817" s="17">
        <f>Github!J$183</f>
        <v>182</v>
      </c>
      <c r="B817" s="27" t="str">
        <f>HYPERLINK(CONCAT("http://leetcode.com/problems/",Github!C$183), Github!B$183)</f>
        <v>Duplicate Emails</v>
      </c>
      <c r="C817" s="17">
        <f>Github!F$183</f>
        <v>990</v>
      </c>
      <c r="D817" s="17">
        <f>Github!G$183</f>
        <v>45</v>
      </c>
      <c r="E817" s="17">
        <f>Github!F$183+Github!G$183</f>
        <v>1035</v>
      </c>
      <c r="F817" s="18">
        <f t="shared" si="1"/>
        <v>22</v>
      </c>
      <c r="G817" s="17" t="str">
        <f>Github!H$183</f>
        <v>Database</v>
      </c>
      <c r="H817" s="19" t="str">
        <f>SUBSTITUTE(Github!L$183, ";", ", ")</f>
        <v>Database, </v>
      </c>
      <c r="I817" s="17" t="str">
        <f>Github!E$183</f>
        <v>Easy</v>
      </c>
      <c r="J817" s="17" t="str">
        <f>IF(TRIM(Github!D$183)="TRUE","FALSE","TRUE")</f>
        <v>TRUE</v>
      </c>
      <c r="K817" s="17" t="b">
        <f>Github!M$183</f>
        <v>1</v>
      </c>
      <c r="L817" s="17" t="b">
        <f>Github!N$183</f>
        <v>0</v>
      </c>
      <c r="M817" s="17" t="str">
        <f>ROUND(Github!O$183, 2)&amp;"%"</f>
        <v>68.45%</v>
      </c>
      <c r="N817" s="17">
        <f>Github!P$183</f>
        <v>331704</v>
      </c>
      <c r="O817" s="17">
        <f>Github!Q$183</f>
        <v>484574</v>
      </c>
    </row>
    <row r="818" ht="18.0" customHeight="1">
      <c r="A818" s="17">
        <f>Github!J$862</f>
        <v>861</v>
      </c>
      <c r="B818" s="27" t="str">
        <f>HYPERLINK(CONCAT("http://leetcode.com/problems/",Github!C$862), Github!B$862)</f>
        <v>Score After Flipping Matrix</v>
      </c>
      <c r="C818" s="17">
        <f>Github!F$862</f>
        <v>989</v>
      </c>
      <c r="D818" s="17">
        <f>Github!G$862</f>
        <v>161</v>
      </c>
      <c r="E818" s="17">
        <f>Github!F$862+Github!G$862</f>
        <v>1150</v>
      </c>
      <c r="F818" s="18">
        <f t="shared" si="1"/>
        <v>6.14</v>
      </c>
      <c r="G818" s="17" t="str">
        <f>Github!H$862</f>
        <v>Algorithms</v>
      </c>
      <c r="H818" s="19" t="str">
        <f>SUBSTITUTE(Github!L$862, ";", ", ")</f>
        <v>Array, Greedy, Bit Manipulation, Matrix, </v>
      </c>
      <c r="I818" s="17" t="str">
        <f>Github!E$862</f>
        <v>Medium</v>
      </c>
      <c r="J818" s="17" t="str">
        <f>IF(TRIM(Github!D$862)="TRUE","FALSE","TRUE")</f>
        <v>TRUE</v>
      </c>
      <c r="K818" s="17" t="b">
        <f>Github!M$862</f>
        <v>0</v>
      </c>
      <c r="L818" s="17" t="b">
        <f>Github!N$862</f>
        <v>0</v>
      </c>
      <c r="M818" s="17" t="str">
        <f>ROUND(Github!O$862, 2)&amp;"%"</f>
        <v>74.71%</v>
      </c>
      <c r="N818" s="17">
        <f>Github!P$862</f>
        <v>33512</v>
      </c>
      <c r="O818" s="17">
        <f>Github!Q$862</f>
        <v>44857</v>
      </c>
    </row>
    <row r="819" ht="18.0" customHeight="1">
      <c r="A819" s="17">
        <f>Github!J$1029</f>
        <v>1028</v>
      </c>
      <c r="B819" s="27" t="str">
        <f>HYPERLINK(CONCAT("http://leetcode.com/problems/",Github!C$1029), Github!B$1029)</f>
        <v>Recover a Tree From Preorder Traversal</v>
      </c>
      <c r="C819" s="17">
        <f>Github!F$1029</f>
        <v>988</v>
      </c>
      <c r="D819" s="17">
        <f>Github!G$1029</f>
        <v>29</v>
      </c>
      <c r="E819" s="17">
        <f>Github!F$1029+Github!G$1029</f>
        <v>1017</v>
      </c>
      <c r="F819" s="18">
        <f t="shared" si="1"/>
        <v>34.07</v>
      </c>
      <c r="G819" s="17" t="str">
        <f>Github!H$1029</f>
        <v>Algorithms</v>
      </c>
      <c r="H819" s="19" t="str">
        <f>SUBSTITUTE(Github!L$1029, ";", ", ")</f>
        <v>String, Tree, Depth-First Search, Binary Tree, </v>
      </c>
      <c r="I819" s="17" t="str">
        <f>Github!E$1029</f>
        <v>Hard</v>
      </c>
      <c r="J819" s="17" t="str">
        <f>IF(TRIM(Github!D$1029)="TRUE","FALSE","TRUE")</f>
        <v>TRUE</v>
      </c>
      <c r="K819" s="17" t="b">
        <f>Github!M$1029</f>
        <v>0</v>
      </c>
      <c r="L819" s="17" t="b">
        <f>Github!N$1029</f>
        <v>0</v>
      </c>
      <c r="M819" s="17" t="str">
        <f>ROUND(Github!O$1029, 2)&amp;"%"</f>
        <v>72.23%</v>
      </c>
      <c r="N819" s="17">
        <f>Github!P$1029</f>
        <v>33488</v>
      </c>
      <c r="O819" s="17">
        <f>Github!Q$1029</f>
        <v>46360</v>
      </c>
    </row>
    <row r="820" ht="18.0" customHeight="1">
      <c r="A820" s="17">
        <f>Github!J$1305</f>
        <v>1304</v>
      </c>
      <c r="B820" s="27" t="str">
        <f>HYPERLINK(CONCAT("http://leetcode.com/problems/",Github!C$1305), Github!B$1305)</f>
        <v>Find N Unique Integers Sum up to Zero</v>
      </c>
      <c r="C820" s="17">
        <f>Github!F$1305</f>
        <v>988</v>
      </c>
      <c r="D820" s="17">
        <f>Github!G$1305</f>
        <v>444</v>
      </c>
      <c r="E820" s="17">
        <f>Github!F$1305+Github!G$1305</f>
        <v>1432</v>
      </c>
      <c r="F820" s="18">
        <f t="shared" si="1"/>
        <v>2.23</v>
      </c>
      <c r="G820" s="17" t="str">
        <f>Github!H$1305</f>
        <v>Algorithms</v>
      </c>
      <c r="H820" s="19" t="str">
        <f>SUBSTITUTE(Github!L$1305, ";", ", ")</f>
        <v>Array, Math, </v>
      </c>
      <c r="I820" s="17" t="str">
        <f>Github!E$1305</f>
        <v>Easy</v>
      </c>
      <c r="J820" s="17" t="str">
        <f>IF(TRIM(Github!D$1305)="TRUE","FALSE","TRUE")</f>
        <v>TRUE</v>
      </c>
      <c r="K820" s="17" t="b">
        <f>Github!M$1305</f>
        <v>0</v>
      </c>
      <c r="L820" s="17" t="b">
        <f>Github!N$1305</f>
        <v>0</v>
      </c>
      <c r="M820" s="17" t="str">
        <f>ROUND(Github!O$1305, 2)&amp;"%"</f>
        <v>76.89%</v>
      </c>
      <c r="N820" s="17">
        <f>Github!P$1305</f>
        <v>129270</v>
      </c>
      <c r="O820" s="17">
        <f>Github!Q$1305</f>
        <v>168119</v>
      </c>
    </row>
    <row r="821" ht="18.0" customHeight="1">
      <c r="A821" s="17">
        <f>Github!J$944</f>
        <v>943</v>
      </c>
      <c r="B821" s="27" t="str">
        <f>HYPERLINK(CONCAT("http://leetcode.com/problems/",Github!C$944), Github!B$944)</f>
        <v>Find the Shortest Superstring</v>
      </c>
      <c r="C821" s="17">
        <f>Github!F$944</f>
        <v>980</v>
      </c>
      <c r="D821" s="17">
        <f>Github!G$944</f>
        <v>125</v>
      </c>
      <c r="E821" s="17">
        <f>Github!F$944+Github!G$944</f>
        <v>1105</v>
      </c>
      <c r="F821" s="18">
        <f t="shared" si="1"/>
        <v>7.84</v>
      </c>
      <c r="G821" s="17" t="str">
        <f>Github!H$944</f>
        <v>Algorithms</v>
      </c>
      <c r="H821" s="19" t="str">
        <f>SUBSTITUTE(Github!L$944, ";", ", ")</f>
        <v>Array, String, Dynamic Programming, Bit Manipulation, Bitmask, </v>
      </c>
      <c r="I821" s="17" t="str">
        <f>Github!E$944</f>
        <v>Hard</v>
      </c>
      <c r="J821" s="17" t="str">
        <f>IF(TRIM(Github!D$944)="TRUE","FALSE","TRUE")</f>
        <v>TRUE</v>
      </c>
      <c r="K821" s="17" t="b">
        <f>Github!M$944</f>
        <v>1</v>
      </c>
      <c r="L821" s="17" t="b">
        <f>Github!N$944</f>
        <v>0</v>
      </c>
      <c r="M821" s="17" t="str">
        <f>ROUND(Github!O$944, 2)&amp;"%"</f>
        <v>45.38%</v>
      </c>
      <c r="N821" s="17">
        <f>Github!P$944</f>
        <v>23082</v>
      </c>
      <c r="O821" s="17">
        <f>Github!Q$944</f>
        <v>50863</v>
      </c>
    </row>
    <row r="822" ht="18.0" customHeight="1">
      <c r="A822" s="17">
        <f>Github!J$178</f>
        <v>177</v>
      </c>
      <c r="B822" s="27" t="str">
        <f>HYPERLINK(CONCAT("http://leetcode.com/problems/",Github!C$178), Github!B$178)</f>
        <v>Nth Highest Salary</v>
      </c>
      <c r="C822" s="17">
        <f>Github!F$178</f>
        <v>979</v>
      </c>
      <c r="D822" s="17">
        <f>Github!G$178</f>
        <v>630</v>
      </c>
      <c r="E822" s="17">
        <f>Github!F$178+Github!G$178</f>
        <v>1609</v>
      </c>
      <c r="F822" s="18">
        <f t="shared" si="1"/>
        <v>1.55</v>
      </c>
      <c r="G822" s="17" t="str">
        <f>Github!H$178</f>
        <v>Database</v>
      </c>
      <c r="H822" s="19" t="str">
        <f>SUBSTITUTE(Github!L$178, ";", ", ")</f>
        <v>Database, </v>
      </c>
      <c r="I822" s="17" t="str">
        <f>Github!E$178</f>
        <v>Medium</v>
      </c>
      <c r="J822" s="17" t="str">
        <f>IF(TRIM(Github!D$178)="TRUE","FALSE","TRUE")</f>
        <v>TRUE</v>
      </c>
      <c r="K822" s="17" t="b">
        <f>Github!M$178</f>
        <v>0</v>
      </c>
      <c r="L822" s="17" t="b">
        <f>Github!N$178</f>
        <v>0</v>
      </c>
      <c r="M822" s="17" t="str">
        <f>ROUND(Github!O$178, 2)&amp;"%"</f>
        <v>35.82%</v>
      </c>
      <c r="N822" s="17">
        <f>Github!P$178</f>
        <v>225249</v>
      </c>
      <c r="O822" s="17">
        <f>Github!Q$178</f>
        <v>628817</v>
      </c>
    </row>
    <row r="823" ht="18.0" customHeight="1">
      <c r="A823" s="17">
        <f>Github!J$285</f>
        <v>284</v>
      </c>
      <c r="B823" s="27" t="str">
        <f>HYPERLINK(CONCAT("http://leetcode.com/problems/",Github!C$285), Github!B$285)</f>
        <v>Peeking Iterator</v>
      </c>
      <c r="C823" s="17">
        <f>Github!F$285</f>
        <v>979</v>
      </c>
      <c r="D823" s="17">
        <f>Github!G$285</f>
        <v>677</v>
      </c>
      <c r="E823" s="17">
        <f>Github!F$285+Github!G$285</f>
        <v>1656</v>
      </c>
      <c r="F823" s="18">
        <f t="shared" si="1"/>
        <v>1.45</v>
      </c>
      <c r="G823" s="17" t="str">
        <f>Github!H$285</f>
        <v>Algorithms</v>
      </c>
      <c r="H823" s="19" t="str">
        <f>SUBSTITUTE(Github!L$285, ";", ", ")</f>
        <v>Array, Design, Iterator, </v>
      </c>
      <c r="I823" s="17" t="str">
        <f>Github!E$285</f>
        <v>Medium</v>
      </c>
      <c r="J823" s="17" t="str">
        <f>IF(TRIM(Github!D$285)="TRUE","FALSE","TRUE")</f>
        <v>TRUE</v>
      </c>
      <c r="K823" s="17" t="b">
        <f>Github!M$285</f>
        <v>1</v>
      </c>
      <c r="L823" s="17" t="b">
        <f>Github!N$285</f>
        <v>0</v>
      </c>
      <c r="M823" s="17" t="str">
        <f>ROUND(Github!O$285, 2)&amp;"%"</f>
        <v>53.4%</v>
      </c>
      <c r="N823" s="17">
        <f>Github!P$285</f>
        <v>154338</v>
      </c>
      <c r="O823" s="17">
        <f>Github!Q$285</f>
        <v>289043</v>
      </c>
    </row>
    <row r="824" ht="18.0" customHeight="1">
      <c r="A824" s="17">
        <f>Github!J$1190</f>
        <v>1189</v>
      </c>
      <c r="B824" s="27" t="str">
        <f>HYPERLINK(CONCAT("http://leetcode.com/problems/",Github!C$1190), Github!B$1190)</f>
        <v>Maximum Number of Balloons</v>
      </c>
      <c r="C824" s="17">
        <f>Github!F$1190</f>
        <v>977</v>
      </c>
      <c r="D824" s="17">
        <f>Github!G$1190</f>
        <v>66</v>
      </c>
      <c r="E824" s="17">
        <f>Github!F$1190+Github!G$1190</f>
        <v>1043</v>
      </c>
      <c r="F824" s="18">
        <f t="shared" si="1"/>
        <v>14.8</v>
      </c>
      <c r="G824" s="17" t="str">
        <f>Github!H$1190</f>
        <v>Algorithms</v>
      </c>
      <c r="H824" s="19" t="str">
        <f>SUBSTITUTE(Github!L$1190, ";", ", ")</f>
        <v>Hash Table, String, Counting, </v>
      </c>
      <c r="I824" s="17" t="str">
        <f>Github!E$1190</f>
        <v>Easy</v>
      </c>
      <c r="J824" s="17" t="str">
        <f>IF(TRIM(Github!D$1190)="TRUE","FALSE","TRUE")</f>
        <v>TRUE</v>
      </c>
      <c r="K824" s="17" t="b">
        <f>Github!M$1190</f>
        <v>1</v>
      </c>
      <c r="L824" s="17" t="b">
        <f>Github!N$1190</f>
        <v>0</v>
      </c>
      <c r="M824" s="17" t="str">
        <f>ROUND(Github!O$1190, 2)&amp;"%"</f>
        <v>62.55%</v>
      </c>
      <c r="N824" s="17">
        <f>Github!P$1190</f>
        <v>107775</v>
      </c>
      <c r="O824" s="17">
        <f>Github!Q$1190</f>
        <v>172290</v>
      </c>
    </row>
    <row r="825" ht="18.0" customHeight="1">
      <c r="A825" s="17">
        <f>Github!J$589</f>
        <v>588</v>
      </c>
      <c r="B825" s="27" t="str">
        <f>HYPERLINK(CONCAT("http://leetcode.com/problems/",Github!C$589), Github!B$589)</f>
        <v>Design In-Memory File System</v>
      </c>
      <c r="C825" s="17">
        <f>Github!F$589</f>
        <v>977</v>
      </c>
      <c r="D825" s="17">
        <f>Github!G$589</f>
        <v>119</v>
      </c>
      <c r="E825" s="17">
        <f>Github!F$589+Github!G$589</f>
        <v>1096</v>
      </c>
      <c r="F825" s="18">
        <f t="shared" si="1"/>
        <v>8.21</v>
      </c>
      <c r="G825" s="17" t="str">
        <f>Github!H$589</f>
        <v>Algorithms</v>
      </c>
      <c r="H825" s="19" t="str">
        <f>SUBSTITUTE(Github!L$589, ";", ", ")</f>
        <v>Hash Table, String, Design, Trie, </v>
      </c>
      <c r="I825" s="17" t="str">
        <f>Github!E$589</f>
        <v>Hard</v>
      </c>
      <c r="J825" s="17" t="str">
        <f>IF(TRIM(Github!D$589)="TRUE","FALSE","TRUE")</f>
        <v>FALSE</v>
      </c>
      <c r="K825" s="17" t="b">
        <f>Github!M$589</f>
        <v>1</v>
      </c>
      <c r="L825" s="17" t="b">
        <f>Github!N$589</f>
        <v>0</v>
      </c>
      <c r="M825" s="17" t="str">
        <f>ROUND(Github!O$589, 2)&amp;"%"</f>
        <v>48.34%</v>
      </c>
      <c r="N825" s="17">
        <f>Github!P$589</f>
        <v>58768</v>
      </c>
      <c r="O825" s="17">
        <f>Github!Q$589</f>
        <v>121581</v>
      </c>
    </row>
    <row r="826" ht="18.0" customHeight="1">
      <c r="A826" s="17">
        <f>Github!J$946</f>
        <v>945</v>
      </c>
      <c r="B826" s="27" t="str">
        <f>HYPERLINK(CONCAT("http://leetcode.com/problems/",Github!C$946), Github!B$946)</f>
        <v>Minimum Increment to Make Array Unique</v>
      </c>
      <c r="C826" s="17">
        <f>Github!F$946</f>
        <v>974</v>
      </c>
      <c r="D826" s="17">
        <f>Github!G$946</f>
        <v>42</v>
      </c>
      <c r="E826" s="17">
        <f>Github!F$946+Github!G$946</f>
        <v>1016</v>
      </c>
      <c r="F826" s="18">
        <f t="shared" si="1"/>
        <v>23.19</v>
      </c>
      <c r="G826" s="17" t="str">
        <f>Github!H$946</f>
        <v>Algorithms</v>
      </c>
      <c r="H826" s="19" t="str">
        <f>SUBSTITUTE(Github!L$946, ";", ", ")</f>
        <v>Array, Greedy, Sorting, Counting, </v>
      </c>
      <c r="I826" s="17" t="str">
        <f>Github!E$946</f>
        <v>Medium</v>
      </c>
      <c r="J826" s="17" t="str">
        <f>IF(TRIM(Github!D$946)="TRUE","FALSE","TRUE")</f>
        <v>TRUE</v>
      </c>
      <c r="K826" s="17" t="b">
        <f>Github!M$946</f>
        <v>1</v>
      </c>
      <c r="L826" s="17" t="b">
        <f>Github!N$946</f>
        <v>0</v>
      </c>
      <c r="M826" s="17" t="str">
        <f>ROUND(Github!O$946, 2)&amp;"%"</f>
        <v>48.83%</v>
      </c>
      <c r="N826" s="17">
        <f>Github!P$946</f>
        <v>50918</v>
      </c>
      <c r="O826" s="17">
        <f>Github!Q$946</f>
        <v>104273</v>
      </c>
    </row>
    <row r="827" ht="18.0" customHeight="1">
      <c r="A827" s="17">
        <f>Github!J$677</f>
        <v>676</v>
      </c>
      <c r="B827" s="27" t="str">
        <f>HYPERLINK(CONCAT("http://leetcode.com/problems/",Github!C$677), Github!B$677)</f>
        <v>Implement Magic Dictionary</v>
      </c>
      <c r="C827" s="17">
        <f>Github!F$677</f>
        <v>973</v>
      </c>
      <c r="D827" s="17">
        <f>Github!G$677</f>
        <v>178</v>
      </c>
      <c r="E827" s="17">
        <f>Github!F$677+Github!G$677</f>
        <v>1151</v>
      </c>
      <c r="F827" s="18">
        <f t="shared" si="1"/>
        <v>5.47</v>
      </c>
      <c r="G827" s="17" t="str">
        <f>Github!H$677</f>
        <v>Algorithms</v>
      </c>
      <c r="H827" s="19" t="str">
        <f>SUBSTITUTE(Github!L$677, ";", ", ")</f>
        <v>Hash Table, String, Design, Trie, </v>
      </c>
      <c r="I827" s="17" t="str">
        <f>Github!E$677</f>
        <v>Medium</v>
      </c>
      <c r="J827" s="17" t="str">
        <f>IF(TRIM(Github!D$677)="TRUE","FALSE","TRUE")</f>
        <v>TRUE</v>
      </c>
      <c r="K827" s="17" t="b">
        <f>Github!M$677</f>
        <v>0</v>
      </c>
      <c r="L827" s="17" t="b">
        <f>Github!N$677</f>
        <v>0</v>
      </c>
      <c r="M827" s="17" t="str">
        <f>ROUND(Github!O$677, 2)&amp;"%"</f>
        <v>56.47%</v>
      </c>
      <c r="N827" s="17">
        <f>Github!P$677</f>
        <v>61266</v>
      </c>
      <c r="O827" s="17">
        <f>Github!Q$677</f>
        <v>108502</v>
      </c>
    </row>
    <row r="828" ht="18.0" customHeight="1">
      <c r="A828" s="17">
        <f>Github!J$683</f>
        <v>682</v>
      </c>
      <c r="B828" s="27" t="str">
        <f>HYPERLINK(CONCAT("http://leetcode.com/problems/",Github!C$683), Github!B$683)</f>
        <v>Baseball Game</v>
      </c>
      <c r="C828" s="17">
        <f>Github!F$683</f>
        <v>972</v>
      </c>
      <c r="D828" s="17">
        <f>Github!G$683</f>
        <v>1355</v>
      </c>
      <c r="E828" s="17">
        <f>Github!F$683+Github!G$683</f>
        <v>2327</v>
      </c>
      <c r="F828" s="18">
        <f t="shared" si="1"/>
        <v>0.72</v>
      </c>
      <c r="G828" s="17" t="str">
        <f>Github!H$683</f>
        <v>Algorithms</v>
      </c>
      <c r="H828" s="19" t="str">
        <f>SUBSTITUTE(Github!L$683, ";", ", ")</f>
        <v>Array, Stack, Simulation, </v>
      </c>
      <c r="I828" s="17" t="str">
        <f>Github!E$683</f>
        <v>Easy</v>
      </c>
      <c r="J828" s="17" t="str">
        <f>IF(TRIM(Github!D$683)="TRUE","FALSE","TRUE")</f>
        <v>TRUE</v>
      </c>
      <c r="K828" s="17" t="b">
        <f>Github!M$683</f>
        <v>1</v>
      </c>
      <c r="L828" s="17" t="b">
        <f>Github!N$683</f>
        <v>0</v>
      </c>
      <c r="M828" s="17" t="str">
        <f>ROUND(Github!O$683, 2)&amp;"%"</f>
        <v>69.33%</v>
      </c>
      <c r="N828" s="17">
        <f>Github!P$683</f>
        <v>140008</v>
      </c>
      <c r="O828" s="17">
        <f>Github!Q$683</f>
        <v>201946</v>
      </c>
    </row>
    <row r="829" ht="18.0" customHeight="1">
      <c r="A829" s="17">
        <f>Github!J$830</f>
        <v>829</v>
      </c>
      <c r="B829" s="27" t="str">
        <f>HYPERLINK(CONCAT("http://leetcode.com/problems/",Github!C$830), Github!B$830)</f>
        <v>Consecutive Numbers Sum</v>
      </c>
      <c r="C829" s="17">
        <f>Github!F$830</f>
        <v>972</v>
      </c>
      <c r="D829" s="17">
        <f>Github!G$830</f>
        <v>1171</v>
      </c>
      <c r="E829" s="17">
        <f>Github!F$830+Github!G$830</f>
        <v>2143</v>
      </c>
      <c r="F829" s="18">
        <f t="shared" si="1"/>
        <v>0.83</v>
      </c>
      <c r="G829" s="17" t="str">
        <f>Github!H$830</f>
        <v>Algorithms</v>
      </c>
      <c r="H829" s="19" t="str">
        <f>SUBSTITUTE(Github!L$830, ";", ", ")</f>
        <v>Math, Enumeration, </v>
      </c>
      <c r="I829" s="17" t="str">
        <f>Github!E$830</f>
        <v>Hard</v>
      </c>
      <c r="J829" s="17" t="str">
        <f>IF(TRIM(Github!D$830)="TRUE","FALSE","TRUE")</f>
        <v>TRUE</v>
      </c>
      <c r="K829" s="17" t="b">
        <f>Github!M$830</f>
        <v>1</v>
      </c>
      <c r="L829" s="17" t="b">
        <f>Github!N$830</f>
        <v>0</v>
      </c>
      <c r="M829" s="17" t="str">
        <f>ROUND(Github!O$830, 2)&amp;"%"</f>
        <v>40.89%</v>
      </c>
      <c r="N829" s="17">
        <f>Github!P$830</f>
        <v>66079</v>
      </c>
      <c r="O829" s="17">
        <f>Github!Q$830</f>
        <v>161586</v>
      </c>
    </row>
    <row r="830" ht="18.0" customHeight="1">
      <c r="A830" s="17">
        <f>Github!J$1573</f>
        <v>1572</v>
      </c>
      <c r="B830" s="27" t="str">
        <f>HYPERLINK(CONCAT("http://leetcode.com/problems/",Github!C$1573), Github!B$1573)</f>
        <v>Matrix Diagonal Sum</v>
      </c>
      <c r="C830" s="17">
        <f>Github!F$1573</f>
        <v>972</v>
      </c>
      <c r="D830" s="17">
        <f>Github!G$1573</f>
        <v>20</v>
      </c>
      <c r="E830" s="17">
        <f>Github!F$1573+Github!G$1573</f>
        <v>992</v>
      </c>
      <c r="F830" s="18">
        <f t="shared" si="1"/>
        <v>48.6</v>
      </c>
      <c r="G830" s="17" t="str">
        <f>Github!H$1573</f>
        <v>Algorithms</v>
      </c>
      <c r="H830" s="19" t="str">
        <f>SUBSTITUTE(Github!L$1573, ";", ", ")</f>
        <v>Array, Matrix, </v>
      </c>
      <c r="I830" s="17" t="str">
        <f>Github!E$1573</f>
        <v>Easy</v>
      </c>
      <c r="J830" s="17" t="str">
        <f>IF(TRIM(Github!D$1573)="TRUE","FALSE","TRUE")</f>
        <v>TRUE</v>
      </c>
      <c r="K830" s="17" t="b">
        <f>Github!M$1573</f>
        <v>0</v>
      </c>
      <c r="L830" s="17" t="b">
        <f>Github!N$1573</f>
        <v>0</v>
      </c>
      <c r="M830" s="17" t="str">
        <f>ROUND(Github!O$1573, 2)&amp;"%"</f>
        <v>78.78%</v>
      </c>
      <c r="N830" s="17">
        <f>Github!P$1573</f>
        <v>91263</v>
      </c>
      <c r="O830" s="17">
        <f>Github!Q$1573</f>
        <v>115841</v>
      </c>
    </row>
    <row r="831" ht="18.0" customHeight="1">
      <c r="A831" s="17">
        <f>Github!J$1110</f>
        <v>1109</v>
      </c>
      <c r="B831" s="27" t="str">
        <f>HYPERLINK(CONCAT("http://leetcode.com/problems/",Github!C$1110), Github!B$1110)</f>
        <v>Corporate Flight Bookings</v>
      </c>
      <c r="C831" s="17">
        <f>Github!F$1110</f>
        <v>972</v>
      </c>
      <c r="D831" s="17">
        <f>Github!G$1110</f>
        <v>139</v>
      </c>
      <c r="E831" s="17">
        <f>Github!F$1110+Github!G$1110</f>
        <v>1111</v>
      </c>
      <c r="F831" s="18">
        <f t="shared" si="1"/>
        <v>6.99</v>
      </c>
      <c r="G831" s="17" t="str">
        <f>Github!H$1110</f>
        <v>Algorithms</v>
      </c>
      <c r="H831" s="19" t="str">
        <f>SUBSTITUTE(Github!L$1110, ";", ", ")</f>
        <v>Array, Prefix Sum, </v>
      </c>
      <c r="I831" s="17" t="str">
        <f>Github!E$1110</f>
        <v>Medium</v>
      </c>
      <c r="J831" s="17" t="str">
        <f>IF(TRIM(Github!D$1110)="TRUE","FALSE","TRUE")</f>
        <v>TRUE</v>
      </c>
      <c r="K831" s="17" t="b">
        <f>Github!M$1110</f>
        <v>0</v>
      </c>
      <c r="L831" s="17" t="b">
        <f>Github!N$1110</f>
        <v>0</v>
      </c>
      <c r="M831" s="17" t="str">
        <f>ROUND(Github!O$1110, 2)&amp;"%"</f>
        <v>58.06%</v>
      </c>
      <c r="N831" s="17">
        <f>Github!P$1110</f>
        <v>36790</v>
      </c>
      <c r="O831" s="17">
        <f>Github!Q$1110</f>
        <v>63362</v>
      </c>
    </row>
    <row r="832" ht="18.0" customHeight="1">
      <c r="A832" s="17">
        <f>Github!J$1414</f>
        <v>1413</v>
      </c>
      <c r="B832" s="27" t="str">
        <f>HYPERLINK(CONCAT("http://leetcode.com/problems/",Github!C$1414), Github!B$1414)</f>
        <v>Minimum Value to Get Positive Step by Step Sum</v>
      </c>
      <c r="C832" s="17">
        <f>Github!F$1414</f>
        <v>972</v>
      </c>
      <c r="D832" s="17">
        <f>Github!G$1414</f>
        <v>223</v>
      </c>
      <c r="E832" s="17">
        <f>Github!F$1414+Github!G$1414</f>
        <v>1195</v>
      </c>
      <c r="F832" s="18">
        <f t="shared" si="1"/>
        <v>4.36</v>
      </c>
      <c r="G832" s="17" t="str">
        <f>Github!H$1414</f>
        <v>Algorithms</v>
      </c>
      <c r="H832" s="19" t="str">
        <f>SUBSTITUTE(Github!L$1414, ";", ", ")</f>
        <v>Array, Prefix Sum, </v>
      </c>
      <c r="I832" s="17" t="str">
        <f>Github!E$1414</f>
        <v>Easy</v>
      </c>
      <c r="J832" s="17" t="str">
        <f>IF(TRIM(Github!D$1414)="TRUE","FALSE","TRUE")</f>
        <v>TRUE</v>
      </c>
      <c r="K832" s="17" t="b">
        <f>Github!M$1414</f>
        <v>1</v>
      </c>
      <c r="L832" s="17" t="b">
        <f>Github!N$1414</f>
        <v>0</v>
      </c>
      <c r="M832" s="17" t="str">
        <f>ROUND(Github!O$1414, 2)&amp;"%"</f>
        <v>68.7%</v>
      </c>
      <c r="N832" s="17">
        <f>Github!P$1414</f>
        <v>66937</v>
      </c>
      <c r="O832" s="17">
        <f>Github!Q$1414</f>
        <v>97432</v>
      </c>
    </row>
    <row r="833" ht="18.0" customHeight="1">
      <c r="A833" s="17">
        <f>Github!J$244</f>
        <v>243</v>
      </c>
      <c r="B833" s="27" t="str">
        <f>HYPERLINK(CONCAT("http://leetcode.com/problems/",Github!C$244), Github!B$244)</f>
        <v>Shortest Word Distance</v>
      </c>
      <c r="C833" s="17">
        <f>Github!F$244</f>
        <v>970</v>
      </c>
      <c r="D833" s="17">
        <f>Github!G$244</f>
        <v>82</v>
      </c>
      <c r="E833" s="17">
        <f>Github!F$244+Github!G$244</f>
        <v>1052</v>
      </c>
      <c r="F833" s="18">
        <f t="shared" si="1"/>
        <v>11.83</v>
      </c>
      <c r="G833" s="17" t="str">
        <f>Github!H$244</f>
        <v>Algorithms</v>
      </c>
      <c r="H833" s="19" t="str">
        <f>SUBSTITUTE(Github!L$244, ";", ", ")</f>
        <v>Array, String, </v>
      </c>
      <c r="I833" s="17" t="str">
        <f>Github!E$244</f>
        <v>Easy</v>
      </c>
      <c r="J833" s="17" t="str">
        <f>IF(TRIM(Github!D$244)="TRUE","FALSE","TRUE")</f>
        <v>FALSE</v>
      </c>
      <c r="K833" s="17" t="b">
        <f>Github!M$244</f>
        <v>1</v>
      </c>
      <c r="L833" s="17" t="b">
        <f>Github!N$244</f>
        <v>0</v>
      </c>
      <c r="M833" s="17" t="str">
        <f>ROUND(Github!O$244, 2)&amp;"%"</f>
        <v>64.09%</v>
      </c>
      <c r="N833" s="17">
        <f>Github!P$244</f>
        <v>168302</v>
      </c>
      <c r="O833" s="17">
        <f>Github!Q$244</f>
        <v>262608</v>
      </c>
    </row>
    <row r="834" ht="18.0" customHeight="1">
      <c r="A834" s="17">
        <f>Github!J$1168</f>
        <v>1167</v>
      </c>
      <c r="B834" s="27" t="str">
        <f>HYPERLINK(CONCAT("http://leetcode.com/problems/",Github!C$1168), Github!B$1168)</f>
        <v>Minimum Cost to Connect Sticks</v>
      </c>
      <c r="C834" s="17">
        <f>Github!F$1168</f>
        <v>969</v>
      </c>
      <c r="D834" s="17">
        <f>Github!G$1168</f>
        <v>148</v>
      </c>
      <c r="E834" s="17">
        <f>Github!F$1168+Github!G$1168</f>
        <v>1117</v>
      </c>
      <c r="F834" s="18">
        <f t="shared" si="1"/>
        <v>6.55</v>
      </c>
      <c r="G834" s="17" t="str">
        <f>Github!H$1168</f>
        <v>Algorithms</v>
      </c>
      <c r="H834" s="19" t="str">
        <f>SUBSTITUTE(Github!L$1168, ";", ", ")</f>
        <v>Array, Greedy, Heap (Priority Queue), </v>
      </c>
      <c r="I834" s="17" t="str">
        <f>Github!E$1168</f>
        <v>Medium</v>
      </c>
      <c r="J834" s="17" t="str">
        <f>IF(TRIM(Github!D$1168)="TRUE","FALSE","TRUE")</f>
        <v>FALSE</v>
      </c>
      <c r="K834" s="17" t="b">
        <f>Github!M$1168</f>
        <v>1</v>
      </c>
      <c r="L834" s="17" t="b">
        <f>Github!N$1168</f>
        <v>1</v>
      </c>
      <c r="M834" s="17" t="str">
        <f>ROUND(Github!O$1168, 2)&amp;"%"</f>
        <v>66.83%</v>
      </c>
      <c r="N834" s="17">
        <f>Github!P$1168</f>
        <v>81558</v>
      </c>
      <c r="O834" s="17">
        <f>Github!Q$1168</f>
        <v>122037</v>
      </c>
    </row>
    <row r="835" ht="18.0" customHeight="1">
      <c r="A835" s="17">
        <f>Github!J$1476</f>
        <v>1475</v>
      </c>
      <c r="B835" s="27" t="str">
        <f>HYPERLINK(CONCAT("http://leetcode.com/problems/",Github!C$1476), Github!B$1476)</f>
        <v>Final Prices With a Special Discount in a Shop</v>
      </c>
      <c r="C835" s="17">
        <f>Github!F$1476</f>
        <v>968</v>
      </c>
      <c r="D835" s="17">
        <f>Github!G$1476</f>
        <v>64</v>
      </c>
      <c r="E835" s="17">
        <f>Github!F$1476+Github!G$1476</f>
        <v>1032</v>
      </c>
      <c r="F835" s="18">
        <f t="shared" si="1"/>
        <v>15.13</v>
      </c>
      <c r="G835" s="17" t="str">
        <f>Github!H$1476</f>
        <v>Algorithms</v>
      </c>
      <c r="H835" s="19" t="str">
        <f>SUBSTITUTE(Github!L$1476, ";", ", ")</f>
        <v>Array, Stack, Monotonic Stack, </v>
      </c>
      <c r="I835" s="17" t="str">
        <f>Github!E$1476</f>
        <v>Easy</v>
      </c>
      <c r="J835" s="17" t="str">
        <f>IF(TRIM(Github!D$1476)="TRUE","FALSE","TRUE")</f>
        <v>TRUE</v>
      </c>
      <c r="K835" s="17" t="b">
        <f>Github!M$1476</f>
        <v>0</v>
      </c>
      <c r="L835" s="17" t="b">
        <f>Github!N$1476</f>
        <v>0</v>
      </c>
      <c r="M835" s="17" t="str">
        <f>ROUND(Github!O$1476, 2)&amp;"%"</f>
        <v>75.12%</v>
      </c>
      <c r="N835" s="17">
        <f>Github!P$1476</f>
        <v>71031</v>
      </c>
      <c r="O835" s="17">
        <f>Github!Q$1476</f>
        <v>94558</v>
      </c>
    </row>
    <row r="836" ht="18.0" customHeight="1">
      <c r="A836" s="17">
        <f>Github!J$1369</f>
        <v>1368</v>
      </c>
      <c r="B836" s="27" t="str">
        <f>HYPERLINK(CONCAT("http://leetcode.com/problems/",Github!C$1369), Github!B$1369)</f>
        <v>Minimum Cost to Make at Least One Valid Path in a Grid</v>
      </c>
      <c r="C836" s="17">
        <f>Github!F$1369</f>
        <v>964</v>
      </c>
      <c r="D836" s="17">
        <f>Github!G$1369</f>
        <v>7</v>
      </c>
      <c r="E836" s="17">
        <f>Github!F$1369+Github!G$1369</f>
        <v>971</v>
      </c>
      <c r="F836" s="18">
        <f t="shared" si="1"/>
        <v>137.71</v>
      </c>
      <c r="G836" s="17" t="str">
        <f>Github!H$1369</f>
        <v>Algorithms</v>
      </c>
      <c r="H836" s="19" t="str">
        <f>SUBSTITUTE(Github!L$1369, ";", ", ")</f>
        <v>Array, Breadth-First Search, Graph, Heap (Priority Queue), Matrix, Shortest Path, </v>
      </c>
      <c r="I836" s="17" t="str">
        <f>Github!E$1369</f>
        <v>Hard</v>
      </c>
      <c r="J836" s="17" t="str">
        <f>IF(TRIM(Github!D$1369)="TRUE","FALSE","TRUE")</f>
        <v>TRUE</v>
      </c>
      <c r="K836" s="17" t="b">
        <f>Github!M$1369</f>
        <v>0</v>
      </c>
      <c r="L836" s="17" t="b">
        <f>Github!N$1369</f>
        <v>0</v>
      </c>
      <c r="M836" s="17" t="str">
        <f>ROUND(Github!O$1369, 2)&amp;"%"</f>
        <v>60.37%</v>
      </c>
      <c r="N836" s="17">
        <f>Github!P$1369</f>
        <v>29063</v>
      </c>
      <c r="O836" s="17">
        <f>Github!Q$1369</f>
        <v>48143</v>
      </c>
    </row>
    <row r="837" ht="18.0" customHeight="1">
      <c r="A837" s="17">
        <f>Github!J$639</f>
        <v>638</v>
      </c>
      <c r="B837" s="27" t="str">
        <f>HYPERLINK(CONCAT("http://leetcode.com/problems/",Github!C$639), Github!B$639)</f>
        <v>Shopping Offers</v>
      </c>
      <c r="C837" s="17">
        <f>Github!F$639</f>
        <v>958</v>
      </c>
      <c r="D837" s="17">
        <f>Github!G$639</f>
        <v>620</v>
      </c>
      <c r="E837" s="17">
        <f>Github!F$639+Github!G$639</f>
        <v>1578</v>
      </c>
      <c r="F837" s="18">
        <f t="shared" si="1"/>
        <v>1.55</v>
      </c>
      <c r="G837" s="17" t="str">
        <f>Github!H$639</f>
        <v>Algorithms</v>
      </c>
      <c r="H837" s="19" t="str">
        <f>SUBSTITUTE(Github!L$639, ";", ", ")</f>
        <v>Array, Dynamic Programming, Backtracking, Bit Manipulation, Memoization, Bitmask, </v>
      </c>
      <c r="I837" s="17" t="str">
        <f>Github!E$639</f>
        <v>Medium</v>
      </c>
      <c r="J837" s="17" t="str">
        <f>IF(TRIM(Github!D$639)="TRUE","FALSE","TRUE")</f>
        <v>TRUE</v>
      </c>
      <c r="K837" s="17" t="b">
        <f>Github!M$639</f>
        <v>1</v>
      </c>
      <c r="L837" s="17" t="b">
        <f>Github!N$639</f>
        <v>0</v>
      </c>
      <c r="M837" s="17" t="str">
        <f>ROUND(Github!O$639, 2)&amp;"%"</f>
        <v>54.47%</v>
      </c>
      <c r="N837" s="17">
        <f>Github!P$639</f>
        <v>44674</v>
      </c>
      <c r="O837" s="17">
        <f>Github!Q$639</f>
        <v>82020</v>
      </c>
    </row>
    <row r="838" ht="18.0" customHeight="1">
      <c r="A838" s="17">
        <f>Github!J$1016</f>
        <v>1015</v>
      </c>
      <c r="B838" s="27" t="str">
        <f>HYPERLINK(CONCAT("http://leetcode.com/problems/",Github!C$1016), Github!B$1016)</f>
        <v>Smallest Integer Divisible by K</v>
      </c>
      <c r="C838" s="17">
        <f>Github!F$1016</f>
        <v>959</v>
      </c>
      <c r="D838" s="17">
        <f>Github!G$1016</f>
        <v>789</v>
      </c>
      <c r="E838" s="17">
        <f>Github!F$1016+Github!G$1016</f>
        <v>1748</v>
      </c>
      <c r="F838" s="18">
        <f t="shared" si="1"/>
        <v>1.22</v>
      </c>
      <c r="G838" s="17" t="str">
        <f>Github!H$1016</f>
        <v>Algorithms</v>
      </c>
      <c r="H838" s="19" t="str">
        <f>SUBSTITUTE(Github!L$1016, ";", ", ")</f>
        <v>Hash Table, Math, </v>
      </c>
      <c r="I838" s="17" t="str">
        <f>Github!E$1016</f>
        <v>Medium</v>
      </c>
      <c r="J838" s="17" t="str">
        <f>IF(TRIM(Github!D$1016)="TRUE","FALSE","TRUE")</f>
        <v>TRUE</v>
      </c>
      <c r="K838" s="17" t="b">
        <f>Github!M$1016</f>
        <v>1</v>
      </c>
      <c r="L838" s="17" t="b">
        <f>Github!N$1016</f>
        <v>0</v>
      </c>
      <c r="M838" s="17" t="str">
        <f>ROUND(Github!O$1016, 2)&amp;"%"</f>
        <v>46.95%</v>
      </c>
      <c r="N838" s="17">
        <f>Github!P$1016</f>
        <v>54343</v>
      </c>
      <c r="O838" s="17">
        <f>Github!Q$1016</f>
        <v>115737</v>
      </c>
    </row>
    <row r="839" ht="18.0" customHeight="1">
      <c r="A839" s="17">
        <f>Github!J$1040</f>
        <v>1039</v>
      </c>
      <c r="B839" s="27" t="str">
        <f>HYPERLINK(CONCAT("http://leetcode.com/problems/",Github!C$1040), Github!B$1040)</f>
        <v>Minimum Score Triangulation of Polygon</v>
      </c>
      <c r="C839" s="17">
        <f>Github!F$1040</f>
        <v>956</v>
      </c>
      <c r="D839" s="17">
        <f>Github!G$1040</f>
        <v>109</v>
      </c>
      <c r="E839" s="17">
        <f>Github!F$1040+Github!G$1040</f>
        <v>1065</v>
      </c>
      <c r="F839" s="18">
        <f t="shared" si="1"/>
        <v>8.77</v>
      </c>
      <c r="G839" s="17" t="str">
        <f>Github!H$1040</f>
        <v>Algorithms</v>
      </c>
      <c r="H839" s="19" t="str">
        <f>SUBSTITUTE(Github!L$1040, ";", ", ")</f>
        <v>Array, Dynamic Programming, </v>
      </c>
      <c r="I839" s="17" t="str">
        <f>Github!E$1040</f>
        <v>Medium</v>
      </c>
      <c r="J839" s="17" t="str">
        <f>IF(TRIM(Github!D$1040)="TRUE","FALSE","TRUE")</f>
        <v>TRUE</v>
      </c>
      <c r="K839" s="17" t="b">
        <f>Github!M$1040</f>
        <v>0</v>
      </c>
      <c r="L839" s="17" t="b">
        <f>Github!N$1040</f>
        <v>0</v>
      </c>
      <c r="M839" s="17" t="str">
        <f>ROUND(Github!O$1040, 2)&amp;"%"</f>
        <v>52.4%</v>
      </c>
      <c r="N839" s="17">
        <f>Github!P$1040</f>
        <v>21266</v>
      </c>
      <c r="O839" s="17">
        <f>Github!Q$1040</f>
        <v>40581</v>
      </c>
    </row>
    <row r="840" ht="18.0" customHeight="1">
      <c r="A840" s="17">
        <f>Github!J$389</f>
        <v>388</v>
      </c>
      <c r="B840" s="27" t="str">
        <f>HYPERLINK(CONCAT("http://leetcode.com/problems/",Github!C$389), Github!B$389)</f>
        <v>Longest Absolute File Path</v>
      </c>
      <c r="C840" s="17">
        <f>Github!F$389</f>
        <v>954</v>
      </c>
      <c r="D840" s="17">
        <f>Github!G$389</f>
        <v>2092</v>
      </c>
      <c r="E840" s="17">
        <f>Github!F$389+Github!G$389</f>
        <v>3046</v>
      </c>
      <c r="F840" s="18">
        <f t="shared" si="1"/>
        <v>0.46</v>
      </c>
      <c r="G840" s="17" t="str">
        <f>Github!H$389</f>
        <v>Algorithms</v>
      </c>
      <c r="H840" s="19" t="str">
        <f>SUBSTITUTE(Github!L$389, ";", ", ")</f>
        <v>String, Stack, Depth-First Search, </v>
      </c>
      <c r="I840" s="17" t="str">
        <f>Github!E$389</f>
        <v>Medium</v>
      </c>
      <c r="J840" s="17" t="str">
        <f>IF(TRIM(Github!D$389)="TRUE","FALSE","TRUE")</f>
        <v>TRUE</v>
      </c>
      <c r="K840" s="17" t="b">
        <f>Github!M$389</f>
        <v>0</v>
      </c>
      <c r="L840" s="17" t="b">
        <f>Github!N$389</f>
        <v>0</v>
      </c>
      <c r="M840" s="17" t="str">
        <f>ROUND(Github!O$389, 2)&amp;"%"</f>
        <v>45.67%</v>
      </c>
      <c r="N840" s="17">
        <f>Github!P$389</f>
        <v>125345</v>
      </c>
      <c r="O840" s="17">
        <f>Github!Q$389</f>
        <v>274445</v>
      </c>
    </row>
    <row r="841" ht="18.0" customHeight="1">
      <c r="A841" s="17">
        <f>Github!J$977</f>
        <v>976</v>
      </c>
      <c r="B841" s="27" t="str">
        <f>HYPERLINK(CONCAT("http://leetcode.com/problems/",Github!C$977), Github!B$977)</f>
        <v>Largest Perimeter Triangle</v>
      </c>
      <c r="C841" s="17">
        <f>Github!F$977</f>
        <v>959</v>
      </c>
      <c r="D841" s="17">
        <f>Github!G$977</f>
        <v>91</v>
      </c>
      <c r="E841" s="17">
        <f>Github!F$977+Github!G$977</f>
        <v>1050</v>
      </c>
      <c r="F841" s="18">
        <f t="shared" si="1"/>
        <v>10.54</v>
      </c>
      <c r="G841" s="17" t="str">
        <f>Github!H$977</f>
        <v>Algorithms</v>
      </c>
      <c r="H841" s="19" t="str">
        <f>SUBSTITUTE(Github!L$977, ";", ", ")</f>
        <v>Array, Math, Greedy, Sorting, </v>
      </c>
      <c r="I841" s="17" t="str">
        <f>Github!E$977</f>
        <v>Easy</v>
      </c>
      <c r="J841" s="17" t="str">
        <f>IF(TRIM(Github!D$977)="TRUE","FALSE","TRUE")</f>
        <v>TRUE</v>
      </c>
      <c r="K841" s="17" t="b">
        <f>Github!M$977</f>
        <v>1</v>
      </c>
      <c r="L841" s="17" t="b">
        <f>Github!N$977</f>
        <v>0</v>
      </c>
      <c r="M841" s="17" t="str">
        <f>ROUND(Github!O$977, 2)&amp;"%"</f>
        <v>58.35%</v>
      </c>
      <c r="N841" s="17">
        <f>Github!P$977</f>
        <v>66526</v>
      </c>
      <c r="O841" s="17">
        <f>Github!Q$977</f>
        <v>114017</v>
      </c>
    </row>
    <row r="842" ht="18.0" customHeight="1">
      <c r="A842" s="17">
        <f>Github!J$1283</f>
        <v>1282</v>
      </c>
      <c r="B842" s="27" t="str">
        <f>HYPERLINK(CONCAT("http://leetcode.com/problems/",Github!C$1283), Github!B$1283)</f>
        <v>Group the People Given the Group Size They Belong To</v>
      </c>
      <c r="C842" s="17">
        <f>Github!F$1283</f>
        <v>953</v>
      </c>
      <c r="D842" s="17">
        <f>Github!G$1283</f>
        <v>454</v>
      </c>
      <c r="E842" s="17">
        <f>Github!F$1283+Github!G$1283</f>
        <v>1407</v>
      </c>
      <c r="F842" s="18">
        <f t="shared" si="1"/>
        <v>2.1</v>
      </c>
      <c r="G842" s="17" t="str">
        <f>Github!H$1283</f>
        <v>Algorithms</v>
      </c>
      <c r="H842" s="19" t="str">
        <f>SUBSTITUTE(Github!L$1283, ";", ", ")</f>
        <v>Array, Hash Table, </v>
      </c>
      <c r="I842" s="17" t="str">
        <f>Github!E$1283</f>
        <v>Medium</v>
      </c>
      <c r="J842" s="17" t="str">
        <f>IF(TRIM(Github!D$1283)="TRUE","FALSE","TRUE")</f>
        <v>TRUE</v>
      </c>
      <c r="K842" s="17" t="b">
        <f>Github!M$1283</f>
        <v>0</v>
      </c>
      <c r="L842" s="17" t="b">
        <f>Github!N$1283</f>
        <v>0</v>
      </c>
      <c r="M842" s="17" t="str">
        <f>ROUND(Github!O$1283, 2)&amp;"%"</f>
        <v>85.22%</v>
      </c>
      <c r="N842" s="17">
        <f>Github!P$1283</f>
        <v>76326</v>
      </c>
      <c r="O842" s="17">
        <f>Github!Q$1283</f>
        <v>89564</v>
      </c>
    </row>
    <row r="843" ht="18.0" customHeight="1">
      <c r="A843" s="17">
        <f>Github!J$1390</f>
        <v>1389</v>
      </c>
      <c r="B843" s="27" t="str">
        <f>HYPERLINK(CONCAT("http://leetcode.com/problems/",Github!C$1390), Github!B$1390)</f>
        <v>Create Target Array in the Given Order</v>
      </c>
      <c r="C843" s="17">
        <f>Github!F$1390</f>
        <v>945</v>
      </c>
      <c r="D843" s="17">
        <f>Github!G$1390</f>
        <v>1112</v>
      </c>
      <c r="E843" s="17">
        <f>Github!F$1390+Github!G$1390</f>
        <v>2057</v>
      </c>
      <c r="F843" s="18">
        <f t="shared" si="1"/>
        <v>0.85</v>
      </c>
      <c r="G843" s="17" t="str">
        <f>Github!H$1390</f>
        <v>Algorithms</v>
      </c>
      <c r="H843" s="19" t="str">
        <f>SUBSTITUTE(Github!L$1390, ";", ", ")</f>
        <v>Array, Simulation, </v>
      </c>
      <c r="I843" s="17" t="str">
        <f>Github!E$1390</f>
        <v>Easy</v>
      </c>
      <c r="J843" s="17" t="str">
        <f>IF(TRIM(Github!D$1390)="TRUE","FALSE","TRUE")</f>
        <v>TRUE</v>
      </c>
      <c r="K843" s="17" t="b">
        <f>Github!M$1390</f>
        <v>0</v>
      </c>
      <c r="L843" s="17" t="b">
        <f>Github!N$1390</f>
        <v>0</v>
      </c>
      <c r="M843" s="17" t="str">
        <f>ROUND(Github!O$1390, 2)&amp;"%"</f>
        <v>85.52%</v>
      </c>
      <c r="N843" s="17">
        <f>Github!P$1390</f>
        <v>135579</v>
      </c>
      <c r="O843" s="17">
        <f>Github!Q$1390</f>
        <v>158531</v>
      </c>
    </row>
    <row r="844" ht="18.0" customHeight="1">
      <c r="A844" s="17">
        <f>Github!J$365</f>
        <v>364</v>
      </c>
      <c r="B844" s="27" t="str">
        <f>HYPERLINK(CONCAT("http://leetcode.com/problems/",Github!C$365), Github!B$365)</f>
        <v>Nested List Weight Sum II</v>
      </c>
      <c r="C844" s="17">
        <f>Github!F$365</f>
        <v>943</v>
      </c>
      <c r="D844" s="17">
        <f>Github!G$365</f>
        <v>286</v>
      </c>
      <c r="E844" s="17">
        <f>Github!F$365+Github!G$365</f>
        <v>1229</v>
      </c>
      <c r="F844" s="18">
        <f t="shared" si="1"/>
        <v>3.3</v>
      </c>
      <c r="G844" s="17" t="str">
        <f>Github!H$365</f>
        <v>Algorithms</v>
      </c>
      <c r="H844" s="19" t="str">
        <f>SUBSTITUTE(Github!L$365, ";", ", ")</f>
        <v>Stack, Depth-First Search, Breadth-First Search, </v>
      </c>
      <c r="I844" s="17" t="str">
        <f>Github!E$365</f>
        <v>Medium</v>
      </c>
      <c r="J844" s="17" t="str">
        <f>IF(TRIM(Github!D$365)="TRUE","FALSE","TRUE")</f>
        <v>FALSE</v>
      </c>
      <c r="K844" s="17" t="b">
        <f>Github!M$365</f>
        <v>1</v>
      </c>
      <c r="L844" s="17" t="b">
        <f>Github!N$365</f>
        <v>0</v>
      </c>
      <c r="M844" s="17" t="str">
        <f>ROUND(Github!O$365, 2)&amp;"%"</f>
        <v>67.96%</v>
      </c>
      <c r="N844" s="17">
        <f>Github!P$365</f>
        <v>109058</v>
      </c>
      <c r="O844" s="17">
        <f>Github!Q$365</f>
        <v>160471</v>
      </c>
    </row>
    <row r="845" ht="18.0" customHeight="1">
      <c r="A845" s="17">
        <f>Github!J$1115</f>
        <v>1114</v>
      </c>
      <c r="B845" s="27" t="str">
        <f>HYPERLINK(CONCAT("http://leetcode.com/problems/",Github!C$1115), Github!B$1115)</f>
        <v>Print in Order</v>
      </c>
      <c r="C845" s="17">
        <f>Github!F$1115</f>
        <v>943</v>
      </c>
      <c r="D845" s="17">
        <f>Github!G$1115</f>
        <v>165</v>
      </c>
      <c r="E845" s="17">
        <f>Github!F$1115+Github!G$1115</f>
        <v>1108</v>
      </c>
      <c r="F845" s="18">
        <f t="shared" si="1"/>
        <v>5.72</v>
      </c>
      <c r="G845" s="17" t="str">
        <f>Github!H$1115</f>
        <v>Concurrency</v>
      </c>
      <c r="H845" s="19" t="str">
        <f>SUBSTITUTE(Github!L$1115, ";", ", ")</f>
        <v>Concurrency, </v>
      </c>
      <c r="I845" s="17" t="str">
        <f>Github!E$1115</f>
        <v>Easy</v>
      </c>
      <c r="J845" s="17" t="str">
        <f>IF(TRIM(Github!D$1115)="TRUE","FALSE","TRUE")</f>
        <v>TRUE</v>
      </c>
      <c r="K845" s="17" t="b">
        <f>Github!M$1115</f>
        <v>1</v>
      </c>
      <c r="L845" s="17" t="b">
        <f>Github!N$1115</f>
        <v>0</v>
      </c>
      <c r="M845" s="17" t="str">
        <f>ROUND(Github!O$1115, 2)&amp;"%"</f>
        <v>68.17%</v>
      </c>
      <c r="N845" s="17">
        <f>Github!P$1115</f>
        <v>101354</v>
      </c>
      <c r="O845" s="17">
        <f>Github!Q$1115</f>
        <v>148670</v>
      </c>
    </row>
    <row r="846" ht="18.0" customHeight="1">
      <c r="A846" s="17">
        <f>Github!J$856</f>
        <v>855</v>
      </c>
      <c r="B846" s="27" t="str">
        <f>HYPERLINK(CONCAT("http://leetcode.com/problems/",Github!C$856), Github!B$856)</f>
        <v>Exam Room</v>
      </c>
      <c r="C846" s="17">
        <f>Github!F$856</f>
        <v>943</v>
      </c>
      <c r="D846" s="17">
        <f>Github!G$856</f>
        <v>368</v>
      </c>
      <c r="E846" s="17">
        <f>Github!F$856+Github!G$856</f>
        <v>1311</v>
      </c>
      <c r="F846" s="18">
        <f t="shared" si="1"/>
        <v>2.56</v>
      </c>
      <c r="G846" s="17" t="str">
        <f>Github!H$856</f>
        <v>Algorithms</v>
      </c>
      <c r="H846" s="19" t="str">
        <f>SUBSTITUTE(Github!L$856, ";", ", ")</f>
        <v>Design, Ordered Set, </v>
      </c>
      <c r="I846" s="17" t="str">
        <f>Github!E$856</f>
        <v>Medium</v>
      </c>
      <c r="J846" s="17" t="str">
        <f>IF(TRIM(Github!D$856)="TRUE","FALSE","TRUE")</f>
        <v>TRUE</v>
      </c>
      <c r="K846" s="17" t="b">
        <f>Github!M$856</f>
        <v>0</v>
      </c>
      <c r="L846" s="17" t="b">
        <f>Github!N$856</f>
        <v>0</v>
      </c>
      <c r="M846" s="17" t="str">
        <f>ROUND(Github!O$856, 2)&amp;"%"</f>
        <v>43.58%</v>
      </c>
      <c r="N846" s="17">
        <f>Github!P$856</f>
        <v>45665</v>
      </c>
      <c r="O846" s="17">
        <f>Github!Q$856</f>
        <v>104793</v>
      </c>
    </row>
    <row r="847" ht="18.0" customHeight="1">
      <c r="A847" s="17">
        <f>Github!J$266</f>
        <v>265</v>
      </c>
      <c r="B847" s="27" t="str">
        <f>HYPERLINK(CONCAT("http://leetcode.com/problems/",Github!C$266), Github!B$266)</f>
        <v>Paint House II</v>
      </c>
      <c r="C847" s="17">
        <f>Github!F$266</f>
        <v>941</v>
      </c>
      <c r="D847" s="17">
        <f>Github!G$266</f>
        <v>32</v>
      </c>
      <c r="E847" s="17">
        <f>Github!F$266+Github!G$266</f>
        <v>973</v>
      </c>
      <c r="F847" s="18">
        <f t="shared" si="1"/>
        <v>29.41</v>
      </c>
      <c r="G847" s="17" t="str">
        <f>Github!H$266</f>
        <v>Algorithms</v>
      </c>
      <c r="H847" s="19" t="str">
        <f>SUBSTITUTE(Github!L$266, ";", ", ")</f>
        <v>Array, Dynamic Programming, </v>
      </c>
      <c r="I847" s="17" t="str">
        <f>Github!E$266</f>
        <v>Hard</v>
      </c>
      <c r="J847" s="17" t="str">
        <f>IF(TRIM(Github!D$266)="TRUE","FALSE","TRUE")</f>
        <v>FALSE</v>
      </c>
      <c r="K847" s="17" t="b">
        <f>Github!M$266</f>
        <v>1</v>
      </c>
      <c r="L847" s="17" t="b">
        <f>Github!N$266</f>
        <v>0</v>
      </c>
      <c r="M847" s="17" t="str">
        <f>ROUND(Github!O$266, 2)&amp;"%"</f>
        <v>50.26%</v>
      </c>
      <c r="N847" s="17">
        <f>Github!P$266</f>
        <v>91762</v>
      </c>
      <c r="O847" s="17">
        <f>Github!Q$266</f>
        <v>182562</v>
      </c>
    </row>
    <row r="848" ht="18.0" customHeight="1">
      <c r="A848" s="17">
        <f>Github!J$540</f>
        <v>539</v>
      </c>
      <c r="B848" s="27" t="str">
        <f>HYPERLINK(CONCAT("http://leetcode.com/problems/",Github!C$540), Github!B$540)</f>
        <v>Minimum Time Difference</v>
      </c>
      <c r="C848" s="17">
        <f>Github!F$540</f>
        <v>941</v>
      </c>
      <c r="D848" s="17">
        <f>Github!G$540</f>
        <v>192</v>
      </c>
      <c r="E848" s="17">
        <f>Github!F$540+Github!G$540</f>
        <v>1133</v>
      </c>
      <c r="F848" s="18">
        <f t="shared" si="1"/>
        <v>4.9</v>
      </c>
      <c r="G848" s="17" t="str">
        <f>Github!H$540</f>
        <v>Algorithms</v>
      </c>
      <c r="H848" s="19" t="str">
        <f>SUBSTITUTE(Github!L$540, ";", ", ")</f>
        <v>Array, Math, String, Sorting, </v>
      </c>
      <c r="I848" s="17" t="str">
        <f>Github!E$540</f>
        <v>Medium</v>
      </c>
      <c r="J848" s="17" t="str">
        <f>IF(TRIM(Github!D$540)="TRUE","FALSE","TRUE")</f>
        <v>TRUE</v>
      </c>
      <c r="K848" s="17" t="b">
        <f>Github!M$540</f>
        <v>0</v>
      </c>
      <c r="L848" s="17" t="b">
        <f>Github!N$540</f>
        <v>0</v>
      </c>
      <c r="M848" s="17" t="str">
        <f>ROUND(Github!O$540, 2)&amp;"%"</f>
        <v>54.01%</v>
      </c>
      <c r="N848" s="17">
        <f>Github!P$540</f>
        <v>77772</v>
      </c>
      <c r="O848" s="17">
        <f>Github!Q$540</f>
        <v>143985</v>
      </c>
    </row>
    <row r="849" ht="18.0" customHeight="1">
      <c r="A849" s="17">
        <f>Github!J$879</f>
        <v>878</v>
      </c>
      <c r="B849" s="27" t="str">
        <f>HYPERLINK(CONCAT("http://leetcode.com/problems/",Github!C$879), Github!B$879)</f>
        <v>Nth Magical Number</v>
      </c>
      <c r="C849" s="17">
        <f>Github!F$879</f>
        <v>937</v>
      </c>
      <c r="D849" s="17">
        <f>Github!G$879</f>
        <v>131</v>
      </c>
      <c r="E849" s="17">
        <f>Github!F$879+Github!G$879</f>
        <v>1068</v>
      </c>
      <c r="F849" s="18">
        <f t="shared" si="1"/>
        <v>7.15</v>
      </c>
      <c r="G849" s="17" t="str">
        <f>Github!H$879</f>
        <v>Algorithms</v>
      </c>
      <c r="H849" s="19" t="str">
        <f>SUBSTITUTE(Github!L$879, ";", ", ")</f>
        <v>Math, Binary Search, </v>
      </c>
      <c r="I849" s="17" t="str">
        <f>Github!E$879</f>
        <v>Hard</v>
      </c>
      <c r="J849" s="17" t="str">
        <f>IF(TRIM(Github!D$879)="TRUE","FALSE","TRUE")</f>
        <v>TRUE</v>
      </c>
      <c r="K849" s="17" t="b">
        <f>Github!M$879</f>
        <v>1</v>
      </c>
      <c r="L849" s="17" t="b">
        <f>Github!N$879</f>
        <v>0</v>
      </c>
      <c r="M849" s="17" t="str">
        <f>ROUND(Github!O$879, 2)&amp;"%"</f>
        <v>35.8%</v>
      </c>
      <c r="N849" s="17">
        <f>Github!P$879</f>
        <v>28507</v>
      </c>
      <c r="O849" s="17">
        <f>Github!Q$879</f>
        <v>79618</v>
      </c>
    </row>
    <row r="850" ht="18.0" customHeight="1">
      <c r="A850" s="17">
        <f>Github!J$1458</f>
        <v>1457</v>
      </c>
      <c r="B850" s="27" t="str">
        <f>HYPERLINK(CONCAT("http://leetcode.com/problems/",Github!C$1458), Github!B$1458)</f>
        <v>Pseudo-Palindromic Paths in a Binary Tree</v>
      </c>
      <c r="C850" s="17">
        <f>Github!F$1458</f>
        <v>936</v>
      </c>
      <c r="D850" s="17">
        <f>Github!G$1458</f>
        <v>34</v>
      </c>
      <c r="E850" s="17">
        <f>Github!F$1458+Github!G$1458</f>
        <v>970</v>
      </c>
      <c r="F850" s="18">
        <f t="shared" si="1"/>
        <v>27.53</v>
      </c>
      <c r="G850" s="17" t="str">
        <f>Github!H$1458</f>
        <v>Algorithms</v>
      </c>
      <c r="H850" s="19" t="str">
        <f>SUBSTITUTE(Github!L$1458, ";", ", ")</f>
        <v>Bit Manipulation, Tree, Depth-First Search, Breadth-First Search, Binary Tree, </v>
      </c>
      <c r="I850" s="17" t="str">
        <f>Github!E$1458</f>
        <v>Medium</v>
      </c>
      <c r="J850" s="17" t="str">
        <f>IF(TRIM(Github!D$1458)="TRUE","FALSE","TRUE")</f>
        <v>TRUE</v>
      </c>
      <c r="K850" s="17" t="b">
        <f>Github!M$1458</f>
        <v>1</v>
      </c>
      <c r="L850" s="17" t="b">
        <f>Github!N$1458</f>
        <v>0</v>
      </c>
      <c r="M850" s="17" t="str">
        <f>ROUND(Github!O$1458, 2)&amp;"%"</f>
        <v>67.41%</v>
      </c>
      <c r="N850" s="17">
        <f>Github!P$1458</f>
        <v>49975</v>
      </c>
      <c r="O850" s="17">
        <f>Github!Q$1458</f>
        <v>74133</v>
      </c>
    </row>
    <row r="851" ht="18.0" customHeight="1">
      <c r="A851" s="17">
        <f>Github!J$1105</f>
        <v>1104</v>
      </c>
      <c r="B851" s="27" t="str">
        <f>HYPERLINK(CONCAT("http://leetcode.com/problems/",Github!C$1105), Github!B$1105)</f>
        <v>Path In Zigzag Labelled Binary Tree</v>
      </c>
      <c r="C851" s="17">
        <f>Github!F$1105</f>
        <v>930</v>
      </c>
      <c r="D851" s="17">
        <f>Github!G$1105</f>
        <v>259</v>
      </c>
      <c r="E851" s="17">
        <f>Github!F$1105+Github!G$1105</f>
        <v>1189</v>
      </c>
      <c r="F851" s="18">
        <f t="shared" si="1"/>
        <v>3.59</v>
      </c>
      <c r="G851" s="17" t="str">
        <f>Github!H$1105</f>
        <v>Algorithms</v>
      </c>
      <c r="H851" s="19" t="str">
        <f>SUBSTITUTE(Github!L$1105, ";", ", ")</f>
        <v>Math, Tree, Binary Tree, </v>
      </c>
      <c r="I851" s="17" t="str">
        <f>Github!E$1105</f>
        <v>Medium</v>
      </c>
      <c r="J851" s="17" t="str">
        <f>IF(TRIM(Github!D$1105)="TRUE","FALSE","TRUE")</f>
        <v>TRUE</v>
      </c>
      <c r="K851" s="17" t="b">
        <f>Github!M$1105</f>
        <v>0</v>
      </c>
      <c r="L851" s="17" t="b">
        <f>Github!N$1105</f>
        <v>0</v>
      </c>
      <c r="M851" s="17" t="str">
        <f>ROUND(Github!O$1105, 2)&amp;"%"</f>
        <v>74.43%</v>
      </c>
      <c r="N851" s="17">
        <f>Github!P$1105</f>
        <v>31736</v>
      </c>
      <c r="O851" s="17">
        <f>Github!Q$1105</f>
        <v>42641</v>
      </c>
    </row>
    <row r="852" ht="18.0" customHeight="1">
      <c r="A852" s="17">
        <f>Github!J$1324</f>
        <v>1323</v>
      </c>
      <c r="B852" s="27" t="str">
        <f>HYPERLINK(CONCAT("http://leetcode.com/problems/",Github!C$1324), Github!B$1324)</f>
        <v>Maximum 69 Number</v>
      </c>
      <c r="C852" s="17">
        <f>Github!F$1324</f>
        <v>931</v>
      </c>
      <c r="D852" s="17">
        <f>Github!G$1324</f>
        <v>116</v>
      </c>
      <c r="E852" s="17">
        <f>Github!F$1324+Github!G$1324</f>
        <v>1047</v>
      </c>
      <c r="F852" s="18">
        <f t="shared" si="1"/>
        <v>8.03</v>
      </c>
      <c r="G852" s="17" t="str">
        <f>Github!H$1324</f>
        <v>Algorithms</v>
      </c>
      <c r="H852" s="19" t="str">
        <f>SUBSTITUTE(Github!L$1324, ";", ", ")</f>
        <v>Math, Greedy, </v>
      </c>
      <c r="I852" s="17" t="str">
        <f>Github!E$1324</f>
        <v>Easy</v>
      </c>
      <c r="J852" s="17" t="str">
        <f>IF(TRIM(Github!D$1324)="TRUE","FALSE","TRUE")</f>
        <v>TRUE</v>
      </c>
      <c r="K852" s="17" t="b">
        <f>Github!M$1324</f>
        <v>0</v>
      </c>
      <c r="L852" s="17" t="b">
        <f>Github!N$1324</f>
        <v>0</v>
      </c>
      <c r="M852" s="17" t="str">
        <f>ROUND(Github!O$1324, 2)&amp;"%"</f>
        <v>78.8%</v>
      </c>
      <c r="N852" s="17">
        <f>Github!P$1324</f>
        <v>105630</v>
      </c>
      <c r="O852" s="17">
        <f>Github!Q$1324</f>
        <v>134050</v>
      </c>
    </row>
    <row r="853" ht="18.0" customHeight="1">
      <c r="A853" s="17">
        <f>Github!J$917</f>
        <v>916</v>
      </c>
      <c r="B853" s="27" t="str">
        <f>HYPERLINK(CONCAT("http://leetcode.com/problems/",Github!C$917), Github!B$917)</f>
        <v>Word Subsets</v>
      </c>
      <c r="C853" s="17">
        <f>Github!F$917</f>
        <v>930</v>
      </c>
      <c r="D853" s="17">
        <f>Github!G$917</f>
        <v>124</v>
      </c>
      <c r="E853" s="17">
        <f>Github!F$917+Github!G$917</f>
        <v>1054</v>
      </c>
      <c r="F853" s="18">
        <f t="shared" si="1"/>
        <v>7.5</v>
      </c>
      <c r="G853" s="17" t="str">
        <f>Github!H$917</f>
        <v>Algorithms</v>
      </c>
      <c r="H853" s="19" t="str">
        <f>SUBSTITUTE(Github!L$917, ";", ", ")</f>
        <v>Array, Hash Table, String, </v>
      </c>
      <c r="I853" s="17" t="str">
        <f>Github!E$917</f>
        <v>Medium</v>
      </c>
      <c r="J853" s="17" t="str">
        <f>IF(TRIM(Github!D$917)="TRUE","FALSE","TRUE")</f>
        <v>TRUE</v>
      </c>
      <c r="K853" s="17" t="b">
        <f>Github!M$917</f>
        <v>1</v>
      </c>
      <c r="L853" s="17" t="b">
        <f>Github!N$917</f>
        <v>0</v>
      </c>
      <c r="M853" s="17" t="str">
        <f>ROUND(Github!O$917, 2)&amp;"%"</f>
        <v>52.72%</v>
      </c>
      <c r="N853" s="17">
        <f>Github!P$917</f>
        <v>49106</v>
      </c>
      <c r="O853" s="17">
        <f>Github!Q$917</f>
        <v>93149</v>
      </c>
    </row>
    <row r="854" ht="18.0" customHeight="1">
      <c r="A854" s="17">
        <f>Github!J$1407</f>
        <v>1406</v>
      </c>
      <c r="B854" s="27" t="str">
        <f>HYPERLINK(CONCAT("http://leetcode.com/problems/",Github!C$1407), Github!B$1407)</f>
        <v>Stone Game III</v>
      </c>
      <c r="C854" s="17">
        <f>Github!F$1407</f>
        <v>929</v>
      </c>
      <c r="D854" s="17">
        <f>Github!G$1407</f>
        <v>21</v>
      </c>
      <c r="E854" s="17">
        <f>Github!F$1407+Github!G$1407</f>
        <v>950</v>
      </c>
      <c r="F854" s="18">
        <f t="shared" si="1"/>
        <v>44.24</v>
      </c>
      <c r="G854" s="17" t="str">
        <f>Github!H$1407</f>
        <v>Algorithms</v>
      </c>
      <c r="H854" s="19" t="str">
        <f>SUBSTITUTE(Github!L$1407, ";", ", ")</f>
        <v>Array, Math, Dynamic Programming, Game Theory, </v>
      </c>
      <c r="I854" s="17" t="str">
        <f>Github!E$1407</f>
        <v>Hard</v>
      </c>
      <c r="J854" s="17" t="str">
        <f>IF(TRIM(Github!D$1407)="TRUE","FALSE","TRUE")</f>
        <v>TRUE</v>
      </c>
      <c r="K854" s="17" t="b">
        <f>Github!M$1407</f>
        <v>0</v>
      </c>
      <c r="L854" s="17" t="b">
        <f>Github!N$1407</f>
        <v>0</v>
      </c>
      <c r="M854" s="17" t="str">
        <f>ROUND(Github!O$1407, 2)&amp;"%"</f>
        <v>60.29%</v>
      </c>
      <c r="N854" s="17">
        <f>Github!P$1407</f>
        <v>34747</v>
      </c>
      <c r="O854" s="17">
        <f>Github!Q$1407</f>
        <v>57631</v>
      </c>
    </row>
    <row r="855" ht="18.0" customHeight="1">
      <c r="A855" s="17">
        <f>Github!J$1489</f>
        <v>1488</v>
      </c>
      <c r="B855" s="27" t="str">
        <f>HYPERLINK(CONCAT("http://leetcode.com/problems/",Github!C$1489), Github!B$1489)</f>
        <v>Avoid Flood in The City</v>
      </c>
      <c r="C855" s="17">
        <f>Github!F$1489</f>
        <v>928</v>
      </c>
      <c r="D855" s="17">
        <f>Github!G$1489</f>
        <v>186</v>
      </c>
      <c r="E855" s="17">
        <f>Github!F$1489+Github!G$1489</f>
        <v>1114</v>
      </c>
      <c r="F855" s="18">
        <f t="shared" si="1"/>
        <v>4.99</v>
      </c>
      <c r="G855" s="17" t="str">
        <f>Github!H$1489</f>
        <v>Algorithms</v>
      </c>
      <c r="H855" s="19" t="str">
        <f>SUBSTITUTE(Github!L$1489, ";", ", ")</f>
        <v>Array, Hash Table, Binary Search, Greedy, Heap (Priority Queue), </v>
      </c>
      <c r="I855" s="17" t="str">
        <f>Github!E$1489</f>
        <v>Medium</v>
      </c>
      <c r="J855" s="17" t="str">
        <f>IF(TRIM(Github!D$1489)="TRUE","FALSE","TRUE")</f>
        <v>TRUE</v>
      </c>
      <c r="K855" s="17" t="b">
        <f>Github!M$1489</f>
        <v>0</v>
      </c>
      <c r="L855" s="17" t="b">
        <f>Github!N$1489</f>
        <v>0</v>
      </c>
      <c r="M855" s="17" t="str">
        <f>ROUND(Github!O$1489, 2)&amp;"%"</f>
        <v>25.28%</v>
      </c>
      <c r="N855" s="17">
        <f>Github!P$1489</f>
        <v>22317</v>
      </c>
      <c r="O855" s="17">
        <f>Github!Q$1489</f>
        <v>88294</v>
      </c>
    </row>
    <row r="856" ht="18.0" customHeight="1">
      <c r="A856" s="17">
        <f>Github!J$1484</f>
        <v>1483</v>
      </c>
      <c r="B856" s="27" t="str">
        <f>HYPERLINK(CONCAT("http://leetcode.com/problems/",Github!C$1484), Github!B$1484)</f>
        <v>Kth Ancestor of a Tree Node</v>
      </c>
      <c r="C856" s="17">
        <f>Github!F$1484</f>
        <v>926</v>
      </c>
      <c r="D856" s="17">
        <f>Github!G$1484</f>
        <v>80</v>
      </c>
      <c r="E856" s="17">
        <f>Github!F$1484+Github!G$1484</f>
        <v>1006</v>
      </c>
      <c r="F856" s="18">
        <f t="shared" si="1"/>
        <v>11.58</v>
      </c>
      <c r="G856" s="17" t="str">
        <f>Github!H$1484</f>
        <v>Algorithms</v>
      </c>
      <c r="H856" s="19" t="str">
        <f>SUBSTITUTE(Github!L$1484, ";", ", ")</f>
        <v>Binary Search, Dynamic Programming, Tree, Depth-First Search, Breadth-First Search, Design, </v>
      </c>
      <c r="I856" s="17" t="str">
        <f>Github!E$1484</f>
        <v>Hard</v>
      </c>
      <c r="J856" s="17" t="str">
        <f>IF(TRIM(Github!D$1484)="TRUE","FALSE","TRUE")</f>
        <v>TRUE</v>
      </c>
      <c r="K856" s="17" t="b">
        <f>Github!M$1484</f>
        <v>0</v>
      </c>
      <c r="L856" s="17" t="b">
        <f>Github!N$1484</f>
        <v>0</v>
      </c>
      <c r="M856" s="17" t="str">
        <f>ROUND(Github!O$1484, 2)&amp;"%"</f>
        <v>33.39%</v>
      </c>
      <c r="N856" s="17">
        <f>Github!P$1484</f>
        <v>19359</v>
      </c>
      <c r="O856" s="17">
        <f>Github!Q$1484</f>
        <v>57979</v>
      </c>
    </row>
    <row r="857" ht="18.0" customHeight="1">
      <c r="A857" s="17">
        <f>Github!J$399</f>
        <v>398</v>
      </c>
      <c r="B857" s="27" t="str">
        <f>HYPERLINK(CONCAT("http://leetcode.com/problems/",Github!C$399), Github!B$399)</f>
        <v>Random Pick Index</v>
      </c>
      <c r="C857" s="17">
        <f>Github!F$399</f>
        <v>927</v>
      </c>
      <c r="D857" s="17">
        <f>Github!G$399</f>
        <v>1003</v>
      </c>
      <c r="E857" s="17">
        <f>Github!F$399+Github!G$399</f>
        <v>1930</v>
      </c>
      <c r="F857" s="18">
        <f t="shared" si="1"/>
        <v>0.92</v>
      </c>
      <c r="G857" s="17" t="str">
        <f>Github!H$399</f>
        <v>Algorithms</v>
      </c>
      <c r="H857" s="19" t="str">
        <f>SUBSTITUTE(Github!L$399, ";", ", ")</f>
        <v>Hash Table, Math, Reservoir Sampling, Randomized, </v>
      </c>
      <c r="I857" s="17" t="str">
        <f>Github!E$399</f>
        <v>Medium</v>
      </c>
      <c r="J857" s="17" t="str">
        <f>IF(TRIM(Github!D$399)="TRUE","FALSE","TRUE")</f>
        <v>TRUE</v>
      </c>
      <c r="K857" s="17" t="b">
        <f>Github!M$399</f>
        <v>1</v>
      </c>
      <c r="L857" s="17" t="b">
        <f>Github!N$399</f>
        <v>0</v>
      </c>
      <c r="M857" s="17" t="str">
        <f>ROUND(Github!O$399, 2)&amp;"%"</f>
        <v>63.23%</v>
      </c>
      <c r="N857" s="17">
        <f>Github!P$399</f>
        <v>162596</v>
      </c>
      <c r="O857" s="17">
        <f>Github!Q$399</f>
        <v>257152</v>
      </c>
    </row>
    <row r="858" ht="18.0" customHeight="1">
      <c r="A858" s="17">
        <f>Github!J$838</f>
        <v>837</v>
      </c>
      <c r="B858" s="27" t="str">
        <f>HYPERLINK(CONCAT("http://leetcode.com/problems/",Github!C$838), Github!B$838)</f>
        <v>New 21 Game</v>
      </c>
      <c r="C858" s="17">
        <f>Github!F$838</f>
        <v>926</v>
      </c>
      <c r="D858" s="17">
        <f>Github!G$838</f>
        <v>613</v>
      </c>
      <c r="E858" s="17">
        <f>Github!F$838+Github!G$838</f>
        <v>1539</v>
      </c>
      <c r="F858" s="18">
        <f t="shared" si="1"/>
        <v>1.51</v>
      </c>
      <c r="G858" s="17" t="str">
        <f>Github!H$838</f>
        <v>Algorithms</v>
      </c>
      <c r="H858" s="19" t="str">
        <f>SUBSTITUTE(Github!L$838, ";", ", ")</f>
        <v>Math, Dynamic Programming, Sliding Window, Probability and Statistics, </v>
      </c>
      <c r="I858" s="17" t="str">
        <f>Github!E$838</f>
        <v>Medium</v>
      </c>
      <c r="J858" s="17" t="str">
        <f>IF(TRIM(Github!D$838)="TRUE","FALSE","TRUE")</f>
        <v>TRUE</v>
      </c>
      <c r="K858" s="17" t="b">
        <f>Github!M$838</f>
        <v>0</v>
      </c>
      <c r="L858" s="17" t="b">
        <f>Github!N$838</f>
        <v>0</v>
      </c>
      <c r="M858" s="17" t="str">
        <f>ROUND(Github!O$838, 2)&amp;"%"</f>
        <v>36.03%</v>
      </c>
      <c r="N858" s="17">
        <f>Github!P$838</f>
        <v>30467</v>
      </c>
      <c r="O858" s="17">
        <f>Github!Q$838</f>
        <v>84562</v>
      </c>
    </row>
    <row r="859" ht="18.0" customHeight="1">
      <c r="A859" s="17">
        <f>Github!J$1575</f>
        <v>1574</v>
      </c>
      <c r="B859" s="27" t="str">
        <f>HYPERLINK(CONCAT("http://leetcode.com/problems/",Github!C$1575), Github!B$1575)</f>
        <v>Shortest Subarray to be Removed to Make Array Sorted</v>
      </c>
      <c r="C859" s="17">
        <f>Github!F$1575</f>
        <v>924</v>
      </c>
      <c r="D859" s="17">
        <f>Github!G$1575</f>
        <v>28</v>
      </c>
      <c r="E859" s="17">
        <f>Github!F$1575+Github!G$1575</f>
        <v>952</v>
      </c>
      <c r="F859" s="18">
        <f t="shared" si="1"/>
        <v>33</v>
      </c>
      <c r="G859" s="17" t="str">
        <f>Github!H$1575</f>
        <v>Algorithms</v>
      </c>
      <c r="H859" s="19" t="str">
        <f>SUBSTITUTE(Github!L$1575, ";", ", ")</f>
        <v>Array, Two Pointers, Binary Search, Stack, Monotonic Stack, </v>
      </c>
      <c r="I859" s="17" t="str">
        <f>Github!E$1575</f>
        <v>Medium</v>
      </c>
      <c r="J859" s="17" t="str">
        <f>IF(TRIM(Github!D$1575)="TRUE","FALSE","TRUE")</f>
        <v>TRUE</v>
      </c>
      <c r="K859" s="17" t="b">
        <f>Github!M$1575</f>
        <v>0</v>
      </c>
      <c r="L859" s="17" t="b">
        <f>Github!N$1575</f>
        <v>0</v>
      </c>
      <c r="M859" s="17" t="str">
        <f>ROUND(Github!O$1575, 2)&amp;"%"</f>
        <v>35.33%</v>
      </c>
      <c r="N859" s="17">
        <f>Github!P$1575</f>
        <v>17190</v>
      </c>
      <c r="O859" s="17">
        <f>Github!Q$1575</f>
        <v>48660</v>
      </c>
    </row>
    <row r="860" ht="18.0" customHeight="1">
      <c r="A860" s="17">
        <f>Github!J$899</f>
        <v>898</v>
      </c>
      <c r="B860" s="27" t="str">
        <f>HYPERLINK(CONCAT("http://leetcode.com/problems/",Github!C$899), Github!B$899)</f>
        <v>Bitwise ORs of Subarrays</v>
      </c>
      <c r="C860" s="17">
        <f>Github!F$899</f>
        <v>921</v>
      </c>
      <c r="D860" s="17">
        <f>Github!G$899</f>
        <v>174</v>
      </c>
      <c r="E860" s="17">
        <f>Github!F$899+Github!G$899</f>
        <v>1095</v>
      </c>
      <c r="F860" s="18">
        <f t="shared" si="1"/>
        <v>5.29</v>
      </c>
      <c r="G860" s="17" t="str">
        <f>Github!H$899</f>
        <v>Algorithms</v>
      </c>
      <c r="H860" s="19" t="str">
        <f>SUBSTITUTE(Github!L$899, ";", ", ")</f>
        <v>Array, Dynamic Programming, Bit Manipulation, </v>
      </c>
      <c r="I860" s="17" t="str">
        <f>Github!E$899</f>
        <v>Medium</v>
      </c>
      <c r="J860" s="17" t="str">
        <f>IF(TRIM(Github!D$899)="TRUE","FALSE","TRUE")</f>
        <v>TRUE</v>
      </c>
      <c r="K860" s="17" t="b">
        <f>Github!M$899</f>
        <v>0</v>
      </c>
      <c r="L860" s="17" t="b">
        <f>Github!N$899</f>
        <v>0</v>
      </c>
      <c r="M860" s="17" t="str">
        <f>ROUND(Github!O$899, 2)&amp;"%"</f>
        <v>36.15%</v>
      </c>
      <c r="N860" s="17">
        <f>Github!P$899</f>
        <v>25447</v>
      </c>
      <c r="O860" s="17">
        <f>Github!Q$899</f>
        <v>70390</v>
      </c>
    </row>
    <row r="861" ht="18.0" customHeight="1">
      <c r="A861" s="17">
        <f>Github!J$1161</f>
        <v>1160</v>
      </c>
      <c r="B861" s="27" t="str">
        <f>HYPERLINK(CONCAT("http://leetcode.com/problems/",Github!C$1161), Github!B$1161)</f>
        <v>Find Words That Can Be Formed by Characters</v>
      </c>
      <c r="C861" s="17">
        <f>Github!F$1161</f>
        <v>920</v>
      </c>
      <c r="D861" s="17">
        <f>Github!G$1161</f>
        <v>120</v>
      </c>
      <c r="E861" s="17">
        <f>Github!F$1161+Github!G$1161</f>
        <v>1040</v>
      </c>
      <c r="F861" s="18">
        <f t="shared" si="1"/>
        <v>7.67</v>
      </c>
      <c r="G861" s="17" t="str">
        <f>Github!H$1161</f>
        <v>Algorithms</v>
      </c>
      <c r="H861" s="19" t="str">
        <f>SUBSTITUTE(Github!L$1161, ";", ", ")</f>
        <v>Array, Hash Table, String, </v>
      </c>
      <c r="I861" s="17" t="str">
        <f>Github!E$1161</f>
        <v>Easy</v>
      </c>
      <c r="J861" s="17" t="str">
        <f>IF(TRIM(Github!D$1161)="TRUE","FALSE","TRUE")</f>
        <v>TRUE</v>
      </c>
      <c r="K861" s="17" t="b">
        <f>Github!M$1161</f>
        <v>0</v>
      </c>
      <c r="L861" s="17" t="b">
        <f>Github!N$1161</f>
        <v>0</v>
      </c>
      <c r="M861" s="17" t="str">
        <f>ROUND(Github!O$1161, 2)&amp;"%"</f>
        <v>67.68%</v>
      </c>
      <c r="N861" s="17">
        <f>Github!P$1161</f>
        <v>108370</v>
      </c>
      <c r="O861" s="17">
        <f>Github!Q$1161</f>
        <v>160130</v>
      </c>
    </row>
    <row r="862" ht="18.0" customHeight="1">
      <c r="A862" s="17">
        <f>Github!J$1219</f>
        <v>1218</v>
      </c>
      <c r="B862" s="27" t="str">
        <f>HYPERLINK(CONCAT("http://leetcode.com/problems/",Github!C$1219), Github!B$1219)</f>
        <v>Longest Arithmetic Subsequence of Given Difference</v>
      </c>
      <c r="C862" s="17">
        <f>Github!F$1219</f>
        <v>920</v>
      </c>
      <c r="D862" s="17">
        <f>Github!G$1219</f>
        <v>42</v>
      </c>
      <c r="E862" s="17">
        <f>Github!F$1219+Github!G$1219</f>
        <v>962</v>
      </c>
      <c r="F862" s="18">
        <f t="shared" si="1"/>
        <v>21.9</v>
      </c>
      <c r="G862" s="17" t="str">
        <f>Github!H$1219</f>
        <v>Algorithms</v>
      </c>
      <c r="H862" s="19" t="str">
        <f>SUBSTITUTE(Github!L$1219, ";", ", ")</f>
        <v>Array, Hash Table, Dynamic Programming, </v>
      </c>
      <c r="I862" s="17" t="str">
        <f>Github!E$1219</f>
        <v>Medium</v>
      </c>
      <c r="J862" s="17" t="str">
        <f>IF(TRIM(Github!D$1219)="TRUE","FALSE","TRUE")</f>
        <v>TRUE</v>
      </c>
      <c r="K862" s="17" t="b">
        <f>Github!M$1219</f>
        <v>0</v>
      </c>
      <c r="L862" s="17" t="b">
        <f>Github!N$1219</f>
        <v>0</v>
      </c>
      <c r="M862" s="17" t="str">
        <f>ROUND(Github!O$1219, 2)&amp;"%"</f>
        <v>50.82%</v>
      </c>
      <c r="N862" s="17">
        <f>Github!P$1219</f>
        <v>43717</v>
      </c>
      <c r="O862" s="17">
        <f>Github!Q$1219</f>
        <v>86030</v>
      </c>
    </row>
    <row r="863" ht="18.0" customHeight="1">
      <c r="A863" s="17">
        <f>Github!J$1579</f>
        <v>1578</v>
      </c>
      <c r="B863" s="27" t="str">
        <f>HYPERLINK(CONCAT("http://leetcode.com/problems/",Github!C$1579), Github!B$1579)</f>
        <v>Minimum Time to Make Rope Colorful</v>
      </c>
      <c r="C863" s="17">
        <f>Github!F$1579</f>
        <v>920</v>
      </c>
      <c r="D863" s="17">
        <f>Github!G$1579</f>
        <v>37</v>
      </c>
      <c r="E863" s="17">
        <f>Github!F$1579+Github!G$1579</f>
        <v>957</v>
      </c>
      <c r="F863" s="18">
        <f t="shared" si="1"/>
        <v>24.86</v>
      </c>
      <c r="G863" s="17" t="str">
        <f>Github!H$1579</f>
        <v>Algorithms</v>
      </c>
      <c r="H863" s="19" t="str">
        <f>SUBSTITUTE(Github!L$1579, ";", ", ")</f>
        <v>Array, String, Dynamic Programming, Greedy, </v>
      </c>
      <c r="I863" s="17" t="str">
        <f>Github!E$1579</f>
        <v>Medium</v>
      </c>
      <c r="J863" s="17" t="str">
        <f>IF(TRIM(Github!D$1579)="TRUE","FALSE","TRUE")</f>
        <v>TRUE</v>
      </c>
      <c r="K863" s="17" t="b">
        <f>Github!M$1579</f>
        <v>0</v>
      </c>
      <c r="L863" s="17" t="b">
        <f>Github!N$1579</f>
        <v>0</v>
      </c>
      <c r="M863" s="17" t="str">
        <f>ROUND(Github!O$1579, 2)&amp;"%"</f>
        <v>61.27%</v>
      </c>
      <c r="N863" s="17">
        <f>Github!P$1579</f>
        <v>58013</v>
      </c>
      <c r="O863" s="17">
        <f>Github!Q$1579</f>
        <v>94683</v>
      </c>
    </row>
    <row r="864" ht="18.0" customHeight="1">
      <c r="A864" s="17">
        <f>Github!J$181</f>
        <v>180</v>
      </c>
      <c r="B864" s="27" t="str">
        <f>HYPERLINK(CONCAT("http://leetcode.com/problems/",Github!C$181), Github!B$181)</f>
        <v>Consecutive Numbers</v>
      </c>
      <c r="C864" s="17">
        <f>Github!F$181</f>
        <v>915</v>
      </c>
      <c r="D864" s="17">
        <f>Github!G$181</f>
        <v>179</v>
      </c>
      <c r="E864" s="17">
        <f>Github!F$181+Github!G$181</f>
        <v>1094</v>
      </c>
      <c r="F864" s="18">
        <f t="shared" si="1"/>
        <v>5.11</v>
      </c>
      <c r="G864" s="17" t="str">
        <f>Github!H$181</f>
        <v>Database</v>
      </c>
      <c r="H864" s="19" t="str">
        <f>SUBSTITUTE(Github!L$181, ";", ", ")</f>
        <v>Database, </v>
      </c>
      <c r="I864" s="17" t="str">
        <f>Github!E$181</f>
        <v>Medium</v>
      </c>
      <c r="J864" s="17" t="str">
        <f>IF(TRIM(Github!D$181)="TRUE","FALSE","TRUE")</f>
        <v>TRUE</v>
      </c>
      <c r="K864" s="17" t="b">
        <f>Github!M$181</f>
        <v>1</v>
      </c>
      <c r="L864" s="17" t="b">
        <f>Github!N$181</f>
        <v>0</v>
      </c>
      <c r="M864" s="17" t="str">
        <f>ROUND(Github!O$181, 2)&amp;"%"</f>
        <v>45.33%</v>
      </c>
      <c r="N864" s="17">
        <f>Github!P$181</f>
        <v>178103</v>
      </c>
      <c r="O864" s="17">
        <f>Github!Q$181</f>
        <v>392891</v>
      </c>
    </row>
    <row r="865" ht="18.0" customHeight="1">
      <c r="A865" s="17">
        <f>Github!J$576</f>
        <v>575</v>
      </c>
      <c r="B865" s="27" t="str">
        <f>HYPERLINK(CONCAT("http://leetcode.com/problems/",Github!C$576), Github!B$576)</f>
        <v>Distribute Candies</v>
      </c>
      <c r="C865" s="17">
        <f>Github!F$576</f>
        <v>914</v>
      </c>
      <c r="D865" s="17">
        <f>Github!G$576</f>
        <v>1128</v>
      </c>
      <c r="E865" s="17">
        <f>Github!F$576+Github!G$576</f>
        <v>2042</v>
      </c>
      <c r="F865" s="18">
        <f t="shared" si="1"/>
        <v>0.81</v>
      </c>
      <c r="G865" s="17" t="str">
        <f>Github!H$576</f>
        <v>Algorithms</v>
      </c>
      <c r="H865" s="19" t="str">
        <f>SUBSTITUTE(Github!L$576, ";", ", ")</f>
        <v>Array, Hash Table, </v>
      </c>
      <c r="I865" s="17" t="str">
        <f>Github!E$576</f>
        <v>Easy</v>
      </c>
      <c r="J865" s="17" t="str">
        <f>IF(TRIM(Github!D$576)="TRUE","FALSE","TRUE")</f>
        <v>TRUE</v>
      </c>
      <c r="K865" s="17" t="b">
        <f>Github!M$576</f>
        <v>1</v>
      </c>
      <c r="L865" s="17" t="b">
        <f>Github!N$576</f>
        <v>0</v>
      </c>
      <c r="M865" s="17" t="str">
        <f>ROUND(Github!O$576, 2)&amp;"%"</f>
        <v>65.48%</v>
      </c>
      <c r="N865" s="17">
        <f>Github!P$576</f>
        <v>198365</v>
      </c>
      <c r="O865" s="17">
        <f>Github!Q$576</f>
        <v>302929</v>
      </c>
    </row>
    <row r="866" ht="18.0" customHeight="1">
      <c r="A866" s="17">
        <f>Github!J$1221</f>
        <v>1220</v>
      </c>
      <c r="B866" s="27" t="str">
        <f>HYPERLINK(CONCAT("http://leetcode.com/problems/",Github!C$1221), Github!B$1221)</f>
        <v>Count Vowels Permutation</v>
      </c>
      <c r="C866" s="17">
        <f>Github!F$1221</f>
        <v>912</v>
      </c>
      <c r="D866" s="17">
        <f>Github!G$1221</f>
        <v>91</v>
      </c>
      <c r="E866" s="17">
        <f>Github!F$1221+Github!G$1221</f>
        <v>1003</v>
      </c>
      <c r="F866" s="18">
        <f t="shared" si="1"/>
        <v>10.02</v>
      </c>
      <c r="G866" s="17" t="str">
        <f>Github!H$1221</f>
        <v>Algorithms</v>
      </c>
      <c r="H866" s="19" t="str">
        <f>SUBSTITUTE(Github!L$1221, ";", ", ")</f>
        <v>Dynamic Programming, </v>
      </c>
      <c r="I866" s="17" t="str">
        <f>Github!E$1221</f>
        <v>Hard</v>
      </c>
      <c r="J866" s="17" t="str">
        <f>IF(TRIM(Github!D$1221)="TRUE","FALSE","TRUE")</f>
        <v>TRUE</v>
      </c>
      <c r="K866" s="17" t="b">
        <f>Github!M$1221</f>
        <v>1</v>
      </c>
      <c r="L866" s="17" t="b">
        <f>Github!N$1221</f>
        <v>0</v>
      </c>
      <c r="M866" s="17" t="str">
        <f>ROUND(Github!O$1221, 2)&amp;"%"</f>
        <v>56.31%</v>
      </c>
      <c r="N866" s="17">
        <f>Github!P$1221</f>
        <v>45629</v>
      </c>
      <c r="O866" s="17">
        <f>Github!Q$1221</f>
        <v>81025</v>
      </c>
    </row>
    <row r="867" ht="18.0" customHeight="1">
      <c r="A867" s="17">
        <f>Github!J$1357</f>
        <v>1356</v>
      </c>
      <c r="B867" s="27" t="str">
        <f>HYPERLINK(CONCAT("http://leetcode.com/problems/",Github!C$1357), Github!B$1357)</f>
        <v>Sort Integers by The Number of 1 Bits</v>
      </c>
      <c r="C867" s="17">
        <f>Github!F$1357</f>
        <v>914</v>
      </c>
      <c r="D867" s="17">
        <f>Github!G$1357</f>
        <v>42</v>
      </c>
      <c r="E867" s="17">
        <f>Github!F$1357+Github!G$1357</f>
        <v>956</v>
      </c>
      <c r="F867" s="18">
        <f t="shared" si="1"/>
        <v>21.76</v>
      </c>
      <c r="G867" s="17" t="str">
        <f>Github!H$1357</f>
        <v>Algorithms</v>
      </c>
      <c r="H867" s="19" t="str">
        <f>SUBSTITUTE(Github!L$1357, ";", ", ")</f>
        <v>Array, Bit Manipulation, Sorting, Counting, </v>
      </c>
      <c r="I867" s="17" t="str">
        <f>Github!E$1357</f>
        <v>Easy</v>
      </c>
      <c r="J867" s="17" t="str">
        <f>IF(TRIM(Github!D$1357)="TRUE","FALSE","TRUE")</f>
        <v>TRUE</v>
      </c>
      <c r="K867" s="17" t="b">
        <f>Github!M$1357</f>
        <v>0</v>
      </c>
      <c r="L867" s="17" t="b">
        <f>Github!N$1357</f>
        <v>0</v>
      </c>
      <c r="M867" s="17" t="str">
        <f>ROUND(Github!O$1357, 2)&amp;"%"</f>
        <v>71.07%</v>
      </c>
      <c r="N867" s="17">
        <f>Github!P$1357</f>
        <v>60255</v>
      </c>
      <c r="O867" s="17">
        <f>Github!Q$1357</f>
        <v>84786</v>
      </c>
    </row>
    <row r="868" ht="18.0" customHeight="1">
      <c r="A868" s="17">
        <f>Github!J$426</f>
        <v>425</v>
      </c>
      <c r="B868" s="27" t="str">
        <f>HYPERLINK(CONCAT("http://leetcode.com/problems/",Github!C$426), Github!B$426)</f>
        <v>Word Squares</v>
      </c>
      <c r="C868" s="17">
        <f>Github!F$426</f>
        <v>909</v>
      </c>
      <c r="D868" s="17">
        <f>Github!G$426</f>
        <v>58</v>
      </c>
      <c r="E868" s="17">
        <f>Github!F$426+Github!G$426</f>
        <v>967</v>
      </c>
      <c r="F868" s="18">
        <f t="shared" si="1"/>
        <v>15.67</v>
      </c>
      <c r="G868" s="17" t="str">
        <f>Github!H$426</f>
        <v>Algorithms</v>
      </c>
      <c r="H868" s="19" t="str">
        <f>SUBSTITUTE(Github!L$426, ";", ", ")</f>
        <v>Array, String, Backtracking, Trie, </v>
      </c>
      <c r="I868" s="17" t="str">
        <f>Github!E$426</f>
        <v>Hard</v>
      </c>
      <c r="J868" s="17" t="str">
        <f>IF(TRIM(Github!D$426)="TRUE","FALSE","TRUE")</f>
        <v>FALSE</v>
      </c>
      <c r="K868" s="17" t="b">
        <f>Github!M$426</f>
        <v>1</v>
      </c>
      <c r="L868" s="17" t="b">
        <f>Github!N$426</f>
        <v>0</v>
      </c>
      <c r="M868" s="17" t="str">
        <f>ROUND(Github!O$426, 2)&amp;"%"</f>
        <v>52.07%</v>
      </c>
      <c r="N868" s="17">
        <f>Github!P$426</f>
        <v>60399</v>
      </c>
      <c r="O868" s="17">
        <f>Github!Q$426</f>
        <v>115996</v>
      </c>
    </row>
    <row r="869" ht="18.0" customHeight="1">
      <c r="A869" s="17">
        <f>Github!J$781</f>
        <v>780</v>
      </c>
      <c r="B869" s="27" t="str">
        <f>HYPERLINK(CONCAT("http://leetcode.com/problems/",Github!C$781), Github!B$781)</f>
        <v>Reaching Points</v>
      </c>
      <c r="C869" s="17">
        <f>Github!F$781</f>
        <v>910</v>
      </c>
      <c r="D869" s="17">
        <f>Github!G$781</f>
        <v>155</v>
      </c>
      <c r="E869" s="17">
        <f>Github!F$781+Github!G$781</f>
        <v>1065</v>
      </c>
      <c r="F869" s="18">
        <f t="shared" si="1"/>
        <v>5.87</v>
      </c>
      <c r="G869" s="17" t="str">
        <f>Github!H$781</f>
        <v>Algorithms</v>
      </c>
      <c r="H869" s="19" t="str">
        <f>SUBSTITUTE(Github!L$781, ";", ", ")</f>
        <v>Math, </v>
      </c>
      <c r="I869" s="17" t="str">
        <f>Github!E$781</f>
        <v>Hard</v>
      </c>
      <c r="J869" s="17" t="str">
        <f>IF(TRIM(Github!D$781)="TRUE","FALSE","TRUE")</f>
        <v>TRUE</v>
      </c>
      <c r="K869" s="17" t="b">
        <f>Github!M$781</f>
        <v>1</v>
      </c>
      <c r="L869" s="17" t="b">
        <f>Github!N$781</f>
        <v>0</v>
      </c>
      <c r="M869" s="17" t="str">
        <f>ROUND(Github!O$781, 2)&amp;"%"</f>
        <v>31.47%</v>
      </c>
      <c r="N869" s="17">
        <f>Github!P$781</f>
        <v>40137</v>
      </c>
      <c r="O869" s="17">
        <f>Github!Q$781</f>
        <v>127540</v>
      </c>
    </row>
    <row r="870" ht="18.0" customHeight="1">
      <c r="A870" s="17">
        <f>Github!J$1146</f>
        <v>1145</v>
      </c>
      <c r="B870" s="27" t="str">
        <f>HYPERLINK(CONCAT("http://leetcode.com/problems/",Github!C$1146), Github!B$1146)</f>
        <v>Binary Tree Coloring Game</v>
      </c>
      <c r="C870" s="17">
        <f>Github!F$1146</f>
        <v>911</v>
      </c>
      <c r="D870" s="17">
        <f>Github!G$1146</f>
        <v>171</v>
      </c>
      <c r="E870" s="17">
        <f>Github!F$1146+Github!G$1146</f>
        <v>1082</v>
      </c>
      <c r="F870" s="18">
        <f t="shared" si="1"/>
        <v>5.33</v>
      </c>
      <c r="G870" s="17" t="str">
        <f>Github!H$1146</f>
        <v>Algorithms</v>
      </c>
      <c r="H870" s="19" t="str">
        <f>SUBSTITUTE(Github!L$1146, ";", ", ")</f>
        <v>Tree, Depth-First Search, Binary Tree, </v>
      </c>
      <c r="I870" s="17" t="str">
        <f>Github!E$1146</f>
        <v>Medium</v>
      </c>
      <c r="J870" s="17" t="str">
        <f>IF(TRIM(Github!D$1146)="TRUE","FALSE","TRUE")</f>
        <v>TRUE</v>
      </c>
      <c r="K870" s="17" t="b">
        <f>Github!M$1146</f>
        <v>0</v>
      </c>
      <c r="L870" s="17" t="b">
        <f>Github!N$1146</f>
        <v>0</v>
      </c>
      <c r="M870" s="17" t="str">
        <f>ROUND(Github!O$1146, 2)&amp;"%"</f>
        <v>51.09%</v>
      </c>
      <c r="N870" s="17">
        <f>Github!P$1146</f>
        <v>33524</v>
      </c>
      <c r="O870" s="17">
        <f>Github!Q$1146</f>
        <v>65612</v>
      </c>
    </row>
    <row r="871" ht="18.0" customHeight="1">
      <c r="A871" s="17">
        <f>Github!J$1006</f>
        <v>1005</v>
      </c>
      <c r="B871" s="27" t="str">
        <f>HYPERLINK(CONCAT("http://leetcode.com/problems/",Github!C$1006), Github!B$1006)</f>
        <v>Maximize Sum Of Array After K Negations</v>
      </c>
      <c r="C871" s="17">
        <f>Github!F$1006</f>
        <v>910</v>
      </c>
      <c r="D871" s="17">
        <f>Github!G$1006</f>
        <v>75</v>
      </c>
      <c r="E871" s="17">
        <f>Github!F$1006+Github!G$1006</f>
        <v>985</v>
      </c>
      <c r="F871" s="18">
        <f t="shared" si="1"/>
        <v>12.13</v>
      </c>
      <c r="G871" s="17" t="str">
        <f>Github!H$1006</f>
        <v>Algorithms</v>
      </c>
      <c r="H871" s="19" t="str">
        <f>SUBSTITUTE(Github!L$1006, ";", ", ")</f>
        <v>Array, Greedy, Sorting, </v>
      </c>
      <c r="I871" s="17" t="str">
        <f>Github!E$1006</f>
        <v>Easy</v>
      </c>
      <c r="J871" s="17" t="str">
        <f>IF(TRIM(Github!D$1006)="TRUE","FALSE","TRUE")</f>
        <v>TRUE</v>
      </c>
      <c r="K871" s="17" t="b">
        <f>Github!M$1006</f>
        <v>0</v>
      </c>
      <c r="L871" s="17" t="b">
        <f>Github!N$1006</f>
        <v>0</v>
      </c>
      <c r="M871" s="17" t="str">
        <f>ROUND(Github!O$1006, 2)&amp;"%"</f>
        <v>51.52%</v>
      </c>
      <c r="N871" s="17">
        <f>Github!P$1006</f>
        <v>51752</v>
      </c>
      <c r="O871" s="17">
        <f>Github!Q$1006</f>
        <v>100441</v>
      </c>
    </row>
    <row r="872" ht="18.0" customHeight="1">
      <c r="A872" s="17">
        <f>Github!J$251</f>
        <v>250</v>
      </c>
      <c r="B872" s="27" t="str">
        <f>HYPERLINK(CONCAT("http://leetcode.com/problems/",Github!C$251), Github!B$251)</f>
        <v>Count Univalue Subtrees</v>
      </c>
      <c r="C872" s="17">
        <f>Github!F$251</f>
        <v>909</v>
      </c>
      <c r="D872" s="17">
        <f>Github!G$251</f>
        <v>286</v>
      </c>
      <c r="E872" s="17">
        <f>Github!F$251+Github!G$251</f>
        <v>1195</v>
      </c>
      <c r="F872" s="18">
        <f t="shared" si="1"/>
        <v>3.18</v>
      </c>
      <c r="G872" s="17" t="str">
        <f>Github!H$251</f>
        <v>Algorithms</v>
      </c>
      <c r="H872" s="19" t="str">
        <f>SUBSTITUTE(Github!L$251, ";", ", ")</f>
        <v>Tree, Depth-First Search, Binary Tree, </v>
      </c>
      <c r="I872" s="17" t="str">
        <f>Github!E$251</f>
        <v>Medium</v>
      </c>
      <c r="J872" s="17" t="str">
        <f>IF(TRIM(Github!D$251)="TRUE","FALSE","TRUE")</f>
        <v>FALSE</v>
      </c>
      <c r="K872" s="17" t="b">
        <f>Github!M$251</f>
        <v>1</v>
      </c>
      <c r="L872" s="17" t="b">
        <f>Github!N$251</f>
        <v>0</v>
      </c>
      <c r="M872" s="17" t="str">
        <f>ROUND(Github!O$251, 2)&amp;"%"</f>
        <v>54.68%</v>
      </c>
      <c r="N872" s="17">
        <f>Github!P$251</f>
        <v>114674</v>
      </c>
      <c r="O872" s="17">
        <f>Github!Q$251</f>
        <v>209700</v>
      </c>
    </row>
    <row r="873" ht="18.0" customHeight="1">
      <c r="A873" s="17">
        <f>Github!J$402</f>
        <v>401</v>
      </c>
      <c r="B873" s="27" t="str">
        <f>HYPERLINK(CONCAT("http://leetcode.com/problems/",Github!C$402), Github!B$402)</f>
        <v>Binary Watch</v>
      </c>
      <c r="C873" s="17">
        <f>Github!F$402</f>
        <v>907</v>
      </c>
      <c r="D873" s="17">
        <f>Github!G$402</f>
        <v>1707</v>
      </c>
      <c r="E873" s="17">
        <f>Github!F$402+Github!G$402</f>
        <v>2614</v>
      </c>
      <c r="F873" s="18">
        <f t="shared" si="1"/>
        <v>0.53</v>
      </c>
      <c r="G873" s="17" t="str">
        <f>Github!H$402</f>
        <v>Algorithms</v>
      </c>
      <c r="H873" s="19" t="str">
        <f>SUBSTITUTE(Github!L$402, ";", ", ")</f>
        <v>Backtracking, Bit Manipulation, </v>
      </c>
      <c r="I873" s="17" t="str">
        <f>Github!E$402</f>
        <v>Easy</v>
      </c>
      <c r="J873" s="17" t="str">
        <f>IF(TRIM(Github!D$402)="TRUE","FALSE","TRUE")</f>
        <v>TRUE</v>
      </c>
      <c r="K873" s="17" t="b">
        <f>Github!M$402</f>
        <v>0</v>
      </c>
      <c r="L873" s="17" t="b">
        <f>Github!N$402</f>
        <v>0</v>
      </c>
      <c r="M873" s="17" t="str">
        <f>ROUND(Github!O$402, 2)&amp;"%"</f>
        <v>50.27%</v>
      </c>
      <c r="N873" s="17">
        <f>Github!P$402</f>
        <v>107606</v>
      </c>
      <c r="O873" s="17">
        <f>Github!Q$402</f>
        <v>214056</v>
      </c>
    </row>
    <row r="874" ht="18.0" customHeight="1">
      <c r="A874" s="17">
        <f>Github!J$1437</f>
        <v>1436</v>
      </c>
      <c r="B874" s="27" t="str">
        <f>HYPERLINK(CONCAT("http://leetcode.com/problems/",Github!C$1437), Github!B$1437)</f>
        <v>Destination City</v>
      </c>
      <c r="C874" s="17">
        <f>Github!F$1437</f>
        <v>906</v>
      </c>
      <c r="D874" s="17">
        <f>Github!G$1437</f>
        <v>59</v>
      </c>
      <c r="E874" s="17">
        <f>Github!F$1437+Github!G$1437</f>
        <v>965</v>
      </c>
      <c r="F874" s="18">
        <f t="shared" si="1"/>
        <v>15.36</v>
      </c>
      <c r="G874" s="17" t="str">
        <f>Github!H$1437</f>
        <v>Algorithms</v>
      </c>
      <c r="H874" s="19" t="str">
        <f>SUBSTITUTE(Github!L$1437, ";", ", ")</f>
        <v>Hash Table, String, </v>
      </c>
      <c r="I874" s="17" t="str">
        <f>Github!E$1437</f>
        <v>Easy</v>
      </c>
      <c r="J874" s="17" t="str">
        <f>IF(TRIM(Github!D$1437)="TRUE","FALSE","TRUE")</f>
        <v>TRUE</v>
      </c>
      <c r="K874" s="17" t="b">
        <f>Github!M$1437</f>
        <v>0</v>
      </c>
      <c r="L874" s="17" t="b">
        <f>Github!N$1437</f>
        <v>0</v>
      </c>
      <c r="M874" s="17" t="str">
        <f>ROUND(Github!O$1437, 2)&amp;"%"</f>
        <v>77.66%</v>
      </c>
      <c r="N874" s="17">
        <f>Github!P$1437</f>
        <v>94981</v>
      </c>
      <c r="O874" s="17">
        <f>Github!Q$1437</f>
        <v>122302</v>
      </c>
    </row>
    <row r="875" ht="18.0" customHeight="1">
      <c r="A875" s="17">
        <f>Github!J$1125</f>
        <v>1124</v>
      </c>
      <c r="B875" s="27" t="str">
        <f>HYPERLINK(CONCAT("http://leetcode.com/problems/",Github!C$1125), Github!B$1125)</f>
        <v>Longest Well-Performing Interval</v>
      </c>
      <c r="C875" s="17">
        <f>Github!F$1125</f>
        <v>904</v>
      </c>
      <c r="D875" s="17">
        <f>Github!G$1125</f>
        <v>94</v>
      </c>
      <c r="E875" s="17">
        <f>Github!F$1125+Github!G$1125</f>
        <v>998</v>
      </c>
      <c r="F875" s="18">
        <f t="shared" si="1"/>
        <v>9.62</v>
      </c>
      <c r="G875" s="17" t="str">
        <f>Github!H$1125</f>
        <v>Algorithms</v>
      </c>
      <c r="H875" s="19" t="str">
        <f>SUBSTITUTE(Github!L$1125, ";", ", ")</f>
        <v>Array, Hash Table, Stack, Monotonic Stack, Prefix Sum, </v>
      </c>
      <c r="I875" s="17" t="str">
        <f>Github!E$1125</f>
        <v>Medium</v>
      </c>
      <c r="J875" s="17" t="str">
        <f>IF(TRIM(Github!D$1125)="TRUE","FALSE","TRUE")</f>
        <v>TRUE</v>
      </c>
      <c r="K875" s="17" t="b">
        <f>Github!M$1125</f>
        <v>0</v>
      </c>
      <c r="L875" s="17" t="b">
        <f>Github!N$1125</f>
        <v>0</v>
      </c>
      <c r="M875" s="17" t="str">
        <f>ROUND(Github!O$1125, 2)&amp;"%"</f>
        <v>34.15%</v>
      </c>
      <c r="N875" s="17">
        <f>Github!P$1125</f>
        <v>20986</v>
      </c>
      <c r="O875" s="17">
        <f>Github!Q$1125</f>
        <v>61454</v>
      </c>
    </row>
    <row r="876" ht="18.0" customHeight="1">
      <c r="A876" s="17">
        <f>Github!J$1429</f>
        <v>1428</v>
      </c>
      <c r="B876" s="27" t="str">
        <f>HYPERLINK(CONCAT("http://leetcode.com/problems/",Github!C$1429), Github!B$1429)</f>
        <v>Leftmost Column with at Least a One</v>
      </c>
      <c r="C876" s="17">
        <f>Github!F$1429</f>
        <v>902</v>
      </c>
      <c r="D876" s="17">
        <f>Github!G$1429</f>
        <v>111</v>
      </c>
      <c r="E876" s="17">
        <f>Github!F$1429+Github!G$1429</f>
        <v>1013</v>
      </c>
      <c r="F876" s="18">
        <f t="shared" si="1"/>
        <v>8.13</v>
      </c>
      <c r="G876" s="17" t="str">
        <f>Github!H$1429</f>
        <v>Algorithms</v>
      </c>
      <c r="H876" s="19" t="str">
        <f>SUBSTITUTE(Github!L$1429, ";", ", ")</f>
        <v>Array, Binary Search, Matrix, Interactive, </v>
      </c>
      <c r="I876" s="17" t="str">
        <f>Github!E$1429</f>
        <v>Medium</v>
      </c>
      <c r="J876" s="17" t="str">
        <f>IF(TRIM(Github!D$1429)="TRUE","FALSE","TRUE")</f>
        <v>FALSE</v>
      </c>
      <c r="K876" s="17" t="b">
        <f>Github!M$1429</f>
        <v>1</v>
      </c>
      <c r="L876" s="17" t="b">
        <f>Github!N$1429</f>
        <v>0</v>
      </c>
      <c r="M876" s="17" t="str">
        <f>ROUND(Github!O$1429, 2)&amp;"%"</f>
        <v>52.35%</v>
      </c>
      <c r="N876" s="17">
        <f>Github!P$1429</f>
        <v>141618</v>
      </c>
      <c r="O876" s="17">
        <f>Github!Q$1429</f>
        <v>270499</v>
      </c>
    </row>
    <row r="877" ht="18.0" customHeight="1">
      <c r="A877" s="17">
        <f>Github!J$256</f>
        <v>255</v>
      </c>
      <c r="B877" s="27" t="str">
        <f>HYPERLINK(CONCAT("http://leetcode.com/problems/",Github!C$256), Github!B$256)</f>
        <v>Verify Preorder Sequence in Binary Search Tree</v>
      </c>
      <c r="C877" s="17">
        <f>Github!F$256</f>
        <v>900</v>
      </c>
      <c r="D877" s="17">
        <f>Github!G$256</f>
        <v>68</v>
      </c>
      <c r="E877" s="17">
        <f>Github!F$256+Github!G$256</f>
        <v>968</v>
      </c>
      <c r="F877" s="18">
        <f t="shared" si="1"/>
        <v>13.24</v>
      </c>
      <c r="G877" s="17" t="str">
        <f>Github!H$256</f>
        <v>Algorithms</v>
      </c>
      <c r="H877" s="19" t="str">
        <f>SUBSTITUTE(Github!L$256, ";", ", ")</f>
        <v>Stack, Tree, Binary Search Tree, Recursion, Monotonic Stack, Binary Tree, </v>
      </c>
      <c r="I877" s="17" t="str">
        <f>Github!E$256</f>
        <v>Medium</v>
      </c>
      <c r="J877" s="17" t="str">
        <f>IF(TRIM(Github!D$256)="TRUE","FALSE","TRUE")</f>
        <v>FALSE</v>
      </c>
      <c r="K877" s="17" t="b">
        <f>Github!M$256</f>
        <v>0</v>
      </c>
      <c r="L877" s="17" t="b">
        <f>Github!N$256</f>
        <v>0</v>
      </c>
      <c r="M877" s="17" t="str">
        <f>ROUND(Github!O$256, 2)&amp;"%"</f>
        <v>47.41%</v>
      </c>
      <c r="N877" s="17">
        <f>Github!P$256</f>
        <v>63004</v>
      </c>
      <c r="O877" s="17">
        <f>Github!Q$256</f>
        <v>132901</v>
      </c>
    </row>
    <row r="878" ht="18.0" customHeight="1">
      <c r="A878" s="17">
        <f>Github!J$150</f>
        <v>149</v>
      </c>
      <c r="B878" s="27" t="str">
        <f>HYPERLINK(CONCAT("http://leetcode.com/problems/",Github!C$150), Github!B$150)</f>
        <v>Max Points on a Line</v>
      </c>
      <c r="C878" s="17">
        <f>Github!F$150</f>
        <v>899</v>
      </c>
      <c r="D878" s="17">
        <f>Github!G$150</f>
        <v>163</v>
      </c>
      <c r="E878" s="17">
        <f>Github!F$150+Github!G$150</f>
        <v>1062</v>
      </c>
      <c r="F878" s="18">
        <f t="shared" si="1"/>
        <v>5.52</v>
      </c>
      <c r="G878" s="17" t="str">
        <f>Github!H$150</f>
        <v>Algorithms</v>
      </c>
      <c r="H878" s="19" t="str">
        <f>SUBSTITUTE(Github!L$150, ";", ", ")</f>
        <v>Array, Hash Table, Math, Geometry, </v>
      </c>
      <c r="I878" s="17" t="str">
        <f>Github!E$150</f>
        <v>Hard</v>
      </c>
      <c r="J878" s="17" t="str">
        <f>IF(TRIM(Github!D$150)="TRUE","FALSE","TRUE")</f>
        <v>TRUE</v>
      </c>
      <c r="K878" s="17" t="b">
        <f>Github!M$150</f>
        <v>1</v>
      </c>
      <c r="L878" s="17" t="b">
        <f>Github!N$150</f>
        <v>0</v>
      </c>
      <c r="M878" s="17" t="str">
        <f>ROUND(Github!O$150, 2)&amp;"%"</f>
        <v>20.11%</v>
      </c>
      <c r="N878" s="17">
        <f>Github!P$150</f>
        <v>221857</v>
      </c>
      <c r="O878" s="17">
        <f>Github!Q$150</f>
        <v>1103039</v>
      </c>
    </row>
    <row r="879" ht="18.0" customHeight="1">
      <c r="A879" s="17">
        <f>Github!J$281</f>
        <v>280</v>
      </c>
      <c r="B879" s="27" t="str">
        <f>HYPERLINK(CONCAT("http://leetcode.com/problems/",Github!C$281), Github!B$281)</f>
        <v>Wiggle Sort</v>
      </c>
      <c r="C879" s="17">
        <f>Github!F$281</f>
        <v>896</v>
      </c>
      <c r="D879" s="17">
        <f>Github!G$281</f>
        <v>74</v>
      </c>
      <c r="E879" s="17">
        <f>Github!F$281+Github!G$281</f>
        <v>970</v>
      </c>
      <c r="F879" s="18">
        <f t="shared" si="1"/>
        <v>12.11</v>
      </c>
      <c r="G879" s="17" t="str">
        <f>Github!H$281</f>
        <v>Algorithms</v>
      </c>
      <c r="H879" s="19" t="str">
        <f>SUBSTITUTE(Github!L$281, ";", ", ")</f>
        <v>Array, Greedy, Sorting, </v>
      </c>
      <c r="I879" s="17" t="str">
        <f>Github!E$281</f>
        <v>Medium</v>
      </c>
      <c r="J879" s="17" t="str">
        <f>IF(TRIM(Github!D$281)="TRUE","FALSE","TRUE")</f>
        <v>FALSE</v>
      </c>
      <c r="K879" s="17" t="b">
        <f>Github!M$281</f>
        <v>1</v>
      </c>
      <c r="L879" s="17" t="b">
        <f>Github!N$281</f>
        <v>0</v>
      </c>
      <c r="M879" s="17" t="str">
        <f>ROUND(Github!O$281, 2)&amp;"%"</f>
        <v>65.89%</v>
      </c>
      <c r="N879" s="17">
        <f>Github!P$281</f>
        <v>112297</v>
      </c>
      <c r="O879" s="17">
        <f>Github!Q$281</f>
        <v>170434</v>
      </c>
    </row>
    <row r="880" ht="18.0" customHeight="1">
      <c r="A880" s="17">
        <f>Github!J$542</f>
        <v>541</v>
      </c>
      <c r="B880" s="27" t="str">
        <f>HYPERLINK(CONCAT("http://leetcode.com/problems/",Github!C$542), Github!B$542)</f>
        <v>Reverse String II</v>
      </c>
      <c r="C880" s="17">
        <f>Github!F$542</f>
        <v>891</v>
      </c>
      <c r="D880" s="17">
        <f>Github!G$542</f>
        <v>2256</v>
      </c>
      <c r="E880" s="17">
        <f>Github!F$542+Github!G$542</f>
        <v>3147</v>
      </c>
      <c r="F880" s="18">
        <f t="shared" si="1"/>
        <v>0.39</v>
      </c>
      <c r="G880" s="17" t="str">
        <f>Github!H$542</f>
        <v>Algorithms</v>
      </c>
      <c r="H880" s="19" t="str">
        <f>SUBSTITUTE(Github!L$542, ";", ", ")</f>
        <v>Two Pointers, String, </v>
      </c>
      <c r="I880" s="17" t="str">
        <f>Github!E$542</f>
        <v>Easy</v>
      </c>
      <c r="J880" s="17" t="str">
        <f>IF(TRIM(Github!D$542)="TRUE","FALSE","TRUE")</f>
        <v>TRUE</v>
      </c>
      <c r="K880" s="17" t="b">
        <f>Github!M$542</f>
        <v>1</v>
      </c>
      <c r="L880" s="17" t="b">
        <f>Github!N$542</f>
        <v>0</v>
      </c>
      <c r="M880" s="17" t="str">
        <f>ROUND(Github!O$542, 2)&amp;"%"</f>
        <v>50.05%</v>
      </c>
      <c r="N880" s="17">
        <f>Github!P$542</f>
        <v>144388</v>
      </c>
      <c r="O880" s="17">
        <f>Github!Q$542</f>
        <v>288491</v>
      </c>
    </row>
    <row r="881" ht="18.0" customHeight="1">
      <c r="A881" s="17">
        <f>Github!J$1103</f>
        <v>1102</v>
      </c>
      <c r="B881" s="27" t="str">
        <f>HYPERLINK(CONCAT("http://leetcode.com/problems/",Github!C$1103), Github!B$1103)</f>
        <v>Path With Maximum Minimum Value</v>
      </c>
      <c r="C881" s="17">
        <f>Github!F$1103</f>
        <v>890</v>
      </c>
      <c r="D881" s="17">
        <f>Github!G$1103</f>
        <v>95</v>
      </c>
      <c r="E881" s="17">
        <f>Github!F$1103+Github!G$1103</f>
        <v>985</v>
      </c>
      <c r="F881" s="18">
        <f t="shared" si="1"/>
        <v>9.37</v>
      </c>
      <c r="G881" s="17" t="str">
        <f>Github!H$1103</f>
        <v>Algorithms</v>
      </c>
      <c r="H881" s="19" t="str">
        <f>SUBSTITUTE(Github!L$1103, ";", ", ")</f>
        <v>Array, Depth-First Search, Breadth-First Search, Union Find, Heap (Priority Queue), Matrix, </v>
      </c>
      <c r="I881" s="17" t="str">
        <f>Github!E$1103</f>
        <v>Medium</v>
      </c>
      <c r="J881" s="17" t="str">
        <f>IF(TRIM(Github!D$1103)="TRUE","FALSE","TRUE")</f>
        <v>FALSE</v>
      </c>
      <c r="K881" s="17" t="b">
        <f>Github!M$1103</f>
        <v>1</v>
      </c>
      <c r="L881" s="17" t="b">
        <f>Github!N$1103</f>
        <v>0</v>
      </c>
      <c r="M881" s="17" t="str">
        <f>ROUND(Github!O$1103, 2)&amp;"%"</f>
        <v>52.48%</v>
      </c>
      <c r="N881" s="17">
        <f>Github!P$1103</f>
        <v>42601</v>
      </c>
      <c r="O881" s="17">
        <f>Github!Q$1103</f>
        <v>81184</v>
      </c>
    </row>
    <row r="882" ht="18.0" customHeight="1">
      <c r="A882" s="17">
        <f>Github!J$727</f>
        <v>726</v>
      </c>
      <c r="B882" s="27" t="str">
        <f>HYPERLINK(CONCAT("http://leetcode.com/problems/",Github!C$727), Github!B$727)</f>
        <v>Number of Atoms</v>
      </c>
      <c r="C882" s="17">
        <f>Github!F$727</f>
        <v>889</v>
      </c>
      <c r="D882" s="17">
        <f>Github!G$727</f>
        <v>221</v>
      </c>
      <c r="E882" s="17">
        <f>Github!F$727+Github!G$727</f>
        <v>1110</v>
      </c>
      <c r="F882" s="18">
        <f t="shared" si="1"/>
        <v>4.02</v>
      </c>
      <c r="G882" s="17" t="str">
        <f>Github!H$727</f>
        <v>Algorithms</v>
      </c>
      <c r="H882" s="19" t="str">
        <f>SUBSTITUTE(Github!L$727, ";", ", ")</f>
        <v>Hash Table, String, Stack, Sorting, </v>
      </c>
      <c r="I882" s="17" t="str">
        <f>Github!E$727</f>
        <v>Hard</v>
      </c>
      <c r="J882" s="17" t="str">
        <f>IF(TRIM(Github!D$727)="TRUE","FALSE","TRUE")</f>
        <v>TRUE</v>
      </c>
      <c r="K882" s="17" t="b">
        <f>Github!M$727</f>
        <v>1</v>
      </c>
      <c r="L882" s="17" t="b">
        <f>Github!N$727</f>
        <v>0</v>
      </c>
      <c r="M882" s="17" t="str">
        <f>ROUND(Github!O$727, 2)&amp;"%"</f>
        <v>51.72%</v>
      </c>
      <c r="N882" s="17">
        <f>Github!P$727</f>
        <v>43518</v>
      </c>
      <c r="O882" s="17">
        <f>Github!Q$727</f>
        <v>84142</v>
      </c>
    </row>
    <row r="883" ht="18.0" customHeight="1">
      <c r="A883" s="17">
        <f>Github!J$1444</f>
        <v>1443</v>
      </c>
      <c r="B883" s="27" t="str">
        <f>HYPERLINK(CONCAT("http://leetcode.com/problems/",Github!C$1444), Github!B$1444)</f>
        <v>Minimum Time to Collect All Apples in a Tree</v>
      </c>
      <c r="C883" s="17">
        <f>Github!F$1444</f>
        <v>888</v>
      </c>
      <c r="D883" s="17">
        <f>Github!G$1444</f>
        <v>86</v>
      </c>
      <c r="E883" s="17">
        <f>Github!F$1444+Github!G$1444</f>
        <v>974</v>
      </c>
      <c r="F883" s="18">
        <f t="shared" si="1"/>
        <v>10.33</v>
      </c>
      <c r="G883" s="17" t="str">
        <f>Github!H$1444</f>
        <v>Algorithms</v>
      </c>
      <c r="H883" s="19" t="str">
        <f>SUBSTITUTE(Github!L$1444, ";", ", ")</f>
        <v>Hash Table, Tree, Depth-First Search, Breadth-First Search, </v>
      </c>
      <c r="I883" s="17" t="str">
        <f>Github!E$1444</f>
        <v>Medium</v>
      </c>
      <c r="J883" s="17" t="str">
        <f>IF(TRIM(Github!D$1444)="TRUE","FALSE","TRUE")</f>
        <v>TRUE</v>
      </c>
      <c r="K883" s="17" t="b">
        <f>Github!M$1444</f>
        <v>0</v>
      </c>
      <c r="L883" s="17" t="b">
        <f>Github!N$1444</f>
        <v>0</v>
      </c>
      <c r="M883" s="17" t="str">
        <f>ROUND(Github!O$1444, 2)&amp;"%"</f>
        <v>55.52%</v>
      </c>
      <c r="N883" s="17">
        <f>Github!P$1444</f>
        <v>27742</v>
      </c>
      <c r="O883" s="17">
        <f>Github!Q$1444</f>
        <v>49965</v>
      </c>
    </row>
    <row r="884" ht="18.0" customHeight="1">
      <c r="A884" s="17">
        <f>Github!J$924</f>
        <v>923</v>
      </c>
      <c r="B884" s="27" t="str">
        <f>HYPERLINK(CONCAT("http://leetcode.com/problems/",Github!C$924), Github!B$924)</f>
        <v>3Sum With Multiplicity</v>
      </c>
      <c r="C884" s="17">
        <f>Github!F$924</f>
        <v>887</v>
      </c>
      <c r="D884" s="17">
        <f>Github!G$924</f>
        <v>142</v>
      </c>
      <c r="E884" s="17">
        <f>Github!F$924+Github!G$924</f>
        <v>1029</v>
      </c>
      <c r="F884" s="18">
        <f t="shared" si="1"/>
        <v>6.25</v>
      </c>
      <c r="G884" s="17" t="str">
        <f>Github!H$924</f>
        <v>Algorithms</v>
      </c>
      <c r="H884" s="19" t="str">
        <f>SUBSTITUTE(Github!L$924, ";", ", ")</f>
        <v>Array, Hash Table, Two Pointers, Sorting, Counting, </v>
      </c>
      <c r="I884" s="17" t="str">
        <f>Github!E$924</f>
        <v>Medium</v>
      </c>
      <c r="J884" s="17" t="str">
        <f>IF(TRIM(Github!D$924)="TRUE","FALSE","TRUE")</f>
        <v>TRUE</v>
      </c>
      <c r="K884" s="17" t="b">
        <f>Github!M$924</f>
        <v>1</v>
      </c>
      <c r="L884" s="17" t="b">
        <f>Github!N$924</f>
        <v>0</v>
      </c>
      <c r="M884" s="17" t="str">
        <f>ROUND(Github!O$924, 2)&amp;"%"</f>
        <v>41.38%</v>
      </c>
      <c r="N884" s="17">
        <f>Github!P$924</f>
        <v>45243</v>
      </c>
      <c r="O884" s="17">
        <f>Github!Q$924</f>
        <v>109347</v>
      </c>
    </row>
    <row r="885" ht="18.0" customHeight="1">
      <c r="A885" s="17">
        <f>Github!J$617</f>
        <v>616</v>
      </c>
      <c r="B885" s="27" t="str">
        <f>HYPERLINK(CONCAT("http://leetcode.com/problems/",Github!C$617), Github!B$617)</f>
        <v>Add Bold Tag in String</v>
      </c>
      <c r="C885" s="17">
        <f>Github!F$617</f>
        <v>883</v>
      </c>
      <c r="D885" s="17">
        <f>Github!G$617</f>
        <v>146</v>
      </c>
      <c r="E885" s="17">
        <f>Github!F$617+Github!G$617</f>
        <v>1029</v>
      </c>
      <c r="F885" s="18">
        <f t="shared" si="1"/>
        <v>6.05</v>
      </c>
      <c r="G885" s="17" t="str">
        <f>Github!H$617</f>
        <v>Algorithms</v>
      </c>
      <c r="H885" s="19" t="str">
        <f>SUBSTITUTE(Github!L$617, ";", ", ")</f>
        <v>Array, Hash Table, String, Trie, String Matching, </v>
      </c>
      <c r="I885" s="17" t="str">
        <f>Github!E$617</f>
        <v>Medium</v>
      </c>
      <c r="J885" s="17" t="str">
        <f>IF(TRIM(Github!D$617)="TRUE","FALSE","TRUE")</f>
        <v>FALSE</v>
      </c>
      <c r="K885" s="17" t="b">
        <f>Github!M$617</f>
        <v>0</v>
      </c>
      <c r="L885" s="17" t="b">
        <f>Github!N$617</f>
        <v>0</v>
      </c>
      <c r="M885" s="17" t="str">
        <f>ROUND(Github!O$617, 2)&amp;"%"</f>
        <v>47.86%</v>
      </c>
      <c r="N885" s="17">
        <f>Github!P$617</f>
        <v>71195</v>
      </c>
      <c r="O885" s="17">
        <f>Github!Q$617</f>
        <v>148752</v>
      </c>
    </row>
    <row r="886" ht="18.0" customHeight="1">
      <c r="A886" s="17">
        <f>Github!J$550</f>
        <v>549</v>
      </c>
      <c r="B886" s="27" t="str">
        <f>HYPERLINK(CONCAT("http://leetcode.com/problems/",Github!C$550), Github!B$550)</f>
        <v>Binary Tree Longest Consecutive Sequence II</v>
      </c>
      <c r="C886" s="17">
        <f>Github!F$550</f>
        <v>882</v>
      </c>
      <c r="D886" s="17">
        <f>Github!G$550</f>
        <v>70</v>
      </c>
      <c r="E886" s="17">
        <f>Github!F$550+Github!G$550</f>
        <v>952</v>
      </c>
      <c r="F886" s="18">
        <f t="shared" si="1"/>
        <v>12.6</v>
      </c>
      <c r="G886" s="17" t="str">
        <f>Github!H$550</f>
        <v>Algorithms</v>
      </c>
      <c r="H886" s="19" t="str">
        <f>SUBSTITUTE(Github!L$550, ";", ", ")</f>
        <v>Tree, Depth-First Search, Binary Tree, </v>
      </c>
      <c r="I886" s="17" t="str">
        <f>Github!E$550</f>
        <v>Medium</v>
      </c>
      <c r="J886" s="17" t="str">
        <f>IF(TRIM(Github!D$550)="TRUE","FALSE","TRUE")</f>
        <v>FALSE</v>
      </c>
      <c r="K886" s="17" t="b">
        <f>Github!M$550</f>
        <v>1</v>
      </c>
      <c r="L886" s="17" t="b">
        <f>Github!N$550</f>
        <v>0</v>
      </c>
      <c r="M886" s="17" t="str">
        <f>ROUND(Github!O$550, 2)&amp;"%"</f>
        <v>48.55%</v>
      </c>
      <c r="N886" s="17">
        <f>Github!P$550</f>
        <v>41293</v>
      </c>
      <c r="O886" s="17">
        <f>Github!Q$550</f>
        <v>85047</v>
      </c>
    </row>
    <row r="887" ht="18.0" customHeight="1">
      <c r="A887" s="17">
        <f>Github!J$716</f>
        <v>715</v>
      </c>
      <c r="B887" s="27" t="str">
        <f>HYPERLINK(CONCAT("http://leetcode.com/problems/",Github!C$716), Github!B$716)</f>
        <v>Range Module</v>
      </c>
      <c r="C887" s="17">
        <f>Github!F$716</f>
        <v>880</v>
      </c>
      <c r="D887" s="17">
        <f>Github!G$716</f>
        <v>68</v>
      </c>
      <c r="E887" s="17">
        <f>Github!F$716+Github!G$716</f>
        <v>948</v>
      </c>
      <c r="F887" s="18">
        <f t="shared" si="1"/>
        <v>12.94</v>
      </c>
      <c r="G887" s="17" t="str">
        <f>Github!H$716</f>
        <v>Algorithms</v>
      </c>
      <c r="H887" s="19" t="str">
        <f>SUBSTITUTE(Github!L$716, ";", ", ")</f>
        <v>Design, Segment Tree, Ordered Set, </v>
      </c>
      <c r="I887" s="17" t="str">
        <f>Github!E$716</f>
        <v>Hard</v>
      </c>
      <c r="J887" s="17" t="str">
        <f>IF(TRIM(Github!D$716)="TRUE","FALSE","TRUE")</f>
        <v>TRUE</v>
      </c>
      <c r="K887" s="17" t="b">
        <f>Github!M$716</f>
        <v>0</v>
      </c>
      <c r="L887" s="17" t="b">
        <f>Github!N$716</f>
        <v>0</v>
      </c>
      <c r="M887" s="17" t="str">
        <f>ROUND(Github!O$716, 2)&amp;"%"</f>
        <v>43.36%</v>
      </c>
      <c r="N887" s="17">
        <f>Github!P$716</f>
        <v>41519</v>
      </c>
      <c r="O887" s="17">
        <f>Github!Q$716</f>
        <v>95758</v>
      </c>
    </row>
    <row r="888" ht="18.0" customHeight="1">
      <c r="A888" s="17">
        <f>Github!J$739</f>
        <v>738</v>
      </c>
      <c r="B888" s="27" t="str">
        <f>HYPERLINK(CONCAT("http://leetcode.com/problems/",Github!C$739), Github!B$739)</f>
        <v>Monotone Increasing Digits</v>
      </c>
      <c r="C888" s="17">
        <f>Github!F$739</f>
        <v>881</v>
      </c>
      <c r="D888" s="17">
        <f>Github!G$739</f>
        <v>86</v>
      </c>
      <c r="E888" s="17">
        <f>Github!F$739+Github!G$739</f>
        <v>967</v>
      </c>
      <c r="F888" s="18">
        <f t="shared" si="1"/>
        <v>10.24</v>
      </c>
      <c r="G888" s="17" t="str">
        <f>Github!H$739</f>
        <v>Algorithms</v>
      </c>
      <c r="H888" s="19" t="str">
        <f>SUBSTITUTE(Github!L$739, ";", ", ")</f>
        <v>Math, Greedy, </v>
      </c>
      <c r="I888" s="17" t="str">
        <f>Github!E$739</f>
        <v>Medium</v>
      </c>
      <c r="J888" s="17" t="str">
        <f>IF(TRIM(Github!D$739)="TRUE","FALSE","TRUE")</f>
        <v>TRUE</v>
      </c>
      <c r="K888" s="17" t="b">
        <f>Github!M$739</f>
        <v>0</v>
      </c>
      <c r="L888" s="17" t="b">
        <f>Github!N$739</f>
        <v>0</v>
      </c>
      <c r="M888" s="17" t="str">
        <f>ROUND(Github!O$739, 2)&amp;"%"</f>
        <v>46.74%</v>
      </c>
      <c r="N888" s="17">
        <f>Github!P$739</f>
        <v>36584</v>
      </c>
      <c r="O888" s="17">
        <f>Github!Q$739</f>
        <v>78263</v>
      </c>
    </row>
    <row r="889" ht="18.0" customHeight="1">
      <c r="A889" s="17">
        <f>Github!J$320</f>
        <v>319</v>
      </c>
      <c r="B889" s="27" t="str">
        <f>HYPERLINK(CONCAT("http://leetcode.com/problems/",Github!C$320), Github!B$320)</f>
        <v>Bulb Switcher</v>
      </c>
      <c r="C889" s="17">
        <f>Github!F$320</f>
        <v>880</v>
      </c>
      <c r="D889" s="17">
        <f>Github!G$320</f>
        <v>1607</v>
      </c>
      <c r="E889" s="17">
        <f>Github!F$320+Github!G$320</f>
        <v>2487</v>
      </c>
      <c r="F889" s="18">
        <f t="shared" si="1"/>
        <v>0.55</v>
      </c>
      <c r="G889" s="17" t="str">
        <f>Github!H$320</f>
        <v>Algorithms</v>
      </c>
      <c r="H889" s="19" t="str">
        <f>SUBSTITUTE(Github!L$320, ";", ", ")</f>
        <v>Math, Brainteaser, </v>
      </c>
      <c r="I889" s="17" t="str">
        <f>Github!E$320</f>
        <v>Medium</v>
      </c>
      <c r="J889" s="17" t="str">
        <f>IF(TRIM(Github!D$320)="TRUE","FALSE","TRUE")</f>
        <v>TRUE</v>
      </c>
      <c r="K889" s="17" t="b">
        <f>Github!M$320</f>
        <v>0</v>
      </c>
      <c r="L889" s="17" t="b">
        <f>Github!N$320</f>
        <v>0</v>
      </c>
      <c r="M889" s="17" t="str">
        <f>ROUND(Github!O$320, 2)&amp;"%"</f>
        <v>47.1%</v>
      </c>
      <c r="N889" s="17">
        <f>Github!P$320</f>
        <v>111496</v>
      </c>
      <c r="O889" s="17">
        <f>Github!Q$320</f>
        <v>236739</v>
      </c>
    </row>
    <row r="890" ht="18.0" customHeight="1">
      <c r="A890" s="17">
        <f>Github!J$1345</f>
        <v>1344</v>
      </c>
      <c r="B890" s="27" t="str">
        <f>HYPERLINK(CONCAT("http://leetcode.com/problems/",Github!C$1345), Github!B$1345)</f>
        <v>Angle Between Hands of a Clock</v>
      </c>
      <c r="C890" s="17">
        <f>Github!F$1345</f>
        <v>878</v>
      </c>
      <c r="D890" s="17">
        <f>Github!G$1345</f>
        <v>182</v>
      </c>
      <c r="E890" s="17">
        <f>Github!F$1345+Github!G$1345</f>
        <v>1060</v>
      </c>
      <c r="F890" s="18">
        <f t="shared" si="1"/>
        <v>4.82</v>
      </c>
      <c r="G890" s="17" t="str">
        <f>Github!H$1345</f>
        <v>Algorithms</v>
      </c>
      <c r="H890" s="19" t="str">
        <f>SUBSTITUTE(Github!L$1345, ";", ", ")</f>
        <v>Math, </v>
      </c>
      <c r="I890" s="17" t="str">
        <f>Github!E$1345</f>
        <v>Medium</v>
      </c>
      <c r="J890" s="17" t="str">
        <f>IF(TRIM(Github!D$1345)="TRUE","FALSE","TRUE")</f>
        <v>TRUE</v>
      </c>
      <c r="K890" s="17" t="b">
        <f>Github!M$1345</f>
        <v>1</v>
      </c>
      <c r="L890" s="17" t="b">
        <f>Github!N$1345</f>
        <v>0</v>
      </c>
      <c r="M890" s="17" t="str">
        <f>ROUND(Github!O$1345, 2)&amp;"%"</f>
        <v>62.95%</v>
      </c>
      <c r="N890" s="17">
        <f>Github!P$1345</f>
        <v>85223</v>
      </c>
      <c r="O890" s="17">
        <f>Github!Q$1345</f>
        <v>135383</v>
      </c>
    </row>
    <row r="891" ht="18.0" customHeight="1">
      <c r="A891" s="17">
        <f>Github!J$777</f>
        <v>776</v>
      </c>
      <c r="B891" s="27" t="str">
        <f>HYPERLINK(CONCAT("http://leetcode.com/problems/",Github!C$777), Github!B$777)</f>
        <v>Split BST</v>
      </c>
      <c r="C891" s="17">
        <f>Github!F$777</f>
        <v>875</v>
      </c>
      <c r="D891" s="17">
        <f>Github!G$777</f>
        <v>87</v>
      </c>
      <c r="E891" s="17">
        <f>Github!F$777+Github!G$777</f>
        <v>962</v>
      </c>
      <c r="F891" s="18">
        <f t="shared" si="1"/>
        <v>10.06</v>
      </c>
      <c r="G891" s="17" t="str">
        <f>Github!H$777</f>
        <v>Algorithms</v>
      </c>
      <c r="H891" s="19" t="str">
        <f>SUBSTITUTE(Github!L$777, ";", ", ")</f>
        <v>Tree, Binary Search Tree, Recursion, Binary Tree, </v>
      </c>
      <c r="I891" s="17" t="str">
        <f>Github!E$777</f>
        <v>Medium</v>
      </c>
      <c r="J891" s="17" t="str">
        <f>IF(TRIM(Github!D$777)="TRUE","FALSE","TRUE")</f>
        <v>FALSE</v>
      </c>
      <c r="K891" s="17" t="b">
        <f>Github!M$777</f>
        <v>1</v>
      </c>
      <c r="L891" s="17" t="b">
        <f>Github!N$777</f>
        <v>0</v>
      </c>
      <c r="M891" s="17" t="str">
        <f>ROUND(Github!O$777, 2)&amp;"%"</f>
        <v>58.17%</v>
      </c>
      <c r="N891" s="17">
        <f>Github!P$777</f>
        <v>26451</v>
      </c>
      <c r="O891" s="17">
        <f>Github!Q$777</f>
        <v>45471</v>
      </c>
    </row>
    <row r="892" ht="18.0" customHeight="1">
      <c r="A892" s="17">
        <f>Github!J$694</f>
        <v>693</v>
      </c>
      <c r="B892" s="27" t="str">
        <f>HYPERLINK(CONCAT("http://leetcode.com/problems/",Github!C$694), Github!B$694)</f>
        <v>Binary Number with Alternating Bits</v>
      </c>
      <c r="C892" s="17">
        <f>Github!F$694</f>
        <v>875</v>
      </c>
      <c r="D892" s="17">
        <f>Github!G$694</f>
        <v>101</v>
      </c>
      <c r="E892" s="17">
        <f>Github!F$694+Github!G$694</f>
        <v>976</v>
      </c>
      <c r="F892" s="18">
        <f t="shared" si="1"/>
        <v>8.66</v>
      </c>
      <c r="G892" s="17" t="str">
        <f>Github!H$694</f>
        <v>Algorithms</v>
      </c>
      <c r="H892" s="19" t="str">
        <f>SUBSTITUTE(Github!L$694, ";", ", ")</f>
        <v>Bit Manipulation, </v>
      </c>
      <c r="I892" s="17" t="str">
        <f>Github!E$694</f>
        <v>Easy</v>
      </c>
      <c r="J892" s="17" t="str">
        <f>IF(TRIM(Github!D$694)="TRUE","FALSE","TRUE")</f>
        <v>TRUE</v>
      </c>
      <c r="K892" s="17" t="b">
        <f>Github!M$694</f>
        <v>1</v>
      </c>
      <c r="L892" s="17" t="b">
        <f>Github!N$694</f>
        <v>0</v>
      </c>
      <c r="M892" s="17" t="str">
        <f>ROUND(Github!O$694, 2)&amp;"%"</f>
        <v>60.73%</v>
      </c>
      <c r="N892" s="17">
        <f>Github!P$694</f>
        <v>89628</v>
      </c>
      <c r="O892" s="17">
        <f>Github!Q$694</f>
        <v>147596</v>
      </c>
    </row>
    <row r="893" ht="18.0" customHeight="1">
      <c r="A893" s="17">
        <f>Github!J$1498</f>
        <v>1497</v>
      </c>
      <c r="B893" s="27" t="str">
        <f>HYPERLINK(CONCAT("http://leetcode.com/problems/",Github!C$1498), Github!B$1498)</f>
        <v>Check If Array Pairs Are Divisible by k</v>
      </c>
      <c r="C893" s="17">
        <f>Github!F$1498</f>
        <v>873</v>
      </c>
      <c r="D893" s="17">
        <f>Github!G$1498</f>
        <v>53</v>
      </c>
      <c r="E893" s="17">
        <f>Github!F$1498+Github!G$1498</f>
        <v>926</v>
      </c>
      <c r="F893" s="18">
        <f t="shared" si="1"/>
        <v>16.47</v>
      </c>
      <c r="G893" s="17" t="str">
        <f>Github!H$1498</f>
        <v>Algorithms</v>
      </c>
      <c r="H893" s="19" t="str">
        <f>SUBSTITUTE(Github!L$1498, ";", ", ")</f>
        <v>Array, Hash Table, Counting, </v>
      </c>
      <c r="I893" s="17" t="str">
        <f>Github!E$1498</f>
        <v>Medium</v>
      </c>
      <c r="J893" s="17" t="str">
        <f>IF(TRIM(Github!D$1498)="TRUE","FALSE","TRUE")</f>
        <v>TRUE</v>
      </c>
      <c r="K893" s="17" t="b">
        <f>Github!M$1498</f>
        <v>0</v>
      </c>
      <c r="L893" s="17" t="b">
        <f>Github!N$1498</f>
        <v>0</v>
      </c>
      <c r="M893" s="17" t="str">
        <f>ROUND(Github!O$1498, 2)&amp;"%"</f>
        <v>40.47%</v>
      </c>
      <c r="N893" s="17">
        <f>Github!P$1498</f>
        <v>29136</v>
      </c>
      <c r="O893" s="17">
        <f>Github!Q$1498</f>
        <v>71995</v>
      </c>
    </row>
    <row r="894" ht="18.0" customHeight="1">
      <c r="A894" s="17">
        <f>Github!J$1403</f>
        <v>1402</v>
      </c>
      <c r="B894" s="27" t="str">
        <f>HYPERLINK(CONCAT("http://leetcode.com/problems/",Github!C$1403), Github!B$1403)</f>
        <v>Reducing Dishes</v>
      </c>
      <c r="C894" s="17">
        <f>Github!F$1403</f>
        <v>873</v>
      </c>
      <c r="D894" s="17">
        <f>Github!G$1403</f>
        <v>133</v>
      </c>
      <c r="E894" s="17">
        <f>Github!F$1403+Github!G$1403</f>
        <v>1006</v>
      </c>
      <c r="F894" s="18">
        <f t="shared" si="1"/>
        <v>6.56</v>
      </c>
      <c r="G894" s="17" t="str">
        <f>Github!H$1403</f>
        <v>Algorithms</v>
      </c>
      <c r="H894" s="19" t="str">
        <f>SUBSTITUTE(Github!L$1403, ";", ", ")</f>
        <v>Array, Dynamic Programming, Greedy, Sorting, </v>
      </c>
      <c r="I894" s="17" t="str">
        <f>Github!E$1403</f>
        <v>Hard</v>
      </c>
      <c r="J894" s="17" t="str">
        <f>IF(TRIM(Github!D$1403)="TRUE","FALSE","TRUE")</f>
        <v>TRUE</v>
      </c>
      <c r="K894" s="17" t="b">
        <f>Github!M$1403</f>
        <v>0</v>
      </c>
      <c r="L894" s="17" t="b">
        <f>Github!N$1403</f>
        <v>0</v>
      </c>
      <c r="M894" s="17" t="str">
        <f>ROUND(Github!O$1403, 2)&amp;"%"</f>
        <v>72.49%</v>
      </c>
      <c r="N894" s="17">
        <f>Github!P$1403</f>
        <v>34649</v>
      </c>
      <c r="O894" s="17">
        <f>Github!Q$1403</f>
        <v>47798</v>
      </c>
    </row>
    <row r="895" ht="18.0" customHeight="1">
      <c r="A895" s="17">
        <f>Github!J$255</f>
        <v>254</v>
      </c>
      <c r="B895" s="27" t="str">
        <f>HYPERLINK(CONCAT("http://leetcode.com/problems/",Github!C$255), Github!B$255)</f>
        <v>Factor Combinations</v>
      </c>
      <c r="C895" s="17">
        <f>Github!F$255</f>
        <v>871</v>
      </c>
      <c r="D895" s="17">
        <f>Github!G$255</f>
        <v>45</v>
      </c>
      <c r="E895" s="17">
        <f>Github!F$255+Github!G$255</f>
        <v>916</v>
      </c>
      <c r="F895" s="18">
        <f t="shared" si="1"/>
        <v>19.36</v>
      </c>
      <c r="G895" s="17" t="str">
        <f>Github!H$255</f>
        <v>Algorithms</v>
      </c>
      <c r="H895" s="19" t="str">
        <f>SUBSTITUTE(Github!L$255, ";", ", ")</f>
        <v>Array, Backtracking, </v>
      </c>
      <c r="I895" s="17" t="str">
        <f>Github!E$255</f>
        <v>Medium</v>
      </c>
      <c r="J895" s="17" t="str">
        <f>IF(TRIM(Github!D$255)="TRUE","FALSE","TRUE")</f>
        <v>FALSE</v>
      </c>
      <c r="K895" s="17" t="b">
        <f>Github!M$255</f>
        <v>0</v>
      </c>
      <c r="L895" s="17" t="b">
        <f>Github!N$255</f>
        <v>0</v>
      </c>
      <c r="M895" s="17" t="str">
        <f>ROUND(Github!O$255, 2)&amp;"%"</f>
        <v>48.55%</v>
      </c>
      <c r="N895" s="17">
        <f>Github!P$255</f>
        <v>103555</v>
      </c>
      <c r="O895" s="17">
        <f>Github!Q$255</f>
        <v>213293</v>
      </c>
    </row>
    <row r="896" ht="18.0" customHeight="1">
      <c r="A896" s="17">
        <f>Github!J$537</f>
        <v>536</v>
      </c>
      <c r="B896" s="27" t="str">
        <f>HYPERLINK(CONCAT("http://leetcode.com/problems/",Github!C$537), Github!B$537)</f>
        <v>Construct Binary Tree from String</v>
      </c>
      <c r="C896" s="17">
        <f>Github!F$537</f>
        <v>871</v>
      </c>
      <c r="D896" s="17">
        <f>Github!G$537</f>
        <v>139</v>
      </c>
      <c r="E896" s="17">
        <f>Github!F$537+Github!G$537</f>
        <v>1010</v>
      </c>
      <c r="F896" s="18">
        <f t="shared" si="1"/>
        <v>6.27</v>
      </c>
      <c r="G896" s="17" t="str">
        <f>Github!H$537</f>
        <v>Algorithms</v>
      </c>
      <c r="H896" s="19" t="str">
        <f>SUBSTITUTE(Github!L$537, ";", ", ")</f>
        <v>String, Tree, Depth-First Search, Binary Tree, </v>
      </c>
      <c r="I896" s="17" t="str">
        <f>Github!E$537</f>
        <v>Medium</v>
      </c>
      <c r="J896" s="17" t="str">
        <f>IF(TRIM(Github!D$537)="TRUE","FALSE","TRUE")</f>
        <v>FALSE</v>
      </c>
      <c r="K896" s="17" t="b">
        <f>Github!M$537</f>
        <v>1</v>
      </c>
      <c r="L896" s="17" t="b">
        <f>Github!N$537</f>
        <v>0</v>
      </c>
      <c r="M896" s="17" t="str">
        <f>ROUND(Github!O$537, 2)&amp;"%"</f>
        <v>55.49%</v>
      </c>
      <c r="N896" s="17">
        <f>Github!P$537</f>
        <v>72367</v>
      </c>
      <c r="O896" s="17">
        <f>Github!Q$537</f>
        <v>130407</v>
      </c>
    </row>
    <row r="897" ht="18.0" customHeight="1">
      <c r="A897" s="17">
        <f>Github!J$676</f>
        <v>675</v>
      </c>
      <c r="B897" s="27" t="str">
        <f>HYPERLINK(CONCAT("http://leetcode.com/problems/",Github!C$676), Github!B$676)</f>
        <v>Cut Off Trees for Golf Event</v>
      </c>
      <c r="C897" s="17">
        <f>Github!F$676</f>
        <v>870</v>
      </c>
      <c r="D897" s="17">
        <f>Github!G$676</f>
        <v>499</v>
      </c>
      <c r="E897" s="17">
        <f>Github!F$676+Github!G$676</f>
        <v>1369</v>
      </c>
      <c r="F897" s="18">
        <f t="shared" si="1"/>
        <v>1.74</v>
      </c>
      <c r="G897" s="17" t="str">
        <f>Github!H$676</f>
        <v>Algorithms</v>
      </c>
      <c r="H897" s="19" t="str">
        <f>SUBSTITUTE(Github!L$676, ";", ", ")</f>
        <v>Array, Breadth-First Search, Heap (Priority Queue), Matrix, </v>
      </c>
      <c r="I897" s="17" t="str">
        <f>Github!E$676</f>
        <v>Hard</v>
      </c>
      <c r="J897" s="17" t="str">
        <f>IF(TRIM(Github!D$676)="TRUE","FALSE","TRUE")</f>
        <v>TRUE</v>
      </c>
      <c r="K897" s="17" t="b">
        <f>Github!M$676</f>
        <v>0</v>
      </c>
      <c r="L897" s="17" t="b">
        <f>Github!N$676</f>
        <v>0</v>
      </c>
      <c r="M897" s="17" t="str">
        <f>ROUND(Github!O$676, 2)&amp;"%"</f>
        <v>35.48%</v>
      </c>
      <c r="N897" s="17">
        <f>Github!P$676</f>
        <v>53463</v>
      </c>
      <c r="O897" s="17">
        <f>Github!Q$676</f>
        <v>150667</v>
      </c>
    </row>
    <row r="898" ht="18.0" customHeight="1">
      <c r="A898" s="17">
        <f>Github!J$1381</f>
        <v>1380</v>
      </c>
      <c r="B898" s="27" t="str">
        <f>HYPERLINK(CONCAT("http://leetcode.com/problems/",Github!C$1381), Github!B$1381)</f>
        <v>Lucky Numbers in a Matrix</v>
      </c>
      <c r="C898" s="17">
        <f>Github!F$1381</f>
        <v>870</v>
      </c>
      <c r="D898" s="17">
        <f>Github!G$1381</f>
        <v>63</v>
      </c>
      <c r="E898" s="17">
        <f>Github!F$1381+Github!G$1381</f>
        <v>933</v>
      </c>
      <c r="F898" s="18">
        <f t="shared" si="1"/>
        <v>13.81</v>
      </c>
      <c r="G898" s="17" t="str">
        <f>Github!H$1381</f>
        <v>Algorithms</v>
      </c>
      <c r="H898" s="19" t="str">
        <f>SUBSTITUTE(Github!L$1381, ";", ", ")</f>
        <v>Array, Matrix, </v>
      </c>
      <c r="I898" s="17" t="str">
        <f>Github!E$1381</f>
        <v>Easy</v>
      </c>
      <c r="J898" s="17" t="str">
        <f>IF(TRIM(Github!D$1381)="TRUE","FALSE","TRUE")</f>
        <v>TRUE</v>
      </c>
      <c r="K898" s="17" t="b">
        <f>Github!M$1381</f>
        <v>0</v>
      </c>
      <c r="L898" s="17" t="b">
        <f>Github!N$1381</f>
        <v>0</v>
      </c>
      <c r="M898" s="17" t="str">
        <f>ROUND(Github!O$1381, 2)&amp;"%"</f>
        <v>70.94%</v>
      </c>
      <c r="N898" s="17">
        <f>Github!P$1381</f>
        <v>61113</v>
      </c>
      <c r="O898" s="17">
        <f>Github!Q$1381</f>
        <v>86153</v>
      </c>
    </row>
    <row r="899" ht="18.0" customHeight="1">
      <c r="A899" s="17">
        <f>Github!J$709</f>
        <v>708</v>
      </c>
      <c r="B899" s="27" t="str">
        <f>HYPERLINK(CONCAT("http://leetcode.com/problems/",Github!C$709), Github!B$709)</f>
        <v>Insert into a Sorted Circular Linked List</v>
      </c>
      <c r="C899" s="17">
        <f>Github!F$709</f>
        <v>867</v>
      </c>
      <c r="D899" s="17">
        <f>Github!G$709</f>
        <v>580</v>
      </c>
      <c r="E899" s="17">
        <f>Github!F$709+Github!G$709</f>
        <v>1447</v>
      </c>
      <c r="F899" s="18">
        <f t="shared" si="1"/>
        <v>1.49</v>
      </c>
      <c r="G899" s="17" t="str">
        <f>Github!H$709</f>
        <v>Algorithms</v>
      </c>
      <c r="H899" s="19" t="str">
        <f>SUBSTITUTE(Github!L$709, ";", ", ")</f>
        <v>Linked List, </v>
      </c>
      <c r="I899" s="17" t="str">
        <f>Github!E$709</f>
        <v>Medium</v>
      </c>
      <c r="J899" s="17" t="str">
        <f>IF(TRIM(Github!D$709)="TRUE","FALSE","TRUE")</f>
        <v>FALSE</v>
      </c>
      <c r="K899" s="17" t="b">
        <f>Github!M$709</f>
        <v>1</v>
      </c>
      <c r="L899" s="17" t="b">
        <f>Github!N$709</f>
        <v>0</v>
      </c>
      <c r="M899" s="17" t="str">
        <f>ROUND(Github!O$709, 2)&amp;"%"</f>
        <v>34.18%</v>
      </c>
      <c r="N899" s="17">
        <f>Github!P$709</f>
        <v>103964</v>
      </c>
      <c r="O899" s="17">
        <f>Github!Q$709</f>
        <v>304168</v>
      </c>
    </row>
    <row r="900" ht="18.0" customHeight="1">
      <c r="A900" s="17">
        <f>Github!J$501</f>
        <v>500</v>
      </c>
      <c r="B900" s="27" t="str">
        <f>HYPERLINK(CONCAT("http://leetcode.com/problems/",Github!C$501), Github!B$501)</f>
        <v>Keyboard Row</v>
      </c>
      <c r="C900" s="17">
        <f>Github!F$501</f>
        <v>865</v>
      </c>
      <c r="D900" s="17">
        <f>Github!G$501</f>
        <v>886</v>
      </c>
      <c r="E900" s="17">
        <f>Github!F$501+Github!G$501</f>
        <v>1751</v>
      </c>
      <c r="F900" s="18">
        <f t="shared" si="1"/>
        <v>0.98</v>
      </c>
      <c r="G900" s="17" t="str">
        <f>Github!H$501</f>
        <v>Algorithms</v>
      </c>
      <c r="H900" s="19" t="str">
        <f>SUBSTITUTE(Github!L$501, ";", ", ")</f>
        <v>Array, Hash Table, String, </v>
      </c>
      <c r="I900" s="17" t="str">
        <f>Github!E$501</f>
        <v>Easy</v>
      </c>
      <c r="J900" s="17" t="str">
        <f>IF(TRIM(Github!D$501)="TRUE","FALSE","TRUE")</f>
        <v>TRUE</v>
      </c>
      <c r="K900" s="17" t="b">
        <f>Github!M$501</f>
        <v>0</v>
      </c>
      <c r="L900" s="17" t="b">
        <f>Github!N$501</f>
        <v>0</v>
      </c>
      <c r="M900" s="17" t="str">
        <f>ROUND(Github!O$501, 2)&amp;"%"</f>
        <v>67.77%</v>
      </c>
      <c r="N900" s="17">
        <f>Github!P$501</f>
        <v>147453</v>
      </c>
      <c r="O900" s="17">
        <f>Github!Q$501</f>
        <v>217594</v>
      </c>
    </row>
    <row r="901" ht="18.0" customHeight="1">
      <c r="A901" s="17">
        <f>Github!J$885</f>
        <v>884</v>
      </c>
      <c r="B901" s="27" t="str">
        <f>HYPERLINK(CONCAT("http://leetcode.com/problems/",Github!C$885), Github!B$885)</f>
        <v>Uncommon Words from Two Sentences</v>
      </c>
      <c r="C901" s="17">
        <f>Github!F$885</f>
        <v>865</v>
      </c>
      <c r="D901" s="17">
        <f>Github!G$885</f>
        <v>133</v>
      </c>
      <c r="E901" s="17">
        <f>Github!F$885+Github!G$885</f>
        <v>998</v>
      </c>
      <c r="F901" s="18">
        <f t="shared" si="1"/>
        <v>6.5</v>
      </c>
      <c r="G901" s="17" t="str">
        <f>Github!H$885</f>
        <v>Algorithms</v>
      </c>
      <c r="H901" s="19" t="str">
        <f>SUBSTITUTE(Github!L$885, ";", ", ")</f>
        <v>Hash Table, String, </v>
      </c>
      <c r="I901" s="17" t="str">
        <f>Github!E$885</f>
        <v>Easy</v>
      </c>
      <c r="J901" s="17" t="str">
        <f>IF(TRIM(Github!D$885)="TRUE","FALSE","TRUE")</f>
        <v>TRUE</v>
      </c>
      <c r="K901" s="17" t="b">
        <f>Github!M$885</f>
        <v>1</v>
      </c>
      <c r="L901" s="17" t="b">
        <f>Github!N$885</f>
        <v>0</v>
      </c>
      <c r="M901" s="17" t="str">
        <f>ROUND(Github!O$885, 2)&amp;"%"</f>
        <v>65.42%</v>
      </c>
      <c r="N901" s="17">
        <f>Github!P$885</f>
        <v>94161</v>
      </c>
      <c r="O901" s="17">
        <f>Github!Q$885</f>
        <v>143933</v>
      </c>
    </row>
    <row r="902" ht="18.0" customHeight="1">
      <c r="A902" s="17">
        <f>Github!J$1136</f>
        <v>1135</v>
      </c>
      <c r="B902" s="27" t="str">
        <f>HYPERLINK(CONCAT("http://leetcode.com/problems/",Github!C$1136), Github!B$1136)</f>
        <v>Connecting Cities With Minimum Cost</v>
      </c>
      <c r="C902" s="17">
        <f>Github!F$1136</f>
        <v>864</v>
      </c>
      <c r="D902" s="17">
        <f>Github!G$1136</f>
        <v>46</v>
      </c>
      <c r="E902" s="17">
        <f>Github!F$1136+Github!G$1136</f>
        <v>910</v>
      </c>
      <c r="F902" s="18">
        <f t="shared" si="1"/>
        <v>18.78</v>
      </c>
      <c r="G902" s="17" t="str">
        <f>Github!H$1136</f>
        <v>Algorithms</v>
      </c>
      <c r="H902" s="19" t="str">
        <f>SUBSTITUTE(Github!L$1136, ";", ", ")</f>
        <v>Union Find, Graph, Heap (Priority Queue), Minimum Spanning Tree, </v>
      </c>
      <c r="I902" s="17" t="str">
        <f>Github!E$1136</f>
        <v>Medium</v>
      </c>
      <c r="J902" s="17" t="str">
        <f>IF(TRIM(Github!D$1136)="TRUE","FALSE","TRUE")</f>
        <v>FALSE</v>
      </c>
      <c r="K902" s="17" t="b">
        <f>Github!M$1136</f>
        <v>1</v>
      </c>
      <c r="L902" s="17" t="b">
        <f>Github!N$1136</f>
        <v>0</v>
      </c>
      <c r="M902" s="17" t="str">
        <f>ROUND(Github!O$1136, 2)&amp;"%"</f>
        <v>60.69%</v>
      </c>
      <c r="N902" s="17">
        <f>Github!P$1136</f>
        <v>53898</v>
      </c>
      <c r="O902" s="17">
        <f>Github!Q$1136</f>
        <v>88801</v>
      </c>
    </row>
    <row r="903" ht="18.0" customHeight="1">
      <c r="A903" s="17">
        <f>Github!J$583</f>
        <v>582</v>
      </c>
      <c r="B903" s="27" t="str">
        <f>HYPERLINK(CONCAT("http://leetcode.com/problems/",Github!C$583), Github!B$583)</f>
        <v>Kill Process</v>
      </c>
      <c r="C903" s="17">
        <f>Github!F$583</f>
        <v>863</v>
      </c>
      <c r="D903" s="17">
        <f>Github!G$583</f>
        <v>17</v>
      </c>
      <c r="E903" s="17">
        <f>Github!F$583+Github!G$583</f>
        <v>880</v>
      </c>
      <c r="F903" s="18">
        <f t="shared" si="1"/>
        <v>50.76</v>
      </c>
      <c r="G903" s="17" t="str">
        <f>Github!H$583</f>
        <v>Algorithms</v>
      </c>
      <c r="H903" s="19" t="str">
        <f>SUBSTITUTE(Github!L$583, ";", ", ")</f>
        <v>Array, Hash Table, Tree, Depth-First Search, Breadth-First Search, </v>
      </c>
      <c r="I903" s="17" t="str">
        <f>Github!E$583</f>
        <v>Medium</v>
      </c>
      <c r="J903" s="17" t="str">
        <f>IF(TRIM(Github!D$583)="TRUE","FALSE","TRUE")</f>
        <v>FALSE</v>
      </c>
      <c r="K903" s="17" t="b">
        <f>Github!M$583</f>
        <v>1</v>
      </c>
      <c r="L903" s="17" t="b">
        <f>Github!N$583</f>
        <v>1</v>
      </c>
      <c r="M903" s="17" t="str">
        <f>ROUND(Github!O$583, 2)&amp;"%"</f>
        <v>66.53%</v>
      </c>
      <c r="N903" s="17">
        <f>Github!P$583</f>
        <v>63068</v>
      </c>
      <c r="O903" s="17">
        <f>Github!Q$583</f>
        <v>94790</v>
      </c>
    </row>
    <row r="904" ht="18.0" customHeight="1">
      <c r="A904" s="17">
        <f>Github!J$1311</f>
        <v>1310</v>
      </c>
      <c r="B904" s="27" t="str">
        <f>HYPERLINK(CONCAT("http://leetcode.com/problems/",Github!C$1311), Github!B$1311)</f>
        <v>XOR Queries of a Subarray</v>
      </c>
      <c r="C904" s="17">
        <f>Github!F$1311</f>
        <v>860</v>
      </c>
      <c r="D904" s="17">
        <f>Github!G$1311</f>
        <v>29</v>
      </c>
      <c r="E904" s="17">
        <f>Github!F$1311+Github!G$1311</f>
        <v>889</v>
      </c>
      <c r="F904" s="18">
        <f t="shared" si="1"/>
        <v>29.66</v>
      </c>
      <c r="G904" s="17" t="str">
        <f>Github!H$1311</f>
        <v>Algorithms</v>
      </c>
      <c r="H904" s="19" t="str">
        <f>SUBSTITUTE(Github!L$1311, ";", ", ")</f>
        <v>Array, Bit Manipulation, Prefix Sum, </v>
      </c>
      <c r="I904" s="17" t="str">
        <f>Github!E$1311</f>
        <v>Medium</v>
      </c>
      <c r="J904" s="17" t="str">
        <f>IF(TRIM(Github!D$1311)="TRUE","FALSE","TRUE")</f>
        <v>TRUE</v>
      </c>
      <c r="K904" s="17" t="b">
        <f>Github!M$1311</f>
        <v>0</v>
      </c>
      <c r="L904" s="17" t="b">
        <f>Github!N$1311</f>
        <v>0</v>
      </c>
      <c r="M904" s="17" t="str">
        <f>ROUND(Github!O$1311, 2)&amp;"%"</f>
        <v>71.13%</v>
      </c>
      <c r="N904" s="17">
        <f>Github!P$1311</f>
        <v>34795</v>
      </c>
      <c r="O904" s="17">
        <f>Github!Q$1311</f>
        <v>48914</v>
      </c>
    </row>
    <row r="905" ht="18.0" customHeight="1">
      <c r="A905" s="17">
        <f>Github!J$1761</f>
        <v>1760</v>
      </c>
      <c r="B905" s="27" t="str">
        <f>HYPERLINK(CONCAT("http://leetcode.com/problems/",Github!C$1761), Github!B$1761)</f>
        <v>Minimum Limit of Balls in a Bag</v>
      </c>
      <c r="C905" s="17">
        <f>Github!F$1761</f>
        <v>861</v>
      </c>
      <c r="D905" s="17">
        <f>Github!G$1761</f>
        <v>30</v>
      </c>
      <c r="E905" s="17">
        <f>Github!F$1761+Github!G$1761</f>
        <v>891</v>
      </c>
      <c r="F905" s="18">
        <f t="shared" si="1"/>
        <v>28.7</v>
      </c>
      <c r="G905" s="17" t="str">
        <f>Github!H$1761</f>
        <v>Algorithms</v>
      </c>
      <c r="H905" s="19" t="str">
        <f>SUBSTITUTE(Github!L$1761, ";", ", ")</f>
        <v>Array, Binary Search, </v>
      </c>
      <c r="I905" s="17" t="str">
        <f>Github!E$1761</f>
        <v>Medium</v>
      </c>
      <c r="J905" s="17" t="str">
        <f>IF(TRIM(Github!D$1761)="TRUE","FALSE","TRUE")</f>
        <v>TRUE</v>
      </c>
      <c r="K905" s="17" t="b">
        <f>Github!M$1761</f>
        <v>0</v>
      </c>
      <c r="L905" s="17" t="b">
        <f>Github!N$1761</f>
        <v>0</v>
      </c>
      <c r="M905" s="17" t="str">
        <f>ROUND(Github!O$1761, 2)&amp;"%"</f>
        <v>56.44%</v>
      </c>
      <c r="N905" s="17">
        <f>Github!P$1761</f>
        <v>15013</v>
      </c>
      <c r="O905" s="17">
        <f>Github!Q$1761</f>
        <v>26600</v>
      </c>
    </row>
    <row r="906" ht="18.0" customHeight="1">
      <c r="A906" s="17">
        <f>Github!J$299</f>
        <v>298</v>
      </c>
      <c r="B906" s="27" t="str">
        <f>HYPERLINK(CONCAT("http://leetcode.com/problems/",Github!C$299), Github!B$299)</f>
        <v>Binary Tree Longest Consecutive Sequence</v>
      </c>
      <c r="C906" s="17">
        <f>Github!F$299</f>
        <v>858</v>
      </c>
      <c r="D906" s="17">
        <f>Github!G$299</f>
        <v>209</v>
      </c>
      <c r="E906" s="17">
        <f>Github!F$299+Github!G$299</f>
        <v>1067</v>
      </c>
      <c r="F906" s="18">
        <f t="shared" si="1"/>
        <v>4.11</v>
      </c>
      <c r="G906" s="17" t="str">
        <f>Github!H$299</f>
        <v>Algorithms</v>
      </c>
      <c r="H906" s="19" t="str">
        <f>SUBSTITUTE(Github!L$299, ";", ", ")</f>
        <v>Tree, Depth-First Search, Binary Tree, </v>
      </c>
      <c r="I906" s="17" t="str">
        <f>Github!E$299</f>
        <v>Medium</v>
      </c>
      <c r="J906" s="17" t="str">
        <f>IF(TRIM(Github!D$299)="TRUE","FALSE","TRUE")</f>
        <v>FALSE</v>
      </c>
      <c r="K906" s="17" t="b">
        <f>Github!M$299</f>
        <v>1</v>
      </c>
      <c r="L906" s="17" t="b">
        <f>Github!N$299</f>
        <v>0</v>
      </c>
      <c r="M906" s="17" t="str">
        <f>ROUND(Github!O$299, 2)&amp;"%"</f>
        <v>50.9%</v>
      </c>
      <c r="N906" s="17">
        <f>Github!P$299</f>
        <v>117802</v>
      </c>
      <c r="O906" s="17">
        <f>Github!Q$299</f>
        <v>231435</v>
      </c>
    </row>
    <row r="907" ht="18.0" customHeight="1">
      <c r="A907" s="17">
        <f>Github!J$962</f>
        <v>961</v>
      </c>
      <c r="B907" s="27" t="str">
        <f>HYPERLINK(CONCAT("http://leetcode.com/problems/",Github!C$962), Github!B$962)</f>
        <v>N-Repeated Element in Size 2N Array</v>
      </c>
      <c r="C907" s="17">
        <f>Github!F$962</f>
        <v>857</v>
      </c>
      <c r="D907" s="17">
        <f>Github!G$962</f>
        <v>291</v>
      </c>
      <c r="E907" s="17">
        <f>Github!F$962+Github!G$962</f>
        <v>1148</v>
      </c>
      <c r="F907" s="18">
        <f t="shared" si="1"/>
        <v>2.95</v>
      </c>
      <c r="G907" s="17" t="str">
        <f>Github!H$962</f>
        <v>Algorithms</v>
      </c>
      <c r="H907" s="19" t="str">
        <f>SUBSTITUTE(Github!L$962, ";", ", ")</f>
        <v>Array, Hash Table, </v>
      </c>
      <c r="I907" s="17" t="str">
        <f>Github!E$962</f>
        <v>Easy</v>
      </c>
      <c r="J907" s="17" t="str">
        <f>IF(TRIM(Github!D$962)="TRUE","FALSE","TRUE")</f>
        <v>TRUE</v>
      </c>
      <c r="K907" s="17" t="b">
        <f>Github!M$962</f>
        <v>1</v>
      </c>
      <c r="L907" s="17" t="b">
        <f>Github!N$962</f>
        <v>0</v>
      </c>
      <c r="M907" s="17" t="str">
        <f>ROUND(Github!O$962, 2)&amp;"%"</f>
        <v>75.36%</v>
      </c>
      <c r="N907" s="17">
        <f>Github!P$962</f>
        <v>172644</v>
      </c>
      <c r="O907" s="17">
        <f>Github!Q$962</f>
        <v>229096</v>
      </c>
    </row>
    <row r="908" ht="18.0" customHeight="1">
      <c r="A908" s="17">
        <f>Github!J$1443</f>
        <v>1442</v>
      </c>
      <c r="B908" s="27" t="str">
        <f>HYPERLINK(CONCAT("http://leetcode.com/problems/",Github!C$1443), Github!B$1443)</f>
        <v>Count Triplets That Can Form Two Arrays of Equal XOR</v>
      </c>
      <c r="C908" s="17">
        <f>Github!F$1443</f>
        <v>854</v>
      </c>
      <c r="D908" s="17">
        <f>Github!G$1443</f>
        <v>43</v>
      </c>
      <c r="E908" s="17">
        <f>Github!F$1443+Github!G$1443</f>
        <v>897</v>
      </c>
      <c r="F908" s="18">
        <f t="shared" si="1"/>
        <v>19.86</v>
      </c>
      <c r="G908" s="17" t="str">
        <f>Github!H$1443</f>
        <v>Algorithms</v>
      </c>
      <c r="H908" s="19" t="str">
        <f>SUBSTITUTE(Github!L$1443, ";", ", ")</f>
        <v>Array, Hash Table, Math, Bit Manipulation, Prefix Sum, </v>
      </c>
      <c r="I908" s="17" t="str">
        <f>Github!E$1443</f>
        <v>Medium</v>
      </c>
      <c r="J908" s="17" t="str">
        <f>IF(TRIM(Github!D$1443)="TRUE","FALSE","TRUE")</f>
        <v>TRUE</v>
      </c>
      <c r="K908" s="17" t="b">
        <f>Github!M$1443</f>
        <v>0</v>
      </c>
      <c r="L908" s="17" t="b">
        <f>Github!N$1443</f>
        <v>0</v>
      </c>
      <c r="M908" s="17" t="str">
        <f>ROUND(Github!O$1443, 2)&amp;"%"</f>
        <v>74.49%</v>
      </c>
      <c r="N908" s="17">
        <f>Github!P$1443</f>
        <v>24748</v>
      </c>
      <c r="O908" s="17">
        <f>Github!Q$1443</f>
        <v>33224</v>
      </c>
    </row>
    <row r="909" ht="18.0" customHeight="1">
      <c r="A909" s="17">
        <f>Github!J$471</f>
        <v>470</v>
      </c>
      <c r="B909" s="27" t="str">
        <f>HYPERLINK(CONCAT("http://leetcode.com/problems/",Github!C$471), Github!B$471)</f>
        <v>Implement Rand10() Using Rand7()</v>
      </c>
      <c r="C909" s="17">
        <f>Github!F$471</f>
        <v>853</v>
      </c>
      <c r="D909" s="17">
        <f>Github!G$471</f>
        <v>280</v>
      </c>
      <c r="E909" s="17">
        <f>Github!F$471+Github!G$471</f>
        <v>1133</v>
      </c>
      <c r="F909" s="18">
        <f t="shared" si="1"/>
        <v>3.05</v>
      </c>
      <c r="G909" s="17" t="str">
        <f>Github!H$471</f>
        <v>Algorithms</v>
      </c>
      <c r="H909" s="19" t="str">
        <f>SUBSTITUTE(Github!L$471, ";", ", ")</f>
        <v>Math, Rejection Sampling, Randomized, Probability and Statistics, </v>
      </c>
      <c r="I909" s="17" t="str">
        <f>Github!E$471</f>
        <v>Medium</v>
      </c>
      <c r="J909" s="17" t="str">
        <f>IF(TRIM(Github!D$471)="TRUE","FALSE","TRUE")</f>
        <v>TRUE</v>
      </c>
      <c r="K909" s="17" t="b">
        <f>Github!M$471</f>
        <v>1</v>
      </c>
      <c r="L909" s="17" t="b">
        <f>Github!N$471</f>
        <v>0</v>
      </c>
      <c r="M909" s="17" t="str">
        <f>ROUND(Github!O$471, 2)&amp;"%"</f>
        <v>46.7%</v>
      </c>
      <c r="N909" s="17">
        <f>Github!P$471</f>
        <v>60674</v>
      </c>
      <c r="O909" s="17">
        <f>Github!Q$471</f>
        <v>129912</v>
      </c>
    </row>
    <row r="910" ht="18.0" customHeight="1">
      <c r="A910" s="17">
        <f>Github!J$819</f>
        <v>818</v>
      </c>
      <c r="B910" s="27" t="str">
        <f>HYPERLINK(CONCAT("http://leetcode.com/problems/",Github!C$819), Github!B$819)</f>
        <v>Race Car</v>
      </c>
      <c r="C910" s="17">
        <f>Github!F$819</f>
        <v>851</v>
      </c>
      <c r="D910" s="17">
        <f>Github!G$819</f>
        <v>87</v>
      </c>
      <c r="E910" s="17">
        <f>Github!F$819+Github!G$819</f>
        <v>938</v>
      </c>
      <c r="F910" s="18">
        <f t="shared" si="1"/>
        <v>9.78</v>
      </c>
      <c r="G910" s="17" t="str">
        <f>Github!H$819</f>
        <v>Algorithms</v>
      </c>
      <c r="H910" s="19" t="str">
        <f>SUBSTITUTE(Github!L$819, ";", ", ")</f>
        <v>Dynamic Programming, </v>
      </c>
      <c r="I910" s="17" t="str">
        <f>Github!E$819</f>
        <v>Hard</v>
      </c>
      <c r="J910" s="17" t="str">
        <f>IF(TRIM(Github!D$819)="TRUE","FALSE","TRUE")</f>
        <v>TRUE</v>
      </c>
      <c r="K910" s="17" t="b">
        <f>Github!M$819</f>
        <v>0</v>
      </c>
      <c r="L910" s="17" t="b">
        <f>Github!N$819</f>
        <v>0</v>
      </c>
      <c r="M910" s="17" t="str">
        <f>ROUND(Github!O$819, 2)&amp;"%"</f>
        <v>42.04%</v>
      </c>
      <c r="N910" s="17">
        <f>Github!P$819</f>
        <v>32180</v>
      </c>
      <c r="O910" s="17">
        <f>Github!Q$819</f>
        <v>76547</v>
      </c>
    </row>
    <row r="911" ht="18.0" customHeight="1">
      <c r="A911" s="17">
        <f>Github!J$1192</f>
        <v>1191</v>
      </c>
      <c r="B911" s="27" t="str">
        <f>HYPERLINK(CONCAT("http://leetcode.com/problems/",Github!C$1192), Github!B$1192)</f>
        <v>K-Concatenation Maximum Sum</v>
      </c>
      <c r="C911" s="17">
        <f>Github!F$1192</f>
        <v>852</v>
      </c>
      <c r="D911" s="17">
        <f>Github!G$1192</f>
        <v>80</v>
      </c>
      <c r="E911" s="17">
        <f>Github!F$1192+Github!G$1192</f>
        <v>932</v>
      </c>
      <c r="F911" s="18">
        <f t="shared" si="1"/>
        <v>10.65</v>
      </c>
      <c r="G911" s="17" t="str">
        <f>Github!H$1192</f>
        <v>Algorithms</v>
      </c>
      <c r="H911" s="19" t="str">
        <f>SUBSTITUTE(Github!L$1192, ";", ", ")</f>
        <v>Array, Dynamic Programming, </v>
      </c>
      <c r="I911" s="17" t="str">
        <f>Github!E$1192</f>
        <v>Medium</v>
      </c>
      <c r="J911" s="17" t="str">
        <f>IF(TRIM(Github!D$1192)="TRUE","FALSE","TRUE")</f>
        <v>TRUE</v>
      </c>
      <c r="K911" s="17" t="b">
        <f>Github!M$1192</f>
        <v>0</v>
      </c>
      <c r="L911" s="17" t="b">
        <f>Github!N$1192</f>
        <v>0</v>
      </c>
      <c r="M911" s="17" t="str">
        <f>ROUND(Github!O$1192, 2)&amp;"%"</f>
        <v>24.13%</v>
      </c>
      <c r="N911" s="17">
        <f>Github!P$1192</f>
        <v>23507</v>
      </c>
      <c r="O911" s="17">
        <f>Github!Q$1192</f>
        <v>97403</v>
      </c>
    </row>
    <row r="912" ht="18.0" customHeight="1">
      <c r="A912" s="17">
        <f>Github!J$1310</f>
        <v>1309</v>
      </c>
      <c r="B912" s="27" t="str">
        <f>HYPERLINK(CONCAT("http://leetcode.com/problems/",Github!C$1310), Github!B$1310)</f>
        <v>Decrypt String from Alphabet to Integer Mapping</v>
      </c>
      <c r="C912" s="17">
        <f>Github!F$1310</f>
        <v>853</v>
      </c>
      <c r="D912" s="17">
        <f>Github!G$1310</f>
        <v>70</v>
      </c>
      <c r="E912" s="17">
        <f>Github!F$1310+Github!G$1310</f>
        <v>923</v>
      </c>
      <c r="F912" s="18">
        <f t="shared" si="1"/>
        <v>12.19</v>
      </c>
      <c r="G912" s="17" t="str">
        <f>Github!H$1310</f>
        <v>Algorithms</v>
      </c>
      <c r="H912" s="19" t="str">
        <f>SUBSTITUTE(Github!L$1310, ";", ", ")</f>
        <v>String, </v>
      </c>
      <c r="I912" s="17" t="str">
        <f>Github!E$1310</f>
        <v>Easy</v>
      </c>
      <c r="J912" s="17" t="str">
        <f>IF(TRIM(Github!D$1310)="TRUE","FALSE","TRUE")</f>
        <v>TRUE</v>
      </c>
      <c r="K912" s="17" t="b">
        <f>Github!M$1310</f>
        <v>0</v>
      </c>
      <c r="L912" s="17" t="b">
        <f>Github!N$1310</f>
        <v>0</v>
      </c>
      <c r="M912" s="17" t="str">
        <f>ROUND(Github!O$1310, 2)&amp;"%"</f>
        <v>78.41%</v>
      </c>
      <c r="N912" s="17">
        <f>Github!P$1310</f>
        <v>71544</v>
      </c>
      <c r="O912" s="17">
        <f>Github!Q$1310</f>
        <v>91241</v>
      </c>
    </row>
    <row r="913" ht="18.0" customHeight="1">
      <c r="A913" s="17">
        <f>Github!J$419</f>
        <v>418</v>
      </c>
      <c r="B913" s="27" t="str">
        <f>HYPERLINK(CONCAT("http://leetcode.com/problems/",Github!C$419), Github!B$419)</f>
        <v>Sentence Screen Fitting</v>
      </c>
      <c r="C913" s="17">
        <f>Github!F$419</f>
        <v>850</v>
      </c>
      <c r="D913" s="17">
        <f>Github!G$419</f>
        <v>425</v>
      </c>
      <c r="E913" s="17">
        <f>Github!F$419+Github!G$419</f>
        <v>1275</v>
      </c>
      <c r="F913" s="18">
        <f t="shared" si="1"/>
        <v>2</v>
      </c>
      <c r="G913" s="17" t="str">
        <f>Github!H$419</f>
        <v>Algorithms</v>
      </c>
      <c r="H913" s="19" t="str">
        <f>SUBSTITUTE(Github!L$419, ";", ", ")</f>
        <v>String, Dynamic Programming, Simulation, </v>
      </c>
      <c r="I913" s="17" t="str">
        <f>Github!E$419</f>
        <v>Medium</v>
      </c>
      <c r="J913" s="17" t="str">
        <f>IF(TRIM(Github!D$419)="TRUE","FALSE","TRUE")</f>
        <v>FALSE</v>
      </c>
      <c r="K913" s="17" t="b">
        <f>Github!M$419</f>
        <v>0</v>
      </c>
      <c r="L913" s="17" t="b">
        <f>Github!N$419</f>
        <v>0</v>
      </c>
      <c r="M913" s="17" t="str">
        <f>ROUND(Github!O$419, 2)&amp;"%"</f>
        <v>35.29%</v>
      </c>
      <c r="N913" s="17">
        <f>Github!P$419</f>
        <v>77553</v>
      </c>
      <c r="O913" s="17">
        <f>Github!Q$419</f>
        <v>219756</v>
      </c>
    </row>
    <row r="914" ht="18.0" customHeight="1">
      <c r="A914" s="17">
        <f>Github!J$1465</f>
        <v>1464</v>
      </c>
      <c r="B914" s="27" t="str">
        <f>HYPERLINK(CONCAT("http://leetcode.com/problems/",Github!C$1465), Github!B$1465)</f>
        <v>Maximum Product of Two Elements in an Array</v>
      </c>
      <c r="C914" s="17">
        <f>Github!F$1465</f>
        <v>851</v>
      </c>
      <c r="D914" s="17">
        <f>Github!G$1465</f>
        <v>147</v>
      </c>
      <c r="E914" s="17">
        <f>Github!F$1465+Github!G$1465</f>
        <v>998</v>
      </c>
      <c r="F914" s="18">
        <f t="shared" si="1"/>
        <v>5.79</v>
      </c>
      <c r="G914" s="17" t="str">
        <f>Github!H$1465</f>
        <v>Algorithms</v>
      </c>
      <c r="H914" s="19" t="str">
        <f>SUBSTITUTE(Github!L$1465, ";", ", ")</f>
        <v>Array, Sorting, Heap (Priority Queue), </v>
      </c>
      <c r="I914" s="17" t="str">
        <f>Github!E$1465</f>
        <v>Easy</v>
      </c>
      <c r="J914" s="17" t="str">
        <f>IF(TRIM(Github!D$1465)="TRUE","FALSE","TRUE")</f>
        <v>TRUE</v>
      </c>
      <c r="K914" s="17" t="b">
        <f>Github!M$1465</f>
        <v>0</v>
      </c>
      <c r="L914" s="17" t="b">
        <f>Github!N$1465</f>
        <v>0</v>
      </c>
      <c r="M914" s="17" t="str">
        <f>ROUND(Github!O$1465, 2)&amp;"%"</f>
        <v>78.26%</v>
      </c>
      <c r="N914" s="17">
        <f>Github!P$1465</f>
        <v>122682</v>
      </c>
      <c r="O914" s="17">
        <f>Github!Q$1465</f>
        <v>156770</v>
      </c>
    </row>
    <row r="915" ht="18.0" customHeight="1">
      <c r="A915" s="17">
        <f>Github!J$1332</f>
        <v>1331</v>
      </c>
      <c r="B915" s="27" t="str">
        <f>HYPERLINK(CONCAT("http://leetcode.com/problems/",Github!C$1332), Github!B$1332)</f>
        <v>Rank Transform of an Array</v>
      </c>
      <c r="C915" s="17">
        <f>Github!F$1332</f>
        <v>849</v>
      </c>
      <c r="D915" s="17">
        <f>Github!G$1332</f>
        <v>54</v>
      </c>
      <c r="E915" s="17">
        <f>Github!F$1332+Github!G$1332</f>
        <v>903</v>
      </c>
      <c r="F915" s="18">
        <f t="shared" si="1"/>
        <v>15.72</v>
      </c>
      <c r="G915" s="17" t="str">
        <f>Github!H$1332</f>
        <v>Algorithms</v>
      </c>
      <c r="H915" s="19" t="str">
        <f>SUBSTITUTE(Github!L$1332, ";", ", ")</f>
        <v>Array, Hash Table, Sorting, </v>
      </c>
      <c r="I915" s="17" t="str">
        <f>Github!E$1332</f>
        <v>Easy</v>
      </c>
      <c r="J915" s="17" t="str">
        <f>IF(TRIM(Github!D$1332)="TRUE","FALSE","TRUE")</f>
        <v>TRUE</v>
      </c>
      <c r="K915" s="17" t="b">
        <f>Github!M$1332</f>
        <v>0</v>
      </c>
      <c r="L915" s="17" t="b">
        <f>Github!N$1332</f>
        <v>0</v>
      </c>
      <c r="M915" s="17" t="str">
        <f>ROUND(Github!O$1332, 2)&amp;"%"</f>
        <v>58.39%</v>
      </c>
      <c r="N915" s="17">
        <f>Github!P$1332</f>
        <v>54792</v>
      </c>
      <c r="O915" s="17">
        <f>Github!Q$1332</f>
        <v>93831</v>
      </c>
    </row>
    <row r="916" ht="18.0" customHeight="1">
      <c r="A916" s="17">
        <f>Github!J$297</f>
        <v>296</v>
      </c>
      <c r="B916" s="27" t="str">
        <f>HYPERLINK(CONCAT("http://leetcode.com/problems/",Github!C$297), Github!B$297)</f>
        <v>Best Meeting Point</v>
      </c>
      <c r="C916" s="17">
        <f>Github!F$297</f>
        <v>846</v>
      </c>
      <c r="D916" s="17">
        <f>Github!G$297</f>
        <v>66</v>
      </c>
      <c r="E916" s="17">
        <f>Github!F$297+Github!G$297</f>
        <v>912</v>
      </c>
      <c r="F916" s="18">
        <f t="shared" si="1"/>
        <v>12.82</v>
      </c>
      <c r="G916" s="17" t="str">
        <f>Github!H$297</f>
        <v>Algorithms</v>
      </c>
      <c r="H916" s="19" t="str">
        <f>SUBSTITUTE(Github!L$297, ";", ", ")</f>
        <v>Array, Math, Sorting, Matrix, </v>
      </c>
      <c r="I916" s="17" t="str">
        <f>Github!E$297</f>
        <v>Hard</v>
      </c>
      <c r="J916" s="17" t="str">
        <f>IF(TRIM(Github!D$297)="TRUE","FALSE","TRUE")</f>
        <v>FALSE</v>
      </c>
      <c r="K916" s="17" t="b">
        <f>Github!M$297</f>
        <v>1</v>
      </c>
      <c r="L916" s="17" t="b">
        <f>Github!N$297</f>
        <v>0</v>
      </c>
      <c r="M916" s="17" t="str">
        <f>ROUND(Github!O$297, 2)&amp;"%"</f>
        <v>59.37%</v>
      </c>
      <c r="N916" s="17">
        <f>Github!P$297</f>
        <v>56736</v>
      </c>
      <c r="O916" s="17">
        <f>Github!Q$297</f>
        <v>95566</v>
      </c>
    </row>
    <row r="917" ht="18.0" customHeight="1">
      <c r="A917" s="17">
        <f>Github!J$968</f>
        <v>967</v>
      </c>
      <c r="B917" s="27" t="str">
        <f>HYPERLINK(CONCAT("http://leetcode.com/problems/",Github!C$968), Github!B$968)</f>
        <v>Numbers With Same Consecutive Differences</v>
      </c>
      <c r="C917" s="17">
        <f>Github!F$968</f>
        <v>846</v>
      </c>
      <c r="D917" s="17">
        <f>Github!G$968</f>
        <v>130</v>
      </c>
      <c r="E917" s="17">
        <f>Github!F$968+Github!G$968</f>
        <v>976</v>
      </c>
      <c r="F917" s="18">
        <f t="shared" si="1"/>
        <v>6.51</v>
      </c>
      <c r="G917" s="17" t="str">
        <f>Github!H$968</f>
        <v>Algorithms</v>
      </c>
      <c r="H917" s="19" t="str">
        <f>SUBSTITUTE(Github!L$968, ";", ", ")</f>
        <v>Backtracking, Breadth-First Search, </v>
      </c>
      <c r="I917" s="17" t="str">
        <f>Github!E$968</f>
        <v>Medium</v>
      </c>
      <c r="J917" s="17" t="str">
        <f>IF(TRIM(Github!D$968)="TRUE","FALSE","TRUE")</f>
        <v>TRUE</v>
      </c>
      <c r="K917" s="17" t="b">
        <f>Github!M$968</f>
        <v>1</v>
      </c>
      <c r="L917" s="17" t="b">
        <f>Github!N$968</f>
        <v>0</v>
      </c>
      <c r="M917" s="17" t="str">
        <f>ROUND(Github!O$968, 2)&amp;"%"</f>
        <v>47.03%</v>
      </c>
      <c r="N917" s="17">
        <f>Github!P$968</f>
        <v>48893</v>
      </c>
      <c r="O917" s="17">
        <f>Github!Q$968</f>
        <v>103972</v>
      </c>
    </row>
    <row r="918" ht="18.0" customHeight="1">
      <c r="A918" s="17">
        <f>Github!J$1606</f>
        <v>1605</v>
      </c>
      <c r="B918" s="27" t="str">
        <f>HYPERLINK(CONCAT("http://leetcode.com/problems/",Github!C$1606), Github!B$1606)</f>
        <v>Find Valid Matrix Given Row and Column Sums</v>
      </c>
      <c r="C918" s="17">
        <f>Github!F$1606</f>
        <v>844</v>
      </c>
      <c r="D918" s="17">
        <f>Github!G$1606</f>
        <v>26</v>
      </c>
      <c r="E918" s="17">
        <f>Github!F$1606+Github!G$1606</f>
        <v>870</v>
      </c>
      <c r="F918" s="18">
        <f t="shared" si="1"/>
        <v>32.46</v>
      </c>
      <c r="G918" s="17" t="str">
        <f>Github!H$1606</f>
        <v>Algorithms</v>
      </c>
      <c r="H918" s="19" t="str">
        <f>SUBSTITUTE(Github!L$1606, ";", ", ")</f>
        <v>Array, Greedy, Matrix, </v>
      </c>
      <c r="I918" s="17" t="str">
        <f>Github!E$1606</f>
        <v>Medium</v>
      </c>
      <c r="J918" s="17" t="str">
        <f>IF(TRIM(Github!D$1606)="TRUE","FALSE","TRUE")</f>
        <v>TRUE</v>
      </c>
      <c r="K918" s="17" t="b">
        <f>Github!M$1606</f>
        <v>0</v>
      </c>
      <c r="L918" s="17" t="b">
        <f>Github!N$1606</f>
        <v>0</v>
      </c>
      <c r="M918" s="17" t="str">
        <f>ROUND(Github!O$1606, 2)&amp;"%"</f>
        <v>78.46%</v>
      </c>
      <c r="N918" s="17">
        <f>Github!P$1606</f>
        <v>23917</v>
      </c>
      <c r="O918" s="17">
        <f>Github!Q$1606</f>
        <v>30482</v>
      </c>
    </row>
    <row r="919" ht="18.0" customHeight="1">
      <c r="A919" s="17">
        <f>Github!J$1860</f>
        <v>1859</v>
      </c>
      <c r="B919" s="27" t="str">
        <f>HYPERLINK(CONCAT("http://leetcode.com/problems/",Github!C$1860), Github!B$1860)</f>
        <v>Sorting the Sentence</v>
      </c>
      <c r="C919" s="17">
        <f>Github!F$1860</f>
        <v>845</v>
      </c>
      <c r="D919" s="17">
        <f>Github!G$1860</f>
        <v>24</v>
      </c>
      <c r="E919" s="17">
        <f>Github!F$1860+Github!G$1860</f>
        <v>869</v>
      </c>
      <c r="F919" s="18">
        <f t="shared" si="1"/>
        <v>35.21</v>
      </c>
      <c r="G919" s="17" t="str">
        <f>Github!H$1860</f>
        <v>Algorithms</v>
      </c>
      <c r="H919" s="19" t="str">
        <f>SUBSTITUTE(Github!L$1860, ";", ", ")</f>
        <v>String, Sorting, </v>
      </c>
      <c r="I919" s="17" t="str">
        <f>Github!E$1860</f>
        <v>Easy</v>
      </c>
      <c r="J919" s="17" t="str">
        <f>IF(TRIM(Github!D$1860)="TRUE","FALSE","TRUE")</f>
        <v>TRUE</v>
      </c>
      <c r="K919" s="17" t="b">
        <f>Github!M$1860</f>
        <v>0</v>
      </c>
      <c r="L919" s="17" t="b">
        <f>Github!N$1860</f>
        <v>0</v>
      </c>
      <c r="M919" s="17" t="str">
        <f>ROUND(Github!O$1860, 2)&amp;"%"</f>
        <v>84.46%</v>
      </c>
      <c r="N919" s="17">
        <f>Github!P$1860</f>
        <v>56784</v>
      </c>
      <c r="O919" s="17">
        <f>Github!Q$1860</f>
        <v>67232</v>
      </c>
    </row>
    <row r="920" ht="18.0" customHeight="1">
      <c r="A920" s="17">
        <f>Github!J$267</f>
        <v>266</v>
      </c>
      <c r="B920" s="27" t="str">
        <f>HYPERLINK(CONCAT("http://leetcode.com/problems/",Github!C$267), Github!B$267)</f>
        <v>Palindrome Permutation</v>
      </c>
      <c r="C920" s="17">
        <f>Github!F$267</f>
        <v>843</v>
      </c>
      <c r="D920" s="17">
        <f>Github!G$267</f>
        <v>63</v>
      </c>
      <c r="E920" s="17">
        <f>Github!F$267+Github!G$267</f>
        <v>906</v>
      </c>
      <c r="F920" s="18">
        <f t="shared" si="1"/>
        <v>13.38</v>
      </c>
      <c r="G920" s="17" t="str">
        <f>Github!H$267</f>
        <v>Algorithms</v>
      </c>
      <c r="H920" s="19" t="str">
        <f>SUBSTITUTE(Github!L$267, ";", ", ")</f>
        <v>Hash Table, String, Bit Manipulation, </v>
      </c>
      <c r="I920" s="17" t="str">
        <f>Github!E$267</f>
        <v>Easy</v>
      </c>
      <c r="J920" s="17" t="str">
        <f>IF(TRIM(Github!D$267)="TRUE","FALSE","TRUE")</f>
        <v>FALSE</v>
      </c>
      <c r="K920" s="17" t="b">
        <f>Github!M$267</f>
        <v>1</v>
      </c>
      <c r="L920" s="17" t="b">
        <f>Github!N$267</f>
        <v>0</v>
      </c>
      <c r="M920" s="17" t="str">
        <f>ROUND(Github!O$267, 2)&amp;"%"</f>
        <v>65.11%</v>
      </c>
      <c r="N920" s="17">
        <f>Github!P$267</f>
        <v>158641</v>
      </c>
      <c r="O920" s="17">
        <f>Github!Q$267</f>
        <v>243636</v>
      </c>
    </row>
    <row r="921" ht="18.0" customHeight="1">
      <c r="A921" s="17">
        <f>Github!J$1353</f>
        <v>1352</v>
      </c>
      <c r="B921" s="27" t="str">
        <f>HYPERLINK(CONCAT("http://leetcode.com/problems/",Github!C$1353), Github!B$1353)</f>
        <v>Product of the Last K Numbers</v>
      </c>
      <c r="C921" s="17">
        <f>Github!F$1353</f>
        <v>843</v>
      </c>
      <c r="D921" s="17">
        <f>Github!G$1353</f>
        <v>48</v>
      </c>
      <c r="E921" s="17">
        <f>Github!F$1353+Github!G$1353</f>
        <v>891</v>
      </c>
      <c r="F921" s="18">
        <f t="shared" si="1"/>
        <v>17.56</v>
      </c>
      <c r="G921" s="17" t="str">
        <f>Github!H$1353</f>
        <v>Algorithms</v>
      </c>
      <c r="H921" s="19" t="str">
        <f>SUBSTITUTE(Github!L$1353, ";", ", ")</f>
        <v>Array, Math, Design, Queue, Data Stream, </v>
      </c>
      <c r="I921" s="17" t="str">
        <f>Github!E$1353</f>
        <v>Medium</v>
      </c>
      <c r="J921" s="17" t="str">
        <f>IF(TRIM(Github!D$1353)="TRUE","FALSE","TRUE")</f>
        <v>TRUE</v>
      </c>
      <c r="K921" s="17" t="b">
        <f>Github!M$1353</f>
        <v>0</v>
      </c>
      <c r="L921" s="17" t="b">
        <f>Github!N$1353</f>
        <v>0</v>
      </c>
      <c r="M921" s="17" t="str">
        <f>ROUND(Github!O$1353, 2)&amp;"%"</f>
        <v>47.55%</v>
      </c>
      <c r="N921" s="17">
        <f>Github!P$1353</f>
        <v>45185</v>
      </c>
      <c r="O921" s="17">
        <f>Github!Q$1353</f>
        <v>95023</v>
      </c>
    </row>
    <row r="922" ht="18.0" customHeight="1">
      <c r="A922" s="17">
        <f>Github!J$358</f>
        <v>357</v>
      </c>
      <c r="B922" s="27" t="str">
        <f>HYPERLINK(CONCAT("http://leetcode.com/problems/",Github!C$358), Github!B$358)</f>
        <v>Count Numbers with Unique Digits</v>
      </c>
      <c r="C922" s="17">
        <f>Github!F$358</f>
        <v>839</v>
      </c>
      <c r="D922" s="17">
        <f>Github!G$358</f>
        <v>1202</v>
      </c>
      <c r="E922" s="17">
        <f>Github!F$358+Github!G$358</f>
        <v>2041</v>
      </c>
      <c r="F922" s="18">
        <f t="shared" si="1"/>
        <v>0.7</v>
      </c>
      <c r="G922" s="17" t="str">
        <f>Github!H$358</f>
        <v>Algorithms</v>
      </c>
      <c r="H922" s="19" t="str">
        <f>SUBSTITUTE(Github!L$358, ";", ", ")</f>
        <v>Math, Dynamic Programming, Backtracking, </v>
      </c>
      <c r="I922" s="17" t="str">
        <f>Github!E$358</f>
        <v>Medium</v>
      </c>
      <c r="J922" s="17" t="str">
        <f>IF(TRIM(Github!D$358)="TRUE","FALSE","TRUE")</f>
        <v>TRUE</v>
      </c>
      <c r="K922" s="17" t="b">
        <f>Github!M$358</f>
        <v>0</v>
      </c>
      <c r="L922" s="17" t="b">
        <f>Github!N$358</f>
        <v>0</v>
      </c>
      <c r="M922" s="17" t="str">
        <f>ROUND(Github!O$358, 2)&amp;"%"</f>
        <v>50.43%</v>
      </c>
      <c r="N922" s="17">
        <f>Github!P$358</f>
        <v>100011</v>
      </c>
      <c r="O922" s="17">
        <f>Github!Q$358</f>
        <v>198316</v>
      </c>
    </row>
    <row r="923" ht="18.0" customHeight="1">
      <c r="A923" s="17">
        <f>Github!J$406</f>
        <v>405</v>
      </c>
      <c r="B923" s="27" t="str">
        <f>HYPERLINK(CONCAT("http://leetcode.com/problems/",Github!C$406), Github!B$406)</f>
        <v>Convert a Number to Hexadecimal</v>
      </c>
      <c r="C923" s="17">
        <f>Github!F$406</f>
        <v>836</v>
      </c>
      <c r="D923" s="17">
        <f>Github!G$406</f>
        <v>164</v>
      </c>
      <c r="E923" s="17">
        <f>Github!F$406+Github!G$406</f>
        <v>1000</v>
      </c>
      <c r="F923" s="18">
        <f t="shared" si="1"/>
        <v>5.1</v>
      </c>
      <c r="G923" s="17" t="str">
        <f>Github!H$406</f>
        <v>Algorithms</v>
      </c>
      <c r="H923" s="19" t="str">
        <f>SUBSTITUTE(Github!L$406, ";", ", ")</f>
        <v>Math, Bit Manipulation, </v>
      </c>
      <c r="I923" s="17" t="str">
        <f>Github!E$406</f>
        <v>Easy</v>
      </c>
      <c r="J923" s="17" t="str">
        <f>IF(TRIM(Github!D$406)="TRUE","FALSE","TRUE")</f>
        <v>TRUE</v>
      </c>
      <c r="K923" s="17" t="b">
        <f>Github!M$406</f>
        <v>0</v>
      </c>
      <c r="L923" s="17" t="b">
        <f>Github!N$406</f>
        <v>0</v>
      </c>
      <c r="M923" s="17" t="str">
        <f>ROUND(Github!O$406, 2)&amp;"%"</f>
        <v>45.65%</v>
      </c>
      <c r="N923" s="17">
        <f>Github!P$406</f>
        <v>95695</v>
      </c>
      <c r="O923" s="17">
        <f>Github!Q$406</f>
        <v>209607</v>
      </c>
    </row>
    <row r="924" ht="18.0" customHeight="1">
      <c r="A924" s="17">
        <f>Github!J$1591</f>
        <v>1590</v>
      </c>
      <c r="B924" s="27" t="str">
        <f>HYPERLINK(CONCAT("http://leetcode.com/problems/",Github!C$1591), Github!B$1591)</f>
        <v>Make Sum Divisible by P</v>
      </c>
      <c r="C924" s="17">
        <f>Github!F$1591</f>
        <v>835</v>
      </c>
      <c r="D924" s="17">
        <f>Github!G$1591</f>
        <v>37</v>
      </c>
      <c r="E924" s="17">
        <f>Github!F$1591+Github!G$1591</f>
        <v>872</v>
      </c>
      <c r="F924" s="18">
        <f t="shared" si="1"/>
        <v>22.57</v>
      </c>
      <c r="G924" s="17" t="str">
        <f>Github!H$1591</f>
        <v>Algorithms</v>
      </c>
      <c r="H924" s="19" t="str">
        <f>SUBSTITUTE(Github!L$1591, ";", ", ")</f>
        <v>Array, Hash Table, Prefix Sum, </v>
      </c>
      <c r="I924" s="17" t="str">
        <f>Github!E$1591</f>
        <v>Medium</v>
      </c>
      <c r="J924" s="17" t="str">
        <f>IF(TRIM(Github!D$1591)="TRUE","FALSE","TRUE")</f>
        <v>TRUE</v>
      </c>
      <c r="K924" s="17" t="b">
        <f>Github!M$1591</f>
        <v>0</v>
      </c>
      <c r="L924" s="17" t="b">
        <f>Github!N$1591</f>
        <v>0</v>
      </c>
      <c r="M924" s="17" t="str">
        <f>ROUND(Github!O$1591, 2)&amp;"%"</f>
        <v>28.25%</v>
      </c>
      <c r="N924" s="17">
        <f>Github!P$1591</f>
        <v>15215</v>
      </c>
      <c r="O924" s="17">
        <f>Github!Q$1591</f>
        <v>53849</v>
      </c>
    </row>
    <row r="925" ht="18.0" customHeight="1">
      <c r="A925" s="17">
        <f>Github!J$849</f>
        <v>848</v>
      </c>
      <c r="B925" s="27" t="str">
        <f>HYPERLINK(CONCAT("http://leetcode.com/problems/",Github!C$849), Github!B$849)</f>
        <v>Shifting Letters</v>
      </c>
      <c r="C925" s="17">
        <f>Github!F$849</f>
        <v>833</v>
      </c>
      <c r="D925" s="17">
        <f>Github!G$849</f>
        <v>96</v>
      </c>
      <c r="E925" s="17">
        <f>Github!F$849+Github!G$849</f>
        <v>929</v>
      </c>
      <c r="F925" s="18">
        <f t="shared" si="1"/>
        <v>8.68</v>
      </c>
      <c r="G925" s="17" t="str">
        <f>Github!H$849</f>
        <v>Algorithms</v>
      </c>
      <c r="H925" s="19" t="str">
        <f>SUBSTITUTE(Github!L$849, ";", ", ")</f>
        <v>Array, String, </v>
      </c>
      <c r="I925" s="17" t="str">
        <f>Github!E$849</f>
        <v>Medium</v>
      </c>
      <c r="J925" s="17" t="str">
        <f>IF(TRIM(Github!D$849)="TRUE","FALSE","TRUE")</f>
        <v>TRUE</v>
      </c>
      <c r="K925" s="17" t="b">
        <f>Github!M$849</f>
        <v>1</v>
      </c>
      <c r="L925" s="17" t="b">
        <f>Github!N$849</f>
        <v>0</v>
      </c>
      <c r="M925" s="17" t="str">
        <f>ROUND(Github!O$849, 2)&amp;"%"</f>
        <v>45.47%</v>
      </c>
      <c r="N925" s="17">
        <f>Github!P$849</f>
        <v>70520</v>
      </c>
      <c r="O925" s="17">
        <f>Github!Q$849</f>
        <v>155078</v>
      </c>
    </row>
    <row r="926" ht="18.0" customHeight="1">
      <c r="A926" s="17">
        <f>Github!J$905</f>
        <v>904</v>
      </c>
      <c r="B926" s="27" t="str">
        <f>HYPERLINK(CONCAT("http://leetcode.com/problems/",Github!C$905), Github!B$905)</f>
        <v>Fruit Into Baskets</v>
      </c>
      <c r="C926" s="17">
        <f>Github!F$905</f>
        <v>830</v>
      </c>
      <c r="D926" s="17">
        <f>Github!G$905</f>
        <v>56</v>
      </c>
      <c r="E926" s="17">
        <f>Github!F$905+Github!G$905</f>
        <v>886</v>
      </c>
      <c r="F926" s="18">
        <f t="shared" si="1"/>
        <v>14.82</v>
      </c>
      <c r="G926" s="17" t="str">
        <f>Github!H$905</f>
        <v>Algorithms</v>
      </c>
      <c r="H926" s="19" t="str">
        <f>SUBSTITUTE(Github!L$905, ";", ", ")</f>
        <v>Array, Hash Table, Sliding Window, </v>
      </c>
      <c r="I926" s="17" t="str">
        <f>Github!E$905</f>
        <v>Medium</v>
      </c>
      <c r="J926" s="17" t="str">
        <f>IF(TRIM(Github!D$905)="TRUE","FALSE","TRUE")</f>
        <v>TRUE</v>
      </c>
      <c r="K926" s="17" t="b">
        <f>Github!M$905</f>
        <v>0</v>
      </c>
      <c r="L926" s="17" t="b">
        <f>Github!N$905</f>
        <v>0</v>
      </c>
      <c r="M926" s="17" t="str">
        <f>ROUND(Github!O$905, 2)&amp;"%"</f>
        <v>42.9%</v>
      </c>
      <c r="N926" s="17">
        <f>Github!P$905</f>
        <v>189355</v>
      </c>
      <c r="O926" s="17">
        <f>Github!Q$905</f>
        <v>441359</v>
      </c>
    </row>
    <row r="927" ht="18.0" customHeight="1">
      <c r="A927" s="17">
        <f>Github!J$187</f>
        <v>186</v>
      </c>
      <c r="B927" s="27" t="str">
        <f>HYPERLINK(CONCAT("http://leetcode.com/problems/",Github!C$187), Github!B$187)</f>
        <v>Reverse Words in a String II</v>
      </c>
      <c r="C927" s="17">
        <f>Github!F$187</f>
        <v>826</v>
      </c>
      <c r="D927" s="17">
        <f>Github!G$187</f>
        <v>125</v>
      </c>
      <c r="E927" s="17">
        <f>Github!F$187+Github!G$187</f>
        <v>951</v>
      </c>
      <c r="F927" s="18">
        <f t="shared" si="1"/>
        <v>6.61</v>
      </c>
      <c r="G927" s="17" t="str">
        <f>Github!H$187</f>
        <v>Algorithms</v>
      </c>
      <c r="H927" s="19" t="str">
        <f>SUBSTITUTE(Github!L$187, ";", ", ")</f>
        <v>Two Pointers, String, </v>
      </c>
      <c r="I927" s="17" t="str">
        <f>Github!E$187</f>
        <v>Medium</v>
      </c>
      <c r="J927" s="17" t="str">
        <f>IF(TRIM(Github!D$187)="TRUE","FALSE","TRUE")</f>
        <v>FALSE</v>
      </c>
      <c r="K927" s="17" t="b">
        <f>Github!M$187</f>
        <v>1</v>
      </c>
      <c r="L927" s="17" t="b">
        <f>Github!N$187</f>
        <v>0</v>
      </c>
      <c r="M927" s="17" t="str">
        <f>ROUND(Github!O$187, 2)&amp;"%"</f>
        <v>50.51%</v>
      </c>
      <c r="N927" s="17">
        <f>Github!P$187</f>
        <v>129442</v>
      </c>
      <c r="O927" s="17">
        <f>Github!Q$187</f>
        <v>256266</v>
      </c>
    </row>
    <row r="928" ht="18.0" customHeight="1">
      <c r="A928" s="17">
        <f>Github!J$184</f>
        <v>183</v>
      </c>
      <c r="B928" s="27" t="str">
        <f>HYPERLINK(CONCAT("http://leetcode.com/problems/",Github!C$184), Github!B$184)</f>
        <v>Customers Who Never Order</v>
      </c>
      <c r="C928" s="17">
        <f>Github!F$184</f>
        <v>826</v>
      </c>
      <c r="D928" s="17">
        <f>Github!G$184</f>
        <v>69</v>
      </c>
      <c r="E928" s="17">
        <f>Github!F$184+Github!G$184</f>
        <v>895</v>
      </c>
      <c r="F928" s="18">
        <f t="shared" si="1"/>
        <v>11.97</v>
      </c>
      <c r="G928" s="17" t="str">
        <f>Github!H$184</f>
        <v>Database</v>
      </c>
      <c r="H928" s="19" t="str">
        <f>SUBSTITUTE(Github!L$184, ";", ", ")</f>
        <v>Database, </v>
      </c>
      <c r="I928" s="17" t="str">
        <f>Github!E$184</f>
        <v>Easy</v>
      </c>
      <c r="J928" s="17" t="str">
        <f>IF(TRIM(Github!D$184)="TRUE","FALSE","TRUE")</f>
        <v>TRUE</v>
      </c>
      <c r="K928" s="17" t="b">
        <f>Github!M$184</f>
        <v>1</v>
      </c>
      <c r="L928" s="17" t="b">
        <f>Github!N$184</f>
        <v>0</v>
      </c>
      <c r="M928" s="17" t="str">
        <f>ROUND(Github!O$184, 2)&amp;"%"</f>
        <v>62.12%</v>
      </c>
      <c r="N928" s="17">
        <f>Github!P$184</f>
        <v>315506</v>
      </c>
      <c r="O928" s="17">
        <f>Github!Q$184</f>
        <v>507886</v>
      </c>
    </row>
    <row r="929" ht="18.0" customHeight="1">
      <c r="A929" s="17">
        <f>Github!J$1930</f>
        <v>1929</v>
      </c>
      <c r="B929" s="27" t="str">
        <f>HYPERLINK(CONCAT("http://leetcode.com/problems/",Github!C$1930), Github!B$1930)</f>
        <v>Concatenation of Array</v>
      </c>
      <c r="C929" s="17">
        <f>Github!F$1930</f>
        <v>825</v>
      </c>
      <c r="D929" s="17">
        <f>Github!G$1930</f>
        <v>168</v>
      </c>
      <c r="E929" s="17">
        <f>Github!F$1930+Github!G$1930</f>
        <v>993</v>
      </c>
      <c r="F929" s="18">
        <f t="shared" si="1"/>
        <v>4.91</v>
      </c>
      <c r="G929" s="17" t="str">
        <f>Github!H$1930</f>
        <v>Algorithms</v>
      </c>
      <c r="H929" s="19" t="str">
        <f>SUBSTITUTE(Github!L$1930, ";", ", ")</f>
        <v>Array, </v>
      </c>
      <c r="I929" s="17" t="str">
        <f>Github!E$1930</f>
        <v>Easy</v>
      </c>
      <c r="J929" s="17" t="str">
        <f>IF(TRIM(Github!D$1930)="TRUE","FALSE","TRUE")</f>
        <v>TRUE</v>
      </c>
      <c r="K929" s="17" t="b">
        <f>Github!M$1930</f>
        <v>0</v>
      </c>
      <c r="L929" s="17" t="b">
        <f>Github!N$1930</f>
        <v>0</v>
      </c>
      <c r="M929" s="17" t="str">
        <f>ROUND(Github!O$1930, 2)&amp;"%"</f>
        <v>91.71%</v>
      </c>
      <c r="N929" s="17">
        <f>Github!P$1930</f>
        <v>150078</v>
      </c>
      <c r="O929" s="17">
        <f>Github!Q$1930</f>
        <v>163642</v>
      </c>
    </row>
    <row r="930" ht="18.0" customHeight="1">
      <c r="A930" s="17">
        <f>Github!J$1268</f>
        <v>1267</v>
      </c>
      <c r="B930" s="27" t="str">
        <f>HYPERLINK(CONCAT("http://leetcode.com/problems/",Github!C$1268), Github!B$1268)</f>
        <v>Count Servers that Communicate</v>
      </c>
      <c r="C930" s="17">
        <f>Github!F$1268</f>
        <v>822</v>
      </c>
      <c r="D930" s="17">
        <f>Github!G$1268</f>
        <v>69</v>
      </c>
      <c r="E930" s="17">
        <f>Github!F$1268+Github!G$1268</f>
        <v>891</v>
      </c>
      <c r="F930" s="18">
        <f t="shared" si="1"/>
        <v>11.91</v>
      </c>
      <c r="G930" s="17" t="str">
        <f>Github!H$1268</f>
        <v>Algorithms</v>
      </c>
      <c r="H930" s="19" t="str">
        <f>SUBSTITUTE(Github!L$1268, ";", ", ")</f>
        <v>Array, Depth-First Search, Breadth-First Search, Union Find, Matrix, Counting, </v>
      </c>
      <c r="I930" s="17" t="str">
        <f>Github!E$1268</f>
        <v>Medium</v>
      </c>
      <c r="J930" s="17" t="str">
        <f>IF(TRIM(Github!D$1268)="TRUE","FALSE","TRUE")</f>
        <v>TRUE</v>
      </c>
      <c r="K930" s="17" t="b">
        <f>Github!M$1268</f>
        <v>0</v>
      </c>
      <c r="L930" s="17" t="b">
        <f>Github!N$1268</f>
        <v>0</v>
      </c>
      <c r="M930" s="17" t="str">
        <f>ROUND(Github!O$1268, 2)&amp;"%"</f>
        <v>58.12%</v>
      </c>
      <c r="N930" s="17">
        <f>Github!P$1268</f>
        <v>39135</v>
      </c>
      <c r="O930" s="17">
        <f>Github!Q$1268</f>
        <v>67338</v>
      </c>
    </row>
    <row r="931" ht="18.0" customHeight="1">
      <c r="A931" s="17">
        <f>Github!J$1248</f>
        <v>1247</v>
      </c>
      <c r="B931" s="27" t="str">
        <f>HYPERLINK(CONCAT("http://leetcode.com/problems/",Github!C$1248), Github!B$1248)</f>
        <v>Minimum Swaps to Make Strings Equal</v>
      </c>
      <c r="C931" s="17">
        <f>Github!F$1248</f>
        <v>820</v>
      </c>
      <c r="D931" s="17">
        <f>Github!G$1248</f>
        <v>205</v>
      </c>
      <c r="E931" s="17">
        <f>Github!F$1248+Github!G$1248</f>
        <v>1025</v>
      </c>
      <c r="F931" s="18">
        <f t="shared" si="1"/>
        <v>4</v>
      </c>
      <c r="G931" s="17" t="str">
        <f>Github!H$1248</f>
        <v>Algorithms</v>
      </c>
      <c r="H931" s="19" t="str">
        <f>SUBSTITUTE(Github!L$1248, ";", ", ")</f>
        <v>Math, String, Greedy, </v>
      </c>
      <c r="I931" s="17" t="str">
        <f>Github!E$1248</f>
        <v>Medium</v>
      </c>
      <c r="J931" s="17" t="str">
        <f>IF(TRIM(Github!D$1248)="TRUE","FALSE","TRUE")</f>
        <v>TRUE</v>
      </c>
      <c r="K931" s="17" t="b">
        <f>Github!M$1248</f>
        <v>0</v>
      </c>
      <c r="L931" s="17" t="b">
        <f>Github!N$1248</f>
        <v>0</v>
      </c>
      <c r="M931" s="17" t="str">
        <f>ROUND(Github!O$1248, 2)&amp;"%"</f>
        <v>63.7%</v>
      </c>
      <c r="N931" s="17">
        <f>Github!P$1248</f>
        <v>26823</v>
      </c>
      <c r="O931" s="17">
        <f>Github!Q$1248</f>
        <v>42108</v>
      </c>
    </row>
    <row r="932" ht="18.0" customHeight="1">
      <c r="A932" s="17">
        <f>Github!J$1482</f>
        <v>1481</v>
      </c>
      <c r="B932" s="27" t="str">
        <f>HYPERLINK(CONCAT("http://leetcode.com/problems/",Github!C$1482), Github!B$1482)</f>
        <v>Least Number of Unique Integers after K Removals</v>
      </c>
      <c r="C932" s="17">
        <f>Github!F$1482</f>
        <v>821</v>
      </c>
      <c r="D932" s="17">
        <f>Github!G$1482</f>
        <v>62</v>
      </c>
      <c r="E932" s="17">
        <f>Github!F$1482+Github!G$1482</f>
        <v>883</v>
      </c>
      <c r="F932" s="18">
        <f t="shared" si="1"/>
        <v>13.24</v>
      </c>
      <c r="G932" s="17" t="str">
        <f>Github!H$1482</f>
        <v>Algorithms</v>
      </c>
      <c r="H932" s="19" t="str">
        <f>SUBSTITUTE(Github!L$1482, ";", ", ")</f>
        <v>Array, Hash Table, Greedy, Sorting, Counting, </v>
      </c>
      <c r="I932" s="17" t="str">
        <f>Github!E$1482</f>
        <v>Medium</v>
      </c>
      <c r="J932" s="17" t="str">
        <f>IF(TRIM(Github!D$1482)="TRUE","FALSE","TRUE")</f>
        <v>TRUE</v>
      </c>
      <c r="K932" s="17" t="b">
        <f>Github!M$1482</f>
        <v>0</v>
      </c>
      <c r="L932" s="17" t="b">
        <f>Github!N$1482</f>
        <v>0</v>
      </c>
      <c r="M932" s="17" t="str">
        <f>ROUND(Github!O$1482, 2)&amp;"%"</f>
        <v>60%</v>
      </c>
      <c r="N932" s="17">
        <f>Github!P$1482</f>
        <v>66436</v>
      </c>
      <c r="O932" s="17">
        <f>Github!Q$1482</f>
        <v>110727</v>
      </c>
    </row>
    <row r="933" ht="18.0" customHeight="1">
      <c r="A933" s="17">
        <f>Github!J$327</f>
        <v>326</v>
      </c>
      <c r="B933" s="27" t="str">
        <f>HYPERLINK(CONCAT("http://leetcode.com/problems/",Github!C$327), Github!B$327)</f>
        <v>Power of Three</v>
      </c>
      <c r="C933" s="17">
        <f>Github!F$327</f>
        <v>818</v>
      </c>
      <c r="D933" s="17">
        <f>Github!G$327</f>
        <v>102</v>
      </c>
      <c r="E933" s="17">
        <f>Github!F$327+Github!G$327</f>
        <v>920</v>
      </c>
      <c r="F933" s="18">
        <f t="shared" si="1"/>
        <v>8.02</v>
      </c>
      <c r="G933" s="17" t="str">
        <f>Github!H$327</f>
        <v>Algorithms</v>
      </c>
      <c r="H933" s="19" t="str">
        <f>SUBSTITUTE(Github!L$327, ";", ", ")</f>
        <v>Math, Recursion, </v>
      </c>
      <c r="I933" s="17" t="str">
        <f>Github!E$327</f>
        <v>Easy</v>
      </c>
      <c r="J933" s="17" t="str">
        <f>IF(TRIM(Github!D$327)="TRUE","FALSE","TRUE")</f>
        <v>TRUE</v>
      </c>
      <c r="K933" s="17" t="b">
        <f>Github!M$327</f>
        <v>1</v>
      </c>
      <c r="L933" s="17" t="b">
        <f>Github!N$327</f>
        <v>0</v>
      </c>
      <c r="M933" s="17" t="str">
        <f>ROUND(Github!O$327, 2)&amp;"%"</f>
        <v>43.33%</v>
      </c>
      <c r="N933" s="17">
        <f>Github!P$327</f>
        <v>443196</v>
      </c>
      <c r="O933" s="17">
        <f>Github!Q$327</f>
        <v>1022855</v>
      </c>
    </row>
    <row r="934" ht="18.0" customHeight="1">
      <c r="A934" s="17">
        <f>Github!J$198</f>
        <v>197</v>
      </c>
      <c r="B934" s="27" t="str">
        <f>HYPERLINK(CONCAT("http://leetcode.com/problems/",Github!C$198), Github!B$198)</f>
        <v>Rising Temperature</v>
      </c>
      <c r="C934" s="17">
        <f>Github!F$198</f>
        <v>814</v>
      </c>
      <c r="D934" s="17">
        <f>Github!G$198</f>
        <v>341</v>
      </c>
      <c r="E934" s="17">
        <f>Github!F$198+Github!G$198</f>
        <v>1155</v>
      </c>
      <c r="F934" s="18">
        <f t="shared" si="1"/>
        <v>2.39</v>
      </c>
      <c r="G934" s="17" t="str">
        <f>Github!H$198</f>
        <v>Database</v>
      </c>
      <c r="H934" s="19" t="str">
        <f>SUBSTITUTE(Github!L$198, ";", ", ")</f>
        <v>Database, </v>
      </c>
      <c r="I934" s="17" t="str">
        <f>Github!E$198</f>
        <v>Easy</v>
      </c>
      <c r="J934" s="17" t="str">
        <f>IF(TRIM(Github!D$198)="TRUE","FALSE","TRUE")</f>
        <v>TRUE</v>
      </c>
      <c r="K934" s="17" t="b">
        <f>Github!M$198</f>
        <v>1</v>
      </c>
      <c r="L934" s="17" t="b">
        <f>Github!N$198</f>
        <v>0</v>
      </c>
      <c r="M934" s="17" t="str">
        <f>ROUND(Github!O$198, 2)&amp;"%"</f>
        <v>42.14%</v>
      </c>
      <c r="N934" s="17">
        <f>Github!P$198</f>
        <v>208661</v>
      </c>
      <c r="O934" s="17">
        <f>Github!Q$198</f>
        <v>495139</v>
      </c>
    </row>
    <row r="935" ht="18.0" customHeight="1">
      <c r="A935" s="17">
        <f>Github!J$434</f>
        <v>433</v>
      </c>
      <c r="B935" s="27" t="str">
        <f>HYPERLINK(CONCAT("http://leetcode.com/problems/",Github!C$434), Github!B$434)</f>
        <v>Minimum Genetic Mutation</v>
      </c>
      <c r="C935" s="17">
        <f>Github!F$434</f>
        <v>816</v>
      </c>
      <c r="D935" s="17">
        <f>Github!G$434</f>
        <v>96</v>
      </c>
      <c r="E935" s="17">
        <f>Github!F$434+Github!G$434</f>
        <v>912</v>
      </c>
      <c r="F935" s="18">
        <f t="shared" si="1"/>
        <v>8.5</v>
      </c>
      <c r="G935" s="17" t="str">
        <f>Github!H$434</f>
        <v>Algorithms</v>
      </c>
      <c r="H935" s="19" t="str">
        <f>SUBSTITUTE(Github!L$434, ";", ", ")</f>
        <v>Hash Table, String, Breadth-First Search, </v>
      </c>
      <c r="I935" s="17" t="str">
        <f>Github!E$434</f>
        <v>Medium</v>
      </c>
      <c r="J935" s="17" t="str">
        <f>IF(TRIM(Github!D$434)="TRUE","FALSE","TRUE")</f>
        <v>TRUE</v>
      </c>
      <c r="K935" s="17" t="b">
        <f>Github!M$434</f>
        <v>0</v>
      </c>
      <c r="L935" s="17" t="b">
        <f>Github!N$434</f>
        <v>0</v>
      </c>
      <c r="M935" s="17" t="str">
        <f>ROUND(Github!O$434, 2)&amp;"%"</f>
        <v>45.93%</v>
      </c>
      <c r="N935" s="17">
        <f>Github!P$434</f>
        <v>50105</v>
      </c>
      <c r="O935" s="17">
        <f>Github!Q$434</f>
        <v>109086</v>
      </c>
    </row>
    <row r="936" ht="18.0" customHeight="1">
      <c r="A936" s="17">
        <f>Github!J$824</f>
        <v>823</v>
      </c>
      <c r="B936" s="27" t="str">
        <f>HYPERLINK(CONCAT("http://leetcode.com/problems/",Github!C$824), Github!B$824)</f>
        <v>Binary Trees With Factors</v>
      </c>
      <c r="C936" s="17">
        <f>Github!F$824</f>
        <v>814</v>
      </c>
      <c r="D936" s="17">
        <f>Github!G$824</f>
        <v>101</v>
      </c>
      <c r="E936" s="17">
        <f>Github!F$824+Github!G$824</f>
        <v>915</v>
      </c>
      <c r="F936" s="18">
        <f t="shared" si="1"/>
        <v>8.06</v>
      </c>
      <c r="G936" s="17" t="str">
        <f>Github!H$824</f>
        <v>Algorithms</v>
      </c>
      <c r="H936" s="19" t="str">
        <f>SUBSTITUTE(Github!L$824, ";", ", ")</f>
        <v>Array, Hash Table, Dynamic Programming, </v>
      </c>
      <c r="I936" s="17" t="str">
        <f>Github!E$824</f>
        <v>Medium</v>
      </c>
      <c r="J936" s="17" t="str">
        <f>IF(TRIM(Github!D$824)="TRUE","FALSE","TRUE")</f>
        <v>TRUE</v>
      </c>
      <c r="K936" s="17" t="b">
        <f>Github!M$824</f>
        <v>1</v>
      </c>
      <c r="L936" s="17" t="b">
        <f>Github!N$824</f>
        <v>0</v>
      </c>
      <c r="M936" s="17" t="str">
        <f>ROUND(Github!O$824, 2)&amp;"%"</f>
        <v>43.65%</v>
      </c>
      <c r="N936" s="17">
        <f>Github!P$824</f>
        <v>36159</v>
      </c>
      <c r="O936" s="17">
        <f>Github!Q$824</f>
        <v>82835</v>
      </c>
    </row>
    <row r="937" ht="18.0" customHeight="1">
      <c r="A937" s="17">
        <f>Github!J$773</f>
        <v>772</v>
      </c>
      <c r="B937" s="27" t="str">
        <f>HYPERLINK(CONCAT("http://leetcode.com/problems/",Github!C$773), Github!B$773)</f>
        <v>Basic Calculator III</v>
      </c>
      <c r="C937" s="17">
        <f>Github!F$773</f>
        <v>810</v>
      </c>
      <c r="D937" s="17">
        <f>Github!G$773</f>
        <v>242</v>
      </c>
      <c r="E937" s="17">
        <f>Github!F$773+Github!G$773</f>
        <v>1052</v>
      </c>
      <c r="F937" s="18">
        <f t="shared" si="1"/>
        <v>3.35</v>
      </c>
      <c r="G937" s="17" t="str">
        <f>Github!H$773</f>
        <v>Algorithms</v>
      </c>
      <c r="H937" s="19" t="str">
        <f>SUBSTITUTE(Github!L$773, ";", ", ")</f>
        <v>Math, String, Stack, Recursion, </v>
      </c>
      <c r="I937" s="17" t="str">
        <f>Github!E$773</f>
        <v>Hard</v>
      </c>
      <c r="J937" s="17" t="str">
        <f>IF(TRIM(Github!D$773)="TRUE","FALSE","TRUE")</f>
        <v>FALSE</v>
      </c>
      <c r="K937" s="17" t="b">
        <f>Github!M$773</f>
        <v>0</v>
      </c>
      <c r="L937" s="17" t="b">
        <f>Github!N$773</f>
        <v>0</v>
      </c>
      <c r="M937" s="17" t="str">
        <f>ROUND(Github!O$773, 2)&amp;"%"</f>
        <v>47.16%</v>
      </c>
      <c r="N937" s="17">
        <f>Github!P$773</f>
        <v>79218</v>
      </c>
      <c r="O937" s="17">
        <f>Github!Q$773</f>
        <v>167993</v>
      </c>
    </row>
    <row r="938" ht="18.0" customHeight="1">
      <c r="A938" s="17">
        <f>Github!J$1055</f>
        <v>1054</v>
      </c>
      <c r="B938" s="27" t="str">
        <f>HYPERLINK(CONCAT("http://leetcode.com/problems/",Github!C$1055), Github!B$1055)</f>
        <v>Distant Barcodes</v>
      </c>
      <c r="C938" s="17">
        <f>Github!F$1055</f>
        <v>809</v>
      </c>
      <c r="D938" s="17">
        <f>Github!G$1055</f>
        <v>36</v>
      </c>
      <c r="E938" s="17">
        <f>Github!F$1055+Github!G$1055</f>
        <v>845</v>
      </c>
      <c r="F938" s="18">
        <f t="shared" si="1"/>
        <v>22.47</v>
      </c>
      <c r="G938" s="17" t="str">
        <f>Github!H$1055</f>
        <v>Algorithms</v>
      </c>
      <c r="H938" s="19" t="str">
        <f>SUBSTITUTE(Github!L$1055, ";", ", ")</f>
        <v>Array, Hash Table, Greedy, Sorting, Heap (Priority Queue), Counting, </v>
      </c>
      <c r="I938" s="17" t="str">
        <f>Github!E$1055</f>
        <v>Medium</v>
      </c>
      <c r="J938" s="17" t="str">
        <f>IF(TRIM(Github!D$1055)="TRUE","FALSE","TRUE")</f>
        <v>TRUE</v>
      </c>
      <c r="K938" s="17" t="b">
        <f>Github!M$1055</f>
        <v>0</v>
      </c>
      <c r="L938" s="17" t="b">
        <f>Github!N$1055</f>
        <v>0</v>
      </c>
      <c r="M938" s="17" t="str">
        <f>ROUND(Github!O$1055, 2)&amp;"%"</f>
        <v>45.21%</v>
      </c>
      <c r="N938" s="17">
        <f>Github!P$1055</f>
        <v>28894</v>
      </c>
      <c r="O938" s="17">
        <f>Github!Q$1055</f>
        <v>63904</v>
      </c>
    </row>
    <row r="939" ht="18.0" customHeight="1">
      <c r="A939" s="17">
        <f>Github!J$1494</f>
        <v>1493</v>
      </c>
      <c r="B939" s="27" t="str">
        <f>HYPERLINK(CONCAT("http://leetcode.com/problems/",Github!C$1494), Github!B$1494)</f>
        <v>Longest Subarray of 1's After Deleting One Element</v>
      </c>
      <c r="C939" s="17">
        <f>Github!F$1494</f>
        <v>810</v>
      </c>
      <c r="D939" s="17">
        <f>Github!G$1494</f>
        <v>19</v>
      </c>
      <c r="E939" s="17">
        <f>Github!F$1494+Github!G$1494</f>
        <v>829</v>
      </c>
      <c r="F939" s="18">
        <f t="shared" si="1"/>
        <v>42.63</v>
      </c>
      <c r="G939" s="17" t="str">
        <f>Github!H$1494</f>
        <v>Algorithms</v>
      </c>
      <c r="H939" s="19" t="str">
        <f>SUBSTITUTE(Github!L$1494, ";", ", ")</f>
        <v>Math, Dynamic Programming, Sliding Window, </v>
      </c>
      <c r="I939" s="17" t="str">
        <f>Github!E$1494</f>
        <v>Medium</v>
      </c>
      <c r="J939" s="17" t="str">
        <f>IF(TRIM(Github!D$1494)="TRUE","FALSE","TRUE")</f>
        <v>TRUE</v>
      </c>
      <c r="K939" s="17" t="b">
        <f>Github!M$1494</f>
        <v>0</v>
      </c>
      <c r="L939" s="17" t="b">
        <f>Github!N$1494</f>
        <v>0</v>
      </c>
      <c r="M939" s="17" t="str">
        <f>ROUND(Github!O$1494, 2)&amp;"%"</f>
        <v>60.03%</v>
      </c>
      <c r="N939" s="17">
        <f>Github!P$1494</f>
        <v>37332</v>
      </c>
      <c r="O939" s="17">
        <f>Github!Q$1494</f>
        <v>62193</v>
      </c>
    </row>
    <row r="940" ht="18.0" customHeight="1">
      <c r="A940" s="17">
        <f>Github!J$1440</f>
        <v>1439</v>
      </c>
      <c r="B940" s="27" t="str">
        <f>HYPERLINK(CONCAT("http://leetcode.com/problems/",Github!C$1440), Github!B$1440)</f>
        <v>Find the Kth Smallest Sum of a Matrix With Sorted Rows</v>
      </c>
      <c r="C940" s="17">
        <f>Github!F$1440</f>
        <v>808</v>
      </c>
      <c r="D940" s="17">
        <f>Github!G$1440</f>
        <v>9</v>
      </c>
      <c r="E940" s="17">
        <f>Github!F$1440+Github!G$1440</f>
        <v>817</v>
      </c>
      <c r="F940" s="18">
        <f t="shared" si="1"/>
        <v>89.78</v>
      </c>
      <c r="G940" s="17" t="str">
        <f>Github!H$1440</f>
        <v>Algorithms</v>
      </c>
      <c r="H940" s="19" t="str">
        <f>SUBSTITUTE(Github!L$1440, ";", ", ")</f>
        <v>Array, Binary Search, Heap (Priority Queue), Matrix, </v>
      </c>
      <c r="I940" s="17" t="str">
        <f>Github!E$1440</f>
        <v>Hard</v>
      </c>
      <c r="J940" s="17" t="str">
        <f>IF(TRIM(Github!D$1440)="TRUE","FALSE","TRUE")</f>
        <v>TRUE</v>
      </c>
      <c r="K940" s="17" t="b">
        <f>Github!M$1440</f>
        <v>0</v>
      </c>
      <c r="L940" s="17" t="b">
        <f>Github!N$1440</f>
        <v>0</v>
      </c>
      <c r="M940" s="17" t="str">
        <f>ROUND(Github!O$1440, 2)&amp;"%"</f>
        <v>61.48%</v>
      </c>
      <c r="N940" s="17">
        <f>Github!P$1440</f>
        <v>23738</v>
      </c>
      <c r="O940" s="17">
        <f>Github!Q$1440</f>
        <v>38612</v>
      </c>
    </row>
    <row r="941" ht="18.0" customHeight="1">
      <c r="A941" s="17">
        <f>Github!J$843</f>
        <v>842</v>
      </c>
      <c r="B941" s="27" t="str">
        <f>HYPERLINK(CONCAT("http://leetcode.com/problems/",Github!C$843), Github!B$843)</f>
        <v>Split Array into Fibonacci Sequence</v>
      </c>
      <c r="C941" s="17">
        <f>Github!F$843</f>
        <v>808</v>
      </c>
      <c r="D941" s="17">
        <f>Github!G$843</f>
        <v>246</v>
      </c>
      <c r="E941" s="17">
        <f>Github!F$843+Github!G$843</f>
        <v>1054</v>
      </c>
      <c r="F941" s="18">
        <f t="shared" si="1"/>
        <v>3.28</v>
      </c>
      <c r="G941" s="17" t="str">
        <f>Github!H$843</f>
        <v>Algorithms</v>
      </c>
      <c r="H941" s="19" t="str">
        <f>SUBSTITUTE(Github!L$843, ";", ", ")</f>
        <v>String, Backtracking, </v>
      </c>
      <c r="I941" s="17" t="str">
        <f>Github!E$843</f>
        <v>Medium</v>
      </c>
      <c r="J941" s="17" t="str">
        <f>IF(TRIM(Github!D$843)="TRUE","FALSE","TRUE")</f>
        <v>TRUE</v>
      </c>
      <c r="K941" s="17" t="b">
        <f>Github!M$843</f>
        <v>1</v>
      </c>
      <c r="L941" s="17" t="b">
        <f>Github!N$843</f>
        <v>0</v>
      </c>
      <c r="M941" s="17" t="str">
        <f>ROUND(Github!O$843, 2)&amp;"%"</f>
        <v>37.68%</v>
      </c>
      <c r="N941" s="17">
        <f>Github!P$843</f>
        <v>29904</v>
      </c>
      <c r="O941" s="17">
        <f>Github!Q$843</f>
        <v>79362</v>
      </c>
    </row>
    <row r="942" ht="18.0" customHeight="1">
      <c r="A942" s="17">
        <f>Github!J$1670</f>
        <v>1669</v>
      </c>
      <c r="B942" s="27" t="str">
        <f>HYPERLINK(CONCAT("http://leetcode.com/problems/",Github!C$1670), Github!B$1670)</f>
        <v>Merge In Between Linked Lists</v>
      </c>
      <c r="C942" s="17">
        <f>Github!F$1670</f>
        <v>807</v>
      </c>
      <c r="D942" s="17">
        <f>Github!G$1670</f>
        <v>117</v>
      </c>
      <c r="E942" s="17">
        <f>Github!F$1670+Github!G$1670</f>
        <v>924</v>
      </c>
      <c r="F942" s="18">
        <f t="shared" si="1"/>
        <v>6.9</v>
      </c>
      <c r="G942" s="17" t="str">
        <f>Github!H$1670</f>
        <v>Algorithms</v>
      </c>
      <c r="H942" s="19" t="str">
        <f>SUBSTITUTE(Github!L$1670, ";", ", ")</f>
        <v>Linked List, </v>
      </c>
      <c r="I942" s="17" t="str">
        <f>Github!E$1670</f>
        <v>Medium</v>
      </c>
      <c r="J942" s="17" t="str">
        <f>IF(TRIM(Github!D$1670)="TRUE","FALSE","TRUE")</f>
        <v>TRUE</v>
      </c>
      <c r="K942" s="17" t="b">
        <f>Github!M$1670</f>
        <v>0</v>
      </c>
      <c r="L942" s="17" t="b">
        <f>Github!N$1670</f>
        <v>0</v>
      </c>
      <c r="M942" s="17" t="str">
        <f>ROUND(Github!O$1670, 2)&amp;"%"</f>
        <v>74.63%</v>
      </c>
      <c r="N942" s="17">
        <f>Github!P$1670</f>
        <v>46357</v>
      </c>
      <c r="O942" s="17">
        <f>Github!Q$1670</f>
        <v>62118</v>
      </c>
    </row>
    <row r="943" ht="18.0" customHeight="1">
      <c r="A943" s="17">
        <f>Github!J$429</f>
        <v>428</v>
      </c>
      <c r="B943" s="27" t="str">
        <f>HYPERLINK(CONCAT("http://leetcode.com/problems/",Github!C$429), Github!B$429)</f>
        <v>Serialize and Deserialize N-ary Tree</v>
      </c>
      <c r="C943" s="17">
        <f>Github!F$429</f>
        <v>801</v>
      </c>
      <c r="D943" s="17">
        <f>Github!G$429</f>
        <v>48</v>
      </c>
      <c r="E943" s="17">
        <f>Github!F$429+Github!G$429</f>
        <v>849</v>
      </c>
      <c r="F943" s="18">
        <f t="shared" si="1"/>
        <v>16.69</v>
      </c>
      <c r="G943" s="17" t="str">
        <f>Github!H$429</f>
        <v>Algorithms</v>
      </c>
      <c r="H943" s="19" t="str">
        <f>SUBSTITUTE(Github!L$429, ";", ", ")</f>
        <v>String, Tree, Depth-First Search, Breadth-First Search, </v>
      </c>
      <c r="I943" s="17" t="str">
        <f>Github!E$429</f>
        <v>Hard</v>
      </c>
      <c r="J943" s="17" t="str">
        <f>IF(TRIM(Github!D$429)="TRUE","FALSE","TRUE")</f>
        <v>FALSE</v>
      </c>
      <c r="K943" s="17" t="b">
        <f>Github!M$429</f>
        <v>1</v>
      </c>
      <c r="L943" s="17" t="b">
        <f>Github!N$429</f>
        <v>0</v>
      </c>
      <c r="M943" s="17" t="str">
        <f>ROUND(Github!O$429, 2)&amp;"%"</f>
        <v>64.06%</v>
      </c>
      <c r="N943" s="17">
        <f>Github!P$429</f>
        <v>62583</v>
      </c>
      <c r="O943" s="17">
        <f>Github!Q$429</f>
        <v>97695</v>
      </c>
    </row>
    <row r="944" ht="18.0" customHeight="1">
      <c r="A944" s="17">
        <f>Github!J$1233</f>
        <v>1232</v>
      </c>
      <c r="B944" s="27" t="str">
        <f>HYPERLINK(CONCAT("http://leetcode.com/problems/",Github!C$1233), Github!B$1233)</f>
        <v>Check If It Is a Straight Line</v>
      </c>
      <c r="C944" s="17">
        <f>Github!F$1233</f>
        <v>801</v>
      </c>
      <c r="D944" s="17">
        <f>Github!G$1233</f>
        <v>119</v>
      </c>
      <c r="E944" s="17">
        <f>Github!F$1233+Github!G$1233</f>
        <v>920</v>
      </c>
      <c r="F944" s="18">
        <f t="shared" si="1"/>
        <v>6.73</v>
      </c>
      <c r="G944" s="17" t="str">
        <f>Github!H$1233</f>
        <v>Algorithms</v>
      </c>
      <c r="H944" s="19" t="str">
        <f>SUBSTITUTE(Github!L$1233, ";", ", ")</f>
        <v>Array, Math, Geometry, </v>
      </c>
      <c r="I944" s="17" t="str">
        <f>Github!E$1233</f>
        <v>Easy</v>
      </c>
      <c r="J944" s="17" t="str">
        <f>IF(TRIM(Github!D$1233)="TRUE","FALSE","TRUE")</f>
        <v>TRUE</v>
      </c>
      <c r="K944" s="17" t="b">
        <f>Github!M$1233</f>
        <v>0</v>
      </c>
      <c r="L944" s="17" t="b">
        <f>Github!N$1233</f>
        <v>0</v>
      </c>
      <c r="M944" s="17" t="str">
        <f>ROUND(Github!O$1233, 2)&amp;"%"</f>
        <v>42.13%</v>
      </c>
      <c r="N944" s="17">
        <f>Github!P$1233</f>
        <v>106693</v>
      </c>
      <c r="O944" s="17">
        <f>Github!Q$1233</f>
        <v>253226</v>
      </c>
    </row>
    <row r="945" ht="18.0" customHeight="1">
      <c r="A945" s="17">
        <f>Github!J$1527</f>
        <v>1526</v>
      </c>
      <c r="B945" s="27" t="str">
        <f>HYPERLINK(CONCAT("http://leetcode.com/problems/",Github!C$1527), Github!B$1527)</f>
        <v>Minimum Number of Increments on Subarrays to Form a Target Array</v>
      </c>
      <c r="C945" s="17">
        <f>Github!F$1527</f>
        <v>801</v>
      </c>
      <c r="D945" s="17">
        <f>Github!G$1527</f>
        <v>49</v>
      </c>
      <c r="E945" s="17">
        <f>Github!F$1527+Github!G$1527</f>
        <v>850</v>
      </c>
      <c r="F945" s="18">
        <f t="shared" si="1"/>
        <v>16.35</v>
      </c>
      <c r="G945" s="17" t="str">
        <f>Github!H$1527</f>
        <v>Algorithms</v>
      </c>
      <c r="H945" s="19" t="str">
        <f>SUBSTITUTE(Github!L$1527, ";", ", ")</f>
        <v>Array, Dynamic Programming, Stack, Greedy, Monotonic Stack, </v>
      </c>
      <c r="I945" s="17" t="str">
        <f>Github!E$1527</f>
        <v>Hard</v>
      </c>
      <c r="J945" s="17" t="str">
        <f>IF(TRIM(Github!D$1527)="TRUE","FALSE","TRUE")</f>
        <v>TRUE</v>
      </c>
      <c r="K945" s="17" t="b">
        <f>Github!M$1527</f>
        <v>0</v>
      </c>
      <c r="L945" s="17" t="b">
        <f>Github!N$1527</f>
        <v>0</v>
      </c>
      <c r="M945" s="17" t="str">
        <f>ROUND(Github!O$1527, 2)&amp;"%"</f>
        <v>67.87%</v>
      </c>
      <c r="N945" s="17">
        <f>Github!P$1527</f>
        <v>23306</v>
      </c>
      <c r="O945" s="17">
        <f>Github!Q$1527</f>
        <v>34340</v>
      </c>
    </row>
    <row r="946" ht="18.0" customHeight="1">
      <c r="A946" s="17">
        <f>Github!J$1056</f>
        <v>1055</v>
      </c>
      <c r="B946" s="27" t="str">
        <f>HYPERLINK(CONCAT("http://leetcode.com/problems/",Github!C$1056), Github!B$1056)</f>
        <v>Shortest Way to Form String</v>
      </c>
      <c r="C946" s="17">
        <f>Github!F$1056</f>
        <v>799</v>
      </c>
      <c r="D946" s="17">
        <f>Github!G$1056</f>
        <v>48</v>
      </c>
      <c r="E946" s="17">
        <f>Github!F$1056+Github!G$1056</f>
        <v>847</v>
      </c>
      <c r="F946" s="18">
        <f t="shared" si="1"/>
        <v>16.65</v>
      </c>
      <c r="G946" s="17" t="str">
        <f>Github!H$1056</f>
        <v>Algorithms</v>
      </c>
      <c r="H946" s="19" t="str">
        <f>SUBSTITUTE(Github!L$1056, ";", ", ")</f>
        <v>String, Dynamic Programming, Greedy, </v>
      </c>
      <c r="I946" s="17" t="str">
        <f>Github!E$1056</f>
        <v>Medium</v>
      </c>
      <c r="J946" s="17" t="str">
        <f>IF(TRIM(Github!D$1056)="TRUE","FALSE","TRUE")</f>
        <v>FALSE</v>
      </c>
      <c r="K946" s="17" t="b">
        <f>Github!M$1056</f>
        <v>0</v>
      </c>
      <c r="L946" s="17" t="b">
        <f>Github!N$1056</f>
        <v>0</v>
      </c>
      <c r="M946" s="17" t="str">
        <f>ROUND(Github!O$1056, 2)&amp;"%"</f>
        <v>58.17%</v>
      </c>
      <c r="N946" s="17">
        <f>Github!P$1056</f>
        <v>55741</v>
      </c>
      <c r="O946" s="17">
        <f>Github!Q$1056</f>
        <v>95819</v>
      </c>
    </row>
    <row r="947" ht="18.0" customHeight="1">
      <c r="A947" s="17">
        <f>Github!J$245</f>
        <v>244</v>
      </c>
      <c r="B947" s="27" t="str">
        <f>HYPERLINK(CONCAT("http://leetcode.com/problems/",Github!C$245), Github!B$245)</f>
        <v>Shortest Word Distance II</v>
      </c>
      <c r="C947" s="17">
        <f>Github!F$245</f>
        <v>797</v>
      </c>
      <c r="D947" s="17">
        <f>Github!G$245</f>
        <v>242</v>
      </c>
      <c r="E947" s="17">
        <f>Github!F$245+Github!G$245</f>
        <v>1039</v>
      </c>
      <c r="F947" s="18">
        <f t="shared" si="1"/>
        <v>3.29</v>
      </c>
      <c r="G947" s="17" t="str">
        <f>Github!H$245</f>
        <v>Algorithms</v>
      </c>
      <c r="H947" s="19" t="str">
        <f>SUBSTITUTE(Github!L$245, ";", ", ")</f>
        <v>Array, Hash Table, Two Pointers, String, Design, </v>
      </c>
      <c r="I947" s="17" t="str">
        <f>Github!E$245</f>
        <v>Medium</v>
      </c>
      <c r="J947" s="17" t="str">
        <f>IF(TRIM(Github!D$245)="TRUE","FALSE","TRUE")</f>
        <v>FALSE</v>
      </c>
      <c r="K947" s="17" t="b">
        <f>Github!M$245</f>
        <v>1</v>
      </c>
      <c r="L947" s="17" t="b">
        <f>Github!N$245</f>
        <v>0</v>
      </c>
      <c r="M947" s="17" t="str">
        <f>ROUND(Github!O$245, 2)&amp;"%"</f>
        <v>58.98%</v>
      </c>
      <c r="N947" s="17">
        <f>Github!P$245</f>
        <v>120140</v>
      </c>
      <c r="O947" s="17">
        <f>Github!Q$245</f>
        <v>203684</v>
      </c>
    </row>
    <row r="948" ht="18.0" customHeight="1">
      <c r="A948" s="17">
        <f>Github!J$1835</f>
        <v>1834</v>
      </c>
      <c r="B948" s="27" t="str">
        <f>HYPERLINK(CONCAT("http://leetcode.com/problems/",Github!C$1835), Github!B$1835)</f>
        <v>Single-Threaded CPU</v>
      </c>
      <c r="C948" s="17">
        <f>Github!F$1835</f>
        <v>800</v>
      </c>
      <c r="D948" s="17">
        <f>Github!G$1835</f>
        <v>100</v>
      </c>
      <c r="E948" s="17">
        <f>Github!F$1835+Github!G$1835</f>
        <v>900</v>
      </c>
      <c r="F948" s="18">
        <f t="shared" si="1"/>
        <v>8</v>
      </c>
      <c r="G948" s="17" t="str">
        <f>Github!H$1835</f>
        <v>Algorithms</v>
      </c>
      <c r="H948" s="19" t="str">
        <f>SUBSTITUTE(Github!L$1835, ";", ", ")</f>
        <v>Array, Sorting, Heap (Priority Queue), </v>
      </c>
      <c r="I948" s="17" t="str">
        <f>Github!E$1835</f>
        <v>Medium</v>
      </c>
      <c r="J948" s="17" t="str">
        <f>IF(TRIM(Github!D$1835)="TRUE","FALSE","TRUE")</f>
        <v>TRUE</v>
      </c>
      <c r="K948" s="17" t="b">
        <f>Github!M$1835</f>
        <v>0</v>
      </c>
      <c r="L948" s="17" t="b">
        <f>Github!N$1835</f>
        <v>0</v>
      </c>
      <c r="M948" s="17" t="str">
        <f>ROUND(Github!O$1835, 2)&amp;"%"</f>
        <v>40.47%</v>
      </c>
      <c r="N948" s="17">
        <f>Github!P$1835</f>
        <v>30670</v>
      </c>
      <c r="O948" s="17">
        <f>Github!Q$1835</f>
        <v>75776</v>
      </c>
    </row>
    <row r="949" ht="18.0" customHeight="1">
      <c r="A949" s="17">
        <f>Github!J$610</f>
        <v>609</v>
      </c>
      <c r="B949" s="27" t="str">
        <f>HYPERLINK(CONCAT("http://leetcode.com/problems/",Github!C$610), Github!B$610)</f>
        <v>Find Duplicate File in System</v>
      </c>
      <c r="C949" s="17">
        <f>Github!F$610</f>
        <v>794</v>
      </c>
      <c r="D949" s="17">
        <f>Github!G$610</f>
        <v>908</v>
      </c>
      <c r="E949" s="17">
        <f>Github!F$610+Github!G$610</f>
        <v>1702</v>
      </c>
      <c r="F949" s="18">
        <f t="shared" si="1"/>
        <v>0.87</v>
      </c>
      <c r="G949" s="17" t="str">
        <f>Github!H$610</f>
        <v>Algorithms</v>
      </c>
      <c r="H949" s="19" t="str">
        <f>SUBSTITUTE(Github!L$610, ";", ", ")</f>
        <v>Array, Hash Table, String, </v>
      </c>
      <c r="I949" s="17" t="str">
        <f>Github!E$610</f>
        <v>Medium</v>
      </c>
      <c r="J949" s="17" t="str">
        <f>IF(TRIM(Github!D$610)="TRUE","FALSE","TRUE")</f>
        <v>TRUE</v>
      </c>
      <c r="K949" s="17" t="b">
        <f>Github!M$610</f>
        <v>1</v>
      </c>
      <c r="L949" s="17" t="b">
        <f>Github!N$610</f>
        <v>0</v>
      </c>
      <c r="M949" s="17" t="str">
        <f>ROUND(Github!O$610, 2)&amp;"%"</f>
        <v>63.7%</v>
      </c>
      <c r="N949" s="17">
        <f>Github!P$610</f>
        <v>93650</v>
      </c>
      <c r="O949" s="17">
        <f>Github!Q$610</f>
        <v>147014</v>
      </c>
    </row>
    <row r="950" ht="18.0" customHeight="1">
      <c r="A950" s="17">
        <f>Github!J$1043</f>
        <v>1042</v>
      </c>
      <c r="B950" s="27" t="str">
        <f>HYPERLINK(CONCAT("http://leetcode.com/problems/",Github!C$1043), Github!B$1043)</f>
        <v>Flower Planting With No Adjacent</v>
      </c>
      <c r="C950" s="17">
        <f>Github!F$1043</f>
        <v>793</v>
      </c>
      <c r="D950" s="17">
        <f>Github!G$1043</f>
        <v>647</v>
      </c>
      <c r="E950" s="17">
        <f>Github!F$1043+Github!G$1043</f>
        <v>1440</v>
      </c>
      <c r="F950" s="18">
        <f t="shared" si="1"/>
        <v>1.23</v>
      </c>
      <c r="G950" s="17" t="str">
        <f>Github!H$1043</f>
        <v>Algorithms</v>
      </c>
      <c r="H950" s="19" t="str">
        <f>SUBSTITUTE(Github!L$1043, ";", ", ")</f>
        <v>Depth-First Search, Breadth-First Search, Graph, </v>
      </c>
      <c r="I950" s="17" t="str">
        <f>Github!E$1043</f>
        <v>Medium</v>
      </c>
      <c r="J950" s="17" t="str">
        <f>IF(TRIM(Github!D$1043)="TRUE","FALSE","TRUE")</f>
        <v>TRUE</v>
      </c>
      <c r="K950" s="17" t="b">
        <f>Github!M$1043</f>
        <v>0</v>
      </c>
      <c r="L950" s="17" t="b">
        <f>Github!N$1043</f>
        <v>0</v>
      </c>
      <c r="M950" s="17" t="str">
        <f>ROUND(Github!O$1043, 2)&amp;"%"</f>
        <v>49.76%</v>
      </c>
      <c r="N950" s="17">
        <f>Github!P$1043</f>
        <v>53093</v>
      </c>
      <c r="O950" s="17">
        <f>Github!Q$1043</f>
        <v>106697</v>
      </c>
    </row>
    <row r="951" ht="18.0" customHeight="1">
      <c r="A951" s="17">
        <f>Github!J$665</f>
        <v>664</v>
      </c>
      <c r="B951" s="27" t="str">
        <f>HYPERLINK(CONCAT("http://leetcode.com/problems/",Github!C$665), Github!B$665)</f>
        <v>Strange Printer</v>
      </c>
      <c r="C951" s="17">
        <f>Github!F$665</f>
        <v>792</v>
      </c>
      <c r="D951" s="17">
        <f>Github!G$665</f>
        <v>73</v>
      </c>
      <c r="E951" s="17">
        <f>Github!F$665+Github!G$665</f>
        <v>865</v>
      </c>
      <c r="F951" s="18">
        <f t="shared" si="1"/>
        <v>10.85</v>
      </c>
      <c r="G951" s="17" t="str">
        <f>Github!H$665</f>
        <v>Algorithms</v>
      </c>
      <c r="H951" s="19" t="str">
        <f>SUBSTITUTE(Github!L$665, ";", ", ")</f>
        <v>String, Dynamic Programming, </v>
      </c>
      <c r="I951" s="17" t="str">
        <f>Github!E$665</f>
        <v>Hard</v>
      </c>
      <c r="J951" s="17" t="str">
        <f>IF(TRIM(Github!D$665)="TRUE","FALSE","TRUE")</f>
        <v>TRUE</v>
      </c>
      <c r="K951" s="17" t="b">
        <f>Github!M$665</f>
        <v>0</v>
      </c>
      <c r="L951" s="17" t="b">
        <f>Github!N$665</f>
        <v>0</v>
      </c>
      <c r="M951" s="17" t="str">
        <f>ROUND(Github!O$665, 2)&amp;"%"</f>
        <v>45.41%</v>
      </c>
      <c r="N951" s="17">
        <f>Github!P$665</f>
        <v>25193</v>
      </c>
      <c r="O951" s="17">
        <f>Github!Q$665</f>
        <v>55480</v>
      </c>
    </row>
    <row r="952" ht="18.0" customHeight="1">
      <c r="A952" s="17">
        <f>Github!J$159</f>
        <v>158</v>
      </c>
      <c r="B952" s="27" t="str">
        <f>HYPERLINK(CONCAT("http://leetcode.com/problems/",Github!C$159), Github!B$159)</f>
        <v>Read N Characters Given read4 II - Call Multiple Times</v>
      </c>
      <c r="C952" s="17">
        <f>Github!F$159</f>
        <v>791</v>
      </c>
      <c r="D952" s="17">
        <f>Github!G$159</f>
        <v>1615</v>
      </c>
      <c r="E952" s="17">
        <f>Github!F$159+Github!G$159</f>
        <v>2406</v>
      </c>
      <c r="F952" s="18">
        <f t="shared" si="1"/>
        <v>0.49</v>
      </c>
      <c r="G952" s="17" t="str">
        <f>Github!H$159</f>
        <v>Algorithms</v>
      </c>
      <c r="H952" s="19" t="str">
        <f>SUBSTITUTE(Github!L$159, ";", ", ")</f>
        <v>String, Simulation, Interactive, </v>
      </c>
      <c r="I952" s="17" t="str">
        <f>Github!E$159</f>
        <v>Hard</v>
      </c>
      <c r="J952" s="17" t="str">
        <f>IF(TRIM(Github!D$159)="TRUE","FALSE","TRUE")</f>
        <v>FALSE</v>
      </c>
      <c r="K952" s="17" t="b">
        <f>Github!M$159</f>
        <v>0</v>
      </c>
      <c r="L952" s="17" t="b">
        <f>Github!N$159</f>
        <v>0</v>
      </c>
      <c r="M952" s="17" t="str">
        <f>ROUND(Github!O$159, 2)&amp;"%"</f>
        <v>40.57%</v>
      </c>
      <c r="N952" s="17">
        <f>Github!P$159</f>
        <v>161907</v>
      </c>
      <c r="O952" s="17">
        <f>Github!Q$159</f>
        <v>399066</v>
      </c>
    </row>
    <row r="953" ht="18.0" customHeight="1">
      <c r="A953" s="17">
        <f>Github!J$1388</f>
        <v>1387</v>
      </c>
      <c r="B953" s="27" t="str">
        <f>HYPERLINK(CONCAT("http://leetcode.com/problems/",Github!C$1388), Github!B$1388)</f>
        <v>Sort Integers by The Power Value</v>
      </c>
      <c r="C953" s="17">
        <f>Github!F$1388</f>
        <v>791</v>
      </c>
      <c r="D953" s="17">
        <f>Github!G$1388</f>
        <v>89</v>
      </c>
      <c r="E953" s="17">
        <f>Github!F$1388+Github!G$1388</f>
        <v>880</v>
      </c>
      <c r="F953" s="18">
        <f t="shared" si="1"/>
        <v>8.89</v>
      </c>
      <c r="G953" s="17" t="str">
        <f>Github!H$1388</f>
        <v>Algorithms</v>
      </c>
      <c r="H953" s="19" t="str">
        <f>SUBSTITUTE(Github!L$1388, ";", ", ")</f>
        <v>Dynamic Programming, Memoization, Sorting, </v>
      </c>
      <c r="I953" s="17" t="str">
        <f>Github!E$1388</f>
        <v>Medium</v>
      </c>
      <c r="J953" s="17" t="str">
        <f>IF(TRIM(Github!D$1388)="TRUE","FALSE","TRUE")</f>
        <v>TRUE</v>
      </c>
      <c r="K953" s="17" t="b">
        <f>Github!M$1388</f>
        <v>0</v>
      </c>
      <c r="L953" s="17" t="b">
        <f>Github!N$1388</f>
        <v>0</v>
      </c>
      <c r="M953" s="17" t="str">
        <f>ROUND(Github!O$1388, 2)&amp;"%"</f>
        <v>70.06%</v>
      </c>
      <c r="N953" s="17">
        <f>Github!P$1388</f>
        <v>50161</v>
      </c>
      <c r="O953" s="17">
        <f>Github!Q$1388</f>
        <v>71594</v>
      </c>
    </row>
    <row r="954" ht="18.0" customHeight="1">
      <c r="A954" s="17">
        <f>Github!J$1696</f>
        <v>1695</v>
      </c>
      <c r="B954" s="27" t="str">
        <f>HYPERLINK(CONCAT("http://leetcode.com/problems/",Github!C$1696), Github!B$1696)</f>
        <v>Maximum Erasure Value</v>
      </c>
      <c r="C954" s="17">
        <f>Github!F$1696</f>
        <v>791</v>
      </c>
      <c r="D954" s="17">
        <f>Github!G$1696</f>
        <v>13</v>
      </c>
      <c r="E954" s="17">
        <f>Github!F$1696+Github!G$1696</f>
        <v>804</v>
      </c>
      <c r="F954" s="18">
        <f t="shared" si="1"/>
        <v>60.85</v>
      </c>
      <c r="G954" s="17" t="str">
        <f>Github!H$1696</f>
        <v>Algorithms</v>
      </c>
      <c r="H954" s="19" t="str">
        <f>SUBSTITUTE(Github!L$1696, ";", ", ")</f>
        <v>Array, Hash Table, Sliding Window, </v>
      </c>
      <c r="I954" s="17" t="str">
        <f>Github!E$1696</f>
        <v>Medium</v>
      </c>
      <c r="J954" s="17" t="str">
        <f>IF(TRIM(Github!D$1696)="TRUE","FALSE","TRUE")</f>
        <v>TRUE</v>
      </c>
      <c r="K954" s="17" t="b">
        <f>Github!M$1696</f>
        <v>1</v>
      </c>
      <c r="L954" s="17" t="b">
        <f>Github!N$1696</f>
        <v>0</v>
      </c>
      <c r="M954" s="17" t="str">
        <f>ROUND(Github!O$1696, 2)&amp;"%"</f>
        <v>52.35%</v>
      </c>
      <c r="N954" s="17">
        <f>Github!P$1696</f>
        <v>39862</v>
      </c>
      <c r="O954" s="17">
        <f>Github!Q$1696</f>
        <v>76151</v>
      </c>
    </row>
    <row r="955" ht="18.0" customHeight="1">
      <c r="A955" s="17">
        <f>Github!J$628</f>
        <v>627</v>
      </c>
      <c r="B955" s="27" t="str">
        <f>HYPERLINK(CONCAT("http://leetcode.com/problems/",Github!C$628), Github!B$628)</f>
        <v>Swap Salary</v>
      </c>
      <c r="C955" s="17">
        <f>Github!F$628</f>
        <v>790</v>
      </c>
      <c r="D955" s="17">
        <f>Github!G$628</f>
        <v>397</v>
      </c>
      <c r="E955" s="17">
        <f>Github!F$628+Github!G$628</f>
        <v>1187</v>
      </c>
      <c r="F955" s="18">
        <f t="shared" si="1"/>
        <v>1.99</v>
      </c>
      <c r="G955" s="17" t="str">
        <f>Github!H$628</f>
        <v>Database</v>
      </c>
      <c r="H955" s="19" t="str">
        <f>SUBSTITUTE(Github!L$628, ";", ", ")</f>
        <v>Database, </v>
      </c>
      <c r="I955" s="17" t="str">
        <f>Github!E$628</f>
        <v>Easy</v>
      </c>
      <c r="J955" s="17" t="str">
        <f>IF(TRIM(Github!D$628)="TRUE","FALSE","TRUE")</f>
        <v>TRUE</v>
      </c>
      <c r="K955" s="17" t="b">
        <f>Github!M$628</f>
        <v>1</v>
      </c>
      <c r="L955" s="17" t="b">
        <f>Github!N$628</f>
        <v>0</v>
      </c>
      <c r="M955" s="17" t="str">
        <f>ROUND(Github!O$628, 2)&amp;"%"</f>
        <v>79.88%</v>
      </c>
      <c r="N955" s="17">
        <f>Github!P$628</f>
        <v>178060</v>
      </c>
      <c r="O955" s="17">
        <f>Github!Q$628</f>
        <v>222920</v>
      </c>
    </row>
    <row r="956" ht="18.0" customHeight="1">
      <c r="A956" s="17">
        <f>Github!J$933</f>
        <v>932</v>
      </c>
      <c r="B956" s="27" t="str">
        <f>HYPERLINK(CONCAT("http://leetcode.com/problems/",Github!C$933), Github!B$933)</f>
        <v>Beautiful Array</v>
      </c>
      <c r="C956" s="17">
        <f>Github!F$933</f>
        <v>790</v>
      </c>
      <c r="D956" s="17">
        <f>Github!G$933</f>
        <v>1178</v>
      </c>
      <c r="E956" s="17">
        <f>Github!F$933+Github!G$933</f>
        <v>1968</v>
      </c>
      <c r="F956" s="18">
        <f t="shared" si="1"/>
        <v>0.67</v>
      </c>
      <c r="G956" s="17" t="str">
        <f>Github!H$933</f>
        <v>Algorithms</v>
      </c>
      <c r="H956" s="19" t="str">
        <f>SUBSTITUTE(Github!L$933, ";", ", ")</f>
        <v>Array, Math, Divide and Conquer, </v>
      </c>
      <c r="I956" s="17" t="str">
        <f>Github!E$933</f>
        <v>Medium</v>
      </c>
      <c r="J956" s="17" t="str">
        <f>IF(TRIM(Github!D$933)="TRUE","FALSE","TRUE")</f>
        <v>TRUE</v>
      </c>
      <c r="K956" s="17" t="b">
        <f>Github!M$933</f>
        <v>1</v>
      </c>
      <c r="L956" s="17" t="b">
        <f>Github!N$933</f>
        <v>0</v>
      </c>
      <c r="M956" s="17" t="str">
        <f>ROUND(Github!O$933, 2)&amp;"%"</f>
        <v>64.56%</v>
      </c>
      <c r="N956" s="17">
        <f>Github!P$933</f>
        <v>35248</v>
      </c>
      <c r="O956" s="17">
        <f>Github!Q$933</f>
        <v>54594</v>
      </c>
    </row>
    <row r="957" ht="18.0" customHeight="1">
      <c r="A957" s="17">
        <f>Github!J$827</f>
        <v>826</v>
      </c>
      <c r="B957" s="27" t="str">
        <f>HYPERLINK(CONCAT("http://leetcode.com/problems/",Github!C$827), Github!B$827)</f>
        <v>Most Profit Assigning Work</v>
      </c>
      <c r="C957" s="17">
        <f>Github!F$827</f>
        <v>791</v>
      </c>
      <c r="D957" s="17">
        <f>Github!G$827</f>
        <v>96</v>
      </c>
      <c r="E957" s="17">
        <f>Github!F$827+Github!G$827</f>
        <v>887</v>
      </c>
      <c r="F957" s="18">
        <f t="shared" si="1"/>
        <v>8.24</v>
      </c>
      <c r="G957" s="17" t="str">
        <f>Github!H$827</f>
        <v>Algorithms</v>
      </c>
      <c r="H957" s="19" t="str">
        <f>SUBSTITUTE(Github!L$827, ";", ", ")</f>
        <v>Array, Two Pointers, Binary Search, Greedy, Sorting, </v>
      </c>
      <c r="I957" s="17" t="str">
        <f>Github!E$827</f>
        <v>Medium</v>
      </c>
      <c r="J957" s="17" t="str">
        <f>IF(TRIM(Github!D$827)="TRUE","FALSE","TRUE")</f>
        <v>TRUE</v>
      </c>
      <c r="K957" s="17" t="b">
        <f>Github!M$827</f>
        <v>1</v>
      </c>
      <c r="L957" s="17" t="b">
        <f>Github!N$827</f>
        <v>0</v>
      </c>
      <c r="M957" s="17" t="str">
        <f>ROUND(Github!O$827, 2)&amp;"%"</f>
        <v>41.25%</v>
      </c>
      <c r="N957" s="17">
        <f>Github!P$827</f>
        <v>34025</v>
      </c>
      <c r="O957" s="17">
        <f>Github!Q$827</f>
        <v>82475</v>
      </c>
    </row>
    <row r="958" ht="18.0" customHeight="1">
      <c r="A958" s="17">
        <f>Github!J$272</f>
        <v>271</v>
      </c>
      <c r="B958" s="27" t="str">
        <f>HYPERLINK(CONCAT("http://leetcode.com/problems/",Github!C$272), Github!B$272)</f>
        <v>Encode and Decode Strings</v>
      </c>
      <c r="C958" s="17">
        <f>Github!F$272</f>
        <v>786</v>
      </c>
      <c r="D958" s="17">
        <f>Github!G$272</f>
        <v>219</v>
      </c>
      <c r="E958" s="17">
        <f>Github!F$272+Github!G$272</f>
        <v>1005</v>
      </c>
      <c r="F958" s="18">
        <f t="shared" si="1"/>
        <v>3.59</v>
      </c>
      <c r="G958" s="17" t="str">
        <f>Github!H$272</f>
        <v>Algorithms</v>
      </c>
      <c r="H958" s="19" t="str">
        <f>SUBSTITUTE(Github!L$272, ";", ", ")</f>
        <v>Array, String, Design, </v>
      </c>
      <c r="I958" s="17" t="str">
        <f>Github!E$272</f>
        <v>Medium</v>
      </c>
      <c r="J958" s="17" t="str">
        <f>IF(TRIM(Github!D$272)="TRUE","FALSE","TRUE")</f>
        <v>FALSE</v>
      </c>
      <c r="K958" s="17" t="b">
        <f>Github!M$272</f>
        <v>1</v>
      </c>
      <c r="L958" s="17" t="b">
        <f>Github!N$272</f>
        <v>0</v>
      </c>
      <c r="M958" s="17" t="str">
        <f>ROUND(Github!O$272, 2)&amp;"%"</f>
        <v>37.09%</v>
      </c>
      <c r="N958" s="17">
        <f>Github!P$272</f>
        <v>89631</v>
      </c>
      <c r="O958" s="17">
        <f>Github!Q$272</f>
        <v>241660</v>
      </c>
    </row>
    <row r="959" ht="18.0" customHeight="1">
      <c r="A959" s="17">
        <f>Github!J$1651</f>
        <v>1650</v>
      </c>
      <c r="B959" s="27" t="str">
        <f>HYPERLINK(CONCAT("http://leetcode.com/problems/",Github!C$1651), Github!B$1651)</f>
        <v>Lowest Common Ancestor of a Binary Tree III</v>
      </c>
      <c r="C959" s="17">
        <f>Github!F$1651</f>
        <v>787</v>
      </c>
      <c r="D959" s="17">
        <f>Github!G$1651</f>
        <v>24</v>
      </c>
      <c r="E959" s="17">
        <f>Github!F$1651+Github!G$1651</f>
        <v>811</v>
      </c>
      <c r="F959" s="18">
        <f t="shared" si="1"/>
        <v>32.79</v>
      </c>
      <c r="G959" s="17" t="str">
        <f>Github!H$1651</f>
        <v>Algorithms</v>
      </c>
      <c r="H959" s="19" t="str">
        <f>SUBSTITUTE(Github!L$1651, ";", ", ")</f>
        <v>Hash Table, Tree, Binary Tree, </v>
      </c>
      <c r="I959" s="17" t="str">
        <f>Github!E$1651</f>
        <v>Medium</v>
      </c>
      <c r="J959" s="17" t="str">
        <f>IF(TRIM(Github!D$1651)="TRUE","FALSE","TRUE")</f>
        <v>FALSE</v>
      </c>
      <c r="K959" s="17" t="b">
        <f>Github!M$1651</f>
        <v>0</v>
      </c>
      <c r="L959" s="17" t="b">
        <f>Github!N$1651</f>
        <v>0</v>
      </c>
      <c r="M959" s="17" t="str">
        <f>ROUND(Github!O$1651, 2)&amp;"%"</f>
        <v>77.45%</v>
      </c>
      <c r="N959" s="17">
        <f>Github!P$1651</f>
        <v>102985</v>
      </c>
      <c r="O959" s="17">
        <f>Github!Q$1651</f>
        <v>132973</v>
      </c>
    </row>
    <row r="960" ht="18.0" customHeight="1">
      <c r="A960" s="17">
        <f>Github!J$855</f>
        <v>854</v>
      </c>
      <c r="B960" s="27" t="str">
        <f>HYPERLINK(CONCAT("http://leetcode.com/problems/",Github!C$855), Github!B$855)</f>
        <v>K-Similar Strings</v>
      </c>
      <c r="C960" s="17">
        <f>Github!F$855</f>
        <v>785</v>
      </c>
      <c r="D960" s="17">
        <f>Github!G$855</f>
        <v>47</v>
      </c>
      <c r="E960" s="17">
        <f>Github!F$855+Github!G$855</f>
        <v>832</v>
      </c>
      <c r="F960" s="18">
        <f t="shared" si="1"/>
        <v>16.7</v>
      </c>
      <c r="G960" s="17" t="str">
        <f>Github!H$855</f>
        <v>Algorithms</v>
      </c>
      <c r="H960" s="19" t="str">
        <f>SUBSTITUTE(Github!L$855, ";", ", ")</f>
        <v>String, Breadth-First Search, </v>
      </c>
      <c r="I960" s="17" t="str">
        <f>Github!E$855</f>
        <v>Hard</v>
      </c>
      <c r="J960" s="17" t="str">
        <f>IF(TRIM(Github!D$855)="TRUE","FALSE","TRUE")</f>
        <v>TRUE</v>
      </c>
      <c r="K960" s="17" t="b">
        <f>Github!M$855</f>
        <v>0</v>
      </c>
      <c r="L960" s="17" t="b">
        <f>Github!N$855</f>
        <v>0</v>
      </c>
      <c r="M960" s="17" t="str">
        <f>ROUND(Github!O$855, 2)&amp;"%"</f>
        <v>39.19%</v>
      </c>
      <c r="N960" s="17">
        <f>Github!P$855</f>
        <v>31027</v>
      </c>
      <c r="O960" s="17">
        <f>Github!Q$855</f>
        <v>79174</v>
      </c>
    </row>
    <row r="961" ht="18.0" customHeight="1">
      <c r="A961" s="17">
        <f>Github!J$1154</f>
        <v>1153</v>
      </c>
      <c r="B961" s="27" t="str">
        <f>HYPERLINK(CONCAT("http://leetcode.com/problems/",Github!C$1154), Github!B$1154)</f>
        <v>String Transforms Into Another String</v>
      </c>
      <c r="C961" s="17">
        <f>Github!F$1154</f>
        <v>785</v>
      </c>
      <c r="D961" s="17">
        <f>Github!G$1154</f>
        <v>297</v>
      </c>
      <c r="E961" s="17">
        <f>Github!F$1154+Github!G$1154</f>
        <v>1082</v>
      </c>
      <c r="F961" s="18">
        <f t="shared" si="1"/>
        <v>2.64</v>
      </c>
      <c r="G961" s="17" t="str">
        <f>Github!H$1154</f>
        <v>Algorithms</v>
      </c>
      <c r="H961" s="19" t="str">
        <f>SUBSTITUTE(Github!L$1154, ";", ", ")</f>
        <v>Hash Table, String, </v>
      </c>
      <c r="I961" s="17" t="str">
        <f>Github!E$1154</f>
        <v>Hard</v>
      </c>
      <c r="J961" s="17" t="str">
        <f>IF(TRIM(Github!D$1154)="TRUE","FALSE","TRUE")</f>
        <v>FALSE</v>
      </c>
      <c r="K961" s="17" t="b">
        <f>Github!M$1154</f>
        <v>1</v>
      </c>
      <c r="L961" s="17" t="b">
        <f>Github!N$1154</f>
        <v>0</v>
      </c>
      <c r="M961" s="17" t="str">
        <f>ROUND(Github!O$1154, 2)&amp;"%"</f>
        <v>35.52%</v>
      </c>
      <c r="N961" s="17">
        <f>Github!P$1154</f>
        <v>46392</v>
      </c>
      <c r="O961" s="17">
        <f>Github!Q$1154</f>
        <v>130611</v>
      </c>
    </row>
    <row r="962" ht="18.0" customHeight="1">
      <c r="A962" s="17">
        <f>Github!J$1276</f>
        <v>1275</v>
      </c>
      <c r="B962" s="27" t="str">
        <f>HYPERLINK(CONCAT("http://leetcode.com/problems/",Github!C$1276), Github!B$1276)</f>
        <v>Find Winner on a Tic Tac Toe Game</v>
      </c>
      <c r="C962" s="17">
        <f>Github!F$1276</f>
        <v>784</v>
      </c>
      <c r="D962" s="17">
        <f>Github!G$1276</f>
        <v>202</v>
      </c>
      <c r="E962" s="17">
        <f>Github!F$1276+Github!G$1276</f>
        <v>986</v>
      </c>
      <c r="F962" s="18">
        <f t="shared" si="1"/>
        <v>3.88</v>
      </c>
      <c r="G962" s="17" t="str">
        <f>Github!H$1276</f>
        <v>Algorithms</v>
      </c>
      <c r="H962" s="19" t="str">
        <f>SUBSTITUTE(Github!L$1276, ";", ", ")</f>
        <v>Array, Hash Table, Matrix, Simulation, </v>
      </c>
      <c r="I962" s="17" t="str">
        <f>Github!E$1276</f>
        <v>Easy</v>
      </c>
      <c r="J962" s="17" t="str">
        <f>IF(TRIM(Github!D$1276)="TRUE","FALSE","TRUE")</f>
        <v>TRUE</v>
      </c>
      <c r="K962" s="17" t="b">
        <f>Github!M$1276</f>
        <v>1</v>
      </c>
      <c r="L962" s="17" t="b">
        <f>Github!N$1276</f>
        <v>0</v>
      </c>
      <c r="M962" s="17" t="str">
        <f>ROUND(Github!O$1276, 2)&amp;"%"</f>
        <v>55.05%</v>
      </c>
      <c r="N962" s="17">
        <f>Github!P$1276</f>
        <v>67419</v>
      </c>
      <c r="O962" s="17">
        <f>Github!Q$1276</f>
        <v>122461</v>
      </c>
    </row>
    <row r="963" ht="18.0" customHeight="1">
      <c r="A963" s="17">
        <f>Github!J$1058</f>
        <v>1057</v>
      </c>
      <c r="B963" s="27" t="str">
        <f>HYPERLINK(CONCAT("http://leetcode.com/problems/",Github!C$1058), Github!B$1058)</f>
        <v>Campus Bikes</v>
      </c>
      <c r="C963" s="17">
        <f>Github!F$1058</f>
        <v>783</v>
      </c>
      <c r="D963" s="17">
        <f>Github!G$1058</f>
        <v>141</v>
      </c>
      <c r="E963" s="17">
        <f>Github!F$1058+Github!G$1058</f>
        <v>924</v>
      </c>
      <c r="F963" s="18">
        <f t="shared" si="1"/>
        <v>5.55</v>
      </c>
      <c r="G963" s="17" t="str">
        <f>Github!H$1058</f>
        <v>Algorithms</v>
      </c>
      <c r="H963" s="19" t="str">
        <f>SUBSTITUTE(Github!L$1058, ";", ", ")</f>
        <v>Array, Greedy, Sorting, </v>
      </c>
      <c r="I963" s="17" t="str">
        <f>Github!E$1058</f>
        <v>Medium</v>
      </c>
      <c r="J963" s="17" t="str">
        <f>IF(TRIM(Github!D$1058)="TRUE","FALSE","TRUE")</f>
        <v>FALSE</v>
      </c>
      <c r="K963" s="17" t="b">
        <f>Github!M$1058</f>
        <v>1</v>
      </c>
      <c r="L963" s="17" t="b">
        <f>Github!N$1058</f>
        <v>0</v>
      </c>
      <c r="M963" s="17" t="str">
        <f>ROUND(Github!O$1058, 2)&amp;"%"</f>
        <v>57.79%</v>
      </c>
      <c r="N963" s="17">
        <f>Github!P$1058</f>
        <v>56125</v>
      </c>
      <c r="O963" s="17">
        <f>Github!Q$1058</f>
        <v>97114</v>
      </c>
    </row>
    <row r="964" ht="18.0" customHeight="1">
      <c r="A964" s="17">
        <f>Github!J$397</f>
        <v>396</v>
      </c>
      <c r="B964" s="27" t="str">
        <f>HYPERLINK(CONCAT("http://leetcode.com/problems/",Github!C$397), Github!B$397)</f>
        <v>Rotate Function</v>
      </c>
      <c r="C964" s="17">
        <f>Github!F$397</f>
        <v>783</v>
      </c>
      <c r="D964" s="17">
        <f>Github!G$397</f>
        <v>206</v>
      </c>
      <c r="E964" s="17">
        <f>Github!F$397+Github!G$397</f>
        <v>989</v>
      </c>
      <c r="F964" s="18">
        <f t="shared" si="1"/>
        <v>3.8</v>
      </c>
      <c r="G964" s="17" t="str">
        <f>Github!H$397</f>
        <v>Algorithms</v>
      </c>
      <c r="H964" s="19" t="str">
        <f>SUBSTITUTE(Github!L$397, ";", ", ")</f>
        <v>Math, Dynamic Programming, </v>
      </c>
      <c r="I964" s="17" t="str">
        <f>Github!E$397</f>
        <v>Medium</v>
      </c>
      <c r="J964" s="17" t="str">
        <f>IF(TRIM(Github!D$397)="TRUE","FALSE","TRUE")</f>
        <v>TRUE</v>
      </c>
      <c r="K964" s="17" t="b">
        <f>Github!M$397</f>
        <v>0</v>
      </c>
      <c r="L964" s="17" t="b">
        <f>Github!N$397</f>
        <v>0</v>
      </c>
      <c r="M964" s="17" t="str">
        <f>ROUND(Github!O$397, 2)&amp;"%"</f>
        <v>38.95%</v>
      </c>
      <c r="N964" s="17">
        <f>Github!P$397</f>
        <v>59360</v>
      </c>
      <c r="O964" s="17">
        <f>Github!Q$397</f>
        <v>152404</v>
      </c>
    </row>
    <row r="965" ht="18.0" customHeight="1">
      <c r="A965" s="17">
        <f>Github!J$806</f>
        <v>805</v>
      </c>
      <c r="B965" s="27" t="str">
        <f>HYPERLINK(CONCAT("http://leetcode.com/problems/",Github!C$806), Github!B$806)</f>
        <v>Split Array With Same Average</v>
      </c>
      <c r="C965" s="17">
        <f>Github!F$806</f>
        <v>784</v>
      </c>
      <c r="D965" s="17">
        <f>Github!G$806</f>
        <v>113</v>
      </c>
      <c r="E965" s="17">
        <f>Github!F$806+Github!G$806</f>
        <v>897</v>
      </c>
      <c r="F965" s="18">
        <f t="shared" si="1"/>
        <v>6.94</v>
      </c>
      <c r="G965" s="17" t="str">
        <f>Github!H$806</f>
        <v>Algorithms</v>
      </c>
      <c r="H965" s="19" t="str">
        <f>SUBSTITUTE(Github!L$806, ";", ", ")</f>
        <v>Array, Math, Dynamic Programming, Bit Manipulation, Bitmask, </v>
      </c>
      <c r="I965" s="17" t="str">
        <f>Github!E$806</f>
        <v>Hard</v>
      </c>
      <c r="J965" s="17" t="str">
        <f>IF(TRIM(Github!D$806)="TRUE","FALSE","TRUE")</f>
        <v>TRUE</v>
      </c>
      <c r="K965" s="17" t="b">
        <f>Github!M$806</f>
        <v>0</v>
      </c>
      <c r="L965" s="17" t="b">
        <f>Github!N$806</f>
        <v>0</v>
      </c>
      <c r="M965" s="17" t="str">
        <f>ROUND(Github!O$806, 2)&amp;"%"</f>
        <v>26.55%</v>
      </c>
      <c r="N965" s="17">
        <f>Github!P$806</f>
        <v>24781</v>
      </c>
      <c r="O965" s="17">
        <f>Github!Q$806</f>
        <v>93345</v>
      </c>
    </row>
    <row r="966" ht="18.0" customHeight="1">
      <c r="A966" s="17">
        <f>Github!J$1425</f>
        <v>1424</v>
      </c>
      <c r="B966" s="27" t="str">
        <f>HYPERLINK(CONCAT("http://leetcode.com/problems/",Github!C$1425), Github!B$1425)</f>
        <v>Diagonal Traverse II</v>
      </c>
      <c r="C966" s="17">
        <f>Github!F$1425</f>
        <v>780</v>
      </c>
      <c r="D966" s="17">
        <f>Github!G$1425</f>
        <v>74</v>
      </c>
      <c r="E966" s="17">
        <f>Github!F$1425+Github!G$1425</f>
        <v>854</v>
      </c>
      <c r="F966" s="18">
        <f t="shared" si="1"/>
        <v>10.54</v>
      </c>
      <c r="G966" s="17" t="str">
        <f>Github!H$1425</f>
        <v>Algorithms</v>
      </c>
      <c r="H966" s="19" t="str">
        <f>SUBSTITUTE(Github!L$1425, ";", ", ")</f>
        <v>Array, Sorting, Heap (Priority Queue), </v>
      </c>
      <c r="I966" s="17" t="str">
        <f>Github!E$1425</f>
        <v>Medium</v>
      </c>
      <c r="J966" s="17" t="str">
        <f>IF(TRIM(Github!D$1425)="TRUE","FALSE","TRUE")</f>
        <v>TRUE</v>
      </c>
      <c r="K966" s="17" t="b">
        <f>Github!M$1425</f>
        <v>0</v>
      </c>
      <c r="L966" s="17" t="b">
        <f>Github!N$1425</f>
        <v>0</v>
      </c>
      <c r="M966" s="17" t="str">
        <f>ROUND(Github!O$1425, 2)&amp;"%"</f>
        <v>49.7%</v>
      </c>
      <c r="N966" s="17">
        <f>Github!P$1425</f>
        <v>38891</v>
      </c>
      <c r="O966" s="17">
        <f>Github!Q$1425</f>
        <v>78245</v>
      </c>
    </row>
    <row r="967" ht="18.0" customHeight="1">
      <c r="A967" s="17">
        <f>Github!J$1872</f>
        <v>1871</v>
      </c>
      <c r="B967" s="27" t="str">
        <f>HYPERLINK(CONCAT("http://leetcode.com/problems/",Github!C$1872), Github!B$1872)</f>
        <v>Jump Game VII</v>
      </c>
      <c r="C967" s="17">
        <f>Github!F$1872</f>
        <v>781</v>
      </c>
      <c r="D967" s="17">
        <f>Github!G$1872</f>
        <v>45</v>
      </c>
      <c r="E967" s="17">
        <f>Github!F$1872+Github!G$1872</f>
        <v>826</v>
      </c>
      <c r="F967" s="18">
        <f t="shared" si="1"/>
        <v>17.36</v>
      </c>
      <c r="G967" s="17" t="str">
        <f>Github!H$1872</f>
        <v>Algorithms</v>
      </c>
      <c r="H967" s="19" t="str">
        <f>SUBSTITUTE(Github!L$1872, ";", ", ")</f>
        <v>Two Pointers, String, Prefix Sum, </v>
      </c>
      <c r="I967" s="17" t="str">
        <f>Github!E$1872</f>
        <v>Medium</v>
      </c>
      <c r="J967" s="17" t="str">
        <f>IF(TRIM(Github!D$1872)="TRUE","FALSE","TRUE")</f>
        <v>TRUE</v>
      </c>
      <c r="K967" s="17" t="b">
        <f>Github!M$1872</f>
        <v>0</v>
      </c>
      <c r="L967" s="17" t="b">
        <f>Github!N$1872</f>
        <v>0</v>
      </c>
      <c r="M967" s="17" t="str">
        <f>ROUND(Github!O$1872, 2)&amp;"%"</f>
        <v>24.7%</v>
      </c>
      <c r="N967" s="17">
        <f>Github!P$1872</f>
        <v>20806</v>
      </c>
      <c r="O967" s="17">
        <f>Github!Q$1872</f>
        <v>84229</v>
      </c>
    </row>
    <row r="968" ht="18.0" customHeight="1">
      <c r="A968" s="17">
        <f>Github!J$312</f>
        <v>311</v>
      </c>
      <c r="B968" s="27" t="str">
        <f>HYPERLINK(CONCAT("http://leetcode.com/problems/",Github!C$312), Github!B$312)</f>
        <v>Sparse Matrix Multiplication</v>
      </c>
      <c r="C968" s="17">
        <f>Github!F$312</f>
        <v>780</v>
      </c>
      <c r="D968" s="17">
        <f>Github!G$312</f>
        <v>278</v>
      </c>
      <c r="E968" s="17">
        <f>Github!F$312+Github!G$312</f>
        <v>1058</v>
      </c>
      <c r="F968" s="18">
        <f t="shared" si="1"/>
        <v>2.81</v>
      </c>
      <c r="G968" s="17" t="str">
        <f>Github!H$312</f>
        <v>Algorithms</v>
      </c>
      <c r="H968" s="19" t="str">
        <f>SUBSTITUTE(Github!L$312, ";", ", ")</f>
        <v>Array, Hash Table, Matrix, </v>
      </c>
      <c r="I968" s="17" t="str">
        <f>Github!E$312</f>
        <v>Medium</v>
      </c>
      <c r="J968" s="17" t="str">
        <f>IF(TRIM(Github!D$312)="TRUE","FALSE","TRUE")</f>
        <v>FALSE</v>
      </c>
      <c r="K968" s="17" t="b">
        <f>Github!M$312</f>
        <v>1</v>
      </c>
      <c r="L968" s="17" t="b">
        <f>Github!N$312</f>
        <v>0</v>
      </c>
      <c r="M968" s="17" t="str">
        <f>ROUND(Github!O$312, 2)&amp;"%"</f>
        <v>65.73%</v>
      </c>
      <c r="N968" s="17">
        <f>Github!P$312</f>
        <v>145965</v>
      </c>
      <c r="O968" s="17">
        <f>Github!Q$312</f>
        <v>222064</v>
      </c>
    </row>
    <row r="969" ht="18.0" customHeight="1">
      <c r="A969" s="17">
        <f>Github!J$1685</f>
        <v>1684</v>
      </c>
      <c r="B969" s="27" t="str">
        <f>HYPERLINK(CONCAT("http://leetcode.com/problems/",Github!C$1685), Github!B$1685)</f>
        <v>Count the Number of Consistent Strings</v>
      </c>
      <c r="C969" s="17">
        <f>Github!F$1685</f>
        <v>777</v>
      </c>
      <c r="D969" s="17">
        <f>Github!G$1685</f>
        <v>39</v>
      </c>
      <c r="E969" s="17">
        <f>Github!F$1685+Github!G$1685</f>
        <v>816</v>
      </c>
      <c r="F969" s="18">
        <f t="shared" si="1"/>
        <v>19.92</v>
      </c>
      <c r="G969" s="17" t="str">
        <f>Github!H$1685</f>
        <v>Algorithms</v>
      </c>
      <c r="H969" s="19" t="str">
        <f>SUBSTITUTE(Github!L$1685, ";", ", ")</f>
        <v>Array, Hash Table, String, Bit Manipulation, </v>
      </c>
      <c r="I969" s="17" t="str">
        <f>Github!E$1685</f>
        <v>Easy</v>
      </c>
      <c r="J969" s="17" t="str">
        <f>IF(TRIM(Github!D$1685)="TRUE","FALSE","TRUE")</f>
        <v>TRUE</v>
      </c>
      <c r="K969" s="17" t="b">
        <f>Github!M$1685</f>
        <v>0</v>
      </c>
      <c r="L969" s="17" t="b">
        <f>Github!N$1685</f>
        <v>0</v>
      </c>
      <c r="M969" s="17" t="str">
        <f>ROUND(Github!O$1685, 2)&amp;"%"</f>
        <v>81.79%</v>
      </c>
      <c r="N969" s="17">
        <f>Github!P$1685</f>
        <v>79995</v>
      </c>
      <c r="O969" s="17">
        <f>Github!Q$1685</f>
        <v>97804</v>
      </c>
    </row>
    <row r="970" ht="18.0" customHeight="1">
      <c r="A970" s="17">
        <f>Github!J$398</f>
        <v>397</v>
      </c>
      <c r="B970" s="27" t="str">
        <f>HYPERLINK(CONCAT("http://leetcode.com/problems/",Github!C$398), Github!B$398)</f>
        <v>Integer Replacement</v>
      </c>
      <c r="C970" s="17">
        <f>Github!F$398</f>
        <v>777</v>
      </c>
      <c r="D970" s="17">
        <f>Github!G$398</f>
        <v>415</v>
      </c>
      <c r="E970" s="17">
        <f>Github!F$398+Github!G$398</f>
        <v>1192</v>
      </c>
      <c r="F970" s="18">
        <f t="shared" si="1"/>
        <v>1.87</v>
      </c>
      <c r="G970" s="17" t="str">
        <f>Github!H$398</f>
        <v>Algorithms</v>
      </c>
      <c r="H970" s="19" t="str">
        <f>SUBSTITUTE(Github!L$398, ";", ", ")</f>
        <v>Dynamic Programming, Greedy, Bit Manipulation, Memoization, </v>
      </c>
      <c r="I970" s="17" t="str">
        <f>Github!E$398</f>
        <v>Medium</v>
      </c>
      <c r="J970" s="17" t="str">
        <f>IF(TRIM(Github!D$398)="TRUE","FALSE","TRUE")</f>
        <v>TRUE</v>
      </c>
      <c r="K970" s="17" t="b">
        <f>Github!M$398</f>
        <v>0</v>
      </c>
      <c r="L970" s="17" t="b">
        <f>Github!N$398</f>
        <v>0</v>
      </c>
      <c r="M970" s="17" t="str">
        <f>ROUND(Github!O$398, 2)&amp;"%"</f>
        <v>34.59%</v>
      </c>
      <c r="N970" s="17">
        <f>Github!P$398</f>
        <v>79038</v>
      </c>
      <c r="O970" s="17">
        <f>Github!Q$398</f>
        <v>228513</v>
      </c>
    </row>
    <row r="971" ht="18.0" customHeight="1">
      <c r="A971" s="17">
        <f>Github!J$804</f>
        <v>803</v>
      </c>
      <c r="B971" s="27" t="str">
        <f>HYPERLINK(CONCAT("http://leetcode.com/problems/",Github!C$804), Github!B$804)</f>
        <v>Bricks Falling When Hit</v>
      </c>
      <c r="C971" s="17">
        <f>Github!F$804</f>
        <v>771</v>
      </c>
      <c r="D971" s="17">
        <f>Github!G$804</f>
        <v>168</v>
      </c>
      <c r="E971" s="17">
        <f>Github!F$804+Github!G$804</f>
        <v>939</v>
      </c>
      <c r="F971" s="18">
        <f t="shared" si="1"/>
        <v>4.59</v>
      </c>
      <c r="G971" s="17" t="str">
        <f>Github!H$804</f>
        <v>Algorithms</v>
      </c>
      <c r="H971" s="19" t="str">
        <f>SUBSTITUTE(Github!L$804, ";", ", ")</f>
        <v>Array, Union Find, Matrix, </v>
      </c>
      <c r="I971" s="17" t="str">
        <f>Github!E$804</f>
        <v>Hard</v>
      </c>
      <c r="J971" s="17" t="str">
        <f>IF(TRIM(Github!D$804)="TRUE","FALSE","TRUE")</f>
        <v>TRUE</v>
      </c>
      <c r="K971" s="17" t="b">
        <f>Github!M$804</f>
        <v>1</v>
      </c>
      <c r="L971" s="17" t="b">
        <f>Github!N$804</f>
        <v>0</v>
      </c>
      <c r="M971" s="17" t="str">
        <f>ROUND(Github!O$804, 2)&amp;"%"</f>
        <v>33.64%</v>
      </c>
      <c r="N971" s="17">
        <f>Github!P$804</f>
        <v>24048</v>
      </c>
      <c r="O971" s="17">
        <f>Github!Q$804</f>
        <v>71479</v>
      </c>
    </row>
    <row r="972" ht="18.0" customHeight="1">
      <c r="A972" s="17">
        <f>Github!J$1972</f>
        <v>1971</v>
      </c>
      <c r="B972" s="27" t="str">
        <f>HYPERLINK(CONCAT("http://leetcode.com/problems/",Github!C$1972), Github!B$1972)</f>
        <v>Find if Path Exists in Graph</v>
      </c>
      <c r="C972" s="17">
        <f>Github!F$1972</f>
        <v>774</v>
      </c>
      <c r="D972" s="17">
        <f>Github!G$1972</f>
        <v>42</v>
      </c>
      <c r="E972" s="17">
        <f>Github!F$1972+Github!G$1972</f>
        <v>816</v>
      </c>
      <c r="F972" s="18">
        <f t="shared" si="1"/>
        <v>18.43</v>
      </c>
      <c r="G972" s="17" t="str">
        <f>Github!H$1972</f>
        <v>Algorithms</v>
      </c>
      <c r="H972" s="19" t="str">
        <f>SUBSTITUTE(Github!L$1972, ";", ", ")</f>
        <v>Depth-First Search, Breadth-First Search, Graph, </v>
      </c>
      <c r="I972" s="17" t="str">
        <f>Github!E$1972</f>
        <v>Easy</v>
      </c>
      <c r="J972" s="17" t="str">
        <f>IF(TRIM(Github!D$1972)="TRUE","FALSE","TRUE")</f>
        <v>TRUE</v>
      </c>
      <c r="K972" s="17" t="b">
        <f>Github!M$1972</f>
        <v>0</v>
      </c>
      <c r="L972" s="17" t="b">
        <f>Github!N$1972</f>
        <v>0</v>
      </c>
      <c r="M972" s="17" t="str">
        <f>ROUND(Github!O$1972, 2)&amp;"%"</f>
        <v>50.41%</v>
      </c>
      <c r="N972" s="17">
        <f>Github!P$1972</f>
        <v>71323</v>
      </c>
      <c r="O972" s="17">
        <f>Github!Q$1972</f>
        <v>141492</v>
      </c>
    </row>
    <row r="973" ht="18.0" customHeight="1">
      <c r="A973" s="17">
        <f>Github!J$1347</f>
        <v>1346</v>
      </c>
      <c r="B973" s="27" t="str">
        <f>HYPERLINK(CONCAT("http://leetcode.com/problems/",Github!C$1347), Github!B$1347)</f>
        <v>Check If N and Its Double Exist</v>
      </c>
      <c r="C973" s="17">
        <f>Github!F$1347</f>
        <v>771</v>
      </c>
      <c r="D973" s="17">
        <f>Github!G$1347</f>
        <v>103</v>
      </c>
      <c r="E973" s="17">
        <f>Github!F$1347+Github!G$1347</f>
        <v>874</v>
      </c>
      <c r="F973" s="18">
        <f t="shared" si="1"/>
        <v>7.49</v>
      </c>
      <c r="G973" s="17" t="str">
        <f>Github!H$1347</f>
        <v>Algorithms</v>
      </c>
      <c r="H973" s="19" t="str">
        <f>SUBSTITUTE(Github!L$1347, ";", ", ")</f>
        <v>Array, Hash Table, Two Pointers, Binary Search, Sorting, </v>
      </c>
      <c r="I973" s="17" t="str">
        <f>Github!E$1347</f>
        <v>Easy</v>
      </c>
      <c r="J973" s="17" t="str">
        <f>IF(TRIM(Github!D$1347)="TRUE","FALSE","TRUE")</f>
        <v>TRUE</v>
      </c>
      <c r="K973" s="17" t="b">
        <f>Github!M$1347</f>
        <v>0</v>
      </c>
      <c r="L973" s="17" t="b">
        <f>Github!N$1347</f>
        <v>0</v>
      </c>
      <c r="M973" s="17" t="str">
        <f>ROUND(Github!O$1347, 2)&amp;"%"</f>
        <v>35.46%</v>
      </c>
      <c r="N973" s="17">
        <f>Github!P$1347</f>
        <v>176990</v>
      </c>
      <c r="O973" s="17">
        <f>Github!Q$1347</f>
        <v>499177</v>
      </c>
    </row>
    <row r="974" ht="18.0" customHeight="1">
      <c r="A974" s="17">
        <f>Github!J$1169</f>
        <v>1168</v>
      </c>
      <c r="B974" s="27" t="str">
        <f>HYPERLINK(CONCAT("http://leetcode.com/problems/",Github!C$1169), Github!B$1169)</f>
        <v>Optimize Water Distribution in a Village</v>
      </c>
      <c r="C974" s="17">
        <f>Github!F$1169</f>
        <v>772</v>
      </c>
      <c r="D974" s="17">
        <f>Github!G$1169</f>
        <v>30</v>
      </c>
      <c r="E974" s="17">
        <f>Github!F$1169+Github!G$1169</f>
        <v>802</v>
      </c>
      <c r="F974" s="18">
        <f t="shared" si="1"/>
        <v>25.73</v>
      </c>
      <c r="G974" s="17" t="str">
        <f>Github!H$1169</f>
        <v>Algorithms</v>
      </c>
      <c r="H974" s="19" t="str">
        <f>SUBSTITUTE(Github!L$1169, ";", ", ")</f>
        <v>Union Find, Graph, Minimum Spanning Tree, </v>
      </c>
      <c r="I974" s="17" t="str">
        <f>Github!E$1169</f>
        <v>Hard</v>
      </c>
      <c r="J974" s="17" t="str">
        <f>IF(TRIM(Github!D$1169)="TRUE","FALSE","TRUE")</f>
        <v>FALSE</v>
      </c>
      <c r="K974" s="17" t="b">
        <f>Github!M$1169</f>
        <v>1</v>
      </c>
      <c r="L974" s="17" t="b">
        <f>Github!N$1169</f>
        <v>0</v>
      </c>
      <c r="M974" s="17" t="str">
        <f>ROUND(Github!O$1169, 2)&amp;"%"</f>
        <v>63.6%</v>
      </c>
      <c r="N974" s="17">
        <f>Github!P$1169</f>
        <v>28075</v>
      </c>
      <c r="O974" s="17">
        <f>Github!Q$1169</f>
        <v>44144</v>
      </c>
    </row>
    <row r="975" ht="18.0" customHeight="1">
      <c r="A975" s="17">
        <f>Github!J$1774</f>
        <v>1773</v>
      </c>
      <c r="B975" s="27" t="str">
        <f>HYPERLINK(CONCAT("http://leetcode.com/problems/",Github!C$1774), Github!B$1774)</f>
        <v>Count Items Matching a Rule</v>
      </c>
      <c r="C975" s="17">
        <f>Github!F$1774</f>
        <v>770</v>
      </c>
      <c r="D975" s="17">
        <f>Github!G$1774</f>
        <v>101</v>
      </c>
      <c r="E975" s="17">
        <f>Github!F$1774+Github!G$1774</f>
        <v>871</v>
      </c>
      <c r="F975" s="18">
        <f t="shared" si="1"/>
        <v>7.62</v>
      </c>
      <c r="G975" s="17" t="str">
        <f>Github!H$1774</f>
        <v>Algorithms</v>
      </c>
      <c r="H975" s="19" t="str">
        <f>SUBSTITUTE(Github!L$1774, ";", ", ")</f>
        <v>Array, String, </v>
      </c>
      <c r="I975" s="17" t="str">
        <f>Github!E$1774</f>
        <v>Easy</v>
      </c>
      <c r="J975" s="17" t="str">
        <f>IF(TRIM(Github!D$1774)="TRUE","FALSE","TRUE")</f>
        <v>TRUE</v>
      </c>
      <c r="K975" s="17" t="b">
        <f>Github!M$1774</f>
        <v>0</v>
      </c>
      <c r="L975" s="17" t="b">
        <f>Github!N$1774</f>
        <v>0</v>
      </c>
      <c r="M975" s="17" t="str">
        <f>ROUND(Github!O$1774, 2)&amp;"%"</f>
        <v>84.48%</v>
      </c>
      <c r="N975" s="17">
        <f>Github!P$1774</f>
        <v>92832</v>
      </c>
      <c r="O975" s="17">
        <f>Github!Q$1774</f>
        <v>109892</v>
      </c>
    </row>
    <row r="976" ht="18.0" customHeight="1">
      <c r="A976" s="17">
        <f>Github!J$834</f>
        <v>833</v>
      </c>
      <c r="B976" s="27" t="str">
        <f>HYPERLINK(CONCAT("http://leetcode.com/problems/",Github!C$834), Github!B$834)</f>
        <v>Find And Replace in String</v>
      </c>
      <c r="C976" s="17">
        <f>Github!F$834</f>
        <v>770</v>
      </c>
      <c r="D976" s="17">
        <f>Github!G$834</f>
        <v>747</v>
      </c>
      <c r="E976" s="17">
        <f>Github!F$834+Github!G$834</f>
        <v>1517</v>
      </c>
      <c r="F976" s="18">
        <f t="shared" si="1"/>
        <v>1.03</v>
      </c>
      <c r="G976" s="17" t="str">
        <f>Github!H$834</f>
        <v>Algorithms</v>
      </c>
      <c r="H976" s="19" t="str">
        <f>SUBSTITUTE(Github!L$834, ";", ", ")</f>
        <v>Array, String, Sorting, </v>
      </c>
      <c r="I976" s="17" t="str">
        <f>Github!E$834</f>
        <v>Medium</v>
      </c>
      <c r="J976" s="17" t="str">
        <f>IF(TRIM(Github!D$834)="TRUE","FALSE","TRUE")</f>
        <v>TRUE</v>
      </c>
      <c r="K976" s="17" t="b">
        <f>Github!M$834</f>
        <v>0</v>
      </c>
      <c r="L976" s="17" t="b">
        <f>Github!N$834</f>
        <v>0</v>
      </c>
      <c r="M976" s="17" t="str">
        <f>ROUND(Github!O$834, 2)&amp;"%"</f>
        <v>54.3%</v>
      </c>
      <c r="N976" s="17">
        <f>Github!P$834</f>
        <v>100391</v>
      </c>
      <c r="O976" s="17">
        <f>Github!Q$834</f>
        <v>184859</v>
      </c>
    </row>
    <row r="977" ht="18.0" customHeight="1">
      <c r="A977" s="17">
        <f>Github!J$1665</f>
        <v>1664</v>
      </c>
      <c r="B977" s="27" t="str">
        <f>HYPERLINK(CONCAT("http://leetcode.com/problems/",Github!C$1665), Github!B$1665)</f>
        <v>Ways to Make a Fair Array</v>
      </c>
      <c r="C977" s="17">
        <f>Github!F$1665</f>
        <v>769</v>
      </c>
      <c r="D977" s="17">
        <f>Github!G$1665</f>
        <v>19</v>
      </c>
      <c r="E977" s="17">
        <f>Github!F$1665+Github!G$1665</f>
        <v>788</v>
      </c>
      <c r="F977" s="18">
        <f t="shared" si="1"/>
        <v>40.47</v>
      </c>
      <c r="G977" s="17" t="str">
        <f>Github!H$1665</f>
        <v>Algorithms</v>
      </c>
      <c r="H977" s="19" t="str">
        <f>SUBSTITUTE(Github!L$1665, ";", ", ")</f>
        <v>Array, Dynamic Programming, </v>
      </c>
      <c r="I977" s="17" t="str">
        <f>Github!E$1665</f>
        <v>Medium</v>
      </c>
      <c r="J977" s="17" t="str">
        <f>IF(TRIM(Github!D$1665)="TRUE","FALSE","TRUE")</f>
        <v>TRUE</v>
      </c>
      <c r="K977" s="17" t="b">
        <f>Github!M$1665</f>
        <v>0</v>
      </c>
      <c r="L977" s="17" t="b">
        <f>Github!N$1665</f>
        <v>0</v>
      </c>
      <c r="M977" s="17" t="str">
        <f>ROUND(Github!O$1665, 2)&amp;"%"</f>
        <v>63.08%</v>
      </c>
      <c r="N977" s="17">
        <f>Github!P$1665</f>
        <v>22545</v>
      </c>
      <c r="O977" s="17">
        <f>Github!Q$1665</f>
        <v>35740</v>
      </c>
    </row>
    <row r="978" ht="18.0" customHeight="1">
      <c r="A978" s="17">
        <f>Github!J$1500</f>
        <v>1499</v>
      </c>
      <c r="B978" s="27" t="str">
        <f>HYPERLINK(CONCAT("http://leetcode.com/problems/",Github!C$1500), Github!B$1500)</f>
        <v>Max Value of Equation</v>
      </c>
      <c r="C978" s="17">
        <f>Github!F$1500</f>
        <v>766</v>
      </c>
      <c r="D978" s="17">
        <f>Github!G$1500</f>
        <v>27</v>
      </c>
      <c r="E978" s="17">
        <f>Github!F$1500+Github!G$1500</f>
        <v>793</v>
      </c>
      <c r="F978" s="18">
        <f t="shared" si="1"/>
        <v>28.37</v>
      </c>
      <c r="G978" s="17" t="str">
        <f>Github!H$1500</f>
        <v>Algorithms</v>
      </c>
      <c r="H978" s="19" t="str">
        <f>SUBSTITUTE(Github!L$1500, ";", ", ")</f>
        <v>Array, Queue, Sliding Window, Heap (Priority Queue), Monotonic Queue, </v>
      </c>
      <c r="I978" s="17" t="str">
        <f>Github!E$1500</f>
        <v>Hard</v>
      </c>
      <c r="J978" s="17" t="str">
        <f>IF(TRIM(Github!D$1500)="TRUE","FALSE","TRUE")</f>
        <v>TRUE</v>
      </c>
      <c r="K978" s="17" t="b">
        <f>Github!M$1500</f>
        <v>0</v>
      </c>
      <c r="L978" s="17" t="b">
        <f>Github!N$1500</f>
        <v>0</v>
      </c>
      <c r="M978" s="17" t="str">
        <f>ROUND(Github!O$1500, 2)&amp;"%"</f>
        <v>46.85%</v>
      </c>
      <c r="N978" s="17">
        <f>Github!P$1500</f>
        <v>28860</v>
      </c>
      <c r="O978" s="17">
        <f>Github!Q$1500</f>
        <v>61598</v>
      </c>
    </row>
    <row r="979" ht="18.0" customHeight="1">
      <c r="A979" s="17">
        <f>Github!J$1487</f>
        <v>1486</v>
      </c>
      <c r="B979" s="27" t="str">
        <f>HYPERLINK(CONCAT("http://leetcode.com/problems/",Github!C$1487), Github!B$1487)</f>
        <v>XOR Operation in an Array</v>
      </c>
      <c r="C979" s="17">
        <f>Github!F$1487</f>
        <v>766</v>
      </c>
      <c r="D979" s="17">
        <f>Github!G$1487</f>
        <v>280</v>
      </c>
      <c r="E979" s="17">
        <f>Github!F$1487+Github!G$1487</f>
        <v>1046</v>
      </c>
      <c r="F979" s="18">
        <f t="shared" si="1"/>
        <v>2.74</v>
      </c>
      <c r="G979" s="17" t="str">
        <f>Github!H$1487</f>
        <v>Algorithms</v>
      </c>
      <c r="H979" s="19" t="str">
        <f>SUBSTITUTE(Github!L$1487, ";", ", ")</f>
        <v>Math, Bit Manipulation, </v>
      </c>
      <c r="I979" s="17" t="str">
        <f>Github!E$1487</f>
        <v>Easy</v>
      </c>
      <c r="J979" s="17" t="str">
        <f>IF(TRIM(Github!D$1487)="TRUE","FALSE","TRUE")</f>
        <v>TRUE</v>
      </c>
      <c r="K979" s="17" t="b">
        <f>Github!M$1487</f>
        <v>0</v>
      </c>
      <c r="L979" s="17" t="b">
        <f>Github!N$1487</f>
        <v>0</v>
      </c>
      <c r="M979" s="17" t="str">
        <f>ROUND(Github!O$1487, 2)&amp;"%"</f>
        <v>84.16%</v>
      </c>
      <c r="N979" s="17">
        <f>Github!P$1487</f>
        <v>116302</v>
      </c>
      <c r="O979" s="17">
        <f>Github!Q$1487</f>
        <v>138189</v>
      </c>
    </row>
    <row r="980" ht="18.0" customHeight="1">
      <c r="A980" s="17">
        <f>Github!J$1552</f>
        <v>1551</v>
      </c>
      <c r="B980" s="27" t="str">
        <f>HYPERLINK(CONCAT("http://leetcode.com/problems/",Github!C$1552), Github!B$1552)</f>
        <v>Minimum Operations to Make Array Equal</v>
      </c>
      <c r="C980" s="17">
        <f>Github!F$1552</f>
        <v>764</v>
      </c>
      <c r="D980" s="17">
        <f>Github!G$1552</f>
        <v>131</v>
      </c>
      <c r="E980" s="17">
        <f>Github!F$1552+Github!G$1552</f>
        <v>895</v>
      </c>
      <c r="F980" s="18">
        <f t="shared" si="1"/>
        <v>5.83</v>
      </c>
      <c r="G980" s="17" t="str">
        <f>Github!H$1552</f>
        <v>Algorithms</v>
      </c>
      <c r="H980" s="19" t="str">
        <f>SUBSTITUTE(Github!L$1552, ";", ", ")</f>
        <v>Math, </v>
      </c>
      <c r="I980" s="17" t="str">
        <f>Github!E$1552</f>
        <v>Medium</v>
      </c>
      <c r="J980" s="17" t="str">
        <f>IF(TRIM(Github!D$1552)="TRUE","FALSE","TRUE")</f>
        <v>TRUE</v>
      </c>
      <c r="K980" s="17" t="b">
        <f>Github!M$1552</f>
        <v>1</v>
      </c>
      <c r="L980" s="17" t="b">
        <f>Github!N$1552</f>
        <v>0</v>
      </c>
      <c r="M980" s="17" t="str">
        <f>ROUND(Github!O$1552, 2)&amp;"%"</f>
        <v>80.74%</v>
      </c>
      <c r="N980" s="17">
        <f>Github!P$1552</f>
        <v>63585</v>
      </c>
      <c r="O980" s="17">
        <f>Github!Q$1552</f>
        <v>78748</v>
      </c>
    </row>
    <row r="981" ht="18.0" customHeight="1">
      <c r="A981" s="17">
        <f>Github!J$197</f>
        <v>196</v>
      </c>
      <c r="B981" s="27" t="str">
        <f>HYPERLINK(CONCAT("http://leetcode.com/problems/",Github!C$197), Github!B$197)</f>
        <v>Delete Duplicate Emails</v>
      </c>
      <c r="C981" s="17">
        <f>Github!F$197</f>
        <v>765</v>
      </c>
      <c r="D981" s="17">
        <f>Github!G$197</f>
        <v>1233</v>
      </c>
      <c r="E981" s="17">
        <f>Github!F$197+Github!G$197</f>
        <v>1998</v>
      </c>
      <c r="F981" s="18">
        <f t="shared" si="1"/>
        <v>0.62</v>
      </c>
      <c r="G981" s="17" t="str">
        <f>Github!H$197</f>
        <v>Database</v>
      </c>
      <c r="H981" s="19" t="str">
        <f>SUBSTITUTE(Github!L$197, ";", ", ")</f>
        <v>Database, </v>
      </c>
      <c r="I981" s="17" t="str">
        <f>Github!E$197</f>
        <v>Easy</v>
      </c>
      <c r="J981" s="17" t="str">
        <f>IF(TRIM(Github!D$197)="TRUE","FALSE","TRUE")</f>
        <v>TRUE</v>
      </c>
      <c r="K981" s="17" t="b">
        <f>Github!M$197</f>
        <v>1</v>
      </c>
      <c r="L981" s="17" t="b">
        <f>Github!N$197</f>
        <v>0</v>
      </c>
      <c r="M981" s="17" t="str">
        <f>ROUND(Github!O$197, 2)&amp;"%"</f>
        <v>51.12%</v>
      </c>
      <c r="N981" s="17">
        <f>Github!P$197</f>
        <v>202558</v>
      </c>
      <c r="O981" s="17">
        <f>Github!Q$197</f>
        <v>396201</v>
      </c>
    </row>
    <row r="982" ht="18.0" customHeight="1">
      <c r="A982" s="17">
        <f>Github!J$851</f>
        <v>850</v>
      </c>
      <c r="B982" s="27" t="str">
        <f>HYPERLINK(CONCAT("http://leetcode.com/problems/",Github!C$851), Github!B$851)</f>
        <v>Rectangle Area II</v>
      </c>
      <c r="C982" s="17">
        <f>Github!F$851</f>
        <v>763</v>
      </c>
      <c r="D982" s="17">
        <f>Github!G$851</f>
        <v>50</v>
      </c>
      <c r="E982" s="17">
        <f>Github!F$851+Github!G$851</f>
        <v>813</v>
      </c>
      <c r="F982" s="18">
        <f t="shared" si="1"/>
        <v>15.26</v>
      </c>
      <c r="G982" s="17" t="str">
        <f>Github!H$851</f>
        <v>Algorithms</v>
      </c>
      <c r="H982" s="19" t="str">
        <f>SUBSTITUTE(Github!L$851, ";", ", ")</f>
        <v>Array, Segment Tree, Line Sweep, Ordered Set, </v>
      </c>
      <c r="I982" s="17" t="str">
        <f>Github!E$851</f>
        <v>Hard</v>
      </c>
      <c r="J982" s="17" t="str">
        <f>IF(TRIM(Github!D$851)="TRUE","FALSE","TRUE")</f>
        <v>TRUE</v>
      </c>
      <c r="K982" s="17" t="b">
        <f>Github!M$851</f>
        <v>1</v>
      </c>
      <c r="L982" s="17" t="b">
        <f>Github!N$851</f>
        <v>0</v>
      </c>
      <c r="M982" s="17" t="str">
        <f>ROUND(Github!O$851, 2)&amp;"%"</f>
        <v>53.26%</v>
      </c>
      <c r="N982" s="17">
        <f>Github!P$851</f>
        <v>28829</v>
      </c>
      <c r="O982" s="17">
        <f>Github!Q$851</f>
        <v>54133</v>
      </c>
    </row>
    <row r="983" ht="18.0" customHeight="1">
      <c r="A983" s="17">
        <f>Github!J$996</f>
        <v>995</v>
      </c>
      <c r="B983" s="27" t="str">
        <f>HYPERLINK(CONCAT("http://leetcode.com/problems/",Github!C$996), Github!B$996)</f>
        <v>Minimum Number of K Consecutive Bit Flips</v>
      </c>
      <c r="C983" s="17">
        <f>Github!F$996</f>
        <v>763</v>
      </c>
      <c r="D983" s="17">
        <f>Github!G$996</f>
        <v>48</v>
      </c>
      <c r="E983" s="17">
        <f>Github!F$996+Github!G$996</f>
        <v>811</v>
      </c>
      <c r="F983" s="18">
        <f t="shared" si="1"/>
        <v>15.9</v>
      </c>
      <c r="G983" s="17" t="str">
        <f>Github!H$996</f>
        <v>Algorithms</v>
      </c>
      <c r="H983" s="19" t="str">
        <f>SUBSTITUTE(Github!L$996, ";", ", ")</f>
        <v>Array, Bit Manipulation, Sliding Window, Prefix Sum, </v>
      </c>
      <c r="I983" s="17" t="str">
        <f>Github!E$996</f>
        <v>Hard</v>
      </c>
      <c r="J983" s="17" t="str">
        <f>IF(TRIM(Github!D$996)="TRUE","FALSE","TRUE")</f>
        <v>TRUE</v>
      </c>
      <c r="K983" s="17" t="b">
        <f>Github!M$996</f>
        <v>0</v>
      </c>
      <c r="L983" s="17" t="b">
        <f>Github!N$996</f>
        <v>0</v>
      </c>
      <c r="M983" s="17" t="str">
        <f>ROUND(Github!O$996, 2)&amp;"%"</f>
        <v>50.65%</v>
      </c>
      <c r="N983" s="17">
        <f>Github!P$996</f>
        <v>24676</v>
      </c>
      <c r="O983" s="17">
        <f>Github!Q$996</f>
        <v>48714</v>
      </c>
    </row>
    <row r="984" ht="18.0" customHeight="1">
      <c r="A984" s="17">
        <f>Github!J$1627</f>
        <v>1626</v>
      </c>
      <c r="B984" s="27" t="str">
        <f>HYPERLINK(CONCAT("http://leetcode.com/problems/",Github!C$1627), Github!B$1627)</f>
        <v>Best Team With No Conflicts</v>
      </c>
      <c r="C984" s="17">
        <f>Github!F$1627</f>
        <v>760</v>
      </c>
      <c r="D984" s="17">
        <f>Github!G$1627</f>
        <v>27</v>
      </c>
      <c r="E984" s="17">
        <f>Github!F$1627+Github!G$1627</f>
        <v>787</v>
      </c>
      <c r="F984" s="18">
        <f t="shared" si="1"/>
        <v>28.15</v>
      </c>
      <c r="G984" s="17" t="str">
        <f>Github!H$1627</f>
        <v>Algorithms</v>
      </c>
      <c r="H984" s="19" t="str">
        <f>SUBSTITUTE(Github!L$1627, ";", ", ")</f>
        <v>Array, Dynamic Programming, Sorting, </v>
      </c>
      <c r="I984" s="17" t="str">
        <f>Github!E$1627</f>
        <v>Medium</v>
      </c>
      <c r="J984" s="17" t="str">
        <f>IF(TRIM(Github!D$1627)="TRUE","FALSE","TRUE")</f>
        <v>TRUE</v>
      </c>
      <c r="K984" s="17" t="b">
        <f>Github!M$1627</f>
        <v>0</v>
      </c>
      <c r="L984" s="17" t="b">
        <f>Github!N$1627</f>
        <v>0</v>
      </c>
      <c r="M984" s="17" t="str">
        <f>ROUND(Github!O$1627, 2)&amp;"%"</f>
        <v>40.47%</v>
      </c>
      <c r="N984" s="17">
        <f>Github!P$1627</f>
        <v>17403</v>
      </c>
      <c r="O984" s="17">
        <f>Github!Q$1627</f>
        <v>43004</v>
      </c>
    </row>
    <row r="985" ht="18.0" customHeight="1">
      <c r="A985" s="17">
        <f>Github!J$370</f>
        <v>369</v>
      </c>
      <c r="B985" s="27" t="str">
        <f>HYPERLINK(CONCAT("http://leetcode.com/problems/",Github!C$370), Github!B$370)</f>
        <v>Plus One Linked List</v>
      </c>
      <c r="C985" s="17">
        <f>Github!F$370</f>
        <v>757</v>
      </c>
      <c r="D985" s="17">
        <f>Github!G$370</f>
        <v>39</v>
      </c>
      <c r="E985" s="17">
        <f>Github!F$370+Github!G$370</f>
        <v>796</v>
      </c>
      <c r="F985" s="18">
        <f t="shared" si="1"/>
        <v>19.41</v>
      </c>
      <c r="G985" s="17" t="str">
        <f>Github!H$370</f>
        <v>Algorithms</v>
      </c>
      <c r="H985" s="19" t="str">
        <f>SUBSTITUTE(Github!L$370, ";", ", ")</f>
        <v>Linked List, Math, </v>
      </c>
      <c r="I985" s="17" t="str">
        <f>Github!E$370</f>
        <v>Medium</v>
      </c>
      <c r="J985" s="17" t="str">
        <f>IF(TRIM(Github!D$370)="TRUE","FALSE","TRUE")</f>
        <v>FALSE</v>
      </c>
      <c r="K985" s="17" t="b">
        <f>Github!M$370</f>
        <v>1</v>
      </c>
      <c r="L985" s="17" t="b">
        <f>Github!N$370</f>
        <v>1</v>
      </c>
      <c r="M985" s="17" t="str">
        <f>ROUND(Github!O$370, 2)&amp;"%"</f>
        <v>60.34%</v>
      </c>
      <c r="N985" s="17">
        <f>Github!P$370</f>
        <v>66010</v>
      </c>
      <c r="O985" s="17">
        <f>Github!Q$370</f>
        <v>109389</v>
      </c>
    </row>
    <row r="986" ht="18.0" customHeight="1">
      <c r="A986" s="17">
        <f>Github!J$503</f>
        <v>502</v>
      </c>
      <c r="B986" s="27" t="str">
        <f>HYPERLINK(CONCAT("http://leetcode.com/problems/",Github!C$503), Github!B$503)</f>
        <v>IPO</v>
      </c>
      <c r="C986" s="17">
        <f>Github!F$503</f>
        <v>755</v>
      </c>
      <c r="D986" s="17">
        <f>Github!G$503</f>
        <v>68</v>
      </c>
      <c r="E986" s="17">
        <f>Github!F$503+Github!G$503</f>
        <v>823</v>
      </c>
      <c r="F986" s="18">
        <f t="shared" si="1"/>
        <v>11.1</v>
      </c>
      <c r="G986" s="17" t="str">
        <f>Github!H$503</f>
        <v>Algorithms</v>
      </c>
      <c r="H986" s="19" t="str">
        <f>SUBSTITUTE(Github!L$503, ";", ", ")</f>
        <v>Array, Greedy, Sorting, Heap (Priority Queue), </v>
      </c>
      <c r="I986" s="17" t="str">
        <f>Github!E$503</f>
        <v>Hard</v>
      </c>
      <c r="J986" s="17" t="str">
        <f>IF(TRIM(Github!D$503)="TRUE","FALSE","TRUE")</f>
        <v>TRUE</v>
      </c>
      <c r="K986" s="17" t="b">
        <f>Github!M$503</f>
        <v>1</v>
      </c>
      <c r="L986" s="17" t="b">
        <f>Github!N$503</f>
        <v>0</v>
      </c>
      <c r="M986" s="17" t="str">
        <f>ROUND(Github!O$503, 2)&amp;"%"</f>
        <v>43.83%</v>
      </c>
      <c r="N986" s="17">
        <f>Github!P$503</f>
        <v>31162</v>
      </c>
      <c r="O986" s="17">
        <f>Github!Q$503</f>
        <v>71091</v>
      </c>
    </row>
    <row r="987" ht="18.0" customHeight="1">
      <c r="A987" s="17">
        <f>Github!J$1615</f>
        <v>1614</v>
      </c>
      <c r="B987" s="27" t="str">
        <f>HYPERLINK(CONCAT("http://leetcode.com/problems/",Github!C$1615), Github!B$1615)</f>
        <v>Maximum Nesting Depth of the Parentheses</v>
      </c>
      <c r="C987" s="17">
        <f>Github!F$1615</f>
        <v>755</v>
      </c>
      <c r="D987" s="17">
        <f>Github!G$1615</f>
        <v>163</v>
      </c>
      <c r="E987" s="17">
        <f>Github!F$1615+Github!G$1615</f>
        <v>918</v>
      </c>
      <c r="F987" s="18">
        <f t="shared" si="1"/>
        <v>4.63</v>
      </c>
      <c r="G987" s="17" t="str">
        <f>Github!H$1615</f>
        <v>Algorithms</v>
      </c>
      <c r="H987" s="19" t="str">
        <f>SUBSTITUTE(Github!L$1615, ";", ", ")</f>
        <v>String, Stack, </v>
      </c>
      <c r="I987" s="17" t="str">
        <f>Github!E$1615</f>
        <v>Easy</v>
      </c>
      <c r="J987" s="17" t="str">
        <f>IF(TRIM(Github!D$1615)="TRUE","FALSE","TRUE")</f>
        <v>TRUE</v>
      </c>
      <c r="K987" s="17" t="b">
        <f>Github!M$1615</f>
        <v>0</v>
      </c>
      <c r="L987" s="17" t="b">
        <f>Github!N$1615</f>
        <v>0</v>
      </c>
      <c r="M987" s="17" t="str">
        <f>ROUND(Github!O$1615, 2)&amp;"%"</f>
        <v>83%</v>
      </c>
      <c r="N987" s="17">
        <f>Github!P$1615</f>
        <v>78778</v>
      </c>
      <c r="O987" s="17">
        <f>Github!Q$1615</f>
        <v>94914</v>
      </c>
    </row>
    <row r="988" ht="18.0" customHeight="1">
      <c r="A988" s="17">
        <f>Github!J$362</f>
        <v>361</v>
      </c>
      <c r="B988" s="27" t="str">
        <f>HYPERLINK(CONCAT("http://leetcode.com/problems/",Github!C$362), Github!B$362)</f>
        <v>Bomb Enemy</v>
      </c>
      <c r="C988" s="17">
        <f>Github!F$362</f>
        <v>750</v>
      </c>
      <c r="D988" s="17">
        <f>Github!G$362</f>
        <v>92</v>
      </c>
      <c r="E988" s="17">
        <f>Github!F$362+Github!G$362</f>
        <v>842</v>
      </c>
      <c r="F988" s="18">
        <f t="shared" si="1"/>
        <v>8.15</v>
      </c>
      <c r="G988" s="17" t="str">
        <f>Github!H$362</f>
        <v>Algorithms</v>
      </c>
      <c r="H988" s="19" t="str">
        <f>SUBSTITUTE(Github!L$362, ";", ", ")</f>
        <v>Array, Dynamic Programming, Matrix, </v>
      </c>
      <c r="I988" s="17" t="str">
        <f>Github!E$362</f>
        <v>Medium</v>
      </c>
      <c r="J988" s="17" t="str">
        <f>IF(TRIM(Github!D$362)="TRUE","FALSE","TRUE")</f>
        <v>FALSE</v>
      </c>
      <c r="K988" s="17" t="b">
        <f>Github!M$362</f>
        <v>1</v>
      </c>
      <c r="L988" s="17" t="b">
        <f>Github!N$362</f>
        <v>0</v>
      </c>
      <c r="M988" s="17" t="str">
        <f>ROUND(Github!O$362, 2)&amp;"%"</f>
        <v>49.83%</v>
      </c>
      <c r="N988" s="17">
        <f>Github!P$362</f>
        <v>63805</v>
      </c>
      <c r="O988" s="17">
        <f>Github!Q$362</f>
        <v>128044</v>
      </c>
    </row>
    <row r="989" ht="18.0" customHeight="1">
      <c r="A989" s="17">
        <f>Github!J$1690</f>
        <v>1689</v>
      </c>
      <c r="B989" s="27" t="str">
        <f>HYPERLINK(CONCAT("http://leetcode.com/problems/",Github!C$1690), Github!B$1690)</f>
        <v>Partitioning Into Minimum Number Of Deci-Binary Numbers</v>
      </c>
      <c r="C989" s="17">
        <f>Github!F$1690</f>
        <v>751</v>
      </c>
      <c r="D989" s="17">
        <f>Github!G$1690</f>
        <v>537</v>
      </c>
      <c r="E989" s="17">
        <f>Github!F$1690+Github!G$1690</f>
        <v>1288</v>
      </c>
      <c r="F989" s="18">
        <f t="shared" si="1"/>
        <v>1.4</v>
      </c>
      <c r="G989" s="17" t="str">
        <f>Github!H$1690</f>
        <v>Algorithms</v>
      </c>
      <c r="H989" s="19" t="str">
        <f>SUBSTITUTE(Github!L$1690, ";", ", ")</f>
        <v>String, Greedy, </v>
      </c>
      <c r="I989" s="17" t="str">
        <f>Github!E$1690</f>
        <v>Medium</v>
      </c>
      <c r="J989" s="17" t="str">
        <f>IF(TRIM(Github!D$1690)="TRUE","FALSE","TRUE")</f>
        <v>TRUE</v>
      </c>
      <c r="K989" s="17" t="b">
        <f>Github!M$1690</f>
        <v>1</v>
      </c>
      <c r="L989" s="17" t="b">
        <f>Github!N$1690</f>
        <v>0</v>
      </c>
      <c r="M989" s="17" t="str">
        <f>ROUND(Github!O$1690, 2)&amp;"%"</f>
        <v>87.79%</v>
      </c>
      <c r="N989" s="17">
        <f>Github!P$1690</f>
        <v>73350</v>
      </c>
      <c r="O989" s="17">
        <f>Github!Q$1690</f>
        <v>83556</v>
      </c>
    </row>
    <row r="990" ht="18.0" customHeight="1">
      <c r="A990" s="17">
        <f>Github!J$1367</f>
        <v>1366</v>
      </c>
      <c r="B990" s="27" t="str">
        <f>HYPERLINK(CONCAT("http://leetcode.com/problems/",Github!C$1367), Github!B$1367)</f>
        <v>Rank Teams by Votes</v>
      </c>
      <c r="C990" s="17">
        <f>Github!F$1367</f>
        <v>750</v>
      </c>
      <c r="D990" s="17">
        <f>Github!G$1367</f>
        <v>81</v>
      </c>
      <c r="E990" s="17">
        <f>Github!F$1367+Github!G$1367</f>
        <v>831</v>
      </c>
      <c r="F990" s="18">
        <f t="shared" si="1"/>
        <v>9.26</v>
      </c>
      <c r="G990" s="17" t="str">
        <f>Github!H$1367</f>
        <v>Algorithms</v>
      </c>
      <c r="H990" s="19" t="str">
        <f>SUBSTITUTE(Github!L$1367, ";", ", ")</f>
        <v>Array, Hash Table, String, Sorting, Counting, </v>
      </c>
      <c r="I990" s="17" t="str">
        <f>Github!E$1367</f>
        <v>Medium</v>
      </c>
      <c r="J990" s="17" t="str">
        <f>IF(TRIM(Github!D$1367)="TRUE","FALSE","TRUE")</f>
        <v>TRUE</v>
      </c>
      <c r="K990" s="17" t="b">
        <f>Github!M$1367</f>
        <v>0</v>
      </c>
      <c r="L990" s="17" t="b">
        <f>Github!N$1367</f>
        <v>0</v>
      </c>
      <c r="M990" s="17" t="str">
        <f>ROUND(Github!O$1367, 2)&amp;"%"</f>
        <v>58.71%</v>
      </c>
      <c r="N990" s="17">
        <f>Github!P$1367</f>
        <v>34451</v>
      </c>
      <c r="O990" s="17">
        <f>Github!Q$1367</f>
        <v>58678</v>
      </c>
    </row>
    <row r="991" ht="18.0" customHeight="1">
      <c r="A991" s="17">
        <f>Github!J$840</f>
        <v>839</v>
      </c>
      <c r="B991" s="27" t="str">
        <f>HYPERLINK(CONCAT("http://leetcode.com/problems/",Github!C$840), Github!B$840)</f>
        <v>Similar String Groups</v>
      </c>
      <c r="C991" s="17">
        <f>Github!F$840</f>
        <v>748</v>
      </c>
      <c r="D991" s="17">
        <f>Github!G$840</f>
        <v>165</v>
      </c>
      <c r="E991" s="17">
        <f>Github!F$840+Github!G$840</f>
        <v>913</v>
      </c>
      <c r="F991" s="18">
        <f t="shared" si="1"/>
        <v>4.53</v>
      </c>
      <c r="G991" s="17" t="str">
        <f>Github!H$840</f>
        <v>Algorithms</v>
      </c>
      <c r="H991" s="19" t="str">
        <f>SUBSTITUTE(Github!L$840, ";", ", ")</f>
        <v>String, Depth-First Search, Breadth-First Search, Union Find, </v>
      </c>
      <c r="I991" s="17" t="str">
        <f>Github!E$840</f>
        <v>Hard</v>
      </c>
      <c r="J991" s="17" t="str">
        <f>IF(TRIM(Github!D$840)="TRUE","FALSE","TRUE")</f>
        <v>TRUE</v>
      </c>
      <c r="K991" s="17" t="b">
        <f>Github!M$840</f>
        <v>0</v>
      </c>
      <c r="L991" s="17" t="b">
        <f>Github!N$840</f>
        <v>0</v>
      </c>
      <c r="M991" s="17" t="str">
        <f>ROUND(Github!O$840, 2)&amp;"%"</f>
        <v>45.05%</v>
      </c>
      <c r="N991" s="17">
        <f>Github!P$840</f>
        <v>48601</v>
      </c>
      <c r="O991" s="17">
        <f>Github!Q$840</f>
        <v>107891</v>
      </c>
    </row>
    <row r="992" ht="18.0" customHeight="1">
      <c r="A992" s="17">
        <f>Github!J$1426</f>
        <v>1425</v>
      </c>
      <c r="B992" s="27" t="str">
        <f>HYPERLINK(CONCAT("http://leetcode.com/problems/",Github!C$1426), Github!B$1426)</f>
        <v>Constrained Subsequence Sum</v>
      </c>
      <c r="C992" s="17">
        <f>Github!F$1426</f>
        <v>747</v>
      </c>
      <c r="D992" s="17">
        <f>Github!G$1426</f>
        <v>30</v>
      </c>
      <c r="E992" s="17">
        <f>Github!F$1426+Github!G$1426</f>
        <v>777</v>
      </c>
      <c r="F992" s="18">
        <f t="shared" si="1"/>
        <v>24.9</v>
      </c>
      <c r="G992" s="17" t="str">
        <f>Github!H$1426</f>
        <v>Algorithms</v>
      </c>
      <c r="H992" s="19" t="str">
        <f>SUBSTITUTE(Github!L$1426, ";", ", ")</f>
        <v>Array, Dynamic Programming, Queue, Sliding Window, Heap (Priority Queue), Monotonic Queue, </v>
      </c>
      <c r="I992" s="17" t="str">
        <f>Github!E$1426</f>
        <v>Hard</v>
      </c>
      <c r="J992" s="17" t="str">
        <f>IF(TRIM(Github!D$1426)="TRUE","FALSE","TRUE")</f>
        <v>TRUE</v>
      </c>
      <c r="K992" s="17" t="b">
        <f>Github!M$1426</f>
        <v>0</v>
      </c>
      <c r="L992" s="17" t="b">
        <f>Github!N$1426</f>
        <v>0</v>
      </c>
      <c r="M992" s="17" t="str">
        <f>ROUND(Github!O$1426, 2)&amp;"%"</f>
        <v>46.41%</v>
      </c>
      <c r="N992" s="17">
        <f>Github!P$1426</f>
        <v>17387</v>
      </c>
      <c r="O992" s="17">
        <f>Github!Q$1426</f>
        <v>37469</v>
      </c>
    </row>
    <row r="993" ht="18.0" customHeight="1">
      <c r="A993" s="17">
        <f>Github!J$630</f>
        <v>629</v>
      </c>
      <c r="B993" s="27" t="str">
        <f>HYPERLINK(CONCAT("http://leetcode.com/problems/",Github!C$630), Github!B$630)</f>
        <v>K Inverse Pairs Array</v>
      </c>
      <c r="C993" s="17">
        <f>Github!F$630</f>
        <v>746</v>
      </c>
      <c r="D993" s="17">
        <f>Github!G$630</f>
        <v>108</v>
      </c>
      <c r="E993" s="17">
        <f>Github!F$630+Github!G$630</f>
        <v>854</v>
      </c>
      <c r="F993" s="18">
        <f t="shared" si="1"/>
        <v>6.91</v>
      </c>
      <c r="G993" s="17" t="str">
        <f>Github!H$630</f>
        <v>Algorithms</v>
      </c>
      <c r="H993" s="19" t="str">
        <f>SUBSTITUTE(Github!L$630, ";", ", ")</f>
        <v>Dynamic Programming, </v>
      </c>
      <c r="I993" s="17" t="str">
        <f>Github!E$630</f>
        <v>Hard</v>
      </c>
      <c r="J993" s="17" t="str">
        <f>IF(TRIM(Github!D$630)="TRUE","FALSE","TRUE")</f>
        <v>TRUE</v>
      </c>
      <c r="K993" s="17" t="b">
        <f>Github!M$630</f>
        <v>1</v>
      </c>
      <c r="L993" s="17" t="b">
        <f>Github!N$630</f>
        <v>0</v>
      </c>
      <c r="M993" s="17" t="str">
        <f>ROUND(Github!O$630, 2)&amp;"%"</f>
        <v>37.23%</v>
      </c>
      <c r="N993" s="17">
        <f>Github!P$630</f>
        <v>24546</v>
      </c>
      <c r="O993" s="17">
        <f>Github!Q$630</f>
        <v>65929</v>
      </c>
    </row>
    <row r="994" ht="18.0" customHeight="1">
      <c r="A994" s="17">
        <f>Github!J$1293</f>
        <v>1292</v>
      </c>
      <c r="B994" s="27" t="str">
        <f>HYPERLINK(CONCAT("http://leetcode.com/problems/",Github!C$1293), Github!B$1293)</f>
        <v>Maximum Side Length of a Square with Sum Less than or Equal to Threshold</v>
      </c>
      <c r="C994" s="17">
        <f>Github!F$1293</f>
        <v>746</v>
      </c>
      <c r="D994" s="17">
        <f>Github!G$1293</f>
        <v>56</v>
      </c>
      <c r="E994" s="17">
        <f>Github!F$1293+Github!G$1293</f>
        <v>802</v>
      </c>
      <c r="F994" s="18">
        <f t="shared" si="1"/>
        <v>13.32</v>
      </c>
      <c r="G994" s="17" t="str">
        <f>Github!H$1293</f>
        <v>Algorithms</v>
      </c>
      <c r="H994" s="19" t="str">
        <f>SUBSTITUTE(Github!L$1293, ";", ", ")</f>
        <v>Array, Binary Search, Matrix, Prefix Sum, </v>
      </c>
      <c r="I994" s="17" t="str">
        <f>Github!E$1293</f>
        <v>Medium</v>
      </c>
      <c r="J994" s="17" t="str">
        <f>IF(TRIM(Github!D$1293)="TRUE","FALSE","TRUE")</f>
        <v>TRUE</v>
      </c>
      <c r="K994" s="17" t="b">
        <f>Github!M$1293</f>
        <v>0</v>
      </c>
      <c r="L994" s="17" t="b">
        <f>Github!N$1293</f>
        <v>0</v>
      </c>
      <c r="M994" s="17" t="str">
        <f>ROUND(Github!O$1293, 2)&amp;"%"</f>
        <v>52.14%</v>
      </c>
      <c r="N994" s="17">
        <f>Github!P$1293</f>
        <v>23114</v>
      </c>
      <c r="O994" s="17">
        <f>Github!Q$1293</f>
        <v>44327</v>
      </c>
    </row>
    <row r="995" ht="18.0" customHeight="1">
      <c r="A995" s="17">
        <f>Github!J$778</f>
        <v>777</v>
      </c>
      <c r="B995" s="27" t="str">
        <f>HYPERLINK(CONCAT("http://leetcode.com/problems/",Github!C$778), Github!B$778)</f>
        <v>Swap Adjacent in LR String</v>
      </c>
      <c r="C995" s="17">
        <f>Github!F$778</f>
        <v>746</v>
      </c>
      <c r="D995" s="17">
        <f>Github!G$778</f>
        <v>650</v>
      </c>
      <c r="E995" s="17">
        <f>Github!F$778+Github!G$778</f>
        <v>1396</v>
      </c>
      <c r="F995" s="18">
        <f t="shared" si="1"/>
        <v>1.15</v>
      </c>
      <c r="G995" s="17" t="str">
        <f>Github!H$778</f>
        <v>Algorithms</v>
      </c>
      <c r="H995" s="19" t="str">
        <f>SUBSTITUTE(Github!L$778, ";", ", ")</f>
        <v>Two Pointers, String, </v>
      </c>
      <c r="I995" s="17" t="str">
        <f>Github!E$778</f>
        <v>Medium</v>
      </c>
      <c r="J995" s="17" t="str">
        <f>IF(TRIM(Github!D$778)="TRUE","FALSE","TRUE")</f>
        <v>TRUE</v>
      </c>
      <c r="K995" s="17" t="b">
        <f>Github!M$778</f>
        <v>0</v>
      </c>
      <c r="L995" s="17" t="b">
        <f>Github!N$778</f>
        <v>0</v>
      </c>
      <c r="M995" s="17" t="str">
        <f>ROUND(Github!O$778, 2)&amp;"%"</f>
        <v>36.22%</v>
      </c>
      <c r="N995" s="17">
        <f>Github!P$778</f>
        <v>49825</v>
      </c>
      <c r="O995" s="17">
        <f>Github!Q$778</f>
        <v>137555</v>
      </c>
    </row>
    <row r="996" ht="18.0" customHeight="1">
      <c r="A996" s="17">
        <f>Github!J$59</f>
        <v>58</v>
      </c>
      <c r="B996" s="27" t="str">
        <f>HYPERLINK(CONCAT("http://leetcode.com/problems/",Github!C$59), Github!B$59)</f>
        <v>Length of Last Word</v>
      </c>
      <c r="C996" s="17">
        <f>Github!F$59</f>
        <v>745</v>
      </c>
      <c r="D996" s="17">
        <f>Github!G$59</f>
        <v>59</v>
      </c>
      <c r="E996" s="17">
        <f>Github!F$59+Github!G$59</f>
        <v>804</v>
      </c>
      <c r="F996" s="18">
        <f t="shared" si="1"/>
        <v>12.63</v>
      </c>
      <c r="G996" s="17" t="str">
        <f>Github!H$59</f>
        <v>Algorithms</v>
      </c>
      <c r="H996" s="19" t="str">
        <f>SUBSTITUTE(Github!L$59, ";", ", ")</f>
        <v>String, </v>
      </c>
      <c r="I996" s="17" t="str">
        <f>Github!E$59</f>
        <v>Easy</v>
      </c>
      <c r="J996" s="17" t="str">
        <f>IF(TRIM(Github!D$59)="TRUE","FALSE","TRUE")</f>
        <v>TRUE</v>
      </c>
      <c r="K996" s="17" t="b">
        <f>Github!M$59</f>
        <v>1</v>
      </c>
      <c r="L996" s="17" t="b">
        <f>Github!N$59</f>
        <v>0</v>
      </c>
      <c r="M996" s="17" t="str">
        <f>ROUND(Github!O$59, 2)&amp;"%"</f>
        <v>36.89%</v>
      </c>
      <c r="N996" s="17">
        <f>Github!P$59</f>
        <v>689356</v>
      </c>
      <c r="O996" s="17">
        <f>Github!Q$59</f>
        <v>1868694</v>
      </c>
    </row>
    <row r="997" ht="18.0" customHeight="1">
      <c r="A997" s="17">
        <f>Github!J$1100</f>
        <v>1099</v>
      </c>
      <c r="B997" s="27" t="str">
        <f>HYPERLINK(CONCAT("http://leetcode.com/problems/",Github!C$1100), Github!B$1100)</f>
        <v>Two Sum Less Than K</v>
      </c>
      <c r="C997" s="17">
        <f>Github!F$1100</f>
        <v>744</v>
      </c>
      <c r="D997" s="17">
        <f>Github!G$1100</f>
        <v>84</v>
      </c>
      <c r="E997" s="17">
        <f>Github!F$1100+Github!G$1100</f>
        <v>828</v>
      </c>
      <c r="F997" s="18">
        <f t="shared" si="1"/>
        <v>8.86</v>
      </c>
      <c r="G997" s="17" t="str">
        <f>Github!H$1100</f>
        <v>Algorithms</v>
      </c>
      <c r="H997" s="19" t="str">
        <f>SUBSTITUTE(Github!L$1100, ";", ", ")</f>
        <v>Array, Two Pointers, Binary Search, Sorting, </v>
      </c>
      <c r="I997" s="17" t="str">
        <f>Github!E$1100</f>
        <v>Easy</v>
      </c>
      <c r="J997" s="17" t="str">
        <f>IF(TRIM(Github!D$1100)="TRUE","FALSE","TRUE")</f>
        <v>FALSE</v>
      </c>
      <c r="K997" s="17" t="b">
        <f>Github!M$1100</f>
        <v>1</v>
      </c>
      <c r="L997" s="17" t="b">
        <f>Github!N$1100</f>
        <v>1</v>
      </c>
      <c r="M997" s="17" t="str">
        <f>ROUND(Github!O$1100, 2)&amp;"%"</f>
        <v>60.49%</v>
      </c>
      <c r="N997" s="17">
        <f>Github!P$1100</f>
        <v>85304</v>
      </c>
      <c r="O997" s="17">
        <f>Github!Q$1100</f>
        <v>141031</v>
      </c>
    </row>
    <row r="998" ht="18.0" customHeight="1">
      <c r="A998" s="17">
        <f>Github!J$865</f>
        <v>864</v>
      </c>
      <c r="B998" s="27" t="str">
        <f>HYPERLINK(CONCAT("http://leetcode.com/problems/",Github!C$865), Github!B$865)</f>
        <v>Shortest Path to Get All Keys</v>
      </c>
      <c r="C998" s="17">
        <f>Github!F$865</f>
        <v>742</v>
      </c>
      <c r="D998" s="17">
        <f>Github!G$865</f>
        <v>25</v>
      </c>
      <c r="E998" s="17">
        <f>Github!F$865+Github!G$865</f>
        <v>767</v>
      </c>
      <c r="F998" s="18">
        <f t="shared" si="1"/>
        <v>29.68</v>
      </c>
      <c r="G998" s="17" t="str">
        <f>Github!H$865</f>
        <v>Algorithms</v>
      </c>
      <c r="H998" s="19" t="str">
        <f>SUBSTITUTE(Github!L$865, ";", ", ")</f>
        <v>Bit Manipulation, Breadth-First Search, </v>
      </c>
      <c r="I998" s="17" t="str">
        <f>Github!E$865</f>
        <v>Hard</v>
      </c>
      <c r="J998" s="17" t="str">
        <f>IF(TRIM(Github!D$865)="TRUE","FALSE","TRUE")</f>
        <v>TRUE</v>
      </c>
      <c r="K998" s="17" t="b">
        <f>Github!M$865</f>
        <v>0</v>
      </c>
      <c r="L998" s="17" t="b">
        <f>Github!N$865</f>
        <v>0</v>
      </c>
      <c r="M998" s="17" t="str">
        <f>ROUND(Github!O$865, 2)&amp;"%"</f>
        <v>44.28%</v>
      </c>
      <c r="N998" s="17">
        <f>Github!P$865</f>
        <v>22343</v>
      </c>
      <c r="O998" s="17">
        <f>Github!Q$865</f>
        <v>50456</v>
      </c>
    </row>
    <row r="999" ht="18.0" customHeight="1">
      <c r="A999" s="17">
        <f>Github!J$164</f>
        <v>163</v>
      </c>
      <c r="B999" s="27" t="str">
        <f>HYPERLINK(CONCAT("http://leetcode.com/problems/",Github!C$164), Github!B$164)</f>
        <v>Missing Ranges</v>
      </c>
      <c r="C999" s="17">
        <f>Github!F$164</f>
        <v>741</v>
      </c>
      <c r="D999" s="17">
        <f>Github!G$164</f>
        <v>2457</v>
      </c>
      <c r="E999" s="17">
        <f>Github!F$164+Github!G$164</f>
        <v>3198</v>
      </c>
      <c r="F999" s="18">
        <f t="shared" si="1"/>
        <v>0.3</v>
      </c>
      <c r="G999" s="17" t="str">
        <f>Github!H$164</f>
        <v>Algorithms</v>
      </c>
      <c r="H999" s="19" t="str">
        <f>SUBSTITUTE(Github!L$164, ";", ", ")</f>
        <v>Array, </v>
      </c>
      <c r="I999" s="17" t="str">
        <f>Github!E$164</f>
        <v>Easy</v>
      </c>
      <c r="J999" s="17" t="str">
        <f>IF(TRIM(Github!D$164)="TRUE","FALSE","TRUE")</f>
        <v>FALSE</v>
      </c>
      <c r="K999" s="17" t="b">
        <f>Github!M$164</f>
        <v>1</v>
      </c>
      <c r="L999" s="17" t="b">
        <f>Github!N$164</f>
        <v>1</v>
      </c>
      <c r="M999" s="17" t="str">
        <f>ROUND(Github!O$164, 2)&amp;"%"</f>
        <v>30.99%</v>
      </c>
      <c r="N999" s="17">
        <f>Github!P$164</f>
        <v>162217</v>
      </c>
      <c r="O999" s="17">
        <f>Github!Q$164</f>
        <v>523438</v>
      </c>
    </row>
    <row r="1000" ht="18.0" customHeight="1">
      <c r="A1000" s="17">
        <f>Github!J$1906</f>
        <v>1905</v>
      </c>
      <c r="B1000" s="27" t="str">
        <f>HYPERLINK(CONCAT("http://leetcode.com/problems/",Github!C$1906), Github!B$1906)</f>
        <v>Count Sub Islands</v>
      </c>
      <c r="C1000" s="17">
        <f>Github!F$1906</f>
        <v>742</v>
      </c>
      <c r="D1000" s="17">
        <f>Github!G$1906</f>
        <v>25</v>
      </c>
      <c r="E1000" s="17">
        <f>Github!F$1906+Github!G$1906</f>
        <v>767</v>
      </c>
      <c r="F1000" s="18">
        <f t="shared" si="1"/>
        <v>29.68</v>
      </c>
      <c r="G1000" s="17" t="str">
        <f>Github!H$1906</f>
        <v>Algorithms</v>
      </c>
      <c r="H1000" s="19" t="str">
        <f>SUBSTITUTE(Github!L$1906, ";", ", ")</f>
        <v>Array, Depth-First Search, Breadth-First Search, Union Find, Matrix, </v>
      </c>
      <c r="I1000" s="17" t="str">
        <f>Github!E$1906</f>
        <v>Medium</v>
      </c>
      <c r="J1000" s="17" t="str">
        <f>IF(TRIM(Github!D$1906)="TRUE","FALSE","TRUE")</f>
        <v>TRUE</v>
      </c>
      <c r="K1000" s="17" t="b">
        <f>Github!M$1906</f>
        <v>0</v>
      </c>
      <c r="L1000" s="17" t="b">
        <f>Github!N$1906</f>
        <v>0</v>
      </c>
      <c r="M1000" s="17" t="str">
        <f>ROUND(Github!O$1906, 2)&amp;"%"</f>
        <v>64.25%</v>
      </c>
      <c r="N1000" s="17">
        <f>Github!P$1906</f>
        <v>24192</v>
      </c>
      <c r="O1000" s="17">
        <f>Github!Q$1906</f>
        <v>37655</v>
      </c>
    </row>
    <row r="1001" ht="18.0" customHeight="1">
      <c r="A1001" s="17">
        <f>Github!J$1152</f>
        <v>1151</v>
      </c>
      <c r="B1001" s="27" t="str">
        <f>HYPERLINK(CONCAT("http://leetcode.com/problems/",Github!C$1152), Github!B$1152)</f>
        <v>Minimum Swaps to Group All 1's Together</v>
      </c>
      <c r="C1001" s="17">
        <f>Github!F$1152</f>
        <v>739</v>
      </c>
      <c r="D1001" s="17">
        <f>Github!G$1152</f>
        <v>9</v>
      </c>
      <c r="E1001" s="17">
        <f>Github!F$1152+Github!G$1152</f>
        <v>748</v>
      </c>
      <c r="F1001" s="18">
        <f t="shared" si="1"/>
        <v>82.11</v>
      </c>
      <c r="G1001" s="17" t="str">
        <f>Github!H$1152</f>
        <v>Algorithms</v>
      </c>
      <c r="H1001" s="19" t="str">
        <f>SUBSTITUTE(Github!L$1152, ";", ", ")</f>
        <v>Array, Sliding Window, </v>
      </c>
      <c r="I1001" s="17" t="str">
        <f>Github!E$1152</f>
        <v>Medium</v>
      </c>
      <c r="J1001" s="17" t="str">
        <f>IF(TRIM(Github!D$1152)="TRUE","FALSE","TRUE")</f>
        <v>FALSE</v>
      </c>
      <c r="K1001" s="17" t="b">
        <f>Github!M$1152</f>
        <v>1</v>
      </c>
      <c r="L1001" s="17" t="b">
        <f>Github!N$1152</f>
        <v>1</v>
      </c>
      <c r="M1001" s="17" t="str">
        <f>ROUND(Github!O$1152, 2)&amp;"%"</f>
        <v>59.4%</v>
      </c>
      <c r="N1001" s="17">
        <f>Github!P$1152</f>
        <v>32879</v>
      </c>
      <c r="O1001" s="17">
        <f>Github!Q$1152</f>
        <v>55347</v>
      </c>
    </row>
    <row r="1002" ht="18.0" customHeight="1">
      <c r="A1002" s="17">
        <f>Github!J$391</f>
        <v>390</v>
      </c>
      <c r="B1002" s="27" t="str">
        <f>HYPERLINK(CONCAT("http://leetcode.com/problems/",Github!C$391), Github!B$391)</f>
        <v>Elimination Game</v>
      </c>
      <c r="C1002" s="17">
        <f>Github!F$391</f>
        <v>735</v>
      </c>
      <c r="D1002" s="17">
        <f>Github!G$391</f>
        <v>489</v>
      </c>
      <c r="E1002" s="17">
        <f>Github!F$391+Github!G$391</f>
        <v>1224</v>
      </c>
      <c r="F1002" s="18">
        <f t="shared" si="1"/>
        <v>1.5</v>
      </c>
      <c r="G1002" s="17" t="str">
        <f>Github!H$391</f>
        <v>Algorithms</v>
      </c>
      <c r="H1002" s="19" t="str">
        <f>SUBSTITUTE(Github!L$391, ";", ", ")</f>
        <v>Math, </v>
      </c>
      <c r="I1002" s="17" t="str">
        <f>Github!E$391</f>
        <v>Medium</v>
      </c>
      <c r="J1002" s="17" t="str">
        <f>IF(TRIM(Github!D$391)="TRUE","FALSE","TRUE")</f>
        <v>TRUE</v>
      </c>
      <c r="K1002" s="17" t="b">
        <f>Github!M$391</f>
        <v>0</v>
      </c>
      <c r="L1002" s="17" t="b">
        <f>Github!N$391</f>
        <v>0</v>
      </c>
      <c r="M1002" s="17" t="str">
        <f>ROUND(Github!O$391, 2)&amp;"%"</f>
        <v>46.31%</v>
      </c>
      <c r="N1002" s="17">
        <f>Github!P$391</f>
        <v>44207</v>
      </c>
      <c r="O1002" s="17">
        <f>Github!Q$391</f>
        <v>95460</v>
      </c>
    </row>
    <row r="1003" ht="18.0" customHeight="1">
      <c r="A1003" s="17">
        <f>Github!J$1412</f>
        <v>1411</v>
      </c>
      <c r="B1003" s="27" t="str">
        <f>HYPERLINK(CONCAT("http://leetcode.com/problems/",Github!C$1412), Github!B$1412)</f>
        <v>Number of Ways to Paint N × 3 Grid</v>
      </c>
      <c r="C1003" s="17">
        <f>Github!F$1412</f>
        <v>735</v>
      </c>
      <c r="D1003" s="17">
        <f>Github!G$1412</f>
        <v>33</v>
      </c>
      <c r="E1003" s="17">
        <f>Github!F$1412+Github!G$1412</f>
        <v>768</v>
      </c>
      <c r="F1003" s="18">
        <f t="shared" si="1"/>
        <v>22.27</v>
      </c>
      <c r="G1003" s="17" t="str">
        <f>Github!H$1412</f>
        <v>Algorithms</v>
      </c>
      <c r="H1003" s="19" t="str">
        <f>SUBSTITUTE(Github!L$1412, ";", ", ")</f>
        <v>Dynamic Programming, </v>
      </c>
      <c r="I1003" s="17" t="str">
        <f>Github!E$1412</f>
        <v>Hard</v>
      </c>
      <c r="J1003" s="17" t="str">
        <f>IF(TRIM(Github!D$1412)="TRUE","FALSE","TRUE")</f>
        <v>TRUE</v>
      </c>
      <c r="K1003" s="17" t="b">
        <f>Github!M$1412</f>
        <v>0</v>
      </c>
      <c r="L1003" s="17" t="b">
        <f>Github!N$1412</f>
        <v>0</v>
      </c>
      <c r="M1003" s="17" t="str">
        <f>ROUND(Github!O$1412, 2)&amp;"%"</f>
        <v>61.8%</v>
      </c>
      <c r="N1003" s="17">
        <f>Github!P$1412</f>
        <v>23762</v>
      </c>
      <c r="O1003" s="17">
        <f>Github!Q$1412</f>
        <v>38450</v>
      </c>
    </row>
    <row r="1004" ht="18.0" customHeight="1">
      <c r="A1004" s="17">
        <f>Github!J$1463</f>
        <v>1462</v>
      </c>
      <c r="B1004" s="27" t="str">
        <f>HYPERLINK(CONCAT("http://leetcode.com/problems/",Github!C$1463), Github!B$1463)</f>
        <v>Course Schedule IV</v>
      </c>
      <c r="C1004" s="17">
        <f>Github!F$1463</f>
        <v>735</v>
      </c>
      <c r="D1004" s="17">
        <f>Github!G$1463</f>
        <v>46</v>
      </c>
      <c r="E1004" s="17">
        <f>Github!F$1463+Github!G$1463</f>
        <v>781</v>
      </c>
      <c r="F1004" s="18">
        <f t="shared" si="1"/>
        <v>15.98</v>
      </c>
      <c r="G1004" s="17" t="str">
        <f>Github!H$1463</f>
        <v>Algorithms</v>
      </c>
      <c r="H1004" s="19" t="str">
        <f>SUBSTITUTE(Github!L$1463, ";", ", ")</f>
        <v>Depth-First Search, Breadth-First Search, Graph, Topological Sort, </v>
      </c>
      <c r="I1004" s="17" t="str">
        <f>Github!E$1463</f>
        <v>Medium</v>
      </c>
      <c r="J1004" s="17" t="str">
        <f>IF(TRIM(Github!D$1463)="TRUE","FALSE","TRUE")</f>
        <v>TRUE</v>
      </c>
      <c r="K1004" s="17" t="b">
        <f>Github!M$1463</f>
        <v>0</v>
      </c>
      <c r="L1004" s="17" t="b">
        <f>Github!N$1463</f>
        <v>0</v>
      </c>
      <c r="M1004" s="17" t="str">
        <f>ROUND(Github!O$1463, 2)&amp;"%"</f>
        <v>47.62%</v>
      </c>
      <c r="N1004" s="17">
        <f>Github!P$1463</f>
        <v>29518</v>
      </c>
      <c r="O1004" s="17">
        <f>Github!Q$1463</f>
        <v>61991</v>
      </c>
    </row>
    <row r="1005" ht="18.0" customHeight="1">
      <c r="A1005" s="17">
        <f>Github!J$724</f>
        <v>723</v>
      </c>
      <c r="B1005" s="27" t="str">
        <f>HYPERLINK(CONCAT("http://leetcode.com/problems/",Github!C$724), Github!B$724)</f>
        <v>Candy Crush</v>
      </c>
      <c r="C1005" s="17">
        <f>Github!F$724</f>
        <v>735</v>
      </c>
      <c r="D1005" s="17">
        <f>Github!G$724</f>
        <v>325</v>
      </c>
      <c r="E1005" s="17">
        <f>Github!F$724+Github!G$724</f>
        <v>1060</v>
      </c>
      <c r="F1005" s="18">
        <f t="shared" si="1"/>
        <v>2.26</v>
      </c>
      <c r="G1005" s="17" t="str">
        <f>Github!H$724</f>
        <v>Algorithms</v>
      </c>
      <c r="H1005" s="19" t="str">
        <f>SUBSTITUTE(Github!L$724, ";", ", ")</f>
        <v>Array, Two Pointers, Matrix, Simulation, </v>
      </c>
      <c r="I1005" s="17" t="str">
        <f>Github!E$724</f>
        <v>Medium</v>
      </c>
      <c r="J1005" s="17" t="str">
        <f>IF(TRIM(Github!D$724)="TRUE","FALSE","TRUE")</f>
        <v>FALSE</v>
      </c>
      <c r="K1005" s="17" t="b">
        <f>Github!M$724</f>
        <v>1</v>
      </c>
      <c r="L1005" s="17" t="b">
        <f>Github!N$724</f>
        <v>0</v>
      </c>
      <c r="M1005" s="17" t="str">
        <f>ROUND(Github!O$724, 2)&amp;"%"</f>
        <v>74.94%</v>
      </c>
      <c r="N1005" s="17">
        <f>Github!P$724</f>
        <v>48083</v>
      </c>
      <c r="O1005" s="17">
        <f>Github!Q$724</f>
        <v>64162</v>
      </c>
    </row>
    <row r="1006" ht="18.0" customHeight="1">
      <c r="A1006" s="17">
        <f>Github!J$1321</f>
        <v>1320</v>
      </c>
      <c r="B1006" s="27" t="str">
        <f>HYPERLINK(CONCAT("http://leetcode.com/problems/",Github!C$1321), Github!B$1321)</f>
        <v>Minimum Distance to Type a Word Using Two Fingers</v>
      </c>
      <c r="C1006" s="17">
        <f>Github!F$1321</f>
        <v>733</v>
      </c>
      <c r="D1006" s="17">
        <f>Github!G$1321</f>
        <v>28</v>
      </c>
      <c r="E1006" s="17">
        <f>Github!F$1321+Github!G$1321</f>
        <v>761</v>
      </c>
      <c r="F1006" s="18">
        <f t="shared" si="1"/>
        <v>26.18</v>
      </c>
      <c r="G1006" s="17" t="str">
        <f>Github!H$1321</f>
        <v>Algorithms</v>
      </c>
      <c r="H1006" s="19" t="str">
        <f>SUBSTITUTE(Github!L$1321, ";", ", ")</f>
        <v>String, Dynamic Programming, </v>
      </c>
      <c r="I1006" s="17" t="str">
        <f>Github!E$1321</f>
        <v>Hard</v>
      </c>
      <c r="J1006" s="17" t="str">
        <f>IF(TRIM(Github!D$1321)="TRUE","FALSE","TRUE")</f>
        <v>TRUE</v>
      </c>
      <c r="K1006" s="17" t="b">
        <f>Github!M$1321</f>
        <v>0</v>
      </c>
      <c r="L1006" s="17" t="b">
        <f>Github!N$1321</f>
        <v>0</v>
      </c>
      <c r="M1006" s="17" t="str">
        <f>ROUND(Github!O$1321, 2)&amp;"%"</f>
        <v>60.36%</v>
      </c>
      <c r="N1006" s="17">
        <f>Github!P$1321</f>
        <v>23127</v>
      </c>
      <c r="O1006" s="17">
        <f>Github!Q$1321</f>
        <v>38314</v>
      </c>
    </row>
    <row r="1007" ht="18.0" customHeight="1">
      <c r="A1007" s="17">
        <f>Github!J$483</f>
        <v>482</v>
      </c>
      <c r="B1007" s="27" t="str">
        <f>HYPERLINK(CONCAT("http://leetcode.com/problems/",Github!C$483), Github!B$483)</f>
        <v>License Key Formatting</v>
      </c>
      <c r="C1007" s="17">
        <f>Github!F$483</f>
        <v>733</v>
      </c>
      <c r="D1007" s="17">
        <f>Github!G$483</f>
        <v>1057</v>
      </c>
      <c r="E1007" s="17">
        <f>Github!F$483+Github!G$483</f>
        <v>1790</v>
      </c>
      <c r="F1007" s="18">
        <f t="shared" si="1"/>
        <v>0.69</v>
      </c>
      <c r="G1007" s="17" t="str">
        <f>Github!H$483</f>
        <v>Algorithms</v>
      </c>
      <c r="H1007" s="19" t="str">
        <f>SUBSTITUTE(Github!L$483, ";", ", ")</f>
        <v>String, </v>
      </c>
      <c r="I1007" s="17" t="str">
        <f>Github!E$483</f>
        <v>Easy</v>
      </c>
      <c r="J1007" s="17" t="str">
        <f>IF(TRIM(Github!D$483)="TRUE","FALSE","TRUE")</f>
        <v>TRUE</v>
      </c>
      <c r="K1007" s="17" t="b">
        <f>Github!M$483</f>
        <v>0</v>
      </c>
      <c r="L1007" s="17" t="b">
        <f>Github!N$483</f>
        <v>0</v>
      </c>
      <c r="M1007" s="17" t="str">
        <f>ROUND(Github!O$483, 2)&amp;"%"</f>
        <v>43.13%</v>
      </c>
      <c r="N1007" s="17">
        <f>Github!P$483</f>
        <v>205452</v>
      </c>
      <c r="O1007" s="17">
        <f>Github!Q$483</f>
        <v>476403</v>
      </c>
    </row>
    <row r="1008" ht="18.0" customHeight="1">
      <c r="A1008" s="17">
        <f>Github!J$743</f>
        <v>742</v>
      </c>
      <c r="B1008" s="27" t="str">
        <f>HYPERLINK(CONCAT("http://leetcode.com/problems/",Github!C$743), Github!B$743)</f>
        <v>Closest Leaf in a Binary Tree</v>
      </c>
      <c r="C1008" s="17">
        <f>Github!F$743</f>
        <v>732</v>
      </c>
      <c r="D1008" s="17">
        <f>Github!G$743</f>
        <v>146</v>
      </c>
      <c r="E1008" s="17">
        <f>Github!F$743+Github!G$743</f>
        <v>878</v>
      </c>
      <c r="F1008" s="18">
        <f t="shared" si="1"/>
        <v>5.01</v>
      </c>
      <c r="G1008" s="17" t="str">
        <f>Github!H$743</f>
        <v>Algorithms</v>
      </c>
      <c r="H1008" s="19" t="str">
        <f>SUBSTITUTE(Github!L$743, ";", ", ")</f>
        <v>Tree, Depth-First Search, Breadth-First Search, Binary Tree, </v>
      </c>
      <c r="I1008" s="17" t="str">
        <f>Github!E$743</f>
        <v>Medium</v>
      </c>
      <c r="J1008" s="17" t="str">
        <f>IF(TRIM(Github!D$743)="TRUE","FALSE","TRUE")</f>
        <v>FALSE</v>
      </c>
      <c r="K1008" s="17" t="b">
        <f>Github!M$743</f>
        <v>1</v>
      </c>
      <c r="L1008" s="17" t="b">
        <f>Github!N$743</f>
        <v>0</v>
      </c>
      <c r="M1008" s="17" t="str">
        <f>ROUND(Github!O$743, 2)&amp;"%"</f>
        <v>45.47%</v>
      </c>
      <c r="N1008" s="17">
        <f>Github!P$743</f>
        <v>36687</v>
      </c>
      <c r="O1008" s="17">
        <f>Github!Q$743</f>
        <v>80692</v>
      </c>
    </row>
    <row r="1009" ht="18.0" customHeight="1">
      <c r="A1009" s="17">
        <f>Github!J$562</f>
        <v>561</v>
      </c>
      <c r="B1009" s="27" t="str">
        <f>HYPERLINK(CONCAT("http://leetcode.com/problems/",Github!C$562), Github!B$562)</f>
        <v>Array Partition I</v>
      </c>
      <c r="C1009" s="17">
        <f>Github!F$562</f>
        <v>731</v>
      </c>
      <c r="D1009" s="17">
        <f>Github!G$562</f>
        <v>125</v>
      </c>
      <c r="E1009" s="17">
        <f>Github!F$562+Github!G$562</f>
        <v>856</v>
      </c>
      <c r="F1009" s="18">
        <f t="shared" si="1"/>
        <v>5.85</v>
      </c>
      <c r="G1009" s="17" t="str">
        <f>Github!H$562</f>
        <v>Algorithms</v>
      </c>
      <c r="H1009" s="19" t="str">
        <f>SUBSTITUTE(Github!L$562, ";", ", ")</f>
        <v>Array, Greedy, Sorting, Counting Sort, </v>
      </c>
      <c r="I1009" s="17" t="str">
        <f>Github!E$562</f>
        <v>Easy</v>
      </c>
      <c r="J1009" s="17" t="str">
        <f>IF(TRIM(Github!D$562)="TRUE","FALSE","TRUE")</f>
        <v>TRUE</v>
      </c>
      <c r="K1009" s="17" t="b">
        <f>Github!M$562</f>
        <v>0</v>
      </c>
      <c r="L1009" s="17" t="b">
        <f>Github!N$562</f>
        <v>0</v>
      </c>
      <c r="M1009" s="17" t="str">
        <f>ROUND(Github!O$562, 2)&amp;"%"</f>
        <v>75.38%</v>
      </c>
      <c r="N1009" s="17">
        <f>Github!P$562</f>
        <v>316430</v>
      </c>
      <c r="O1009" s="17">
        <f>Github!Q$562</f>
        <v>419781</v>
      </c>
    </row>
    <row r="1010" ht="18.0" customHeight="1">
      <c r="A1010" s="17">
        <f>Github!J$248</f>
        <v>247</v>
      </c>
      <c r="B1010" s="27" t="str">
        <f>HYPERLINK(CONCAT("http://leetcode.com/problems/",Github!C$248), Github!B$248)</f>
        <v>Strobogrammatic Number II</v>
      </c>
      <c r="C1010" s="17">
        <f>Github!F$248</f>
        <v>730</v>
      </c>
      <c r="D1010" s="17">
        <f>Github!G$248</f>
        <v>187</v>
      </c>
      <c r="E1010" s="17">
        <f>Github!F$248+Github!G$248</f>
        <v>917</v>
      </c>
      <c r="F1010" s="18">
        <f t="shared" si="1"/>
        <v>3.9</v>
      </c>
      <c r="G1010" s="17" t="str">
        <f>Github!H$248</f>
        <v>Algorithms</v>
      </c>
      <c r="H1010" s="19" t="str">
        <f>SUBSTITUTE(Github!L$248, ";", ", ")</f>
        <v>Array, String, Recursion, </v>
      </c>
      <c r="I1010" s="17" t="str">
        <f>Github!E$248</f>
        <v>Medium</v>
      </c>
      <c r="J1010" s="17" t="str">
        <f>IF(TRIM(Github!D$248)="TRUE","FALSE","TRUE")</f>
        <v>FALSE</v>
      </c>
      <c r="K1010" s="17" t="b">
        <f>Github!M$248</f>
        <v>1</v>
      </c>
      <c r="L1010" s="17" t="b">
        <f>Github!N$248</f>
        <v>0</v>
      </c>
      <c r="M1010" s="17" t="str">
        <f>ROUND(Github!O$248, 2)&amp;"%"</f>
        <v>50.59%</v>
      </c>
      <c r="N1010" s="17">
        <f>Github!P$248</f>
        <v>114132</v>
      </c>
      <c r="O1010" s="17">
        <f>Github!Q$248</f>
        <v>225586</v>
      </c>
    </row>
    <row r="1011" ht="18.0" customHeight="1">
      <c r="A1011" s="17">
        <f>Github!J$920</f>
        <v>919</v>
      </c>
      <c r="B1011" s="27" t="str">
        <f>HYPERLINK(CONCAT("http://leetcode.com/problems/",Github!C$920), Github!B$920)</f>
        <v>Complete Binary Tree Inserter</v>
      </c>
      <c r="C1011" s="17">
        <f>Github!F$920</f>
        <v>728</v>
      </c>
      <c r="D1011" s="17">
        <f>Github!G$920</f>
        <v>82</v>
      </c>
      <c r="E1011" s="17">
        <f>Github!F$920+Github!G$920</f>
        <v>810</v>
      </c>
      <c r="F1011" s="18">
        <f t="shared" si="1"/>
        <v>8.88</v>
      </c>
      <c r="G1011" s="17" t="str">
        <f>Github!H$920</f>
        <v>Algorithms</v>
      </c>
      <c r="H1011" s="19" t="str">
        <f>SUBSTITUTE(Github!L$920, ";", ", ")</f>
        <v>Tree, Breadth-First Search, Design, Binary Tree, </v>
      </c>
      <c r="I1011" s="17" t="str">
        <f>Github!E$920</f>
        <v>Medium</v>
      </c>
      <c r="J1011" s="17" t="str">
        <f>IF(TRIM(Github!D$920)="TRUE","FALSE","TRUE")</f>
        <v>TRUE</v>
      </c>
      <c r="K1011" s="17" t="b">
        <f>Github!M$920</f>
        <v>1</v>
      </c>
      <c r="L1011" s="17" t="b">
        <f>Github!N$920</f>
        <v>0</v>
      </c>
      <c r="M1011" s="17" t="str">
        <f>ROUND(Github!O$920, 2)&amp;"%"</f>
        <v>63.71%</v>
      </c>
      <c r="N1011" s="17">
        <f>Github!P$920</f>
        <v>37168</v>
      </c>
      <c r="O1011" s="17">
        <f>Github!Q$920</f>
        <v>58343</v>
      </c>
    </row>
    <row r="1012" ht="18.0" customHeight="1">
      <c r="A1012" s="17">
        <f>Github!J$1977</f>
        <v>1976</v>
      </c>
      <c r="B1012" s="27" t="str">
        <f>HYPERLINK(CONCAT("http://leetcode.com/problems/",Github!C$1977), Github!B$1977)</f>
        <v>Number of Ways to Arrive at Destination</v>
      </c>
      <c r="C1012" s="17">
        <f>Github!F$1977</f>
        <v>728</v>
      </c>
      <c r="D1012" s="17">
        <f>Github!G$1977</f>
        <v>22</v>
      </c>
      <c r="E1012" s="17">
        <f>Github!F$1977+Github!G$1977</f>
        <v>750</v>
      </c>
      <c r="F1012" s="18">
        <f t="shared" si="1"/>
        <v>33.09</v>
      </c>
      <c r="G1012" s="17" t="str">
        <f>Github!H$1977</f>
        <v>Algorithms</v>
      </c>
      <c r="H1012" s="19" t="str">
        <f>SUBSTITUTE(Github!L$1977, ";", ", ")</f>
        <v>Dynamic Programming, Graph, Topological Sort, Shortest Path, </v>
      </c>
      <c r="I1012" s="17" t="str">
        <f>Github!E$1977</f>
        <v>Medium</v>
      </c>
      <c r="J1012" s="17" t="str">
        <f>IF(TRIM(Github!D$1977)="TRUE","FALSE","TRUE")</f>
        <v>TRUE</v>
      </c>
      <c r="K1012" s="17" t="b">
        <f>Github!M$1977</f>
        <v>0</v>
      </c>
      <c r="L1012" s="17" t="b">
        <f>Github!N$1977</f>
        <v>0</v>
      </c>
      <c r="M1012" s="17" t="str">
        <f>ROUND(Github!O$1977, 2)&amp;"%"</f>
        <v>32.51%</v>
      </c>
      <c r="N1012" s="17">
        <f>Github!P$1977</f>
        <v>12333</v>
      </c>
      <c r="O1012" s="17">
        <f>Github!Q$1977</f>
        <v>37941</v>
      </c>
    </row>
    <row r="1013" ht="18.0" customHeight="1">
      <c r="A1013" s="17">
        <f>Github!J$1571</f>
        <v>1570</v>
      </c>
      <c r="B1013" s="27" t="str">
        <f>HYPERLINK(CONCAT("http://leetcode.com/problems/",Github!C$1571), Github!B$1571)</f>
        <v>Dot Product of Two Sparse Vectors</v>
      </c>
      <c r="C1013" s="17">
        <f>Github!F$1571</f>
        <v>727</v>
      </c>
      <c r="D1013" s="17">
        <f>Github!G$1571</f>
        <v>94</v>
      </c>
      <c r="E1013" s="17">
        <f>Github!F$1571+Github!G$1571</f>
        <v>821</v>
      </c>
      <c r="F1013" s="18">
        <f t="shared" si="1"/>
        <v>7.73</v>
      </c>
      <c r="G1013" s="17" t="str">
        <f>Github!H$1571</f>
        <v>Algorithms</v>
      </c>
      <c r="H1013" s="19" t="str">
        <f>SUBSTITUTE(Github!L$1571, ";", ", ")</f>
        <v>Array, Hash Table, Two Pointers, Design, </v>
      </c>
      <c r="I1013" s="17" t="str">
        <f>Github!E$1571</f>
        <v>Medium</v>
      </c>
      <c r="J1013" s="17" t="str">
        <f>IF(TRIM(Github!D$1571)="TRUE","FALSE","TRUE")</f>
        <v>FALSE</v>
      </c>
      <c r="K1013" s="17" t="b">
        <f>Github!M$1571</f>
        <v>1</v>
      </c>
      <c r="L1013" s="17" t="b">
        <f>Github!N$1571</f>
        <v>0</v>
      </c>
      <c r="M1013" s="17" t="str">
        <f>ROUND(Github!O$1571, 2)&amp;"%"</f>
        <v>90.5%</v>
      </c>
      <c r="N1013" s="17">
        <f>Github!P$1571</f>
        <v>128027</v>
      </c>
      <c r="O1013" s="17">
        <f>Github!Q$1571</f>
        <v>141459</v>
      </c>
    </row>
    <row r="1014" ht="18.0" customHeight="1">
      <c r="A1014" s="17">
        <f>Github!J$1701</f>
        <v>1700</v>
      </c>
      <c r="B1014" s="27" t="str">
        <f>HYPERLINK(CONCAT("http://leetcode.com/problems/",Github!C$1701), Github!B$1701)</f>
        <v>Number of Students Unable to Eat Lunch</v>
      </c>
      <c r="C1014" s="17">
        <f>Github!F$1701</f>
        <v>725</v>
      </c>
      <c r="D1014" s="17">
        <f>Github!G$1701</f>
        <v>37</v>
      </c>
      <c r="E1014" s="17">
        <f>Github!F$1701+Github!G$1701</f>
        <v>762</v>
      </c>
      <c r="F1014" s="18">
        <f t="shared" si="1"/>
        <v>19.59</v>
      </c>
      <c r="G1014" s="17" t="str">
        <f>Github!H$1701</f>
        <v>Algorithms</v>
      </c>
      <c r="H1014" s="19" t="str">
        <f>SUBSTITUTE(Github!L$1701, ";", ", ")</f>
        <v>Array, Stack, Queue, Simulation, </v>
      </c>
      <c r="I1014" s="17" t="str">
        <f>Github!E$1701</f>
        <v>Easy</v>
      </c>
      <c r="J1014" s="17" t="str">
        <f>IF(TRIM(Github!D$1701)="TRUE","FALSE","TRUE")</f>
        <v>TRUE</v>
      </c>
      <c r="K1014" s="17" t="b">
        <f>Github!M$1701</f>
        <v>0</v>
      </c>
      <c r="L1014" s="17" t="b">
        <f>Github!N$1701</f>
        <v>0</v>
      </c>
      <c r="M1014" s="17" t="str">
        <f>ROUND(Github!O$1701, 2)&amp;"%"</f>
        <v>67.9%</v>
      </c>
      <c r="N1014" s="17">
        <f>Github!P$1701</f>
        <v>35272</v>
      </c>
      <c r="O1014" s="17">
        <f>Github!Q$1701</f>
        <v>51949</v>
      </c>
    </row>
    <row r="1015" ht="18.0" customHeight="1">
      <c r="A1015" s="17">
        <f>Github!J$224</f>
        <v>223</v>
      </c>
      <c r="B1015" s="27" t="str">
        <f>HYPERLINK(CONCAT("http://leetcode.com/problems/",Github!C$224), Github!B$224)</f>
        <v>Rectangle Area</v>
      </c>
      <c r="C1015" s="17">
        <f>Github!F$224</f>
        <v>723</v>
      </c>
      <c r="D1015" s="17">
        <f>Github!G$224</f>
        <v>997</v>
      </c>
      <c r="E1015" s="17">
        <f>Github!F$224+Github!G$224</f>
        <v>1720</v>
      </c>
      <c r="F1015" s="18">
        <f t="shared" si="1"/>
        <v>0.73</v>
      </c>
      <c r="G1015" s="17" t="str">
        <f>Github!H$224</f>
        <v>Algorithms</v>
      </c>
      <c r="H1015" s="19" t="str">
        <f>SUBSTITUTE(Github!L$224, ";", ", ")</f>
        <v>Math, Geometry, </v>
      </c>
      <c r="I1015" s="17" t="str">
        <f>Github!E$224</f>
        <v>Medium</v>
      </c>
      <c r="J1015" s="17" t="str">
        <f>IF(TRIM(Github!D$224)="TRUE","FALSE","TRUE")</f>
        <v>TRUE</v>
      </c>
      <c r="K1015" s="17" t="b">
        <f>Github!M$224</f>
        <v>0</v>
      </c>
      <c r="L1015" s="17" t="b">
        <f>Github!N$224</f>
        <v>0</v>
      </c>
      <c r="M1015" s="17" t="str">
        <f>ROUND(Github!O$224, 2)&amp;"%"</f>
        <v>39.91%</v>
      </c>
      <c r="N1015" s="17">
        <f>Github!P$224</f>
        <v>133802</v>
      </c>
      <c r="O1015" s="17">
        <f>Github!Q$224</f>
        <v>335272</v>
      </c>
    </row>
    <row r="1016" ht="18.0" customHeight="1">
      <c r="A1016" s="17">
        <f>Github!J$1713</f>
        <v>1712</v>
      </c>
      <c r="B1016" s="27" t="str">
        <f>HYPERLINK(CONCAT("http://leetcode.com/problems/",Github!C$1713), Github!B$1713)</f>
        <v>Ways to Split Array Into Three Subarrays</v>
      </c>
      <c r="C1016" s="17">
        <f>Github!F$1713</f>
        <v>724</v>
      </c>
      <c r="D1016" s="17">
        <f>Github!G$1713</f>
        <v>68</v>
      </c>
      <c r="E1016" s="17">
        <f>Github!F$1713+Github!G$1713</f>
        <v>792</v>
      </c>
      <c r="F1016" s="18">
        <f t="shared" si="1"/>
        <v>10.65</v>
      </c>
      <c r="G1016" s="17" t="str">
        <f>Github!H$1713</f>
        <v>Algorithms</v>
      </c>
      <c r="H1016" s="19" t="str">
        <f>SUBSTITUTE(Github!L$1713, ";", ", ")</f>
        <v>Array, Two Pointers, Binary Search, Prefix Sum, </v>
      </c>
      <c r="I1016" s="17" t="str">
        <f>Github!E$1713</f>
        <v>Medium</v>
      </c>
      <c r="J1016" s="17" t="str">
        <f>IF(TRIM(Github!D$1713)="TRUE","FALSE","TRUE")</f>
        <v>TRUE</v>
      </c>
      <c r="K1016" s="17" t="b">
        <f>Github!M$1713</f>
        <v>0</v>
      </c>
      <c r="L1016" s="17" t="b">
        <f>Github!N$1713</f>
        <v>0</v>
      </c>
      <c r="M1016" s="17" t="str">
        <f>ROUND(Github!O$1713, 2)&amp;"%"</f>
        <v>30.8%</v>
      </c>
      <c r="N1016" s="17">
        <f>Github!P$1713</f>
        <v>17712</v>
      </c>
      <c r="O1016" s="17">
        <f>Github!Q$1713</f>
        <v>57500</v>
      </c>
    </row>
    <row r="1017" ht="18.0" customHeight="1">
      <c r="A1017" s="17">
        <f>Github!J$1733</f>
        <v>1732</v>
      </c>
      <c r="B1017" s="27" t="str">
        <f>HYPERLINK(CONCAT("http://leetcode.com/problems/",Github!C$1733), Github!B$1733)</f>
        <v>Find the Highest Altitude</v>
      </c>
      <c r="C1017" s="17">
        <f>Github!F$1733</f>
        <v>724</v>
      </c>
      <c r="D1017" s="17">
        <f>Github!G$1733</f>
        <v>73</v>
      </c>
      <c r="E1017" s="17">
        <f>Github!F$1733+Github!G$1733</f>
        <v>797</v>
      </c>
      <c r="F1017" s="18">
        <f t="shared" si="1"/>
        <v>9.92</v>
      </c>
      <c r="G1017" s="17" t="str">
        <f>Github!H$1733</f>
        <v>Algorithms</v>
      </c>
      <c r="H1017" s="19" t="str">
        <f>SUBSTITUTE(Github!L$1733, ";", ", ")</f>
        <v>Array, Prefix Sum, </v>
      </c>
      <c r="I1017" s="17" t="str">
        <f>Github!E$1733</f>
        <v>Easy</v>
      </c>
      <c r="J1017" s="17" t="str">
        <f>IF(TRIM(Github!D$1733)="TRUE","FALSE","TRUE")</f>
        <v>TRUE</v>
      </c>
      <c r="K1017" s="17" t="b">
        <f>Github!M$1733</f>
        <v>0</v>
      </c>
      <c r="L1017" s="17" t="b">
        <f>Github!N$1733</f>
        <v>0</v>
      </c>
      <c r="M1017" s="17" t="str">
        <f>ROUND(Github!O$1733, 2)&amp;"%"</f>
        <v>78.93%</v>
      </c>
      <c r="N1017" s="17">
        <f>Github!P$1733</f>
        <v>66314</v>
      </c>
      <c r="O1017" s="17">
        <f>Github!Q$1733</f>
        <v>84014</v>
      </c>
    </row>
    <row r="1018" ht="18.0" customHeight="1">
      <c r="A1018" s="17">
        <f>Github!J$787</f>
        <v>786</v>
      </c>
      <c r="B1018" s="27" t="str">
        <f>HYPERLINK(CONCAT("http://leetcode.com/problems/",Github!C$787), Github!B$787)</f>
        <v>K-th Smallest Prime Fraction</v>
      </c>
      <c r="C1018" s="17">
        <f>Github!F$787</f>
        <v>721</v>
      </c>
      <c r="D1018" s="17">
        <f>Github!G$787</f>
        <v>36</v>
      </c>
      <c r="E1018" s="17">
        <f>Github!F$787+Github!G$787</f>
        <v>757</v>
      </c>
      <c r="F1018" s="18">
        <f t="shared" si="1"/>
        <v>20.03</v>
      </c>
      <c r="G1018" s="17" t="str">
        <f>Github!H$787</f>
        <v>Algorithms</v>
      </c>
      <c r="H1018" s="19" t="str">
        <f>SUBSTITUTE(Github!L$787, ";", ", ")</f>
        <v>Array, Binary Search, Heap (Priority Queue), </v>
      </c>
      <c r="I1018" s="17" t="str">
        <f>Github!E$787</f>
        <v>Hard</v>
      </c>
      <c r="J1018" s="17" t="str">
        <f>IF(TRIM(Github!D$787)="TRUE","FALSE","TRUE")</f>
        <v>TRUE</v>
      </c>
      <c r="K1018" s="17" t="b">
        <f>Github!M$787</f>
        <v>1</v>
      </c>
      <c r="L1018" s="17" t="b">
        <f>Github!N$787</f>
        <v>0</v>
      </c>
      <c r="M1018" s="17" t="str">
        <f>ROUND(Github!O$787, 2)&amp;"%"</f>
        <v>48.08%</v>
      </c>
      <c r="N1018" s="17">
        <f>Github!P$787</f>
        <v>25237</v>
      </c>
      <c r="O1018" s="17">
        <f>Github!Q$787</f>
        <v>52487</v>
      </c>
    </row>
    <row r="1019" ht="18.0" customHeight="1">
      <c r="A1019" s="17">
        <f>Github!J$934</f>
        <v>933</v>
      </c>
      <c r="B1019" s="27" t="str">
        <f>HYPERLINK(CONCAT("http://leetcode.com/problems/",Github!C$934), Github!B$934)</f>
        <v>Number of Recent Calls</v>
      </c>
      <c r="C1019" s="17">
        <f>Github!F$934</f>
        <v>722</v>
      </c>
      <c r="D1019" s="17">
        <f>Github!G$934</f>
        <v>2409</v>
      </c>
      <c r="E1019" s="17">
        <f>Github!F$934+Github!G$934</f>
        <v>3131</v>
      </c>
      <c r="F1019" s="18">
        <f t="shared" si="1"/>
        <v>0.3</v>
      </c>
      <c r="G1019" s="17" t="str">
        <f>Github!H$934</f>
        <v>Algorithms</v>
      </c>
      <c r="H1019" s="19" t="str">
        <f>SUBSTITUTE(Github!L$934, ";", ", ")</f>
        <v>Design, Queue, Data Stream, </v>
      </c>
      <c r="I1019" s="17" t="str">
        <f>Github!E$934</f>
        <v>Easy</v>
      </c>
      <c r="J1019" s="17" t="str">
        <f>IF(TRIM(Github!D$934)="TRUE","FALSE","TRUE")</f>
        <v>TRUE</v>
      </c>
      <c r="K1019" s="17" t="b">
        <f>Github!M$934</f>
        <v>1</v>
      </c>
      <c r="L1019" s="17" t="b">
        <f>Github!N$934</f>
        <v>0</v>
      </c>
      <c r="M1019" s="17" t="str">
        <f>ROUND(Github!O$934, 2)&amp;"%"</f>
        <v>73.09%</v>
      </c>
      <c r="N1019" s="17">
        <f>Github!P$934</f>
        <v>118279</v>
      </c>
      <c r="O1019" s="17">
        <f>Github!Q$934</f>
        <v>161824</v>
      </c>
    </row>
    <row r="1020" ht="18.0" customHeight="1">
      <c r="A1020" s="17">
        <f>Github!J$1235</f>
        <v>1234</v>
      </c>
      <c r="B1020" s="27" t="str">
        <f>HYPERLINK(CONCAT("http://leetcode.com/problems/",Github!C$1235), Github!B$1235)</f>
        <v>Replace the Substring for Balanced String</v>
      </c>
      <c r="C1020" s="17">
        <f>Github!F$1235</f>
        <v>720</v>
      </c>
      <c r="D1020" s="17">
        <f>Github!G$1235</f>
        <v>150</v>
      </c>
      <c r="E1020" s="17">
        <f>Github!F$1235+Github!G$1235</f>
        <v>870</v>
      </c>
      <c r="F1020" s="18">
        <f t="shared" si="1"/>
        <v>4.8</v>
      </c>
      <c r="G1020" s="17" t="str">
        <f>Github!H$1235</f>
        <v>Algorithms</v>
      </c>
      <c r="H1020" s="19" t="str">
        <f>SUBSTITUTE(Github!L$1235, ";", ", ")</f>
        <v>String, Sliding Window, </v>
      </c>
      <c r="I1020" s="17" t="str">
        <f>Github!E$1235</f>
        <v>Medium</v>
      </c>
      <c r="J1020" s="17" t="str">
        <f>IF(TRIM(Github!D$1235)="TRUE","FALSE","TRUE")</f>
        <v>TRUE</v>
      </c>
      <c r="K1020" s="17" t="b">
        <f>Github!M$1235</f>
        <v>0</v>
      </c>
      <c r="L1020" s="17" t="b">
        <f>Github!N$1235</f>
        <v>0</v>
      </c>
      <c r="M1020" s="17" t="str">
        <f>ROUND(Github!O$1235, 2)&amp;"%"</f>
        <v>36.1%</v>
      </c>
      <c r="N1020" s="17">
        <f>Github!P$1235</f>
        <v>21880</v>
      </c>
      <c r="O1020" s="17">
        <f>Github!Q$1235</f>
        <v>60609</v>
      </c>
    </row>
    <row r="1021" ht="18.0" customHeight="1">
      <c r="A1021" s="17">
        <f>Github!J$1663</f>
        <v>1662</v>
      </c>
      <c r="B1021" s="27" t="str">
        <f>HYPERLINK(CONCAT("http://leetcode.com/problems/",Github!C$1663), Github!B$1663)</f>
        <v>Check If Two String Arrays are Equivalent</v>
      </c>
      <c r="C1021" s="17">
        <f>Github!F$1663</f>
        <v>720</v>
      </c>
      <c r="D1021" s="17">
        <f>Github!G$1663</f>
        <v>107</v>
      </c>
      <c r="E1021" s="17">
        <f>Github!F$1663+Github!G$1663</f>
        <v>827</v>
      </c>
      <c r="F1021" s="18">
        <f t="shared" si="1"/>
        <v>6.73</v>
      </c>
      <c r="G1021" s="17" t="str">
        <f>Github!H$1663</f>
        <v>Algorithms</v>
      </c>
      <c r="H1021" s="19" t="str">
        <f>SUBSTITUTE(Github!L$1663, ";", ", ")</f>
        <v>Array, String, </v>
      </c>
      <c r="I1021" s="17" t="str">
        <f>Github!E$1663</f>
        <v>Easy</v>
      </c>
      <c r="J1021" s="17" t="str">
        <f>IF(TRIM(Github!D$1663)="TRUE","FALSE","TRUE")</f>
        <v>TRUE</v>
      </c>
      <c r="K1021" s="17" t="b">
        <f>Github!M$1663</f>
        <v>0</v>
      </c>
      <c r="L1021" s="17" t="b">
        <f>Github!N$1663</f>
        <v>0</v>
      </c>
      <c r="M1021" s="17" t="str">
        <f>ROUND(Github!O$1663, 2)&amp;"%"</f>
        <v>81.97%</v>
      </c>
      <c r="N1021" s="17">
        <f>Github!P$1663</f>
        <v>133918</v>
      </c>
      <c r="O1021" s="17">
        <f>Github!Q$1663</f>
        <v>163384</v>
      </c>
    </row>
    <row r="1022" ht="18.0" customHeight="1">
      <c r="A1022" s="17">
        <f>Github!J$684</f>
        <v>683</v>
      </c>
      <c r="B1022" s="27" t="str">
        <f>HYPERLINK(CONCAT("http://leetcode.com/problems/",Github!C$684), Github!B$684)</f>
        <v>K Empty Slots</v>
      </c>
      <c r="C1022" s="17">
        <f>Github!F$684</f>
        <v>720</v>
      </c>
      <c r="D1022" s="17">
        <f>Github!G$684</f>
        <v>646</v>
      </c>
      <c r="E1022" s="17">
        <f>Github!F$684+Github!G$684</f>
        <v>1366</v>
      </c>
      <c r="F1022" s="18">
        <f t="shared" si="1"/>
        <v>1.11</v>
      </c>
      <c r="G1022" s="17" t="str">
        <f>Github!H$684</f>
        <v>Algorithms</v>
      </c>
      <c r="H1022" s="19" t="str">
        <f>SUBSTITUTE(Github!L$684, ";", ", ")</f>
        <v>Array, Binary Indexed Tree, Sliding Window, Ordered Set, </v>
      </c>
      <c r="I1022" s="17" t="str">
        <f>Github!E$684</f>
        <v>Hard</v>
      </c>
      <c r="J1022" s="17" t="str">
        <f>IF(TRIM(Github!D$684)="TRUE","FALSE","TRUE")</f>
        <v>FALSE</v>
      </c>
      <c r="K1022" s="17" t="b">
        <f>Github!M$684</f>
        <v>0</v>
      </c>
      <c r="L1022" s="17" t="b">
        <f>Github!N$684</f>
        <v>0</v>
      </c>
      <c r="M1022" s="17" t="str">
        <f>ROUND(Github!O$684, 2)&amp;"%"</f>
        <v>36.73%</v>
      </c>
      <c r="N1022" s="17">
        <f>Github!P$684</f>
        <v>55620</v>
      </c>
      <c r="O1022" s="17">
        <f>Github!Q$684</f>
        <v>151411</v>
      </c>
    </row>
    <row r="1023" ht="18.0" customHeight="1">
      <c r="A1023" s="17">
        <f>Github!J$1525</f>
        <v>1524</v>
      </c>
      <c r="B1023" s="27" t="str">
        <f>HYPERLINK(CONCAT("http://leetcode.com/problems/",Github!C$1525), Github!B$1525)</f>
        <v>Number of Sub-arrays With Odd Sum</v>
      </c>
      <c r="C1023" s="17">
        <f>Github!F$1525</f>
        <v>718</v>
      </c>
      <c r="D1023" s="17">
        <f>Github!G$1525</f>
        <v>29</v>
      </c>
      <c r="E1023" s="17">
        <f>Github!F$1525+Github!G$1525</f>
        <v>747</v>
      </c>
      <c r="F1023" s="18">
        <f t="shared" si="1"/>
        <v>24.76</v>
      </c>
      <c r="G1023" s="17" t="str">
        <f>Github!H$1525</f>
        <v>Algorithms</v>
      </c>
      <c r="H1023" s="19" t="str">
        <f>SUBSTITUTE(Github!L$1525, ";", ", ")</f>
        <v>Array, Math, Dynamic Programming, Prefix Sum, </v>
      </c>
      <c r="I1023" s="17" t="str">
        <f>Github!E$1525</f>
        <v>Medium</v>
      </c>
      <c r="J1023" s="17" t="str">
        <f>IF(TRIM(Github!D$1525)="TRUE","FALSE","TRUE")</f>
        <v>TRUE</v>
      </c>
      <c r="K1023" s="17" t="b">
        <f>Github!M$1525</f>
        <v>0</v>
      </c>
      <c r="L1023" s="17" t="b">
        <f>Github!N$1525</f>
        <v>0</v>
      </c>
      <c r="M1023" s="17" t="str">
        <f>ROUND(Github!O$1525, 2)&amp;"%"</f>
        <v>43.6%</v>
      </c>
      <c r="N1023" s="17">
        <f>Github!P$1525</f>
        <v>21813</v>
      </c>
      <c r="O1023" s="17">
        <f>Github!Q$1525</f>
        <v>50030</v>
      </c>
    </row>
    <row r="1024" ht="18.0" customHeight="1">
      <c r="A1024" s="17">
        <f>Github!J$1857</f>
        <v>1856</v>
      </c>
      <c r="B1024" s="27" t="str">
        <f>HYPERLINK(CONCAT("http://leetcode.com/problems/",Github!C$1857), Github!B$1857)</f>
        <v>Maximum Subarray Min-Product</v>
      </c>
      <c r="C1024" s="17">
        <f>Github!F$1857</f>
        <v>719</v>
      </c>
      <c r="D1024" s="17">
        <f>Github!G$1857</f>
        <v>41</v>
      </c>
      <c r="E1024" s="17">
        <f>Github!F$1857+Github!G$1857</f>
        <v>760</v>
      </c>
      <c r="F1024" s="18">
        <f t="shared" si="1"/>
        <v>17.54</v>
      </c>
      <c r="G1024" s="17" t="str">
        <f>Github!H$1857</f>
        <v>Algorithms</v>
      </c>
      <c r="H1024" s="19" t="str">
        <f>SUBSTITUTE(Github!L$1857, ";", ", ")</f>
        <v>Array, Stack, Monotonic Stack, Prefix Sum, </v>
      </c>
      <c r="I1024" s="17" t="str">
        <f>Github!E$1857</f>
        <v>Medium</v>
      </c>
      <c r="J1024" s="17" t="str">
        <f>IF(TRIM(Github!D$1857)="TRUE","FALSE","TRUE")</f>
        <v>TRUE</v>
      </c>
      <c r="K1024" s="17" t="b">
        <f>Github!M$1857</f>
        <v>0</v>
      </c>
      <c r="L1024" s="17" t="b">
        <f>Github!N$1857</f>
        <v>0</v>
      </c>
      <c r="M1024" s="17" t="str">
        <f>ROUND(Github!O$1857, 2)&amp;"%"</f>
        <v>35.25%</v>
      </c>
      <c r="N1024" s="17">
        <f>Github!P$1857</f>
        <v>11205</v>
      </c>
      <c r="O1024" s="17">
        <f>Github!Q$1857</f>
        <v>31791</v>
      </c>
    </row>
    <row r="1025" ht="18.0" customHeight="1">
      <c r="A1025" s="17">
        <f>Github!J$1202</f>
        <v>1201</v>
      </c>
      <c r="B1025" s="27" t="str">
        <f>HYPERLINK(CONCAT("http://leetcode.com/problems/",Github!C$1202), Github!B$1202)</f>
        <v>Ugly Number III</v>
      </c>
      <c r="C1025" s="17">
        <f>Github!F$1202</f>
        <v>716</v>
      </c>
      <c r="D1025" s="17">
        <f>Github!G$1202</f>
        <v>384</v>
      </c>
      <c r="E1025" s="17">
        <f>Github!F$1202+Github!G$1202</f>
        <v>1100</v>
      </c>
      <c r="F1025" s="18">
        <f t="shared" si="1"/>
        <v>1.86</v>
      </c>
      <c r="G1025" s="17" t="str">
        <f>Github!H$1202</f>
        <v>Algorithms</v>
      </c>
      <c r="H1025" s="19" t="str">
        <f>SUBSTITUTE(Github!L$1202, ";", ", ")</f>
        <v>Math, Binary Search, Number Theory, </v>
      </c>
      <c r="I1025" s="17" t="str">
        <f>Github!E$1202</f>
        <v>Medium</v>
      </c>
      <c r="J1025" s="17" t="str">
        <f>IF(TRIM(Github!D$1202)="TRUE","FALSE","TRUE")</f>
        <v>TRUE</v>
      </c>
      <c r="K1025" s="17" t="b">
        <f>Github!M$1202</f>
        <v>0</v>
      </c>
      <c r="L1025" s="17" t="b">
        <f>Github!N$1202</f>
        <v>0</v>
      </c>
      <c r="M1025" s="17" t="str">
        <f>ROUND(Github!O$1202, 2)&amp;"%"</f>
        <v>27.69%</v>
      </c>
      <c r="N1025" s="17">
        <f>Github!P$1202</f>
        <v>18717</v>
      </c>
      <c r="O1025" s="17">
        <f>Github!Q$1202</f>
        <v>67605</v>
      </c>
    </row>
    <row r="1026" ht="18.0" customHeight="1">
      <c r="A1026" s="17">
        <f>Github!J$359</f>
        <v>358</v>
      </c>
      <c r="B1026" s="27" t="str">
        <f>HYPERLINK(CONCAT("http://leetcode.com/problems/",Github!C$359), Github!B$359)</f>
        <v>Rearrange String k Distance Apart</v>
      </c>
      <c r="C1026" s="17">
        <f>Github!F$359</f>
        <v>713</v>
      </c>
      <c r="D1026" s="17">
        <f>Github!G$359</f>
        <v>31</v>
      </c>
      <c r="E1026" s="17">
        <f>Github!F$359+Github!G$359</f>
        <v>744</v>
      </c>
      <c r="F1026" s="18">
        <f t="shared" si="1"/>
        <v>23</v>
      </c>
      <c r="G1026" s="17" t="str">
        <f>Github!H$359</f>
        <v>Algorithms</v>
      </c>
      <c r="H1026" s="19" t="str">
        <f>SUBSTITUTE(Github!L$359, ";", ", ")</f>
        <v>Hash Table, String, Greedy, Sorting, Heap (Priority Queue), Counting, </v>
      </c>
      <c r="I1026" s="17" t="str">
        <f>Github!E$359</f>
        <v>Hard</v>
      </c>
      <c r="J1026" s="17" t="str">
        <f>IF(TRIM(Github!D$359)="TRUE","FALSE","TRUE")</f>
        <v>FALSE</v>
      </c>
      <c r="K1026" s="17" t="b">
        <f>Github!M$359</f>
        <v>0</v>
      </c>
      <c r="L1026" s="17" t="b">
        <f>Github!N$359</f>
        <v>0</v>
      </c>
      <c r="M1026" s="17" t="str">
        <f>ROUND(Github!O$359, 2)&amp;"%"</f>
        <v>36.81%</v>
      </c>
      <c r="N1026" s="17">
        <f>Github!P$359</f>
        <v>50369</v>
      </c>
      <c r="O1026" s="17">
        <f>Github!Q$359</f>
        <v>136820</v>
      </c>
    </row>
    <row r="1027" ht="18.0" customHeight="1">
      <c r="A1027" s="17">
        <f>Github!J$1290</f>
        <v>1289</v>
      </c>
      <c r="B1027" s="27" t="str">
        <f>HYPERLINK(CONCAT("http://leetcode.com/problems/",Github!C$1290), Github!B$1290)</f>
        <v>Minimum Falling Path Sum II</v>
      </c>
      <c r="C1027" s="17">
        <f>Github!F$1290</f>
        <v>712</v>
      </c>
      <c r="D1027" s="17">
        <f>Github!G$1290</f>
        <v>62</v>
      </c>
      <c r="E1027" s="17">
        <f>Github!F$1290+Github!G$1290</f>
        <v>774</v>
      </c>
      <c r="F1027" s="18">
        <f t="shared" si="1"/>
        <v>11.48</v>
      </c>
      <c r="G1027" s="17" t="str">
        <f>Github!H$1290</f>
        <v>Algorithms</v>
      </c>
      <c r="H1027" s="19" t="str">
        <f>SUBSTITUTE(Github!L$1290, ";", ", ")</f>
        <v>Array, Dynamic Programming, Matrix, </v>
      </c>
      <c r="I1027" s="17" t="str">
        <f>Github!E$1290</f>
        <v>Hard</v>
      </c>
      <c r="J1027" s="17" t="str">
        <f>IF(TRIM(Github!D$1290)="TRUE","FALSE","TRUE")</f>
        <v>TRUE</v>
      </c>
      <c r="K1027" s="17" t="b">
        <f>Github!M$1290</f>
        <v>0</v>
      </c>
      <c r="L1027" s="17" t="b">
        <f>Github!N$1290</f>
        <v>0</v>
      </c>
      <c r="M1027" s="17" t="str">
        <f>ROUND(Github!O$1290, 2)&amp;"%"</f>
        <v>61.52%</v>
      </c>
      <c r="N1027" s="17">
        <f>Github!P$1290</f>
        <v>26362</v>
      </c>
      <c r="O1027" s="17">
        <f>Github!Q$1290</f>
        <v>42850</v>
      </c>
    </row>
    <row r="1028" ht="18.0" customHeight="1">
      <c r="A1028" s="17">
        <f>Github!J$366</f>
        <v>365</v>
      </c>
      <c r="B1028" s="27" t="str">
        <f>HYPERLINK(CONCAT("http://leetcode.com/problems/",Github!C$366), Github!B$366)</f>
        <v>Water and Jug Problem</v>
      </c>
      <c r="C1028" s="17">
        <f>Github!F$366</f>
        <v>712</v>
      </c>
      <c r="D1028" s="17">
        <f>Github!G$366</f>
        <v>1071</v>
      </c>
      <c r="E1028" s="17">
        <f>Github!F$366+Github!G$366</f>
        <v>1783</v>
      </c>
      <c r="F1028" s="18">
        <f t="shared" si="1"/>
        <v>0.66</v>
      </c>
      <c r="G1028" s="17" t="str">
        <f>Github!H$366</f>
        <v>Algorithms</v>
      </c>
      <c r="H1028" s="19" t="str">
        <f>SUBSTITUTE(Github!L$366, ";", ", ")</f>
        <v>Math, Depth-First Search, Breadth-First Search, </v>
      </c>
      <c r="I1028" s="17" t="str">
        <f>Github!E$366</f>
        <v>Medium</v>
      </c>
      <c r="J1028" s="17" t="str">
        <f>IF(TRIM(Github!D$366)="TRUE","FALSE","TRUE")</f>
        <v>TRUE</v>
      </c>
      <c r="K1028" s="17" t="b">
        <f>Github!M$366</f>
        <v>0</v>
      </c>
      <c r="L1028" s="17" t="b">
        <f>Github!N$366</f>
        <v>0</v>
      </c>
      <c r="M1028" s="17" t="str">
        <f>ROUND(Github!O$366, 2)&amp;"%"</f>
        <v>33.89%</v>
      </c>
      <c r="N1028" s="17">
        <f>Github!P$366</f>
        <v>59201</v>
      </c>
      <c r="O1028" s="17">
        <f>Github!Q$366</f>
        <v>174701</v>
      </c>
    </row>
    <row r="1029" ht="18.0" customHeight="1">
      <c r="A1029" s="17">
        <f>Github!J$1362</f>
        <v>1361</v>
      </c>
      <c r="B1029" s="27" t="str">
        <f>HYPERLINK(CONCAT("http://leetcode.com/problems/",Github!C$1362), Github!B$1362)</f>
        <v>Validate Binary Tree Nodes</v>
      </c>
      <c r="C1029" s="17">
        <f>Github!F$1362</f>
        <v>711</v>
      </c>
      <c r="D1029" s="17">
        <f>Github!G$1362</f>
        <v>240</v>
      </c>
      <c r="E1029" s="17">
        <f>Github!F$1362+Github!G$1362</f>
        <v>951</v>
      </c>
      <c r="F1029" s="18">
        <f t="shared" si="1"/>
        <v>2.96</v>
      </c>
      <c r="G1029" s="17" t="str">
        <f>Github!H$1362</f>
        <v>Algorithms</v>
      </c>
      <c r="H1029" s="19" t="str">
        <f>SUBSTITUTE(Github!L$1362, ";", ", ")</f>
        <v>Tree, Depth-First Search, Breadth-First Search, Union Find, Graph, Binary Tree, </v>
      </c>
      <c r="I1029" s="17" t="str">
        <f>Github!E$1362</f>
        <v>Medium</v>
      </c>
      <c r="J1029" s="17" t="str">
        <f>IF(TRIM(Github!D$1362)="TRUE","FALSE","TRUE")</f>
        <v>TRUE</v>
      </c>
      <c r="K1029" s="17" t="b">
        <f>Github!M$1362</f>
        <v>0</v>
      </c>
      <c r="L1029" s="17" t="b">
        <f>Github!N$1362</f>
        <v>0</v>
      </c>
      <c r="M1029" s="17" t="str">
        <f>ROUND(Github!O$1362, 2)&amp;"%"</f>
        <v>41.6%</v>
      </c>
      <c r="N1029" s="17">
        <f>Github!P$1362</f>
        <v>33385</v>
      </c>
      <c r="O1029" s="17">
        <f>Github!Q$1362</f>
        <v>80258</v>
      </c>
    </row>
    <row r="1030" ht="18.0" customHeight="1">
      <c r="A1030" s="17">
        <f>Github!J$1253</f>
        <v>1252</v>
      </c>
      <c r="B1030" s="27" t="str">
        <f>HYPERLINK(CONCAT("http://leetcode.com/problems/",Github!C$1253), Github!B$1253)</f>
        <v>Cells with Odd Values in a Matrix</v>
      </c>
      <c r="C1030" s="17">
        <f>Github!F$1253</f>
        <v>707</v>
      </c>
      <c r="D1030" s="17">
        <f>Github!G$1253</f>
        <v>1061</v>
      </c>
      <c r="E1030" s="17">
        <f>Github!F$1253+Github!G$1253</f>
        <v>1768</v>
      </c>
      <c r="F1030" s="18">
        <f t="shared" si="1"/>
        <v>0.67</v>
      </c>
      <c r="G1030" s="17" t="str">
        <f>Github!H$1253</f>
        <v>Algorithms</v>
      </c>
      <c r="H1030" s="19" t="str">
        <f>SUBSTITUTE(Github!L$1253, ";", ", ")</f>
        <v>Array, Math, Simulation, </v>
      </c>
      <c r="I1030" s="17" t="str">
        <f>Github!E$1253</f>
        <v>Easy</v>
      </c>
      <c r="J1030" s="17" t="str">
        <f>IF(TRIM(Github!D$1253)="TRUE","FALSE","TRUE")</f>
        <v>TRUE</v>
      </c>
      <c r="K1030" s="17" t="b">
        <f>Github!M$1253</f>
        <v>0</v>
      </c>
      <c r="L1030" s="17" t="b">
        <f>Github!N$1253</f>
        <v>0</v>
      </c>
      <c r="M1030" s="17" t="str">
        <f>ROUND(Github!O$1253, 2)&amp;"%"</f>
        <v>78.53%</v>
      </c>
      <c r="N1030" s="17">
        <f>Github!P$1253</f>
        <v>77036</v>
      </c>
      <c r="O1030" s="17">
        <f>Github!Q$1253</f>
        <v>98098</v>
      </c>
    </row>
    <row r="1031" ht="18.0" customHeight="1">
      <c r="A1031" s="17">
        <f>Github!J$1301</f>
        <v>1300</v>
      </c>
      <c r="B1031" s="27" t="str">
        <f>HYPERLINK(CONCAT("http://leetcode.com/problems/",Github!C$1301), Github!B$1301)</f>
        <v>Sum of Mutated Array Closest to Target</v>
      </c>
      <c r="C1031" s="17">
        <f>Github!F$1301</f>
        <v>706</v>
      </c>
      <c r="D1031" s="17">
        <f>Github!G$1301</f>
        <v>88</v>
      </c>
      <c r="E1031" s="17">
        <f>Github!F$1301+Github!G$1301</f>
        <v>794</v>
      </c>
      <c r="F1031" s="18">
        <f t="shared" si="1"/>
        <v>8.02</v>
      </c>
      <c r="G1031" s="17" t="str">
        <f>Github!H$1301</f>
        <v>Algorithms</v>
      </c>
      <c r="H1031" s="19" t="str">
        <f>SUBSTITUTE(Github!L$1301, ";", ", ")</f>
        <v>Array, Binary Search, Sorting, </v>
      </c>
      <c r="I1031" s="17" t="str">
        <f>Github!E$1301</f>
        <v>Medium</v>
      </c>
      <c r="J1031" s="17" t="str">
        <f>IF(TRIM(Github!D$1301)="TRUE","FALSE","TRUE")</f>
        <v>TRUE</v>
      </c>
      <c r="K1031" s="17" t="b">
        <f>Github!M$1301</f>
        <v>0</v>
      </c>
      <c r="L1031" s="17" t="b">
        <f>Github!N$1301</f>
        <v>0</v>
      </c>
      <c r="M1031" s="17" t="str">
        <f>ROUND(Github!O$1301, 2)&amp;"%"</f>
        <v>42.52%</v>
      </c>
      <c r="N1031" s="17">
        <f>Github!P$1301</f>
        <v>23595</v>
      </c>
      <c r="O1031" s="17">
        <f>Github!Q$1301</f>
        <v>55495</v>
      </c>
    </row>
    <row r="1032" ht="18.0" customHeight="1">
      <c r="A1032" s="17">
        <f>Github!J$1314</f>
        <v>1313</v>
      </c>
      <c r="B1032" s="27" t="str">
        <f>HYPERLINK(CONCAT("http://leetcode.com/problems/",Github!C$1314), Github!B$1314)</f>
        <v>Decompress Run-Length Encoded List</v>
      </c>
      <c r="C1032" s="17">
        <f>Github!F$1314</f>
        <v>705</v>
      </c>
      <c r="D1032" s="17">
        <f>Github!G$1314</f>
        <v>1045</v>
      </c>
      <c r="E1032" s="17">
        <f>Github!F$1314+Github!G$1314</f>
        <v>1750</v>
      </c>
      <c r="F1032" s="18">
        <f t="shared" si="1"/>
        <v>0.67</v>
      </c>
      <c r="G1032" s="17" t="str">
        <f>Github!H$1314</f>
        <v>Algorithms</v>
      </c>
      <c r="H1032" s="19" t="str">
        <f>SUBSTITUTE(Github!L$1314, ";", ", ")</f>
        <v>Array, </v>
      </c>
      <c r="I1032" s="17" t="str">
        <f>Github!E$1314</f>
        <v>Easy</v>
      </c>
      <c r="J1032" s="17" t="str">
        <f>IF(TRIM(Github!D$1314)="TRUE","FALSE","TRUE")</f>
        <v>TRUE</v>
      </c>
      <c r="K1032" s="17" t="b">
        <f>Github!M$1314</f>
        <v>0</v>
      </c>
      <c r="L1032" s="17" t="b">
        <f>Github!N$1314</f>
        <v>0</v>
      </c>
      <c r="M1032" s="17" t="str">
        <f>ROUND(Github!O$1314, 2)&amp;"%"</f>
        <v>85.82%</v>
      </c>
      <c r="N1032" s="17">
        <f>Github!P$1314</f>
        <v>172971</v>
      </c>
      <c r="O1032" s="17">
        <f>Github!Q$1314</f>
        <v>201554</v>
      </c>
    </row>
    <row r="1033" ht="18.0" customHeight="1">
      <c r="A1033" s="17">
        <f>Github!J$1329</f>
        <v>1328</v>
      </c>
      <c r="B1033" s="27" t="str">
        <f>HYPERLINK(CONCAT("http://leetcode.com/problems/",Github!C$1329), Github!B$1329)</f>
        <v>Break a Palindrome</v>
      </c>
      <c r="C1033" s="17">
        <f>Github!F$1329</f>
        <v>702</v>
      </c>
      <c r="D1033" s="17">
        <f>Github!G$1329</f>
        <v>429</v>
      </c>
      <c r="E1033" s="17">
        <f>Github!F$1329+Github!G$1329</f>
        <v>1131</v>
      </c>
      <c r="F1033" s="18">
        <f t="shared" si="1"/>
        <v>1.64</v>
      </c>
      <c r="G1033" s="17" t="str">
        <f>Github!H$1329</f>
        <v>Algorithms</v>
      </c>
      <c r="H1033" s="19" t="str">
        <f>SUBSTITUTE(Github!L$1329, ";", ", ")</f>
        <v>String, Greedy, </v>
      </c>
      <c r="I1033" s="17" t="str">
        <f>Github!E$1329</f>
        <v>Medium</v>
      </c>
      <c r="J1033" s="17" t="str">
        <f>IF(TRIM(Github!D$1329)="TRUE","FALSE","TRUE")</f>
        <v>TRUE</v>
      </c>
      <c r="K1033" s="17" t="b">
        <f>Github!M$1329</f>
        <v>1</v>
      </c>
      <c r="L1033" s="17" t="b">
        <f>Github!N$1329</f>
        <v>0</v>
      </c>
      <c r="M1033" s="17" t="str">
        <f>ROUND(Github!O$1329, 2)&amp;"%"</f>
        <v>52.41%</v>
      </c>
      <c r="N1033" s="17">
        <f>Github!P$1329</f>
        <v>66049</v>
      </c>
      <c r="O1033" s="17">
        <f>Github!Q$1329</f>
        <v>126029</v>
      </c>
    </row>
    <row r="1034" ht="18.0" customHeight="1">
      <c r="A1034" s="17">
        <f>Github!J$1707</f>
        <v>1706</v>
      </c>
      <c r="B1034" s="27" t="str">
        <f>HYPERLINK(CONCAT("http://leetcode.com/problems/",Github!C$1707), Github!B$1707)</f>
        <v>Where Will the Ball Fall</v>
      </c>
      <c r="C1034" s="17">
        <f>Github!F$1707</f>
        <v>702</v>
      </c>
      <c r="D1034" s="17">
        <f>Github!G$1707</f>
        <v>52</v>
      </c>
      <c r="E1034" s="17">
        <f>Github!F$1707+Github!G$1707</f>
        <v>754</v>
      </c>
      <c r="F1034" s="18">
        <f t="shared" si="1"/>
        <v>13.5</v>
      </c>
      <c r="G1034" s="17" t="str">
        <f>Github!H$1707</f>
        <v>Algorithms</v>
      </c>
      <c r="H1034" s="19" t="str">
        <f>SUBSTITUTE(Github!L$1707, ";", ", ")</f>
        <v>Array, Dynamic Programming, Depth-First Search, Matrix, Simulation, </v>
      </c>
      <c r="I1034" s="17" t="str">
        <f>Github!E$1707</f>
        <v>Medium</v>
      </c>
      <c r="J1034" s="17" t="str">
        <f>IF(TRIM(Github!D$1707)="TRUE","FALSE","TRUE")</f>
        <v>TRUE</v>
      </c>
      <c r="K1034" s="17" t="b">
        <f>Github!M$1707</f>
        <v>0</v>
      </c>
      <c r="L1034" s="17" t="b">
        <f>Github!N$1707</f>
        <v>0</v>
      </c>
      <c r="M1034" s="17" t="str">
        <f>ROUND(Github!O$1707, 2)&amp;"%"</f>
        <v>66.38%</v>
      </c>
      <c r="N1034" s="17">
        <f>Github!P$1707</f>
        <v>25572</v>
      </c>
      <c r="O1034" s="17">
        <f>Github!Q$1707</f>
        <v>38523</v>
      </c>
    </row>
    <row r="1035" ht="18.0" customHeight="1">
      <c r="A1035" s="17">
        <f>Github!J$292</f>
        <v>291</v>
      </c>
      <c r="B1035" s="27" t="str">
        <f>HYPERLINK(CONCAT("http://leetcode.com/problems/",Github!C$292), Github!B$292)</f>
        <v>Word Pattern II</v>
      </c>
      <c r="C1035" s="17">
        <f>Github!F$292</f>
        <v>701</v>
      </c>
      <c r="D1035" s="17">
        <f>Github!G$292</f>
        <v>52</v>
      </c>
      <c r="E1035" s="17">
        <f>Github!F$292+Github!G$292</f>
        <v>753</v>
      </c>
      <c r="F1035" s="18">
        <f t="shared" si="1"/>
        <v>13.48</v>
      </c>
      <c r="G1035" s="17" t="str">
        <f>Github!H$292</f>
        <v>Algorithms</v>
      </c>
      <c r="H1035" s="19" t="str">
        <f>SUBSTITUTE(Github!L$292, ";", ", ")</f>
        <v>Hash Table, String, Backtracking, </v>
      </c>
      <c r="I1035" s="17" t="str">
        <f>Github!E$292</f>
        <v>Medium</v>
      </c>
      <c r="J1035" s="17" t="str">
        <f>IF(TRIM(Github!D$292)="TRUE","FALSE","TRUE")</f>
        <v>FALSE</v>
      </c>
      <c r="K1035" s="17" t="b">
        <f>Github!M$292</f>
        <v>0</v>
      </c>
      <c r="L1035" s="17" t="b">
        <f>Github!N$292</f>
        <v>0</v>
      </c>
      <c r="M1035" s="17" t="str">
        <f>ROUND(Github!O$292, 2)&amp;"%"</f>
        <v>46.02%</v>
      </c>
      <c r="N1035" s="17">
        <f>Github!P$292</f>
        <v>58709</v>
      </c>
      <c r="O1035" s="17">
        <f>Github!Q$292</f>
        <v>127567</v>
      </c>
    </row>
    <row r="1036" ht="18.0" customHeight="1">
      <c r="A1036" s="17">
        <f>Github!J$596</f>
        <v>595</v>
      </c>
      <c r="B1036" s="27" t="str">
        <f>HYPERLINK(CONCAT("http://leetcode.com/problems/",Github!C$596), Github!B$596)</f>
        <v>Big Countries</v>
      </c>
      <c r="C1036" s="17">
        <f>Github!F$596</f>
        <v>700</v>
      </c>
      <c r="D1036" s="17">
        <f>Github!G$596</f>
        <v>863</v>
      </c>
      <c r="E1036" s="17">
        <f>Github!F$596+Github!G$596</f>
        <v>1563</v>
      </c>
      <c r="F1036" s="18">
        <f t="shared" si="1"/>
        <v>0.81</v>
      </c>
      <c r="G1036" s="17" t="str">
        <f>Github!H$596</f>
        <v>Database</v>
      </c>
      <c r="H1036" s="19" t="str">
        <f>SUBSTITUTE(Github!L$596, ";", ", ")</f>
        <v>Database, </v>
      </c>
      <c r="I1036" s="17" t="str">
        <f>Github!E$596</f>
        <v>Easy</v>
      </c>
      <c r="J1036" s="17" t="str">
        <f>IF(TRIM(Github!D$596)="TRUE","FALSE","TRUE")</f>
        <v>TRUE</v>
      </c>
      <c r="K1036" s="17" t="b">
        <f>Github!M$596</f>
        <v>1</v>
      </c>
      <c r="L1036" s="17" t="b">
        <f>Github!N$596</f>
        <v>0</v>
      </c>
      <c r="M1036" s="17" t="str">
        <f>ROUND(Github!O$596, 2)&amp;"%"</f>
        <v>78.03%</v>
      </c>
      <c r="N1036" s="17">
        <f>Github!P$596</f>
        <v>261508</v>
      </c>
      <c r="O1036" s="17">
        <f>Github!Q$596</f>
        <v>335126</v>
      </c>
    </row>
    <row r="1037" ht="18.0" customHeight="1">
      <c r="A1037" s="17">
        <f>Github!J$307</f>
        <v>306</v>
      </c>
      <c r="B1037" s="27" t="str">
        <f>HYPERLINK(CONCAT("http://leetcode.com/problems/",Github!C$307), Github!B$307)</f>
        <v>Additive Number</v>
      </c>
      <c r="C1037" s="17">
        <f>Github!F$307</f>
        <v>699</v>
      </c>
      <c r="D1037" s="17">
        <f>Github!G$307</f>
        <v>615</v>
      </c>
      <c r="E1037" s="17">
        <f>Github!F$307+Github!G$307</f>
        <v>1314</v>
      </c>
      <c r="F1037" s="18">
        <f t="shared" si="1"/>
        <v>1.14</v>
      </c>
      <c r="G1037" s="17" t="str">
        <f>Github!H$307</f>
        <v>Algorithms</v>
      </c>
      <c r="H1037" s="19" t="str">
        <f>SUBSTITUTE(Github!L$307, ";", ", ")</f>
        <v>String, Backtracking, </v>
      </c>
      <c r="I1037" s="17" t="str">
        <f>Github!E$307</f>
        <v>Medium</v>
      </c>
      <c r="J1037" s="17" t="str">
        <f>IF(TRIM(Github!D$307)="TRUE","FALSE","TRUE")</f>
        <v>TRUE</v>
      </c>
      <c r="K1037" s="17" t="b">
        <f>Github!M$307</f>
        <v>0</v>
      </c>
      <c r="L1037" s="17" t="b">
        <f>Github!N$307</f>
        <v>0</v>
      </c>
      <c r="M1037" s="17" t="str">
        <f>ROUND(Github!O$307, 2)&amp;"%"</f>
        <v>30.52%</v>
      </c>
      <c r="N1037" s="17">
        <f>Github!P$307</f>
        <v>67956</v>
      </c>
      <c r="O1037" s="17">
        <f>Github!Q$307</f>
        <v>222682</v>
      </c>
    </row>
    <row r="1038" ht="18.0" customHeight="1">
      <c r="A1038" s="17">
        <f>Github!J$1547</f>
        <v>1546</v>
      </c>
      <c r="B1038" s="27" t="str">
        <f>HYPERLINK(CONCAT("http://leetcode.com/problems/",Github!C$1547), Github!B$1547)</f>
        <v>Maximum Number of Non-Overlapping Subarrays With Sum Equals Target</v>
      </c>
      <c r="C1038" s="17">
        <f>Github!F$1547</f>
        <v>701</v>
      </c>
      <c r="D1038" s="17">
        <f>Github!G$1547</f>
        <v>15</v>
      </c>
      <c r="E1038" s="17">
        <f>Github!F$1547+Github!G$1547</f>
        <v>716</v>
      </c>
      <c r="F1038" s="18">
        <f t="shared" si="1"/>
        <v>46.73</v>
      </c>
      <c r="G1038" s="17" t="str">
        <f>Github!H$1547</f>
        <v>Algorithms</v>
      </c>
      <c r="H1038" s="19" t="str">
        <f>SUBSTITUTE(Github!L$1547, ";", ", ")</f>
        <v>Array, Hash Table, Greedy, Prefix Sum, </v>
      </c>
      <c r="I1038" s="17" t="str">
        <f>Github!E$1547</f>
        <v>Medium</v>
      </c>
      <c r="J1038" s="17" t="str">
        <f>IF(TRIM(Github!D$1547)="TRUE","FALSE","TRUE")</f>
        <v>TRUE</v>
      </c>
      <c r="K1038" s="17" t="b">
        <f>Github!M$1547</f>
        <v>0</v>
      </c>
      <c r="L1038" s="17" t="b">
        <f>Github!N$1547</f>
        <v>0</v>
      </c>
      <c r="M1038" s="17" t="str">
        <f>ROUND(Github!O$1547, 2)&amp;"%"</f>
        <v>46.12%</v>
      </c>
      <c r="N1038" s="17">
        <f>Github!P$1547</f>
        <v>18510</v>
      </c>
      <c r="O1038" s="17">
        <f>Github!Q$1547</f>
        <v>40132</v>
      </c>
    </row>
    <row r="1039" ht="18.0" customHeight="1">
      <c r="A1039" s="17">
        <f>Github!J$268</f>
        <v>267</v>
      </c>
      <c r="B1039" s="27" t="str">
        <f>HYPERLINK(CONCAT("http://leetcode.com/problems/",Github!C$268), Github!B$268)</f>
        <v>Palindrome Permutation II</v>
      </c>
      <c r="C1039" s="17">
        <f>Github!F$268</f>
        <v>696</v>
      </c>
      <c r="D1039" s="17">
        <f>Github!G$268</f>
        <v>83</v>
      </c>
      <c r="E1039" s="17">
        <f>Github!F$268+Github!G$268</f>
        <v>779</v>
      </c>
      <c r="F1039" s="18">
        <f t="shared" si="1"/>
        <v>8.39</v>
      </c>
      <c r="G1039" s="17" t="str">
        <f>Github!H$268</f>
        <v>Algorithms</v>
      </c>
      <c r="H1039" s="19" t="str">
        <f>SUBSTITUTE(Github!L$268, ";", ", ")</f>
        <v>Hash Table, String, Backtracking, </v>
      </c>
      <c r="I1039" s="17" t="str">
        <f>Github!E$268</f>
        <v>Medium</v>
      </c>
      <c r="J1039" s="17" t="str">
        <f>IF(TRIM(Github!D$268)="TRUE","FALSE","TRUE")</f>
        <v>FALSE</v>
      </c>
      <c r="K1039" s="17" t="b">
        <f>Github!M$268</f>
        <v>1</v>
      </c>
      <c r="L1039" s="17" t="b">
        <f>Github!N$268</f>
        <v>0</v>
      </c>
      <c r="M1039" s="17" t="str">
        <f>ROUND(Github!O$268, 2)&amp;"%"</f>
        <v>39.4%</v>
      </c>
      <c r="N1039" s="17">
        <f>Github!P$268</f>
        <v>52912</v>
      </c>
      <c r="O1039" s="17">
        <f>Github!Q$268</f>
        <v>134303</v>
      </c>
    </row>
    <row r="1040" ht="18.0" customHeight="1">
      <c r="A1040" s="17">
        <f>Github!J$385</f>
        <v>384</v>
      </c>
      <c r="B1040" s="27" t="str">
        <f>HYPERLINK(CONCAT("http://leetcode.com/problems/",Github!C$385), Github!B$385)</f>
        <v>Shuffle an Array</v>
      </c>
      <c r="C1040" s="17">
        <f>Github!F$385</f>
        <v>697</v>
      </c>
      <c r="D1040" s="17">
        <f>Github!G$385</f>
        <v>606</v>
      </c>
      <c r="E1040" s="17">
        <f>Github!F$385+Github!G$385</f>
        <v>1303</v>
      </c>
      <c r="F1040" s="18">
        <f t="shared" si="1"/>
        <v>1.15</v>
      </c>
      <c r="G1040" s="17" t="str">
        <f>Github!H$385</f>
        <v>Algorithms</v>
      </c>
      <c r="H1040" s="19" t="str">
        <f>SUBSTITUTE(Github!L$385, ";", ", ")</f>
        <v>Array, Math, Randomized, </v>
      </c>
      <c r="I1040" s="17" t="str">
        <f>Github!E$385</f>
        <v>Medium</v>
      </c>
      <c r="J1040" s="17" t="str">
        <f>IF(TRIM(Github!D$385)="TRUE","FALSE","TRUE")</f>
        <v>TRUE</v>
      </c>
      <c r="K1040" s="17" t="b">
        <f>Github!M$385</f>
        <v>1</v>
      </c>
      <c r="L1040" s="17" t="b">
        <f>Github!N$385</f>
        <v>0</v>
      </c>
      <c r="M1040" s="17" t="str">
        <f>ROUND(Github!O$385, 2)&amp;"%"</f>
        <v>56.87%</v>
      </c>
      <c r="N1040" s="17">
        <f>Github!P$385</f>
        <v>251591</v>
      </c>
      <c r="O1040" s="17">
        <f>Github!Q$385</f>
        <v>442434</v>
      </c>
    </row>
    <row r="1041" ht="18.0" customHeight="1">
      <c r="A1041" s="17">
        <f>Github!J$692</f>
        <v>691</v>
      </c>
      <c r="B1041" s="27" t="str">
        <f>HYPERLINK(CONCAT("http://leetcode.com/problems/",Github!C$692), Github!B$692)</f>
        <v>Stickers to Spell Word</v>
      </c>
      <c r="C1041" s="17">
        <f>Github!F$692</f>
        <v>695</v>
      </c>
      <c r="D1041" s="17">
        <f>Github!G$692</f>
        <v>67</v>
      </c>
      <c r="E1041" s="17">
        <f>Github!F$692+Github!G$692</f>
        <v>762</v>
      </c>
      <c r="F1041" s="18">
        <f t="shared" si="1"/>
        <v>10.37</v>
      </c>
      <c r="G1041" s="17" t="str">
        <f>Github!H$692</f>
        <v>Algorithms</v>
      </c>
      <c r="H1041" s="19" t="str">
        <f>SUBSTITUTE(Github!L$692, ";", ", ")</f>
        <v>Dynamic Programming, Backtracking, Bit Manipulation, Bitmask, </v>
      </c>
      <c r="I1041" s="17" t="str">
        <f>Github!E$692</f>
        <v>Hard</v>
      </c>
      <c r="J1041" s="17" t="str">
        <f>IF(TRIM(Github!D$692)="TRUE","FALSE","TRUE")</f>
        <v>TRUE</v>
      </c>
      <c r="K1041" s="17" t="b">
        <f>Github!M$692</f>
        <v>0</v>
      </c>
      <c r="L1041" s="17" t="b">
        <f>Github!N$692</f>
        <v>0</v>
      </c>
      <c r="M1041" s="17" t="str">
        <f>ROUND(Github!O$692, 2)&amp;"%"</f>
        <v>46.74%</v>
      </c>
      <c r="N1041" s="17">
        <f>Github!P$692</f>
        <v>29263</v>
      </c>
      <c r="O1041" s="17">
        <f>Github!Q$692</f>
        <v>62608</v>
      </c>
    </row>
    <row r="1042" ht="18.0" customHeight="1">
      <c r="A1042" s="17">
        <f>Github!J$1380</f>
        <v>1379</v>
      </c>
      <c r="B1042" s="27" t="str">
        <f>HYPERLINK(CONCAT("http://leetcode.com/problems/",Github!C$1380), Github!B$1380)</f>
        <v>Find a Corresponding Node of a Binary Tree in a Clone of That Tree</v>
      </c>
      <c r="C1042" s="17">
        <f>Github!F$1380</f>
        <v>693</v>
      </c>
      <c r="D1042" s="17">
        <f>Github!G$1380</f>
        <v>905</v>
      </c>
      <c r="E1042" s="17">
        <f>Github!F$1380+Github!G$1380</f>
        <v>1598</v>
      </c>
      <c r="F1042" s="18">
        <f t="shared" si="1"/>
        <v>0.77</v>
      </c>
      <c r="G1042" s="17" t="str">
        <f>Github!H$1380</f>
        <v>Algorithms</v>
      </c>
      <c r="H1042" s="19" t="str">
        <f>SUBSTITUTE(Github!L$1380, ";", ", ")</f>
        <v>Tree, Depth-First Search, Breadth-First Search, Binary Tree, </v>
      </c>
      <c r="I1042" s="17" t="str">
        <f>Github!E$1380</f>
        <v>Medium</v>
      </c>
      <c r="J1042" s="17" t="str">
        <f>IF(TRIM(Github!D$1380)="TRUE","FALSE","TRUE")</f>
        <v>TRUE</v>
      </c>
      <c r="K1042" s="17" t="b">
        <f>Github!M$1380</f>
        <v>1</v>
      </c>
      <c r="L1042" s="17" t="b">
        <f>Github!N$1380</f>
        <v>0</v>
      </c>
      <c r="M1042" s="17" t="str">
        <f>ROUND(Github!O$1380, 2)&amp;"%"</f>
        <v>85.42%</v>
      </c>
      <c r="N1042" s="17">
        <f>Github!P$1380</f>
        <v>99661</v>
      </c>
      <c r="O1042" s="17">
        <f>Github!Q$1380</f>
        <v>116667</v>
      </c>
    </row>
    <row r="1043" ht="18.0" customHeight="1">
      <c r="A1043" s="17">
        <f>Github!J$375</f>
        <v>374</v>
      </c>
      <c r="B1043" s="27" t="str">
        <f>HYPERLINK(CONCAT("http://leetcode.com/problems/",Github!C$375), Github!B$375)</f>
        <v>Guess Number Higher or Lower</v>
      </c>
      <c r="C1043" s="17">
        <f>Github!F$375</f>
        <v>689</v>
      </c>
      <c r="D1043" s="17">
        <f>Github!G$375</f>
        <v>110</v>
      </c>
      <c r="E1043" s="17">
        <f>Github!F$375+Github!G$375</f>
        <v>799</v>
      </c>
      <c r="F1043" s="18">
        <f t="shared" si="1"/>
        <v>6.26</v>
      </c>
      <c r="G1043" s="17" t="str">
        <f>Github!H$375</f>
        <v>Algorithms</v>
      </c>
      <c r="H1043" s="19" t="str">
        <f>SUBSTITUTE(Github!L$375, ";", ", ")</f>
        <v>Binary Search, Interactive, </v>
      </c>
      <c r="I1043" s="17" t="str">
        <f>Github!E$375</f>
        <v>Easy</v>
      </c>
      <c r="J1043" s="17" t="str">
        <f>IF(TRIM(Github!D$375)="TRUE","FALSE","TRUE")</f>
        <v>TRUE</v>
      </c>
      <c r="K1043" s="17" t="b">
        <f>Github!M$375</f>
        <v>1</v>
      </c>
      <c r="L1043" s="17" t="b">
        <f>Github!N$375</f>
        <v>0</v>
      </c>
      <c r="M1043" s="17" t="str">
        <f>ROUND(Github!O$375, 2)&amp;"%"</f>
        <v>48.48%</v>
      </c>
      <c r="N1043" s="17">
        <f>Github!P$375</f>
        <v>287373</v>
      </c>
      <c r="O1043" s="17">
        <f>Github!Q$375</f>
        <v>592706</v>
      </c>
    </row>
    <row r="1044" ht="18.0" customHeight="1">
      <c r="A1044" s="17">
        <f>Github!J$738</f>
        <v>737</v>
      </c>
      <c r="B1044" s="27" t="str">
        <f>HYPERLINK(CONCAT("http://leetcode.com/problems/",Github!C$738), Github!B$738)</f>
        <v>Sentence Similarity II</v>
      </c>
      <c r="C1044" s="17">
        <f>Github!F$738</f>
        <v>689</v>
      </c>
      <c r="D1044" s="17">
        <f>Github!G$738</f>
        <v>41</v>
      </c>
      <c r="E1044" s="17">
        <f>Github!F$738+Github!G$738</f>
        <v>730</v>
      </c>
      <c r="F1044" s="18">
        <f t="shared" si="1"/>
        <v>16.8</v>
      </c>
      <c r="G1044" s="17" t="str">
        <f>Github!H$738</f>
        <v>Algorithms</v>
      </c>
      <c r="H1044" s="19" t="str">
        <f>SUBSTITUTE(Github!L$738, ";", ", ")</f>
        <v>Array, Hash Table, String, Depth-First Search, Breadth-First Search, Union Find, </v>
      </c>
      <c r="I1044" s="17" t="str">
        <f>Github!E$738</f>
        <v>Medium</v>
      </c>
      <c r="J1044" s="17" t="str">
        <f>IF(TRIM(Github!D$738)="TRUE","FALSE","TRUE")</f>
        <v>FALSE</v>
      </c>
      <c r="K1044" s="17" t="b">
        <f>Github!M$738</f>
        <v>1</v>
      </c>
      <c r="L1044" s="17" t="b">
        <f>Github!N$738</f>
        <v>0</v>
      </c>
      <c r="M1044" s="17" t="str">
        <f>ROUND(Github!O$738, 2)&amp;"%"</f>
        <v>47.89%</v>
      </c>
      <c r="N1044" s="17">
        <f>Github!P$738</f>
        <v>57364</v>
      </c>
      <c r="O1044" s="17">
        <f>Github!Q$738</f>
        <v>119773</v>
      </c>
    </row>
    <row r="1045" ht="18.0" customHeight="1">
      <c r="A1045" s="17">
        <f>Github!J$354</f>
        <v>353</v>
      </c>
      <c r="B1045" s="27" t="str">
        <f>HYPERLINK(CONCAT("http://leetcode.com/problems/",Github!C$354), Github!B$354)</f>
        <v>Design Snake Game</v>
      </c>
      <c r="C1045" s="17">
        <f>Github!F$354</f>
        <v>688</v>
      </c>
      <c r="D1045" s="17">
        <f>Github!G$354</f>
        <v>251</v>
      </c>
      <c r="E1045" s="17">
        <f>Github!F$354+Github!G$354</f>
        <v>939</v>
      </c>
      <c r="F1045" s="18">
        <f t="shared" si="1"/>
        <v>2.74</v>
      </c>
      <c r="G1045" s="17" t="str">
        <f>Github!H$354</f>
        <v>Algorithms</v>
      </c>
      <c r="H1045" s="19" t="str">
        <f>SUBSTITUTE(Github!L$354, ";", ", ")</f>
        <v>Array, Design, Queue, Matrix, </v>
      </c>
      <c r="I1045" s="17" t="str">
        <f>Github!E$354</f>
        <v>Medium</v>
      </c>
      <c r="J1045" s="17" t="str">
        <f>IF(TRIM(Github!D$354)="TRUE","FALSE","TRUE")</f>
        <v>FALSE</v>
      </c>
      <c r="K1045" s="17" t="b">
        <f>Github!M$354</f>
        <v>1</v>
      </c>
      <c r="L1045" s="17" t="b">
        <f>Github!N$354</f>
        <v>0</v>
      </c>
      <c r="M1045" s="17" t="str">
        <f>ROUND(Github!O$354, 2)&amp;"%"</f>
        <v>37.92%</v>
      </c>
      <c r="N1045" s="17">
        <f>Github!P$354</f>
        <v>57437</v>
      </c>
      <c r="O1045" s="17">
        <f>Github!Q$354</f>
        <v>151451</v>
      </c>
    </row>
    <row r="1046" ht="18.0" customHeight="1">
      <c r="A1046" s="17">
        <f>Github!J$733</f>
        <v>732</v>
      </c>
      <c r="B1046" s="27" t="str">
        <f>HYPERLINK(CONCAT("http://leetcode.com/problems/",Github!C$733), Github!B$733)</f>
        <v>My Calendar III</v>
      </c>
      <c r="C1046" s="17">
        <f>Github!F$733</f>
        <v>687</v>
      </c>
      <c r="D1046" s="17">
        <f>Github!G$733</f>
        <v>142</v>
      </c>
      <c r="E1046" s="17">
        <f>Github!F$733+Github!G$733</f>
        <v>829</v>
      </c>
      <c r="F1046" s="18">
        <f t="shared" si="1"/>
        <v>4.84</v>
      </c>
      <c r="G1046" s="17" t="str">
        <f>Github!H$733</f>
        <v>Algorithms</v>
      </c>
      <c r="H1046" s="19" t="str">
        <f>SUBSTITUTE(Github!L$733, ";", ", ")</f>
        <v>Design, Segment Tree, Ordered Set, </v>
      </c>
      <c r="I1046" s="17" t="str">
        <f>Github!E$733</f>
        <v>Hard</v>
      </c>
      <c r="J1046" s="17" t="str">
        <f>IF(TRIM(Github!D$733)="TRUE","FALSE","TRUE")</f>
        <v>TRUE</v>
      </c>
      <c r="K1046" s="17" t="b">
        <f>Github!M$733</f>
        <v>1</v>
      </c>
      <c r="L1046" s="17" t="b">
        <f>Github!N$733</f>
        <v>0</v>
      </c>
      <c r="M1046" s="17" t="str">
        <f>ROUND(Github!O$733, 2)&amp;"%"</f>
        <v>66.23%</v>
      </c>
      <c r="N1046" s="17">
        <f>Github!P$733</f>
        <v>38979</v>
      </c>
      <c r="O1046" s="17">
        <f>Github!Q$733</f>
        <v>58857</v>
      </c>
    </row>
    <row r="1047" ht="18.0" customHeight="1">
      <c r="A1047" s="17">
        <f>Github!J$921</f>
        <v>920</v>
      </c>
      <c r="B1047" s="27" t="str">
        <f>HYPERLINK(CONCAT("http://leetcode.com/problems/",Github!C$921), Github!B$921)</f>
        <v>Number of Music Playlists</v>
      </c>
      <c r="C1047" s="17">
        <f>Github!F$921</f>
        <v>687</v>
      </c>
      <c r="D1047" s="17">
        <f>Github!G$921</f>
        <v>64</v>
      </c>
      <c r="E1047" s="17">
        <f>Github!F$921+Github!G$921</f>
        <v>751</v>
      </c>
      <c r="F1047" s="18">
        <f t="shared" si="1"/>
        <v>10.73</v>
      </c>
      <c r="G1047" s="17" t="str">
        <f>Github!H$921</f>
        <v>Algorithms</v>
      </c>
      <c r="H1047" s="19" t="str">
        <f>SUBSTITUTE(Github!L$921, ";", ", ")</f>
        <v>Math, Dynamic Programming, Combinatorics, </v>
      </c>
      <c r="I1047" s="17" t="str">
        <f>Github!E$921</f>
        <v>Hard</v>
      </c>
      <c r="J1047" s="17" t="str">
        <f>IF(TRIM(Github!D$921)="TRUE","FALSE","TRUE")</f>
        <v>TRUE</v>
      </c>
      <c r="K1047" s="17" t="b">
        <f>Github!M$921</f>
        <v>1</v>
      </c>
      <c r="L1047" s="17" t="b">
        <f>Github!N$921</f>
        <v>0</v>
      </c>
      <c r="M1047" s="17" t="str">
        <f>ROUND(Github!O$921, 2)&amp;"%"</f>
        <v>49.33%</v>
      </c>
      <c r="N1047" s="17">
        <f>Github!P$921</f>
        <v>17651</v>
      </c>
      <c r="O1047" s="17">
        <f>Github!Q$921</f>
        <v>35784</v>
      </c>
    </row>
    <row r="1048" ht="18.0" customHeight="1">
      <c r="A1048" s="17">
        <f>Github!J$1232</f>
        <v>1231</v>
      </c>
      <c r="B1048" s="27" t="str">
        <f>HYPERLINK(CONCAT("http://leetcode.com/problems/",Github!C$1232), Github!B$1232)</f>
        <v>Divide Chocolate</v>
      </c>
      <c r="C1048" s="17">
        <f>Github!F$1232</f>
        <v>689</v>
      </c>
      <c r="D1048" s="17">
        <f>Github!G$1232</f>
        <v>45</v>
      </c>
      <c r="E1048" s="17">
        <f>Github!F$1232+Github!G$1232</f>
        <v>734</v>
      </c>
      <c r="F1048" s="18">
        <f t="shared" si="1"/>
        <v>15.31</v>
      </c>
      <c r="G1048" s="17" t="str">
        <f>Github!H$1232</f>
        <v>Algorithms</v>
      </c>
      <c r="H1048" s="19" t="str">
        <f>SUBSTITUTE(Github!L$1232, ";", ", ")</f>
        <v>Array, Binary Search, </v>
      </c>
      <c r="I1048" s="17" t="str">
        <f>Github!E$1232</f>
        <v>Hard</v>
      </c>
      <c r="J1048" s="17" t="str">
        <f>IF(TRIM(Github!D$1232)="TRUE","FALSE","TRUE")</f>
        <v>FALSE</v>
      </c>
      <c r="K1048" s="17" t="b">
        <f>Github!M$1232</f>
        <v>1</v>
      </c>
      <c r="L1048" s="17" t="b">
        <f>Github!N$1232</f>
        <v>0</v>
      </c>
      <c r="M1048" s="17" t="str">
        <f>ROUND(Github!O$1232, 2)&amp;"%"</f>
        <v>55.99%</v>
      </c>
      <c r="N1048" s="17">
        <f>Github!P$1232</f>
        <v>34906</v>
      </c>
      <c r="O1048" s="17">
        <f>Github!Q$1232</f>
        <v>62339</v>
      </c>
    </row>
    <row r="1049" ht="18.0" customHeight="1">
      <c r="A1049" s="17">
        <f>Github!J$1864</f>
        <v>1863</v>
      </c>
      <c r="B1049" s="27" t="str">
        <f>HYPERLINK(CONCAT("http://leetcode.com/problems/",Github!C$1864), Github!B$1864)</f>
        <v>Sum of All Subset XOR Totals</v>
      </c>
      <c r="C1049" s="17">
        <f>Github!F$1864</f>
        <v>687</v>
      </c>
      <c r="D1049" s="17">
        <f>Github!G$1864</f>
        <v>71</v>
      </c>
      <c r="E1049" s="17">
        <f>Github!F$1864+Github!G$1864</f>
        <v>758</v>
      </c>
      <c r="F1049" s="18">
        <f t="shared" si="1"/>
        <v>9.68</v>
      </c>
      <c r="G1049" s="17" t="str">
        <f>Github!H$1864</f>
        <v>Algorithms</v>
      </c>
      <c r="H1049" s="19" t="str">
        <f>SUBSTITUTE(Github!L$1864, ";", ", ")</f>
        <v>Array, Math, Backtracking, Bit Manipulation, Combinatorics, </v>
      </c>
      <c r="I1049" s="17" t="str">
        <f>Github!E$1864</f>
        <v>Easy</v>
      </c>
      <c r="J1049" s="17" t="str">
        <f>IF(TRIM(Github!D$1864)="TRUE","FALSE","TRUE")</f>
        <v>TRUE</v>
      </c>
      <c r="K1049" s="17" t="b">
        <f>Github!M$1864</f>
        <v>0</v>
      </c>
      <c r="L1049" s="17" t="b">
        <f>Github!N$1864</f>
        <v>0</v>
      </c>
      <c r="M1049" s="17" t="str">
        <f>ROUND(Github!O$1864, 2)&amp;"%"</f>
        <v>78.62%</v>
      </c>
      <c r="N1049" s="17">
        <f>Github!P$1864</f>
        <v>30229</v>
      </c>
      <c r="O1049" s="17">
        <f>Github!Q$1864</f>
        <v>38450</v>
      </c>
    </row>
    <row r="1050" ht="18.0" customHeight="1">
      <c r="A1050" s="17">
        <f>Github!J$810</f>
        <v>809</v>
      </c>
      <c r="B1050" s="27" t="str">
        <f>HYPERLINK(CONCAT("http://leetcode.com/problems/",Github!C$810), Github!B$810)</f>
        <v>Expressive Words</v>
      </c>
      <c r="C1050" s="17">
        <f>Github!F$810</f>
        <v>685</v>
      </c>
      <c r="D1050" s="17">
        <f>Github!G$810</f>
        <v>1591</v>
      </c>
      <c r="E1050" s="17">
        <f>Github!F$810+Github!G$810</f>
        <v>2276</v>
      </c>
      <c r="F1050" s="18">
        <f t="shared" si="1"/>
        <v>0.43</v>
      </c>
      <c r="G1050" s="17" t="str">
        <f>Github!H$810</f>
        <v>Algorithms</v>
      </c>
      <c r="H1050" s="19" t="str">
        <f>SUBSTITUTE(Github!L$810, ";", ", ")</f>
        <v>Array, Two Pointers, String, </v>
      </c>
      <c r="I1050" s="17" t="str">
        <f>Github!E$810</f>
        <v>Medium</v>
      </c>
      <c r="J1050" s="17" t="str">
        <f>IF(TRIM(Github!D$810)="TRUE","FALSE","TRUE")</f>
        <v>TRUE</v>
      </c>
      <c r="K1050" s="17" t="b">
        <f>Github!M$810</f>
        <v>0</v>
      </c>
      <c r="L1050" s="17" t="b">
        <f>Github!N$810</f>
        <v>0</v>
      </c>
      <c r="M1050" s="17" t="str">
        <f>ROUND(Github!O$810, 2)&amp;"%"</f>
        <v>46.34%</v>
      </c>
      <c r="N1050" s="17">
        <f>Github!P$810</f>
        <v>92380</v>
      </c>
      <c r="O1050" s="17">
        <f>Github!Q$810</f>
        <v>199358</v>
      </c>
    </row>
    <row r="1051" ht="18.0" customHeight="1">
      <c r="A1051" s="17">
        <f>Github!J$821</f>
        <v>820</v>
      </c>
      <c r="B1051" s="27" t="str">
        <f>HYPERLINK(CONCAT("http://leetcode.com/problems/",Github!C$821), Github!B$821)</f>
        <v>Short Encoding of Words</v>
      </c>
      <c r="C1051" s="17">
        <f>Github!F$821</f>
        <v>685</v>
      </c>
      <c r="D1051" s="17">
        <f>Github!G$821</f>
        <v>257</v>
      </c>
      <c r="E1051" s="17">
        <f>Github!F$821+Github!G$821</f>
        <v>942</v>
      </c>
      <c r="F1051" s="18">
        <f t="shared" si="1"/>
        <v>2.67</v>
      </c>
      <c r="G1051" s="17" t="str">
        <f>Github!H$821</f>
        <v>Algorithms</v>
      </c>
      <c r="H1051" s="19" t="str">
        <f>SUBSTITUTE(Github!L$821, ";", ", ")</f>
        <v>Array, Hash Table, String, Trie, </v>
      </c>
      <c r="I1051" s="17" t="str">
        <f>Github!E$821</f>
        <v>Medium</v>
      </c>
      <c r="J1051" s="17" t="str">
        <f>IF(TRIM(Github!D$821)="TRUE","FALSE","TRUE")</f>
        <v>TRUE</v>
      </c>
      <c r="K1051" s="17" t="b">
        <f>Github!M$821</f>
        <v>1</v>
      </c>
      <c r="L1051" s="17" t="b">
        <f>Github!N$821</f>
        <v>0</v>
      </c>
      <c r="M1051" s="17" t="str">
        <f>ROUND(Github!O$821, 2)&amp;"%"</f>
        <v>55.14%</v>
      </c>
      <c r="N1051" s="17">
        <f>Github!P$821</f>
        <v>44574</v>
      </c>
      <c r="O1051" s="17">
        <f>Github!Q$821</f>
        <v>80834</v>
      </c>
    </row>
    <row r="1052" ht="18.0" customHeight="1">
      <c r="A1052" s="17">
        <f>Github!J$972</f>
        <v>971</v>
      </c>
      <c r="B1052" s="27" t="str">
        <f>HYPERLINK(CONCAT("http://leetcode.com/problems/",Github!C$972), Github!B$972)</f>
        <v>Flip Binary Tree To Match Preorder Traversal</v>
      </c>
      <c r="C1052" s="17">
        <f>Github!F$972</f>
        <v>684</v>
      </c>
      <c r="D1052" s="17">
        <f>Github!G$972</f>
        <v>236</v>
      </c>
      <c r="E1052" s="17">
        <f>Github!F$972+Github!G$972</f>
        <v>920</v>
      </c>
      <c r="F1052" s="18">
        <f t="shared" si="1"/>
        <v>2.9</v>
      </c>
      <c r="G1052" s="17" t="str">
        <f>Github!H$972</f>
        <v>Algorithms</v>
      </c>
      <c r="H1052" s="19" t="str">
        <f>SUBSTITUTE(Github!L$972, ";", ", ")</f>
        <v>Tree, Depth-First Search, Binary Tree, </v>
      </c>
      <c r="I1052" s="17" t="str">
        <f>Github!E$972</f>
        <v>Medium</v>
      </c>
      <c r="J1052" s="17" t="str">
        <f>IF(TRIM(Github!D$972)="TRUE","FALSE","TRUE")</f>
        <v>TRUE</v>
      </c>
      <c r="K1052" s="17" t="b">
        <f>Github!M$972</f>
        <v>1</v>
      </c>
      <c r="L1052" s="17" t="b">
        <f>Github!N$972</f>
        <v>0</v>
      </c>
      <c r="M1052" s="17" t="str">
        <f>ROUND(Github!O$972, 2)&amp;"%"</f>
        <v>49.87%</v>
      </c>
      <c r="N1052" s="17">
        <f>Github!P$972</f>
        <v>34332</v>
      </c>
      <c r="O1052" s="17">
        <f>Github!Q$972</f>
        <v>68846</v>
      </c>
    </row>
    <row r="1053" ht="18.0" customHeight="1">
      <c r="A1053" s="17">
        <f>Github!J$1104</f>
        <v>1103</v>
      </c>
      <c r="B1053" s="27" t="str">
        <f>HYPERLINK(CONCAT("http://leetcode.com/problems/",Github!C$1104), Github!B$1104)</f>
        <v>Distribute Candies to People</v>
      </c>
      <c r="C1053" s="17">
        <f>Github!F$1104</f>
        <v>683</v>
      </c>
      <c r="D1053" s="17">
        <f>Github!G$1104</f>
        <v>164</v>
      </c>
      <c r="E1053" s="17">
        <f>Github!F$1104+Github!G$1104</f>
        <v>847</v>
      </c>
      <c r="F1053" s="18">
        <f t="shared" si="1"/>
        <v>4.16</v>
      </c>
      <c r="G1053" s="17" t="str">
        <f>Github!H$1104</f>
        <v>Algorithms</v>
      </c>
      <c r="H1053" s="19" t="str">
        <f>SUBSTITUTE(Github!L$1104, ";", ", ")</f>
        <v>Math, Simulation, </v>
      </c>
      <c r="I1053" s="17" t="str">
        <f>Github!E$1104</f>
        <v>Easy</v>
      </c>
      <c r="J1053" s="17" t="str">
        <f>IF(TRIM(Github!D$1104)="TRUE","FALSE","TRUE")</f>
        <v>TRUE</v>
      </c>
      <c r="K1053" s="17" t="b">
        <f>Github!M$1104</f>
        <v>0</v>
      </c>
      <c r="L1053" s="17" t="b">
        <f>Github!N$1104</f>
        <v>0</v>
      </c>
      <c r="M1053" s="17" t="str">
        <f>ROUND(Github!O$1104, 2)&amp;"%"</f>
        <v>63.71%</v>
      </c>
      <c r="N1053" s="17">
        <f>Github!P$1104</f>
        <v>65886</v>
      </c>
      <c r="O1053" s="17">
        <f>Github!Q$1104</f>
        <v>103419</v>
      </c>
    </row>
    <row r="1054" ht="18.0" customHeight="1">
      <c r="A1054" s="17">
        <f>Github!J$1376</f>
        <v>1375</v>
      </c>
      <c r="B1054" s="27" t="str">
        <f>HYPERLINK(CONCAT("http://leetcode.com/problems/",Github!C$1376), Github!B$1376)</f>
        <v>Number of Times Binary String Is Prefix-Aligned</v>
      </c>
      <c r="C1054" s="17">
        <f>Github!F$1376</f>
        <v>683</v>
      </c>
      <c r="D1054" s="17">
        <f>Github!G$1376</f>
        <v>108</v>
      </c>
      <c r="E1054" s="17">
        <f>Github!F$1376+Github!G$1376</f>
        <v>791</v>
      </c>
      <c r="F1054" s="18">
        <f t="shared" si="1"/>
        <v>6.32</v>
      </c>
      <c r="G1054" s="17" t="str">
        <f>Github!H$1376</f>
        <v>Algorithms</v>
      </c>
      <c r="H1054" s="19" t="str">
        <f>SUBSTITUTE(Github!L$1376, ";", ", ")</f>
        <v>Array, </v>
      </c>
      <c r="I1054" s="17" t="str">
        <f>Github!E$1376</f>
        <v>Medium</v>
      </c>
      <c r="J1054" s="17" t="str">
        <f>IF(TRIM(Github!D$1376)="TRUE","FALSE","TRUE")</f>
        <v>TRUE</v>
      </c>
      <c r="K1054" s="17" t="b">
        <f>Github!M$1376</f>
        <v>0</v>
      </c>
      <c r="L1054" s="17" t="b">
        <f>Github!N$1376</f>
        <v>0</v>
      </c>
      <c r="M1054" s="17" t="str">
        <f>ROUND(Github!O$1376, 2)&amp;"%"</f>
        <v>65.55%</v>
      </c>
      <c r="N1054" s="17">
        <f>Github!P$1376</f>
        <v>38101</v>
      </c>
      <c r="O1054" s="17">
        <f>Github!Q$1376</f>
        <v>58126</v>
      </c>
    </row>
    <row r="1055" ht="18.0" customHeight="1">
      <c r="A1055" s="17">
        <f>Github!J$1749</f>
        <v>1748</v>
      </c>
      <c r="B1055" s="27" t="str">
        <f>HYPERLINK(CONCAT("http://leetcode.com/problems/",Github!C$1749), Github!B$1749)</f>
        <v>Sum of Unique Elements</v>
      </c>
      <c r="C1055" s="17">
        <f>Github!F$1749</f>
        <v>683</v>
      </c>
      <c r="D1055" s="17">
        <f>Github!G$1749</f>
        <v>17</v>
      </c>
      <c r="E1055" s="17">
        <f>Github!F$1749+Github!G$1749</f>
        <v>700</v>
      </c>
      <c r="F1055" s="18">
        <f t="shared" si="1"/>
        <v>40.18</v>
      </c>
      <c r="G1055" s="17" t="str">
        <f>Github!H$1749</f>
        <v>Algorithms</v>
      </c>
      <c r="H1055" s="19" t="str">
        <f>SUBSTITUTE(Github!L$1749, ";", ", ")</f>
        <v>Array, Hash Table, Counting, </v>
      </c>
      <c r="I1055" s="17" t="str">
        <f>Github!E$1749</f>
        <v>Easy</v>
      </c>
      <c r="J1055" s="17" t="str">
        <f>IF(TRIM(Github!D$1749)="TRUE","FALSE","TRUE")</f>
        <v>TRUE</v>
      </c>
      <c r="K1055" s="17" t="b">
        <f>Github!M$1749</f>
        <v>0</v>
      </c>
      <c r="L1055" s="17" t="b">
        <f>Github!N$1749</f>
        <v>0</v>
      </c>
      <c r="M1055" s="17" t="str">
        <f>ROUND(Github!O$1749, 2)&amp;"%"</f>
        <v>75.39%</v>
      </c>
      <c r="N1055" s="17">
        <f>Github!P$1749</f>
        <v>68877</v>
      </c>
      <c r="O1055" s="17">
        <f>Github!Q$1749</f>
        <v>91366</v>
      </c>
    </row>
    <row r="1056" ht="18.0" customHeight="1">
      <c r="A1056" s="17">
        <f>Github!J$1771</f>
        <v>1770</v>
      </c>
      <c r="B1056" s="27" t="str">
        <f>HYPERLINK(CONCAT("http://leetcode.com/problems/",Github!C$1771), Github!B$1771)</f>
        <v>Maximum Score from Performing Multiplication Operations</v>
      </c>
      <c r="C1056" s="17">
        <f>Github!F$1771</f>
        <v>683</v>
      </c>
      <c r="D1056" s="17">
        <f>Github!G$1771</f>
        <v>160</v>
      </c>
      <c r="E1056" s="17">
        <f>Github!F$1771+Github!G$1771</f>
        <v>843</v>
      </c>
      <c r="F1056" s="18">
        <f t="shared" si="1"/>
        <v>4.27</v>
      </c>
      <c r="G1056" s="17" t="str">
        <f>Github!H$1771</f>
        <v>Algorithms</v>
      </c>
      <c r="H1056" s="19" t="str">
        <f>SUBSTITUTE(Github!L$1771, ";", ", ")</f>
        <v>Array, Dynamic Programming, </v>
      </c>
      <c r="I1056" s="17" t="str">
        <f>Github!E$1771</f>
        <v>Medium</v>
      </c>
      <c r="J1056" s="17" t="str">
        <f>IF(TRIM(Github!D$1771)="TRUE","FALSE","TRUE")</f>
        <v>TRUE</v>
      </c>
      <c r="K1056" s="17" t="b">
        <f>Github!M$1771</f>
        <v>0</v>
      </c>
      <c r="L1056" s="17" t="b">
        <f>Github!N$1771</f>
        <v>0</v>
      </c>
      <c r="M1056" s="17" t="str">
        <f>ROUND(Github!O$1771, 2)&amp;"%"</f>
        <v>35.45%</v>
      </c>
      <c r="N1056" s="17">
        <f>Github!P$1771</f>
        <v>27969</v>
      </c>
      <c r="O1056" s="17">
        <f>Github!Q$1771</f>
        <v>78897</v>
      </c>
    </row>
    <row r="1057" ht="18.0" customHeight="1">
      <c r="A1057" s="17">
        <f>Github!J$276</f>
        <v>275</v>
      </c>
      <c r="B1057" s="27" t="str">
        <f>HYPERLINK(CONCAT("http://leetcode.com/problems/",Github!C$276), Github!B$276)</f>
        <v>H-Index II</v>
      </c>
      <c r="C1057" s="17">
        <f>Github!F$276</f>
        <v>683</v>
      </c>
      <c r="D1057" s="17">
        <f>Github!G$276</f>
        <v>1001</v>
      </c>
      <c r="E1057" s="17">
        <f>Github!F$276+Github!G$276</f>
        <v>1684</v>
      </c>
      <c r="F1057" s="18">
        <f t="shared" si="1"/>
        <v>0.68</v>
      </c>
      <c r="G1057" s="17" t="str">
        <f>Github!H$276</f>
        <v>Algorithms</v>
      </c>
      <c r="H1057" s="19" t="str">
        <f>SUBSTITUTE(Github!L$276, ";", ", ")</f>
        <v>Array, Binary Search, </v>
      </c>
      <c r="I1057" s="17" t="str">
        <f>Github!E$276</f>
        <v>Medium</v>
      </c>
      <c r="J1057" s="17" t="str">
        <f>IF(TRIM(Github!D$276)="TRUE","FALSE","TRUE")</f>
        <v>TRUE</v>
      </c>
      <c r="K1057" s="17" t="b">
        <f>Github!M$276</f>
        <v>1</v>
      </c>
      <c r="L1057" s="17" t="b">
        <f>Github!N$276</f>
        <v>0</v>
      </c>
      <c r="M1057" s="17" t="str">
        <f>ROUND(Github!O$276, 2)&amp;"%"</f>
        <v>36.9%</v>
      </c>
      <c r="N1057" s="17">
        <f>Github!P$276</f>
        <v>155205</v>
      </c>
      <c r="O1057" s="17">
        <f>Github!Q$276</f>
        <v>420580</v>
      </c>
    </row>
    <row r="1058" ht="18.0" customHeight="1">
      <c r="A1058" s="17">
        <f>Github!J$1279</f>
        <v>1278</v>
      </c>
      <c r="B1058" s="27" t="str">
        <f>HYPERLINK(CONCAT("http://leetcode.com/problems/",Github!C$1279), Github!B$1279)</f>
        <v>Palindrome Partitioning III</v>
      </c>
      <c r="C1058" s="17">
        <f>Github!F$1279</f>
        <v>682</v>
      </c>
      <c r="D1058" s="17">
        <f>Github!G$1279</f>
        <v>12</v>
      </c>
      <c r="E1058" s="17">
        <f>Github!F$1279+Github!G$1279</f>
        <v>694</v>
      </c>
      <c r="F1058" s="18">
        <f t="shared" si="1"/>
        <v>56.83</v>
      </c>
      <c r="G1058" s="17" t="str">
        <f>Github!H$1279</f>
        <v>Algorithms</v>
      </c>
      <c r="H1058" s="19" t="str">
        <f>SUBSTITUTE(Github!L$1279, ";", ", ")</f>
        <v>String, Dynamic Programming, </v>
      </c>
      <c r="I1058" s="17" t="str">
        <f>Github!E$1279</f>
        <v>Hard</v>
      </c>
      <c r="J1058" s="17" t="str">
        <f>IF(TRIM(Github!D$1279)="TRUE","FALSE","TRUE")</f>
        <v>TRUE</v>
      </c>
      <c r="K1058" s="17" t="b">
        <f>Github!M$1279</f>
        <v>0</v>
      </c>
      <c r="L1058" s="17" t="b">
        <f>Github!N$1279</f>
        <v>0</v>
      </c>
      <c r="M1058" s="17" t="str">
        <f>ROUND(Github!O$1279, 2)&amp;"%"</f>
        <v>60.95%</v>
      </c>
      <c r="N1058" s="17">
        <f>Github!P$1279</f>
        <v>17708</v>
      </c>
      <c r="O1058" s="17">
        <f>Github!Q$1279</f>
        <v>29055</v>
      </c>
    </row>
    <row r="1059" ht="18.0" customHeight="1">
      <c r="A1059" s="17">
        <f>Github!J$1655</f>
        <v>1654</v>
      </c>
      <c r="B1059" s="27" t="str">
        <f>HYPERLINK(CONCAT("http://leetcode.com/problems/",Github!C$1655), Github!B$1655)</f>
        <v>Minimum Jumps to Reach Home</v>
      </c>
      <c r="C1059" s="17">
        <f>Github!F$1655</f>
        <v>683</v>
      </c>
      <c r="D1059" s="17">
        <f>Github!G$1655</f>
        <v>146</v>
      </c>
      <c r="E1059" s="17">
        <f>Github!F$1655+Github!G$1655</f>
        <v>829</v>
      </c>
      <c r="F1059" s="18">
        <f t="shared" si="1"/>
        <v>4.68</v>
      </c>
      <c r="G1059" s="17" t="str">
        <f>Github!H$1655</f>
        <v>Algorithms</v>
      </c>
      <c r="H1059" s="19" t="str">
        <f>SUBSTITUTE(Github!L$1655, ";", ", ")</f>
        <v>Array, Dynamic Programming, Breadth-First Search, </v>
      </c>
      <c r="I1059" s="17" t="str">
        <f>Github!E$1655</f>
        <v>Medium</v>
      </c>
      <c r="J1059" s="17" t="str">
        <f>IF(TRIM(Github!D$1655)="TRUE","FALSE","TRUE")</f>
        <v>TRUE</v>
      </c>
      <c r="K1059" s="17" t="b">
        <f>Github!M$1655</f>
        <v>0</v>
      </c>
      <c r="L1059" s="17" t="b">
        <f>Github!N$1655</f>
        <v>0</v>
      </c>
      <c r="M1059" s="17" t="str">
        <f>ROUND(Github!O$1655, 2)&amp;"%"</f>
        <v>26.31%</v>
      </c>
      <c r="N1059" s="17">
        <f>Github!P$1655</f>
        <v>18394</v>
      </c>
      <c r="O1059" s="17">
        <f>Github!Q$1655</f>
        <v>69902</v>
      </c>
    </row>
    <row r="1060" ht="18.0" customHeight="1">
      <c r="A1060" s="17">
        <f>Github!J$1763</f>
        <v>1762</v>
      </c>
      <c r="B1060" s="27" t="str">
        <f>HYPERLINK(CONCAT("http://leetcode.com/problems/",Github!C$1763), Github!B$1763)</f>
        <v>Buildings With an Ocean View</v>
      </c>
      <c r="C1060" s="17">
        <f>Github!F$1763</f>
        <v>681</v>
      </c>
      <c r="D1060" s="17">
        <f>Github!G$1763</f>
        <v>95</v>
      </c>
      <c r="E1060" s="17">
        <f>Github!F$1763+Github!G$1763</f>
        <v>776</v>
      </c>
      <c r="F1060" s="18">
        <f t="shared" si="1"/>
        <v>7.17</v>
      </c>
      <c r="G1060" s="17" t="str">
        <f>Github!H$1763</f>
        <v>Algorithms</v>
      </c>
      <c r="H1060" s="19" t="str">
        <f>SUBSTITUTE(Github!L$1763, ";", ", ")</f>
        <v>Array, Stack, Monotonic Stack, </v>
      </c>
      <c r="I1060" s="17" t="str">
        <f>Github!E$1763</f>
        <v>Medium</v>
      </c>
      <c r="J1060" s="17" t="str">
        <f>IF(TRIM(Github!D$1763)="TRUE","FALSE","TRUE")</f>
        <v>FALSE</v>
      </c>
      <c r="K1060" s="17" t="b">
        <f>Github!M$1763</f>
        <v>1</v>
      </c>
      <c r="L1060" s="17" t="b">
        <f>Github!N$1763</f>
        <v>0</v>
      </c>
      <c r="M1060" s="17" t="str">
        <f>ROUND(Github!O$1763, 2)&amp;"%"</f>
        <v>80.33%</v>
      </c>
      <c r="N1060" s="17">
        <f>Github!P$1763</f>
        <v>89055</v>
      </c>
      <c r="O1060" s="17">
        <f>Github!Q$1763</f>
        <v>110853</v>
      </c>
    </row>
    <row r="1061" ht="18.0" customHeight="1">
      <c r="A1061" s="17">
        <f>Github!J$263</f>
        <v>262</v>
      </c>
      <c r="B1061" s="27" t="str">
        <f>HYPERLINK(CONCAT("http://leetcode.com/problems/",Github!C$263), Github!B$263)</f>
        <v>Trips and Users</v>
      </c>
      <c r="C1061" s="17">
        <f>Github!F$263</f>
        <v>680</v>
      </c>
      <c r="D1061" s="17">
        <f>Github!G$263</f>
        <v>443</v>
      </c>
      <c r="E1061" s="17">
        <f>Github!F$263+Github!G$263</f>
        <v>1123</v>
      </c>
      <c r="F1061" s="18">
        <f t="shared" si="1"/>
        <v>1.53</v>
      </c>
      <c r="G1061" s="17" t="str">
        <f>Github!H$263</f>
        <v>Database</v>
      </c>
      <c r="H1061" s="19" t="str">
        <f>SUBSTITUTE(Github!L$263, ";", ", ")</f>
        <v>Database, </v>
      </c>
      <c r="I1061" s="17" t="str">
        <f>Github!E$263</f>
        <v>Hard</v>
      </c>
      <c r="J1061" s="17" t="str">
        <f>IF(TRIM(Github!D$263)="TRUE","FALSE","TRUE")</f>
        <v>TRUE</v>
      </c>
      <c r="K1061" s="17" t="b">
        <f>Github!M$263</f>
        <v>0</v>
      </c>
      <c r="L1061" s="17" t="b">
        <f>Github!N$263</f>
        <v>0</v>
      </c>
      <c r="M1061" s="17" t="str">
        <f>ROUND(Github!O$263, 2)&amp;"%"</f>
        <v>37.58%</v>
      </c>
      <c r="N1061" s="17">
        <f>Github!P$263</f>
        <v>108768</v>
      </c>
      <c r="O1061" s="17">
        <f>Github!Q$263</f>
        <v>289394</v>
      </c>
    </row>
    <row r="1062" ht="18.0" customHeight="1">
      <c r="A1062" s="17">
        <f>Github!J$1649</f>
        <v>1648</v>
      </c>
      <c r="B1062" s="27" t="str">
        <f>HYPERLINK(CONCAT("http://leetcode.com/problems/",Github!C$1649), Github!B$1649)</f>
        <v>Sell Diminishing-Valued Colored Balls</v>
      </c>
      <c r="C1062" s="17">
        <f>Github!F$1649</f>
        <v>679</v>
      </c>
      <c r="D1062" s="17">
        <f>Github!G$1649</f>
        <v>253</v>
      </c>
      <c r="E1062" s="17">
        <f>Github!F$1649+Github!G$1649</f>
        <v>932</v>
      </c>
      <c r="F1062" s="18">
        <f t="shared" si="1"/>
        <v>2.68</v>
      </c>
      <c r="G1062" s="17" t="str">
        <f>Github!H$1649</f>
        <v>Algorithms</v>
      </c>
      <c r="H1062" s="19" t="str">
        <f>SUBSTITUTE(Github!L$1649, ";", ", ")</f>
        <v>Array, Math, Binary Search, Greedy, Sorting, Heap (Priority Queue), </v>
      </c>
      <c r="I1062" s="17" t="str">
        <f>Github!E$1649</f>
        <v>Medium</v>
      </c>
      <c r="J1062" s="17" t="str">
        <f>IF(TRIM(Github!D$1649)="TRUE","FALSE","TRUE")</f>
        <v>TRUE</v>
      </c>
      <c r="K1062" s="17" t="b">
        <f>Github!M$1649</f>
        <v>0</v>
      </c>
      <c r="L1062" s="17" t="b">
        <f>Github!N$1649</f>
        <v>0</v>
      </c>
      <c r="M1062" s="17" t="str">
        <f>ROUND(Github!O$1649, 2)&amp;"%"</f>
        <v>30.87%</v>
      </c>
      <c r="N1062" s="17">
        <f>Github!P$1649</f>
        <v>26330</v>
      </c>
      <c r="O1062" s="17">
        <f>Github!Q$1649</f>
        <v>85303</v>
      </c>
    </row>
    <row r="1063" ht="18.0" customHeight="1">
      <c r="A1063" s="17">
        <f>Github!J$1672</f>
        <v>1671</v>
      </c>
      <c r="B1063" s="27" t="str">
        <f>HYPERLINK(CONCAT("http://leetcode.com/problems/",Github!C$1672), Github!B$1672)</f>
        <v>Minimum Number of Removals to Make Mountain Array</v>
      </c>
      <c r="C1063" s="17">
        <f>Github!F$1672</f>
        <v>679</v>
      </c>
      <c r="D1063" s="17">
        <f>Github!G$1672</f>
        <v>10</v>
      </c>
      <c r="E1063" s="17">
        <f>Github!F$1672+Github!G$1672</f>
        <v>689</v>
      </c>
      <c r="F1063" s="18">
        <f t="shared" si="1"/>
        <v>67.9</v>
      </c>
      <c r="G1063" s="17" t="str">
        <f>Github!H$1672</f>
        <v>Algorithms</v>
      </c>
      <c r="H1063" s="19" t="str">
        <f>SUBSTITUTE(Github!L$1672, ";", ", ")</f>
        <v>Array, Binary Search, Dynamic Programming, Greedy, </v>
      </c>
      <c r="I1063" s="17" t="str">
        <f>Github!E$1672</f>
        <v>Hard</v>
      </c>
      <c r="J1063" s="17" t="str">
        <f>IF(TRIM(Github!D$1672)="TRUE","FALSE","TRUE")</f>
        <v>TRUE</v>
      </c>
      <c r="K1063" s="17" t="b">
        <f>Github!M$1672</f>
        <v>0</v>
      </c>
      <c r="L1063" s="17" t="b">
        <f>Github!N$1672</f>
        <v>0</v>
      </c>
      <c r="M1063" s="17" t="str">
        <f>ROUND(Github!O$1672, 2)&amp;"%"</f>
        <v>43.22%</v>
      </c>
      <c r="N1063" s="17">
        <f>Github!P$1672</f>
        <v>11886</v>
      </c>
      <c r="O1063" s="17">
        <f>Github!Q$1672</f>
        <v>27498</v>
      </c>
    </row>
    <row r="1064" ht="18.0" customHeight="1">
      <c r="A1064" s="17">
        <f>Github!J$1121</f>
        <v>1120</v>
      </c>
      <c r="B1064" s="27" t="str">
        <f>HYPERLINK(CONCAT("http://leetcode.com/problems/",Github!C$1121), Github!B$1121)</f>
        <v>Maximum Average Subtree</v>
      </c>
      <c r="C1064" s="17">
        <f>Github!F$1121</f>
        <v>678</v>
      </c>
      <c r="D1064" s="17">
        <f>Github!G$1121</f>
        <v>27</v>
      </c>
      <c r="E1064" s="17">
        <f>Github!F$1121+Github!G$1121</f>
        <v>705</v>
      </c>
      <c r="F1064" s="18">
        <f t="shared" si="1"/>
        <v>25.11</v>
      </c>
      <c r="G1064" s="17" t="str">
        <f>Github!H$1121</f>
        <v>Algorithms</v>
      </c>
      <c r="H1064" s="19" t="str">
        <f>SUBSTITUTE(Github!L$1121, ";", ", ")</f>
        <v>Tree, Depth-First Search, Binary Tree, </v>
      </c>
      <c r="I1064" s="17" t="str">
        <f>Github!E$1121</f>
        <v>Medium</v>
      </c>
      <c r="J1064" s="17" t="str">
        <f>IF(TRIM(Github!D$1121)="TRUE","FALSE","TRUE")</f>
        <v>FALSE</v>
      </c>
      <c r="K1064" s="17" t="b">
        <f>Github!M$1121</f>
        <v>1</v>
      </c>
      <c r="L1064" s="17" t="b">
        <f>Github!N$1121</f>
        <v>0</v>
      </c>
      <c r="M1064" s="17" t="str">
        <f>ROUND(Github!O$1121, 2)&amp;"%"</f>
        <v>65.07%</v>
      </c>
      <c r="N1064" s="17">
        <f>Github!P$1121</f>
        <v>53051</v>
      </c>
      <c r="O1064" s="17">
        <f>Github!Q$1121</f>
        <v>81527</v>
      </c>
    </row>
    <row r="1065" ht="18.0" customHeight="1">
      <c r="A1065" s="17">
        <f>Github!J$1157</f>
        <v>1156</v>
      </c>
      <c r="B1065" s="27" t="str">
        <f>HYPERLINK(CONCAT("http://leetcode.com/problems/",Github!C$1157), Github!B$1157)</f>
        <v>Swap For Longest Repeated Character Substring</v>
      </c>
      <c r="C1065" s="17">
        <f>Github!F$1157</f>
        <v>678</v>
      </c>
      <c r="D1065" s="17">
        <f>Github!G$1157</f>
        <v>62</v>
      </c>
      <c r="E1065" s="17">
        <f>Github!F$1157+Github!G$1157</f>
        <v>740</v>
      </c>
      <c r="F1065" s="18">
        <f t="shared" si="1"/>
        <v>10.94</v>
      </c>
      <c r="G1065" s="17" t="str">
        <f>Github!H$1157</f>
        <v>Algorithms</v>
      </c>
      <c r="H1065" s="19" t="str">
        <f>SUBSTITUTE(Github!L$1157, ";", ", ")</f>
        <v>String, Sliding Window, </v>
      </c>
      <c r="I1065" s="17" t="str">
        <f>Github!E$1157</f>
        <v>Medium</v>
      </c>
      <c r="J1065" s="17" t="str">
        <f>IF(TRIM(Github!D$1157)="TRUE","FALSE","TRUE")</f>
        <v>TRUE</v>
      </c>
      <c r="K1065" s="17" t="b">
        <f>Github!M$1157</f>
        <v>0</v>
      </c>
      <c r="L1065" s="17" t="b">
        <f>Github!N$1157</f>
        <v>0</v>
      </c>
      <c r="M1065" s="17" t="str">
        <f>ROUND(Github!O$1157, 2)&amp;"%"</f>
        <v>46.43%</v>
      </c>
      <c r="N1065" s="17">
        <f>Github!P$1157</f>
        <v>22011</v>
      </c>
      <c r="O1065" s="17">
        <f>Github!Q$1157</f>
        <v>47403</v>
      </c>
    </row>
    <row r="1066" ht="18.0" customHeight="1">
      <c r="A1066" s="17">
        <f>Github!J$1461</f>
        <v>1460</v>
      </c>
      <c r="B1066" s="27" t="str">
        <f>HYPERLINK(CONCAT("http://leetcode.com/problems/",Github!C$1461), Github!B$1461)</f>
        <v>Make Two Arrays Equal by Reversing Sub-arrays</v>
      </c>
      <c r="C1066" s="17">
        <f>Github!F$1461</f>
        <v>677</v>
      </c>
      <c r="D1066" s="17">
        <f>Github!G$1461</f>
        <v>107</v>
      </c>
      <c r="E1066" s="17">
        <f>Github!F$1461+Github!G$1461</f>
        <v>784</v>
      </c>
      <c r="F1066" s="18">
        <f t="shared" si="1"/>
        <v>6.33</v>
      </c>
      <c r="G1066" s="17" t="str">
        <f>Github!H$1461</f>
        <v>Algorithms</v>
      </c>
      <c r="H1066" s="19" t="str">
        <f>SUBSTITUTE(Github!L$1461, ";", ", ")</f>
        <v>Array, Hash Table, Sorting, </v>
      </c>
      <c r="I1066" s="17" t="str">
        <f>Github!E$1461</f>
        <v>Easy</v>
      </c>
      <c r="J1066" s="17" t="str">
        <f>IF(TRIM(Github!D$1461)="TRUE","FALSE","TRUE")</f>
        <v>TRUE</v>
      </c>
      <c r="K1066" s="17" t="b">
        <f>Github!M$1461</f>
        <v>0</v>
      </c>
      <c r="L1066" s="17" t="b">
        <f>Github!N$1461</f>
        <v>0</v>
      </c>
      <c r="M1066" s="17" t="str">
        <f>ROUND(Github!O$1461, 2)&amp;"%"</f>
        <v>72.55%</v>
      </c>
      <c r="N1066" s="17">
        <f>Github!P$1461</f>
        <v>81182</v>
      </c>
      <c r="O1066" s="17">
        <f>Github!Q$1461</f>
        <v>111900</v>
      </c>
    </row>
    <row r="1067" ht="18.0" customHeight="1">
      <c r="A1067" s="17">
        <f>Github!J$1462</f>
        <v>1461</v>
      </c>
      <c r="B1067" s="27" t="str">
        <f>HYPERLINK(CONCAT("http://leetcode.com/problems/",Github!C$1462), Github!B$1462)</f>
        <v>Check If a String Contains All Binary Codes of Size K</v>
      </c>
      <c r="C1067" s="17">
        <f>Github!F$1462</f>
        <v>677</v>
      </c>
      <c r="D1067" s="17">
        <f>Github!G$1462</f>
        <v>66</v>
      </c>
      <c r="E1067" s="17">
        <f>Github!F$1462+Github!G$1462</f>
        <v>743</v>
      </c>
      <c r="F1067" s="18">
        <f t="shared" si="1"/>
        <v>10.26</v>
      </c>
      <c r="G1067" s="17" t="str">
        <f>Github!H$1462</f>
        <v>Algorithms</v>
      </c>
      <c r="H1067" s="19" t="str">
        <f>SUBSTITUTE(Github!L$1462, ";", ", ")</f>
        <v>Hash Table, String, Bit Manipulation, Rolling Hash, Hash Function, </v>
      </c>
      <c r="I1067" s="17" t="str">
        <f>Github!E$1462</f>
        <v>Medium</v>
      </c>
      <c r="J1067" s="17" t="str">
        <f>IF(TRIM(Github!D$1462)="TRUE","FALSE","TRUE")</f>
        <v>TRUE</v>
      </c>
      <c r="K1067" s="17" t="b">
        <f>Github!M$1462</f>
        <v>1</v>
      </c>
      <c r="L1067" s="17" t="b">
        <f>Github!N$1462</f>
        <v>0</v>
      </c>
      <c r="M1067" s="17" t="str">
        <f>ROUND(Github!O$1462, 2)&amp;"%"</f>
        <v>54.44%</v>
      </c>
      <c r="N1067" s="17">
        <f>Github!P$1462</f>
        <v>46932</v>
      </c>
      <c r="O1067" s="17">
        <f>Github!Q$1462</f>
        <v>86203</v>
      </c>
    </row>
    <row r="1068" ht="18.0" customHeight="1">
      <c r="A1068" s="17">
        <f>Github!J$1126</f>
        <v>1125</v>
      </c>
      <c r="B1068" s="27" t="str">
        <f>HYPERLINK(CONCAT("http://leetcode.com/problems/",Github!C$1126), Github!B$1126)</f>
        <v>Smallest Sufficient Team</v>
      </c>
      <c r="C1068" s="17">
        <f>Github!F$1126</f>
        <v>676</v>
      </c>
      <c r="D1068" s="17">
        <f>Github!G$1126</f>
        <v>13</v>
      </c>
      <c r="E1068" s="17">
        <f>Github!F$1126+Github!G$1126</f>
        <v>689</v>
      </c>
      <c r="F1068" s="18">
        <f t="shared" si="1"/>
        <v>52</v>
      </c>
      <c r="G1068" s="17" t="str">
        <f>Github!H$1126</f>
        <v>Algorithms</v>
      </c>
      <c r="H1068" s="19" t="str">
        <f>SUBSTITUTE(Github!L$1126, ";", ", ")</f>
        <v>Array, Dynamic Programming, Bit Manipulation, Bitmask, </v>
      </c>
      <c r="I1068" s="17" t="str">
        <f>Github!E$1126</f>
        <v>Hard</v>
      </c>
      <c r="J1068" s="17" t="str">
        <f>IF(TRIM(Github!D$1126)="TRUE","FALSE","TRUE")</f>
        <v>TRUE</v>
      </c>
      <c r="K1068" s="17" t="b">
        <f>Github!M$1126</f>
        <v>0</v>
      </c>
      <c r="L1068" s="17" t="b">
        <f>Github!N$1126</f>
        <v>0</v>
      </c>
      <c r="M1068" s="17" t="str">
        <f>ROUND(Github!O$1126, 2)&amp;"%"</f>
        <v>47.83%</v>
      </c>
      <c r="N1068" s="17">
        <f>Github!P$1126</f>
        <v>15598</v>
      </c>
      <c r="O1068" s="17">
        <f>Github!Q$1126</f>
        <v>32612</v>
      </c>
    </row>
    <row r="1069" ht="18.0" customHeight="1">
      <c r="A1069" s="17">
        <f>Github!J$1721</f>
        <v>1720</v>
      </c>
      <c r="B1069" s="27" t="str">
        <f>HYPERLINK(CONCAT("http://leetcode.com/problems/",Github!C$1721), Github!B$1721)</f>
        <v>Decode XORed Array</v>
      </c>
      <c r="C1069" s="17">
        <f>Github!F$1721</f>
        <v>678</v>
      </c>
      <c r="D1069" s="17">
        <f>Github!G$1721</f>
        <v>130</v>
      </c>
      <c r="E1069" s="17">
        <f>Github!F$1721+Github!G$1721</f>
        <v>808</v>
      </c>
      <c r="F1069" s="18">
        <f t="shared" si="1"/>
        <v>5.22</v>
      </c>
      <c r="G1069" s="17" t="str">
        <f>Github!H$1721</f>
        <v>Algorithms</v>
      </c>
      <c r="H1069" s="19" t="str">
        <f>SUBSTITUTE(Github!L$1721, ";", ", ")</f>
        <v>Array, Bit Manipulation, </v>
      </c>
      <c r="I1069" s="17" t="str">
        <f>Github!E$1721</f>
        <v>Easy</v>
      </c>
      <c r="J1069" s="17" t="str">
        <f>IF(TRIM(Github!D$1721)="TRUE","FALSE","TRUE")</f>
        <v>TRUE</v>
      </c>
      <c r="K1069" s="17" t="b">
        <f>Github!M$1721</f>
        <v>0</v>
      </c>
      <c r="L1069" s="17" t="b">
        <f>Github!N$1721</f>
        <v>0</v>
      </c>
      <c r="M1069" s="17" t="str">
        <f>ROUND(Github!O$1721, 2)&amp;"%"</f>
        <v>85.93%</v>
      </c>
      <c r="N1069" s="17">
        <f>Github!P$1721</f>
        <v>64430</v>
      </c>
      <c r="O1069" s="17">
        <f>Github!Q$1721</f>
        <v>74983</v>
      </c>
    </row>
    <row r="1070" ht="18.0" customHeight="1">
      <c r="A1070" s="17">
        <f>Github!J$1067</f>
        <v>1066</v>
      </c>
      <c r="B1070" s="27" t="str">
        <f>HYPERLINK(CONCAT("http://leetcode.com/problems/",Github!C$1067), Github!B$1067)</f>
        <v>Campus Bikes II</v>
      </c>
      <c r="C1070" s="17">
        <f>Github!F$1067</f>
        <v>675</v>
      </c>
      <c r="D1070" s="17">
        <f>Github!G$1067</f>
        <v>55</v>
      </c>
      <c r="E1070" s="17">
        <f>Github!F$1067+Github!G$1067</f>
        <v>730</v>
      </c>
      <c r="F1070" s="18">
        <f t="shared" si="1"/>
        <v>12.27</v>
      </c>
      <c r="G1070" s="17" t="str">
        <f>Github!H$1067</f>
        <v>Algorithms</v>
      </c>
      <c r="H1070" s="19" t="str">
        <f>SUBSTITUTE(Github!L$1067, ";", ", ")</f>
        <v>Array, Dynamic Programming, Backtracking, Bit Manipulation, Bitmask, </v>
      </c>
      <c r="I1070" s="17" t="str">
        <f>Github!E$1067</f>
        <v>Medium</v>
      </c>
      <c r="J1070" s="17" t="str">
        <f>IF(TRIM(Github!D$1067)="TRUE","FALSE","TRUE")</f>
        <v>FALSE</v>
      </c>
      <c r="K1070" s="17" t="b">
        <f>Github!M$1067</f>
        <v>1</v>
      </c>
      <c r="L1070" s="17" t="b">
        <f>Github!N$1067</f>
        <v>0</v>
      </c>
      <c r="M1070" s="17" t="str">
        <f>ROUND(Github!O$1067, 2)&amp;"%"</f>
        <v>54.68%</v>
      </c>
      <c r="N1070" s="17">
        <f>Github!P$1067</f>
        <v>37015</v>
      </c>
      <c r="O1070" s="17">
        <f>Github!Q$1067</f>
        <v>67693</v>
      </c>
    </row>
    <row r="1071" ht="18.0" customHeight="1">
      <c r="A1071" s="17">
        <f>Github!J$703</f>
        <v>702</v>
      </c>
      <c r="B1071" s="27" t="str">
        <f>HYPERLINK(CONCAT("http://leetcode.com/problems/",Github!C$703), Github!B$703)</f>
        <v>Search in a Sorted Array of Unknown Size</v>
      </c>
      <c r="C1071" s="17">
        <f>Github!F$703</f>
        <v>674</v>
      </c>
      <c r="D1071" s="17">
        <f>Github!G$703</f>
        <v>33</v>
      </c>
      <c r="E1071" s="17">
        <f>Github!F$703+Github!G$703</f>
        <v>707</v>
      </c>
      <c r="F1071" s="18">
        <f t="shared" si="1"/>
        <v>20.42</v>
      </c>
      <c r="G1071" s="17" t="str">
        <f>Github!H$703</f>
        <v>Algorithms</v>
      </c>
      <c r="H1071" s="19" t="str">
        <f>SUBSTITUTE(Github!L$703, ";", ", ")</f>
        <v>Array, Binary Search, Interactive, </v>
      </c>
      <c r="I1071" s="17" t="str">
        <f>Github!E$703</f>
        <v>Medium</v>
      </c>
      <c r="J1071" s="17" t="str">
        <f>IF(TRIM(Github!D$703)="TRUE","FALSE","TRUE")</f>
        <v>FALSE</v>
      </c>
      <c r="K1071" s="17" t="b">
        <f>Github!M$703</f>
        <v>1</v>
      </c>
      <c r="L1071" s="17" t="b">
        <f>Github!N$703</f>
        <v>0</v>
      </c>
      <c r="M1071" s="17" t="str">
        <f>ROUND(Github!O$703, 2)&amp;"%"</f>
        <v>70.56%</v>
      </c>
      <c r="N1071" s="17">
        <f>Github!P$703</f>
        <v>65599</v>
      </c>
      <c r="O1071" s="17">
        <f>Github!Q$703</f>
        <v>92963</v>
      </c>
    </row>
    <row r="1072" ht="18.0" customHeight="1">
      <c r="A1072" s="17">
        <f>Github!J$818</f>
        <v>817</v>
      </c>
      <c r="B1072" s="27" t="str">
        <f>HYPERLINK(CONCAT("http://leetcode.com/problems/",Github!C$818), Github!B$818)</f>
        <v>Linked List Components</v>
      </c>
      <c r="C1072" s="17">
        <f>Github!F$818</f>
        <v>675</v>
      </c>
      <c r="D1072" s="17">
        <f>Github!G$818</f>
        <v>1709</v>
      </c>
      <c r="E1072" s="17">
        <f>Github!F$818+Github!G$818</f>
        <v>2384</v>
      </c>
      <c r="F1072" s="18">
        <f t="shared" si="1"/>
        <v>0.39</v>
      </c>
      <c r="G1072" s="17" t="str">
        <f>Github!H$818</f>
        <v>Algorithms</v>
      </c>
      <c r="H1072" s="19" t="str">
        <f>SUBSTITUTE(Github!L$818, ";", ", ")</f>
        <v>Hash Table, Linked List, </v>
      </c>
      <c r="I1072" s="17" t="str">
        <f>Github!E$818</f>
        <v>Medium</v>
      </c>
      <c r="J1072" s="17" t="str">
        <f>IF(TRIM(Github!D$818)="TRUE","FALSE","TRUE")</f>
        <v>TRUE</v>
      </c>
      <c r="K1072" s="17" t="b">
        <f>Github!M$818</f>
        <v>0</v>
      </c>
      <c r="L1072" s="17" t="b">
        <f>Github!N$818</f>
        <v>0</v>
      </c>
      <c r="M1072" s="17" t="str">
        <f>ROUND(Github!O$818, 2)&amp;"%"</f>
        <v>58.01%</v>
      </c>
      <c r="N1072" s="17">
        <f>Github!P$818</f>
        <v>66704</v>
      </c>
      <c r="O1072" s="17">
        <f>Github!Q$818</f>
        <v>114990</v>
      </c>
    </row>
    <row r="1073" ht="18.0" customHeight="1">
      <c r="A1073" s="17">
        <f>Github!J$563</f>
        <v>562</v>
      </c>
      <c r="B1073" s="27" t="str">
        <f>HYPERLINK(CONCAT("http://leetcode.com/problems/",Github!C$563), Github!B$563)</f>
        <v>Longest Line of Consecutive One in Matrix</v>
      </c>
      <c r="C1073" s="17">
        <f>Github!F$563</f>
        <v>673</v>
      </c>
      <c r="D1073" s="17">
        <f>Github!G$563</f>
        <v>97</v>
      </c>
      <c r="E1073" s="17">
        <f>Github!F$563+Github!G$563</f>
        <v>770</v>
      </c>
      <c r="F1073" s="18">
        <f t="shared" si="1"/>
        <v>6.94</v>
      </c>
      <c r="G1073" s="17" t="str">
        <f>Github!H$563</f>
        <v>Algorithms</v>
      </c>
      <c r="H1073" s="19" t="str">
        <f>SUBSTITUTE(Github!L$563, ";", ", ")</f>
        <v>Array, Dynamic Programming, Matrix, </v>
      </c>
      <c r="I1073" s="17" t="str">
        <f>Github!E$563</f>
        <v>Medium</v>
      </c>
      <c r="J1073" s="17" t="str">
        <f>IF(TRIM(Github!D$563)="TRUE","FALSE","TRUE")</f>
        <v>FALSE</v>
      </c>
      <c r="K1073" s="17" t="b">
        <f>Github!M$563</f>
        <v>1</v>
      </c>
      <c r="L1073" s="17" t="b">
        <f>Github!N$563</f>
        <v>0</v>
      </c>
      <c r="M1073" s="17" t="str">
        <f>ROUND(Github!O$563, 2)&amp;"%"</f>
        <v>48.95%</v>
      </c>
      <c r="N1073" s="17">
        <f>Github!P$563</f>
        <v>56380</v>
      </c>
      <c r="O1073" s="17">
        <f>Github!Q$563</f>
        <v>115191</v>
      </c>
    </row>
    <row r="1074" ht="18.0" customHeight="1">
      <c r="A1074" s="17">
        <f>Github!J$928</f>
        <v>927</v>
      </c>
      <c r="B1074" s="27" t="str">
        <f>HYPERLINK(CONCAT("http://leetcode.com/problems/",Github!C$928), Github!B$928)</f>
        <v>Three Equal Parts</v>
      </c>
      <c r="C1074" s="17">
        <f>Github!F$928</f>
        <v>672</v>
      </c>
      <c r="D1074" s="17">
        <f>Github!G$928</f>
        <v>103</v>
      </c>
      <c r="E1074" s="17">
        <f>Github!F$928+Github!G$928</f>
        <v>775</v>
      </c>
      <c r="F1074" s="18">
        <f t="shared" si="1"/>
        <v>6.52</v>
      </c>
      <c r="G1074" s="17" t="str">
        <f>Github!H$928</f>
        <v>Algorithms</v>
      </c>
      <c r="H1074" s="19" t="str">
        <f>SUBSTITUTE(Github!L$928, ";", ", ")</f>
        <v>Array, Math, </v>
      </c>
      <c r="I1074" s="17" t="str">
        <f>Github!E$928</f>
        <v>Hard</v>
      </c>
      <c r="J1074" s="17" t="str">
        <f>IF(TRIM(Github!D$928)="TRUE","FALSE","TRUE")</f>
        <v>TRUE</v>
      </c>
      <c r="K1074" s="17" t="b">
        <f>Github!M$928</f>
        <v>1</v>
      </c>
      <c r="L1074" s="17" t="b">
        <f>Github!N$928</f>
        <v>0</v>
      </c>
      <c r="M1074" s="17" t="str">
        <f>ROUND(Github!O$928, 2)&amp;"%"</f>
        <v>39.3%</v>
      </c>
      <c r="N1074" s="17">
        <f>Github!P$928</f>
        <v>25519</v>
      </c>
      <c r="O1074" s="17">
        <f>Github!Q$928</f>
        <v>64935</v>
      </c>
    </row>
    <row r="1075" ht="18.0" customHeight="1">
      <c r="A1075" s="17">
        <f>Github!J$1493</f>
        <v>1492</v>
      </c>
      <c r="B1075" s="27" t="str">
        <f>HYPERLINK(CONCAT("http://leetcode.com/problems/",Github!C$1493), Github!B$1493)</f>
        <v>The kth Factor of n</v>
      </c>
      <c r="C1075" s="17">
        <f>Github!F$1493</f>
        <v>672</v>
      </c>
      <c r="D1075" s="17">
        <f>Github!G$1493</f>
        <v>195</v>
      </c>
      <c r="E1075" s="17">
        <f>Github!F$1493+Github!G$1493</f>
        <v>867</v>
      </c>
      <c r="F1075" s="18">
        <f t="shared" si="1"/>
        <v>3.45</v>
      </c>
      <c r="G1075" s="17" t="str">
        <f>Github!H$1493</f>
        <v>Algorithms</v>
      </c>
      <c r="H1075" s="19" t="str">
        <f>SUBSTITUTE(Github!L$1493, ";", ", ")</f>
        <v>Math, </v>
      </c>
      <c r="I1075" s="17" t="str">
        <f>Github!E$1493</f>
        <v>Medium</v>
      </c>
      <c r="J1075" s="17" t="str">
        <f>IF(TRIM(Github!D$1493)="TRUE","FALSE","TRUE")</f>
        <v>TRUE</v>
      </c>
      <c r="K1075" s="17" t="b">
        <f>Github!M$1493</f>
        <v>1</v>
      </c>
      <c r="L1075" s="17" t="b">
        <f>Github!N$1493</f>
        <v>0</v>
      </c>
      <c r="M1075" s="17" t="str">
        <f>ROUND(Github!O$1493, 2)&amp;"%"</f>
        <v>62.09%</v>
      </c>
      <c r="N1075" s="17">
        <f>Github!P$1493</f>
        <v>82266</v>
      </c>
      <c r="O1075" s="17">
        <f>Github!Q$1493</f>
        <v>132486</v>
      </c>
    </row>
    <row r="1076" ht="18.0" customHeight="1">
      <c r="A1076" s="17">
        <f>Github!J$234</f>
        <v>233</v>
      </c>
      <c r="B1076" s="27" t="str">
        <f>HYPERLINK(CONCAT("http://leetcode.com/problems/",Github!C$234), Github!B$234)</f>
        <v>Number of Digit One</v>
      </c>
      <c r="C1076" s="17">
        <f>Github!F$234</f>
        <v>670</v>
      </c>
      <c r="D1076" s="17">
        <f>Github!G$234</f>
        <v>985</v>
      </c>
      <c r="E1076" s="17">
        <f>Github!F$234+Github!G$234</f>
        <v>1655</v>
      </c>
      <c r="F1076" s="18">
        <f t="shared" si="1"/>
        <v>0.68</v>
      </c>
      <c r="G1076" s="17" t="str">
        <f>Github!H$234</f>
        <v>Algorithms</v>
      </c>
      <c r="H1076" s="19" t="str">
        <f>SUBSTITUTE(Github!L$234, ";", ", ")</f>
        <v>Math, Dynamic Programming, Recursion, </v>
      </c>
      <c r="I1076" s="17" t="str">
        <f>Github!E$234</f>
        <v>Hard</v>
      </c>
      <c r="J1076" s="17" t="str">
        <f>IF(TRIM(Github!D$234)="TRUE","FALSE","TRUE")</f>
        <v>TRUE</v>
      </c>
      <c r="K1076" s="17" t="b">
        <f>Github!M$234</f>
        <v>1</v>
      </c>
      <c r="L1076" s="17" t="b">
        <f>Github!N$234</f>
        <v>0</v>
      </c>
      <c r="M1076" s="17" t="str">
        <f>ROUND(Github!O$234, 2)&amp;"%"</f>
        <v>33.33%</v>
      </c>
      <c r="N1076" s="17">
        <f>Github!P$234</f>
        <v>62607</v>
      </c>
      <c r="O1076" s="17">
        <f>Github!Q$234</f>
        <v>187815</v>
      </c>
    </row>
    <row r="1077" ht="18.0" customHeight="1">
      <c r="A1077" s="17">
        <f>Github!J$1545</f>
        <v>1544</v>
      </c>
      <c r="B1077" s="27" t="str">
        <f>HYPERLINK(CONCAT("http://leetcode.com/problems/",Github!C$1545), Github!B$1545)</f>
        <v>Make The String Great</v>
      </c>
      <c r="C1077" s="17">
        <f>Github!F$1545</f>
        <v>670</v>
      </c>
      <c r="D1077" s="17">
        <f>Github!G$1545</f>
        <v>50</v>
      </c>
      <c r="E1077" s="17">
        <f>Github!F$1545+Github!G$1545</f>
        <v>720</v>
      </c>
      <c r="F1077" s="18">
        <f t="shared" si="1"/>
        <v>13.4</v>
      </c>
      <c r="G1077" s="17" t="str">
        <f>Github!H$1545</f>
        <v>Algorithms</v>
      </c>
      <c r="H1077" s="19" t="str">
        <f>SUBSTITUTE(Github!L$1545, ";", ", ")</f>
        <v>String, Stack, </v>
      </c>
      <c r="I1077" s="17" t="str">
        <f>Github!E$1545</f>
        <v>Easy</v>
      </c>
      <c r="J1077" s="17" t="str">
        <f>IF(TRIM(Github!D$1545)="TRUE","FALSE","TRUE")</f>
        <v>TRUE</v>
      </c>
      <c r="K1077" s="17" t="b">
        <f>Github!M$1545</f>
        <v>0</v>
      </c>
      <c r="L1077" s="17" t="b">
        <f>Github!N$1545</f>
        <v>0</v>
      </c>
      <c r="M1077" s="17" t="str">
        <f>ROUND(Github!O$1545, 2)&amp;"%"</f>
        <v>56.38%</v>
      </c>
      <c r="N1077" s="17">
        <f>Github!P$1545</f>
        <v>46156</v>
      </c>
      <c r="O1077" s="17">
        <f>Github!Q$1545</f>
        <v>81867</v>
      </c>
    </row>
    <row r="1078" ht="18.0" customHeight="1">
      <c r="A1078" s="17">
        <f>Github!J$1479</f>
        <v>1478</v>
      </c>
      <c r="B1078" s="27" t="str">
        <f>HYPERLINK(CONCAT("http://leetcode.com/problems/",Github!C$1479), Github!B$1479)</f>
        <v>Allocate Mailboxes</v>
      </c>
      <c r="C1078" s="17">
        <f>Github!F$1479</f>
        <v>669</v>
      </c>
      <c r="D1078" s="17">
        <f>Github!G$1479</f>
        <v>12</v>
      </c>
      <c r="E1078" s="17">
        <f>Github!F$1479+Github!G$1479</f>
        <v>681</v>
      </c>
      <c r="F1078" s="18">
        <f t="shared" si="1"/>
        <v>55.75</v>
      </c>
      <c r="G1078" s="17" t="str">
        <f>Github!H$1479</f>
        <v>Algorithms</v>
      </c>
      <c r="H1078" s="19" t="str">
        <f>SUBSTITUTE(Github!L$1479, ";", ", ")</f>
        <v>Array, Math, Dynamic Programming, Sorting, </v>
      </c>
      <c r="I1078" s="17" t="str">
        <f>Github!E$1479</f>
        <v>Hard</v>
      </c>
      <c r="J1078" s="17" t="str">
        <f>IF(TRIM(Github!D$1479)="TRUE","FALSE","TRUE")</f>
        <v>TRUE</v>
      </c>
      <c r="K1078" s="17" t="b">
        <f>Github!M$1479</f>
        <v>0</v>
      </c>
      <c r="L1078" s="17" t="b">
        <f>Github!N$1479</f>
        <v>0</v>
      </c>
      <c r="M1078" s="17" t="str">
        <f>ROUND(Github!O$1479, 2)&amp;"%"</f>
        <v>55.39%</v>
      </c>
      <c r="N1078" s="17">
        <f>Github!P$1479</f>
        <v>14709</v>
      </c>
      <c r="O1078" s="17">
        <f>Github!Q$1479</f>
        <v>26553</v>
      </c>
    </row>
    <row r="1079" ht="18.0" customHeight="1">
      <c r="A1079" s="17">
        <f>Github!J$515</f>
        <v>514</v>
      </c>
      <c r="B1079" s="27" t="str">
        <f>HYPERLINK(CONCAT("http://leetcode.com/problems/",Github!C$515), Github!B$515)</f>
        <v>Freedom Trail</v>
      </c>
      <c r="C1079" s="17">
        <f>Github!F$515</f>
        <v>665</v>
      </c>
      <c r="D1079" s="17">
        <f>Github!G$515</f>
        <v>31</v>
      </c>
      <c r="E1079" s="17">
        <f>Github!F$515+Github!G$515</f>
        <v>696</v>
      </c>
      <c r="F1079" s="18">
        <f t="shared" si="1"/>
        <v>21.45</v>
      </c>
      <c r="G1079" s="17" t="str">
        <f>Github!H$515</f>
        <v>Algorithms</v>
      </c>
      <c r="H1079" s="19" t="str">
        <f>SUBSTITUTE(Github!L$515, ";", ", ")</f>
        <v>String, Dynamic Programming, Depth-First Search, Breadth-First Search, </v>
      </c>
      <c r="I1079" s="17" t="str">
        <f>Github!E$515</f>
        <v>Hard</v>
      </c>
      <c r="J1079" s="17" t="str">
        <f>IF(TRIM(Github!D$515)="TRUE","FALSE","TRUE")</f>
        <v>TRUE</v>
      </c>
      <c r="K1079" s="17" t="b">
        <f>Github!M$515</f>
        <v>0</v>
      </c>
      <c r="L1079" s="17" t="b">
        <f>Github!N$515</f>
        <v>0</v>
      </c>
      <c r="M1079" s="17" t="str">
        <f>ROUND(Github!O$515, 2)&amp;"%"</f>
        <v>46.02%</v>
      </c>
      <c r="N1079" s="17">
        <f>Github!P$515</f>
        <v>26600</v>
      </c>
      <c r="O1079" s="17">
        <f>Github!Q$515</f>
        <v>57798</v>
      </c>
    </row>
    <row r="1080" ht="18.0" customHeight="1">
      <c r="A1080" s="17">
        <f>Github!J$1750</f>
        <v>1749</v>
      </c>
      <c r="B1080" s="27" t="str">
        <f>HYPERLINK(CONCAT("http://leetcode.com/problems/",Github!C$1750), Github!B$1750)</f>
        <v>Maximum Absolute Sum of Any Subarray</v>
      </c>
      <c r="C1080" s="17">
        <f>Github!F$1750</f>
        <v>667</v>
      </c>
      <c r="D1080" s="17">
        <f>Github!G$1750</f>
        <v>10</v>
      </c>
      <c r="E1080" s="17">
        <f>Github!F$1750+Github!G$1750</f>
        <v>677</v>
      </c>
      <c r="F1080" s="18">
        <f t="shared" si="1"/>
        <v>66.7</v>
      </c>
      <c r="G1080" s="17" t="str">
        <f>Github!H$1750</f>
        <v>Algorithms</v>
      </c>
      <c r="H1080" s="19" t="str">
        <f>SUBSTITUTE(Github!L$1750, ";", ", ")</f>
        <v>Array, Dynamic Programming, </v>
      </c>
      <c r="I1080" s="17" t="str">
        <f>Github!E$1750</f>
        <v>Medium</v>
      </c>
      <c r="J1080" s="17" t="str">
        <f>IF(TRIM(Github!D$1750)="TRUE","FALSE","TRUE")</f>
        <v>TRUE</v>
      </c>
      <c r="K1080" s="17" t="b">
        <f>Github!M$1750</f>
        <v>0</v>
      </c>
      <c r="L1080" s="17" t="b">
        <f>Github!N$1750</f>
        <v>0</v>
      </c>
      <c r="M1080" s="17" t="str">
        <f>ROUND(Github!O$1750, 2)&amp;"%"</f>
        <v>56.6%</v>
      </c>
      <c r="N1080" s="17">
        <f>Github!P$1750</f>
        <v>20002</v>
      </c>
      <c r="O1080" s="17">
        <f>Github!Q$1750</f>
        <v>35341</v>
      </c>
    </row>
    <row r="1081" ht="18.0" customHeight="1">
      <c r="A1081" s="17">
        <f>Github!J$594</f>
        <v>593</v>
      </c>
      <c r="B1081" s="27" t="str">
        <f>HYPERLINK(CONCAT("http://leetcode.com/problems/",Github!C$594), Github!B$594)</f>
        <v>Valid Square</v>
      </c>
      <c r="C1081" s="17">
        <f>Github!F$594</f>
        <v>664</v>
      </c>
      <c r="D1081" s="17">
        <f>Github!G$594</f>
        <v>736</v>
      </c>
      <c r="E1081" s="17">
        <f>Github!F$594+Github!G$594</f>
        <v>1400</v>
      </c>
      <c r="F1081" s="18">
        <f t="shared" si="1"/>
        <v>0.9</v>
      </c>
      <c r="G1081" s="17" t="str">
        <f>Github!H$594</f>
        <v>Algorithms</v>
      </c>
      <c r="H1081" s="19" t="str">
        <f>SUBSTITUTE(Github!L$594, ";", ", ")</f>
        <v>Math, Geometry, </v>
      </c>
      <c r="I1081" s="17" t="str">
        <f>Github!E$594</f>
        <v>Medium</v>
      </c>
      <c r="J1081" s="17" t="str">
        <f>IF(TRIM(Github!D$594)="TRUE","FALSE","TRUE")</f>
        <v>TRUE</v>
      </c>
      <c r="K1081" s="17" t="b">
        <f>Github!M$594</f>
        <v>1</v>
      </c>
      <c r="L1081" s="17" t="b">
        <f>Github!N$594</f>
        <v>0</v>
      </c>
      <c r="M1081" s="17" t="str">
        <f>ROUND(Github!O$594, 2)&amp;"%"</f>
        <v>43.79%</v>
      </c>
      <c r="N1081" s="17">
        <f>Github!P$594</f>
        <v>80621</v>
      </c>
      <c r="O1081" s="17">
        <f>Github!Q$594</f>
        <v>184093</v>
      </c>
    </row>
    <row r="1082" ht="18.0" customHeight="1">
      <c r="A1082" s="17">
        <f>Github!J$1457</f>
        <v>1456</v>
      </c>
      <c r="B1082" s="27" t="str">
        <f>HYPERLINK(CONCAT("http://leetcode.com/problems/",Github!C$1457), Github!B$1457)</f>
        <v>Maximum Number of Vowels in a Substring of Given Length</v>
      </c>
      <c r="C1082" s="17">
        <f>Github!F$1457</f>
        <v>663</v>
      </c>
      <c r="D1082" s="17">
        <f>Github!G$1457</f>
        <v>37</v>
      </c>
      <c r="E1082" s="17">
        <f>Github!F$1457+Github!G$1457</f>
        <v>700</v>
      </c>
      <c r="F1082" s="18">
        <f t="shared" si="1"/>
        <v>17.92</v>
      </c>
      <c r="G1082" s="17" t="str">
        <f>Github!H$1457</f>
        <v>Algorithms</v>
      </c>
      <c r="H1082" s="19" t="str">
        <f>SUBSTITUTE(Github!L$1457, ";", ", ")</f>
        <v>String, Sliding Window, </v>
      </c>
      <c r="I1082" s="17" t="str">
        <f>Github!E$1457</f>
        <v>Medium</v>
      </c>
      <c r="J1082" s="17" t="str">
        <f>IF(TRIM(Github!D$1457)="TRUE","FALSE","TRUE")</f>
        <v>TRUE</v>
      </c>
      <c r="K1082" s="17" t="b">
        <f>Github!M$1457</f>
        <v>0</v>
      </c>
      <c r="L1082" s="17" t="b">
        <f>Github!N$1457</f>
        <v>0</v>
      </c>
      <c r="M1082" s="17" t="str">
        <f>ROUND(Github!O$1457, 2)&amp;"%"</f>
        <v>57.23%</v>
      </c>
      <c r="N1082" s="17">
        <f>Github!P$1457</f>
        <v>41131</v>
      </c>
      <c r="O1082" s="17">
        <f>Github!Q$1457</f>
        <v>71864</v>
      </c>
    </row>
    <row r="1083" ht="18.0" customHeight="1">
      <c r="A1083" s="17">
        <f>Github!J$1680</f>
        <v>1679</v>
      </c>
      <c r="B1083" s="27" t="str">
        <f>HYPERLINK(CONCAT("http://leetcode.com/problems/",Github!C$1680), Github!B$1680)</f>
        <v>Max Number of K-Sum Pairs</v>
      </c>
      <c r="C1083" s="17">
        <f>Github!F$1680</f>
        <v>663</v>
      </c>
      <c r="D1083" s="17">
        <f>Github!G$1680</f>
        <v>24</v>
      </c>
      <c r="E1083" s="17">
        <f>Github!F$1680+Github!G$1680</f>
        <v>687</v>
      </c>
      <c r="F1083" s="18">
        <f t="shared" si="1"/>
        <v>27.63</v>
      </c>
      <c r="G1083" s="17" t="str">
        <f>Github!H$1680</f>
        <v>Algorithms</v>
      </c>
      <c r="H1083" s="19" t="str">
        <f>SUBSTITUTE(Github!L$1680, ";", ", ")</f>
        <v>Array, Hash Table, Two Pointers, Sorting, </v>
      </c>
      <c r="I1083" s="17" t="str">
        <f>Github!E$1680</f>
        <v>Medium</v>
      </c>
      <c r="J1083" s="17" t="str">
        <f>IF(TRIM(Github!D$1680)="TRUE","FALSE","TRUE")</f>
        <v>TRUE</v>
      </c>
      <c r="K1083" s="17" t="b">
        <f>Github!M$1680</f>
        <v>1</v>
      </c>
      <c r="L1083" s="17" t="b">
        <f>Github!N$1680</f>
        <v>0</v>
      </c>
      <c r="M1083" s="17" t="str">
        <f>ROUND(Github!O$1680, 2)&amp;"%"</f>
        <v>53.56%</v>
      </c>
      <c r="N1083" s="17">
        <f>Github!P$1680</f>
        <v>49700</v>
      </c>
      <c r="O1083" s="17">
        <f>Github!Q$1680</f>
        <v>92797</v>
      </c>
    </row>
    <row r="1084" ht="18.0" customHeight="1">
      <c r="A1084" s="17">
        <f>Github!J$1945</f>
        <v>1944</v>
      </c>
      <c r="B1084" s="27" t="str">
        <f>HYPERLINK(CONCAT("http://leetcode.com/problems/",Github!C$1945), Github!B$1945)</f>
        <v>Number of Visible People in a Queue</v>
      </c>
      <c r="C1084" s="17">
        <f>Github!F$1945</f>
        <v>664</v>
      </c>
      <c r="D1084" s="17">
        <f>Github!G$1945</f>
        <v>13</v>
      </c>
      <c r="E1084" s="17">
        <f>Github!F$1945+Github!G$1945</f>
        <v>677</v>
      </c>
      <c r="F1084" s="18">
        <f t="shared" si="1"/>
        <v>51.08</v>
      </c>
      <c r="G1084" s="17" t="str">
        <f>Github!H$1945</f>
        <v>Algorithms</v>
      </c>
      <c r="H1084" s="19" t="str">
        <f>SUBSTITUTE(Github!L$1945, ";", ", ")</f>
        <v>Array, Stack, Monotonic Stack, </v>
      </c>
      <c r="I1084" s="17" t="str">
        <f>Github!E$1945</f>
        <v>Hard</v>
      </c>
      <c r="J1084" s="17" t="str">
        <f>IF(TRIM(Github!D$1945)="TRUE","FALSE","TRUE")</f>
        <v>TRUE</v>
      </c>
      <c r="K1084" s="17" t="b">
        <f>Github!M$1945</f>
        <v>0</v>
      </c>
      <c r="L1084" s="17" t="b">
        <f>Github!N$1945</f>
        <v>0</v>
      </c>
      <c r="M1084" s="17" t="str">
        <f>ROUND(Github!O$1945, 2)&amp;"%"</f>
        <v>69.82%</v>
      </c>
      <c r="N1084" s="17">
        <f>Github!P$1945</f>
        <v>15520</v>
      </c>
      <c r="O1084" s="17">
        <f>Github!Q$1945</f>
        <v>22228</v>
      </c>
    </row>
    <row r="1085" ht="18.0" customHeight="1">
      <c r="A1085" s="17">
        <f>Github!J$825</f>
        <v>824</v>
      </c>
      <c r="B1085" s="27" t="str">
        <f>HYPERLINK(CONCAT("http://leetcode.com/problems/",Github!C$825), Github!B$825)</f>
        <v>Goat Latin</v>
      </c>
      <c r="C1085" s="17">
        <f>Github!F$825</f>
        <v>662</v>
      </c>
      <c r="D1085" s="17">
        <f>Github!G$825</f>
        <v>1074</v>
      </c>
      <c r="E1085" s="17">
        <f>Github!F$825+Github!G$825</f>
        <v>1736</v>
      </c>
      <c r="F1085" s="18">
        <f t="shared" si="1"/>
        <v>0.62</v>
      </c>
      <c r="G1085" s="17" t="str">
        <f>Github!H$825</f>
        <v>Algorithms</v>
      </c>
      <c r="H1085" s="19" t="str">
        <f>SUBSTITUTE(Github!L$825, ";", ", ")</f>
        <v>String, </v>
      </c>
      <c r="I1085" s="17" t="str">
        <f>Github!E$825</f>
        <v>Easy</v>
      </c>
      <c r="J1085" s="17" t="str">
        <f>IF(TRIM(Github!D$825)="TRUE","FALSE","TRUE")</f>
        <v>TRUE</v>
      </c>
      <c r="K1085" s="17" t="b">
        <f>Github!M$825</f>
        <v>0</v>
      </c>
      <c r="L1085" s="17" t="b">
        <f>Github!N$825</f>
        <v>0</v>
      </c>
      <c r="M1085" s="17" t="str">
        <f>ROUND(Github!O$825, 2)&amp;"%"</f>
        <v>67.51%</v>
      </c>
      <c r="N1085" s="17">
        <f>Github!P$825</f>
        <v>139087</v>
      </c>
      <c r="O1085" s="17">
        <f>Github!Q$825</f>
        <v>206030</v>
      </c>
    </row>
    <row r="1086" ht="18.0" customHeight="1">
      <c r="A1086" s="17">
        <f>Github!J$1224</f>
        <v>1223</v>
      </c>
      <c r="B1086" s="27" t="str">
        <f>HYPERLINK(CONCAT("http://leetcode.com/problems/",Github!C$1224), Github!B$1224)</f>
        <v>Dice Roll Simulation</v>
      </c>
      <c r="C1086" s="17">
        <f>Github!F$1224</f>
        <v>661</v>
      </c>
      <c r="D1086" s="17">
        <f>Github!G$1224</f>
        <v>172</v>
      </c>
      <c r="E1086" s="17">
        <f>Github!F$1224+Github!G$1224</f>
        <v>833</v>
      </c>
      <c r="F1086" s="18">
        <f t="shared" si="1"/>
        <v>3.84</v>
      </c>
      <c r="G1086" s="17" t="str">
        <f>Github!H$1224</f>
        <v>Algorithms</v>
      </c>
      <c r="H1086" s="19" t="str">
        <f>SUBSTITUTE(Github!L$1224, ";", ", ")</f>
        <v>Array, Dynamic Programming, </v>
      </c>
      <c r="I1086" s="17" t="str">
        <f>Github!E$1224</f>
        <v>Hard</v>
      </c>
      <c r="J1086" s="17" t="str">
        <f>IF(TRIM(Github!D$1224)="TRUE","FALSE","TRUE")</f>
        <v>TRUE</v>
      </c>
      <c r="K1086" s="17" t="b">
        <f>Github!M$1224</f>
        <v>0</v>
      </c>
      <c r="L1086" s="17" t="b">
        <f>Github!N$1224</f>
        <v>0</v>
      </c>
      <c r="M1086" s="17" t="str">
        <f>ROUND(Github!O$1224, 2)&amp;"%"</f>
        <v>47.71%</v>
      </c>
      <c r="N1086" s="17">
        <f>Github!P$1224</f>
        <v>21243</v>
      </c>
      <c r="O1086" s="17">
        <f>Github!Q$1224</f>
        <v>44521</v>
      </c>
    </row>
    <row r="1087" ht="18.0" customHeight="1">
      <c r="A1087" s="17">
        <f>Github!J$782</f>
        <v>781</v>
      </c>
      <c r="B1087" s="27" t="str">
        <f>HYPERLINK(CONCAT("http://leetcode.com/problems/",Github!C$782), Github!B$782)</f>
        <v>Rabbits in Forest</v>
      </c>
      <c r="C1087" s="17">
        <f>Github!F$782</f>
        <v>661</v>
      </c>
      <c r="D1087" s="17">
        <f>Github!G$782</f>
        <v>476</v>
      </c>
      <c r="E1087" s="17">
        <f>Github!F$782+Github!G$782</f>
        <v>1137</v>
      </c>
      <c r="F1087" s="18">
        <f t="shared" si="1"/>
        <v>1.39</v>
      </c>
      <c r="G1087" s="17" t="str">
        <f>Github!H$782</f>
        <v>Algorithms</v>
      </c>
      <c r="H1087" s="19" t="str">
        <f>SUBSTITUTE(Github!L$782, ";", ", ")</f>
        <v>Array, Hash Table, Math, Greedy, </v>
      </c>
      <c r="I1087" s="17" t="str">
        <f>Github!E$782</f>
        <v>Medium</v>
      </c>
      <c r="J1087" s="17" t="str">
        <f>IF(TRIM(Github!D$782)="TRUE","FALSE","TRUE")</f>
        <v>TRUE</v>
      </c>
      <c r="K1087" s="17" t="b">
        <f>Github!M$782</f>
        <v>1</v>
      </c>
      <c r="L1087" s="17" t="b">
        <f>Github!N$782</f>
        <v>0</v>
      </c>
      <c r="M1087" s="17" t="str">
        <f>ROUND(Github!O$782, 2)&amp;"%"</f>
        <v>55.7%</v>
      </c>
      <c r="N1087" s="17">
        <f>Github!P$782</f>
        <v>34932</v>
      </c>
      <c r="O1087" s="17">
        <f>Github!Q$782</f>
        <v>62712</v>
      </c>
    </row>
    <row r="1088" ht="18.0" customHeight="1">
      <c r="A1088" s="17">
        <f>Github!J$1401</f>
        <v>1400</v>
      </c>
      <c r="B1088" s="27" t="str">
        <f>HYPERLINK(CONCAT("http://leetcode.com/problems/",Github!C$1401), Github!B$1401)</f>
        <v>Construct K Palindrome Strings</v>
      </c>
      <c r="C1088" s="17">
        <f>Github!F$1401</f>
        <v>658</v>
      </c>
      <c r="D1088" s="17">
        <f>Github!G$1401</f>
        <v>67</v>
      </c>
      <c r="E1088" s="17">
        <f>Github!F$1401+Github!G$1401</f>
        <v>725</v>
      </c>
      <c r="F1088" s="18">
        <f t="shared" si="1"/>
        <v>9.82</v>
      </c>
      <c r="G1088" s="17" t="str">
        <f>Github!H$1401</f>
        <v>Algorithms</v>
      </c>
      <c r="H1088" s="19" t="str">
        <f>SUBSTITUTE(Github!L$1401, ";", ", ")</f>
        <v>Hash Table, String, Greedy, Counting, </v>
      </c>
      <c r="I1088" s="17" t="str">
        <f>Github!E$1401</f>
        <v>Medium</v>
      </c>
      <c r="J1088" s="17" t="str">
        <f>IF(TRIM(Github!D$1401)="TRUE","FALSE","TRUE")</f>
        <v>TRUE</v>
      </c>
      <c r="K1088" s="17" t="b">
        <f>Github!M$1401</f>
        <v>0</v>
      </c>
      <c r="L1088" s="17" t="b">
        <f>Github!N$1401</f>
        <v>0</v>
      </c>
      <c r="M1088" s="17" t="str">
        <f>ROUND(Github!O$1401, 2)&amp;"%"</f>
        <v>63.83%</v>
      </c>
      <c r="N1088" s="17">
        <f>Github!P$1401</f>
        <v>34027</v>
      </c>
      <c r="O1088" s="17">
        <f>Github!Q$1401</f>
        <v>53306</v>
      </c>
    </row>
    <row r="1089" ht="18.0" customHeight="1">
      <c r="A1089" s="17">
        <f>Github!J$1519</f>
        <v>1518</v>
      </c>
      <c r="B1089" s="27" t="str">
        <f>HYPERLINK(CONCAT("http://leetcode.com/problems/",Github!C$1519), Github!B$1519)</f>
        <v>Water Bottles</v>
      </c>
      <c r="C1089" s="17">
        <f>Github!F$1519</f>
        <v>657</v>
      </c>
      <c r="D1089" s="17">
        <f>Github!G$1519</f>
        <v>53</v>
      </c>
      <c r="E1089" s="17">
        <f>Github!F$1519+Github!G$1519</f>
        <v>710</v>
      </c>
      <c r="F1089" s="18">
        <f t="shared" si="1"/>
        <v>12.4</v>
      </c>
      <c r="G1089" s="17" t="str">
        <f>Github!H$1519</f>
        <v>Algorithms</v>
      </c>
      <c r="H1089" s="19" t="str">
        <f>SUBSTITUTE(Github!L$1519, ";", ", ")</f>
        <v>Math, Simulation, </v>
      </c>
      <c r="I1089" s="17" t="str">
        <f>Github!E$1519</f>
        <v>Easy</v>
      </c>
      <c r="J1089" s="17" t="str">
        <f>IF(TRIM(Github!D$1519)="TRUE","FALSE","TRUE")</f>
        <v>TRUE</v>
      </c>
      <c r="K1089" s="17" t="b">
        <f>Github!M$1519</f>
        <v>0</v>
      </c>
      <c r="L1089" s="17" t="b">
        <f>Github!N$1519</f>
        <v>0</v>
      </c>
      <c r="M1089" s="17" t="str">
        <f>ROUND(Github!O$1519, 2)&amp;"%"</f>
        <v>60.46%</v>
      </c>
      <c r="N1089" s="17">
        <f>Github!P$1519</f>
        <v>47378</v>
      </c>
      <c r="O1089" s="17">
        <f>Github!Q$1519</f>
        <v>78369</v>
      </c>
    </row>
    <row r="1090" ht="18.0" customHeight="1">
      <c r="A1090" s="17">
        <f>Github!J$718</f>
        <v>717</v>
      </c>
      <c r="B1090" s="27" t="str">
        <f>HYPERLINK(CONCAT("http://leetcode.com/problems/",Github!C$718), Github!B$718)</f>
        <v>1-bit and 2-bit Characters</v>
      </c>
      <c r="C1090" s="17">
        <f>Github!F$718</f>
        <v>657</v>
      </c>
      <c r="D1090" s="17">
        <f>Github!G$718</f>
        <v>1693</v>
      </c>
      <c r="E1090" s="17">
        <f>Github!F$718+Github!G$718</f>
        <v>2350</v>
      </c>
      <c r="F1090" s="18">
        <f t="shared" si="1"/>
        <v>0.39</v>
      </c>
      <c r="G1090" s="17" t="str">
        <f>Github!H$718</f>
        <v>Algorithms</v>
      </c>
      <c r="H1090" s="19" t="str">
        <f>SUBSTITUTE(Github!L$718, ";", ", ")</f>
        <v>Array, </v>
      </c>
      <c r="I1090" s="17" t="str">
        <f>Github!E$718</f>
        <v>Easy</v>
      </c>
      <c r="J1090" s="17" t="str">
        <f>IF(TRIM(Github!D$718)="TRUE","FALSE","TRUE")</f>
        <v>TRUE</v>
      </c>
      <c r="K1090" s="17" t="b">
        <f>Github!M$718</f>
        <v>0</v>
      </c>
      <c r="L1090" s="17" t="b">
        <f>Github!N$718</f>
        <v>0</v>
      </c>
      <c r="M1090" s="17" t="str">
        <f>ROUND(Github!O$718, 2)&amp;"%"</f>
        <v>46.24%</v>
      </c>
      <c r="N1090" s="17">
        <f>Github!P$718</f>
        <v>101490</v>
      </c>
      <c r="O1090" s="17">
        <f>Github!Q$718</f>
        <v>219496</v>
      </c>
    </row>
    <row r="1091" ht="18.0" customHeight="1">
      <c r="A1091" s="17">
        <f>Github!J$642</f>
        <v>641</v>
      </c>
      <c r="B1091" s="27" t="str">
        <f>HYPERLINK(CONCAT("http://leetcode.com/problems/",Github!C$642), Github!B$642)</f>
        <v>Design Circular Deque</v>
      </c>
      <c r="C1091" s="17">
        <f>Github!F$642</f>
        <v>655</v>
      </c>
      <c r="D1091" s="17">
        <f>Github!G$642</f>
        <v>55</v>
      </c>
      <c r="E1091" s="17">
        <f>Github!F$642+Github!G$642</f>
        <v>710</v>
      </c>
      <c r="F1091" s="18">
        <f t="shared" si="1"/>
        <v>11.91</v>
      </c>
      <c r="G1091" s="17" t="str">
        <f>Github!H$642</f>
        <v>Algorithms</v>
      </c>
      <c r="H1091" s="19" t="str">
        <f>SUBSTITUTE(Github!L$642, ";", ", ")</f>
        <v>Array, Linked List, Design, Queue, </v>
      </c>
      <c r="I1091" s="17" t="str">
        <f>Github!E$642</f>
        <v>Medium</v>
      </c>
      <c r="J1091" s="17" t="str">
        <f>IF(TRIM(Github!D$642)="TRUE","FALSE","TRUE")</f>
        <v>TRUE</v>
      </c>
      <c r="K1091" s="17" t="b">
        <f>Github!M$642</f>
        <v>0</v>
      </c>
      <c r="L1091" s="17" t="b">
        <f>Github!N$642</f>
        <v>0</v>
      </c>
      <c r="M1091" s="17" t="str">
        <f>ROUND(Github!O$642, 2)&amp;"%"</f>
        <v>57.22%</v>
      </c>
      <c r="N1091" s="17">
        <f>Github!P$642</f>
        <v>40814</v>
      </c>
      <c r="O1091" s="17">
        <f>Github!Q$642</f>
        <v>71325</v>
      </c>
    </row>
    <row r="1092" ht="18.0" customHeight="1">
      <c r="A1092" s="17">
        <f>Github!J$986</f>
        <v>985</v>
      </c>
      <c r="B1092" s="27" t="str">
        <f>HYPERLINK(CONCAT("http://leetcode.com/problems/",Github!C$986), Github!B$986)</f>
        <v>Sum of Even Numbers After Queries</v>
      </c>
      <c r="C1092" s="17">
        <f>Github!F$986</f>
        <v>653</v>
      </c>
      <c r="D1092" s="17">
        <f>Github!G$986</f>
        <v>211</v>
      </c>
      <c r="E1092" s="17">
        <f>Github!F$986+Github!G$986</f>
        <v>864</v>
      </c>
      <c r="F1092" s="18">
        <f t="shared" si="1"/>
        <v>3.09</v>
      </c>
      <c r="G1092" s="17" t="str">
        <f>Github!H$986</f>
        <v>Algorithms</v>
      </c>
      <c r="H1092" s="19" t="str">
        <f>SUBSTITUTE(Github!L$986, ";", ", ")</f>
        <v>Array, Simulation, </v>
      </c>
      <c r="I1092" s="17" t="str">
        <f>Github!E$986</f>
        <v>Medium</v>
      </c>
      <c r="J1092" s="17" t="str">
        <f>IF(TRIM(Github!D$986)="TRUE","FALSE","TRUE")</f>
        <v>TRUE</v>
      </c>
      <c r="K1092" s="17" t="b">
        <f>Github!M$986</f>
        <v>1</v>
      </c>
      <c r="L1092" s="17" t="b">
        <f>Github!N$986</f>
        <v>0</v>
      </c>
      <c r="M1092" s="17" t="str">
        <f>ROUND(Github!O$986, 2)&amp;"%"</f>
        <v>60.87%</v>
      </c>
      <c r="N1092" s="17">
        <f>Github!P$986</f>
        <v>61871</v>
      </c>
      <c r="O1092" s="17">
        <f>Github!Q$986</f>
        <v>101652</v>
      </c>
    </row>
    <row r="1093" ht="18.0" customHeight="1">
      <c r="A1093" s="17">
        <f>Github!J$1641</f>
        <v>1640</v>
      </c>
      <c r="B1093" s="27" t="str">
        <f>HYPERLINK(CONCAT("http://leetcode.com/problems/",Github!C$1641), Github!B$1641)</f>
        <v>Check Array Formation Through Concatenation</v>
      </c>
      <c r="C1093" s="17">
        <f>Github!F$1641</f>
        <v>653</v>
      </c>
      <c r="D1093" s="17">
        <f>Github!G$1641</f>
        <v>111</v>
      </c>
      <c r="E1093" s="17">
        <f>Github!F$1641+Github!G$1641</f>
        <v>764</v>
      </c>
      <c r="F1093" s="18">
        <f t="shared" si="1"/>
        <v>5.88</v>
      </c>
      <c r="G1093" s="17" t="str">
        <f>Github!H$1641</f>
        <v>Algorithms</v>
      </c>
      <c r="H1093" s="19" t="str">
        <f>SUBSTITUTE(Github!L$1641, ";", ", ")</f>
        <v>Array, Hash Table, </v>
      </c>
      <c r="I1093" s="17" t="str">
        <f>Github!E$1641</f>
        <v>Easy</v>
      </c>
      <c r="J1093" s="17" t="str">
        <f>IF(TRIM(Github!D$1641)="TRUE","FALSE","TRUE")</f>
        <v>TRUE</v>
      </c>
      <c r="K1093" s="17" t="b">
        <f>Github!M$1641</f>
        <v>1</v>
      </c>
      <c r="L1093" s="17" t="b">
        <f>Github!N$1641</f>
        <v>0</v>
      </c>
      <c r="M1093" s="17" t="str">
        <f>ROUND(Github!O$1641, 2)&amp;"%"</f>
        <v>55.72%</v>
      </c>
      <c r="N1093" s="17">
        <f>Github!P$1641</f>
        <v>65680</v>
      </c>
      <c r="O1093" s="17">
        <f>Github!Q$1641</f>
        <v>117876</v>
      </c>
    </row>
    <row r="1094" ht="18.0" customHeight="1">
      <c r="A1094" s="17">
        <f>Github!J$469</f>
        <v>468</v>
      </c>
      <c r="B1094" s="27" t="str">
        <f>HYPERLINK(CONCAT("http://leetcode.com/problems/",Github!C$469), Github!B$469)</f>
        <v>Validate IP Address</v>
      </c>
      <c r="C1094" s="17">
        <f>Github!F$469</f>
        <v>652</v>
      </c>
      <c r="D1094" s="17">
        <f>Github!G$469</f>
        <v>2304</v>
      </c>
      <c r="E1094" s="17">
        <f>Github!F$469+Github!G$469</f>
        <v>2956</v>
      </c>
      <c r="F1094" s="18">
        <f t="shared" si="1"/>
        <v>0.28</v>
      </c>
      <c r="G1094" s="17" t="str">
        <f>Github!H$469</f>
        <v>Algorithms</v>
      </c>
      <c r="H1094" s="19" t="str">
        <f>SUBSTITUTE(Github!L$469, ";", ", ")</f>
        <v>String, </v>
      </c>
      <c r="I1094" s="17" t="str">
        <f>Github!E$469</f>
        <v>Medium</v>
      </c>
      <c r="J1094" s="17" t="str">
        <f>IF(TRIM(Github!D$469)="TRUE","FALSE","TRUE")</f>
        <v>TRUE</v>
      </c>
      <c r="K1094" s="17" t="b">
        <f>Github!M$469</f>
        <v>1</v>
      </c>
      <c r="L1094" s="17" t="b">
        <f>Github!N$469</f>
        <v>0</v>
      </c>
      <c r="M1094" s="17" t="str">
        <f>ROUND(Github!O$469, 2)&amp;"%"</f>
        <v>26.11%</v>
      </c>
      <c r="N1094" s="17">
        <f>Github!P$469</f>
        <v>122404</v>
      </c>
      <c r="O1094" s="17">
        <f>Github!Q$469</f>
        <v>468721</v>
      </c>
    </row>
    <row r="1095" ht="18.0" customHeight="1">
      <c r="A1095" s="17">
        <f>Github!J$682</f>
        <v>681</v>
      </c>
      <c r="B1095" s="27" t="str">
        <f>HYPERLINK(CONCAT("http://leetcode.com/problems/",Github!C$682), Github!B$682)</f>
        <v>Next Closest Time</v>
      </c>
      <c r="C1095" s="17">
        <f>Github!F$682</f>
        <v>650</v>
      </c>
      <c r="D1095" s="17">
        <f>Github!G$682</f>
        <v>950</v>
      </c>
      <c r="E1095" s="17">
        <f>Github!F$682+Github!G$682</f>
        <v>1600</v>
      </c>
      <c r="F1095" s="18">
        <f t="shared" si="1"/>
        <v>0.68</v>
      </c>
      <c r="G1095" s="17" t="str">
        <f>Github!H$682</f>
        <v>Algorithms</v>
      </c>
      <c r="H1095" s="19" t="str">
        <f>SUBSTITUTE(Github!L$682, ";", ", ")</f>
        <v>String, Enumeration, </v>
      </c>
      <c r="I1095" s="17" t="str">
        <f>Github!E$682</f>
        <v>Medium</v>
      </c>
      <c r="J1095" s="17" t="str">
        <f>IF(TRIM(Github!D$682)="TRUE","FALSE","TRUE")</f>
        <v>FALSE</v>
      </c>
      <c r="K1095" s="17" t="b">
        <f>Github!M$682</f>
        <v>0</v>
      </c>
      <c r="L1095" s="17" t="b">
        <f>Github!N$682</f>
        <v>0</v>
      </c>
      <c r="M1095" s="17" t="str">
        <f>ROUND(Github!O$682, 2)&amp;"%"</f>
        <v>46.47%</v>
      </c>
      <c r="N1095" s="17">
        <f>Github!P$682</f>
        <v>92611</v>
      </c>
      <c r="O1095" s="17">
        <f>Github!Q$682</f>
        <v>199309</v>
      </c>
    </row>
    <row r="1096" ht="18.0" customHeight="1">
      <c r="A1096" s="17">
        <f>Github!J$1223</f>
        <v>1222</v>
      </c>
      <c r="B1096" s="27" t="str">
        <f>HYPERLINK(CONCAT("http://leetcode.com/problems/",Github!C$1223), Github!B$1223)</f>
        <v>Queens That Can Attack the King</v>
      </c>
      <c r="C1096" s="17">
        <f>Github!F$1223</f>
        <v>648</v>
      </c>
      <c r="D1096" s="17">
        <f>Github!G$1223</f>
        <v>119</v>
      </c>
      <c r="E1096" s="17">
        <f>Github!F$1223+Github!G$1223</f>
        <v>767</v>
      </c>
      <c r="F1096" s="18">
        <f t="shared" si="1"/>
        <v>5.45</v>
      </c>
      <c r="G1096" s="17" t="str">
        <f>Github!H$1223</f>
        <v>Algorithms</v>
      </c>
      <c r="H1096" s="19" t="str">
        <f>SUBSTITUTE(Github!L$1223, ";", ", ")</f>
        <v>Array, Matrix, Simulation, </v>
      </c>
      <c r="I1096" s="17" t="str">
        <f>Github!E$1223</f>
        <v>Medium</v>
      </c>
      <c r="J1096" s="17" t="str">
        <f>IF(TRIM(Github!D$1223)="TRUE","FALSE","TRUE")</f>
        <v>TRUE</v>
      </c>
      <c r="K1096" s="17" t="b">
        <f>Github!M$1223</f>
        <v>0</v>
      </c>
      <c r="L1096" s="17" t="b">
        <f>Github!N$1223</f>
        <v>0</v>
      </c>
      <c r="M1096" s="17" t="str">
        <f>ROUND(Github!O$1223, 2)&amp;"%"</f>
        <v>70.98%</v>
      </c>
      <c r="N1096" s="17">
        <f>Github!P$1223</f>
        <v>31277</v>
      </c>
      <c r="O1096" s="17">
        <f>Github!Q$1223</f>
        <v>44066</v>
      </c>
    </row>
    <row r="1097" ht="18.0" customHeight="1">
      <c r="A1097" s="17">
        <f>Github!J$1833</f>
        <v>1832</v>
      </c>
      <c r="B1097" s="27" t="str">
        <f>HYPERLINK(CONCAT("http://leetcode.com/problems/",Github!C$1833), Github!B$1833)</f>
        <v>Check if the Sentence Is Pangram</v>
      </c>
      <c r="C1097" s="17">
        <f>Github!F$1833</f>
        <v>648</v>
      </c>
      <c r="D1097" s="17">
        <f>Github!G$1833</f>
        <v>18</v>
      </c>
      <c r="E1097" s="17">
        <f>Github!F$1833+Github!G$1833</f>
        <v>666</v>
      </c>
      <c r="F1097" s="18">
        <f t="shared" si="1"/>
        <v>36</v>
      </c>
      <c r="G1097" s="17" t="str">
        <f>Github!H$1833</f>
        <v>Algorithms</v>
      </c>
      <c r="H1097" s="19" t="str">
        <f>SUBSTITUTE(Github!L$1833, ";", ", ")</f>
        <v>Hash Table, String, </v>
      </c>
      <c r="I1097" s="17" t="str">
        <f>Github!E$1833</f>
        <v>Easy</v>
      </c>
      <c r="J1097" s="17" t="str">
        <f>IF(TRIM(Github!D$1833)="TRUE","FALSE","TRUE")</f>
        <v>TRUE</v>
      </c>
      <c r="K1097" s="17" t="b">
        <f>Github!M$1833</f>
        <v>0</v>
      </c>
      <c r="L1097" s="17" t="b">
        <f>Github!N$1833</f>
        <v>0</v>
      </c>
      <c r="M1097" s="17" t="str">
        <f>ROUND(Github!O$1833, 2)&amp;"%"</f>
        <v>81.41%</v>
      </c>
      <c r="N1097" s="17">
        <f>Github!P$1833</f>
        <v>74992</v>
      </c>
      <c r="O1097" s="17">
        <f>Github!Q$1833</f>
        <v>92118</v>
      </c>
    </row>
    <row r="1098" ht="18.0" customHeight="1">
      <c r="A1098" s="17">
        <f>Github!J$912</f>
        <v>911</v>
      </c>
      <c r="B1098" s="27" t="str">
        <f>HYPERLINK(CONCAT("http://leetcode.com/problems/",Github!C$912), Github!B$912)</f>
        <v>Online Election</v>
      </c>
      <c r="C1098" s="17">
        <f>Github!F$912</f>
        <v>647</v>
      </c>
      <c r="D1098" s="17">
        <f>Github!G$912</f>
        <v>493</v>
      </c>
      <c r="E1098" s="17">
        <f>Github!F$912+Github!G$912</f>
        <v>1140</v>
      </c>
      <c r="F1098" s="18">
        <f t="shared" si="1"/>
        <v>1.31</v>
      </c>
      <c r="G1098" s="17" t="str">
        <f>Github!H$912</f>
        <v>Algorithms</v>
      </c>
      <c r="H1098" s="19" t="str">
        <f>SUBSTITUTE(Github!L$912, ";", ", ")</f>
        <v>Array, Hash Table, Binary Search, Design, </v>
      </c>
      <c r="I1098" s="17" t="str">
        <f>Github!E$912</f>
        <v>Medium</v>
      </c>
      <c r="J1098" s="17" t="str">
        <f>IF(TRIM(Github!D$912)="TRUE","FALSE","TRUE")</f>
        <v>TRUE</v>
      </c>
      <c r="K1098" s="17" t="b">
        <f>Github!M$912</f>
        <v>1</v>
      </c>
      <c r="L1098" s="17" t="b">
        <f>Github!N$912</f>
        <v>0</v>
      </c>
      <c r="M1098" s="17" t="str">
        <f>ROUND(Github!O$912, 2)&amp;"%"</f>
        <v>51.57%</v>
      </c>
      <c r="N1098" s="17">
        <f>Github!P$912</f>
        <v>38039</v>
      </c>
      <c r="O1098" s="17">
        <f>Github!Q$912</f>
        <v>73767</v>
      </c>
    </row>
    <row r="1099" ht="18.0" customHeight="1">
      <c r="A1099" s="17">
        <f>Github!J$949</f>
        <v>948</v>
      </c>
      <c r="B1099" s="27" t="str">
        <f>HYPERLINK(CONCAT("http://leetcode.com/problems/",Github!C$949), Github!B$949)</f>
        <v>Bag of Tokens</v>
      </c>
      <c r="C1099" s="17">
        <f>Github!F$949</f>
        <v>646</v>
      </c>
      <c r="D1099" s="17">
        <f>Github!G$949</f>
        <v>292</v>
      </c>
      <c r="E1099" s="17">
        <f>Github!F$949+Github!G$949</f>
        <v>938</v>
      </c>
      <c r="F1099" s="18">
        <f t="shared" si="1"/>
        <v>2.21</v>
      </c>
      <c r="G1099" s="17" t="str">
        <f>Github!H$949</f>
        <v>Algorithms</v>
      </c>
      <c r="H1099" s="19" t="str">
        <f>SUBSTITUTE(Github!L$949, ";", ", ")</f>
        <v>Array, Two Pointers, Greedy, Sorting, </v>
      </c>
      <c r="I1099" s="17" t="str">
        <f>Github!E$949</f>
        <v>Medium</v>
      </c>
      <c r="J1099" s="17" t="str">
        <f>IF(TRIM(Github!D$949)="TRUE","FALSE","TRUE")</f>
        <v>TRUE</v>
      </c>
      <c r="K1099" s="17" t="b">
        <f>Github!M$949</f>
        <v>1</v>
      </c>
      <c r="L1099" s="17" t="b">
        <f>Github!N$949</f>
        <v>0</v>
      </c>
      <c r="M1099" s="17" t="str">
        <f>ROUND(Github!O$949, 2)&amp;"%"</f>
        <v>46.16%</v>
      </c>
      <c r="N1099" s="17">
        <f>Github!P$949</f>
        <v>38344</v>
      </c>
      <c r="O1099" s="17">
        <f>Github!Q$949</f>
        <v>83064</v>
      </c>
    </row>
    <row r="1100" ht="18.0" customHeight="1">
      <c r="A1100" s="17">
        <f>Github!J$1415</f>
        <v>1414</v>
      </c>
      <c r="B1100" s="27" t="str">
        <f>HYPERLINK(CONCAT("http://leetcode.com/problems/",Github!C$1415), Github!B$1415)</f>
        <v>Find the Minimum Number of Fibonacci Numbers Whose Sum Is K</v>
      </c>
      <c r="C1100" s="17">
        <f>Github!F$1415</f>
        <v>646</v>
      </c>
      <c r="D1100" s="17">
        <f>Github!G$1415</f>
        <v>51</v>
      </c>
      <c r="E1100" s="17">
        <f>Github!F$1415+Github!G$1415</f>
        <v>697</v>
      </c>
      <c r="F1100" s="18">
        <f t="shared" si="1"/>
        <v>12.67</v>
      </c>
      <c r="G1100" s="17" t="str">
        <f>Github!H$1415</f>
        <v>Algorithms</v>
      </c>
      <c r="H1100" s="19" t="str">
        <f>SUBSTITUTE(Github!L$1415, ";", ", ")</f>
        <v>Greedy, </v>
      </c>
      <c r="I1100" s="17" t="str">
        <f>Github!E$1415</f>
        <v>Medium</v>
      </c>
      <c r="J1100" s="17" t="str">
        <f>IF(TRIM(Github!D$1415)="TRUE","FALSE","TRUE")</f>
        <v>TRUE</v>
      </c>
      <c r="K1100" s="17" t="b">
        <f>Github!M$1415</f>
        <v>0</v>
      </c>
      <c r="L1100" s="17" t="b">
        <f>Github!N$1415</f>
        <v>0</v>
      </c>
      <c r="M1100" s="17" t="str">
        <f>ROUND(Github!O$1415, 2)&amp;"%"</f>
        <v>65.14%</v>
      </c>
      <c r="N1100" s="17">
        <f>Github!P$1415</f>
        <v>29748</v>
      </c>
      <c r="O1100" s="17">
        <f>Github!Q$1415</f>
        <v>45670</v>
      </c>
    </row>
    <row r="1101" ht="18.0" customHeight="1">
      <c r="A1101" s="17">
        <f>Github!J$1686</f>
        <v>1685</v>
      </c>
      <c r="B1101" s="27" t="str">
        <f>HYPERLINK(CONCAT("http://leetcode.com/problems/",Github!C$1686), Github!B$1686)</f>
        <v>Sum of Absolute Differences in a Sorted Array</v>
      </c>
      <c r="C1101" s="17">
        <f>Github!F$1686</f>
        <v>645</v>
      </c>
      <c r="D1101" s="17">
        <f>Github!G$1686</f>
        <v>21</v>
      </c>
      <c r="E1101" s="17">
        <f>Github!F$1686+Github!G$1686</f>
        <v>666</v>
      </c>
      <c r="F1101" s="18">
        <f t="shared" si="1"/>
        <v>30.71</v>
      </c>
      <c r="G1101" s="17" t="str">
        <f>Github!H$1686</f>
        <v>Algorithms</v>
      </c>
      <c r="H1101" s="19" t="str">
        <f>SUBSTITUTE(Github!L$1686, ";", ", ")</f>
        <v>Array, Math, Prefix Sum, </v>
      </c>
      <c r="I1101" s="17" t="str">
        <f>Github!E$1686</f>
        <v>Medium</v>
      </c>
      <c r="J1101" s="17" t="str">
        <f>IF(TRIM(Github!D$1686)="TRUE","FALSE","TRUE")</f>
        <v>TRUE</v>
      </c>
      <c r="K1101" s="17" t="b">
        <f>Github!M$1686</f>
        <v>0</v>
      </c>
      <c r="L1101" s="17" t="b">
        <f>Github!N$1686</f>
        <v>0</v>
      </c>
      <c r="M1101" s="17" t="str">
        <f>ROUND(Github!O$1686, 2)&amp;"%"</f>
        <v>65.59%</v>
      </c>
      <c r="N1101" s="17">
        <f>Github!P$1686</f>
        <v>18778</v>
      </c>
      <c r="O1101" s="17">
        <f>Github!Q$1686</f>
        <v>28628</v>
      </c>
    </row>
    <row r="1102" ht="18.0" customHeight="1">
      <c r="A1102" s="17">
        <f>Github!J$1137</f>
        <v>1136</v>
      </c>
      <c r="B1102" s="27" t="str">
        <f>HYPERLINK(CONCAT("http://leetcode.com/problems/",Github!C$1137), Github!B$1137)</f>
        <v>Parallel Courses</v>
      </c>
      <c r="C1102" s="17">
        <f>Github!F$1137</f>
        <v>644</v>
      </c>
      <c r="D1102" s="17">
        <f>Github!G$1137</f>
        <v>19</v>
      </c>
      <c r="E1102" s="17">
        <f>Github!F$1137+Github!G$1137</f>
        <v>663</v>
      </c>
      <c r="F1102" s="18">
        <f t="shared" si="1"/>
        <v>33.89</v>
      </c>
      <c r="G1102" s="17" t="str">
        <f>Github!H$1137</f>
        <v>Algorithms</v>
      </c>
      <c r="H1102" s="19" t="str">
        <f>SUBSTITUTE(Github!L$1137, ";", ", ")</f>
        <v>Graph, Topological Sort, </v>
      </c>
      <c r="I1102" s="17" t="str">
        <f>Github!E$1137</f>
        <v>Medium</v>
      </c>
      <c r="J1102" s="17" t="str">
        <f>IF(TRIM(Github!D$1137)="TRUE","FALSE","TRUE")</f>
        <v>FALSE</v>
      </c>
      <c r="K1102" s="17" t="b">
        <f>Github!M$1137</f>
        <v>1</v>
      </c>
      <c r="L1102" s="17" t="b">
        <f>Github!N$1137</f>
        <v>0</v>
      </c>
      <c r="M1102" s="17" t="str">
        <f>ROUND(Github!O$1137, 2)&amp;"%"</f>
        <v>60.82%</v>
      </c>
      <c r="N1102" s="17">
        <f>Github!P$1137</f>
        <v>35694</v>
      </c>
      <c r="O1102" s="17">
        <f>Github!Q$1137</f>
        <v>58689</v>
      </c>
    </row>
    <row r="1103" ht="18.0" customHeight="1">
      <c r="A1103" s="17">
        <f>Github!J$1885</f>
        <v>1884</v>
      </c>
      <c r="B1103" s="27" t="str">
        <f>HYPERLINK(CONCAT("http://leetcode.com/problems/",Github!C$1885), Github!B$1885)</f>
        <v>Egg Drop With 2 Eggs and N Floors</v>
      </c>
      <c r="C1103" s="17">
        <f>Github!F$1885</f>
        <v>642</v>
      </c>
      <c r="D1103" s="17">
        <f>Github!G$1885</f>
        <v>56</v>
      </c>
      <c r="E1103" s="17">
        <f>Github!F$1885+Github!G$1885</f>
        <v>698</v>
      </c>
      <c r="F1103" s="18">
        <f t="shared" si="1"/>
        <v>11.46</v>
      </c>
      <c r="G1103" s="17" t="str">
        <f>Github!H$1885</f>
        <v>Algorithms</v>
      </c>
      <c r="H1103" s="19" t="str">
        <f>SUBSTITUTE(Github!L$1885, ";", ", ")</f>
        <v>Math, Dynamic Programming, </v>
      </c>
      <c r="I1103" s="17" t="str">
        <f>Github!E$1885</f>
        <v>Medium</v>
      </c>
      <c r="J1103" s="17" t="str">
        <f>IF(TRIM(Github!D$1885)="TRUE","FALSE","TRUE")</f>
        <v>TRUE</v>
      </c>
      <c r="K1103" s="17" t="b">
        <f>Github!M$1885</f>
        <v>0</v>
      </c>
      <c r="L1103" s="17" t="b">
        <f>Github!N$1885</f>
        <v>0</v>
      </c>
      <c r="M1103" s="17" t="str">
        <f>ROUND(Github!O$1885, 2)&amp;"%"</f>
        <v>70.14%</v>
      </c>
      <c r="N1103" s="17">
        <f>Github!P$1885</f>
        <v>17992</v>
      </c>
      <c r="O1103" s="17">
        <f>Github!Q$1885</f>
        <v>25651</v>
      </c>
    </row>
    <row r="1104" ht="18.0" customHeight="1">
      <c r="A1104" s="17">
        <f>Github!J$668</f>
        <v>667</v>
      </c>
      <c r="B1104" s="27" t="str">
        <f>HYPERLINK(CONCAT("http://leetcode.com/problems/",Github!C$668), Github!B$668)</f>
        <v>Beautiful Arrangement II</v>
      </c>
      <c r="C1104" s="17">
        <f>Github!F$668</f>
        <v>641</v>
      </c>
      <c r="D1104" s="17">
        <f>Github!G$668</f>
        <v>950</v>
      </c>
      <c r="E1104" s="17">
        <f>Github!F$668+Github!G$668</f>
        <v>1591</v>
      </c>
      <c r="F1104" s="18">
        <f t="shared" si="1"/>
        <v>0.67</v>
      </c>
      <c r="G1104" s="17" t="str">
        <f>Github!H$668</f>
        <v>Algorithms</v>
      </c>
      <c r="H1104" s="19" t="str">
        <f>SUBSTITUTE(Github!L$668, ";", ", ")</f>
        <v>Array, Math, </v>
      </c>
      <c r="I1104" s="17" t="str">
        <f>Github!E$668</f>
        <v>Medium</v>
      </c>
      <c r="J1104" s="17" t="str">
        <f>IF(TRIM(Github!D$668)="TRUE","FALSE","TRUE")</f>
        <v>TRUE</v>
      </c>
      <c r="K1104" s="17" t="b">
        <f>Github!M$668</f>
        <v>1</v>
      </c>
      <c r="L1104" s="17" t="b">
        <f>Github!N$668</f>
        <v>0</v>
      </c>
      <c r="M1104" s="17" t="str">
        <f>ROUND(Github!O$668, 2)&amp;"%"</f>
        <v>59.28%</v>
      </c>
      <c r="N1104" s="17">
        <f>Github!P$668</f>
        <v>46577</v>
      </c>
      <c r="O1104" s="17">
        <f>Github!Q$668</f>
        <v>78576</v>
      </c>
    </row>
    <row r="1105" ht="18.0" customHeight="1">
      <c r="A1105" s="17">
        <f>Github!J$511</f>
        <v>510</v>
      </c>
      <c r="B1105" s="27" t="str">
        <f>HYPERLINK(CONCAT("http://leetcode.com/problems/",Github!C$511), Github!B$511)</f>
        <v>Inorder Successor in BST II</v>
      </c>
      <c r="C1105" s="17">
        <f>Github!F$511</f>
        <v>640</v>
      </c>
      <c r="D1105" s="17">
        <f>Github!G$511</f>
        <v>34</v>
      </c>
      <c r="E1105" s="17">
        <f>Github!F$511+Github!G$511</f>
        <v>674</v>
      </c>
      <c r="F1105" s="18">
        <f t="shared" si="1"/>
        <v>18.82</v>
      </c>
      <c r="G1105" s="17" t="str">
        <f>Github!H$511</f>
        <v>Algorithms</v>
      </c>
      <c r="H1105" s="19" t="str">
        <f>SUBSTITUTE(Github!L$511, ";", ", ")</f>
        <v>Tree, Binary Search Tree, Binary Tree, </v>
      </c>
      <c r="I1105" s="17" t="str">
        <f>Github!E$511</f>
        <v>Medium</v>
      </c>
      <c r="J1105" s="17" t="str">
        <f>IF(TRIM(Github!D$511)="TRUE","FALSE","TRUE")</f>
        <v>FALSE</v>
      </c>
      <c r="K1105" s="17" t="b">
        <f>Github!M$511</f>
        <v>1</v>
      </c>
      <c r="L1105" s="17" t="b">
        <f>Github!N$511</f>
        <v>0</v>
      </c>
      <c r="M1105" s="17" t="str">
        <f>ROUND(Github!O$511, 2)&amp;"%"</f>
        <v>61.49%</v>
      </c>
      <c r="N1105" s="17">
        <f>Github!P$511</f>
        <v>45899</v>
      </c>
      <c r="O1105" s="17">
        <f>Github!Q$511</f>
        <v>74648</v>
      </c>
    </row>
    <row r="1106" ht="18.0" customHeight="1">
      <c r="A1106" s="17">
        <f>Github!J$1087</f>
        <v>1086</v>
      </c>
      <c r="B1106" s="27" t="str">
        <f>HYPERLINK(CONCAT("http://leetcode.com/problems/",Github!C$1087), Github!B$1087)</f>
        <v>High Five</v>
      </c>
      <c r="C1106" s="17">
        <f>Github!F$1087</f>
        <v>639</v>
      </c>
      <c r="D1106" s="17">
        <f>Github!G$1087</f>
        <v>103</v>
      </c>
      <c r="E1106" s="17">
        <f>Github!F$1087+Github!G$1087</f>
        <v>742</v>
      </c>
      <c r="F1106" s="18">
        <f t="shared" si="1"/>
        <v>6.2</v>
      </c>
      <c r="G1106" s="17" t="str">
        <f>Github!H$1087</f>
        <v>Algorithms</v>
      </c>
      <c r="H1106" s="19" t="str">
        <f>SUBSTITUTE(Github!L$1087, ";", ", ")</f>
        <v>Array, Hash Table, Sorting, </v>
      </c>
      <c r="I1106" s="17" t="str">
        <f>Github!E$1087</f>
        <v>Easy</v>
      </c>
      <c r="J1106" s="17" t="str">
        <f>IF(TRIM(Github!D$1087)="TRUE","FALSE","TRUE")</f>
        <v>FALSE</v>
      </c>
      <c r="K1106" s="17" t="b">
        <f>Github!M$1087</f>
        <v>1</v>
      </c>
      <c r="L1106" s="17" t="b">
        <f>Github!N$1087</f>
        <v>0</v>
      </c>
      <c r="M1106" s="17" t="str">
        <f>ROUND(Github!O$1087, 2)&amp;"%"</f>
        <v>75.56%</v>
      </c>
      <c r="N1106" s="17">
        <f>Github!P$1087</f>
        <v>80147</v>
      </c>
      <c r="O1106" s="17">
        <f>Github!Q$1087</f>
        <v>106073</v>
      </c>
    </row>
    <row r="1107" ht="18.0" customHeight="1">
      <c r="A1107" s="17">
        <f>Github!J$1658</f>
        <v>1657</v>
      </c>
      <c r="B1107" s="27" t="str">
        <f>HYPERLINK(CONCAT("http://leetcode.com/problems/",Github!C$1658), Github!B$1658)</f>
        <v>Determine if Two Strings Are Close</v>
      </c>
      <c r="C1107" s="17">
        <f>Github!F$1658</f>
        <v>639</v>
      </c>
      <c r="D1107" s="17">
        <f>Github!G$1658</f>
        <v>36</v>
      </c>
      <c r="E1107" s="17">
        <f>Github!F$1658+Github!G$1658</f>
        <v>675</v>
      </c>
      <c r="F1107" s="18">
        <f t="shared" si="1"/>
        <v>17.75</v>
      </c>
      <c r="G1107" s="17" t="str">
        <f>Github!H$1658</f>
        <v>Algorithms</v>
      </c>
      <c r="H1107" s="19" t="str">
        <f>SUBSTITUTE(Github!L$1658, ";", ", ")</f>
        <v>Hash Table, String, Sorting, </v>
      </c>
      <c r="I1107" s="17" t="str">
        <f>Github!E$1658</f>
        <v>Medium</v>
      </c>
      <c r="J1107" s="17" t="str">
        <f>IF(TRIM(Github!D$1658)="TRUE","FALSE","TRUE")</f>
        <v>TRUE</v>
      </c>
      <c r="K1107" s="17" t="b">
        <f>Github!M$1658</f>
        <v>1</v>
      </c>
      <c r="L1107" s="17" t="b">
        <f>Github!N$1658</f>
        <v>0</v>
      </c>
      <c r="M1107" s="17" t="str">
        <f>ROUND(Github!O$1658, 2)&amp;"%"</f>
        <v>54.55%</v>
      </c>
      <c r="N1107" s="17">
        <f>Github!P$1658</f>
        <v>38587</v>
      </c>
      <c r="O1107" s="17">
        <f>Github!Q$1658</f>
        <v>70730</v>
      </c>
    </row>
    <row r="1108" ht="18.0" customHeight="1">
      <c r="A1108" s="17">
        <f>Github!J$2097</f>
        <v>2096</v>
      </c>
      <c r="B1108" s="27" t="str">
        <f>HYPERLINK(CONCAT("http://leetcode.com/problems/",Github!C$2097), Github!B$2097)</f>
        <v>Step-By-Step Directions From a Binary Tree Node to Another</v>
      </c>
      <c r="C1108" s="17">
        <f>Github!F$2097</f>
        <v>639</v>
      </c>
      <c r="D1108" s="17">
        <f>Github!G$2097</f>
        <v>46</v>
      </c>
      <c r="E1108" s="17">
        <f>Github!F$2097+Github!G$2097</f>
        <v>685</v>
      </c>
      <c r="F1108" s="18">
        <f t="shared" si="1"/>
        <v>13.89</v>
      </c>
      <c r="G1108" s="17" t="str">
        <f>Github!H$2097</f>
        <v>Algorithms</v>
      </c>
      <c r="H1108" s="19" t="str">
        <f>SUBSTITUTE(Github!L$2097, ";", ", ")</f>
        <v>String, Tree, Depth-First Search, Binary Tree, </v>
      </c>
      <c r="I1108" s="17" t="str">
        <f>Github!E$2097</f>
        <v>Medium</v>
      </c>
      <c r="J1108" s="17" t="str">
        <f>IF(TRIM(Github!D$2097)="TRUE","FALSE","TRUE")</f>
        <v>TRUE</v>
      </c>
      <c r="K1108" s="17" t="b">
        <f>Github!M$2097</f>
        <v>0</v>
      </c>
      <c r="L1108" s="17" t="b">
        <f>Github!N$2097</f>
        <v>0</v>
      </c>
      <c r="M1108" s="17" t="str">
        <f>ROUND(Github!O$2097, 2)&amp;"%"</f>
        <v>47.77%</v>
      </c>
      <c r="N1108" s="17">
        <f>Github!P$2097</f>
        <v>20516</v>
      </c>
      <c r="O1108" s="17">
        <f>Github!Q$2097</f>
        <v>42954</v>
      </c>
    </row>
    <row r="1109" ht="18.0" customHeight="1">
      <c r="A1109" s="17">
        <f>Github!J$401</f>
        <v>400</v>
      </c>
      <c r="B1109" s="27" t="str">
        <f>HYPERLINK(CONCAT("http://leetcode.com/problems/",Github!C$401), Github!B$401)</f>
        <v>Nth Digit</v>
      </c>
      <c r="C1109" s="17">
        <f>Github!F$401</f>
        <v>638</v>
      </c>
      <c r="D1109" s="17">
        <f>Github!G$401</f>
        <v>1463</v>
      </c>
      <c r="E1109" s="17">
        <f>Github!F$401+Github!G$401</f>
        <v>2101</v>
      </c>
      <c r="F1109" s="18">
        <f t="shared" si="1"/>
        <v>0.44</v>
      </c>
      <c r="G1109" s="17" t="str">
        <f>Github!H$401</f>
        <v>Algorithms</v>
      </c>
      <c r="H1109" s="19" t="str">
        <f>SUBSTITUTE(Github!L$401, ";", ", ")</f>
        <v>Math, Binary Search, </v>
      </c>
      <c r="I1109" s="17" t="str">
        <f>Github!E$401</f>
        <v>Medium</v>
      </c>
      <c r="J1109" s="17" t="str">
        <f>IF(TRIM(Github!D$401)="TRUE","FALSE","TRUE")</f>
        <v>TRUE</v>
      </c>
      <c r="K1109" s="17" t="b">
        <f>Github!M$401</f>
        <v>0</v>
      </c>
      <c r="L1109" s="17" t="b">
        <f>Github!N$401</f>
        <v>0</v>
      </c>
      <c r="M1109" s="17" t="str">
        <f>ROUND(Github!O$401, 2)&amp;"%"</f>
        <v>33.41%</v>
      </c>
      <c r="N1109" s="17">
        <f>Github!P$401</f>
        <v>74117</v>
      </c>
      <c r="O1109" s="17">
        <f>Github!Q$401</f>
        <v>221871</v>
      </c>
    </row>
    <row r="1110" ht="18.0" customHeight="1">
      <c r="A1110" s="17">
        <f>Github!J$309</f>
        <v>308</v>
      </c>
      <c r="B1110" s="27" t="str">
        <f>HYPERLINK(CONCAT("http://leetcode.com/problems/",Github!C$309), Github!B$309)</f>
        <v>Range Sum Query 2D - Mutable</v>
      </c>
      <c r="C1110" s="17">
        <f>Github!F$309</f>
        <v>637</v>
      </c>
      <c r="D1110" s="17">
        <f>Github!G$309</f>
        <v>73</v>
      </c>
      <c r="E1110" s="17">
        <f>Github!F$309+Github!G$309</f>
        <v>710</v>
      </c>
      <c r="F1110" s="18">
        <f t="shared" si="1"/>
        <v>8.73</v>
      </c>
      <c r="G1110" s="17" t="str">
        <f>Github!H$309</f>
        <v>Algorithms</v>
      </c>
      <c r="H1110" s="19" t="str">
        <f>SUBSTITUTE(Github!L$309, ";", ", ")</f>
        <v>Array, Design, Binary Indexed Tree, Segment Tree, Matrix, </v>
      </c>
      <c r="I1110" s="17" t="str">
        <f>Github!E$309</f>
        <v>Hard</v>
      </c>
      <c r="J1110" s="17" t="str">
        <f>IF(TRIM(Github!D$309)="TRUE","FALSE","TRUE")</f>
        <v>FALSE</v>
      </c>
      <c r="K1110" s="17" t="b">
        <f>Github!M$309</f>
        <v>1</v>
      </c>
      <c r="L1110" s="17" t="b">
        <f>Github!N$309</f>
        <v>0</v>
      </c>
      <c r="M1110" s="17" t="str">
        <f>ROUND(Github!O$309, 2)&amp;"%"</f>
        <v>40.73%</v>
      </c>
      <c r="N1110" s="17">
        <f>Github!P$309</f>
        <v>64140</v>
      </c>
      <c r="O1110" s="17">
        <f>Github!Q$309</f>
        <v>157470</v>
      </c>
    </row>
    <row r="1111" ht="18.0" customHeight="1">
      <c r="A1111" s="17">
        <f>Github!J$748</f>
        <v>747</v>
      </c>
      <c r="B1111" s="27" t="str">
        <f>HYPERLINK(CONCAT("http://leetcode.com/problems/",Github!C$748), Github!B$748)</f>
        <v>Largest Number At Least Twice of Others</v>
      </c>
      <c r="C1111" s="17">
        <f>Github!F$748</f>
        <v>637</v>
      </c>
      <c r="D1111" s="17">
        <f>Github!G$748</f>
        <v>745</v>
      </c>
      <c r="E1111" s="17">
        <f>Github!F$748+Github!G$748</f>
        <v>1382</v>
      </c>
      <c r="F1111" s="18">
        <f t="shared" si="1"/>
        <v>0.86</v>
      </c>
      <c r="G1111" s="17" t="str">
        <f>Github!H$748</f>
        <v>Algorithms</v>
      </c>
      <c r="H1111" s="19" t="str">
        <f>SUBSTITUTE(Github!L$748, ";", ", ")</f>
        <v>Array, Sorting, </v>
      </c>
      <c r="I1111" s="17" t="str">
        <f>Github!E$748</f>
        <v>Easy</v>
      </c>
      <c r="J1111" s="17" t="str">
        <f>IF(TRIM(Github!D$748)="TRUE","FALSE","TRUE")</f>
        <v>TRUE</v>
      </c>
      <c r="K1111" s="17" t="b">
        <f>Github!M$748</f>
        <v>0</v>
      </c>
      <c r="L1111" s="17" t="b">
        <f>Github!N$748</f>
        <v>0</v>
      </c>
      <c r="M1111" s="17" t="str">
        <f>ROUND(Github!O$748, 2)&amp;"%"</f>
        <v>44.99%</v>
      </c>
      <c r="N1111" s="17">
        <f>Github!P$748</f>
        <v>150045</v>
      </c>
      <c r="O1111" s="17">
        <f>Github!Q$748</f>
        <v>333509</v>
      </c>
    </row>
    <row r="1112" ht="18.0" customHeight="1">
      <c r="A1112" s="17">
        <f>Github!J$627</f>
        <v>626</v>
      </c>
      <c r="B1112" s="27" t="str">
        <f>HYPERLINK(CONCAT("http://leetcode.com/problems/",Github!C$627), Github!B$627)</f>
        <v>Exchange Seats</v>
      </c>
      <c r="C1112" s="17">
        <f>Github!F$627</f>
        <v>633</v>
      </c>
      <c r="D1112" s="17">
        <f>Github!G$627</f>
        <v>347</v>
      </c>
      <c r="E1112" s="17">
        <f>Github!F$627+Github!G$627</f>
        <v>980</v>
      </c>
      <c r="F1112" s="18">
        <f t="shared" si="1"/>
        <v>1.82</v>
      </c>
      <c r="G1112" s="17" t="str">
        <f>Github!H$627</f>
        <v>Database</v>
      </c>
      <c r="H1112" s="19" t="str">
        <f>SUBSTITUTE(Github!L$627, ";", ", ")</f>
        <v>Database, </v>
      </c>
      <c r="I1112" s="17" t="str">
        <f>Github!E$627</f>
        <v>Medium</v>
      </c>
      <c r="J1112" s="17" t="str">
        <f>IF(TRIM(Github!D$627)="TRUE","FALSE","TRUE")</f>
        <v>TRUE</v>
      </c>
      <c r="K1112" s="17" t="b">
        <f>Github!M$627</f>
        <v>1</v>
      </c>
      <c r="L1112" s="17" t="b">
        <f>Github!N$627</f>
        <v>0</v>
      </c>
      <c r="M1112" s="17" t="str">
        <f>ROUND(Github!O$627, 2)&amp;"%"</f>
        <v>68.94%</v>
      </c>
      <c r="N1112" s="17">
        <f>Github!P$627</f>
        <v>96681</v>
      </c>
      <c r="O1112" s="17">
        <f>Github!Q$627</f>
        <v>140245</v>
      </c>
    </row>
    <row r="1113" ht="18.0" customHeight="1">
      <c r="A1113" s="17">
        <f>Github!J$1964</f>
        <v>1963</v>
      </c>
      <c r="B1113" s="27" t="str">
        <f>HYPERLINK(CONCAT("http://leetcode.com/problems/",Github!C$1964), Github!B$1964)</f>
        <v>Minimum Number of Swaps to Make the String Balanced</v>
      </c>
      <c r="C1113" s="17">
        <f>Github!F$1964</f>
        <v>634</v>
      </c>
      <c r="D1113" s="17">
        <f>Github!G$1964</f>
        <v>28</v>
      </c>
      <c r="E1113" s="17">
        <f>Github!F$1964+Github!G$1964</f>
        <v>662</v>
      </c>
      <c r="F1113" s="18">
        <f t="shared" si="1"/>
        <v>22.64</v>
      </c>
      <c r="G1113" s="17" t="str">
        <f>Github!H$1964</f>
        <v>Algorithms</v>
      </c>
      <c r="H1113" s="19" t="str">
        <f>SUBSTITUTE(Github!L$1964, ";", ", ")</f>
        <v>Two Pointers, String, Stack, Greedy, </v>
      </c>
      <c r="I1113" s="17" t="str">
        <f>Github!E$1964</f>
        <v>Medium</v>
      </c>
      <c r="J1113" s="17" t="str">
        <f>IF(TRIM(Github!D$1964)="TRUE","FALSE","TRUE")</f>
        <v>TRUE</v>
      </c>
      <c r="K1113" s="17" t="b">
        <f>Github!M$1964</f>
        <v>0</v>
      </c>
      <c r="L1113" s="17" t="b">
        <f>Github!N$1964</f>
        <v>0</v>
      </c>
      <c r="M1113" s="17" t="str">
        <f>ROUND(Github!O$1964, 2)&amp;"%"</f>
        <v>66.56%</v>
      </c>
      <c r="N1113" s="17">
        <f>Github!P$1964</f>
        <v>22645</v>
      </c>
      <c r="O1113" s="17">
        <f>Github!Q$1964</f>
        <v>34023</v>
      </c>
    </row>
    <row r="1114" ht="18.0" customHeight="1">
      <c r="A1114" s="17">
        <f>Github!J$997</f>
        <v>996</v>
      </c>
      <c r="B1114" s="27" t="str">
        <f>HYPERLINK(CONCAT("http://leetcode.com/problems/",Github!C$997), Github!B$997)</f>
        <v>Number of Squareful Arrays</v>
      </c>
      <c r="C1114" s="17">
        <f>Github!F$997</f>
        <v>632</v>
      </c>
      <c r="D1114" s="17">
        <f>Github!G$997</f>
        <v>26</v>
      </c>
      <c r="E1114" s="17">
        <f>Github!F$997+Github!G$997</f>
        <v>658</v>
      </c>
      <c r="F1114" s="18">
        <f t="shared" si="1"/>
        <v>24.31</v>
      </c>
      <c r="G1114" s="17" t="str">
        <f>Github!H$997</f>
        <v>Algorithms</v>
      </c>
      <c r="H1114" s="19" t="str">
        <f>SUBSTITUTE(Github!L$997, ";", ", ")</f>
        <v>Array, Math, Dynamic Programming, Backtracking, Bit Manipulation, Bitmask, </v>
      </c>
      <c r="I1114" s="17" t="str">
        <f>Github!E$997</f>
        <v>Hard</v>
      </c>
      <c r="J1114" s="17" t="str">
        <f>IF(TRIM(Github!D$997)="TRUE","FALSE","TRUE")</f>
        <v>TRUE</v>
      </c>
      <c r="K1114" s="17" t="b">
        <f>Github!M$997</f>
        <v>0</v>
      </c>
      <c r="L1114" s="17" t="b">
        <f>Github!N$997</f>
        <v>0</v>
      </c>
      <c r="M1114" s="17" t="str">
        <f>ROUND(Github!O$997, 2)&amp;"%"</f>
        <v>49.08%</v>
      </c>
      <c r="N1114" s="17">
        <f>Github!P$997</f>
        <v>24654</v>
      </c>
      <c r="O1114" s="17">
        <f>Github!Q$997</f>
        <v>50229</v>
      </c>
    </row>
    <row r="1115" ht="18.0" customHeight="1">
      <c r="A1115" s="17">
        <f>Github!J$1416</f>
        <v>1415</v>
      </c>
      <c r="B1115" s="27" t="str">
        <f>HYPERLINK(CONCAT("http://leetcode.com/problems/",Github!C$1416), Github!B$1416)</f>
        <v>The k-th Lexicographical String of All Happy Strings of Length n</v>
      </c>
      <c r="C1115" s="17">
        <f>Github!F$1416</f>
        <v>632</v>
      </c>
      <c r="D1115" s="17">
        <f>Github!G$1416</f>
        <v>16</v>
      </c>
      <c r="E1115" s="17">
        <f>Github!F$1416+Github!G$1416</f>
        <v>648</v>
      </c>
      <c r="F1115" s="18">
        <f t="shared" si="1"/>
        <v>39.5</v>
      </c>
      <c r="G1115" s="17" t="str">
        <f>Github!H$1416</f>
        <v>Algorithms</v>
      </c>
      <c r="H1115" s="19" t="str">
        <f>SUBSTITUTE(Github!L$1416, ";", ", ")</f>
        <v>String, Backtracking, </v>
      </c>
      <c r="I1115" s="17" t="str">
        <f>Github!E$1416</f>
        <v>Medium</v>
      </c>
      <c r="J1115" s="17" t="str">
        <f>IF(TRIM(Github!D$1416)="TRUE","FALSE","TRUE")</f>
        <v>TRUE</v>
      </c>
      <c r="K1115" s="17" t="b">
        <f>Github!M$1416</f>
        <v>0</v>
      </c>
      <c r="L1115" s="17" t="b">
        <f>Github!N$1416</f>
        <v>0</v>
      </c>
      <c r="M1115" s="17" t="str">
        <f>ROUND(Github!O$1416, 2)&amp;"%"</f>
        <v>71.26%</v>
      </c>
      <c r="N1115" s="17">
        <f>Github!P$1416</f>
        <v>24576</v>
      </c>
      <c r="O1115" s="17">
        <f>Github!Q$1416</f>
        <v>34488</v>
      </c>
    </row>
    <row r="1116" ht="18.0" customHeight="1">
      <c r="A1116" s="17">
        <f>Github!J$1355</f>
        <v>1354</v>
      </c>
      <c r="B1116" s="27" t="str">
        <f>HYPERLINK(CONCAT("http://leetcode.com/problems/",Github!C$1355), Github!B$1355)</f>
        <v>Construct Target Array With Multiple Sums</v>
      </c>
      <c r="C1116" s="17">
        <f>Github!F$1355</f>
        <v>631</v>
      </c>
      <c r="D1116" s="17">
        <f>Github!G$1355</f>
        <v>73</v>
      </c>
      <c r="E1116" s="17">
        <f>Github!F$1355+Github!G$1355</f>
        <v>704</v>
      </c>
      <c r="F1116" s="18">
        <f t="shared" si="1"/>
        <v>8.64</v>
      </c>
      <c r="G1116" s="17" t="str">
        <f>Github!H$1355</f>
        <v>Algorithms</v>
      </c>
      <c r="H1116" s="19" t="str">
        <f>SUBSTITUTE(Github!L$1355, ";", ", ")</f>
        <v>Array, Heap (Priority Queue), </v>
      </c>
      <c r="I1116" s="17" t="str">
        <f>Github!E$1355</f>
        <v>Hard</v>
      </c>
      <c r="J1116" s="17" t="str">
        <f>IF(TRIM(Github!D$1355)="TRUE","FALSE","TRUE")</f>
        <v>TRUE</v>
      </c>
      <c r="K1116" s="17" t="b">
        <f>Github!M$1355</f>
        <v>1</v>
      </c>
      <c r="L1116" s="17" t="b">
        <f>Github!N$1355</f>
        <v>0</v>
      </c>
      <c r="M1116" s="17" t="str">
        <f>ROUND(Github!O$1355, 2)&amp;"%"</f>
        <v>31.21%</v>
      </c>
      <c r="N1116" s="17">
        <f>Github!P$1355</f>
        <v>25100</v>
      </c>
      <c r="O1116" s="17">
        <f>Github!Q$1355</f>
        <v>80431</v>
      </c>
    </row>
    <row r="1117" ht="18.0" customHeight="1">
      <c r="A1117" s="17">
        <f>Github!J$1691</f>
        <v>1690</v>
      </c>
      <c r="B1117" s="27" t="str">
        <f>HYPERLINK(CONCAT("http://leetcode.com/problems/",Github!C$1691), Github!B$1691)</f>
        <v>Stone Game VII</v>
      </c>
      <c r="C1117" s="17">
        <f>Github!F$1691</f>
        <v>630</v>
      </c>
      <c r="D1117" s="17">
        <f>Github!G$1691</f>
        <v>125</v>
      </c>
      <c r="E1117" s="17">
        <f>Github!F$1691+Github!G$1691</f>
        <v>755</v>
      </c>
      <c r="F1117" s="18">
        <f t="shared" si="1"/>
        <v>5.04</v>
      </c>
      <c r="G1117" s="17" t="str">
        <f>Github!H$1691</f>
        <v>Algorithms</v>
      </c>
      <c r="H1117" s="19" t="str">
        <f>SUBSTITUTE(Github!L$1691, ";", ", ")</f>
        <v>Array, Math, Dynamic Programming, Game Theory, </v>
      </c>
      <c r="I1117" s="17" t="str">
        <f>Github!E$1691</f>
        <v>Medium</v>
      </c>
      <c r="J1117" s="17" t="str">
        <f>IF(TRIM(Github!D$1691)="TRUE","FALSE","TRUE")</f>
        <v>TRUE</v>
      </c>
      <c r="K1117" s="17" t="b">
        <f>Github!M$1691</f>
        <v>1</v>
      </c>
      <c r="L1117" s="17" t="b">
        <f>Github!N$1691</f>
        <v>0</v>
      </c>
      <c r="M1117" s="17" t="str">
        <f>ROUND(Github!O$1691, 2)&amp;"%"</f>
        <v>58.69%</v>
      </c>
      <c r="N1117" s="17">
        <f>Github!P$1691</f>
        <v>25633</v>
      </c>
      <c r="O1117" s="17">
        <f>Github!Q$1691</f>
        <v>43674</v>
      </c>
    </row>
    <row r="1118" ht="18.0" customHeight="1">
      <c r="A1118" s="17">
        <f>Github!J$1609</f>
        <v>1608</v>
      </c>
      <c r="B1118" s="27" t="str">
        <f>HYPERLINK(CONCAT("http://leetcode.com/problems/",Github!C$1609), Github!B$1609)</f>
        <v>Special Array With X Elements Greater Than or Equal X</v>
      </c>
      <c r="C1118" s="17">
        <f>Github!F$1609</f>
        <v>630</v>
      </c>
      <c r="D1118" s="17">
        <f>Github!G$1609</f>
        <v>101</v>
      </c>
      <c r="E1118" s="17">
        <f>Github!F$1609+Github!G$1609</f>
        <v>731</v>
      </c>
      <c r="F1118" s="18">
        <f t="shared" si="1"/>
        <v>6.24</v>
      </c>
      <c r="G1118" s="17" t="str">
        <f>Github!H$1609</f>
        <v>Algorithms</v>
      </c>
      <c r="H1118" s="19" t="str">
        <f>SUBSTITUTE(Github!L$1609, ";", ", ")</f>
        <v>Array, Binary Search, Sorting, </v>
      </c>
      <c r="I1118" s="17" t="str">
        <f>Github!E$1609</f>
        <v>Easy</v>
      </c>
      <c r="J1118" s="17" t="str">
        <f>IF(TRIM(Github!D$1609)="TRUE","FALSE","TRUE")</f>
        <v>TRUE</v>
      </c>
      <c r="K1118" s="17" t="b">
        <f>Github!M$1609</f>
        <v>0</v>
      </c>
      <c r="L1118" s="17" t="b">
        <f>Github!N$1609</f>
        <v>0</v>
      </c>
      <c r="M1118" s="17" t="str">
        <f>ROUND(Github!O$1609, 2)&amp;"%"</f>
        <v>60.25%</v>
      </c>
      <c r="N1118" s="17">
        <f>Github!P$1609</f>
        <v>32604</v>
      </c>
      <c r="O1118" s="17">
        <f>Github!Q$1609</f>
        <v>54117</v>
      </c>
    </row>
    <row r="1119" ht="18.0" customHeight="1">
      <c r="A1119" s="17">
        <f>Github!J$599</f>
        <v>598</v>
      </c>
      <c r="B1119" s="27" t="str">
        <f>HYPERLINK(CONCAT("http://leetcode.com/problems/",Github!C$599), Github!B$599)</f>
        <v>Range Addition II</v>
      </c>
      <c r="C1119" s="17">
        <f>Github!F$599</f>
        <v>628</v>
      </c>
      <c r="D1119" s="17">
        <f>Github!G$599</f>
        <v>793</v>
      </c>
      <c r="E1119" s="17">
        <f>Github!F$599+Github!G$599</f>
        <v>1421</v>
      </c>
      <c r="F1119" s="18">
        <f t="shared" si="1"/>
        <v>0.79</v>
      </c>
      <c r="G1119" s="17" t="str">
        <f>Github!H$599</f>
        <v>Algorithms</v>
      </c>
      <c r="H1119" s="19" t="str">
        <f>SUBSTITUTE(Github!L$599, ";", ", ")</f>
        <v>Array, Math, </v>
      </c>
      <c r="I1119" s="17" t="str">
        <f>Github!E$599</f>
        <v>Easy</v>
      </c>
      <c r="J1119" s="17" t="str">
        <f>IF(TRIM(Github!D$599)="TRUE","FALSE","TRUE")</f>
        <v>TRUE</v>
      </c>
      <c r="K1119" s="17" t="b">
        <f>Github!M$599</f>
        <v>1</v>
      </c>
      <c r="L1119" s="17" t="b">
        <f>Github!N$599</f>
        <v>0</v>
      </c>
      <c r="M1119" s="17" t="str">
        <f>ROUND(Github!O$599, 2)&amp;"%"</f>
        <v>54.59%</v>
      </c>
      <c r="N1119" s="17">
        <f>Github!P$599</f>
        <v>76144</v>
      </c>
      <c r="O1119" s="17">
        <f>Github!Q$599</f>
        <v>139486</v>
      </c>
    </row>
    <row r="1120" ht="18.0" customHeight="1">
      <c r="A1120" s="17">
        <f>Github!J$957</f>
        <v>956</v>
      </c>
      <c r="B1120" s="27" t="str">
        <f>HYPERLINK(CONCAT("http://leetcode.com/problems/",Github!C$957), Github!B$957)</f>
        <v>Tallest Billboard</v>
      </c>
      <c r="C1120" s="17">
        <f>Github!F$957</f>
        <v>628</v>
      </c>
      <c r="D1120" s="17">
        <f>Github!G$957</f>
        <v>22</v>
      </c>
      <c r="E1120" s="17">
        <f>Github!F$957+Github!G$957</f>
        <v>650</v>
      </c>
      <c r="F1120" s="18">
        <f t="shared" si="1"/>
        <v>28.55</v>
      </c>
      <c r="G1120" s="17" t="str">
        <f>Github!H$957</f>
        <v>Algorithms</v>
      </c>
      <c r="H1120" s="19" t="str">
        <f>SUBSTITUTE(Github!L$957, ";", ", ")</f>
        <v>Array, Dynamic Programming, </v>
      </c>
      <c r="I1120" s="17" t="str">
        <f>Github!E$957</f>
        <v>Hard</v>
      </c>
      <c r="J1120" s="17" t="str">
        <f>IF(TRIM(Github!D$957)="TRUE","FALSE","TRUE")</f>
        <v>TRUE</v>
      </c>
      <c r="K1120" s="17" t="b">
        <f>Github!M$957</f>
        <v>0</v>
      </c>
      <c r="L1120" s="17" t="b">
        <f>Github!N$957</f>
        <v>0</v>
      </c>
      <c r="M1120" s="17" t="str">
        <f>ROUND(Github!O$957, 2)&amp;"%"</f>
        <v>39.91%</v>
      </c>
      <c r="N1120" s="17">
        <f>Github!P$957</f>
        <v>12597</v>
      </c>
      <c r="O1120" s="17">
        <f>Github!Q$957</f>
        <v>31567</v>
      </c>
    </row>
    <row r="1121" ht="18.0" customHeight="1">
      <c r="A1121" s="17">
        <f>Github!J$459</f>
        <v>458</v>
      </c>
      <c r="B1121" s="27" t="str">
        <f>HYPERLINK(CONCAT("http://leetcode.com/problems/",Github!C$459), Github!B$459)</f>
        <v>Poor Pigs</v>
      </c>
      <c r="C1121" s="17">
        <f>Github!F$459</f>
        <v>626</v>
      </c>
      <c r="D1121" s="17">
        <f>Github!G$459</f>
        <v>1128</v>
      </c>
      <c r="E1121" s="17">
        <f>Github!F$459+Github!G$459</f>
        <v>1754</v>
      </c>
      <c r="F1121" s="18">
        <f t="shared" si="1"/>
        <v>0.55</v>
      </c>
      <c r="G1121" s="17" t="str">
        <f>Github!H$459</f>
        <v>Algorithms</v>
      </c>
      <c r="H1121" s="19" t="str">
        <f>SUBSTITUTE(Github!L$459, ";", ", ")</f>
        <v>Math, Dynamic Programming, Combinatorics, </v>
      </c>
      <c r="I1121" s="17" t="str">
        <f>Github!E$459</f>
        <v>Hard</v>
      </c>
      <c r="J1121" s="17" t="str">
        <f>IF(TRIM(Github!D$459)="TRUE","FALSE","TRUE")</f>
        <v>TRUE</v>
      </c>
      <c r="K1121" s="17" t="b">
        <f>Github!M$459</f>
        <v>1</v>
      </c>
      <c r="L1121" s="17" t="b">
        <f>Github!N$459</f>
        <v>0</v>
      </c>
      <c r="M1121" s="17" t="str">
        <f>ROUND(Github!O$459, 2)&amp;"%"</f>
        <v>55.43%</v>
      </c>
      <c r="N1121" s="17">
        <f>Github!P$459</f>
        <v>33165</v>
      </c>
      <c r="O1121" s="17">
        <f>Github!Q$459</f>
        <v>59827</v>
      </c>
    </row>
    <row r="1122" ht="18.0" customHeight="1">
      <c r="A1122" s="17">
        <f>Github!J$1679</f>
        <v>1678</v>
      </c>
      <c r="B1122" s="27" t="str">
        <f>HYPERLINK(CONCAT("http://leetcode.com/problems/",Github!C$1679), Github!B$1679)</f>
        <v>Goal Parser Interpretation</v>
      </c>
      <c r="C1122" s="17">
        <f>Github!F$1679</f>
        <v>627</v>
      </c>
      <c r="D1122" s="17">
        <f>Github!G$1679</f>
        <v>58</v>
      </c>
      <c r="E1122" s="17">
        <f>Github!F$1679+Github!G$1679</f>
        <v>685</v>
      </c>
      <c r="F1122" s="18">
        <f t="shared" si="1"/>
        <v>10.81</v>
      </c>
      <c r="G1122" s="17" t="str">
        <f>Github!H$1679</f>
        <v>Algorithms</v>
      </c>
      <c r="H1122" s="19" t="str">
        <f>SUBSTITUTE(Github!L$1679, ";", ", ")</f>
        <v>String, </v>
      </c>
      <c r="I1122" s="17" t="str">
        <f>Github!E$1679</f>
        <v>Easy</v>
      </c>
      <c r="J1122" s="17" t="str">
        <f>IF(TRIM(Github!D$1679)="TRUE","FALSE","TRUE")</f>
        <v>TRUE</v>
      </c>
      <c r="K1122" s="17" t="b">
        <f>Github!M$1679</f>
        <v>0</v>
      </c>
      <c r="L1122" s="17" t="b">
        <f>Github!N$1679</f>
        <v>0</v>
      </c>
      <c r="M1122" s="17" t="str">
        <f>ROUND(Github!O$1679, 2)&amp;"%"</f>
        <v>85.54%</v>
      </c>
      <c r="N1122" s="17">
        <f>Github!P$1679</f>
        <v>94710</v>
      </c>
      <c r="O1122" s="17">
        <f>Github!Q$1679</f>
        <v>110720</v>
      </c>
    </row>
    <row r="1123" ht="18.0" customHeight="1">
      <c r="A1123" s="17">
        <f>Github!J$1139</f>
        <v>1138</v>
      </c>
      <c r="B1123" s="27" t="str">
        <f>HYPERLINK(CONCAT("http://leetcode.com/problems/",Github!C$1139), Github!B$1139)</f>
        <v>Alphabet Board Path</v>
      </c>
      <c r="C1123" s="17">
        <f>Github!F$1139</f>
        <v>622</v>
      </c>
      <c r="D1123" s="17">
        <f>Github!G$1139</f>
        <v>134</v>
      </c>
      <c r="E1123" s="17">
        <f>Github!F$1139+Github!G$1139</f>
        <v>756</v>
      </c>
      <c r="F1123" s="18">
        <f t="shared" si="1"/>
        <v>4.64</v>
      </c>
      <c r="G1123" s="17" t="str">
        <f>Github!H$1139</f>
        <v>Algorithms</v>
      </c>
      <c r="H1123" s="19" t="str">
        <f>SUBSTITUTE(Github!L$1139, ";", ", ")</f>
        <v>Hash Table, String, </v>
      </c>
      <c r="I1123" s="17" t="str">
        <f>Github!E$1139</f>
        <v>Medium</v>
      </c>
      <c r="J1123" s="17" t="str">
        <f>IF(TRIM(Github!D$1139)="TRUE","FALSE","TRUE")</f>
        <v>TRUE</v>
      </c>
      <c r="K1123" s="17" t="b">
        <f>Github!M$1139</f>
        <v>0</v>
      </c>
      <c r="L1123" s="17" t="b">
        <f>Github!N$1139</f>
        <v>0</v>
      </c>
      <c r="M1123" s="17" t="str">
        <f>ROUND(Github!O$1139, 2)&amp;"%"</f>
        <v>52.33%</v>
      </c>
      <c r="N1123" s="17">
        <f>Github!P$1139</f>
        <v>38511</v>
      </c>
      <c r="O1123" s="17">
        <f>Github!Q$1139</f>
        <v>73595</v>
      </c>
    </row>
    <row r="1124" ht="18.0" customHeight="1">
      <c r="A1124" s="17">
        <f>Github!J$1654</f>
        <v>1653</v>
      </c>
      <c r="B1124" s="27" t="str">
        <f>HYPERLINK(CONCAT("http://leetcode.com/problems/",Github!C$1654), Github!B$1654)</f>
        <v>Minimum Deletions to Make String Balanced</v>
      </c>
      <c r="C1124" s="17">
        <f>Github!F$1654</f>
        <v>620</v>
      </c>
      <c r="D1124" s="17">
        <f>Github!G$1654</f>
        <v>16</v>
      </c>
      <c r="E1124" s="17">
        <f>Github!F$1654+Github!G$1654</f>
        <v>636</v>
      </c>
      <c r="F1124" s="18">
        <f t="shared" si="1"/>
        <v>38.75</v>
      </c>
      <c r="G1124" s="17" t="str">
        <f>Github!H$1654</f>
        <v>Algorithms</v>
      </c>
      <c r="H1124" s="19" t="str">
        <f>SUBSTITUTE(Github!L$1654, ";", ", ")</f>
        <v>String, Dynamic Programming, Stack, </v>
      </c>
      <c r="I1124" s="17" t="str">
        <f>Github!E$1654</f>
        <v>Medium</v>
      </c>
      <c r="J1124" s="17" t="str">
        <f>IF(TRIM(Github!D$1654)="TRUE","FALSE","TRUE")</f>
        <v>TRUE</v>
      </c>
      <c r="K1124" s="17" t="b">
        <f>Github!M$1654</f>
        <v>0</v>
      </c>
      <c r="L1124" s="17" t="b">
        <f>Github!N$1654</f>
        <v>0</v>
      </c>
      <c r="M1124" s="17" t="str">
        <f>ROUND(Github!O$1654, 2)&amp;"%"</f>
        <v>55.36%</v>
      </c>
      <c r="N1124" s="17">
        <f>Github!P$1654</f>
        <v>16703</v>
      </c>
      <c r="O1124" s="17">
        <f>Github!Q$1654</f>
        <v>30171</v>
      </c>
    </row>
    <row r="1125" ht="18.0" customHeight="1">
      <c r="A1125" s="17">
        <f>Github!J$1288</f>
        <v>1287</v>
      </c>
      <c r="B1125" s="27" t="str">
        <f>HYPERLINK(CONCAT("http://leetcode.com/problems/",Github!C$1288), Github!B$1288)</f>
        <v>Element Appearing More Than 25% In Sorted Array</v>
      </c>
      <c r="C1125" s="17">
        <f>Github!F$1288</f>
        <v>618</v>
      </c>
      <c r="D1125" s="17">
        <f>Github!G$1288</f>
        <v>35</v>
      </c>
      <c r="E1125" s="17">
        <f>Github!F$1288+Github!G$1288</f>
        <v>653</v>
      </c>
      <c r="F1125" s="18">
        <f t="shared" si="1"/>
        <v>17.66</v>
      </c>
      <c r="G1125" s="17" t="str">
        <f>Github!H$1288</f>
        <v>Algorithms</v>
      </c>
      <c r="H1125" s="19" t="str">
        <f>SUBSTITUTE(Github!L$1288, ";", ", ")</f>
        <v>Array, </v>
      </c>
      <c r="I1125" s="17" t="str">
        <f>Github!E$1288</f>
        <v>Easy</v>
      </c>
      <c r="J1125" s="17" t="str">
        <f>IF(TRIM(Github!D$1288)="TRUE","FALSE","TRUE")</f>
        <v>TRUE</v>
      </c>
      <c r="K1125" s="17" t="b">
        <f>Github!M$1288</f>
        <v>0</v>
      </c>
      <c r="L1125" s="17" t="b">
        <f>Github!N$1288</f>
        <v>0</v>
      </c>
      <c r="M1125" s="17" t="str">
        <f>ROUND(Github!O$1288, 2)&amp;"%"</f>
        <v>59.53%</v>
      </c>
      <c r="N1125" s="17">
        <f>Github!P$1288</f>
        <v>60084</v>
      </c>
      <c r="O1125" s="17">
        <f>Github!Q$1288</f>
        <v>100928</v>
      </c>
    </row>
    <row r="1126" ht="18.0" customHeight="1">
      <c r="A1126" s="17">
        <f>Github!J$1728</f>
        <v>1727</v>
      </c>
      <c r="B1126" s="27" t="str">
        <f>HYPERLINK(CONCAT("http://leetcode.com/problems/",Github!C$1728), Github!B$1728)</f>
        <v>Largest Submatrix With Rearrangements</v>
      </c>
      <c r="C1126" s="17">
        <f>Github!F$1728</f>
        <v>617</v>
      </c>
      <c r="D1126" s="17">
        <f>Github!G$1728</f>
        <v>16</v>
      </c>
      <c r="E1126" s="17">
        <f>Github!F$1728+Github!G$1728</f>
        <v>633</v>
      </c>
      <c r="F1126" s="18">
        <f t="shared" si="1"/>
        <v>38.56</v>
      </c>
      <c r="G1126" s="17" t="str">
        <f>Github!H$1728</f>
        <v>Algorithms</v>
      </c>
      <c r="H1126" s="19" t="str">
        <f>SUBSTITUTE(Github!L$1728, ";", ", ")</f>
        <v>Array, Greedy, Sorting, Matrix, </v>
      </c>
      <c r="I1126" s="17" t="str">
        <f>Github!E$1728</f>
        <v>Medium</v>
      </c>
      <c r="J1126" s="17" t="str">
        <f>IF(TRIM(Github!D$1728)="TRUE","FALSE","TRUE")</f>
        <v>TRUE</v>
      </c>
      <c r="K1126" s="17" t="b">
        <f>Github!M$1728</f>
        <v>0</v>
      </c>
      <c r="L1126" s="17" t="b">
        <f>Github!N$1728</f>
        <v>0</v>
      </c>
      <c r="M1126" s="17" t="str">
        <f>ROUND(Github!O$1728, 2)&amp;"%"</f>
        <v>60.21%</v>
      </c>
      <c r="N1126" s="17">
        <f>Github!P$1728</f>
        <v>11306</v>
      </c>
      <c r="O1126" s="17">
        <f>Github!Q$1728</f>
        <v>18779</v>
      </c>
    </row>
    <row r="1127" ht="18.0" customHeight="1">
      <c r="A1127" s="17">
        <f>Github!J$1554</f>
        <v>1553</v>
      </c>
      <c r="B1127" s="27" t="str">
        <f>HYPERLINK(CONCAT("http://leetcode.com/problems/",Github!C$1554), Github!B$1554)</f>
        <v>Minimum Number of Days to Eat N Oranges</v>
      </c>
      <c r="C1127" s="17">
        <f>Github!F$1554</f>
        <v>616</v>
      </c>
      <c r="D1127" s="17">
        <f>Github!G$1554</f>
        <v>41</v>
      </c>
      <c r="E1127" s="17">
        <f>Github!F$1554+Github!G$1554</f>
        <v>657</v>
      </c>
      <c r="F1127" s="18">
        <f t="shared" si="1"/>
        <v>15.02</v>
      </c>
      <c r="G1127" s="17" t="str">
        <f>Github!H$1554</f>
        <v>Algorithms</v>
      </c>
      <c r="H1127" s="19" t="str">
        <f>SUBSTITUTE(Github!L$1554, ";", ", ")</f>
        <v>Dynamic Programming, Memoization, </v>
      </c>
      <c r="I1127" s="17" t="str">
        <f>Github!E$1554</f>
        <v>Hard</v>
      </c>
      <c r="J1127" s="17" t="str">
        <f>IF(TRIM(Github!D$1554)="TRUE","FALSE","TRUE")</f>
        <v>TRUE</v>
      </c>
      <c r="K1127" s="17" t="b">
        <f>Github!M$1554</f>
        <v>0</v>
      </c>
      <c r="L1127" s="17" t="b">
        <f>Github!N$1554</f>
        <v>0</v>
      </c>
      <c r="M1127" s="17" t="str">
        <f>ROUND(Github!O$1554, 2)&amp;"%"</f>
        <v>32.61%</v>
      </c>
      <c r="N1127" s="17">
        <f>Github!P$1554</f>
        <v>21208</v>
      </c>
      <c r="O1127" s="17">
        <f>Github!Q$1554</f>
        <v>65034</v>
      </c>
    </row>
    <row r="1128" ht="18.0" customHeight="1">
      <c r="A1128" s="17">
        <f>Github!J$1341</f>
        <v>1340</v>
      </c>
      <c r="B1128" s="27" t="str">
        <f>HYPERLINK(CONCAT("http://leetcode.com/problems/",Github!C$1341), Github!B$1341)</f>
        <v>Jump Game V</v>
      </c>
      <c r="C1128" s="17">
        <f>Github!F$1341</f>
        <v>615</v>
      </c>
      <c r="D1128" s="17">
        <f>Github!G$1341</f>
        <v>22</v>
      </c>
      <c r="E1128" s="17">
        <f>Github!F$1341+Github!G$1341</f>
        <v>637</v>
      </c>
      <c r="F1128" s="18">
        <f t="shared" si="1"/>
        <v>27.95</v>
      </c>
      <c r="G1128" s="17" t="str">
        <f>Github!H$1341</f>
        <v>Algorithms</v>
      </c>
      <c r="H1128" s="19" t="str">
        <f>SUBSTITUTE(Github!L$1341, ";", ", ")</f>
        <v>Array, Dynamic Programming, Sorting, </v>
      </c>
      <c r="I1128" s="17" t="str">
        <f>Github!E$1341</f>
        <v>Hard</v>
      </c>
      <c r="J1128" s="17" t="str">
        <f>IF(TRIM(Github!D$1341)="TRUE","FALSE","TRUE")</f>
        <v>TRUE</v>
      </c>
      <c r="K1128" s="17" t="b">
        <f>Github!M$1341</f>
        <v>0</v>
      </c>
      <c r="L1128" s="17" t="b">
        <f>Github!N$1341</f>
        <v>0</v>
      </c>
      <c r="M1128" s="17" t="str">
        <f>ROUND(Github!O$1341, 2)&amp;"%"</f>
        <v>61.95%</v>
      </c>
      <c r="N1128" s="17">
        <f>Github!P$1341</f>
        <v>17928</v>
      </c>
      <c r="O1128" s="17">
        <f>Github!Q$1341</f>
        <v>28939</v>
      </c>
    </row>
    <row r="1129" ht="18.0" customHeight="1">
      <c r="A1129" s="17">
        <f>Github!J$1530</f>
        <v>1529</v>
      </c>
      <c r="B1129" s="27" t="str">
        <f>HYPERLINK(CONCAT("http://leetcode.com/problems/",Github!C$1530), Github!B$1530)</f>
        <v>Minimum Suffix Flips</v>
      </c>
      <c r="C1129" s="17">
        <f>Github!F$1530</f>
        <v>611</v>
      </c>
      <c r="D1129" s="17">
        <f>Github!G$1530</f>
        <v>30</v>
      </c>
      <c r="E1129" s="17">
        <f>Github!F$1530+Github!G$1530</f>
        <v>641</v>
      </c>
      <c r="F1129" s="18">
        <f t="shared" si="1"/>
        <v>20.37</v>
      </c>
      <c r="G1129" s="17" t="str">
        <f>Github!H$1530</f>
        <v>Algorithms</v>
      </c>
      <c r="H1129" s="19" t="str">
        <f>SUBSTITUTE(Github!L$1530, ";", ", ")</f>
        <v>String, Greedy, </v>
      </c>
      <c r="I1129" s="17" t="str">
        <f>Github!E$1530</f>
        <v>Medium</v>
      </c>
      <c r="J1129" s="17" t="str">
        <f>IF(TRIM(Github!D$1530)="TRUE","FALSE","TRUE")</f>
        <v>TRUE</v>
      </c>
      <c r="K1129" s="17" t="b">
        <f>Github!M$1530</f>
        <v>0</v>
      </c>
      <c r="L1129" s="17" t="b">
        <f>Github!N$1530</f>
        <v>0</v>
      </c>
      <c r="M1129" s="17" t="str">
        <f>ROUND(Github!O$1530, 2)&amp;"%"</f>
        <v>72.42%</v>
      </c>
      <c r="N1129" s="17">
        <f>Github!P$1530</f>
        <v>31431</v>
      </c>
      <c r="O1129" s="17">
        <f>Github!Q$1530</f>
        <v>43402</v>
      </c>
    </row>
    <row r="1130" ht="18.0" customHeight="1">
      <c r="A1130" s="17">
        <f>Github!J$1420</f>
        <v>1419</v>
      </c>
      <c r="B1130" s="27" t="str">
        <f>HYPERLINK(CONCAT("http://leetcode.com/problems/",Github!C$1420), Github!B$1420)</f>
        <v>Minimum Number of Frogs Croaking</v>
      </c>
      <c r="C1130" s="17">
        <f>Github!F$1420</f>
        <v>612</v>
      </c>
      <c r="D1130" s="17">
        <f>Github!G$1420</f>
        <v>38</v>
      </c>
      <c r="E1130" s="17">
        <f>Github!F$1420+Github!G$1420</f>
        <v>650</v>
      </c>
      <c r="F1130" s="18">
        <f t="shared" si="1"/>
        <v>16.11</v>
      </c>
      <c r="G1130" s="17" t="str">
        <f>Github!H$1420</f>
        <v>Algorithms</v>
      </c>
      <c r="H1130" s="19" t="str">
        <f>SUBSTITUTE(Github!L$1420, ";", ", ")</f>
        <v>String, Counting, </v>
      </c>
      <c r="I1130" s="17" t="str">
        <f>Github!E$1420</f>
        <v>Medium</v>
      </c>
      <c r="J1130" s="17" t="str">
        <f>IF(TRIM(Github!D$1420)="TRUE","FALSE","TRUE")</f>
        <v>TRUE</v>
      </c>
      <c r="K1130" s="17" t="b">
        <f>Github!M$1420</f>
        <v>0</v>
      </c>
      <c r="L1130" s="17" t="b">
        <f>Github!N$1420</f>
        <v>0</v>
      </c>
      <c r="M1130" s="17" t="str">
        <f>ROUND(Github!O$1420, 2)&amp;"%"</f>
        <v>49.59%</v>
      </c>
      <c r="N1130" s="17">
        <f>Github!P$1420</f>
        <v>24324</v>
      </c>
      <c r="O1130" s="17">
        <f>Github!Q$1420</f>
        <v>49046</v>
      </c>
    </row>
    <row r="1131" ht="18.0" customHeight="1">
      <c r="A1131" s="17">
        <f>Github!J$1902</f>
        <v>1901</v>
      </c>
      <c r="B1131" s="27" t="str">
        <f>HYPERLINK(CONCAT("http://leetcode.com/problems/",Github!C$1902), Github!B$1902)</f>
        <v>Find a Peak Element II</v>
      </c>
      <c r="C1131" s="17">
        <f>Github!F$1902</f>
        <v>612</v>
      </c>
      <c r="D1131" s="17">
        <f>Github!G$1902</f>
        <v>48</v>
      </c>
      <c r="E1131" s="17">
        <f>Github!F$1902+Github!G$1902</f>
        <v>660</v>
      </c>
      <c r="F1131" s="18">
        <f t="shared" si="1"/>
        <v>12.75</v>
      </c>
      <c r="G1131" s="17" t="str">
        <f>Github!H$1902</f>
        <v>Algorithms</v>
      </c>
      <c r="H1131" s="19" t="str">
        <f>SUBSTITUTE(Github!L$1902, ";", ", ")</f>
        <v>Array, Binary Search, Divide and Conquer, Matrix, </v>
      </c>
      <c r="I1131" s="17" t="str">
        <f>Github!E$1902</f>
        <v>Medium</v>
      </c>
      <c r="J1131" s="17" t="str">
        <f>IF(TRIM(Github!D$1902)="TRUE","FALSE","TRUE")</f>
        <v>TRUE</v>
      </c>
      <c r="K1131" s="17" t="b">
        <f>Github!M$1902</f>
        <v>0</v>
      </c>
      <c r="L1131" s="17" t="b">
        <f>Github!N$1902</f>
        <v>0</v>
      </c>
      <c r="M1131" s="17" t="str">
        <f>ROUND(Github!O$1902, 2)&amp;"%"</f>
        <v>53.57%</v>
      </c>
      <c r="N1131" s="17">
        <f>Github!P$1902</f>
        <v>16279</v>
      </c>
      <c r="O1131" s="17">
        <f>Github!Q$1902</f>
        <v>30392</v>
      </c>
    </row>
    <row r="1132" ht="18.0" customHeight="1">
      <c r="A1132" s="17">
        <f>Github!J$1230</f>
        <v>1229</v>
      </c>
      <c r="B1132" s="27" t="str">
        <f>HYPERLINK(CONCAT("http://leetcode.com/problems/",Github!C$1230), Github!B$1230)</f>
        <v>Meeting Scheduler</v>
      </c>
      <c r="C1132" s="17">
        <f>Github!F$1230</f>
        <v>608</v>
      </c>
      <c r="D1132" s="17">
        <f>Github!G$1230</f>
        <v>25</v>
      </c>
      <c r="E1132" s="17">
        <f>Github!F$1230+Github!G$1230</f>
        <v>633</v>
      </c>
      <c r="F1132" s="18">
        <f t="shared" si="1"/>
        <v>24.32</v>
      </c>
      <c r="G1132" s="17" t="str">
        <f>Github!H$1230</f>
        <v>Algorithms</v>
      </c>
      <c r="H1132" s="19" t="str">
        <f>SUBSTITUTE(Github!L$1230, ";", ", ")</f>
        <v>Array, Two Pointers, Sorting, </v>
      </c>
      <c r="I1132" s="17" t="str">
        <f>Github!E$1230</f>
        <v>Medium</v>
      </c>
      <c r="J1132" s="17" t="str">
        <f>IF(TRIM(Github!D$1230)="TRUE","FALSE","TRUE")</f>
        <v>FALSE</v>
      </c>
      <c r="K1132" s="17" t="b">
        <f>Github!M$1230</f>
        <v>1</v>
      </c>
      <c r="L1132" s="17" t="b">
        <f>Github!N$1230</f>
        <v>0</v>
      </c>
      <c r="M1132" s="17" t="str">
        <f>ROUND(Github!O$1230, 2)&amp;"%"</f>
        <v>54.62%</v>
      </c>
      <c r="N1132" s="17">
        <f>Github!P$1230</f>
        <v>49584</v>
      </c>
      <c r="O1132" s="17">
        <f>Github!Q$1230</f>
        <v>90788</v>
      </c>
    </row>
    <row r="1133" ht="18.0" customHeight="1">
      <c r="A1133" s="17">
        <f>Github!J$831</f>
        <v>830</v>
      </c>
      <c r="B1133" s="27" t="str">
        <f>HYPERLINK(CONCAT("http://leetcode.com/problems/",Github!C$831), Github!B$831)</f>
        <v>Positions of Large Groups</v>
      </c>
      <c r="C1133" s="17">
        <f>Github!F$831</f>
        <v>606</v>
      </c>
      <c r="D1133" s="17">
        <f>Github!G$831</f>
        <v>111</v>
      </c>
      <c r="E1133" s="17">
        <f>Github!F$831+Github!G$831</f>
        <v>717</v>
      </c>
      <c r="F1133" s="18">
        <f t="shared" si="1"/>
        <v>5.46</v>
      </c>
      <c r="G1133" s="17" t="str">
        <f>Github!H$831</f>
        <v>Algorithms</v>
      </c>
      <c r="H1133" s="19" t="str">
        <f>SUBSTITUTE(Github!L$831, ";", ", ")</f>
        <v>String, </v>
      </c>
      <c r="I1133" s="17" t="str">
        <f>Github!E$831</f>
        <v>Easy</v>
      </c>
      <c r="J1133" s="17" t="str">
        <f>IF(TRIM(Github!D$831)="TRUE","FALSE","TRUE")</f>
        <v>TRUE</v>
      </c>
      <c r="K1133" s="17" t="b">
        <f>Github!M$831</f>
        <v>1</v>
      </c>
      <c r="L1133" s="17" t="b">
        <f>Github!N$831</f>
        <v>0</v>
      </c>
      <c r="M1133" s="17" t="str">
        <f>ROUND(Github!O$831, 2)&amp;"%"</f>
        <v>51.31%</v>
      </c>
      <c r="N1133" s="17">
        <f>Github!P$831</f>
        <v>69258</v>
      </c>
      <c r="O1133" s="17">
        <f>Github!Q$831</f>
        <v>134971</v>
      </c>
    </row>
    <row r="1134" ht="18.0" customHeight="1">
      <c r="A1134" s="17">
        <f>Github!J$1209</f>
        <v>1208</v>
      </c>
      <c r="B1134" s="27" t="str">
        <f>HYPERLINK(CONCAT("http://leetcode.com/problems/",Github!C$1209), Github!B$1209)</f>
        <v>Get Equal Substrings Within Budget</v>
      </c>
      <c r="C1134" s="17">
        <f>Github!F$1209</f>
        <v>606</v>
      </c>
      <c r="D1134" s="17">
        <f>Github!G$1209</f>
        <v>42</v>
      </c>
      <c r="E1134" s="17">
        <f>Github!F$1209+Github!G$1209</f>
        <v>648</v>
      </c>
      <c r="F1134" s="18">
        <f t="shared" si="1"/>
        <v>14.43</v>
      </c>
      <c r="G1134" s="17" t="str">
        <f>Github!H$1209</f>
        <v>Algorithms</v>
      </c>
      <c r="H1134" s="19" t="str">
        <f>SUBSTITUTE(Github!L$1209, ";", ", ")</f>
        <v>String, Binary Search, Sliding Window, Prefix Sum, </v>
      </c>
      <c r="I1134" s="17" t="str">
        <f>Github!E$1209</f>
        <v>Medium</v>
      </c>
      <c r="J1134" s="17" t="str">
        <f>IF(TRIM(Github!D$1209)="TRUE","FALSE","TRUE")</f>
        <v>TRUE</v>
      </c>
      <c r="K1134" s="17" t="b">
        <f>Github!M$1209</f>
        <v>0</v>
      </c>
      <c r="L1134" s="17" t="b">
        <f>Github!N$1209</f>
        <v>0</v>
      </c>
      <c r="M1134" s="17" t="str">
        <f>ROUND(Github!O$1209, 2)&amp;"%"</f>
        <v>46.33%</v>
      </c>
      <c r="N1134" s="17">
        <f>Github!P$1209</f>
        <v>27807</v>
      </c>
      <c r="O1134" s="17">
        <f>Github!Q$1209</f>
        <v>60015</v>
      </c>
    </row>
    <row r="1135" ht="18.0" customHeight="1">
      <c r="A1135" s="17">
        <f>Github!J$1639</f>
        <v>1638</v>
      </c>
      <c r="B1135" s="27" t="str">
        <f>HYPERLINK(CONCAT("http://leetcode.com/problems/",Github!C$1639), Github!B$1639)</f>
        <v>Count Substrings That Differ by One Character</v>
      </c>
      <c r="C1135" s="17">
        <f>Github!F$1639</f>
        <v>608</v>
      </c>
      <c r="D1135" s="17">
        <f>Github!G$1639</f>
        <v>235</v>
      </c>
      <c r="E1135" s="17">
        <f>Github!F$1639+Github!G$1639</f>
        <v>843</v>
      </c>
      <c r="F1135" s="18">
        <f t="shared" si="1"/>
        <v>2.59</v>
      </c>
      <c r="G1135" s="17" t="str">
        <f>Github!H$1639</f>
        <v>Algorithms</v>
      </c>
      <c r="H1135" s="19" t="str">
        <f>SUBSTITUTE(Github!L$1639, ";", ", ")</f>
        <v>Hash Table, String, Dynamic Programming, </v>
      </c>
      <c r="I1135" s="17" t="str">
        <f>Github!E$1639</f>
        <v>Medium</v>
      </c>
      <c r="J1135" s="17" t="str">
        <f>IF(TRIM(Github!D$1639)="TRUE","FALSE","TRUE")</f>
        <v>TRUE</v>
      </c>
      <c r="K1135" s="17" t="b">
        <f>Github!M$1639</f>
        <v>0</v>
      </c>
      <c r="L1135" s="17" t="b">
        <f>Github!N$1639</f>
        <v>0</v>
      </c>
      <c r="M1135" s="17" t="str">
        <f>ROUND(Github!O$1639, 2)&amp;"%"</f>
        <v>72.1%</v>
      </c>
      <c r="N1135" s="17">
        <f>Github!P$1639</f>
        <v>16222</v>
      </c>
      <c r="O1135" s="17">
        <f>Github!Q$1639</f>
        <v>22500</v>
      </c>
    </row>
    <row r="1136" ht="18.0" customHeight="1">
      <c r="A1136" s="17">
        <f>Github!J$914</f>
        <v>913</v>
      </c>
      <c r="B1136" s="27" t="str">
        <f>HYPERLINK(CONCAT("http://leetcode.com/problems/",Github!C$914), Github!B$914)</f>
        <v>Cat and Mouse</v>
      </c>
      <c r="C1136" s="17">
        <f>Github!F$914</f>
        <v>604</v>
      </c>
      <c r="D1136" s="17">
        <f>Github!G$914</f>
        <v>107</v>
      </c>
      <c r="E1136" s="17">
        <f>Github!F$914+Github!G$914</f>
        <v>711</v>
      </c>
      <c r="F1136" s="18">
        <f t="shared" si="1"/>
        <v>5.64</v>
      </c>
      <c r="G1136" s="17" t="str">
        <f>Github!H$914</f>
        <v>Algorithms</v>
      </c>
      <c r="H1136" s="19" t="str">
        <f>SUBSTITUTE(Github!L$914, ";", ", ")</f>
        <v>Math, Dynamic Programming, Breadth-First Search, Graph, Memoization, Game Theory, </v>
      </c>
      <c r="I1136" s="17" t="str">
        <f>Github!E$914</f>
        <v>Hard</v>
      </c>
      <c r="J1136" s="17" t="str">
        <f>IF(TRIM(Github!D$914)="TRUE","FALSE","TRUE")</f>
        <v>TRUE</v>
      </c>
      <c r="K1136" s="17" t="b">
        <f>Github!M$914</f>
        <v>1</v>
      </c>
      <c r="L1136" s="17" t="b">
        <f>Github!N$914</f>
        <v>0</v>
      </c>
      <c r="M1136" s="17" t="str">
        <f>ROUND(Github!O$914, 2)&amp;"%"</f>
        <v>35.07%</v>
      </c>
      <c r="N1136" s="17">
        <f>Github!P$914</f>
        <v>14012</v>
      </c>
      <c r="O1136" s="17">
        <f>Github!Q$914</f>
        <v>39955</v>
      </c>
    </row>
    <row r="1137" ht="18.0" customHeight="1">
      <c r="A1137" s="17">
        <f>Github!J$353</f>
        <v>352</v>
      </c>
      <c r="B1137" s="27" t="str">
        <f>HYPERLINK(CONCAT("http://leetcode.com/problems/",Github!C$353), Github!B$353)</f>
        <v>Data Stream as Disjoint Intervals</v>
      </c>
      <c r="C1137" s="17">
        <f>Github!F$353</f>
        <v>602</v>
      </c>
      <c r="D1137" s="17">
        <f>Github!G$353</f>
        <v>154</v>
      </c>
      <c r="E1137" s="17">
        <f>Github!F$353+Github!G$353</f>
        <v>756</v>
      </c>
      <c r="F1137" s="18">
        <f t="shared" si="1"/>
        <v>3.91</v>
      </c>
      <c r="G1137" s="17" t="str">
        <f>Github!H$353</f>
        <v>Algorithms</v>
      </c>
      <c r="H1137" s="19" t="str">
        <f>SUBSTITUTE(Github!L$353, ";", ", ")</f>
        <v>Binary Search, Design, Ordered Set, </v>
      </c>
      <c r="I1137" s="17" t="str">
        <f>Github!E$353</f>
        <v>Hard</v>
      </c>
      <c r="J1137" s="17" t="str">
        <f>IF(TRIM(Github!D$353)="TRUE","FALSE","TRUE")</f>
        <v>TRUE</v>
      </c>
      <c r="K1137" s="17" t="b">
        <f>Github!M$353</f>
        <v>0</v>
      </c>
      <c r="L1137" s="17" t="b">
        <f>Github!N$353</f>
        <v>0</v>
      </c>
      <c r="M1137" s="17" t="str">
        <f>ROUND(Github!O$353, 2)&amp;"%"</f>
        <v>50.38%</v>
      </c>
      <c r="N1137" s="17">
        <f>Github!P$353</f>
        <v>49731</v>
      </c>
      <c r="O1137" s="17">
        <f>Github!Q$353</f>
        <v>98704</v>
      </c>
    </row>
    <row r="1138" ht="18.0" customHeight="1">
      <c r="A1138" s="17">
        <f>Github!J$1256</f>
        <v>1255</v>
      </c>
      <c r="B1138" s="27" t="str">
        <f>HYPERLINK(CONCAT("http://leetcode.com/problems/",Github!C$1256), Github!B$1256)</f>
        <v>Maximum Score Words Formed by Letters</v>
      </c>
      <c r="C1138" s="17">
        <f>Github!F$1256</f>
        <v>599</v>
      </c>
      <c r="D1138" s="17">
        <f>Github!G$1256</f>
        <v>36</v>
      </c>
      <c r="E1138" s="17">
        <f>Github!F$1256+Github!G$1256</f>
        <v>635</v>
      </c>
      <c r="F1138" s="18">
        <f t="shared" si="1"/>
        <v>16.64</v>
      </c>
      <c r="G1138" s="17" t="str">
        <f>Github!H$1256</f>
        <v>Algorithms</v>
      </c>
      <c r="H1138" s="19" t="str">
        <f>SUBSTITUTE(Github!L$1256, ";", ", ")</f>
        <v>Array, String, Dynamic Programming, Backtracking, Bit Manipulation, Bitmask, </v>
      </c>
      <c r="I1138" s="17" t="str">
        <f>Github!E$1256</f>
        <v>Hard</v>
      </c>
      <c r="J1138" s="17" t="str">
        <f>IF(TRIM(Github!D$1256)="TRUE","FALSE","TRUE")</f>
        <v>TRUE</v>
      </c>
      <c r="K1138" s="17" t="b">
        <f>Github!M$1256</f>
        <v>0</v>
      </c>
      <c r="L1138" s="17" t="b">
        <f>Github!N$1256</f>
        <v>0</v>
      </c>
      <c r="M1138" s="17" t="str">
        <f>ROUND(Github!O$1256, 2)&amp;"%"</f>
        <v>71.93%</v>
      </c>
      <c r="N1138" s="17">
        <f>Github!P$1256</f>
        <v>20197</v>
      </c>
      <c r="O1138" s="17">
        <f>Github!Q$1256</f>
        <v>28078</v>
      </c>
    </row>
    <row r="1139" ht="18.0" customHeight="1">
      <c r="A1139" s="17">
        <f>Github!J$1393</f>
        <v>1392</v>
      </c>
      <c r="B1139" s="27" t="str">
        <f>HYPERLINK(CONCAT("http://leetcode.com/problems/",Github!C$1393), Github!B$1393)</f>
        <v>Longest Happy Prefix</v>
      </c>
      <c r="C1139" s="17">
        <f>Github!F$1393</f>
        <v>599</v>
      </c>
      <c r="D1139" s="17">
        <f>Github!G$1393</f>
        <v>23</v>
      </c>
      <c r="E1139" s="17">
        <f>Github!F$1393+Github!G$1393</f>
        <v>622</v>
      </c>
      <c r="F1139" s="18">
        <f t="shared" si="1"/>
        <v>26.04</v>
      </c>
      <c r="G1139" s="17" t="str">
        <f>Github!H$1393</f>
        <v>Algorithms</v>
      </c>
      <c r="H1139" s="19" t="str">
        <f>SUBSTITUTE(Github!L$1393, ";", ", ")</f>
        <v>String, Rolling Hash, String Matching, Hash Function, </v>
      </c>
      <c r="I1139" s="17" t="str">
        <f>Github!E$1393</f>
        <v>Hard</v>
      </c>
      <c r="J1139" s="17" t="str">
        <f>IF(TRIM(Github!D$1393)="TRUE","FALSE","TRUE")</f>
        <v>TRUE</v>
      </c>
      <c r="K1139" s="17" t="b">
        <f>Github!M$1393</f>
        <v>0</v>
      </c>
      <c r="L1139" s="17" t="b">
        <f>Github!N$1393</f>
        <v>0</v>
      </c>
      <c r="M1139" s="17" t="str">
        <f>ROUND(Github!O$1393, 2)&amp;"%"</f>
        <v>44.26%</v>
      </c>
      <c r="N1139" s="17">
        <f>Github!P$1393</f>
        <v>19222</v>
      </c>
      <c r="O1139" s="17">
        <f>Github!Q$1393</f>
        <v>43430</v>
      </c>
    </row>
    <row r="1140" ht="18.0" customHeight="1">
      <c r="A1140" s="17">
        <f>Github!J$1889</f>
        <v>1888</v>
      </c>
      <c r="B1140" s="27" t="str">
        <f>HYPERLINK(CONCAT("http://leetcode.com/problems/",Github!C$1889), Github!B$1889)</f>
        <v>Minimum Number of Flips to Make the Binary String Alternating</v>
      </c>
      <c r="C1140" s="17">
        <f>Github!F$1889</f>
        <v>597</v>
      </c>
      <c r="D1140" s="17">
        <f>Github!G$1889</f>
        <v>18</v>
      </c>
      <c r="E1140" s="17">
        <f>Github!F$1889+Github!G$1889</f>
        <v>615</v>
      </c>
      <c r="F1140" s="18">
        <f t="shared" si="1"/>
        <v>33.17</v>
      </c>
      <c r="G1140" s="17" t="str">
        <f>Github!H$1889</f>
        <v>Algorithms</v>
      </c>
      <c r="H1140" s="19" t="str">
        <f>SUBSTITUTE(Github!L$1889, ";", ", ")</f>
        <v>String, Greedy, </v>
      </c>
      <c r="I1140" s="17" t="str">
        <f>Github!E$1889</f>
        <v>Medium</v>
      </c>
      <c r="J1140" s="17" t="str">
        <f>IF(TRIM(Github!D$1889)="TRUE","FALSE","TRUE")</f>
        <v>TRUE</v>
      </c>
      <c r="K1140" s="17" t="b">
        <f>Github!M$1889</f>
        <v>0</v>
      </c>
      <c r="L1140" s="17" t="b">
        <f>Github!N$1889</f>
        <v>0</v>
      </c>
      <c r="M1140" s="17" t="str">
        <f>ROUND(Github!O$1889, 2)&amp;"%"</f>
        <v>36.69%</v>
      </c>
      <c r="N1140" s="17">
        <f>Github!P$1889</f>
        <v>11258</v>
      </c>
      <c r="O1140" s="17">
        <f>Github!Q$1889</f>
        <v>30685</v>
      </c>
    </row>
    <row r="1141" ht="18.0" customHeight="1">
      <c r="A1141" s="17">
        <f>Github!J$1912</f>
        <v>1911</v>
      </c>
      <c r="B1141" s="27" t="str">
        <f>HYPERLINK(CONCAT("http://leetcode.com/problems/",Github!C$1912), Github!B$1912)</f>
        <v>Maximum Alternating Subsequence Sum</v>
      </c>
      <c r="C1141" s="17">
        <f>Github!F$1912</f>
        <v>599</v>
      </c>
      <c r="D1141" s="17">
        <f>Github!G$1912</f>
        <v>10</v>
      </c>
      <c r="E1141" s="17">
        <f>Github!F$1912+Github!G$1912</f>
        <v>609</v>
      </c>
      <c r="F1141" s="18">
        <f t="shared" si="1"/>
        <v>59.9</v>
      </c>
      <c r="G1141" s="17" t="str">
        <f>Github!H$1912</f>
        <v>Algorithms</v>
      </c>
      <c r="H1141" s="19" t="str">
        <f>SUBSTITUTE(Github!L$1912, ";", ", ")</f>
        <v>Array, Dynamic Programming, </v>
      </c>
      <c r="I1141" s="17" t="str">
        <f>Github!E$1912</f>
        <v>Medium</v>
      </c>
      <c r="J1141" s="17" t="str">
        <f>IF(TRIM(Github!D$1912)="TRUE","FALSE","TRUE")</f>
        <v>TRUE</v>
      </c>
      <c r="K1141" s="17" t="b">
        <f>Github!M$1912</f>
        <v>0</v>
      </c>
      <c r="L1141" s="17" t="b">
        <f>Github!N$1912</f>
        <v>0</v>
      </c>
      <c r="M1141" s="17" t="str">
        <f>ROUND(Github!O$1912, 2)&amp;"%"</f>
        <v>58.77%</v>
      </c>
      <c r="N1141" s="17">
        <f>Github!P$1912</f>
        <v>14289</v>
      </c>
      <c r="O1141" s="17">
        <f>Github!Q$1912</f>
        <v>24315</v>
      </c>
    </row>
    <row r="1142" ht="18.0" customHeight="1">
      <c r="A1142" s="17">
        <f>Github!J$1264</f>
        <v>1263</v>
      </c>
      <c r="B1142" s="27" t="str">
        <f>HYPERLINK(CONCAT("http://leetcode.com/problems/",Github!C$1264), Github!B$1264)</f>
        <v>Minimum Moves to Move a Box to Their Target Location</v>
      </c>
      <c r="C1142" s="17">
        <f>Github!F$1264</f>
        <v>599</v>
      </c>
      <c r="D1142" s="17">
        <f>Github!G$1264</f>
        <v>45</v>
      </c>
      <c r="E1142" s="17">
        <f>Github!F$1264+Github!G$1264</f>
        <v>644</v>
      </c>
      <c r="F1142" s="18">
        <f t="shared" si="1"/>
        <v>13.31</v>
      </c>
      <c r="G1142" s="17" t="str">
        <f>Github!H$1264</f>
        <v>Algorithms</v>
      </c>
      <c r="H1142" s="19" t="str">
        <f>SUBSTITUTE(Github!L$1264, ";", ", ")</f>
        <v>Array, Breadth-First Search, Heap (Priority Queue), Matrix, </v>
      </c>
      <c r="I1142" s="17" t="str">
        <f>Github!E$1264</f>
        <v>Hard</v>
      </c>
      <c r="J1142" s="17" t="str">
        <f>IF(TRIM(Github!D$1264)="TRUE","FALSE","TRUE")</f>
        <v>TRUE</v>
      </c>
      <c r="K1142" s="17" t="b">
        <f>Github!M$1264</f>
        <v>0</v>
      </c>
      <c r="L1142" s="17" t="b">
        <f>Github!N$1264</f>
        <v>0</v>
      </c>
      <c r="M1142" s="17" t="str">
        <f>ROUND(Github!O$1264, 2)&amp;"%"</f>
        <v>48.27%</v>
      </c>
      <c r="N1142" s="17">
        <f>Github!P$1264</f>
        <v>20104</v>
      </c>
      <c r="O1142" s="17">
        <f>Github!Q$1264</f>
        <v>41649</v>
      </c>
    </row>
    <row r="1143" ht="18.0" customHeight="1">
      <c r="A1143" s="17">
        <f>Github!J$1542</f>
        <v>1541</v>
      </c>
      <c r="B1143" s="27" t="str">
        <f>HYPERLINK(CONCAT("http://leetcode.com/problems/",Github!C$1542), Github!B$1542)</f>
        <v>Minimum Insertions to Balance a Parentheses String</v>
      </c>
      <c r="C1143" s="17">
        <f>Github!F$1542</f>
        <v>596</v>
      </c>
      <c r="D1143" s="17">
        <f>Github!G$1542</f>
        <v>122</v>
      </c>
      <c r="E1143" s="17">
        <f>Github!F$1542+Github!G$1542</f>
        <v>718</v>
      </c>
      <c r="F1143" s="18">
        <f t="shared" si="1"/>
        <v>4.89</v>
      </c>
      <c r="G1143" s="17" t="str">
        <f>Github!H$1542</f>
        <v>Algorithms</v>
      </c>
      <c r="H1143" s="19" t="str">
        <f>SUBSTITUTE(Github!L$1542, ";", ", ")</f>
        <v>String, Stack, Greedy, </v>
      </c>
      <c r="I1143" s="17" t="str">
        <f>Github!E$1542</f>
        <v>Medium</v>
      </c>
      <c r="J1143" s="17" t="str">
        <f>IF(TRIM(Github!D$1542)="TRUE","FALSE","TRUE")</f>
        <v>TRUE</v>
      </c>
      <c r="K1143" s="17" t="b">
        <f>Github!M$1542</f>
        <v>0</v>
      </c>
      <c r="L1143" s="17" t="b">
        <f>Github!N$1542</f>
        <v>0</v>
      </c>
      <c r="M1143" s="17" t="str">
        <f>ROUND(Github!O$1542, 2)&amp;"%"</f>
        <v>48.96%</v>
      </c>
      <c r="N1143" s="17">
        <f>Github!P$1542</f>
        <v>26541</v>
      </c>
      <c r="O1143" s="17">
        <f>Github!Q$1542</f>
        <v>54215</v>
      </c>
    </row>
    <row r="1144" ht="18.0" customHeight="1">
      <c r="A1144" s="17">
        <f>Github!J$1610</f>
        <v>1609</v>
      </c>
      <c r="B1144" s="27" t="str">
        <f>HYPERLINK(CONCAT("http://leetcode.com/problems/",Github!C$1610), Github!B$1610)</f>
        <v>Even Odd Tree</v>
      </c>
      <c r="C1144" s="17">
        <f>Github!F$1610</f>
        <v>596</v>
      </c>
      <c r="D1144" s="17">
        <f>Github!G$1610</f>
        <v>36</v>
      </c>
      <c r="E1144" s="17">
        <f>Github!F$1610+Github!G$1610</f>
        <v>632</v>
      </c>
      <c r="F1144" s="18">
        <f t="shared" si="1"/>
        <v>16.56</v>
      </c>
      <c r="G1144" s="17" t="str">
        <f>Github!H$1610</f>
        <v>Algorithms</v>
      </c>
      <c r="H1144" s="19" t="str">
        <f>SUBSTITUTE(Github!L$1610, ";", ", ")</f>
        <v>Tree, Breadth-First Search, Binary Tree, </v>
      </c>
      <c r="I1144" s="17" t="str">
        <f>Github!E$1610</f>
        <v>Medium</v>
      </c>
      <c r="J1144" s="17" t="str">
        <f>IF(TRIM(Github!D$1610)="TRUE","FALSE","TRUE")</f>
        <v>TRUE</v>
      </c>
      <c r="K1144" s="17" t="b">
        <f>Github!M$1610</f>
        <v>0</v>
      </c>
      <c r="L1144" s="17" t="b">
        <f>Github!N$1610</f>
        <v>0</v>
      </c>
      <c r="M1144" s="17" t="str">
        <f>ROUND(Github!O$1610, 2)&amp;"%"</f>
        <v>52.91%</v>
      </c>
      <c r="N1144" s="17">
        <f>Github!P$1610</f>
        <v>30200</v>
      </c>
      <c r="O1144" s="17">
        <f>Github!Q$1610</f>
        <v>57077</v>
      </c>
    </row>
    <row r="1145" ht="18.0" customHeight="1">
      <c r="A1145" s="17">
        <f>Github!J$1395</f>
        <v>1394</v>
      </c>
      <c r="B1145" s="27" t="str">
        <f>HYPERLINK(CONCAT("http://leetcode.com/problems/",Github!C$1395), Github!B$1395)</f>
        <v>Find Lucky Integer in an Array</v>
      </c>
      <c r="C1145" s="17">
        <f>Github!F$1395</f>
        <v>595</v>
      </c>
      <c r="D1145" s="17">
        <f>Github!G$1395</f>
        <v>19</v>
      </c>
      <c r="E1145" s="17">
        <f>Github!F$1395+Github!G$1395</f>
        <v>614</v>
      </c>
      <c r="F1145" s="18">
        <f t="shared" si="1"/>
        <v>31.32</v>
      </c>
      <c r="G1145" s="17" t="str">
        <f>Github!H$1395</f>
        <v>Algorithms</v>
      </c>
      <c r="H1145" s="19" t="str">
        <f>SUBSTITUTE(Github!L$1395, ";", ", ")</f>
        <v>Array, Hash Table, Counting, </v>
      </c>
      <c r="I1145" s="17" t="str">
        <f>Github!E$1395</f>
        <v>Easy</v>
      </c>
      <c r="J1145" s="17" t="str">
        <f>IF(TRIM(Github!D$1395)="TRUE","FALSE","TRUE")</f>
        <v>TRUE</v>
      </c>
      <c r="K1145" s="17" t="b">
        <f>Github!M$1395</f>
        <v>1</v>
      </c>
      <c r="L1145" s="17" t="b">
        <f>Github!N$1395</f>
        <v>0</v>
      </c>
      <c r="M1145" s="17" t="str">
        <f>ROUND(Github!O$1395, 2)&amp;"%"</f>
        <v>63.55%</v>
      </c>
      <c r="N1145" s="17">
        <f>Github!P$1395</f>
        <v>66203</v>
      </c>
      <c r="O1145" s="17">
        <f>Github!Q$1395</f>
        <v>104182</v>
      </c>
    </row>
    <row r="1146" ht="18.0" customHeight="1">
      <c r="A1146" s="17">
        <f>Github!J$625</f>
        <v>624</v>
      </c>
      <c r="B1146" s="27" t="str">
        <f>HYPERLINK(CONCAT("http://leetcode.com/problems/",Github!C$625), Github!B$625)</f>
        <v>Maximum Distance in Arrays</v>
      </c>
      <c r="C1146" s="17">
        <f>Github!F$625</f>
        <v>591</v>
      </c>
      <c r="D1146" s="17">
        <f>Github!G$625</f>
        <v>61</v>
      </c>
      <c r="E1146" s="17">
        <f>Github!F$625+Github!G$625</f>
        <v>652</v>
      </c>
      <c r="F1146" s="18">
        <f t="shared" si="1"/>
        <v>9.69</v>
      </c>
      <c r="G1146" s="17" t="str">
        <f>Github!H$625</f>
        <v>Algorithms</v>
      </c>
      <c r="H1146" s="19" t="str">
        <f>SUBSTITUTE(Github!L$625, ";", ", ")</f>
        <v>Array, Greedy, </v>
      </c>
      <c r="I1146" s="17" t="str">
        <f>Github!E$625</f>
        <v>Medium</v>
      </c>
      <c r="J1146" s="17" t="str">
        <f>IF(TRIM(Github!D$625)="TRUE","FALSE","TRUE")</f>
        <v>FALSE</v>
      </c>
      <c r="K1146" s="17" t="b">
        <f>Github!M$625</f>
        <v>1</v>
      </c>
      <c r="L1146" s="17" t="b">
        <f>Github!N$625</f>
        <v>0</v>
      </c>
      <c r="M1146" s="17" t="str">
        <f>ROUND(Github!O$625, 2)&amp;"%"</f>
        <v>41.52%</v>
      </c>
      <c r="N1146" s="17">
        <f>Github!P$625</f>
        <v>35371</v>
      </c>
      <c r="O1146" s="17">
        <f>Github!Q$625</f>
        <v>85193</v>
      </c>
    </row>
    <row r="1147" ht="18.0" customHeight="1">
      <c r="A1147" s="17">
        <f>Github!J$1744</f>
        <v>1743</v>
      </c>
      <c r="B1147" s="27" t="str">
        <f>HYPERLINK(CONCAT("http://leetcode.com/problems/",Github!C$1744), Github!B$1744)</f>
        <v>Restore the Array From Adjacent Pairs</v>
      </c>
      <c r="C1147" s="17">
        <f>Github!F$1744</f>
        <v>592</v>
      </c>
      <c r="D1147" s="17">
        <f>Github!G$1744</f>
        <v>9</v>
      </c>
      <c r="E1147" s="17">
        <f>Github!F$1744+Github!G$1744</f>
        <v>601</v>
      </c>
      <c r="F1147" s="18">
        <f t="shared" si="1"/>
        <v>65.78</v>
      </c>
      <c r="G1147" s="17" t="str">
        <f>Github!H$1744</f>
        <v>Algorithms</v>
      </c>
      <c r="H1147" s="19" t="str">
        <f>SUBSTITUTE(Github!L$1744, ";", ", ")</f>
        <v>Array, Hash Table, </v>
      </c>
      <c r="I1147" s="17" t="str">
        <f>Github!E$1744</f>
        <v>Medium</v>
      </c>
      <c r="J1147" s="17" t="str">
        <f>IF(TRIM(Github!D$1744)="TRUE","FALSE","TRUE")</f>
        <v>TRUE</v>
      </c>
      <c r="K1147" s="17" t="b">
        <f>Github!M$1744</f>
        <v>0</v>
      </c>
      <c r="L1147" s="17" t="b">
        <f>Github!N$1744</f>
        <v>0</v>
      </c>
      <c r="M1147" s="17" t="str">
        <f>ROUND(Github!O$1744, 2)&amp;"%"</f>
        <v>68.06%</v>
      </c>
      <c r="N1147" s="17">
        <f>Github!P$1744</f>
        <v>23734</v>
      </c>
      <c r="O1147" s="17">
        <f>Github!Q$1744</f>
        <v>34874</v>
      </c>
    </row>
    <row r="1148" ht="18.0" customHeight="1">
      <c r="A1148" s="17">
        <f>Github!J$448</f>
        <v>447</v>
      </c>
      <c r="B1148" s="27" t="str">
        <f>HYPERLINK(CONCAT("http://leetcode.com/problems/",Github!C$448), Github!B$448)</f>
        <v>Number of Boomerangs</v>
      </c>
      <c r="C1148" s="17">
        <f>Github!F$448</f>
        <v>590</v>
      </c>
      <c r="D1148" s="17">
        <f>Github!G$448</f>
        <v>857</v>
      </c>
      <c r="E1148" s="17">
        <f>Github!F$448+Github!G$448</f>
        <v>1447</v>
      </c>
      <c r="F1148" s="18">
        <f t="shared" si="1"/>
        <v>0.69</v>
      </c>
      <c r="G1148" s="17" t="str">
        <f>Github!H$448</f>
        <v>Algorithms</v>
      </c>
      <c r="H1148" s="19" t="str">
        <f>SUBSTITUTE(Github!L$448, ";", ", ")</f>
        <v>Array, Hash Table, Math, </v>
      </c>
      <c r="I1148" s="17" t="str">
        <f>Github!E$448</f>
        <v>Medium</v>
      </c>
      <c r="J1148" s="17" t="str">
        <f>IF(TRIM(Github!D$448)="TRUE","FALSE","TRUE")</f>
        <v>TRUE</v>
      </c>
      <c r="K1148" s="17" t="b">
        <f>Github!M$448</f>
        <v>0</v>
      </c>
      <c r="L1148" s="17" t="b">
        <f>Github!N$448</f>
        <v>0</v>
      </c>
      <c r="M1148" s="17" t="str">
        <f>ROUND(Github!O$448, 2)&amp;"%"</f>
        <v>53.82%</v>
      </c>
      <c r="N1148" s="17">
        <f>Github!P$448</f>
        <v>82671</v>
      </c>
      <c r="O1148" s="17">
        <f>Github!Q$448</f>
        <v>153609</v>
      </c>
    </row>
    <row r="1149" ht="18.0" customHeight="1">
      <c r="A1149" s="17">
        <f>Github!J$1616</f>
        <v>1615</v>
      </c>
      <c r="B1149" s="27" t="str">
        <f>HYPERLINK(CONCAT("http://leetcode.com/problems/",Github!C$1616), Github!B$1616)</f>
        <v>Maximal Network Rank</v>
      </c>
      <c r="C1149" s="17">
        <f>Github!F$1616</f>
        <v>593</v>
      </c>
      <c r="D1149" s="17">
        <f>Github!G$1616</f>
        <v>114</v>
      </c>
      <c r="E1149" s="17">
        <f>Github!F$1616+Github!G$1616</f>
        <v>707</v>
      </c>
      <c r="F1149" s="18">
        <f t="shared" si="1"/>
        <v>5.2</v>
      </c>
      <c r="G1149" s="17" t="str">
        <f>Github!H$1616</f>
        <v>Algorithms</v>
      </c>
      <c r="H1149" s="19" t="str">
        <f>SUBSTITUTE(Github!L$1616, ";", ", ")</f>
        <v>Graph, </v>
      </c>
      <c r="I1149" s="17" t="str">
        <f>Github!E$1616</f>
        <v>Medium</v>
      </c>
      <c r="J1149" s="17" t="str">
        <f>IF(TRIM(Github!D$1616)="TRUE","FALSE","TRUE")</f>
        <v>TRUE</v>
      </c>
      <c r="K1149" s="17" t="b">
        <f>Github!M$1616</f>
        <v>0</v>
      </c>
      <c r="L1149" s="17" t="b">
        <f>Github!N$1616</f>
        <v>0</v>
      </c>
      <c r="M1149" s="17" t="str">
        <f>ROUND(Github!O$1616, 2)&amp;"%"</f>
        <v>56.04%</v>
      </c>
      <c r="N1149" s="17">
        <f>Github!P$1616</f>
        <v>35200</v>
      </c>
      <c r="O1149" s="17">
        <f>Github!Q$1616</f>
        <v>62813</v>
      </c>
    </row>
    <row r="1150" ht="18.0" customHeight="1">
      <c r="A1150" s="17">
        <f>Github!J$321</f>
        <v>320</v>
      </c>
      <c r="B1150" s="27" t="str">
        <f>HYPERLINK(CONCAT("http://leetcode.com/problems/",Github!C$321), Github!B$321)</f>
        <v>Generalized Abbreviation</v>
      </c>
      <c r="C1150" s="17">
        <f>Github!F$321</f>
        <v>586</v>
      </c>
      <c r="D1150" s="17">
        <f>Github!G$321</f>
        <v>202</v>
      </c>
      <c r="E1150" s="17">
        <f>Github!F$321+Github!G$321</f>
        <v>788</v>
      </c>
      <c r="F1150" s="18">
        <f t="shared" si="1"/>
        <v>2.9</v>
      </c>
      <c r="G1150" s="17" t="str">
        <f>Github!H$321</f>
        <v>Algorithms</v>
      </c>
      <c r="H1150" s="19" t="str">
        <f>SUBSTITUTE(Github!L$321, ";", ", ")</f>
        <v>String, Backtracking, Bit Manipulation, </v>
      </c>
      <c r="I1150" s="17" t="str">
        <f>Github!E$321</f>
        <v>Medium</v>
      </c>
      <c r="J1150" s="17" t="str">
        <f>IF(TRIM(Github!D$321)="TRUE","FALSE","TRUE")</f>
        <v>FALSE</v>
      </c>
      <c r="K1150" s="17" t="b">
        <f>Github!M$321</f>
        <v>1</v>
      </c>
      <c r="L1150" s="17" t="b">
        <f>Github!N$321</f>
        <v>0</v>
      </c>
      <c r="M1150" s="17" t="str">
        <f>ROUND(Github!O$321, 2)&amp;"%"</f>
        <v>56.03%</v>
      </c>
      <c r="N1150" s="17">
        <f>Github!P$321</f>
        <v>59485</v>
      </c>
      <c r="O1150" s="17">
        <f>Github!Q$321</f>
        <v>106171</v>
      </c>
    </row>
    <row r="1151" ht="18.0" customHeight="1">
      <c r="A1151" s="17">
        <f>Github!J$1503</f>
        <v>1502</v>
      </c>
      <c r="B1151" s="27" t="str">
        <f>HYPERLINK(CONCAT("http://leetcode.com/problems/",Github!C$1503), Github!B$1503)</f>
        <v>Can Make Arithmetic Progression From Sequence</v>
      </c>
      <c r="C1151" s="17">
        <f>Github!F$1503</f>
        <v>587</v>
      </c>
      <c r="D1151" s="17">
        <f>Github!G$1503</f>
        <v>38</v>
      </c>
      <c r="E1151" s="17">
        <f>Github!F$1503+Github!G$1503</f>
        <v>625</v>
      </c>
      <c r="F1151" s="18">
        <f t="shared" si="1"/>
        <v>15.45</v>
      </c>
      <c r="G1151" s="17" t="str">
        <f>Github!H$1503</f>
        <v>Algorithms</v>
      </c>
      <c r="H1151" s="19" t="str">
        <f>SUBSTITUTE(Github!L$1503, ";", ", ")</f>
        <v>Array, Sorting, </v>
      </c>
      <c r="I1151" s="17" t="str">
        <f>Github!E$1503</f>
        <v>Easy</v>
      </c>
      <c r="J1151" s="17" t="str">
        <f>IF(TRIM(Github!D$1503)="TRUE","FALSE","TRUE")</f>
        <v>TRUE</v>
      </c>
      <c r="K1151" s="17" t="b">
        <f>Github!M$1503</f>
        <v>0</v>
      </c>
      <c r="L1151" s="17" t="b">
        <f>Github!N$1503</f>
        <v>0</v>
      </c>
      <c r="M1151" s="17" t="str">
        <f>ROUND(Github!O$1503, 2)&amp;"%"</f>
        <v>70.38%</v>
      </c>
      <c r="N1151" s="17">
        <f>Github!P$1503</f>
        <v>68846</v>
      </c>
      <c r="O1151" s="17">
        <f>Github!Q$1503</f>
        <v>97816</v>
      </c>
    </row>
    <row r="1152" ht="18.0" customHeight="1">
      <c r="A1152" s="17">
        <f>Github!J$2096</f>
        <v>2095</v>
      </c>
      <c r="B1152" s="27" t="str">
        <f>HYPERLINK(CONCAT("http://leetcode.com/problems/",Github!C$2096), Github!B$2096)</f>
        <v>Delete the Middle Node of a Linked List</v>
      </c>
      <c r="C1152" s="17">
        <f>Github!F$2096</f>
        <v>588</v>
      </c>
      <c r="D1152" s="17">
        <f>Github!G$2096</f>
        <v>20</v>
      </c>
      <c r="E1152" s="17">
        <f>Github!F$2096+Github!G$2096</f>
        <v>608</v>
      </c>
      <c r="F1152" s="18">
        <f t="shared" si="1"/>
        <v>29.4</v>
      </c>
      <c r="G1152" s="17" t="str">
        <f>Github!H$2096</f>
        <v>Algorithms</v>
      </c>
      <c r="H1152" s="19" t="str">
        <f>SUBSTITUTE(Github!L$2096, ";", ", ")</f>
        <v>Linked List, Two Pointers, </v>
      </c>
      <c r="I1152" s="17" t="str">
        <f>Github!E$2096</f>
        <v>Medium</v>
      </c>
      <c r="J1152" s="17" t="str">
        <f>IF(TRIM(Github!D$2096)="TRUE","FALSE","TRUE")</f>
        <v>TRUE</v>
      </c>
      <c r="K1152" s="17" t="b">
        <f>Github!M$2096</f>
        <v>0</v>
      </c>
      <c r="L1152" s="17" t="b">
        <f>Github!N$2096</f>
        <v>0</v>
      </c>
      <c r="M1152" s="17" t="str">
        <f>ROUND(Github!O$2096, 2)&amp;"%"</f>
        <v>57.83%</v>
      </c>
      <c r="N1152" s="17">
        <f>Github!P$2096</f>
        <v>34825</v>
      </c>
      <c r="O1152" s="17">
        <f>Github!Q$2096</f>
        <v>60221</v>
      </c>
    </row>
    <row r="1153" ht="18.0" customHeight="1">
      <c r="A1153" s="17">
        <f>Github!J$1246</f>
        <v>1245</v>
      </c>
      <c r="B1153" s="27" t="str">
        <f>HYPERLINK(CONCAT("http://leetcode.com/problems/",Github!C$1246), Github!B$1246)</f>
        <v>Tree Diameter</v>
      </c>
      <c r="C1153" s="17">
        <f>Github!F$1246</f>
        <v>584</v>
      </c>
      <c r="D1153" s="17">
        <f>Github!G$1246</f>
        <v>13</v>
      </c>
      <c r="E1153" s="17">
        <f>Github!F$1246+Github!G$1246</f>
        <v>597</v>
      </c>
      <c r="F1153" s="18">
        <f t="shared" si="1"/>
        <v>44.92</v>
      </c>
      <c r="G1153" s="17" t="str">
        <f>Github!H$1246</f>
        <v>Algorithms</v>
      </c>
      <c r="H1153" s="19" t="str">
        <f>SUBSTITUTE(Github!L$1246, ";", ", ")</f>
        <v>Tree, Depth-First Search, Breadth-First Search, </v>
      </c>
      <c r="I1153" s="17" t="str">
        <f>Github!E$1246</f>
        <v>Medium</v>
      </c>
      <c r="J1153" s="17" t="str">
        <f>IF(TRIM(Github!D$1246)="TRUE","FALSE","TRUE")</f>
        <v>FALSE</v>
      </c>
      <c r="K1153" s="17" t="b">
        <f>Github!M$1246</f>
        <v>1</v>
      </c>
      <c r="L1153" s="17" t="b">
        <f>Github!N$1246</f>
        <v>0</v>
      </c>
      <c r="M1153" s="17" t="str">
        <f>ROUND(Github!O$1246, 2)&amp;"%"</f>
        <v>62.32%</v>
      </c>
      <c r="N1153" s="17">
        <f>Github!P$1246</f>
        <v>24544</v>
      </c>
      <c r="O1153" s="17">
        <f>Github!Q$1246</f>
        <v>39386</v>
      </c>
    </row>
    <row r="1154" ht="18.0" customHeight="1">
      <c r="A1154" s="17">
        <f>Github!J$711</f>
        <v>710</v>
      </c>
      <c r="B1154" s="27" t="str">
        <f>HYPERLINK(CONCAT("http://leetcode.com/problems/",Github!C$711), Github!B$711)</f>
        <v>Random Pick with Blacklist</v>
      </c>
      <c r="C1154" s="17">
        <f>Github!F$711</f>
        <v>583</v>
      </c>
      <c r="D1154" s="17">
        <f>Github!G$711</f>
        <v>89</v>
      </c>
      <c r="E1154" s="17">
        <f>Github!F$711+Github!G$711</f>
        <v>672</v>
      </c>
      <c r="F1154" s="18">
        <f t="shared" si="1"/>
        <v>6.55</v>
      </c>
      <c r="G1154" s="17" t="str">
        <f>Github!H$711</f>
        <v>Algorithms</v>
      </c>
      <c r="H1154" s="19" t="str">
        <f>SUBSTITUTE(Github!L$711, ";", ", ")</f>
        <v>Hash Table, Math, Binary Search, Sorting, Randomized, </v>
      </c>
      <c r="I1154" s="17" t="str">
        <f>Github!E$711</f>
        <v>Hard</v>
      </c>
      <c r="J1154" s="17" t="str">
        <f>IF(TRIM(Github!D$711)="TRUE","FALSE","TRUE")</f>
        <v>TRUE</v>
      </c>
      <c r="K1154" s="17" t="b">
        <f>Github!M$711</f>
        <v>1</v>
      </c>
      <c r="L1154" s="17" t="b">
        <f>Github!N$711</f>
        <v>0</v>
      </c>
      <c r="M1154" s="17" t="str">
        <f>ROUND(Github!O$711, 2)&amp;"%"</f>
        <v>33.26%</v>
      </c>
      <c r="N1154" s="17">
        <f>Github!P$711</f>
        <v>26526</v>
      </c>
      <c r="O1154" s="17">
        <f>Github!Q$711</f>
        <v>79751</v>
      </c>
    </row>
    <row r="1155" ht="18.0" customHeight="1">
      <c r="A1155" s="17">
        <f>Github!J$424</f>
        <v>423</v>
      </c>
      <c r="B1155" s="27" t="str">
        <f>HYPERLINK(CONCAT("http://leetcode.com/problems/",Github!C$424), Github!B$424)</f>
        <v>Reconstruct Original Digits from English</v>
      </c>
      <c r="C1155" s="17">
        <f>Github!F$424</f>
        <v>582</v>
      </c>
      <c r="D1155" s="17">
        <f>Github!G$424</f>
        <v>1881</v>
      </c>
      <c r="E1155" s="17">
        <f>Github!F$424+Github!G$424</f>
        <v>2463</v>
      </c>
      <c r="F1155" s="18">
        <f t="shared" si="1"/>
        <v>0.31</v>
      </c>
      <c r="G1155" s="17" t="str">
        <f>Github!H$424</f>
        <v>Algorithms</v>
      </c>
      <c r="H1155" s="19" t="str">
        <f>SUBSTITUTE(Github!L$424, ";", ", ")</f>
        <v>Hash Table, Math, String, </v>
      </c>
      <c r="I1155" s="17" t="str">
        <f>Github!E$424</f>
        <v>Medium</v>
      </c>
      <c r="J1155" s="17" t="str">
        <f>IF(TRIM(Github!D$424)="TRUE","FALSE","TRUE")</f>
        <v>TRUE</v>
      </c>
      <c r="K1155" s="17" t="b">
        <f>Github!M$424</f>
        <v>1</v>
      </c>
      <c r="L1155" s="17" t="b">
        <f>Github!N$424</f>
        <v>0</v>
      </c>
      <c r="M1155" s="17" t="str">
        <f>ROUND(Github!O$424, 2)&amp;"%"</f>
        <v>51.22%</v>
      </c>
      <c r="N1155" s="17">
        <f>Github!P$424</f>
        <v>59324</v>
      </c>
      <c r="O1155" s="17">
        <f>Github!Q$424</f>
        <v>115813</v>
      </c>
    </row>
    <row r="1156" ht="18.0" customHeight="1">
      <c r="A1156" s="17">
        <f>Github!J$1562</f>
        <v>1561</v>
      </c>
      <c r="B1156" s="27" t="str">
        <f>HYPERLINK(CONCAT("http://leetcode.com/problems/",Github!C$1562), Github!B$1562)</f>
        <v>Maximum Number of Coins You Can Get</v>
      </c>
      <c r="C1156" s="17">
        <f>Github!F$1562</f>
        <v>583</v>
      </c>
      <c r="D1156" s="17">
        <f>Github!G$1562</f>
        <v>84</v>
      </c>
      <c r="E1156" s="17">
        <f>Github!F$1562+Github!G$1562</f>
        <v>667</v>
      </c>
      <c r="F1156" s="18">
        <f t="shared" si="1"/>
        <v>6.94</v>
      </c>
      <c r="G1156" s="17" t="str">
        <f>Github!H$1562</f>
        <v>Algorithms</v>
      </c>
      <c r="H1156" s="19" t="str">
        <f>SUBSTITUTE(Github!L$1562, ";", ", ")</f>
        <v>Array, Math, Greedy, Sorting, Game Theory, </v>
      </c>
      <c r="I1156" s="17" t="str">
        <f>Github!E$1562</f>
        <v>Medium</v>
      </c>
      <c r="J1156" s="17" t="str">
        <f>IF(TRIM(Github!D$1562)="TRUE","FALSE","TRUE")</f>
        <v>TRUE</v>
      </c>
      <c r="K1156" s="17" t="b">
        <f>Github!M$1562</f>
        <v>0</v>
      </c>
      <c r="L1156" s="17" t="b">
        <f>Github!N$1562</f>
        <v>0</v>
      </c>
      <c r="M1156" s="17" t="str">
        <f>ROUND(Github!O$1562, 2)&amp;"%"</f>
        <v>78.16%</v>
      </c>
      <c r="N1156" s="17">
        <f>Github!P$1562</f>
        <v>43302</v>
      </c>
      <c r="O1156" s="17">
        <f>Github!Q$1562</f>
        <v>55399</v>
      </c>
    </row>
    <row r="1157" ht="18.0" customHeight="1">
      <c r="A1157" s="17">
        <f>Github!J$1604</f>
        <v>1603</v>
      </c>
      <c r="B1157" s="27" t="str">
        <f>HYPERLINK(CONCAT("http://leetcode.com/problems/",Github!C$1604), Github!B$1604)</f>
        <v>Design Parking System</v>
      </c>
      <c r="C1157" s="17">
        <f>Github!F$1604</f>
        <v>582</v>
      </c>
      <c r="D1157" s="17">
        <f>Github!G$1604</f>
        <v>267</v>
      </c>
      <c r="E1157" s="17">
        <f>Github!F$1604+Github!G$1604</f>
        <v>849</v>
      </c>
      <c r="F1157" s="18">
        <f t="shared" si="1"/>
        <v>2.18</v>
      </c>
      <c r="G1157" s="17" t="str">
        <f>Github!H$1604</f>
        <v>Algorithms</v>
      </c>
      <c r="H1157" s="19" t="str">
        <f>SUBSTITUTE(Github!L$1604, ";", ", ")</f>
        <v>Design, Simulation, Counting, </v>
      </c>
      <c r="I1157" s="17" t="str">
        <f>Github!E$1604</f>
        <v>Easy</v>
      </c>
      <c r="J1157" s="17" t="str">
        <f>IF(TRIM(Github!D$1604)="TRUE","FALSE","TRUE")</f>
        <v>TRUE</v>
      </c>
      <c r="K1157" s="17" t="b">
        <f>Github!M$1604</f>
        <v>0</v>
      </c>
      <c r="L1157" s="17" t="b">
        <f>Github!N$1604</f>
        <v>0</v>
      </c>
      <c r="M1157" s="17" t="str">
        <f>ROUND(Github!O$1604, 2)&amp;"%"</f>
        <v>87.32%</v>
      </c>
      <c r="N1157" s="17">
        <f>Github!P$1604</f>
        <v>107437</v>
      </c>
      <c r="O1157" s="17">
        <f>Github!Q$1604</f>
        <v>123033</v>
      </c>
    </row>
    <row r="1158" ht="18.0" customHeight="1">
      <c r="A1158" s="17">
        <f>Github!J$925</f>
        <v>924</v>
      </c>
      <c r="B1158" s="27" t="str">
        <f>HYPERLINK(CONCAT("http://leetcode.com/problems/",Github!C$925), Github!B$925)</f>
        <v>Minimize Malware Spread</v>
      </c>
      <c r="C1158" s="17">
        <f>Github!F$925</f>
        <v>581</v>
      </c>
      <c r="D1158" s="17">
        <f>Github!G$925</f>
        <v>397</v>
      </c>
      <c r="E1158" s="17">
        <f>Github!F$925+Github!G$925</f>
        <v>978</v>
      </c>
      <c r="F1158" s="18">
        <f t="shared" si="1"/>
        <v>1.46</v>
      </c>
      <c r="G1158" s="17" t="str">
        <f>Github!H$925</f>
        <v>Algorithms</v>
      </c>
      <c r="H1158" s="19" t="str">
        <f>SUBSTITUTE(Github!L$925, ";", ", ")</f>
        <v>Array, Depth-First Search, Breadth-First Search, Union Find, Matrix, </v>
      </c>
      <c r="I1158" s="17" t="str">
        <f>Github!E$925</f>
        <v>Hard</v>
      </c>
      <c r="J1158" s="17" t="str">
        <f>IF(TRIM(Github!D$925)="TRUE","FALSE","TRUE")</f>
        <v>TRUE</v>
      </c>
      <c r="K1158" s="17" t="b">
        <f>Github!M$925</f>
        <v>1</v>
      </c>
      <c r="L1158" s="17" t="b">
        <f>Github!N$925</f>
        <v>0</v>
      </c>
      <c r="M1158" s="17" t="str">
        <f>ROUND(Github!O$925, 2)&amp;"%"</f>
        <v>41.88%</v>
      </c>
      <c r="N1158" s="17">
        <f>Github!P$925</f>
        <v>36140</v>
      </c>
      <c r="O1158" s="17">
        <f>Github!Q$925</f>
        <v>86293</v>
      </c>
    </row>
    <row r="1159" ht="18.0" customHeight="1">
      <c r="A1159" s="17">
        <f>Github!J$1916</f>
        <v>1915</v>
      </c>
      <c r="B1159" s="27" t="str">
        <f>HYPERLINK(CONCAT("http://leetcode.com/problems/",Github!C$1916), Github!B$1916)</f>
        <v>Number of Wonderful Substrings</v>
      </c>
      <c r="C1159" s="17">
        <f>Github!F$1916</f>
        <v>580</v>
      </c>
      <c r="D1159" s="17">
        <f>Github!G$1916</f>
        <v>42</v>
      </c>
      <c r="E1159" s="17">
        <f>Github!F$1916+Github!G$1916</f>
        <v>622</v>
      </c>
      <c r="F1159" s="18">
        <f t="shared" si="1"/>
        <v>13.81</v>
      </c>
      <c r="G1159" s="17" t="str">
        <f>Github!H$1916</f>
        <v>Algorithms</v>
      </c>
      <c r="H1159" s="19" t="str">
        <f>SUBSTITUTE(Github!L$1916, ";", ", ")</f>
        <v>Hash Table, String, Bit Manipulation, Prefix Sum, </v>
      </c>
      <c r="I1159" s="17" t="str">
        <f>Github!E$1916</f>
        <v>Medium</v>
      </c>
      <c r="J1159" s="17" t="str">
        <f>IF(TRIM(Github!D$1916)="TRUE","FALSE","TRUE")</f>
        <v>TRUE</v>
      </c>
      <c r="K1159" s="17" t="b">
        <f>Github!M$1916</f>
        <v>0</v>
      </c>
      <c r="L1159" s="17" t="b">
        <f>Github!N$1916</f>
        <v>0</v>
      </c>
      <c r="M1159" s="17" t="str">
        <f>ROUND(Github!O$1916, 2)&amp;"%"</f>
        <v>43.23%</v>
      </c>
      <c r="N1159" s="17">
        <f>Github!P$1916</f>
        <v>8105</v>
      </c>
      <c r="O1159" s="17">
        <f>Github!Q$1916</f>
        <v>18747</v>
      </c>
    </row>
    <row r="1160" ht="18.0" customHeight="1">
      <c r="A1160" s="17">
        <f>Github!J$392</f>
        <v>391</v>
      </c>
      <c r="B1160" s="27" t="str">
        <f>HYPERLINK(CONCAT("http://leetcode.com/problems/",Github!C$392), Github!B$392)</f>
        <v>Perfect Rectangle</v>
      </c>
      <c r="C1160" s="17">
        <f>Github!F$392</f>
        <v>579</v>
      </c>
      <c r="D1160" s="17">
        <f>Github!G$392</f>
        <v>96</v>
      </c>
      <c r="E1160" s="17">
        <f>Github!F$392+Github!G$392</f>
        <v>675</v>
      </c>
      <c r="F1160" s="18">
        <f t="shared" si="1"/>
        <v>6.03</v>
      </c>
      <c r="G1160" s="17" t="str">
        <f>Github!H$392</f>
        <v>Algorithms</v>
      </c>
      <c r="H1160" s="19" t="str">
        <f>SUBSTITUTE(Github!L$392, ";", ", ")</f>
        <v>Array, Line Sweep, </v>
      </c>
      <c r="I1160" s="17" t="str">
        <f>Github!E$392</f>
        <v>Hard</v>
      </c>
      <c r="J1160" s="17" t="str">
        <f>IF(TRIM(Github!D$392)="TRUE","FALSE","TRUE")</f>
        <v>TRUE</v>
      </c>
      <c r="K1160" s="17" t="b">
        <f>Github!M$392</f>
        <v>0</v>
      </c>
      <c r="L1160" s="17" t="b">
        <f>Github!N$392</f>
        <v>0</v>
      </c>
      <c r="M1160" s="17" t="str">
        <f>ROUND(Github!O$392, 2)&amp;"%"</f>
        <v>32%</v>
      </c>
      <c r="N1160" s="17">
        <f>Github!P$392</f>
        <v>33583</v>
      </c>
      <c r="O1160" s="17">
        <f>Github!Q$392</f>
        <v>104934</v>
      </c>
    </row>
    <row r="1161" ht="18.0" customHeight="1">
      <c r="A1161" s="17">
        <f>Github!J$852</f>
        <v>851</v>
      </c>
      <c r="B1161" s="27" t="str">
        <f>HYPERLINK(CONCAT("http://leetcode.com/problems/",Github!C$852), Github!B$852)</f>
        <v>Loud and Rich</v>
      </c>
      <c r="C1161" s="17">
        <f>Github!F$852</f>
        <v>580</v>
      </c>
      <c r="D1161" s="17">
        <f>Github!G$852</f>
        <v>531</v>
      </c>
      <c r="E1161" s="17">
        <f>Github!F$852+Github!G$852</f>
        <v>1111</v>
      </c>
      <c r="F1161" s="18">
        <f t="shared" si="1"/>
        <v>1.09</v>
      </c>
      <c r="G1161" s="17" t="str">
        <f>Github!H$852</f>
        <v>Algorithms</v>
      </c>
      <c r="H1161" s="19" t="str">
        <f>SUBSTITUTE(Github!L$852, ";", ", ")</f>
        <v>Array, Depth-First Search, Graph, Topological Sort, </v>
      </c>
      <c r="I1161" s="17" t="str">
        <f>Github!E$852</f>
        <v>Medium</v>
      </c>
      <c r="J1161" s="17" t="str">
        <f>IF(TRIM(Github!D$852)="TRUE","FALSE","TRUE")</f>
        <v>TRUE</v>
      </c>
      <c r="K1161" s="17" t="b">
        <f>Github!M$852</f>
        <v>1</v>
      </c>
      <c r="L1161" s="17" t="b">
        <f>Github!N$852</f>
        <v>0</v>
      </c>
      <c r="M1161" s="17" t="str">
        <f>ROUND(Github!O$852, 2)&amp;"%"</f>
        <v>56.23%</v>
      </c>
      <c r="N1161" s="17">
        <f>Github!P$852</f>
        <v>22484</v>
      </c>
      <c r="O1161" s="17">
        <f>Github!Q$852</f>
        <v>39983</v>
      </c>
    </row>
    <row r="1162" ht="18.0" customHeight="1">
      <c r="A1162" s="17">
        <f>Github!J$1188</f>
        <v>1187</v>
      </c>
      <c r="B1162" s="27" t="str">
        <f>HYPERLINK(CONCAT("http://leetcode.com/problems/",Github!C$1188), Github!B$1188)</f>
        <v>Make Array Strictly Increasing</v>
      </c>
      <c r="C1162" s="17">
        <f>Github!F$1188</f>
        <v>578</v>
      </c>
      <c r="D1162" s="17">
        <f>Github!G$1188</f>
        <v>16</v>
      </c>
      <c r="E1162" s="17">
        <f>Github!F$1188+Github!G$1188</f>
        <v>594</v>
      </c>
      <c r="F1162" s="18">
        <f t="shared" si="1"/>
        <v>36.13</v>
      </c>
      <c r="G1162" s="17" t="str">
        <f>Github!H$1188</f>
        <v>Algorithms</v>
      </c>
      <c r="H1162" s="19" t="str">
        <f>SUBSTITUTE(Github!L$1188, ";", ", ")</f>
        <v>Array, Binary Search, Dynamic Programming, </v>
      </c>
      <c r="I1162" s="17" t="str">
        <f>Github!E$1188</f>
        <v>Hard</v>
      </c>
      <c r="J1162" s="17" t="str">
        <f>IF(TRIM(Github!D$1188)="TRUE","FALSE","TRUE")</f>
        <v>TRUE</v>
      </c>
      <c r="K1162" s="17" t="b">
        <f>Github!M$1188</f>
        <v>0</v>
      </c>
      <c r="L1162" s="17" t="b">
        <f>Github!N$1188</f>
        <v>0</v>
      </c>
      <c r="M1162" s="17" t="str">
        <f>ROUND(Github!O$1188, 2)&amp;"%"</f>
        <v>44.52%</v>
      </c>
      <c r="N1162" s="17">
        <f>Github!P$1188</f>
        <v>11091</v>
      </c>
      <c r="O1162" s="17">
        <f>Github!Q$1188</f>
        <v>24910</v>
      </c>
    </row>
    <row r="1163" ht="18.0" customHeight="1">
      <c r="A1163" s="17">
        <f>Github!J$1580</f>
        <v>1579</v>
      </c>
      <c r="B1163" s="27" t="str">
        <f>HYPERLINK(CONCAT("http://leetcode.com/problems/",Github!C$1580), Github!B$1580)</f>
        <v>Remove Max Number of Edges to Keep Graph Fully Traversable</v>
      </c>
      <c r="C1163" s="17">
        <f>Github!F$1580</f>
        <v>577</v>
      </c>
      <c r="D1163" s="17">
        <f>Github!G$1580</f>
        <v>4</v>
      </c>
      <c r="E1163" s="17">
        <f>Github!F$1580+Github!G$1580</f>
        <v>581</v>
      </c>
      <c r="F1163" s="18">
        <f t="shared" si="1"/>
        <v>144.25</v>
      </c>
      <c r="G1163" s="17" t="str">
        <f>Github!H$1580</f>
        <v>Algorithms</v>
      </c>
      <c r="H1163" s="19" t="str">
        <f>SUBSTITUTE(Github!L$1580, ";", ", ")</f>
        <v>Union Find, Graph, </v>
      </c>
      <c r="I1163" s="17" t="str">
        <f>Github!E$1580</f>
        <v>Hard</v>
      </c>
      <c r="J1163" s="17" t="str">
        <f>IF(TRIM(Github!D$1580)="TRUE","FALSE","TRUE")</f>
        <v>TRUE</v>
      </c>
      <c r="K1163" s="17" t="b">
        <f>Github!M$1580</f>
        <v>0</v>
      </c>
      <c r="L1163" s="17" t="b">
        <f>Github!N$1580</f>
        <v>0</v>
      </c>
      <c r="M1163" s="17" t="str">
        <f>ROUND(Github!O$1580, 2)&amp;"%"</f>
        <v>50.28%</v>
      </c>
      <c r="N1163" s="17">
        <f>Github!P$1580</f>
        <v>11261</v>
      </c>
      <c r="O1163" s="17">
        <f>Github!Q$1580</f>
        <v>22398</v>
      </c>
    </row>
    <row r="1164" ht="18.0" customHeight="1">
      <c r="A1164" s="17">
        <f>Github!J$1633</f>
        <v>1632</v>
      </c>
      <c r="B1164" s="27" t="str">
        <f>HYPERLINK(CONCAT("http://leetcode.com/problems/",Github!C$1633), Github!B$1633)</f>
        <v>Rank Transform of a Matrix</v>
      </c>
      <c r="C1164" s="17">
        <f>Github!F$1633</f>
        <v>576</v>
      </c>
      <c r="D1164" s="17">
        <f>Github!G$1633</f>
        <v>36</v>
      </c>
      <c r="E1164" s="17">
        <f>Github!F$1633+Github!G$1633</f>
        <v>612</v>
      </c>
      <c r="F1164" s="18">
        <f t="shared" si="1"/>
        <v>16</v>
      </c>
      <c r="G1164" s="17" t="str">
        <f>Github!H$1633</f>
        <v>Algorithms</v>
      </c>
      <c r="H1164" s="19" t="str">
        <f>SUBSTITUTE(Github!L$1633, ";", ", ")</f>
        <v>Array, Greedy, Union Find, Graph, Topological Sort, Matrix, </v>
      </c>
      <c r="I1164" s="17" t="str">
        <f>Github!E$1633</f>
        <v>Hard</v>
      </c>
      <c r="J1164" s="17" t="str">
        <f>IF(TRIM(Github!D$1633)="TRUE","FALSE","TRUE")</f>
        <v>TRUE</v>
      </c>
      <c r="K1164" s="17" t="b">
        <f>Github!M$1633</f>
        <v>1</v>
      </c>
      <c r="L1164" s="17" t="b">
        <f>Github!N$1633</f>
        <v>0</v>
      </c>
      <c r="M1164" s="17" t="str">
        <f>ROUND(Github!O$1633, 2)&amp;"%"</f>
        <v>40.55%</v>
      </c>
      <c r="N1164" s="17">
        <f>Github!P$1633</f>
        <v>16318</v>
      </c>
      <c r="O1164" s="17">
        <f>Github!Q$1633</f>
        <v>40243</v>
      </c>
    </row>
    <row r="1165" ht="18.0" customHeight="1">
      <c r="A1165" s="17">
        <f>Github!J$775</f>
        <v>774</v>
      </c>
      <c r="B1165" s="27" t="str">
        <f>HYPERLINK(CONCAT("http://leetcode.com/problems/",Github!C$775), Github!B$775)</f>
        <v>Minimize Max Distance to Gas Station</v>
      </c>
      <c r="C1165" s="17">
        <f>Github!F$775</f>
        <v>572</v>
      </c>
      <c r="D1165" s="17">
        <f>Github!G$775</f>
        <v>82</v>
      </c>
      <c r="E1165" s="17">
        <f>Github!F$775+Github!G$775</f>
        <v>654</v>
      </c>
      <c r="F1165" s="18">
        <f t="shared" si="1"/>
        <v>6.98</v>
      </c>
      <c r="G1165" s="17" t="str">
        <f>Github!H$775</f>
        <v>Algorithms</v>
      </c>
      <c r="H1165" s="19" t="str">
        <f>SUBSTITUTE(Github!L$775, ";", ", ")</f>
        <v>Array, Binary Search, </v>
      </c>
      <c r="I1165" s="17" t="str">
        <f>Github!E$775</f>
        <v>Hard</v>
      </c>
      <c r="J1165" s="17" t="str">
        <f>IF(TRIM(Github!D$775)="TRUE","FALSE","TRUE")</f>
        <v>FALSE</v>
      </c>
      <c r="K1165" s="17" t="b">
        <f>Github!M$775</f>
        <v>1</v>
      </c>
      <c r="L1165" s="17" t="b">
        <f>Github!N$775</f>
        <v>0</v>
      </c>
      <c r="M1165" s="17" t="str">
        <f>ROUND(Github!O$775, 2)&amp;"%"</f>
        <v>50.22%</v>
      </c>
      <c r="N1165" s="17">
        <f>Github!P$775</f>
        <v>25045</v>
      </c>
      <c r="O1165" s="17">
        <f>Github!Q$775</f>
        <v>49873</v>
      </c>
    </row>
    <row r="1166" ht="18.0" customHeight="1">
      <c r="A1166" s="17">
        <f>Github!J$1107</f>
        <v>1106</v>
      </c>
      <c r="B1166" s="27" t="str">
        <f>HYPERLINK(CONCAT("http://leetcode.com/problems/",Github!C$1107), Github!B$1107)</f>
        <v>Parsing A Boolean Expression</v>
      </c>
      <c r="C1166" s="17">
        <f>Github!F$1107</f>
        <v>572</v>
      </c>
      <c r="D1166" s="17">
        <f>Github!G$1107</f>
        <v>32</v>
      </c>
      <c r="E1166" s="17">
        <f>Github!F$1107+Github!G$1107</f>
        <v>604</v>
      </c>
      <c r="F1166" s="18">
        <f t="shared" si="1"/>
        <v>17.88</v>
      </c>
      <c r="G1166" s="17" t="str">
        <f>Github!H$1107</f>
        <v>Algorithms</v>
      </c>
      <c r="H1166" s="19" t="str">
        <f>SUBSTITUTE(Github!L$1107, ";", ", ")</f>
        <v>String, Stack, Recursion, </v>
      </c>
      <c r="I1166" s="17" t="str">
        <f>Github!E$1107</f>
        <v>Hard</v>
      </c>
      <c r="J1166" s="17" t="str">
        <f>IF(TRIM(Github!D$1107)="TRUE","FALSE","TRUE")</f>
        <v>TRUE</v>
      </c>
      <c r="K1166" s="17" t="b">
        <f>Github!M$1107</f>
        <v>0</v>
      </c>
      <c r="L1166" s="17" t="b">
        <f>Github!N$1107</f>
        <v>0</v>
      </c>
      <c r="M1166" s="17" t="str">
        <f>ROUND(Github!O$1107, 2)&amp;"%"</f>
        <v>59.26%</v>
      </c>
      <c r="N1166" s="17">
        <f>Github!P$1107</f>
        <v>17761</v>
      </c>
      <c r="O1166" s="17">
        <f>Github!Q$1107</f>
        <v>29972</v>
      </c>
    </row>
    <row r="1167" ht="18.0" customHeight="1">
      <c r="A1167" s="17">
        <f>Github!J$1435</f>
        <v>1434</v>
      </c>
      <c r="B1167" s="27" t="str">
        <f>HYPERLINK(CONCAT("http://leetcode.com/problems/",Github!C$1435), Github!B$1435)</f>
        <v>Number of Ways to Wear Different Hats to Each Other</v>
      </c>
      <c r="C1167" s="17">
        <f>Github!F$1435</f>
        <v>572</v>
      </c>
      <c r="D1167" s="17">
        <f>Github!G$1435</f>
        <v>7</v>
      </c>
      <c r="E1167" s="17">
        <f>Github!F$1435+Github!G$1435</f>
        <v>579</v>
      </c>
      <c r="F1167" s="18">
        <f t="shared" si="1"/>
        <v>81.71</v>
      </c>
      <c r="G1167" s="17" t="str">
        <f>Github!H$1435</f>
        <v>Algorithms</v>
      </c>
      <c r="H1167" s="19" t="str">
        <f>SUBSTITUTE(Github!L$1435, ";", ", ")</f>
        <v>Array, Dynamic Programming, Bit Manipulation, Bitmask, </v>
      </c>
      <c r="I1167" s="17" t="str">
        <f>Github!E$1435</f>
        <v>Hard</v>
      </c>
      <c r="J1167" s="17" t="str">
        <f>IF(TRIM(Github!D$1435)="TRUE","FALSE","TRUE")</f>
        <v>TRUE</v>
      </c>
      <c r="K1167" s="17" t="b">
        <f>Github!M$1435</f>
        <v>0</v>
      </c>
      <c r="L1167" s="17" t="b">
        <f>Github!N$1435</f>
        <v>0</v>
      </c>
      <c r="M1167" s="17" t="str">
        <f>ROUND(Github!O$1435, 2)&amp;"%"</f>
        <v>41.74%</v>
      </c>
      <c r="N1167" s="17">
        <f>Github!P$1435</f>
        <v>8617</v>
      </c>
      <c r="O1167" s="17">
        <f>Github!Q$1435</f>
        <v>20643</v>
      </c>
    </row>
    <row r="1168" ht="18.0" customHeight="1">
      <c r="A1168" s="17">
        <f>Github!J$1560</f>
        <v>1559</v>
      </c>
      <c r="B1168" s="27" t="str">
        <f>HYPERLINK(CONCAT("http://leetcode.com/problems/",Github!C$1560), Github!B$1560)</f>
        <v>Detect Cycles in 2D Grid</v>
      </c>
      <c r="C1168" s="17">
        <f>Github!F$1560</f>
        <v>574</v>
      </c>
      <c r="D1168" s="17">
        <f>Github!G$1560</f>
        <v>21</v>
      </c>
      <c r="E1168" s="17">
        <f>Github!F$1560+Github!G$1560</f>
        <v>595</v>
      </c>
      <c r="F1168" s="18">
        <f t="shared" si="1"/>
        <v>27.33</v>
      </c>
      <c r="G1168" s="17" t="str">
        <f>Github!H$1560</f>
        <v>Algorithms</v>
      </c>
      <c r="H1168" s="19" t="str">
        <f>SUBSTITUTE(Github!L$1560, ";", ", ")</f>
        <v>Array, Depth-First Search, Breadth-First Search, Union Find, Matrix, </v>
      </c>
      <c r="I1168" s="17" t="str">
        <f>Github!E$1560</f>
        <v>Medium</v>
      </c>
      <c r="J1168" s="17" t="str">
        <f>IF(TRIM(Github!D$1560)="TRUE","FALSE","TRUE")</f>
        <v>TRUE</v>
      </c>
      <c r="K1168" s="17" t="b">
        <f>Github!M$1560</f>
        <v>0</v>
      </c>
      <c r="L1168" s="17" t="b">
        <f>Github!N$1560</f>
        <v>0</v>
      </c>
      <c r="M1168" s="17" t="str">
        <f>ROUND(Github!O$1560, 2)&amp;"%"</f>
        <v>47.83%</v>
      </c>
      <c r="N1168" s="17">
        <f>Github!P$1560</f>
        <v>21871</v>
      </c>
      <c r="O1168" s="17">
        <f>Github!Q$1560</f>
        <v>45726</v>
      </c>
    </row>
    <row r="1169" ht="18.0" customHeight="1">
      <c r="A1169" s="17">
        <f>Github!J$1878</f>
        <v>1877</v>
      </c>
      <c r="B1169" s="27" t="str">
        <f>HYPERLINK(CONCAT("http://leetcode.com/problems/",Github!C$1878), Github!B$1878)</f>
        <v>Minimize Maximum Pair Sum in Array</v>
      </c>
      <c r="C1169" s="17">
        <f>Github!F$1878</f>
        <v>572</v>
      </c>
      <c r="D1169" s="17">
        <f>Github!G$1878</f>
        <v>148</v>
      </c>
      <c r="E1169" s="17">
        <f>Github!F$1878+Github!G$1878</f>
        <v>720</v>
      </c>
      <c r="F1169" s="18">
        <f t="shared" si="1"/>
        <v>3.86</v>
      </c>
      <c r="G1169" s="17" t="str">
        <f>Github!H$1878</f>
        <v>Algorithms</v>
      </c>
      <c r="H1169" s="19" t="str">
        <f>SUBSTITUTE(Github!L$1878, ";", ", ")</f>
        <v>Array, Two Pointers, Greedy, Sorting, </v>
      </c>
      <c r="I1169" s="17" t="str">
        <f>Github!E$1878</f>
        <v>Medium</v>
      </c>
      <c r="J1169" s="17" t="str">
        <f>IF(TRIM(Github!D$1878)="TRUE","FALSE","TRUE")</f>
        <v>TRUE</v>
      </c>
      <c r="K1169" s="17" t="b">
        <f>Github!M$1878</f>
        <v>0</v>
      </c>
      <c r="L1169" s="17" t="b">
        <f>Github!N$1878</f>
        <v>0</v>
      </c>
      <c r="M1169" s="17" t="str">
        <f>ROUND(Github!O$1878, 2)&amp;"%"</f>
        <v>80.61%</v>
      </c>
      <c r="N1169" s="17">
        <f>Github!P$1878</f>
        <v>44592</v>
      </c>
      <c r="O1169" s="17">
        <f>Github!Q$1878</f>
        <v>55319</v>
      </c>
    </row>
    <row r="1170" ht="18.0" customHeight="1">
      <c r="A1170" s="17">
        <f>Github!J$1234</f>
        <v>1233</v>
      </c>
      <c r="B1170" s="27" t="str">
        <f>HYPERLINK(CONCAT("http://leetcode.com/problems/",Github!C$1234), Github!B$1234)</f>
        <v>Remove Sub-Folders from the Filesystem</v>
      </c>
      <c r="C1170" s="17">
        <f>Github!F$1234</f>
        <v>569</v>
      </c>
      <c r="D1170" s="17">
        <f>Github!G$1234</f>
        <v>75</v>
      </c>
      <c r="E1170" s="17">
        <f>Github!F$1234+Github!G$1234</f>
        <v>644</v>
      </c>
      <c r="F1170" s="18">
        <f t="shared" si="1"/>
        <v>7.59</v>
      </c>
      <c r="G1170" s="17" t="str">
        <f>Github!H$1234</f>
        <v>Algorithms</v>
      </c>
      <c r="H1170" s="19" t="str">
        <f>SUBSTITUTE(Github!L$1234, ";", ", ")</f>
        <v>Array, String, Trie, </v>
      </c>
      <c r="I1170" s="17" t="str">
        <f>Github!E$1234</f>
        <v>Medium</v>
      </c>
      <c r="J1170" s="17" t="str">
        <f>IF(TRIM(Github!D$1234)="TRUE","FALSE","TRUE")</f>
        <v>TRUE</v>
      </c>
      <c r="K1170" s="17" t="b">
        <f>Github!M$1234</f>
        <v>0</v>
      </c>
      <c r="L1170" s="17" t="b">
        <f>Github!N$1234</f>
        <v>0</v>
      </c>
      <c r="M1170" s="17" t="str">
        <f>ROUND(Github!O$1234, 2)&amp;"%"</f>
        <v>64.97%</v>
      </c>
      <c r="N1170" s="17">
        <f>Github!P$1234</f>
        <v>40968</v>
      </c>
      <c r="O1170" s="17">
        <f>Github!Q$1234</f>
        <v>63058</v>
      </c>
    </row>
    <row r="1171" ht="18.0" customHeight="1">
      <c r="A1171" s="17">
        <f>Github!J$1495</f>
        <v>1494</v>
      </c>
      <c r="B1171" s="27" t="str">
        <f>HYPERLINK(CONCAT("http://leetcode.com/problems/",Github!C$1495), Github!B$1495)</f>
        <v>Parallel Courses II</v>
      </c>
      <c r="C1171" s="17">
        <f>Github!F$1495</f>
        <v>570</v>
      </c>
      <c r="D1171" s="17">
        <f>Github!G$1495</f>
        <v>44</v>
      </c>
      <c r="E1171" s="17">
        <f>Github!F$1495+Github!G$1495</f>
        <v>614</v>
      </c>
      <c r="F1171" s="18">
        <f t="shared" si="1"/>
        <v>12.95</v>
      </c>
      <c r="G1171" s="17" t="str">
        <f>Github!H$1495</f>
        <v>Algorithms</v>
      </c>
      <c r="H1171" s="19" t="str">
        <f>SUBSTITUTE(Github!L$1495, ";", ", ")</f>
        <v>Dynamic Programming, Bit Manipulation, Graph, Bitmask, </v>
      </c>
      <c r="I1171" s="17" t="str">
        <f>Github!E$1495</f>
        <v>Hard</v>
      </c>
      <c r="J1171" s="17" t="str">
        <f>IF(TRIM(Github!D$1495)="TRUE","FALSE","TRUE")</f>
        <v>TRUE</v>
      </c>
      <c r="K1171" s="17" t="b">
        <f>Github!M$1495</f>
        <v>0</v>
      </c>
      <c r="L1171" s="17" t="b">
        <f>Github!N$1495</f>
        <v>0</v>
      </c>
      <c r="M1171" s="17" t="str">
        <f>ROUND(Github!O$1495, 2)&amp;"%"</f>
        <v>31.75%</v>
      </c>
      <c r="N1171" s="17">
        <f>Github!P$1495</f>
        <v>10253</v>
      </c>
      <c r="O1171" s="17">
        <f>Github!Q$1495</f>
        <v>32297</v>
      </c>
    </row>
    <row r="1172" ht="18.0" customHeight="1">
      <c r="A1172" s="17">
        <f>Github!J$522</f>
        <v>521</v>
      </c>
      <c r="B1172" s="27" t="str">
        <f>HYPERLINK(CONCAT("http://leetcode.com/problems/",Github!C$522), Github!B$522)</f>
        <v>Longest Uncommon Subsequence I</v>
      </c>
      <c r="C1172" s="17">
        <f>Github!F$522</f>
        <v>567</v>
      </c>
      <c r="D1172" s="17">
        <f>Github!G$522</f>
        <v>5499</v>
      </c>
      <c r="E1172" s="17">
        <f>Github!F$522+Github!G$522</f>
        <v>6066</v>
      </c>
      <c r="F1172" s="18">
        <f t="shared" si="1"/>
        <v>0.1</v>
      </c>
      <c r="G1172" s="17" t="str">
        <f>Github!H$522</f>
        <v>Algorithms</v>
      </c>
      <c r="H1172" s="19" t="str">
        <f>SUBSTITUTE(Github!L$522, ";", ", ")</f>
        <v>String, </v>
      </c>
      <c r="I1172" s="17" t="str">
        <f>Github!E$522</f>
        <v>Easy</v>
      </c>
      <c r="J1172" s="17" t="str">
        <f>IF(TRIM(Github!D$522)="TRUE","FALSE","TRUE")</f>
        <v>TRUE</v>
      </c>
      <c r="K1172" s="17" t="b">
        <f>Github!M$522</f>
        <v>1</v>
      </c>
      <c r="L1172" s="17" t="b">
        <f>Github!N$522</f>
        <v>0</v>
      </c>
      <c r="M1172" s="17" t="str">
        <f>ROUND(Github!O$522, 2)&amp;"%"</f>
        <v>60.03%</v>
      </c>
      <c r="N1172" s="17">
        <f>Github!P$522</f>
        <v>82437</v>
      </c>
      <c r="O1172" s="17">
        <f>Github!Q$522</f>
        <v>137326</v>
      </c>
    </row>
    <row r="1173" ht="18.0" customHeight="1">
      <c r="A1173" s="17">
        <f>Github!J$1298</f>
        <v>1297</v>
      </c>
      <c r="B1173" s="27" t="str">
        <f>HYPERLINK(CONCAT("http://leetcode.com/problems/",Github!C$1298), Github!B$1298)</f>
        <v>Maximum Number of Occurrences of a Substring</v>
      </c>
      <c r="C1173" s="17">
        <f>Github!F$1298</f>
        <v>567</v>
      </c>
      <c r="D1173" s="17">
        <f>Github!G$1298</f>
        <v>286</v>
      </c>
      <c r="E1173" s="17">
        <f>Github!F$1298+Github!G$1298</f>
        <v>853</v>
      </c>
      <c r="F1173" s="18">
        <f t="shared" si="1"/>
        <v>1.98</v>
      </c>
      <c r="G1173" s="17" t="str">
        <f>Github!H$1298</f>
        <v>Algorithms</v>
      </c>
      <c r="H1173" s="19" t="str">
        <f>SUBSTITUTE(Github!L$1298, ";", ", ")</f>
        <v>Hash Table, String, Sliding Window, </v>
      </c>
      <c r="I1173" s="17" t="str">
        <f>Github!E$1298</f>
        <v>Medium</v>
      </c>
      <c r="J1173" s="17" t="str">
        <f>IF(TRIM(Github!D$1298)="TRUE","FALSE","TRUE")</f>
        <v>TRUE</v>
      </c>
      <c r="K1173" s="17" t="b">
        <f>Github!M$1298</f>
        <v>0</v>
      </c>
      <c r="L1173" s="17" t="b">
        <f>Github!N$1298</f>
        <v>0</v>
      </c>
      <c r="M1173" s="17" t="str">
        <f>ROUND(Github!O$1298, 2)&amp;"%"</f>
        <v>52.38%</v>
      </c>
      <c r="N1173" s="17">
        <f>Github!P$1298</f>
        <v>31339</v>
      </c>
      <c r="O1173" s="17">
        <f>Github!Q$1298</f>
        <v>59825</v>
      </c>
    </row>
    <row r="1174" ht="18.0" customHeight="1">
      <c r="A1174" s="17">
        <f>Github!J$751</f>
        <v>750</v>
      </c>
      <c r="B1174" s="27" t="str">
        <f>HYPERLINK(CONCAT("http://leetcode.com/problems/",Github!C$751), Github!B$751)</f>
        <v>Number Of Corner Rectangles</v>
      </c>
      <c r="C1174" s="17">
        <f>Github!F$751</f>
        <v>565</v>
      </c>
      <c r="D1174" s="17">
        <f>Github!G$751</f>
        <v>85</v>
      </c>
      <c r="E1174" s="17">
        <f>Github!F$751+Github!G$751</f>
        <v>650</v>
      </c>
      <c r="F1174" s="18">
        <f t="shared" si="1"/>
        <v>6.65</v>
      </c>
      <c r="G1174" s="17" t="str">
        <f>Github!H$751</f>
        <v>Algorithms</v>
      </c>
      <c r="H1174" s="19" t="str">
        <f>SUBSTITUTE(Github!L$751, ";", ", ")</f>
        <v>Array, Math, Dynamic Programming, Matrix, </v>
      </c>
      <c r="I1174" s="17" t="str">
        <f>Github!E$751</f>
        <v>Medium</v>
      </c>
      <c r="J1174" s="17" t="str">
        <f>IF(TRIM(Github!D$751)="TRUE","FALSE","TRUE")</f>
        <v>FALSE</v>
      </c>
      <c r="K1174" s="17" t="b">
        <f>Github!M$751</f>
        <v>1</v>
      </c>
      <c r="L1174" s="17" t="b">
        <f>Github!N$751</f>
        <v>0</v>
      </c>
      <c r="M1174" s="17" t="str">
        <f>ROUND(Github!O$751, 2)&amp;"%"</f>
        <v>67.52%</v>
      </c>
      <c r="N1174" s="17">
        <f>Github!P$751</f>
        <v>35349</v>
      </c>
      <c r="O1174" s="17">
        <f>Github!Q$751</f>
        <v>52352</v>
      </c>
    </row>
    <row r="1175" ht="18.0" customHeight="1">
      <c r="A1175" s="17">
        <f>Github!J$529</f>
        <v>528</v>
      </c>
      <c r="B1175" s="27" t="str">
        <f>HYPERLINK(CONCAT("http://leetcode.com/problems/",Github!C$529), Github!B$529)</f>
        <v>Random Pick with Weight</v>
      </c>
      <c r="C1175" s="17">
        <f>Github!F$529</f>
        <v>565</v>
      </c>
      <c r="D1175" s="17">
        <f>Github!G$529</f>
        <v>181</v>
      </c>
      <c r="E1175" s="17">
        <f>Github!F$529+Github!G$529</f>
        <v>746</v>
      </c>
      <c r="F1175" s="18">
        <f t="shared" si="1"/>
        <v>3.12</v>
      </c>
      <c r="G1175" s="17" t="str">
        <f>Github!H$529</f>
        <v>Algorithms</v>
      </c>
      <c r="H1175" s="19" t="str">
        <f>SUBSTITUTE(Github!L$529, ";", ", ")</f>
        <v>Math, Binary Search, Prefix Sum, Randomized, </v>
      </c>
      <c r="I1175" s="17" t="str">
        <f>Github!E$529</f>
        <v>Medium</v>
      </c>
      <c r="J1175" s="17" t="str">
        <f>IF(TRIM(Github!D$529)="TRUE","FALSE","TRUE")</f>
        <v>TRUE</v>
      </c>
      <c r="K1175" s="17" t="b">
        <f>Github!M$529</f>
        <v>1</v>
      </c>
      <c r="L1175" s="17" t="b">
        <f>Github!N$529</f>
        <v>0</v>
      </c>
      <c r="M1175" s="17" t="str">
        <f>ROUND(Github!O$529, 2)&amp;"%"</f>
        <v>46%</v>
      </c>
      <c r="N1175" s="17">
        <f>Github!P$529</f>
        <v>271567</v>
      </c>
      <c r="O1175" s="17">
        <f>Github!Q$529</f>
        <v>590341</v>
      </c>
    </row>
    <row r="1176" ht="18.0" customHeight="1">
      <c r="A1176" s="17">
        <f>Github!J$1262</f>
        <v>1261</v>
      </c>
      <c r="B1176" s="27" t="str">
        <f>HYPERLINK(CONCAT("http://leetcode.com/problems/",Github!C$1262), Github!B$1262)</f>
        <v>Find Elements in a Contaminated Binary Tree</v>
      </c>
      <c r="C1176" s="17">
        <f>Github!F$1262</f>
        <v>564</v>
      </c>
      <c r="D1176" s="17">
        <f>Github!G$1262</f>
        <v>76</v>
      </c>
      <c r="E1176" s="17">
        <f>Github!F$1262+Github!G$1262</f>
        <v>640</v>
      </c>
      <c r="F1176" s="18">
        <f t="shared" si="1"/>
        <v>7.42</v>
      </c>
      <c r="G1176" s="17" t="str">
        <f>Github!H$1262</f>
        <v>Algorithms</v>
      </c>
      <c r="H1176" s="19" t="str">
        <f>SUBSTITUTE(Github!L$1262, ";", ", ")</f>
        <v>Hash Table, Tree, Depth-First Search, Breadth-First Search, Design, Binary Tree, </v>
      </c>
      <c r="I1176" s="17" t="str">
        <f>Github!E$1262</f>
        <v>Medium</v>
      </c>
      <c r="J1176" s="17" t="str">
        <f>IF(TRIM(Github!D$1262)="TRUE","FALSE","TRUE")</f>
        <v>TRUE</v>
      </c>
      <c r="K1176" s="17" t="b">
        <f>Github!M$1262</f>
        <v>0</v>
      </c>
      <c r="L1176" s="17" t="b">
        <f>Github!N$1262</f>
        <v>0</v>
      </c>
      <c r="M1176" s="17" t="str">
        <f>ROUND(Github!O$1262, 2)&amp;"%"</f>
        <v>75.68%</v>
      </c>
      <c r="N1176" s="17">
        <f>Github!P$1262</f>
        <v>42016</v>
      </c>
      <c r="O1176" s="17">
        <f>Github!Q$1262</f>
        <v>55520</v>
      </c>
    </row>
    <row r="1177" ht="18.0" customHeight="1">
      <c r="A1177" s="17">
        <f>Github!J$1204</f>
        <v>1203</v>
      </c>
      <c r="B1177" s="27" t="str">
        <f>HYPERLINK(CONCAT("http://leetcode.com/problems/",Github!C$1204), Github!B$1204)</f>
        <v>Sort Items by Groups Respecting Dependencies</v>
      </c>
      <c r="C1177" s="17">
        <f>Github!F$1204</f>
        <v>560</v>
      </c>
      <c r="D1177" s="17">
        <f>Github!G$1204</f>
        <v>83</v>
      </c>
      <c r="E1177" s="17">
        <f>Github!F$1204+Github!G$1204</f>
        <v>643</v>
      </c>
      <c r="F1177" s="18">
        <f t="shared" si="1"/>
        <v>6.75</v>
      </c>
      <c r="G1177" s="17" t="str">
        <f>Github!H$1204</f>
        <v>Algorithms</v>
      </c>
      <c r="H1177" s="19" t="str">
        <f>SUBSTITUTE(Github!L$1204, ";", ", ")</f>
        <v>Depth-First Search, Breadth-First Search, Graph, Topological Sort, </v>
      </c>
      <c r="I1177" s="17" t="str">
        <f>Github!E$1204</f>
        <v>Hard</v>
      </c>
      <c r="J1177" s="17" t="str">
        <f>IF(TRIM(Github!D$1204)="TRUE","FALSE","TRUE")</f>
        <v>TRUE</v>
      </c>
      <c r="K1177" s="17" t="b">
        <f>Github!M$1204</f>
        <v>0</v>
      </c>
      <c r="L1177" s="17" t="b">
        <f>Github!N$1204</f>
        <v>0</v>
      </c>
      <c r="M1177" s="17" t="str">
        <f>ROUND(Github!O$1204, 2)&amp;"%"</f>
        <v>49.23%</v>
      </c>
      <c r="N1177" s="17">
        <f>Github!P$1204</f>
        <v>11499</v>
      </c>
      <c r="O1177" s="17">
        <f>Github!Q$1204</f>
        <v>23356</v>
      </c>
    </row>
    <row r="1178" ht="18.0" customHeight="1">
      <c r="A1178" s="17">
        <f>Github!J$1664</f>
        <v>1663</v>
      </c>
      <c r="B1178" s="27" t="str">
        <f>HYPERLINK(CONCAT("http://leetcode.com/problems/",Github!C$1664), Github!B$1664)</f>
        <v>Smallest String With A Given Numeric Value</v>
      </c>
      <c r="C1178" s="17">
        <f>Github!F$1664</f>
        <v>561</v>
      </c>
      <c r="D1178" s="17">
        <f>Github!G$1664</f>
        <v>19</v>
      </c>
      <c r="E1178" s="17">
        <f>Github!F$1664+Github!G$1664</f>
        <v>580</v>
      </c>
      <c r="F1178" s="18">
        <f t="shared" si="1"/>
        <v>29.53</v>
      </c>
      <c r="G1178" s="17" t="str">
        <f>Github!H$1664</f>
        <v>Algorithms</v>
      </c>
      <c r="H1178" s="19" t="str">
        <f>SUBSTITUTE(Github!L$1664, ";", ", ")</f>
        <v>String, Greedy, </v>
      </c>
      <c r="I1178" s="17" t="str">
        <f>Github!E$1664</f>
        <v>Medium</v>
      </c>
      <c r="J1178" s="17" t="str">
        <f>IF(TRIM(Github!D$1664)="TRUE","FALSE","TRUE")</f>
        <v>TRUE</v>
      </c>
      <c r="K1178" s="17" t="b">
        <f>Github!M$1664</f>
        <v>1</v>
      </c>
      <c r="L1178" s="17" t="b">
        <f>Github!N$1664</f>
        <v>0</v>
      </c>
      <c r="M1178" s="17" t="str">
        <f>ROUND(Github!O$1664, 2)&amp;"%"</f>
        <v>64.07%</v>
      </c>
      <c r="N1178" s="17">
        <f>Github!P$1664</f>
        <v>36890</v>
      </c>
      <c r="O1178" s="17">
        <f>Github!Q$1664</f>
        <v>57577</v>
      </c>
    </row>
    <row r="1179" ht="18.0" customHeight="1">
      <c r="A1179" s="17">
        <f>Github!J$789</f>
        <v>788</v>
      </c>
      <c r="B1179" s="27" t="str">
        <f>HYPERLINK(CONCAT("http://leetcode.com/problems/",Github!C$789), Github!B$789)</f>
        <v>Rotated Digits</v>
      </c>
      <c r="C1179" s="17">
        <f>Github!F$789</f>
        <v>561</v>
      </c>
      <c r="D1179" s="17">
        <f>Github!G$789</f>
        <v>1702</v>
      </c>
      <c r="E1179" s="17">
        <f>Github!F$789+Github!G$789</f>
        <v>2263</v>
      </c>
      <c r="F1179" s="18">
        <f t="shared" si="1"/>
        <v>0.33</v>
      </c>
      <c r="G1179" s="17" t="str">
        <f>Github!H$789</f>
        <v>Algorithms</v>
      </c>
      <c r="H1179" s="19" t="str">
        <f>SUBSTITUTE(Github!L$789, ";", ", ")</f>
        <v>Math, Dynamic Programming, </v>
      </c>
      <c r="I1179" s="17" t="str">
        <f>Github!E$789</f>
        <v>Medium</v>
      </c>
      <c r="J1179" s="17" t="str">
        <f>IF(TRIM(Github!D$789)="TRUE","FALSE","TRUE")</f>
        <v>TRUE</v>
      </c>
      <c r="K1179" s="17" t="b">
        <f>Github!M$789</f>
        <v>0</v>
      </c>
      <c r="L1179" s="17" t="b">
        <f>Github!N$789</f>
        <v>0</v>
      </c>
      <c r="M1179" s="17" t="str">
        <f>ROUND(Github!O$789, 2)&amp;"%"</f>
        <v>57.27%</v>
      </c>
      <c r="N1179" s="17">
        <f>Github!P$789</f>
        <v>82797</v>
      </c>
      <c r="O1179" s="17">
        <f>Github!Q$789</f>
        <v>144583</v>
      </c>
    </row>
    <row r="1180" ht="18.0" customHeight="1">
      <c r="A1180" s="17">
        <f>Github!J$870</f>
        <v>869</v>
      </c>
      <c r="B1180" s="27" t="str">
        <f>HYPERLINK(CONCAT("http://leetcode.com/problems/",Github!C$870), Github!B$870)</f>
        <v>Reordered Power of 2</v>
      </c>
      <c r="C1180" s="17">
        <f>Github!F$870</f>
        <v>561</v>
      </c>
      <c r="D1180" s="17">
        <f>Github!G$870</f>
        <v>166</v>
      </c>
      <c r="E1180" s="17">
        <f>Github!F$870+Github!G$870</f>
        <v>727</v>
      </c>
      <c r="F1180" s="18">
        <f t="shared" si="1"/>
        <v>3.38</v>
      </c>
      <c r="G1180" s="17" t="str">
        <f>Github!H$870</f>
        <v>Algorithms</v>
      </c>
      <c r="H1180" s="19" t="str">
        <f>SUBSTITUTE(Github!L$870, ";", ", ")</f>
        <v>Math, Sorting, Counting, Enumeration, </v>
      </c>
      <c r="I1180" s="17" t="str">
        <f>Github!E$870</f>
        <v>Medium</v>
      </c>
      <c r="J1180" s="17" t="str">
        <f>IF(TRIM(Github!D$870)="TRUE","FALSE","TRUE")</f>
        <v>TRUE</v>
      </c>
      <c r="K1180" s="17" t="b">
        <f>Github!M$870</f>
        <v>1</v>
      </c>
      <c r="L1180" s="17" t="b">
        <f>Github!N$870</f>
        <v>0</v>
      </c>
      <c r="M1180" s="17" t="str">
        <f>ROUND(Github!O$870, 2)&amp;"%"</f>
        <v>61.31%</v>
      </c>
      <c r="N1180" s="17">
        <f>Github!P$870</f>
        <v>40370</v>
      </c>
      <c r="O1180" s="17">
        <f>Github!Q$870</f>
        <v>65850</v>
      </c>
    </row>
    <row r="1181" ht="18.0" customHeight="1">
      <c r="A1181" s="17">
        <f>Github!J$1997</f>
        <v>1996</v>
      </c>
      <c r="B1181" s="27" t="str">
        <f>HYPERLINK(CONCAT("http://leetcode.com/problems/",Github!C$1997), Github!B$1997)</f>
        <v>The Number of Weak Characters in the Game</v>
      </c>
      <c r="C1181" s="17">
        <f>Github!F$1997</f>
        <v>560</v>
      </c>
      <c r="D1181" s="17">
        <f>Github!G$1997</f>
        <v>20</v>
      </c>
      <c r="E1181" s="17">
        <f>Github!F$1997+Github!G$1997</f>
        <v>580</v>
      </c>
      <c r="F1181" s="18">
        <f t="shared" si="1"/>
        <v>28</v>
      </c>
      <c r="G1181" s="17" t="str">
        <f>Github!H$1997</f>
        <v>Algorithms</v>
      </c>
      <c r="H1181" s="19" t="str">
        <f>SUBSTITUTE(Github!L$1997, ";", ", ")</f>
        <v>Array, Stack, Greedy, Sorting, Monotonic Stack, </v>
      </c>
      <c r="I1181" s="17" t="str">
        <f>Github!E$1997</f>
        <v>Medium</v>
      </c>
      <c r="J1181" s="17" t="str">
        <f>IF(TRIM(Github!D$1997)="TRUE","FALSE","TRUE")</f>
        <v>TRUE</v>
      </c>
      <c r="K1181" s="17" t="b">
        <f>Github!M$1997</f>
        <v>0</v>
      </c>
      <c r="L1181" s="17" t="b">
        <f>Github!N$1997</f>
        <v>0</v>
      </c>
      <c r="M1181" s="17" t="str">
        <f>ROUND(Github!O$1997, 2)&amp;"%"</f>
        <v>32.45%</v>
      </c>
      <c r="N1181" s="17">
        <f>Github!P$1997</f>
        <v>15014</v>
      </c>
      <c r="O1181" s="17">
        <f>Github!Q$1997</f>
        <v>46261</v>
      </c>
    </row>
    <row r="1182" ht="18.0" customHeight="1">
      <c r="A1182" s="17">
        <f>Github!J$1631</f>
        <v>1630</v>
      </c>
      <c r="B1182" s="27" t="str">
        <f>HYPERLINK(CONCAT("http://leetcode.com/problems/",Github!C$1631), Github!B$1631)</f>
        <v>Arithmetic Subarrays</v>
      </c>
      <c r="C1182" s="17">
        <f>Github!F$1631</f>
        <v>556</v>
      </c>
      <c r="D1182" s="17">
        <f>Github!G$1631</f>
        <v>63</v>
      </c>
      <c r="E1182" s="17">
        <f>Github!F$1631+Github!G$1631</f>
        <v>619</v>
      </c>
      <c r="F1182" s="18">
        <f t="shared" si="1"/>
        <v>8.83</v>
      </c>
      <c r="G1182" s="17" t="str">
        <f>Github!H$1631</f>
        <v>Algorithms</v>
      </c>
      <c r="H1182" s="19" t="str">
        <f>SUBSTITUTE(Github!L$1631, ";", ", ")</f>
        <v>Array, Sorting, </v>
      </c>
      <c r="I1182" s="17" t="str">
        <f>Github!E$1631</f>
        <v>Medium</v>
      </c>
      <c r="J1182" s="17" t="str">
        <f>IF(TRIM(Github!D$1631)="TRUE","FALSE","TRUE")</f>
        <v>TRUE</v>
      </c>
      <c r="K1182" s="17" t="b">
        <f>Github!M$1631</f>
        <v>0</v>
      </c>
      <c r="L1182" s="17" t="b">
        <f>Github!N$1631</f>
        <v>0</v>
      </c>
      <c r="M1182" s="17" t="str">
        <f>ROUND(Github!O$1631, 2)&amp;"%"</f>
        <v>78.38%</v>
      </c>
      <c r="N1182" s="17">
        <f>Github!P$1631</f>
        <v>29698</v>
      </c>
      <c r="O1182" s="17">
        <f>Github!Q$1631</f>
        <v>37891</v>
      </c>
    </row>
    <row r="1183" ht="18.0" customHeight="1">
      <c r="A1183" s="17">
        <f>Github!J$910</f>
        <v>909</v>
      </c>
      <c r="B1183" s="27" t="str">
        <f>HYPERLINK(CONCAT("http://leetcode.com/problems/",Github!C$910), Github!B$910)</f>
        <v>Snakes and Ladders</v>
      </c>
      <c r="C1183" s="17">
        <f>Github!F$910</f>
        <v>554</v>
      </c>
      <c r="D1183" s="17">
        <f>Github!G$910</f>
        <v>128</v>
      </c>
      <c r="E1183" s="17">
        <f>Github!F$910+Github!G$910</f>
        <v>682</v>
      </c>
      <c r="F1183" s="18">
        <f t="shared" si="1"/>
        <v>4.33</v>
      </c>
      <c r="G1183" s="17" t="str">
        <f>Github!H$910</f>
        <v>Algorithms</v>
      </c>
      <c r="H1183" s="19" t="str">
        <f>SUBSTITUTE(Github!L$910, ";", ", ")</f>
        <v>Array, Breadth-First Search, Matrix, </v>
      </c>
      <c r="I1183" s="17" t="str">
        <f>Github!E$910</f>
        <v>Medium</v>
      </c>
      <c r="J1183" s="17" t="str">
        <f>IF(TRIM(Github!D$910)="TRUE","FALSE","TRUE")</f>
        <v>TRUE</v>
      </c>
      <c r="K1183" s="17" t="b">
        <f>Github!M$910</f>
        <v>0</v>
      </c>
      <c r="L1183" s="17" t="b">
        <f>Github!N$910</f>
        <v>0</v>
      </c>
      <c r="M1183" s="17" t="str">
        <f>ROUND(Github!O$910, 2)&amp;"%"</f>
        <v>40.34%</v>
      </c>
      <c r="N1183" s="17">
        <f>Github!P$910</f>
        <v>70499</v>
      </c>
      <c r="O1183" s="17">
        <f>Github!Q$910</f>
        <v>174743</v>
      </c>
    </row>
    <row r="1184" ht="18.0" customHeight="1">
      <c r="A1184" s="17">
        <f>Github!J$1004</f>
        <v>1003</v>
      </c>
      <c r="B1184" s="27" t="str">
        <f>HYPERLINK(CONCAT("http://leetcode.com/problems/",Github!C$1004), Github!B$1004)</f>
        <v>Check If Word Is Valid After Substitutions</v>
      </c>
      <c r="C1184" s="17">
        <f>Github!F$1004</f>
        <v>553</v>
      </c>
      <c r="D1184" s="17">
        <f>Github!G$1004</f>
        <v>430</v>
      </c>
      <c r="E1184" s="17">
        <f>Github!F$1004+Github!G$1004</f>
        <v>983</v>
      </c>
      <c r="F1184" s="18">
        <f t="shared" si="1"/>
        <v>1.29</v>
      </c>
      <c r="G1184" s="17" t="str">
        <f>Github!H$1004</f>
        <v>Algorithms</v>
      </c>
      <c r="H1184" s="19" t="str">
        <f>SUBSTITUTE(Github!L$1004, ";", ", ")</f>
        <v>String, Stack, </v>
      </c>
      <c r="I1184" s="17" t="str">
        <f>Github!E$1004</f>
        <v>Medium</v>
      </c>
      <c r="J1184" s="17" t="str">
        <f>IF(TRIM(Github!D$1004)="TRUE","FALSE","TRUE")</f>
        <v>TRUE</v>
      </c>
      <c r="K1184" s="17" t="b">
        <f>Github!M$1004</f>
        <v>0</v>
      </c>
      <c r="L1184" s="17" t="b">
        <f>Github!N$1004</f>
        <v>0</v>
      </c>
      <c r="M1184" s="17" t="str">
        <f>ROUND(Github!O$1004, 2)&amp;"%"</f>
        <v>57.68%</v>
      </c>
      <c r="N1184" s="17">
        <f>Github!P$1004</f>
        <v>39589</v>
      </c>
      <c r="O1184" s="17">
        <f>Github!Q$1004</f>
        <v>68634</v>
      </c>
    </row>
    <row r="1185" ht="18.0" customHeight="1">
      <c r="A1185" s="17">
        <f>Github!J$1459</f>
        <v>1458</v>
      </c>
      <c r="B1185" s="27" t="str">
        <f>HYPERLINK(CONCAT("http://leetcode.com/problems/",Github!C$1459), Github!B$1459)</f>
        <v>Max Dot Product of Two Subsequences</v>
      </c>
      <c r="C1185" s="17">
        <f>Github!F$1459</f>
        <v>552</v>
      </c>
      <c r="D1185" s="17">
        <f>Github!G$1459</f>
        <v>11</v>
      </c>
      <c r="E1185" s="17">
        <f>Github!F$1459+Github!G$1459</f>
        <v>563</v>
      </c>
      <c r="F1185" s="18">
        <f t="shared" si="1"/>
        <v>50.18</v>
      </c>
      <c r="G1185" s="17" t="str">
        <f>Github!H$1459</f>
        <v>Algorithms</v>
      </c>
      <c r="H1185" s="19" t="str">
        <f>SUBSTITUTE(Github!L$1459, ";", ", ")</f>
        <v>Array, Dynamic Programming, </v>
      </c>
      <c r="I1185" s="17" t="str">
        <f>Github!E$1459</f>
        <v>Hard</v>
      </c>
      <c r="J1185" s="17" t="str">
        <f>IF(TRIM(Github!D$1459)="TRUE","FALSE","TRUE")</f>
        <v>TRUE</v>
      </c>
      <c r="K1185" s="17" t="b">
        <f>Github!M$1459</f>
        <v>0</v>
      </c>
      <c r="L1185" s="17" t="b">
        <f>Github!N$1459</f>
        <v>0</v>
      </c>
      <c r="M1185" s="17" t="str">
        <f>ROUND(Github!O$1459, 2)&amp;"%"</f>
        <v>45.02%</v>
      </c>
      <c r="N1185" s="17">
        <f>Github!P$1459</f>
        <v>15994</v>
      </c>
      <c r="O1185" s="17">
        <f>Github!Q$1459</f>
        <v>35527</v>
      </c>
    </row>
    <row r="1186" ht="18.0" customHeight="1">
      <c r="A1186" s="17">
        <f>Github!J$1538</f>
        <v>1537</v>
      </c>
      <c r="B1186" s="27" t="str">
        <f>HYPERLINK(CONCAT("http://leetcode.com/problems/",Github!C$1538), Github!B$1538)</f>
        <v>Get the Maximum Score</v>
      </c>
      <c r="C1186" s="17">
        <f>Github!F$1538</f>
        <v>552</v>
      </c>
      <c r="D1186" s="17">
        <f>Github!G$1538</f>
        <v>32</v>
      </c>
      <c r="E1186" s="17">
        <f>Github!F$1538+Github!G$1538</f>
        <v>584</v>
      </c>
      <c r="F1186" s="18">
        <f t="shared" si="1"/>
        <v>17.25</v>
      </c>
      <c r="G1186" s="17" t="str">
        <f>Github!H$1538</f>
        <v>Algorithms</v>
      </c>
      <c r="H1186" s="19" t="str">
        <f>SUBSTITUTE(Github!L$1538, ";", ", ")</f>
        <v>Array, Two Pointers, Dynamic Programming, Greedy, </v>
      </c>
      <c r="I1186" s="17" t="str">
        <f>Github!E$1538</f>
        <v>Hard</v>
      </c>
      <c r="J1186" s="17" t="str">
        <f>IF(TRIM(Github!D$1538)="TRUE","FALSE","TRUE")</f>
        <v>TRUE</v>
      </c>
      <c r="K1186" s="17" t="b">
        <f>Github!M$1538</f>
        <v>0</v>
      </c>
      <c r="L1186" s="17" t="b">
        <f>Github!N$1538</f>
        <v>0</v>
      </c>
      <c r="M1186" s="17" t="str">
        <f>ROUND(Github!O$1538, 2)&amp;"%"</f>
        <v>38.96%</v>
      </c>
      <c r="N1186" s="17">
        <f>Github!P$1538</f>
        <v>15883</v>
      </c>
      <c r="O1186" s="17">
        <f>Github!Q$1538</f>
        <v>40764</v>
      </c>
    </row>
    <row r="1187" ht="18.0" customHeight="1">
      <c r="A1187" s="17">
        <f>Github!J$1777</f>
        <v>1776</v>
      </c>
      <c r="B1187" s="27" t="str">
        <f>HYPERLINK(CONCAT("http://leetcode.com/problems/",Github!C$1777), Github!B$1777)</f>
        <v>Car Fleet II</v>
      </c>
      <c r="C1187" s="17">
        <f>Github!F$1777</f>
        <v>552</v>
      </c>
      <c r="D1187" s="17">
        <f>Github!G$1777</f>
        <v>15</v>
      </c>
      <c r="E1187" s="17">
        <f>Github!F$1777+Github!G$1777</f>
        <v>567</v>
      </c>
      <c r="F1187" s="18">
        <f t="shared" si="1"/>
        <v>36.8</v>
      </c>
      <c r="G1187" s="17" t="str">
        <f>Github!H$1777</f>
        <v>Algorithms</v>
      </c>
      <c r="H1187" s="19" t="str">
        <f>SUBSTITUTE(Github!L$1777, ";", ", ")</f>
        <v>Array, Math, Stack, Heap (Priority Queue), Monotonic Stack, </v>
      </c>
      <c r="I1187" s="17" t="str">
        <f>Github!E$1777</f>
        <v>Hard</v>
      </c>
      <c r="J1187" s="17" t="str">
        <f>IF(TRIM(Github!D$1777)="TRUE","FALSE","TRUE")</f>
        <v>TRUE</v>
      </c>
      <c r="K1187" s="17" t="b">
        <f>Github!M$1777</f>
        <v>0</v>
      </c>
      <c r="L1187" s="17" t="b">
        <f>Github!N$1777</f>
        <v>0</v>
      </c>
      <c r="M1187" s="17" t="str">
        <f>ROUND(Github!O$1777, 2)&amp;"%"</f>
        <v>52.63%</v>
      </c>
      <c r="N1187" s="17">
        <f>Github!P$1777</f>
        <v>17686</v>
      </c>
      <c r="O1187" s="17">
        <f>Github!Q$1777</f>
        <v>33605</v>
      </c>
    </row>
    <row r="1188" ht="18.0" customHeight="1">
      <c r="A1188" s="17">
        <f>Github!J$1689</f>
        <v>1688</v>
      </c>
      <c r="B1188" s="27" t="str">
        <f>HYPERLINK(CONCAT("http://leetcode.com/problems/",Github!C$1689), Github!B$1689)</f>
        <v>Count of Matches in Tournament</v>
      </c>
      <c r="C1188" s="17">
        <f>Github!F$1689</f>
        <v>551</v>
      </c>
      <c r="D1188" s="17">
        <f>Github!G$1689</f>
        <v>104</v>
      </c>
      <c r="E1188" s="17">
        <f>Github!F$1689+Github!G$1689</f>
        <v>655</v>
      </c>
      <c r="F1188" s="18">
        <f t="shared" si="1"/>
        <v>5.3</v>
      </c>
      <c r="G1188" s="17" t="str">
        <f>Github!H$1689</f>
        <v>Algorithms</v>
      </c>
      <c r="H1188" s="19" t="str">
        <f>SUBSTITUTE(Github!L$1689, ";", ", ")</f>
        <v>Math, Simulation, </v>
      </c>
      <c r="I1188" s="17" t="str">
        <f>Github!E$1689</f>
        <v>Easy</v>
      </c>
      <c r="J1188" s="17" t="str">
        <f>IF(TRIM(Github!D$1689)="TRUE","FALSE","TRUE")</f>
        <v>TRUE</v>
      </c>
      <c r="K1188" s="17" t="b">
        <f>Github!M$1689</f>
        <v>0</v>
      </c>
      <c r="L1188" s="17" t="b">
        <f>Github!N$1689</f>
        <v>0</v>
      </c>
      <c r="M1188" s="17" t="str">
        <f>ROUND(Github!O$1689, 2)&amp;"%"</f>
        <v>82.6%</v>
      </c>
      <c r="N1188" s="17">
        <f>Github!P$1689</f>
        <v>63652</v>
      </c>
      <c r="O1188" s="17">
        <f>Github!Q$1689</f>
        <v>77059</v>
      </c>
    </row>
    <row r="1189" ht="18.0" customHeight="1">
      <c r="A1189" s="17">
        <f>Github!J$252</f>
        <v>251</v>
      </c>
      <c r="B1189" s="27" t="str">
        <f>HYPERLINK(CONCAT("http://leetcode.com/problems/",Github!C$252), Github!B$252)</f>
        <v>Flatten 2D Vector</v>
      </c>
      <c r="C1189" s="17">
        <f>Github!F$252</f>
        <v>551</v>
      </c>
      <c r="D1189" s="17">
        <f>Github!G$252</f>
        <v>304</v>
      </c>
      <c r="E1189" s="17">
        <f>Github!F$252+Github!G$252</f>
        <v>855</v>
      </c>
      <c r="F1189" s="18">
        <f t="shared" si="1"/>
        <v>1.81</v>
      </c>
      <c r="G1189" s="17" t="str">
        <f>Github!H$252</f>
        <v>Algorithms</v>
      </c>
      <c r="H1189" s="19" t="str">
        <f>SUBSTITUTE(Github!L$252, ";", ", ")</f>
        <v>Array, Two Pointers, Design, Iterator, </v>
      </c>
      <c r="I1189" s="17" t="str">
        <f>Github!E$252</f>
        <v>Medium</v>
      </c>
      <c r="J1189" s="17" t="str">
        <f>IF(TRIM(Github!D$252)="TRUE","FALSE","TRUE")</f>
        <v>FALSE</v>
      </c>
      <c r="K1189" s="17" t="b">
        <f>Github!M$252</f>
        <v>1</v>
      </c>
      <c r="L1189" s="17" t="b">
        <f>Github!N$252</f>
        <v>0</v>
      </c>
      <c r="M1189" s="17" t="str">
        <f>ROUND(Github!O$252, 2)&amp;"%"</f>
        <v>47.74%</v>
      </c>
      <c r="N1189" s="17">
        <f>Github!P$252</f>
        <v>101083</v>
      </c>
      <c r="O1189" s="17">
        <f>Github!Q$252</f>
        <v>211755</v>
      </c>
    </row>
    <row r="1190" ht="18.0" customHeight="1">
      <c r="A1190" s="17">
        <f>Github!J$1285</f>
        <v>1284</v>
      </c>
      <c r="B1190" s="27" t="str">
        <f>HYPERLINK(CONCAT("http://leetcode.com/problems/",Github!C$1285), Github!B$1285)</f>
        <v>Minimum Number of Flips to Convert Binary Matrix to Zero Matrix</v>
      </c>
      <c r="C1190" s="17">
        <f>Github!F$1285</f>
        <v>550</v>
      </c>
      <c r="D1190" s="17">
        <f>Github!G$1285</f>
        <v>56</v>
      </c>
      <c r="E1190" s="17">
        <f>Github!F$1285+Github!G$1285</f>
        <v>606</v>
      </c>
      <c r="F1190" s="18">
        <f t="shared" si="1"/>
        <v>9.82</v>
      </c>
      <c r="G1190" s="17" t="str">
        <f>Github!H$1285</f>
        <v>Algorithms</v>
      </c>
      <c r="H1190" s="19" t="str">
        <f>SUBSTITUTE(Github!L$1285, ";", ", ")</f>
        <v>Array, Bit Manipulation, Breadth-First Search, Matrix, </v>
      </c>
      <c r="I1190" s="17" t="str">
        <f>Github!E$1285</f>
        <v>Hard</v>
      </c>
      <c r="J1190" s="17" t="str">
        <f>IF(TRIM(Github!D$1285)="TRUE","FALSE","TRUE")</f>
        <v>TRUE</v>
      </c>
      <c r="K1190" s="17" t="b">
        <f>Github!M$1285</f>
        <v>0</v>
      </c>
      <c r="L1190" s="17" t="b">
        <f>Github!N$1285</f>
        <v>0</v>
      </c>
      <c r="M1190" s="17" t="str">
        <f>ROUND(Github!O$1285, 2)&amp;"%"</f>
        <v>71.54%</v>
      </c>
      <c r="N1190" s="17">
        <f>Github!P$1285</f>
        <v>18974</v>
      </c>
      <c r="O1190" s="17">
        <f>Github!Q$1285</f>
        <v>26524</v>
      </c>
    </row>
    <row r="1191" ht="18.0" customHeight="1">
      <c r="A1191" s="17">
        <f>Github!J$1794</f>
        <v>1793</v>
      </c>
      <c r="B1191" s="27" t="str">
        <f>HYPERLINK(CONCAT("http://leetcode.com/problems/",Github!C$1794), Github!B$1794)</f>
        <v>Maximum Score of a Good Subarray</v>
      </c>
      <c r="C1191" s="17">
        <f>Github!F$1794</f>
        <v>550</v>
      </c>
      <c r="D1191" s="17">
        <f>Github!G$1794</f>
        <v>24</v>
      </c>
      <c r="E1191" s="17">
        <f>Github!F$1794+Github!G$1794</f>
        <v>574</v>
      </c>
      <c r="F1191" s="18">
        <f t="shared" si="1"/>
        <v>22.92</v>
      </c>
      <c r="G1191" s="17" t="str">
        <f>Github!H$1794</f>
        <v>Algorithms</v>
      </c>
      <c r="H1191" s="19" t="str">
        <f>SUBSTITUTE(Github!L$1794, ";", ", ")</f>
        <v>Array, Two Pointers, Binary Search, Stack, Monotonic Stack, </v>
      </c>
      <c r="I1191" s="17" t="str">
        <f>Github!E$1794</f>
        <v>Hard</v>
      </c>
      <c r="J1191" s="17" t="str">
        <f>IF(TRIM(Github!D$1794)="TRUE","FALSE","TRUE")</f>
        <v>TRUE</v>
      </c>
      <c r="K1191" s="17" t="b">
        <f>Github!M$1794</f>
        <v>0</v>
      </c>
      <c r="L1191" s="17" t="b">
        <f>Github!N$1794</f>
        <v>0</v>
      </c>
      <c r="M1191" s="17" t="str">
        <f>ROUND(Github!O$1794, 2)&amp;"%"</f>
        <v>51.33%</v>
      </c>
      <c r="N1191" s="17">
        <f>Github!P$1794</f>
        <v>12709</v>
      </c>
      <c r="O1191" s="17">
        <f>Github!Q$1794</f>
        <v>24757</v>
      </c>
    </row>
    <row r="1192" ht="18.0" customHeight="1">
      <c r="A1192" s="17">
        <f>Github!J$900</f>
        <v>899</v>
      </c>
      <c r="B1192" s="27" t="str">
        <f>HYPERLINK(CONCAT("http://leetcode.com/problems/",Github!C$900), Github!B$900)</f>
        <v>Orderly Queue</v>
      </c>
      <c r="C1192" s="17">
        <f>Github!F$900</f>
        <v>548</v>
      </c>
      <c r="D1192" s="17">
        <f>Github!G$900</f>
        <v>354</v>
      </c>
      <c r="E1192" s="17">
        <f>Github!F$900+Github!G$900</f>
        <v>902</v>
      </c>
      <c r="F1192" s="18">
        <f t="shared" si="1"/>
        <v>1.55</v>
      </c>
      <c r="G1192" s="17" t="str">
        <f>Github!H$900</f>
        <v>Algorithms</v>
      </c>
      <c r="H1192" s="19" t="str">
        <f>SUBSTITUTE(Github!L$900, ";", ", ")</f>
        <v>Math, String, Sorting, </v>
      </c>
      <c r="I1192" s="17" t="str">
        <f>Github!E$900</f>
        <v>Hard</v>
      </c>
      <c r="J1192" s="17" t="str">
        <f>IF(TRIM(Github!D$900)="TRUE","FALSE","TRUE")</f>
        <v>TRUE</v>
      </c>
      <c r="K1192" s="17" t="b">
        <f>Github!M$900</f>
        <v>1</v>
      </c>
      <c r="L1192" s="17" t="b">
        <f>Github!N$900</f>
        <v>0</v>
      </c>
      <c r="M1192" s="17" t="str">
        <f>ROUND(Github!O$900, 2)&amp;"%"</f>
        <v>58.5%</v>
      </c>
      <c r="N1192" s="17">
        <f>Github!P$900</f>
        <v>25408</v>
      </c>
      <c r="O1192" s="17">
        <f>Github!Q$900</f>
        <v>43430</v>
      </c>
    </row>
    <row r="1193" ht="18.0" customHeight="1">
      <c r="A1193" s="17">
        <f>Github!J$472</f>
        <v>471</v>
      </c>
      <c r="B1193" s="27" t="str">
        <f>HYPERLINK(CONCAT("http://leetcode.com/problems/",Github!C$472), Github!B$472)</f>
        <v>Encode String with Shortest Length</v>
      </c>
      <c r="C1193" s="17">
        <f>Github!F$472</f>
        <v>547</v>
      </c>
      <c r="D1193" s="17">
        <f>Github!G$472</f>
        <v>33</v>
      </c>
      <c r="E1193" s="17">
        <f>Github!F$472+Github!G$472</f>
        <v>580</v>
      </c>
      <c r="F1193" s="18">
        <f t="shared" si="1"/>
        <v>16.58</v>
      </c>
      <c r="G1193" s="17" t="str">
        <f>Github!H$472</f>
        <v>Algorithms</v>
      </c>
      <c r="H1193" s="19" t="str">
        <f>SUBSTITUTE(Github!L$472, ";", ", ")</f>
        <v>String, Dynamic Programming, </v>
      </c>
      <c r="I1193" s="17" t="str">
        <f>Github!E$472</f>
        <v>Hard</v>
      </c>
      <c r="J1193" s="17" t="str">
        <f>IF(TRIM(Github!D$472)="TRUE","FALSE","TRUE")</f>
        <v>FALSE</v>
      </c>
      <c r="K1193" s="17" t="b">
        <f>Github!M$472</f>
        <v>0</v>
      </c>
      <c r="L1193" s="17" t="b">
        <f>Github!N$472</f>
        <v>0</v>
      </c>
      <c r="M1193" s="17" t="str">
        <f>ROUND(Github!O$472, 2)&amp;"%"</f>
        <v>50.65%</v>
      </c>
      <c r="N1193" s="17">
        <f>Github!P$472</f>
        <v>27337</v>
      </c>
      <c r="O1193" s="17">
        <f>Github!Q$472</f>
        <v>53971</v>
      </c>
    </row>
    <row r="1194" ht="18.0" customHeight="1">
      <c r="A1194" s="17">
        <f>Github!J$282</f>
        <v>281</v>
      </c>
      <c r="B1194" s="27" t="str">
        <f>HYPERLINK(CONCAT("http://leetcode.com/problems/",Github!C$282), Github!B$282)</f>
        <v>Zigzag Iterator</v>
      </c>
      <c r="C1194" s="17">
        <f>Github!F$282</f>
        <v>546</v>
      </c>
      <c r="D1194" s="17">
        <f>Github!G$282</f>
        <v>30</v>
      </c>
      <c r="E1194" s="17">
        <f>Github!F$282+Github!G$282</f>
        <v>576</v>
      </c>
      <c r="F1194" s="18">
        <f t="shared" si="1"/>
        <v>18.2</v>
      </c>
      <c r="G1194" s="17" t="str">
        <f>Github!H$282</f>
        <v>Algorithms</v>
      </c>
      <c r="H1194" s="19" t="str">
        <f>SUBSTITUTE(Github!L$282, ";", ", ")</f>
        <v>Array, Design, Queue, Iterator, </v>
      </c>
      <c r="I1194" s="17" t="str">
        <f>Github!E$282</f>
        <v>Medium</v>
      </c>
      <c r="J1194" s="17" t="str">
        <f>IF(TRIM(Github!D$282)="TRUE","FALSE","TRUE")</f>
        <v>FALSE</v>
      </c>
      <c r="K1194" s="17" t="b">
        <f>Github!M$282</f>
        <v>1</v>
      </c>
      <c r="L1194" s="17" t="b">
        <f>Github!N$282</f>
        <v>0</v>
      </c>
      <c r="M1194" s="17" t="str">
        <f>ROUND(Github!O$282, 2)&amp;"%"</f>
        <v>61.25%</v>
      </c>
      <c r="N1194" s="17">
        <f>Github!P$282</f>
        <v>78668</v>
      </c>
      <c r="O1194" s="17">
        <f>Github!Q$282</f>
        <v>128442</v>
      </c>
    </row>
    <row r="1195" ht="18.0" customHeight="1">
      <c r="A1195" s="17">
        <f>Github!J$723</f>
        <v>722</v>
      </c>
      <c r="B1195" s="27" t="str">
        <f>HYPERLINK(CONCAT("http://leetcode.com/problems/",Github!C$723), Github!B$723)</f>
        <v>Remove Comments</v>
      </c>
      <c r="C1195" s="17">
        <f>Github!F$723</f>
        <v>546</v>
      </c>
      <c r="D1195" s="17">
        <f>Github!G$723</f>
        <v>1468</v>
      </c>
      <c r="E1195" s="17">
        <f>Github!F$723+Github!G$723</f>
        <v>2014</v>
      </c>
      <c r="F1195" s="18">
        <f t="shared" si="1"/>
        <v>0.37</v>
      </c>
      <c r="G1195" s="17" t="str">
        <f>Github!H$723</f>
        <v>Algorithms</v>
      </c>
      <c r="H1195" s="19" t="str">
        <f>SUBSTITUTE(Github!L$723, ";", ", ")</f>
        <v>Array, String, </v>
      </c>
      <c r="I1195" s="17" t="str">
        <f>Github!E$723</f>
        <v>Medium</v>
      </c>
      <c r="J1195" s="17" t="str">
        <f>IF(TRIM(Github!D$723)="TRUE","FALSE","TRUE")</f>
        <v>TRUE</v>
      </c>
      <c r="K1195" s="17" t="b">
        <f>Github!M$723</f>
        <v>0</v>
      </c>
      <c r="L1195" s="17" t="b">
        <f>Github!N$723</f>
        <v>0</v>
      </c>
      <c r="M1195" s="17" t="str">
        <f>ROUND(Github!O$723, 2)&amp;"%"</f>
        <v>37.28%</v>
      </c>
      <c r="N1195" s="17">
        <f>Github!P$723</f>
        <v>52457</v>
      </c>
      <c r="O1195" s="17">
        <f>Github!Q$723</f>
        <v>140709</v>
      </c>
    </row>
    <row r="1196" ht="18.0" customHeight="1">
      <c r="A1196" s="17">
        <f>Github!J$588</f>
        <v>587</v>
      </c>
      <c r="B1196" s="27" t="str">
        <f>HYPERLINK(CONCAT("http://leetcode.com/problems/",Github!C$588), Github!B$588)</f>
        <v>Erect the Fence</v>
      </c>
      <c r="C1196" s="17">
        <f>Github!F$588</f>
        <v>545</v>
      </c>
      <c r="D1196" s="17">
        <f>Github!G$588</f>
        <v>337</v>
      </c>
      <c r="E1196" s="17">
        <f>Github!F$588+Github!G$588</f>
        <v>882</v>
      </c>
      <c r="F1196" s="18">
        <f t="shared" si="1"/>
        <v>1.62</v>
      </c>
      <c r="G1196" s="17" t="str">
        <f>Github!H$588</f>
        <v>Algorithms</v>
      </c>
      <c r="H1196" s="19" t="str">
        <f>SUBSTITUTE(Github!L$588, ";", ", ")</f>
        <v>Array, Math, Geometry, </v>
      </c>
      <c r="I1196" s="17" t="str">
        <f>Github!E$588</f>
        <v>Hard</v>
      </c>
      <c r="J1196" s="17" t="str">
        <f>IF(TRIM(Github!D$588)="TRUE","FALSE","TRUE")</f>
        <v>TRUE</v>
      </c>
      <c r="K1196" s="17" t="b">
        <f>Github!M$588</f>
        <v>1</v>
      </c>
      <c r="L1196" s="17" t="b">
        <f>Github!N$588</f>
        <v>0</v>
      </c>
      <c r="M1196" s="17" t="str">
        <f>ROUND(Github!O$588, 2)&amp;"%"</f>
        <v>43.24%</v>
      </c>
      <c r="N1196" s="17">
        <f>Github!P$588</f>
        <v>23917</v>
      </c>
      <c r="O1196" s="17">
        <f>Github!Q$588</f>
        <v>55314</v>
      </c>
    </row>
    <row r="1197" ht="18.0" customHeight="1">
      <c r="A1197" s="17">
        <f>Github!J$1787</f>
        <v>1786</v>
      </c>
      <c r="B1197" s="27" t="str">
        <f>HYPERLINK(CONCAT("http://leetcode.com/problems/",Github!C$1787), Github!B$1787)</f>
        <v>Number of Restricted Paths From First to Last Node</v>
      </c>
      <c r="C1197" s="17">
        <f>Github!F$1787</f>
        <v>545</v>
      </c>
      <c r="D1197" s="17">
        <f>Github!G$1787</f>
        <v>97</v>
      </c>
      <c r="E1197" s="17">
        <f>Github!F$1787+Github!G$1787</f>
        <v>642</v>
      </c>
      <c r="F1197" s="18">
        <f t="shared" si="1"/>
        <v>5.62</v>
      </c>
      <c r="G1197" s="17" t="str">
        <f>Github!H$1787</f>
        <v>Algorithms</v>
      </c>
      <c r="H1197" s="19" t="str">
        <f>SUBSTITUTE(Github!L$1787, ";", ", ")</f>
        <v>Dynamic Programming, Graph, Topological Sort, Heap (Priority Queue), Shortest Path, </v>
      </c>
      <c r="I1197" s="17" t="str">
        <f>Github!E$1787</f>
        <v>Medium</v>
      </c>
      <c r="J1197" s="17" t="str">
        <f>IF(TRIM(Github!D$1787)="TRUE","FALSE","TRUE")</f>
        <v>TRUE</v>
      </c>
      <c r="K1197" s="17" t="b">
        <f>Github!M$1787</f>
        <v>0</v>
      </c>
      <c r="L1197" s="17" t="b">
        <f>Github!N$1787</f>
        <v>0</v>
      </c>
      <c r="M1197" s="17" t="str">
        <f>ROUND(Github!O$1787, 2)&amp;"%"</f>
        <v>38.07%</v>
      </c>
      <c r="N1197" s="17">
        <f>Github!P$1787</f>
        <v>11728</v>
      </c>
      <c r="O1197" s="17">
        <f>Github!Q$1787</f>
        <v>30805</v>
      </c>
    </row>
    <row r="1198" ht="18.0" customHeight="1">
      <c r="A1198" s="17">
        <f>Github!J$1451</f>
        <v>1450</v>
      </c>
      <c r="B1198" s="27" t="str">
        <f>HYPERLINK(CONCAT("http://leetcode.com/problems/",Github!C$1451), Github!B$1451)</f>
        <v>Number of Students Doing Homework at a Given Time</v>
      </c>
      <c r="C1198" s="17">
        <f>Github!F$1451</f>
        <v>543</v>
      </c>
      <c r="D1198" s="17">
        <f>Github!G$1451</f>
        <v>127</v>
      </c>
      <c r="E1198" s="17">
        <f>Github!F$1451+Github!G$1451</f>
        <v>670</v>
      </c>
      <c r="F1198" s="18">
        <f t="shared" si="1"/>
        <v>4.28</v>
      </c>
      <c r="G1198" s="17" t="str">
        <f>Github!H$1451</f>
        <v>Algorithms</v>
      </c>
      <c r="H1198" s="19" t="str">
        <f>SUBSTITUTE(Github!L$1451, ";", ", ")</f>
        <v>Array, </v>
      </c>
      <c r="I1198" s="17" t="str">
        <f>Github!E$1451</f>
        <v>Easy</v>
      </c>
      <c r="J1198" s="17" t="str">
        <f>IF(TRIM(Github!D$1451)="TRUE","FALSE","TRUE")</f>
        <v>TRUE</v>
      </c>
      <c r="K1198" s="17" t="b">
        <f>Github!M$1451</f>
        <v>0</v>
      </c>
      <c r="L1198" s="17" t="b">
        <f>Github!N$1451</f>
        <v>0</v>
      </c>
      <c r="M1198" s="17" t="str">
        <f>ROUND(Github!O$1451, 2)&amp;"%"</f>
        <v>76.48%</v>
      </c>
      <c r="N1198" s="17">
        <f>Github!P$1451</f>
        <v>81006</v>
      </c>
      <c r="O1198" s="17">
        <f>Github!Q$1451</f>
        <v>105912</v>
      </c>
    </row>
    <row r="1199" ht="18.0" customHeight="1">
      <c r="A1199" s="17">
        <f>Github!J$1350</f>
        <v>1349</v>
      </c>
      <c r="B1199" s="27" t="str">
        <f>HYPERLINK(CONCAT("http://leetcode.com/problems/",Github!C$1350), Github!B$1350)</f>
        <v>Maximum Students Taking Exam</v>
      </c>
      <c r="C1199" s="17">
        <f>Github!F$1350</f>
        <v>542</v>
      </c>
      <c r="D1199" s="17">
        <f>Github!G$1350</f>
        <v>10</v>
      </c>
      <c r="E1199" s="17">
        <f>Github!F$1350+Github!G$1350</f>
        <v>552</v>
      </c>
      <c r="F1199" s="18">
        <f t="shared" si="1"/>
        <v>54.2</v>
      </c>
      <c r="G1199" s="17" t="str">
        <f>Github!H$1350</f>
        <v>Algorithms</v>
      </c>
      <c r="H1199" s="19" t="str">
        <f>SUBSTITUTE(Github!L$1350, ";", ", ")</f>
        <v>Array, Dynamic Programming, Bit Manipulation, Matrix, Bitmask, </v>
      </c>
      <c r="I1199" s="17" t="str">
        <f>Github!E$1350</f>
        <v>Hard</v>
      </c>
      <c r="J1199" s="17" t="str">
        <f>IF(TRIM(Github!D$1350)="TRUE","FALSE","TRUE")</f>
        <v>TRUE</v>
      </c>
      <c r="K1199" s="17" t="b">
        <f>Github!M$1350</f>
        <v>0</v>
      </c>
      <c r="L1199" s="17" t="b">
        <f>Github!N$1350</f>
        <v>0</v>
      </c>
      <c r="M1199" s="17" t="str">
        <f>ROUND(Github!O$1350, 2)&amp;"%"</f>
        <v>46.61%</v>
      </c>
      <c r="N1199" s="17">
        <f>Github!P$1350</f>
        <v>9680</v>
      </c>
      <c r="O1199" s="17">
        <f>Github!Q$1350</f>
        <v>20769</v>
      </c>
    </row>
    <row r="1200" ht="18.0" customHeight="1">
      <c r="A1200" s="17">
        <f>Github!J$1344</f>
        <v>1343</v>
      </c>
      <c r="B1200" s="27" t="str">
        <f>HYPERLINK(CONCAT("http://leetcode.com/problems/",Github!C$1344), Github!B$1344)</f>
        <v>Number of Sub-arrays of Size K and Average Greater than or Equal to Threshold</v>
      </c>
      <c r="C1200" s="17">
        <f>Github!F$1344</f>
        <v>540</v>
      </c>
      <c r="D1200" s="17">
        <f>Github!G$1344</f>
        <v>56</v>
      </c>
      <c r="E1200" s="17">
        <f>Github!F$1344+Github!G$1344</f>
        <v>596</v>
      </c>
      <c r="F1200" s="18">
        <f t="shared" si="1"/>
        <v>9.64</v>
      </c>
      <c r="G1200" s="17" t="str">
        <f>Github!H$1344</f>
        <v>Algorithms</v>
      </c>
      <c r="H1200" s="19" t="str">
        <f>SUBSTITUTE(Github!L$1344, ";", ", ")</f>
        <v>Array, Sliding Window, </v>
      </c>
      <c r="I1200" s="17" t="str">
        <f>Github!E$1344</f>
        <v>Medium</v>
      </c>
      <c r="J1200" s="17" t="str">
        <f>IF(TRIM(Github!D$1344)="TRUE","FALSE","TRUE")</f>
        <v>TRUE</v>
      </c>
      <c r="K1200" s="17" t="b">
        <f>Github!M$1344</f>
        <v>0</v>
      </c>
      <c r="L1200" s="17" t="b">
        <f>Github!N$1344</f>
        <v>0</v>
      </c>
      <c r="M1200" s="17" t="str">
        <f>ROUND(Github!O$1344, 2)&amp;"%"</f>
        <v>67.86%</v>
      </c>
      <c r="N1200" s="17">
        <f>Github!P$1344</f>
        <v>30751</v>
      </c>
      <c r="O1200" s="17">
        <f>Github!Q$1344</f>
        <v>45311</v>
      </c>
    </row>
    <row r="1201" ht="18.0" customHeight="1">
      <c r="A1201" s="17">
        <f>Github!J$1474</f>
        <v>1473</v>
      </c>
      <c r="B1201" s="27" t="str">
        <f>HYPERLINK(CONCAT("http://leetcode.com/problems/",Github!C$1474), Github!B$1474)</f>
        <v>Paint House III</v>
      </c>
      <c r="C1201" s="17">
        <f>Github!F$1474</f>
        <v>539</v>
      </c>
      <c r="D1201" s="17">
        <f>Github!G$1474</f>
        <v>28</v>
      </c>
      <c r="E1201" s="17">
        <f>Github!F$1474+Github!G$1474</f>
        <v>567</v>
      </c>
      <c r="F1201" s="18">
        <f t="shared" si="1"/>
        <v>19.25</v>
      </c>
      <c r="G1201" s="17" t="str">
        <f>Github!H$1474</f>
        <v>Algorithms</v>
      </c>
      <c r="H1201" s="19" t="str">
        <f>SUBSTITUTE(Github!L$1474, ";", ", ")</f>
        <v>Array, Dynamic Programming, </v>
      </c>
      <c r="I1201" s="17" t="str">
        <f>Github!E$1474</f>
        <v>Hard</v>
      </c>
      <c r="J1201" s="17" t="str">
        <f>IF(TRIM(Github!D$1474)="TRUE","FALSE","TRUE")</f>
        <v>TRUE</v>
      </c>
      <c r="K1201" s="17" t="b">
        <f>Github!M$1474</f>
        <v>1</v>
      </c>
      <c r="L1201" s="17" t="b">
        <f>Github!N$1474</f>
        <v>0</v>
      </c>
      <c r="M1201" s="17" t="str">
        <f>ROUND(Github!O$1474, 2)&amp;"%"</f>
        <v>50.59%</v>
      </c>
      <c r="N1201" s="17">
        <f>Github!P$1474</f>
        <v>14689</v>
      </c>
      <c r="O1201" s="17">
        <f>Github!Q$1474</f>
        <v>29038</v>
      </c>
    </row>
    <row r="1202" ht="18.0" customHeight="1">
      <c r="A1202" s="17">
        <f>Github!J$1825</f>
        <v>1824</v>
      </c>
      <c r="B1202" s="27" t="str">
        <f>HYPERLINK(CONCAT("http://leetcode.com/problems/",Github!C$1825), Github!B$1825)</f>
        <v>Minimum Sideway Jumps</v>
      </c>
      <c r="C1202" s="17">
        <f>Github!F$1825</f>
        <v>536</v>
      </c>
      <c r="D1202" s="17">
        <f>Github!G$1825</f>
        <v>26</v>
      </c>
      <c r="E1202" s="17">
        <f>Github!F$1825+Github!G$1825</f>
        <v>562</v>
      </c>
      <c r="F1202" s="18">
        <f t="shared" si="1"/>
        <v>20.62</v>
      </c>
      <c r="G1202" s="17" t="str">
        <f>Github!H$1825</f>
        <v>Algorithms</v>
      </c>
      <c r="H1202" s="19" t="str">
        <f>SUBSTITUTE(Github!L$1825, ";", ", ")</f>
        <v>Array, Dynamic Programming, Greedy, </v>
      </c>
      <c r="I1202" s="17" t="str">
        <f>Github!E$1825</f>
        <v>Medium</v>
      </c>
      <c r="J1202" s="17" t="str">
        <f>IF(TRIM(Github!D$1825)="TRUE","FALSE","TRUE")</f>
        <v>TRUE</v>
      </c>
      <c r="K1202" s="17" t="b">
        <f>Github!M$1825</f>
        <v>0</v>
      </c>
      <c r="L1202" s="17" t="b">
        <f>Github!N$1825</f>
        <v>0</v>
      </c>
      <c r="M1202" s="17" t="str">
        <f>ROUND(Github!O$1825, 2)&amp;"%"</f>
        <v>49.22%</v>
      </c>
      <c r="N1202" s="17">
        <f>Github!P$1825</f>
        <v>15541</v>
      </c>
      <c r="O1202" s="17">
        <f>Github!Q$1825</f>
        <v>31574</v>
      </c>
    </row>
    <row r="1203" ht="18.0" customHeight="1">
      <c r="A1203" s="17">
        <f>Github!J$361</f>
        <v>360</v>
      </c>
      <c r="B1203" s="27" t="str">
        <f>HYPERLINK(CONCAT("http://leetcode.com/problems/",Github!C$361), Github!B$361)</f>
        <v>Sort Transformed Array</v>
      </c>
      <c r="C1203" s="17">
        <f>Github!F$361</f>
        <v>534</v>
      </c>
      <c r="D1203" s="17">
        <f>Github!G$361</f>
        <v>155</v>
      </c>
      <c r="E1203" s="17">
        <f>Github!F$361+Github!G$361</f>
        <v>689</v>
      </c>
      <c r="F1203" s="18">
        <f t="shared" si="1"/>
        <v>3.45</v>
      </c>
      <c r="G1203" s="17" t="str">
        <f>Github!H$361</f>
        <v>Algorithms</v>
      </c>
      <c r="H1203" s="19" t="str">
        <f>SUBSTITUTE(Github!L$361, ";", ", ")</f>
        <v>Array, Math, Two Pointers, Sorting, </v>
      </c>
      <c r="I1203" s="17" t="str">
        <f>Github!E$361</f>
        <v>Medium</v>
      </c>
      <c r="J1203" s="17" t="str">
        <f>IF(TRIM(Github!D$361)="TRUE","FALSE","TRUE")</f>
        <v>FALSE</v>
      </c>
      <c r="K1203" s="17" t="b">
        <f>Github!M$361</f>
        <v>0</v>
      </c>
      <c r="L1203" s="17" t="b">
        <f>Github!N$361</f>
        <v>0</v>
      </c>
      <c r="M1203" s="17" t="str">
        <f>ROUND(Github!O$361, 2)&amp;"%"</f>
        <v>52.98%</v>
      </c>
      <c r="N1203" s="17">
        <f>Github!P$361</f>
        <v>51477</v>
      </c>
      <c r="O1203" s="17">
        <f>Github!Q$361</f>
        <v>97167</v>
      </c>
    </row>
    <row r="1204" ht="18.0" customHeight="1">
      <c r="A1204" s="17">
        <f>Github!J$1594</f>
        <v>1593</v>
      </c>
      <c r="B1204" s="27" t="str">
        <f>HYPERLINK(CONCAT("http://leetcode.com/problems/",Github!C$1594), Github!B$1594)</f>
        <v>Split a String Into the Max Number of Unique Substrings</v>
      </c>
      <c r="C1204" s="17">
        <f>Github!F$1594</f>
        <v>534</v>
      </c>
      <c r="D1204" s="17">
        <f>Github!G$1594</f>
        <v>23</v>
      </c>
      <c r="E1204" s="17">
        <f>Github!F$1594+Github!G$1594</f>
        <v>557</v>
      </c>
      <c r="F1204" s="18">
        <f t="shared" si="1"/>
        <v>23.22</v>
      </c>
      <c r="G1204" s="17" t="str">
        <f>Github!H$1594</f>
        <v>Algorithms</v>
      </c>
      <c r="H1204" s="19" t="str">
        <f>SUBSTITUTE(Github!L$1594, ";", ", ")</f>
        <v>Hash Table, String, Backtracking, </v>
      </c>
      <c r="I1204" s="17" t="str">
        <f>Github!E$1594</f>
        <v>Medium</v>
      </c>
      <c r="J1204" s="17" t="str">
        <f>IF(TRIM(Github!D$1594)="TRUE","FALSE","TRUE")</f>
        <v>TRUE</v>
      </c>
      <c r="K1204" s="17" t="b">
        <f>Github!M$1594</f>
        <v>0</v>
      </c>
      <c r="L1204" s="17" t="b">
        <f>Github!N$1594</f>
        <v>0</v>
      </c>
      <c r="M1204" s="17" t="str">
        <f>ROUND(Github!O$1594, 2)&amp;"%"</f>
        <v>54.02%</v>
      </c>
      <c r="N1204" s="17">
        <f>Github!P$1594</f>
        <v>19550</v>
      </c>
      <c r="O1204" s="17">
        <f>Github!Q$1594</f>
        <v>36189</v>
      </c>
    </row>
    <row r="1205" ht="18.0" customHeight="1">
      <c r="A1205" s="17">
        <f>Github!J$441</f>
        <v>440</v>
      </c>
      <c r="B1205" s="27" t="str">
        <f>HYPERLINK(CONCAT("http://leetcode.com/problems/",Github!C$441), Github!B$441)</f>
        <v>K-th Smallest in Lexicographical Order</v>
      </c>
      <c r="C1205" s="17">
        <f>Github!F$441</f>
        <v>533</v>
      </c>
      <c r="D1205" s="17">
        <f>Github!G$441</f>
        <v>72</v>
      </c>
      <c r="E1205" s="17">
        <f>Github!F$441+Github!G$441</f>
        <v>605</v>
      </c>
      <c r="F1205" s="18">
        <f t="shared" si="1"/>
        <v>7.4</v>
      </c>
      <c r="G1205" s="17" t="str">
        <f>Github!H$441</f>
        <v>Algorithms</v>
      </c>
      <c r="H1205" s="19" t="str">
        <f>SUBSTITUTE(Github!L$441, ";", ", ")</f>
        <v>Trie, </v>
      </c>
      <c r="I1205" s="17" t="str">
        <f>Github!E$441</f>
        <v>Hard</v>
      </c>
      <c r="J1205" s="17" t="str">
        <f>IF(TRIM(Github!D$441)="TRUE","FALSE","TRUE")</f>
        <v>TRUE</v>
      </c>
      <c r="K1205" s="17" t="b">
        <f>Github!M$441</f>
        <v>0</v>
      </c>
      <c r="L1205" s="17" t="b">
        <f>Github!N$441</f>
        <v>0</v>
      </c>
      <c r="M1205" s="17" t="str">
        <f>ROUND(Github!O$441, 2)&amp;"%"</f>
        <v>30.45%</v>
      </c>
      <c r="N1205" s="17">
        <f>Github!P$441</f>
        <v>17099</v>
      </c>
      <c r="O1205" s="17">
        <f>Github!Q$441</f>
        <v>56160</v>
      </c>
    </row>
    <row r="1206" ht="18.0" customHeight="1">
      <c r="A1206" s="17">
        <f>Github!J$950</f>
        <v>949</v>
      </c>
      <c r="B1206" s="27" t="str">
        <f>HYPERLINK(CONCAT("http://leetcode.com/problems/",Github!C$950), Github!B$950)</f>
        <v>Largest Time for Given Digits</v>
      </c>
      <c r="C1206" s="17">
        <f>Github!F$950</f>
        <v>533</v>
      </c>
      <c r="D1206" s="17">
        <f>Github!G$950</f>
        <v>892</v>
      </c>
      <c r="E1206" s="17">
        <f>Github!F$950+Github!G$950</f>
        <v>1425</v>
      </c>
      <c r="F1206" s="18">
        <f t="shared" si="1"/>
        <v>0.6</v>
      </c>
      <c r="G1206" s="17" t="str">
        <f>Github!H$950</f>
        <v>Algorithms</v>
      </c>
      <c r="H1206" s="19" t="str">
        <f>SUBSTITUTE(Github!L$950, ";", ", ")</f>
        <v>String, Enumeration, </v>
      </c>
      <c r="I1206" s="17" t="str">
        <f>Github!E$950</f>
        <v>Medium</v>
      </c>
      <c r="J1206" s="17" t="str">
        <f>IF(TRIM(Github!D$950)="TRUE","FALSE","TRUE")</f>
        <v>TRUE</v>
      </c>
      <c r="K1206" s="17" t="b">
        <f>Github!M$950</f>
        <v>1</v>
      </c>
      <c r="L1206" s="17" t="b">
        <f>Github!N$950</f>
        <v>0</v>
      </c>
      <c r="M1206" s="17" t="str">
        <f>ROUND(Github!O$950, 2)&amp;"%"</f>
        <v>35.5%</v>
      </c>
      <c r="N1206" s="17">
        <f>Github!P$950</f>
        <v>69565</v>
      </c>
      <c r="O1206" s="17">
        <f>Github!Q$950</f>
        <v>195962</v>
      </c>
    </row>
    <row r="1207" ht="18.0" customHeight="1">
      <c r="A1207" s="17">
        <f>Github!J$1723</f>
        <v>1722</v>
      </c>
      <c r="B1207" s="27" t="str">
        <f>HYPERLINK(CONCAT("http://leetcode.com/problems/",Github!C$1723), Github!B$1723)</f>
        <v>Minimize Hamming Distance After Swap Operations</v>
      </c>
      <c r="C1207" s="17">
        <f>Github!F$1723</f>
        <v>533</v>
      </c>
      <c r="D1207" s="17">
        <f>Github!G$1723</f>
        <v>16</v>
      </c>
      <c r="E1207" s="17">
        <f>Github!F$1723+Github!G$1723</f>
        <v>549</v>
      </c>
      <c r="F1207" s="18">
        <f t="shared" si="1"/>
        <v>33.31</v>
      </c>
      <c r="G1207" s="17" t="str">
        <f>Github!H$1723</f>
        <v>Algorithms</v>
      </c>
      <c r="H1207" s="19" t="str">
        <f>SUBSTITUTE(Github!L$1723, ";", ", ")</f>
        <v>Array, Depth-First Search, Union Find, </v>
      </c>
      <c r="I1207" s="17" t="str">
        <f>Github!E$1723</f>
        <v>Medium</v>
      </c>
      <c r="J1207" s="17" t="str">
        <f>IF(TRIM(Github!D$1723)="TRUE","FALSE","TRUE")</f>
        <v>TRUE</v>
      </c>
      <c r="K1207" s="17" t="b">
        <f>Github!M$1723</f>
        <v>0</v>
      </c>
      <c r="L1207" s="17" t="b">
        <f>Github!N$1723</f>
        <v>0</v>
      </c>
      <c r="M1207" s="17" t="str">
        <f>ROUND(Github!O$1723, 2)&amp;"%"</f>
        <v>47.34%</v>
      </c>
      <c r="N1207" s="17">
        <f>Github!P$1723</f>
        <v>11394</v>
      </c>
      <c r="O1207" s="17">
        <f>Github!Q$1723</f>
        <v>24070</v>
      </c>
    </row>
    <row r="1208" ht="18.0" customHeight="1">
      <c r="A1208" s="17">
        <f>Github!J$1883</f>
        <v>1882</v>
      </c>
      <c r="B1208" s="27" t="str">
        <f>HYPERLINK(CONCAT("http://leetcode.com/problems/",Github!C$1883), Github!B$1883)</f>
        <v>Process Tasks Using Servers</v>
      </c>
      <c r="C1208" s="17">
        <f>Github!F$1883</f>
        <v>533</v>
      </c>
      <c r="D1208" s="17">
        <f>Github!G$1883</f>
        <v>155</v>
      </c>
      <c r="E1208" s="17">
        <f>Github!F$1883+Github!G$1883</f>
        <v>688</v>
      </c>
      <c r="F1208" s="18">
        <f t="shared" si="1"/>
        <v>3.44</v>
      </c>
      <c r="G1208" s="17" t="str">
        <f>Github!H$1883</f>
        <v>Algorithms</v>
      </c>
      <c r="H1208" s="19" t="str">
        <f>SUBSTITUTE(Github!L$1883, ";", ", ")</f>
        <v>Array, Heap (Priority Queue), </v>
      </c>
      <c r="I1208" s="17" t="str">
        <f>Github!E$1883</f>
        <v>Medium</v>
      </c>
      <c r="J1208" s="17" t="str">
        <f>IF(TRIM(Github!D$1883)="TRUE","FALSE","TRUE")</f>
        <v>TRUE</v>
      </c>
      <c r="K1208" s="17" t="b">
        <f>Github!M$1883</f>
        <v>0</v>
      </c>
      <c r="L1208" s="17" t="b">
        <f>Github!N$1883</f>
        <v>0</v>
      </c>
      <c r="M1208" s="17" t="str">
        <f>ROUND(Github!O$1883, 2)&amp;"%"</f>
        <v>36.95%</v>
      </c>
      <c r="N1208" s="17">
        <f>Github!P$1883</f>
        <v>15690</v>
      </c>
      <c r="O1208" s="17">
        <f>Github!Q$1883</f>
        <v>42464</v>
      </c>
    </row>
    <row r="1209" ht="18.0" customHeight="1">
      <c r="A1209" s="17">
        <f>Github!J$1862</f>
        <v>1861</v>
      </c>
      <c r="B1209" s="27" t="str">
        <f>HYPERLINK(CONCAT("http://leetcode.com/problems/",Github!C$1862), Github!B$1862)</f>
        <v>Rotating the Box</v>
      </c>
      <c r="C1209" s="17">
        <f>Github!F$1862</f>
        <v>531</v>
      </c>
      <c r="D1209" s="17">
        <f>Github!G$1862</f>
        <v>29</v>
      </c>
      <c r="E1209" s="17">
        <f>Github!F$1862+Github!G$1862</f>
        <v>560</v>
      </c>
      <c r="F1209" s="18">
        <f t="shared" si="1"/>
        <v>18.31</v>
      </c>
      <c r="G1209" s="17" t="str">
        <f>Github!H$1862</f>
        <v>Algorithms</v>
      </c>
      <c r="H1209" s="19" t="str">
        <f>SUBSTITUTE(Github!L$1862, ";", ", ")</f>
        <v>Array, Two Pointers, Matrix, </v>
      </c>
      <c r="I1209" s="17" t="str">
        <f>Github!E$1862</f>
        <v>Medium</v>
      </c>
      <c r="J1209" s="17" t="str">
        <f>IF(TRIM(Github!D$1862)="TRUE","FALSE","TRUE")</f>
        <v>TRUE</v>
      </c>
      <c r="K1209" s="17" t="b">
        <f>Github!M$1862</f>
        <v>0</v>
      </c>
      <c r="L1209" s="17" t="b">
        <f>Github!N$1862</f>
        <v>0</v>
      </c>
      <c r="M1209" s="17" t="str">
        <f>ROUND(Github!O$1862, 2)&amp;"%"</f>
        <v>64.25%</v>
      </c>
      <c r="N1209" s="17">
        <f>Github!P$1862</f>
        <v>23825</v>
      </c>
      <c r="O1209" s="17">
        <f>Github!Q$1862</f>
        <v>37084</v>
      </c>
    </row>
    <row r="1210" ht="18.0" customHeight="1">
      <c r="A1210" s="17">
        <f>Github!J$508</f>
        <v>507</v>
      </c>
      <c r="B1210" s="27" t="str">
        <f>HYPERLINK(CONCAT("http://leetcode.com/problems/",Github!C$508), Github!B$508)</f>
        <v>Perfect Number</v>
      </c>
      <c r="C1210" s="17">
        <f>Github!F$508</f>
        <v>529</v>
      </c>
      <c r="D1210" s="17">
        <f>Github!G$508</f>
        <v>824</v>
      </c>
      <c r="E1210" s="17">
        <f>Github!F$508+Github!G$508</f>
        <v>1353</v>
      </c>
      <c r="F1210" s="18">
        <f t="shared" si="1"/>
        <v>0.64</v>
      </c>
      <c r="G1210" s="17" t="str">
        <f>Github!H$508</f>
        <v>Algorithms</v>
      </c>
      <c r="H1210" s="19" t="str">
        <f>SUBSTITUTE(Github!L$508, ";", ", ")</f>
        <v>Math, </v>
      </c>
      <c r="I1210" s="17" t="str">
        <f>Github!E$508</f>
        <v>Easy</v>
      </c>
      <c r="J1210" s="17" t="str">
        <f>IF(TRIM(Github!D$508)="TRUE","FALSE","TRUE")</f>
        <v>TRUE</v>
      </c>
      <c r="K1210" s="17" t="b">
        <f>Github!M$508</f>
        <v>1</v>
      </c>
      <c r="L1210" s="17" t="b">
        <f>Github!N$508</f>
        <v>0</v>
      </c>
      <c r="M1210" s="17" t="str">
        <f>ROUND(Github!O$508, 2)&amp;"%"</f>
        <v>37.53%</v>
      </c>
      <c r="N1210" s="17">
        <f>Github!P$508</f>
        <v>99028</v>
      </c>
      <c r="O1210" s="17">
        <f>Github!Q$508</f>
        <v>263863</v>
      </c>
    </row>
    <row r="1211" ht="18.0" customHeight="1">
      <c r="A1211" s="17">
        <f>Github!J$1392</f>
        <v>1391</v>
      </c>
      <c r="B1211" s="27" t="str">
        <f>HYPERLINK(CONCAT("http://leetcode.com/problems/",Github!C$1392), Github!B$1392)</f>
        <v>Check if There is a Valid Path in a Grid</v>
      </c>
      <c r="C1211" s="17">
        <f>Github!F$1392</f>
        <v>528</v>
      </c>
      <c r="D1211" s="17">
        <f>Github!G$1392</f>
        <v>237</v>
      </c>
      <c r="E1211" s="17">
        <f>Github!F$1392+Github!G$1392</f>
        <v>765</v>
      </c>
      <c r="F1211" s="18">
        <f t="shared" si="1"/>
        <v>2.23</v>
      </c>
      <c r="G1211" s="17" t="str">
        <f>Github!H$1392</f>
        <v>Algorithms</v>
      </c>
      <c r="H1211" s="19" t="str">
        <f>SUBSTITUTE(Github!L$1392, ";", ", ")</f>
        <v>Array, Depth-First Search, Breadth-First Search, Union Find, Matrix, </v>
      </c>
      <c r="I1211" s="17" t="str">
        <f>Github!E$1392</f>
        <v>Medium</v>
      </c>
      <c r="J1211" s="17" t="str">
        <f>IF(TRIM(Github!D$1392)="TRUE","FALSE","TRUE")</f>
        <v>TRUE</v>
      </c>
      <c r="K1211" s="17" t="b">
        <f>Github!M$1392</f>
        <v>0</v>
      </c>
      <c r="L1211" s="17" t="b">
        <f>Github!N$1392</f>
        <v>0</v>
      </c>
      <c r="M1211" s="17" t="str">
        <f>ROUND(Github!O$1392, 2)&amp;"%"</f>
        <v>46.48%</v>
      </c>
      <c r="N1211" s="17">
        <f>Github!P$1392</f>
        <v>20138</v>
      </c>
      <c r="O1211" s="17">
        <f>Github!Q$1392</f>
        <v>43323</v>
      </c>
    </row>
    <row r="1212" ht="18.0" customHeight="1">
      <c r="A1212" s="17">
        <f>Github!J$645</f>
        <v>644</v>
      </c>
      <c r="B1212" s="27" t="str">
        <f>HYPERLINK(CONCAT("http://leetcode.com/problems/",Github!C$645), Github!B$645)</f>
        <v>Maximum Average Subarray II</v>
      </c>
      <c r="C1212" s="17">
        <f>Github!F$645</f>
        <v>526</v>
      </c>
      <c r="D1212" s="17">
        <f>Github!G$645</f>
        <v>57</v>
      </c>
      <c r="E1212" s="17">
        <f>Github!F$645+Github!G$645</f>
        <v>583</v>
      </c>
      <c r="F1212" s="18">
        <f t="shared" si="1"/>
        <v>9.23</v>
      </c>
      <c r="G1212" s="17" t="str">
        <f>Github!H$645</f>
        <v>Algorithms</v>
      </c>
      <c r="H1212" s="19" t="str">
        <f>SUBSTITUTE(Github!L$645, ";", ", ")</f>
        <v>Array, Binary Search, </v>
      </c>
      <c r="I1212" s="17" t="str">
        <f>Github!E$645</f>
        <v>Hard</v>
      </c>
      <c r="J1212" s="17" t="str">
        <f>IF(TRIM(Github!D$645)="TRUE","FALSE","TRUE")</f>
        <v>FALSE</v>
      </c>
      <c r="K1212" s="17" t="b">
        <f>Github!M$645</f>
        <v>1</v>
      </c>
      <c r="L1212" s="17" t="b">
        <f>Github!N$645</f>
        <v>1</v>
      </c>
      <c r="M1212" s="17" t="str">
        <f>ROUND(Github!O$645, 2)&amp;"%"</f>
        <v>35.13%</v>
      </c>
      <c r="N1212" s="17">
        <f>Github!P$645</f>
        <v>17041</v>
      </c>
      <c r="O1212" s="17">
        <f>Github!Q$645</f>
        <v>48504</v>
      </c>
    </row>
    <row r="1213" ht="18.0" customHeight="1">
      <c r="A1213" s="17">
        <f>Github!J$1509</f>
        <v>1508</v>
      </c>
      <c r="B1213" s="27" t="str">
        <f>HYPERLINK(CONCAT("http://leetcode.com/problems/",Github!C$1509), Github!B$1509)</f>
        <v>Range Sum of Sorted Subarray Sums</v>
      </c>
      <c r="C1213" s="17">
        <f>Github!F$1509</f>
        <v>528</v>
      </c>
      <c r="D1213" s="17">
        <f>Github!G$1509</f>
        <v>99</v>
      </c>
      <c r="E1213" s="17">
        <f>Github!F$1509+Github!G$1509</f>
        <v>627</v>
      </c>
      <c r="F1213" s="18">
        <f t="shared" si="1"/>
        <v>5.33</v>
      </c>
      <c r="G1213" s="17" t="str">
        <f>Github!H$1509</f>
        <v>Algorithms</v>
      </c>
      <c r="H1213" s="19" t="str">
        <f>SUBSTITUTE(Github!L$1509, ";", ", ")</f>
        <v>Array, Two Pointers, Binary Search, Sorting, </v>
      </c>
      <c r="I1213" s="17" t="str">
        <f>Github!E$1509</f>
        <v>Medium</v>
      </c>
      <c r="J1213" s="17" t="str">
        <f>IF(TRIM(Github!D$1509)="TRUE","FALSE","TRUE")</f>
        <v>TRUE</v>
      </c>
      <c r="K1213" s="17" t="b">
        <f>Github!M$1509</f>
        <v>0</v>
      </c>
      <c r="L1213" s="17" t="b">
        <f>Github!N$1509</f>
        <v>0</v>
      </c>
      <c r="M1213" s="17" t="str">
        <f>ROUND(Github!O$1509, 2)&amp;"%"</f>
        <v>59.05%</v>
      </c>
      <c r="N1213" s="17">
        <f>Github!P$1509</f>
        <v>23544</v>
      </c>
      <c r="O1213" s="17">
        <f>Github!Q$1509</f>
        <v>39874</v>
      </c>
    </row>
    <row r="1214" ht="18.0" customHeight="1">
      <c r="A1214" s="17">
        <f>Github!J$1492</f>
        <v>1491</v>
      </c>
      <c r="B1214" s="27" t="str">
        <f>HYPERLINK(CONCAT("http://leetcode.com/problems/",Github!C$1492), Github!B$1492)</f>
        <v>Average Salary Excluding the Minimum and Maximum Salary</v>
      </c>
      <c r="C1214" s="17">
        <f>Github!F$1492</f>
        <v>527</v>
      </c>
      <c r="D1214" s="17">
        <f>Github!G$1492</f>
        <v>80</v>
      </c>
      <c r="E1214" s="17">
        <f>Github!F$1492+Github!G$1492</f>
        <v>607</v>
      </c>
      <c r="F1214" s="18">
        <f t="shared" si="1"/>
        <v>6.59</v>
      </c>
      <c r="G1214" s="17" t="str">
        <f>Github!H$1492</f>
        <v>Algorithms</v>
      </c>
      <c r="H1214" s="19" t="str">
        <f>SUBSTITUTE(Github!L$1492, ";", ", ")</f>
        <v>Array, Sorting, </v>
      </c>
      <c r="I1214" s="17" t="str">
        <f>Github!E$1492</f>
        <v>Easy</v>
      </c>
      <c r="J1214" s="17" t="str">
        <f>IF(TRIM(Github!D$1492)="TRUE","FALSE","TRUE")</f>
        <v>TRUE</v>
      </c>
      <c r="K1214" s="17" t="b">
        <f>Github!M$1492</f>
        <v>0</v>
      </c>
      <c r="L1214" s="17" t="b">
        <f>Github!N$1492</f>
        <v>0</v>
      </c>
      <c r="M1214" s="17" t="str">
        <f>ROUND(Github!O$1492, 2)&amp;"%"</f>
        <v>66.41%</v>
      </c>
      <c r="N1214" s="17">
        <f>Github!P$1492</f>
        <v>72311</v>
      </c>
      <c r="O1214" s="17">
        <f>Github!Q$1492</f>
        <v>108893</v>
      </c>
    </row>
    <row r="1215" ht="18.0" customHeight="1">
      <c r="A1215" s="17">
        <f>Github!J$518</f>
        <v>517</v>
      </c>
      <c r="B1215" s="27" t="str">
        <f>HYPERLINK(CONCAT("http://leetcode.com/problems/",Github!C$518), Github!B$518)</f>
        <v>Super Washing Machines</v>
      </c>
      <c r="C1215" s="17">
        <f>Github!F$518</f>
        <v>524</v>
      </c>
      <c r="D1215" s="17">
        <f>Github!G$518</f>
        <v>176</v>
      </c>
      <c r="E1215" s="17">
        <f>Github!F$518+Github!G$518</f>
        <v>700</v>
      </c>
      <c r="F1215" s="18">
        <f t="shared" si="1"/>
        <v>2.98</v>
      </c>
      <c r="G1215" s="17" t="str">
        <f>Github!H$518</f>
        <v>Algorithms</v>
      </c>
      <c r="H1215" s="19" t="str">
        <f>SUBSTITUTE(Github!L$518, ";", ", ")</f>
        <v>Array, Greedy, </v>
      </c>
      <c r="I1215" s="17" t="str">
        <f>Github!E$518</f>
        <v>Hard</v>
      </c>
      <c r="J1215" s="17" t="str">
        <f>IF(TRIM(Github!D$518)="TRUE","FALSE","TRUE")</f>
        <v>TRUE</v>
      </c>
      <c r="K1215" s="17" t="b">
        <f>Github!M$518</f>
        <v>0</v>
      </c>
      <c r="L1215" s="17" t="b">
        <f>Github!N$518</f>
        <v>0</v>
      </c>
      <c r="M1215" s="17" t="str">
        <f>ROUND(Github!O$518, 2)&amp;"%"</f>
        <v>39.28%</v>
      </c>
      <c r="N1215" s="17">
        <f>Github!P$518</f>
        <v>21463</v>
      </c>
      <c r="O1215" s="17">
        <f>Github!Q$518</f>
        <v>54635</v>
      </c>
    </row>
    <row r="1216" ht="18.0" customHeight="1">
      <c r="A1216" s="17">
        <f>Github!J$826</f>
        <v>825</v>
      </c>
      <c r="B1216" s="27" t="str">
        <f>HYPERLINK(CONCAT("http://leetcode.com/problems/",Github!C$826), Github!B$826)</f>
        <v>Friends Of Appropriate Ages</v>
      </c>
      <c r="C1216" s="17">
        <f>Github!F$826</f>
        <v>525</v>
      </c>
      <c r="D1216" s="17">
        <f>Github!G$826</f>
        <v>1010</v>
      </c>
      <c r="E1216" s="17">
        <f>Github!F$826+Github!G$826</f>
        <v>1535</v>
      </c>
      <c r="F1216" s="18">
        <f t="shared" si="1"/>
        <v>0.52</v>
      </c>
      <c r="G1216" s="17" t="str">
        <f>Github!H$826</f>
        <v>Algorithms</v>
      </c>
      <c r="H1216" s="19" t="str">
        <f>SUBSTITUTE(Github!L$826, ";", ", ")</f>
        <v>Array, Two Pointers, Binary Search, Sorting, </v>
      </c>
      <c r="I1216" s="17" t="str">
        <f>Github!E$826</f>
        <v>Medium</v>
      </c>
      <c r="J1216" s="17" t="str">
        <f>IF(TRIM(Github!D$826)="TRUE","FALSE","TRUE")</f>
        <v>TRUE</v>
      </c>
      <c r="K1216" s="17" t="b">
        <f>Github!M$826</f>
        <v>0</v>
      </c>
      <c r="L1216" s="17" t="b">
        <f>Github!N$826</f>
        <v>0</v>
      </c>
      <c r="M1216" s="17" t="str">
        <f>ROUND(Github!O$826, 2)&amp;"%"</f>
        <v>45.71%</v>
      </c>
      <c r="N1216" s="17">
        <f>Github!P$826</f>
        <v>61220</v>
      </c>
      <c r="O1216" s="17">
        <f>Github!Q$826</f>
        <v>133920</v>
      </c>
    </row>
    <row r="1217" ht="18.0" customHeight="1">
      <c r="A1217" s="17">
        <f>Github!J$1024</f>
        <v>1023</v>
      </c>
      <c r="B1217" s="27" t="str">
        <f>HYPERLINK(CONCAT("http://leetcode.com/problems/",Github!C$1024), Github!B$1024)</f>
        <v>Camelcase Matching</v>
      </c>
      <c r="C1217" s="17">
        <f>Github!F$1024</f>
        <v>522</v>
      </c>
      <c r="D1217" s="17">
        <f>Github!G$1024</f>
        <v>217</v>
      </c>
      <c r="E1217" s="17">
        <f>Github!F$1024+Github!G$1024</f>
        <v>739</v>
      </c>
      <c r="F1217" s="18">
        <f t="shared" si="1"/>
        <v>2.41</v>
      </c>
      <c r="G1217" s="17" t="str">
        <f>Github!H$1024</f>
        <v>Algorithms</v>
      </c>
      <c r="H1217" s="19" t="str">
        <f>SUBSTITUTE(Github!L$1024, ";", ", ")</f>
        <v>Two Pointers, String, Trie, String Matching, </v>
      </c>
      <c r="I1217" s="17" t="str">
        <f>Github!E$1024</f>
        <v>Medium</v>
      </c>
      <c r="J1217" s="17" t="str">
        <f>IF(TRIM(Github!D$1024)="TRUE","FALSE","TRUE")</f>
        <v>TRUE</v>
      </c>
      <c r="K1217" s="17" t="b">
        <f>Github!M$1024</f>
        <v>0</v>
      </c>
      <c r="L1217" s="17" t="b">
        <f>Github!N$1024</f>
        <v>0</v>
      </c>
      <c r="M1217" s="17" t="str">
        <f>ROUND(Github!O$1024, 2)&amp;"%"</f>
        <v>58.93%</v>
      </c>
      <c r="N1217" s="17">
        <f>Github!P$1024</f>
        <v>30293</v>
      </c>
      <c r="O1217" s="17">
        <f>Github!Q$1024</f>
        <v>51403</v>
      </c>
    </row>
    <row r="1218" ht="18.0" customHeight="1">
      <c r="A1218" s="17">
        <f>Github!J$2007</f>
        <v>2006</v>
      </c>
      <c r="B1218" s="27" t="str">
        <f>HYPERLINK(CONCAT("http://leetcode.com/problems/",Github!C$2007), Github!B$2007)</f>
        <v>Count Number of Pairs With Absolute Difference K</v>
      </c>
      <c r="C1218" s="17">
        <f>Github!F$2007</f>
        <v>523</v>
      </c>
      <c r="D1218" s="17">
        <f>Github!G$2007</f>
        <v>13</v>
      </c>
      <c r="E1218" s="17">
        <f>Github!F$2007+Github!G$2007</f>
        <v>536</v>
      </c>
      <c r="F1218" s="18">
        <f t="shared" si="1"/>
        <v>40.23</v>
      </c>
      <c r="G1218" s="17" t="str">
        <f>Github!H$2007</f>
        <v>Algorithms</v>
      </c>
      <c r="H1218" s="19" t="str">
        <f>SUBSTITUTE(Github!L$2007, ";", ", ")</f>
        <v>Array, Hash Table, Counting, </v>
      </c>
      <c r="I1218" s="17" t="str">
        <f>Github!E$2007</f>
        <v>Easy</v>
      </c>
      <c r="J1218" s="17" t="str">
        <f>IF(TRIM(Github!D$2007)="TRUE","FALSE","TRUE")</f>
        <v>TRUE</v>
      </c>
      <c r="K1218" s="17" t="b">
        <f>Github!M$2007</f>
        <v>0</v>
      </c>
      <c r="L1218" s="17" t="b">
        <f>Github!N$2007</f>
        <v>0</v>
      </c>
      <c r="M1218" s="17" t="str">
        <f>ROUND(Github!O$2007, 2)&amp;"%"</f>
        <v>83.14%</v>
      </c>
      <c r="N1218" s="17">
        <f>Github!P$2007</f>
        <v>40587</v>
      </c>
      <c r="O1218" s="17">
        <f>Github!Q$2007</f>
        <v>48818</v>
      </c>
    </row>
    <row r="1219" ht="18.0" customHeight="1">
      <c r="A1219" s="17">
        <f>Github!J$1764</f>
        <v>1763</v>
      </c>
      <c r="B1219" s="27" t="str">
        <f>HYPERLINK(CONCAT("http://leetcode.com/problems/",Github!C$1764), Github!B$1764)</f>
        <v>Longest Nice Substring</v>
      </c>
      <c r="C1219" s="17">
        <f>Github!F$1764</f>
        <v>522</v>
      </c>
      <c r="D1219" s="17">
        <f>Github!G$1764</f>
        <v>394</v>
      </c>
      <c r="E1219" s="17">
        <f>Github!F$1764+Github!G$1764</f>
        <v>916</v>
      </c>
      <c r="F1219" s="18">
        <f t="shared" si="1"/>
        <v>1.32</v>
      </c>
      <c r="G1219" s="17" t="str">
        <f>Github!H$1764</f>
        <v>Algorithms</v>
      </c>
      <c r="H1219" s="19" t="str">
        <f>SUBSTITUTE(Github!L$1764, ";", ", ")</f>
        <v>Hash Table, String, Bit Manipulation, Sliding Window, </v>
      </c>
      <c r="I1219" s="17" t="str">
        <f>Github!E$1764</f>
        <v>Easy</v>
      </c>
      <c r="J1219" s="17" t="str">
        <f>IF(TRIM(Github!D$1764)="TRUE","FALSE","TRUE")</f>
        <v>TRUE</v>
      </c>
      <c r="K1219" s="17" t="b">
        <f>Github!M$1764</f>
        <v>0</v>
      </c>
      <c r="L1219" s="17" t="b">
        <f>Github!N$1764</f>
        <v>0</v>
      </c>
      <c r="M1219" s="17" t="str">
        <f>ROUND(Github!O$1764, 2)&amp;"%"</f>
        <v>62.02%</v>
      </c>
      <c r="N1219" s="17">
        <f>Github!P$1764</f>
        <v>20931</v>
      </c>
      <c r="O1219" s="17">
        <f>Github!Q$1764</f>
        <v>33750</v>
      </c>
    </row>
    <row r="1220" ht="18.0" customHeight="1">
      <c r="A1220" s="17">
        <f>Github!J$762</f>
        <v>761</v>
      </c>
      <c r="B1220" s="27" t="str">
        <f>HYPERLINK(CONCAT("http://leetcode.com/problems/",Github!C$762), Github!B$762)</f>
        <v>Special Binary String</v>
      </c>
      <c r="C1220" s="17">
        <f>Github!F$762</f>
        <v>519</v>
      </c>
      <c r="D1220" s="17">
        <f>Github!G$762</f>
        <v>167</v>
      </c>
      <c r="E1220" s="17">
        <f>Github!F$762+Github!G$762</f>
        <v>686</v>
      </c>
      <c r="F1220" s="18">
        <f t="shared" si="1"/>
        <v>3.11</v>
      </c>
      <c r="G1220" s="17" t="str">
        <f>Github!H$762</f>
        <v>Algorithms</v>
      </c>
      <c r="H1220" s="19" t="str">
        <f>SUBSTITUTE(Github!L$762, ";", ", ")</f>
        <v>String, Recursion, </v>
      </c>
      <c r="I1220" s="17" t="str">
        <f>Github!E$762</f>
        <v>Hard</v>
      </c>
      <c r="J1220" s="17" t="str">
        <f>IF(TRIM(Github!D$762)="TRUE","FALSE","TRUE")</f>
        <v>TRUE</v>
      </c>
      <c r="K1220" s="17" t="b">
        <f>Github!M$762</f>
        <v>1</v>
      </c>
      <c r="L1220" s="17" t="b">
        <f>Github!N$762</f>
        <v>0</v>
      </c>
      <c r="M1220" s="17" t="str">
        <f>ROUND(Github!O$762, 2)&amp;"%"</f>
        <v>59.78%</v>
      </c>
      <c r="N1220" s="17">
        <f>Github!P$762</f>
        <v>13101</v>
      </c>
      <c r="O1220" s="17">
        <f>Github!Q$762</f>
        <v>21914</v>
      </c>
    </row>
    <row r="1221" ht="18.0" customHeight="1">
      <c r="A1221" s="17">
        <f>Github!J$937</f>
        <v>936</v>
      </c>
      <c r="B1221" s="27" t="str">
        <f>HYPERLINK(CONCAT("http://leetcode.com/problems/",Github!C$937), Github!B$937)</f>
        <v>Stamping The Sequence</v>
      </c>
      <c r="C1221" s="17">
        <f>Github!F$937</f>
        <v>519</v>
      </c>
      <c r="D1221" s="17">
        <f>Github!G$937</f>
        <v>123</v>
      </c>
      <c r="E1221" s="17">
        <f>Github!F$937+Github!G$937</f>
        <v>642</v>
      </c>
      <c r="F1221" s="18">
        <f t="shared" si="1"/>
        <v>4.22</v>
      </c>
      <c r="G1221" s="17" t="str">
        <f>Github!H$937</f>
        <v>Algorithms</v>
      </c>
      <c r="H1221" s="19" t="str">
        <f>SUBSTITUTE(Github!L$937, ";", ", ")</f>
        <v>String, Stack, Greedy, Queue, </v>
      </c>
      <c r="I1221" s="17" t="str">
        <f>Github!E$937</f>
        <v>Hard</v>
      </c>
      <c r="J1221" s="17" t="str">
        <f>IF(TRIM(Github!D$937)="TRUE","FALSE","TRUE")</f>
        <v>TRUE</v>
      </c>
      <c r="K1221" s="17" t="b">
        <f>Github!M$937</f>
        <v>1</v>
      </c>
      <c r="L1221" s="17" t="b">
        <f>Github!N$937</f>
        <v>0</v>
      </c>
      <c r="M1221" s="17" t="str">
        <f>ROUND(Github!O$937, 2)&amp;"%"</f>
        <v>53.5%</v>
      </c>
      <c r="N1221" s="17">
        <f>Github!P$937</f>
        <v>23734</v>
      </c>
      <c r="O1221" s="17">
        <f>Github!Q$937</f>
        <v>44366</v>
      </c>
    </row>
    <row r="1222" ht="18.0" customHeight="1">
      <c r="A1222" s="17">
        <f>Github!J$1178</f>
        <v>1177</v>
      </c>
      <c r="B1222" s="27" t="str">
        <f>HYPERLINK(CONCAT("http://leetcode.com/problems/",Github!C$1178), Github!B$1178)</f>
        <v>Can Make Palindrome from Substring</v>
      </c>
      <c r="C1222" s="17">
        <f>Github!F$1178</f>
        <v>518</v>
      </c>
      <c r="D1222" s="17">
        <f>Github!G$1178</f>
        <v>222</v>
      </c>
      <c r="E1222" s="17">
        <f>Github!F$1178+Github!G$1178</f>
        <v>740</v>
      </c>
      <c r="F1222" s="18">
        <f t="shared" si="1"/>
        <v>2.33</v>
      </c>
      <c r="G1222" s="17" t="str">
        <f>Github!H$1178</f>
        <v>Algorithms</v>
      </c>
      <c r="H1222" s="19" t="str">
        <f>SUBSTITUTE(Github!L$1178, ";", ", ")</f>
        <v>Hash Table, String, Bit Manipulation, Prefix Sum, </v>
      </c>
      <c r="I1222" s="17" t="str">
        <f>Github!E$1178</f>
        <v>Medium</v>
      </c>
      <c r="J1222" s="17" t="str">
        <f>IF(TRIM(Github!D$1178)="TRUE","FALSE","TRUE")</f>
        <v>TRUE</v>
      </c>
      <c r="K1222" s="17" t="b">
        <f>Github!M$1178</f>
        <v>0</v>
      </c>
      <c r="L1222" s="17" t="b">
        <f>Github!N$1178</f>
        <v>0</v>
      </c>
      <c r="M1222" s="17" t="str">
        <f>ROUND(Github!O$1178, 2)&amp;"%"</f>
        <v>37.24%</v>
      </c>
      <c r="N1222" s="17">
        <f>Github!P$1178</f>
        <v>19591</v>
      </c>
      <c r="O1222" s="17">
        <f>Github!Q$1178</f>
        <v>52608</v>
      </c>
    </row>
    <row r="1223" ht="18.0" customHeight="1">
      <c r="A1223" s="17">
        <f>Github!J$295</f>
        <v>294</v>
      </c>
      <c r="B1223" s="27" t="str">
        <f>HYPERLINK(CONCAT("http://leetcode.com/problems/",Github!C$295), Github!B$295)</f>
        <v>Flip Game II</v>
      </c>
      <c r="C1223" s="17">
        <f>Github!F$295</f>
        <v>516</v>
      </c>
      <c r="D1223" s="17">
        <f>Github!G$295</f>
        <v>49</v>
      </c>
      <c r="E1223" s="17">
        <f>Github!F$295+Github!G$295</f>
        <v>565</v>
      </c>
      <c r="F1223" s="18">
        <f t="shared" si="1"/>
        <v>10.53</v>
      </c>
      <c r="G1223" s="17" t="str">
        <f>Github!H$295</f>
        <v>Algorithms</v>
      </c>
      <c r="H1223" s="19" t="str">
        <f>SUBSTITUTE(Github!L$295, ";", ", ")</f>
        <v>Math, Dynamic Programming, Backtracking, Memoization, Game Theory, </v>
      </c>
      <c r="I1223" s="17" t="str">
        <f>Github!E$295</f>
        <v>Medium</v>
      </c>
      <c r="J1223" s="17" t="str">
        <f>IF(TRIM(Github!D$295)="TRUE","FALSE","TRUE")</f>
        <v>FALSE</v>
      </c>
      <c r="K1223" s="17" t="b">
        <f>Github!M$295</f>
        <v>0</v>
      </c>
      <c r="L1223" s="17" t="b">
        <f>Github!N$295</f>
        <v>0</v>
      </c>
      <c r="M1223" s="17" t="str">
        <f>ROUND(Github!O$295, 2)&amp;"%"</f>
        <v>51.41%</v>
      </c>
      <c r="N1223" s="17">
        <f>Github!P$295</f>
        <v>62800</v>
      </c>
      <c r="O1223" s="17">
        <f>Github!Q$295</f>
        <v>122161</v>
      </c>
    </row>
    <row r="1224" ht="18.0" customHeight="1">
      <c r="A1224" s="17">
        <f>Github!J$1911</f>
        <v>1910</v>
      </c>
      <c r="B1224" s="27" t="str">
        <f>HYPERLINK(CONCAT("http://leetcode.com/problems/",Github!C$1911), Github!B$1911)</f>
        <v>Remove All Occurrences of a Substring</v>
      </c>
      <c r="C1224" s="17">
        <f>Github!F$1911</f>
        <v>515</v>
      </c>
      <c r="D1224" s="17">
        <f>Github!G$1911</f>
        <v>30</v>
      </c>
      <c r="E1224" s="17">
        <f>Github!F$1911+Github!G$1911</f>
        <v>545</v>
      </c>
      <c r="F1224" s="18">
        <f t="shared" si="1"/>
        <v>17.17</v>
      </c>
      <c r="G1224" s="17" t="str">
        <f>Github!H$1911</f>
        <v>Algorithms</v>
      </c>
      <c r="H1224" s="19" t="str">
        <f>SUBSTITUTE(Github!L$1911, ";", ", ")</f>
        <v>String, </v>
      </c>
      <c r="I1224" s="17" t="str">
        <f>Github!E$1911</f>
        <v>Medium</v>
      </c>
      <c r="J1224" s="17" t="str">
        <f>IF(TRIM(Github!D$1911)="TRUE","FALSE","TRUE")</f>
        <v>TRUE</v>
      </c>
      <c r="K1224" s="17" t="b">
        <f>Github!M$1911</f>
        <v>0</v>
      </c>
      <c r="L1224" s="17" t="b">
        <f>Github!N$1911</f>
        <v>0</v>
      </c>
      <c r="M1224" s="17" t="str">
        <f>ROUND(Github!O$1911, 2)&amp;"%"</f>
        <v>71.85%</v>
      </c>
      <c r="N1224" s="17">
        <f>Github!P$1911</f>
        <v>23955</v>
      </c>
      <c r="O1224" s="17">
        <f>Github!Q$1911</f>
        <v>33339</v>
      </c>
    </row>
    <row r="1225" ht="18.0" customHeight="1">
      <c r="A1225" s="17">
        <f>Github!J$2008</f>
        <v>2007</v>
      </c>
      <c r="B1225" s="27" t="str">
        <f>HYPERLINK(CONCAT("http://leetcode.com/problems/",Github!C$2008), Github!B$2008)</f>
        <v>Find Original Array From Doubled Array</v>
      </c>
      <c r="C1225" s="17">
        <f>Github!F$2008</f>
        <v>517</v>
      </c>
      <c r="D1225" s="17">
        <f>Github!G$2008</f>
        <v>40</v>
      </c>
      <c r="E1225" s="17">
        <f>Github!F$2008+Github!G$2008</f>
        <v>557</v>
      </c>
      <c r="F1225" s="18">
        <f t="shared" si="1"/>
        <v>12.93</v>
      </c>
      <c r="G1225" s="17" t="str">
        <f>Github!H$2008</f>
        <v>Algorithms</v>
      </c>
      <c r="H1225" s="19" t="str">
        <f>SUBSTITUTE(Github!L$2008, ";", ", ")</f>
        <v>Array, Hash Table, Greedy, Sorting, </v>
      </c>
      <c r="I1225" s="17" t="str">
        <f>Github!E$2008</f>
        <v>Medium</v>
      </c>
      <c r="J1225" s="17" t="str">
        <f>IF(TRIM(Github!D$2008)="TRUE","FALSE","TRUE")</f>
        <v>TRUE</v>
      </c>
      <c r="K1225" s="17" t="b">
        <f>Github!M$2008</f>
        <v>0</v>
      </c>
      <c r="L1225" s="17" t="b">
        <f>Github!N$2008</f>
        <v>0</v>
      </c>
      <c r="M1225" s="17" t="str">
        <f>ROUND(Github!O$2008, 2)&amp;"%"</f>
        <v>37.43%</v>
      </c>
      <c r="N1225" s="17">
        <f>Github!P$2008</f>
        <v>35159</v>
      </c>
      <c r="O1225" s="17">
        <f>Github!Q$2008</f>
        <v>93923</v>
      </c>
    </row>
    <row r="1226" ht="18.0" customHeight="1">
      <c r="A1226" s="17">
        <f>Github!J$171</f>
        <v>170</v>
      </c>
      <c r="B1226" s="27" t="str">
        <f>HYPERLINK(CONCAT("http://leetcode.com/problems/",Github!C$171), Github!B$171)</f>
        <v>Two Sum III - Data structure design</v>
      </c>
      <c r="C1226" s="17">
        <f>Github!F$171</f>
        <v>514</v>
      </c>
      <c r="D1226" s="17">
        <f>Github!G$171</f>
        <v>361</v>
      </c>
      <c r="E1226" s="17">
        <f>Github!F$171+Github!G$171</f>
        <v>875</v>
      </c>
      <c r="F1226" s="18">
        <f t="shared" si="1"/>
        <v>1.42</v>
      </c>
      <c r="G1226" s="17" t="str">
        <f>Github!H$171</f>
        <v>Algorithms</v>
      </c>
      <c r="H1226" s="19" t="str">
        <f>SUBSTITUTE(Github!L$171, ";", ", ")</f>
        <v>Array, Hash Table, Two Pointers, Design, Data Stream, </v>
      </c>
      <c r="I1226" s="17" t="str">
        <f>Github!E$171</f>
        <v>Easy</v>
      </c>
      <c r="J1226" s="17" t="str">
        <f>IF(TRIM(Github!D$171)="TRUE","FALSE","TRUE")</f>
        <v>FALSE</v>
      </c>
      <c r="K1226" s="17" t="b">
        <f>Github!M$171</f>
        <v>1</v>
      </c>
      <c r="L1226" s="17" t="b">
        <f>Github!N$171</f>
        <v>0</v>
      </c>
      <c r="M1226" s="17" t="str">
        <f>ROUND(Github!O$171, 2)&amp;"%"</f>
        <v>36.56%</v>
      </c>
      <c r="N1226" s="17">
        <f>Github!P$171</f>
        <v>120786</v>
      </c>
      <c r="O1226" s="17">
        <f>Github!Q$171</f>
        <v>330411</v>
      </c>
    </row>
    <row r="1227" ht="18.0" customHeight="1">
      <c r="A1227" s="17">
        <f>Github!J$1828</f>
        <v>1827</v>
      </c>
      <c r="B1227" s="27" t="str">
        <f>HYPERLINK(CONCAT("http://leetcode.com/problems/",Github!C$1828), Github!B$1828)</f>
        <v>Minimum Operations to Make the Array Increasing</v>
      </c>
      <c r="C1227" s="17">
        <f>Github!F$1828</f>
        <v>516</v>
      </c>
      <c r="D1227" s="17">
        <f>Github!G$1828</f>
        <v>27</v>
      </c>
      <c r="E1227" s="17">
        <f>Github!F$1828+Github!G$1828</f>
        <v>543</v>
      </c>
      <c r="F1227" s="18">
        <f t="shared" si="1"/>
        <v>19.11</v>
      </c>
      <c r="G1227" s="17" t="str">
        <f>Github!H$1828</f>
        <v>Algorithms</v>
      </c>
      <c r="H1227" s="19" t="str">
        <f>SUBSTITUTE(Github!L$1828, ";", ", ")</f>
        <v>Array, Greedy, </v>
      </c>
      <c r="I1227" s="17" t="str">
        <f>Github!E$1828</f>
        <v>Easy</v>
      </c>
      <c r="J1227" s="17" t="str">
        <f>IF(TRIM(Github!D$1828)="TRUE","FALSE","TRUE")</f>
        <v>TRUE</v>
      </c>
      <c r="K1227" s="17" t="b">
        <f>Github!M$1828</f>
        <v>0</v>
      </c>
      <c r="L1227" s="17" t="b">
        <f>Github!N$1828</f>
        <v>0</v>
      </c>
      <c r="M1227" s="17" t="str">
        <f>ROUND(Github!O$1828, 2)&amp;"%"</f>
        <v>78.22%</v>
      </c>
      <c r="N1227" s="17">
        <f>Github!P$1828</f>
        <v>38697</v>
      </c>
      <c r="O1227" s="17">
        <f>Github!Q$1828</f>
        <v>49475</v>
      </c>
    </row>
    <row r="1228" ht="18.0" customHeight="1">
      <c r="A1228" s="17">
        <f>Github!J$1877</f>
        <v>1876</v>
      </c>
      <c r="B1228" s="27" t="str">
        <f>HYPERLINK(CONCAT("http://leetcode.com/problems/",Github!C$1877), Github!B$1877)</f>
        <v>Substrings of Size Three with Distinct Characters</v>
      </c>
      <c r="C1228" s="17">
        <f>Github!F$1877</f>
        <v>514</v>
      </c>
      <c r="D1228" s="17">
        <f>Github!G$1877</f>
        <v>17</v>
      </c>
      <c r="E1228" s="17">
        <f>Github!F$1877+Github!G$1877</f>
        <v>531</v>
      </c>
      <c r="F1228" s="18">
        <f t="shared" si="1"/>
        <v>30.24</v>
      </c>
      <c r="G1228" s="17" t="str">
        <f>Github!H$1877</f>
        <v>Algorithms</v>
      </c>
      <c r="H1228" s="19" t="str">
        <f>SUBSTITUTE(Github!L$1877, ";", ", ")</f>
        <v>Hash Table, String, Sliding Window, Counting, </v>
      </c>
      <c r="I1228" s="17" t="str">
        <f>Github!E$1877</f>
        <v>Easy</v>
      </c>
      <c r="J1228" s="17" t="str">
        <f>IF(TRIM(Github!D$1877)="TRUE","FALSE","TRUE")</f>
        <v>TRUE</v>
      </c>
      <c r="K1228" s="17" t="b">
        <f>Github!M$1877</f>
        <v>0</v>
      </c>
      <c r="L1228" s="17" t="b">
        <f>Github!N$1877</f>
        <v>0</v>
      </c>
      <c r="M1228" s="17" t="str">
        <f>ROUND(Github!O$1877, 2)&amp;"%"</f>
        <v>69.5%</v>
      </c>
      <c r="N1228" s="17">
        <f>Github!P$1877</f>
        <v>36791</v>
      </c>
      <c r="O1228" s="17">
        <f>Github!Q$1877</f>
        <v>52937</v>
      </c>
    </row>
    <row r="1229" ht="18.0" customHeight="1">
      <c r="A1229" s="17">
        <f>Github!J$1389</f>
        <v>1388</v>
      </c>
      <c r="B1229" s="27" t="str">
        <f>HYPERLINK(CONCAT("http://leetcode.com/problems/",Github!C$1389), Github!B$1389)</f>
        <v>Pizza With 3n Slices</v>
      </c>
      <c r="C1229" s="17">
        <f>Github!F$1389</f>
        <v>511</v>
      </c>
      <c r="D1229" s="17">
        <f>Github!G$1389</f>
        <v>9</v>
      </c>
      <c r="E1229" s="17">
        <f>Github!F$1389+Github!G$1389</f>
        <v>520</v>
      </c>
      <c r="F1229" s="18">
        <f t="shared" si="1"/>
        <v>56.78</v>
      </c>
      <c r="G1229" s="17" t="str">
        <f>Github!H$1389</f>
        <v>Algorithms</v>
      </c>
      <c r="H1229" s="19" t="str">
        <f>SUBSTITUTE(Github!L$1389, ";", ", ")</f>
        <v>Array, Dynamic Programming, Greedy, Heap (Priority Queue), </v>
      </c>
      <c r="I1229" s="17" t="str">
        <f>Github!E$1389</f>
        <v>Hard</v>
      </c>
      <c r="J1229" s="17" t="str">
        <f>IF(TRIM(Github!D$1389)="TRUE","FALSE","TRUE")</f>
        <v>TRUE</v>
      </c>
      <c r="K1229" s="17" t="b">
        <f>Github!M$1389</f>
        <v>0</v>
      </c>
      <c r="L1229" s="17" t="b">
        <f>Github!N$1389</f>
        <v>0</v>
      </c>
      <c r="M1229" s="17" t="str">
        <f>ROUND(Github!O$1389, 2)&amp;"%"</f>
        <v>48.39%</v>
      </c>
      <c r="N1229" s="17">
        <f>Github!P$1389</f>
        <v>7726</v>
      </c>
      <c r="O1229" s="17">
        <f>Github!Q$1389</f>
        <v>15965</v>
      </c>
    </row>
    <row r="1230" ht="18.0" customHeight="1">
      <c r="A1230" s="17">
        <f>Github!J$1270</f>
        <v>1269</v>
      </c>
      <c r="B1230" s="27" t="str">
        <f>HYPERLINK(CONCAT("http://leetcode.com/problems/",Github!C$1270), Github!B$1270)</f>
        <v>Number of Ways to Stay in the Same Place After Some Steps</v>
      </c>
      <c r="C1230" s="17">
        <f>Github!F$1270</f>
        <v>509</v>
      </c>
      <c r="D1230" s="17">
        <f>Github!G$1270</f>
        <v>29</v>
      </c>
      <c r="E1230" s="17">
        <f>Github!F$1270+Github!G$1270</f>
        <v>538</v>
      </c>
      <c r="F1230" s="18">
        <f t="shared" si="1"/>
        <v>17.55</v>
      </c>
      <c r="G1230" s="17" t="str">
        <f>Github!H$1270</f>
        <v>Algorithms</v>
      </c>
      <c r="H1230" s="19" t="str">
        <f>SUBSTITUTE(Github!L$1270, ";", ", ")</f>
        <v>Dynamic Programming, </v>
      </c>
      <c r="I1230" s="17" t="str">
        <f>Github!E$1270</f>
        <v>Hard</v>
      </c>
      <c r="J1230" s="17" t="str">
        <f>IF(TRIM(Github!D$1270)="TRUE","FALSE","TRUE")</f>
        <v>TRUE</v>
      </c>
      <c r="K1230" s="17" t="b">
        <f>Github!M$1270</f>
        <v>0</v>
      </c>
      <c r="L1230" s="17" t="b">
        <f>Github!N$1270</f>
        <v>0</v>
      </c>
      <c r="M1230" s="17" t="str">
        <f>ROUND(Github!O$1270, 2)&amp;"%"</f>
        <v>43.37%</v>
      </c>
      <c r="N1230" s="17">
        <f>Github!P$1270</f>
        <v>26666</v>
      </c>
      <c r="O1230" s="17">
        <f>Github!Q$1270</f>
        <v>61485</v>
      </c>
    </row>
    <row r="1231" ht="18.0" customHeight="1">
      <c r="A1231" s="17">
        <f>Github!J$901</f>
        <v>900</v>
      </c>
      <c r="B1231" s="27" t="str">
        <f>HYPERLINK(CONCAT("http://leetcode.com/problems/",Github!C$901), Github!B$901)</f>
        <v>RLE Iterator</v>
      </c>
      <c r="C1231" s="17">
        <f>Github!F$901</f>
        <v>508</v>
      </c>
      <c r="D1231" s="17">
        <f>Github!G$901</f>
        <v>141</v>
      </c>
      <c r="E1231" s="17">
        <f>Github!F$901+Github!G$901</f>
        <v>649</v>
      </c>
      <c r="F1231" s="18">
        <f t="shared" si="1"/>
        <v>3.6</v>
      </c>
      <c r="G1231" s="17" t="str">
        <f>Github!H$901</f>
        <v>Algorithms</v>
      </c>
      <c r="H1231" s="19" t="str">
        <f>SUBSTITUTE(Github!L$901, ";", ", ")</f>
        <v>Array, Design, Counting, Iterator, </v>
      </c>
      <c r="I1231" s="17" t="str">
        <f>Github!E$901</f>
        <v>Medium</v>
      </c>
      <c r="J1231" s="17" t="str">
        <f>IF(TRIM(Github!D$901)="TRUE","FALSE","TRUE")</f>
        <v>TRUE</v>
      </c>
      <c r="K1231" s="17" t="b">
        <f>Github!M$901</f>
        <v>0</v>
      </c>
      <c r="L1231" s="17" t="b">
        <f>Github!N$901</f>
        <v>0</v>
      </c>
      <c r="M1231" s="17" t="str">
        <f>ROUND(Github!O$901, 2)&amp;"%"</f>
        <v>58.49%</v>
      </c>
      <c r="N1231" s="17">
        <f>Github!P$901</f>
        <v>49698</v>
      </c>
      <c r="O1231" s="17">
        <f>Github!Q$901</f>
        <v>84969</v>
      </c>
    </row>
    <row r="1232" ht="18.0" customHeight="1">
      <c r="A1232" s="17">
        <f>Github!J$1753</f>
        <v>1752</v>
      </c>
      <c r="B1232" s="27" t="str">
        <f>HYPERLINK(CONCAT("http://leetcode.com/problems/",Github!C$1753), Github!B$1753)</f>
        <v>Check if Array Is Sorted and Rotated</v>
      </c>
      <c r="C1232" s="17">
        <f>Github!F$1753</f>
        <v>507</v>
      </c>
      <c r="D1232" s="17">
        <f>Github!G$1753</f>
        <v>47</v>
      </c>
      <c r="E1232" s="17">
        <f>Github!F$1753+Github!G$1753</f>
        <v>554</v>
      </c>
      <c r="F1232" s="18">
        <f t="shared" si="1"/>
        <v>10.79</v>
      </c>
      <c r="G1232" s="17" t="str">
        <f>Github!H$1753</f>
        <v>Algorithms</v>
      </c>
      <c r="H1232" s="19" t="str">
        <f>SUBSTITUTE(Github!L$1753, ";", ", ")</f>
        <v>Array, </v>
      </c>
      <c r="I1232" s="17" t="str">
        <f>Github!E$1753</f>
        <v>Easy</v>
      </c>
      <c r="J1232" s="17" t="str">
        <f>IF(TRIM(Github!D$1753)="TRUE","FALSE","TRUE")</f>
        <v>TRUE</v>
      </c>
      <c r="K1232" s="17" t="b">
        <f>Github!M$1753</f>
        <v>0</v>
      </c>
      <c r="L1232" s="17" t="b">
        <f>Github!N$1753</f>
        <v>0</v>
      </c>
      <c r="M1232" s="17" t="str">
        <f>ROUND(Github!O$1753, 2)&amp;"%"</f>
        <v>47.41%</v>
      </c>
      <c r="N1232" s="17">
        <f>Github!P$1753</f>
        <v>31213</v>
      </c>
      <c r="O1232" s="17">
        <f>Github!Q$1753</f>
        <v>65830</v>
      </c>
    </row>
    <row r="1233" ht="18.0" customHeight="1">
      <c r="A1233" s="17">
        <f>Github!J$2135</f>
        <v>2134</v>
      </c>
      <c r="B1233" s="27" t="str">
        <f>HYPERLINK(CONCAT("http://leetcode.com/problems/",Github!C$2135), Github!B$2135)</f>
        <v>Minimum Swaps to Group All 1's Together II</v>
      </c>
      <c r="C1233" s="17">
        <f>Github!F$2135</f>
        <v>506</v>
      </c>
      <c r="D1233" s="17">
        <f>Github!G$2135</f>
        <v>5</v>
      </c>
      <c r="E1233" s="17">
        <f>Github!F$2135+Github!G$2135</f>
        <v>511</v>
      </c>
      <c r="F1233" s="18">
        <f t="shared" si="1"/>
        <v>101.2</v>
      </c>
      <c r="G1233" s="17" t="str">
        <f>Github!H$2135</f>
        <v>Algorithms</v>
      </c>
      <c r="H1233" s="19" t="str">
        <f>SUBSTITUTE(Github!L$2135, ";", ", ")</f>
        <v>Array, Sliding Window, </v>
      </c>
      <c r="I1233" s="17" t="str">
        <f>Github!E$2135</f>
        <v>Medium</v>
      </c>
      <c r="J1233" s="17" t="str">
        <f>IF(TRIM(Github!D$2135)="TRUE","FALSE","TRUE")</f>
        <v>TRUE</v>
      </c>
      <c r="K1233" s="17" t="b">
        <f>Github!M$2135</f>
        <v>0</v>
      </c>
      <c r="L1233" s="17" t="b">
        <f>Github!N$2135</f>
        <v>0</v>
      </c>
      <c r="M1233" s="17" t="str">
        <f>ROUND(Github!O$2135, 2)&amp;"%"</f>
        <v>46.96%</v>
      </c>
      <c r="N1233" s="17">
        <f>Github!P$2135</f>
        <v>12262</v>
      </c>
      <c r="O1233" s="17">
        <f>Github!Q$2135</f>
        <v>26111</v>
      </c>
    </row>
    <row r="1234" ht="18.0" customHeight="1">
      <c r="A1234" s="17">
        <f>Github!J$1899</f>
        <v>1898</v>
      </c>
      <c r="B1234" s="27" t="str">
        <f>HYPERLINK(CONCAT("http://leetcode.com/problems/",Github!C$1899), Github!B$1899)</f>
        <v>Maximum Number of Removable Characters</v>
      </c>
      <c r="C1234" s="17">
        <f>Github!F$1899</f>
        <v>504</v>
      </c>
      <c r="D1234" s="17">
        <f>Github!G$1899</f>
        <v>61</v>
      </c>
      <c r="E1234" s="17">
        <f>Github!F$1899+Github!G$1899</f>
        <v>565</v>
      </c>
      <c r="F1234" s="18">
        <f t="shared" si="1"/>
        <v>8.26</v>
      </c>
      <c r="G1234" s="17" t="str">
        <f>Github!H$1899</f>
        <v>Algorithms</v>
      </c>
      <c r="H1234" s="19" t="str">
        <f>SUBSTITUTE(Github!L$1899, ";", ", ")</f>
        <v>Array, String, Binary Search, </v>
      </c>
      <c r="I1234" s="17" t="str">
        <f>Github!E$1899</f>
        <v>Medium</v>
      </c>
      <c r="J1234" s="17" t="str">
        <f>IF(TRIM(Github!D$1899)="TRUE","FALSE","TRUE")</f>
        <v>TRUE</v>
      </c>
      <c r="K1234" s="17" t="b">
        <f>Github!M$1899</f>
        <v>0</v>
      </c>
      <c r="L1234" s="17" t="b">
        <f>Github!N$1899</f>
        <v>0</v>
      </c>
      <c r="M1234" s="17" t="str">
        <f>ROUND(Github!O$1899, 2)&amp;"%"</f>
        <v>35.14%</v>
      </c>
      <c r="N1234" s="17">
        <f>Github!P$1899</f>
        <v>11713</v>
      </c>
      <c r="O1234" s="17">
        <f>Github!Q$1899</f>
        <v>33329</v>
      </c>
    </row>
    <row r="1235" ht="18.0" customHeight="1">
      <c r="A1235" s="17">
        <f>Github!J$1073</f>
        <v>1072</v>
      </c>
      <c r="B1235" s="27" t="str">
        <f>HYPERLINK(CONCAT("http://leetcode.com/problems/",Github!C$1073), Github!B$1073)</f>
        <v>Flip Columns For Maximum Number of Equal Rows</v>
      </c>
      <c r="C1235" s="17">
        <f>Github!F$1073</f>
        <v>504</v>
      </c>
      <c r="D1235" s="17">
        <f>Github!G$1073</f>
        <v>36</v>
      </c>
      <c r="E1235" s="17">
        <f>Github!F$1073+Github!G$1073</f>
        <v>540</v>
      </c>
      <c r="F1235" s="18">
        <f t="shared" si="1"/>
        <v>14</v>
      </c>
      <c r="G1235" s="17" t="str">
        <f>Github!H$1073</f>
        <v>Algorithms</v>
      </c>
      <c r="H1235" s="19" t="str">
        <f>SUBSTITUTE(Github!L$1073, ";", ", ")</f>
        <v>Array, Hash Table, Matrix, </v>
      </c>
      <c r="I1235" s="17" t="str">
        <f>Github!E$1073</f>
        <v>Medium</v>
      </c>
      <c r="J1235" s="17" t="str">
        <f>IF(TRIM(Github!D$1073)="TRUE","FALSE","TRUE")</f>
        <v>TRUE</v>
      </c>
      <c r="K1235" s="17" t="b">
        <f>Github!M$1073</f>
        <v>0</v>
      </c>
      <c r="L1235" s="17" t="b">
        <f>Github!N$1073</f>
        <v>0</v>
      </c>
      <c r="M1235" s="17" t="str">
        <f>ROUND(Github!O$1073, 2)&amp;"%"</f>
        <v>62.94%</v>
      </c>
      <c r="N1235" s="17">
        <f>Github!P$1073</f>
        <v>16343</v>
      </c>
      <c r="O1235" s="17">
        <f>Github!Q$1073</f>
        <v>25967</v>
      </c>
    </row>
    <row r="1236" ht="18.0" customHeight="1">
      <c r="A1236" s="17">
        <f>Github!J$1887</f>
        <v>1886</v>
      </c>
      <c r="B1236" s="27" t="str">
        <f>HYPERLINK(CONCAT("http://leetcode.com/problems/",Github!C$1887), Github!B$1887)</f>
        <v>Determine Whether Matrix Can Be Obtained By Rotation</v>
      </c>
      <c r="C1236" s="17">
        <f>Github!F$1887</f>
        <v>505</v>
      </c>
      <c r="D1236" s="17">
        <f>Github!G$1887</f>
        <v>46</v>
      </c>
      <c r="E1236" s="17">
        <f>Github!F$1887+Github!G$1887</f>
        <v>551</v>
      </c>
      <c r="F1236" s="18">
        <f t="shared" si="1"/>
        <v>10.98</v>
      </c>
      <c r="G1236" s="17" t="str">
        <f>Github!H$1887</f>
        <v>Algorithms</v>
      </c>
      <c r="H1236" s="19" t="str">
        <f>SUBSTITUTE(Github!L$1887, ";", ", ")</f>
        <v>Array, Matrix, </v>
      </c>
      <c r="I1236" s="17" t="str">
        <f>Github!E$1887</f>
        <v>Easy</v>
      </c>
      <c r="J1236" s="17" t="str">
        <f>IF(TRIM(Github!D$1887)="TRUE","FALSE","TRUE")</f>
        <v>TRUE</v>
      </c>
      <c r="K1236" s="17" t="b">
        <f>Github!M$1887</f>
        <v>0</v>
      </c>
      <c r="L1236" s="17" t="b">
        <f>Github!N$1887</f>
        <v>0</v>
      </c>
      <c r="M1236" s="17" t="str">
        <f>ROUND(Github!O$1887, 2)&amp;"%"</f>
        <v>54.69%</v>
      </c>
      <c r="N1236" s="17">
        <f>Github!P$1887</f>
        <v>25995</v>
      </c>
      <c r="O1236" s="17">
        <f>Github!Q$1887</f>
        <v>47535</v>
      </c>
    </row>
    <row r="1237" ht="18.0" customHeight="1">
      <c r="A1237" s="17">
        <f>Github!J$2009</f>
        <v>2008</v>
      </c>
      <c r="B1237" s="27" t="str">
        <f>HYPERLINK(CONCAT("http://leetcode.com/problems/",Github!C$2009), Github!B$2009)</f>
        <v>Maximum Earnings From Taxi</v>
      </c>
      <c r="C1237" s="17">
        <f>Github!F$2009</f>
        <v>503</v>
      </c>
      <c r="D1237" s="17">
        <f>Github!G$2009</f>
        <v>11</v>
      </c>
      <c r="E1237" s="17">
        <f>Github!F$2009+Github!G$2009</f>
        <v>514</v>
      </c>
      <c r="F1237" s="18">
        <f t="shared" si="1"/>
        <v>45.73</v>
      </c>
      <c r="G1237" s="17" t="str">
        <f>Github!H$2009</f>
        <v>Algorithms</v>
      </c>
      <c r="H1237" s="19" t="str">
        <f>SUBSTITUTE(Github!L$2009, ";", ", ")</f>
        <v>Array, Binary Search, Dynamic Programming, Sorting, </v>
      </c>
      <c r="I1237" s="17" t="str">
        <f>Github!E$2009</f>
        <v>Medium</v>
      </c>
      <c r="J1237" s="17" t="str">
        <f>IF(TRIM(Github!D$2009)="TRUE","FALSE","TRUE")</f>
        <v>TRUE</v>
      </c>
      <c r="K1237" s="17" t="b">
        <f>Github!M$2009</f>
        <v>0</v>
      </c>
      <c r="L1237" s="17" t="b">
        <f>Github!N$2009</f>
        <v>0</v>
      </c>
      <c r="M1237" s="17" t="str">
        <f>ROUND(Github!O$2009, 2)&amp;"%"</f>
        <v>42.56%</v>
      </c>
      <c r="N1237" s="17">
        <f>Github!P$2009</f>
        <v>10991</v>
      </c>
      <c r="O1237" s="17">
        <f>Github!Q$2009</f>
        <v>25828</v>
      </c>
    </row>
    <row r="1238" ht="18.0" customHeight="1">
      <c r="A1238" s="17">
        <f>Github!J$2105</f>
        <v>2104</v>
      </c>
      <c r="B1238" s="27" t="str">
        <f>HYPERLINK(CONCAT("http://leetcode.com/problems/",Github!C$2105), Github!B$2105)</f>
        <v>Sum of Subarray Ranges</v>
      </c>
      <c r="C1238" s="17">
        <f>Github!F$2105</f>
        <v>505</v>
      </c>
      <c r="D1238" s="17">
        <f>Github!G$2105</f>
        <v>19</v>
      </c>
      <c r="E1238" s="17">
        <f>Github!F$2105+Github!G$2105</f>
        <v>524</v>
      </c>
      <c r="F1238" s="18">
        <f t="shared" si="1"/>
        <v>26.58</v>
      </c>
      <c r="G1238" s="17" t="str">
        <f>Github!H$2105</f>
        <v>Algorithms</v>
      </c>
      <c r="H1238" s="19" t="str">
        <f>SUBSTITUTE(Github!L$2105, ";", ", ")</f>
        <v>Array, Stack, Monotonic Stack, </v>
      </c>
      <c r="I1238" s="17" t="str">
        <f>Github!E$2105</f>
        <v>Medium</v>
      </c>
      <c r="J1238" s="17" t="str">
        <f>IF(TRIM(Github!D$2105)="TRUE","FALSE","TRUE")</f>
        <v>TRUE</v>
      </c>
      <c r="K1238" s="17" t="b">
        <f>Github!M$2105</f>
        <v>0</v>
      </c>
      <c r="L1238" s="17" t="b">
        <f>Github!N$2105</f>
        <v>0</v>
      </c>
      <c r="M1238" s="17" t="str">
        <f>ROUND(Github!O$2105, 2)&amp;"%"</f>
        <v>59.92%</v>
      </c>
      <c r="N1238" s="17">
        <f>Github!P$2105</f>
        <v>18245</v>
      </c>
      <c r="O1238" s="17">
        <f>Github!Q$2105</f>
        <v>30449</v>
      </c>
    </row>
    <row r="1239" ht="18.0" customHeight="1">
      <c r="A1239" s="17">
        <f>Github!J$883</f>
        <v>882</v>
      </c>
      <c r="B1239" s="27" t="str">
        <f>HYPERLINK(CONCAT("http://leetcode.com/problems/",Github!C$883), Github!B$883)</f>
        <v>Reachable Nodes In Subdivided Graph</v>
      </c>
      <c r="C1239" s="17">
        <f>Github!F$883</f>
        <v>502</v>
      </c>
      <c r="D1239" s="17">
        <f>Github!G$883</f>
        <v>197</v>
      </c>
      <c r="E1239" s="17">
        <f>Github!F$883+Github!G$883</f>
        <v>699</v>
      </c>
      <c r="F1239" s="18">
        <f t="shared" si="1"/>
        <v>2.55</v>
      </c>
      <c r="G1239" s="17" t="str">
        <f>Github!H$883</f>
        <v>Algorithms</v>
      </c>
      <c r="H1239" s="19" t="str">
        <f>SUBSTITUTE(Github!L$883, ";", ", ")</f>
        <v>Graph, Heap (Priority Queue), Shortest Path, </v>
      </c>
      <c r="I1239" s="17" t="str">
        <f>Github!E$883</f>
        <v>Hard</v>
      </c>
      <c r="J1239" s="17" t="str">
        <f>IF(TRIM(Github!D$883)="TRUE","FALSE","TRUE")</f>
        <v>TRUE</v>
      </c>
      <c r="K1239" s="17" t="b">
        <f>Github!M$883</f>
        <v>1</v>
      </c>
      <c r="L1239" s="17" t="b">
        <f>Github!N$883</f>
        <v>0</v>
      </c>
      <c r="M1239" s="17" t="str">
        <f>ROUND(Github!O$883, 2)&amp;"%"</f>
        <v>49.68%</v>
      </c>
      <c r="N1239" s="17">
        <f>Github!P$883</f>
        <v>19526</v>
      </c>
      <c r="O1239" s="17">
        <f>Github!Q$883</f>
        <v>39304</v>
      </c>
    </row>
    <row r="1240" ht="18.0" customHeight="1">
      <c r="A1240" s="17">
        <f>Github!J$1185</f>
        <v>1184</v>
      </c>
      <c r="B1240" s="27" t="str">
        <f>HYPERLINK(CONCAT("http://leetcode.com/problems/",Github!C$1185), Github!B$1185)</f>
        <v>Distance Between Bus Stops</v>
      </c>
      <c r="C1240" s="17">
        <f>Github!F$1185</f>
        <v>502</v>
      </c>
      <c r="D1240" s="17">
        <f>Github!G$1185</f>
        <v>58</v>
      </c>
      <c r="E1240" s="17">
        <f>Github!F$1185+Github!G$1185</f>
        <v>560</v>
      </c>
      <c r="F1240" s="18">
        <f t="shared" si="1"/>
        <v>8.66</v>
      </c>
      <c r="G1240" s="17" t="str">
        <f>Github!H$1185</f>
        <v>Algorithms</v>
      </c>
      <c r="H1240" s="19" t="str">
        <f>SUBSTITUTE(Github!L$1185, ";", ", ")</f>
        <v>Array, </v>
      </c>
      <c r="I1240" s="17" t="str">
        <f>Github!E$1185</f>
        <v>Easy</v>
      </c>
      <c r="J1240" s="17" t="str">
        <f>IF(TRIM(Github!D$1185)="TRUE","FALSE","TRUE")</f>
        <v>TRUE</v>
      </c>
      <c r="K1240" s="17" t="b">
        <f>Github!M$1185</f>
        <v>0</v>
      </c>
      <c r="L1240" s="17" t="b">
        <f>Github!N$1185</f>
        <v>0</v>
      </c>
      <c r="M1240" s="17" t="str">
        <f>ROUND(Github!O$1185, 2)&amp;"%"</f>
        <v>54.07%</v>
      </c>
      <c r="N1240" s="17">
        <f>Github!P$1185</f>
        <v>40256</v>
      </c>
      <c r="O1240" s="17">
        <f>Github!Q$1185</f>
        <v>74445</v>
      </c>
    </row>
    <row r="1241" ht="18.0" customHeight="1">
      <c r="A1241" s="17">
        <f>Github!J$66</f>
        <v>65</v>
      </c>
      <c r="B1241" s="27" t="str">
        <f>HYPERLINK(CONCAT("http://leetcode.com/problems/",Github!C$66), Github!B$66)</f>
        <v>Valid Number</v>
      </c>
      <c r="C1241" s="17">
        <f>Github!F$66</f>
        <v>501</v>
      </c>
      <c r="D1241" s="17">
        <f>Github!G$66</f>
        <v>900</v>
      </c>
      <c r="E1241" s="17">
        <f>Github!F$66+Github!G$66</f>
        <v>1401</v>
      </c>
      <c r="F1241" s="18">
        <f t="shared" si="1"/>
        <v>0.56</v>
      </c>
      <c r="G1241" s="17" t="str">
        <f>Github!H$66</f>
        <v>Algorithms</v>
      </c>
      <c r="H1241" s="19" t="str">
        <f>SUBSTITUTE(Github!L$66, ";", ", ")</f>
        <v>String, </v>
      </c>
      <c r="I1241" s="17" t="str">
        <f>Github!E$66</f>
        <v>Hard</v>
      </c>
      <c r="J1241" s="17" t="str">
        <f>IF(TRIM(Github!D$66)="TRUE","FALSE","TRUE")</f>
        <v>TRUE</v>
      </c>
      <c r="K1241" s="17" t="b">
        <f>Github!M$66</f>
        <v>1</v>
      </c>
      <c r="L1241" s="17" t="b">
        <f>Github!N$66</f>
        <v>0</v>
      </c>
      <c r="M1241" s="17" t="str">
        <f>ROUND(Github!O$66, 2)&amp;"%"</f>
        <v>17.91%</v>
      </c>
      <c r="N1241" s="17">
        <f>Github!P$66</f>
        <v>261209</v>
      </c>
      <c r="O1241" s="17">
        <f>Github!Q$66</f>
        <v>1458178</v>
      </c>
    </row>
    <row r="1242" ht="18.0" customHeight="1">
      <c r="A1242" s="17">
        <f>Github!J$1630</f>
        <v>1629</v>
      </c>
      <c r="B1242" s="27" t="str">
        <f>HYPERLINK(CONCAT("http://leetcode.com/problems/",Github!C$1630), Github!B$1630)</f>
        <v>Slowest Key</v>
      </c>
      <c r="C1242" s="17">
        <f>Github!F$1630</f>
        <v>500</v>
      </c>
      <c r="D1242" s="17">
        <f>Github!G$1630</f>
        <v>83</v>
      </c>
      <c r="E1242" s="17">
        <f>Github!F$1630+Github!G$1630</f>
        <v>583</v>
      </c>
      <c r="F1242" s="18">
        <f t="shared" si="1"/>
        <v>6.02</v>
      </c>
      <c r="G1242" s="17" t="str">
        <f>Github!H$1630</f>
        <v>Algorithms</v>
      </c>
      <c r="H1242" s="19" t="str">
        <f>SUBSTITUTE(Github!L$1630, ";", ", ")</f>
        <v>Array, String, </v>
      </c>
      <c r="I1242" s="17" t="str">
        <f>Github!E$1630</f>
        <v>Easy</v>
      </c>
      <c r="J1242" s="17" t="str">
        <f>IF(TRIM(Github!D$1630)="TRUE","FALSE","TRUE")</f>
        <v>TRUE</v>
      </c>
      <c r="K1242" s="17" t="b">
        <f>Github!M$1630</f>
        <v>1</v>
      </c>
      <c r="L1242" s="17" t="b">
        <f>Github!N$1630</f>
        <v>0</v>
      </c>
      <c r="M1242" s="17" t="str">
        <f>ROUND(Github!O$1630, 2)&amp;"%"</f>
        <v>59.67%</v>
      </c>
      <c r="N1242" s="17">
        <f>Github!P$1630</f>
        <v>73770</v>
      </c>
      <c r="O1242" s="17">
        <f>Github!Q$1630</f>
        <v>123622</v>
      </c>
    </row>
    <row r="1243" ht="18.0" customHeight="1">
      <c r="A1243" s="17">
        <f>Github!J$1595</f>
        <v>1594</v>
      </c>
      <c r="B1243" s="27" t="str">
        <f>HYPERLINK(CONCAT("http://leetcode.com/problems/",Github!C$1595), Github!B$1595)</f>
        <v>Maximum Non Negative Product in a Matrix</v>
      </c>
      <c r="C1243" s="17">
        <f>Github!F$1595</f>
        <v>499</v>
      </c>
      <c r="D1243" s="17">
        <f>Github!G$1595</f>
        <v>22</v>
      </c>
      <c r="E1243" s="17">
        <f>Github!F$1595+Github!G$1595</f>
        <v>521</v>
      </c>
      <c r="F1243" s="18">
        <f t="shared" si="1"/>
        <v>22.68</v>
      </c>
      <c r="G1243" s="17" t="str">
        <f>Github!H$1595</f>
        <v>Algorithms</v>
      </c>
      <c r="H1243" s="19" t="str">
        <f>SUBSTITUTE(Github!L$1595, ";", ", ")</f>
        <v>Array, Dynamic Programming, Matrix, </v>
      </c>
      <c r="I1243" s="17" t="str">
        <f>Github!E$1595</f>
        <v>Medium</v>
      </c>
      <c r="J1243" s="17" t="str">
        <f>IF(TRIM(Github!D$1595)="TRUE","FALSE","TRUE")</f>
        <v>TRUE</v>
      </c>
      <c r="K1243" s="17" t="b">
        <f>Github!M$1595</f>
        <v>0</v>
      </c>
      <c r="L1243" s="17" t="b">
        <f>Github!N$1595</f>
        <v>0</v>
      </c>
      <c r="M1243" s="17" t="str">
        <f>ROUND(Github!O$1595, 2)&amp;"%"</f>
        <v>33.01%</v>
      </c>
      <c r="N1243" s="17">
        <f>Github!P$1595</f>
        <v>15825</v>
      </c>
      <c r="O1243" s="17">
        <f>Github!Q$1595</f>
        <v>47946</v>
      </c>
    </row>
    <row r="1244" ht="18.0" customHeight="1">
      <c r="A1244" s="17">
        <f>Github!J$1712</f>
        <v>1711</v>
      </c>
      <c r="B1244" s="27" t="str">
        <f>HYPERLINK(CONCAT("http://leetcode.com/problems/",Github!C$1712), Github!B$1712)</f>
        <v>Count Good Meals</v>
      </c>
      <c r="C1244" s="17">
        <f>Github!F$1712</f>
        <v>498</v>
      </c>
      <c r="D1244" s="17">
        <f>Github!G$1712</f>
        <v>185</v>
      </c>
      <c r="E1244" s="17">
        <f>Github!F$1712+Github!G$1712</f>
        <v>683</v>
      </c>
      <c r="F1244" s="18">
        <f t="shared" si="1"/>
        <v>2.69</v>
      </c>
      <c r="G1244" s="17" t="str">
        <f>Github!H$1712</f>
        <v>Algorithms</v>
      </c>
      <c r="H1244" s="19" t="str">
        <f>SUBSTITUTE(Github!L$1712, ";", ", ")</f>
        <v>Array, Hash Table, </v>
      </c>
      <c r="I1244" s="17" t="str">
        <f>Github!E$1712</f>
        <v>Medium</v>
      </c>
      <c r="J1244" s="17" t="str">
        <f>IF(TRIM(Github!D$1712)="TRUE","FALSE","TRUE")</f>
        <v>TRUE</v>
      </c>
      <c r="K1244" s="17" t="b">
        <f>Github!M$1712</f>
        <v>0</v>
      </c>
      <c r="L1244" s="17" t="b">
        <f>Github!N$1712</f>
        <v>0</v>
      </c>
      <c r="M1244" s="17" t="str">
        <f>ROUND(Github!O$1712, 2)&amp;"%"</f>
        <v>28.18%</v>
      </c>
      <c r="N1244" s="17">
        <f>Github!P$1712</f>
        <v>22667</v>
      </c>
      <c r="O1244" s="17">
        <f>Github!Q$1712</f>
        <v>80427</v>
      </c>
    </row>
    <row r="1245" ht="18.0" customHeight="1">
      <c r="A1245" s="17">
        <f>Github!J$1019</f>
        <v>1018</v>
      </c>
      <c r="B1245" s="27" t="str">
        <f>HYPERLINK(CONCAT("http://leetcode.com/problems/",Github!C$1019), Github!B$1019)</f>
        <v>Binary Prefix Divisible By 5</v>
      </c>
      <c r="C1245" s="17">
        <f>Github!F$1019</f>
        <v>497</v>
      </c>
      <c r="D1245" s="17">
        <f>Github!G$1019</f>
        <v>135</v>
      </c>
      <c r="E1245" s="17">
        <f>Github!F$1019+Github!G$1019</f>
        <v>632</v>
      </c>
      <c r="F1245" s="18">
        <f t="shared" si="1"/>
        <v>3.68</v>
      </c>
      <c r="G1245" s="17" t="str">
        <f>Github!H$1019</f>
        <v>Algorithms</v>
      </c>
      <c r="H1245" s="19" t="str">
        <f>SUBSTITUTE(Github!L$1019, ";", ", ")</f>
        <v>Array, </v>
      </c>
      <c r="I1245" s="17" t="str">
        <f>Github!E$1019</f>
        <v>Easy</v>
      </c>
      <c r="J1245" s="17" t="str">
        <f>IF(TRIM(Github!D$1019)="TRUE","FALSE","TRUE")</f>
        <v>TRUE</v>
      </c>
      <c r="K1245" s="17" t="b">
        <f>Github!M$1019</f>
        <v>0</v>
      </c>
      <c r="L1245" s="17" t="b">
        <f>Github!N$1019</f>
        <v>0</v>
      </c>
      <c r="M1245" s="17" t="str">
        <f>ROUND(Github!O$1019, 2)&amp;"%"</f>
        <v>47.54%</v>
      </c>
      <c r="N1245" s="17">
        <f>Github!P$1019</f>
        <v>37789</v>
      </c>
      <c r="O1245" s="17">
        <f>Github!Q$1019</f>
        <v>79483</v>
      </c>
    </row>
    <row r="1246" ht="18.0" customHeight="1">
      <c r="A1246" s="17">
        <f>Github!J$1855</f>
        <v>1854</v>
      </c>
      <c r="B1246" s="27" t="str">
        <f>HYPERLINK(CONCAT("http://leetcode.com/problems/",Github!C$1855), Github!B$1855)</f>
        <v>Maximum Population Year</v>
      </c>
      <c r="C1246" s="17">
        <f>Github!F$1855</f>
        <v>497</v>
      </c>
      <c r="D1246" s="17">
        <f>Github!G$1855</f>
        <v>74</v>
      </c>
      <c r="E1246" s="17">
        <f>Github!F$1855+Github!G$1855</f>
        <v>571</v>
      </c>
      <c r="F1246" s="18">
        <f t="shared" si="1"/>
        <v>6.72</v>
      </c>
      <c r="G1246" s="17" t="str">
        <f>Github!H$1855</f>
        <v>Algorithms</v>
      </c>
      <c r="H1246" s="19" t="str">
        <f>SUBSTITUTE(Github!L$1855, ";", ", ")</f>
        <v>Array, Counting, </v>
      </c>
      <c r="I1246" s="17" t="str">
        <f>Github!E$1855</f>
        <v>Easy</v>
      </c>
      <c r="J1246" s="17" t="str">
        <f>IF(TRIM(Github!D$1855)="TRUE","FALSE","TRUE")</f>
        <v>TRUE</v>
      </c>
      <c r="K1246" s="17" t="b">
        <f>Github!M$1855</f>
        <v>0</v>
      </c>
      <c r="L1246" s="17" t="b">
        <f>Github!N$1855</f>
        <v>0</v>
      </c>
      <c r="M1246" s="17" t="str">
        <f>ROUND(Github!O$1855, 2)&amp;"%"</f>
        <v>58.62%</v>
      </c>
      <c r="N1246" s="17">
        <f>Github!P$1855</f>
        <v>27072</v>
      </c>
      <c r="O1246" s="17">
        <f>Github!Q$1855</f>
        <v>46186</v>
      </c>
    </row>
    <row r="1247" ht="18.0" customHeight="1">
      <c r="A1247" s="17">
        <f>Github!J$569</f>
        <v>568</v>
      </c>
      <c r="B1247" s="27" t="str">
        <f>HYPERLINK(CONCAT("http://leetcode.com/problems/",Github!C$569), Github!B$569)</f>
        <v>Maximum Vacation Days</v>
      </c>
      <c r="C1247" s="17">
        <f>Github!F$569</f>
        <v>496</v>
      </c>
      <c r="D1247" s="17">
        <f>Github!G$569</f>
        <v>91</v>
      </c>
      <c r="E1247" s="17">
        <f>Github!F$569+Github!G$569</f>
        <v>587</v>
      </c>
      <c r="F1247" s="18">
        <f t="shared" si="1"/>
        <v>5.45</v>
      </c>
      <c r="G1247" s="17" t="str">
        <f>Github!H$569</f>
        <v>Algorithms</v>
      </c>
      <c r="H1247" s="19" t="str">
        <f>SUBSTITUTE(Github!L$569, ";", ", ")</f>
        <v>Array, Dynamic Programming, Matrix, </v>
      </c>
      <c r="I1247" s="17" t="str">
        <f>Github!E$569</f>
        <v>Hard</v>
      </c>
      <c r="J1247" s="17" t="str">
        <f>IF(TRIM(Github!D$569)="TRUE","FALSE","TRUE")</f>
        <v>FALSE</v>
      </c>
      <c r="K1247" s="17" t="b">
        <f>Github!M$569</f>
        <v>1</v>
      </c>
      <c r="L1247" s="17" t="b">
        <f>Github!N$569</f>
        <v>0</v>
      </c>
      <c r="M1247" s="17" t="str">
        <f>ROUND(Github!O$569, 2)&amp;"%"</f>
        <v>44.23%</v>
      </c>
      <c r="N1247" s="17">
        <f>Github!P$569</f>
        <v>33315</v>
      </c>
      <c r="O1247" s="17">
        <f>Github!Q$569</f>
        <v>75327</v>
      </c>
    </row>
    <row r="1248" ht="18.0" customHeight="1">
      <c r="A1248" s="17">
        <f>Github!J$2141</f>
        <v>2140</v>
      </c>
      <c r="B1248" s="27" t="str">
        <f>HYPERLINK(CONCAT("http://leetcode.com/problems/",Github!C$2141), Github!B$2141)</f>
        <v>Solving Questions With Brainpower</v>
      </c>
      <c r="C1248" s="17">
        <f>Github!F$2141</f>
        <v>496</v>
      </c>
      <c r="D1248" s="17">
        <f>Github!G$2141</f>
        <v>7</v>
      </c>
      <c r="E1248" s="17">
        <f>Github!F$2141+Github!G$2141</f>
        <v>503</v>
      </c>
      <c r="F1248" s="18">
        <f t="shared" si="1"/>
        <v>70.86</v>
      </c>
      <c r="G1248" s="17" t="str">
        <f>Github!H$2141</f>
        <v>Algorithms</v>
      </c>
      <c r="H1248" s="19" t="str">
        <f>SUBSTITUTE(Github!L$2141, ";", ", ")</f>
        <v>Array, Dynamic Programming, </v>
      </c>
      <c r="I1248" s="17" t="str">
        <f>Github!E$2141</f>
        <v>Medium</v>
      </c>
      <c r="J1248" s="17" t="str">
        <f>IF(TRIM(Github!D$2141)="TRUE","FALSE","TRUE")</f>
        <v>TRUE</v>
      </c>
      <c r="K1248" s="17" t="b">
        <f>Github!M$2141</f>
        <v>0</v>
      </c>
      <c r="L1248" s="17" t="b">
        <f>Github!N$2141</f>
        <v>0</v>
      </c>
      <c r="M1248" s="17" t="str">
        <f>ROUND(Github!O$2141, 2)&amp;"%"</f>
        <v>43.98%</v>
      </c>
      <c r="N1248" s="17">
        <f>Github!P$2141</f>
        <v>16780</v>
      </c>
      <c r="O1248" s="17">
        <f>Github!Q$2141</f>
        <v>38155</v>
      </c>
    </row>
    <row r="1249" ht="18.0" customHeight="1">
      <c r="A1249" s="17">
        <f>Github!J$1543</f>
        <v>1542</v>
      </c>
      <c r="B1249" s="27" t="str">
        <f>HYPERLINK(CONCAT("http://leetcode.com/problems/",Github!C$1543), Github!B$1543)</f>
        <v>Find Longest Awesome Substring</v>
      </c>
      <c r="C1249" s="17">
        <f>Github!F$1543</f>
        <v>495</v>
      </c>
      <c r="D1249" s="17">
        <f>Github!G$1543</f>
        <v>11</v>
      </c>
      <c r="E1249" s="17">
        <f>Github!F$1543+Github!G$1543</f>
        <v>506</v>
      </c>
      <c r="F1249" s="18">
        <f t="shared" si="1"/>
        <v>45</v>
      </c>
      <c r="G1249" s="17" t="str">
        <f>Github!H$1543</f>
        <v>Algorithms</v>
      </c>
      <c r="H1249" s="19" t="str">
        <f>SUBSTITUTE(Github!L$1543, ";", ", ")</f>
        <v>Hash Table, String, Bit Manipulation, </v>
      </c>
      <c r="I1249" s="17" t="str">
        <f>Github!E$1543</f>
        <v>Hard</v>
      </c>
      <c r="J1249" s="17" t="str">
        <f>IF(TRIM(Github!D$1543)="TRUE","FALSE","TRUE")</f>
        <v>TRUE</v>
      </c>
      <c r="K1249" s="17" t="b">
        <f>Github!M$1543</f>
        <v>0</v>
      </c>
      <c r="L1249" s="17" t="b">
        <f>Github!N$1543</f>
        <v>0</v>
      </c>
      <c r="M1249" s="17" t="str">
        <f>ROUND(Github!O$1543, 2)&amp;"%"</f>
        <v>40.36%</v>
      </c>
      <c r="N1249" s="17">
        <f>Github!P$1543</f>
        <v>8543</v>
      </c>
      <c r="O1249" s="17">
        <f>Github!Q$1543</f>
        <v>21165</v>
      </c>
    </row>
    <row r="1250" ht="18.0" customHeight="1">
      <c r="A1250" s="17">
        <f>Github!J$652</f>
        <v>651</v>
      </c>
      <c r="B1250" s="27" t="str">
        <f>HYPERLINK(CONCAT("http://leetcode.com/problems/",Github!C$652), Github!B$652)</f>
        <v>4 Keys Keyboard</v>
      </c>
      <c r="C1250" s="17">
        <f>Github!F$652</f>
        <v>492</v>
      </c>
      <c r="D1250" s="17">
        <f>Github!G$652</f>
        <v>70</v>
      </c>
      <c r="E1250" s="17">
        <f>Github!F$652+Github!G$652</f>
        <v>562</v>
      </c>
      <c r="F1250" s="18">
        <f t="shared" si="1"/>
        <v>7.03</v>
      </c>
      <c r="G1250" s="17" t="str">
        <f>Github!H$652</f>
        <v>Algorithms</v>
      </c>
      <c r="H1250" s="19" t="str">
        <f>SUBSTITUTE(Github!L$652, ";", ", ")</f>
        <v>Math, Dynamic Programming, </v>
      </c>
      <c r="I1250" s="17" t="str">
        <f>Github!E$652</f>
        <v>Medium</v>
      </c>
      <c r="J1250" s="17" t="str">
        <f>IF(TRIM(Github!D$652)="TRUE","FALSE","TRUE")</f>
        <v>FALSE</v>
      </c>
      <c r="K1250" s="17" t="b">
        <f>Github!M$652</f>
        <v>0</v>
      </c>
      <c r="L1250" s="17" t="b">
        <f>Github!N$652</f>
        <v>0</v>
      </c>
      <c r="M1250" s="17" t="str">
        <f>ROUND(Github!O$652, 2)&amp;"%"</f>
        <v>54.04%</v>
      </c>
      <c r="N1250" s="17">
        <f>Github!P$652</f>
        <v>21227</v>
      </c>
      <c r="O1250" s="17">
        <f>Github!Q$652</f>
        <v>39282</v>
      </c>
    </row>
    <row r="1251" ht="18.0" customHeight="1">
      <c r="A1251" s="17">
        <f>Github!J$1514</f>
        <v>1513</v>
      </c>
      <c r="B1251" s="27" t="str">
        <f>HYPERLINK(CONCAT("http://leetcode.com/problems/",Github!C$1514), Github!B$1514)</f>
        <v>Number of Substrings With Only 1s</v>
      </c>
      <c r="C1251" s="17">
        <f>Github!F$1514</f>
        <v>491</v>
      </c>
      <c r="D1251" s="17">
        <f>Github!G$1514</f>
        <v>22</v>
      </c>
      <c r="E1251" s="17">
        <f>Github!F$1514+Github!G$1514</f>
        <v>513</v>
      </c>
      <c r="F1251" s="18">
        <f t="shared" si="1"/>
        <v>22.32</v>
      </c>
      <c r="G1251" s="17" t="str">
        <f>Github!H$1514</f>
        <v>Algorithms</v>
      </c>
      <c r="H1251" s="19" t="str">
        <f>SUBSTITUTE(Github!L$1514, ";", ", ")</f>
        <v>Math, String, </v>
      </c>
      <c r="I1251" s="17" t="str">
        <f>Github!E$1514</f>
        <v>Medium</v>
      </c>
      <c r="J1251" s="17" t="str">
        <f>IF(TRIM(Github!D$1514)="TRUE","FALSE","TRUE")</f>
        <v>TRUE</v>
      </c>
      <c r="K1251" s="17" t="b">
        <f>Github!M$1514</f>
        <v>0</v>
      </c>
      <c r="L1251" s="17" t="b">
        <f>Github!N$1514</f>
        <v>0</v>
      </c>
      <c r="M1251" s="17" t="str">
        <f>ROUND(Github!O$1514, 2)&amp;"%"</f>
        <v>44.03%</v>
      </c>
      <c r="N1251" s="17">
        <f>Github!P$1514</f>
        <v>28322</v>
      </c>
      <c r="O1251" s="17">
        <f>Github!Q$1514</f>
        <v>64321</v>
      </c>
    </row>
    <row r="1252" ht="18.0" customHeight="1">
      <c r="A1252" s="17">
        <f>Github!J$1371</f>
        <v>1370</v>
      </c>
      <c r="B1252" s="27" t="str">
        <f>HYPERLINK(CONCAT("http://leetcode.com/problems/",Github!C$1371), Github!B$1371)</f>
        <v>Increasing Decreasing String</v>
      </c>
      <c r="C1252" s="17">
        <f>Github!F$1371</f>
        <v>489</v>
      </c>
      <c r="D1252" s="17">
        <f>Github!G$1371</f>
        <v>585</v>
      </c>
      <c r="E1252" s="17">
        <f>Github!F$1371+Github!G$1371</f>
        <v>1074</v>
      </c>
      <c r="F1252" s="18">
        <f t="shared" si="1"/>
        <v>0.84</v>
      </c>
      <c r="G1252" s="17" t="str">
        <f>Github!H$1371</f>
        <v>Algorithms</v>
      </c>
      <c r="H1252" s="19" t="str">
        <f>SUBSTITUTE(Github!L$1371, ";", ", ")</f>
        <v>Hash Table, String, Counting, </v>
      </c>
      <c r="I1252" s="17" t="str">
        <f>Github!E$1371</f>
        <v>Easy</v>
      </c>
      <c r="J1252" s="17" t="str">
        <f>IF(TRIM(Github!D$1371)="TRUE","FALSE","TRUE")</f>
        <v>TRUE</v>
      </c>
      <c r="K1252" s="17" t="b">
        <f>Github!M$1371</f>
        <v>0</v>
      </c>
      <c r="L1252" s="17" t="b">
        <f>Github!N$1371</f>
        <v>0</v>
      </c>
      <c r="M1252" s="17" t="str">
        <f>ROUND(Github!O$1371, 2)&amp;"%"</f>
        <v>77.74%</v>
      </c>
      <c r="N1252" s="17">
        <f>Github!P$1371</f>
        <v>52482</v>
      </c>
      <c r="O1252" s="17">
        <f>Github!Q$1371</f>
        <v>67513</v>
      </c>
    </row>
    <row r="1253" ht="18.0" customHeight="1">
      <c r="A1253" s="17">
        <f>Github!J$1769</f>
        <v>1768</v>
      </c>
      <c r="B1253" s="27" t="str">
        <f>HYPERLINK(CONCAT("http://leetcode.com/problems/",Github!C$1769), Github!B$1769)</f>
        <v>Merge Strings Alternately</v>
      </c>
      <c r="C1253" s="17">
        <f>Github!F$1769</f>
        <v>489</v>
      </c>
      <c r="D1253" s="17">
        <f>Github!G$1769</f>
        <v>8</v>
      </c>
      <c r="E1253" s="17">
        <f>Github!F$1769+Github!G$1769</f>
        <v>497</v>
      </c>
      <c r="F1253" s="18">
        <f t="shared" si="1"/>
        <v>61.13</v>
      </c>
      <c r="G1253" s="17" t="str">
        <f>Github!H$1769</f>
        <v>Algorithms</v>
      </c>
      <c r="H1253" s="19" t="str">
        <f>SUBSTITUTE(Github!L$1769, ";", ", ")</f>
        <v>Two Pointers, String, </v>
      </c>
      <c r="I1253" s="17" t="str">
        <f>Github!E$1769</f>
        <v>Easy</v>
      </c>
      <c r="J1253" s="17" t="str">
        <f>IF(TRIM(Github!D$1769)="TRUE","FALSE","TRUE")</f>
        <v>TRUE</v>
      </c>
      <c r="K1253" s="17" t="b">
        <f>Github!M$1769</f>
        <v>0</v>
      </c>
      <c r="L1253" s="17" t="b">
        <f>Github!N$1769</f>
        <v>0</v>
      </c>
      <c r="M1253" s="17" t="str">
        <f>ROUND(Github!O$1769, 2)&amp;"%"</f>
        <v>75.24%</v>
      </c>
      <c r="N1253" s="17">
        <f>Github!P$1769</f>
        <v>47699</v>
      </c>
      <c r="O1253" s="17">
        <f>Github!Q$1769</f>
        <v>63399</v>
      </c>
    </row>
    <row r="1254" ht="18.0" customHeight="1">
      <c r="A1254" s="17">
        <f>Github!J$2116</f>
        <v>2115</v>
      </c>
      <c r="B1254" s="27" t="str">
        <f>HYPERLINK(CONCAT("http://leetcode.com/problems/",Github!C$2116), Github!B$2116)</f>
        <v>Find All Possible Recipes from Given Supplies</v>
      </c>
      <c r="C1254" s="17">
        <f>Github!F$2116</f>
        <v>489</v>
      </c>
      <c r="D1254" s="17">
        <f>Github!G$2116</f>
        <v>38</v>
      </c>
      <c r="E1254" s="17">
        <f>Github!F$2116+Github!G$2116</f>
        <v>527</v>
      </c>
      <c r="F1254" s="18">
        <f t="shared" si="1"/>
        <v>12.87</v>
      </c>
      <c r="G1254" s="17" t="str">
        <f>Github!H$2116</f>
        <v>Algorithms</v>
      </c>
      <c r="H1254" s="19" t="str">
        <f>SUBSTITUTE(Github!L$2116, ";", ", ")</f>
        <v>Array, Hash Table, String, Graph, Topological Sort, </v>
      </c>
      <c r="I1254" s="17" t="str">
        <f>Github!E$2116</f>
        <v>Medium</v>
      </c>
      <c r="J1254" s="17" t="str">
        <f>IF(TRIM(Github!D$2116)="TRUE","FALSE","TRUE")</f>
        <v>TRUE</v>
      </c>
      <c r="K1254" s="17" t="b">
        <f>Github!M$2116</f>
        <v>0</v>
      </c>
      <c r="L1254" s="17" t="b">
        <f>Github!N$2116</f>
        <v>0</v>
      </c>
      <c r="M1254" s="17" t="str">
        <f>ROUND(Github!O$2116, 2)&amp;"%"</f>
        <v>39.4%</v>
      </c>
      <c r="N1254" s="17">
        <f>Github!P$2116</f>
        <v>15267</v>
      </c>
      <c r="O1254" s="17">
        <f>Github!Q$2116</f>
        <v>38750</v>
      </c>
    </row>
    <row r="1255" ht="18.0" customHeight="1">
      <c r="A1255" s="17">
        <f>Github!J$1705</f>
        <v>1704</v>
      </c>
      <c r="B1255" s="27" t="str">
        <f>HYPERLINK(CONCAT("http://leetcode.com/problems/",Github!C$1705), Github!B$1705)</f>
        <v>Determine if String Halves Are Alike</v>
      </c>
      <c r="C1255" s="17">
        <f>Github!F$1705</f>
        <v>487</v>
      </c>
      <c r="D1255" s="17">
        <f>Github!G$1705</f>
        <v>35</v>
      </c>
      <c r="E1255" s="17">
        <f>Github!F$1705+Github!G$1705</f>
        <v>522</v>
      </c>
      <c r="F1255" s="18">
        <f t="shared" si="1"/>
        <v>13.91</v>
      </c>
      <c r="G1255" s="17" t="str">
        <f>Github!H$1705</f>
        <v>Algorithms</v>
      </c>
      <c r="H1255" s="19" t="str">
        <f>SUBSTITUTE(Github!L$1705, ";", ", ")</f>
        <v>String, Counting, </v>
      </c>
      <c r="I1255" s="17" t="str">
        <f>Github!E$1705</f>
        <v>Easy</v>
      </c>
      <c r="J1255" s="17" t="str">
        <f>IF(TRIM(Github!D$1705)="TRUE","FALSE","TRUE")</f>
        <v>TRUE</v>
      </c>
      <c r="K1255" s="17" t="b">
        <f>Github!M$1705</f>
        <v>1</v>
      </c>
      <c r="L1255" s="17" t="b">
        <f>Github!N$1705</f>
        <v>0</v>
      </c>
      <c r="M1255" s="17" t="str">
        <f>ROUND(Github!O$1705, 2)&amp;"%"</f>
        <v>78.12%</v>
      </c>
      <c r="N1255" s="17">
        <f>Github!P$1705</f>
        <v>81121</v>
      </c>
      <c r="O1255" s="17">
        <f>Github!Q$1705</f>
        <v>103846</v>
      </c>
    </row>
    <row r="1256" ht="18.0" customHeight="1">
      <c r="A1256" s="17">
        <f>Github!J$158</f>
        <v>157</v>
      </c>
      <c r="B1256" s="27" t="str">
        <f>HYPERLINK(CONCAT("http://leetcode.com/problems/",Github!C$158), Github!B$158)</f>
        <v>Read N Characters Given Read4</v>
      </c>
      <c r="C1256" s="17">
        <f>Github!F$158</f>
        <v>486</v>
      </c>
      <c r="D1256" s="17">
        <f>Github!G$158</f>
        <v>2918</v>
      </c>
      <c r="E1256" s="17">
        <f>Github!F$158+Github!G$158</f>
        <v>3404</v>
      </c>
      <c r="F1256" s="18">
        <f t="shared" si="1"/>
        <v>0.17</v>
      </c>
      <c r="G1256" s="17" t="str">
        <f>Github!H$158</f>
        <v>Algorithms</v>
      </c>
      <c r="H1256" s="19" t="str">
        <f>SUBSTITUTE(Github!L$158, ";", ", ")</f>
        <v>String, Simulation, Interactive, </v>
      </c>
      <c r="I1256" s="17" t="str">
        <f>Github!E$158</f>
        <v>Easy</v>
      </c>
      <c r="J1256" s="17" t="str">
        <f>IF(TRIM(Github!D$158)="TRUE","FALSE","TRUE")</f>
        <v>FALSE</v>
      </c>
      <c r="K1256" s="17" t="b">
        <f>Github!M$158</f>
        <v>1</v>
      </c>
      <c r="L1256" s="17" t="b">
        <f>Github!N$158</f>
        <v>0</v>
      </c>
      <c r="M1256" s="17" t="str">
        <f>ROUND(Github!O$158, 2)&amp;"%"</f>
        <v>40.13%</v>
      </c>
      <c r="N1256" s="17">
        <f>Github!P$158</f>
        <v>165364</v>
      </c>
      <c r="O1256" s="17">
        <f>Github!Q$158</f>
        <v>412070</v>
      </c>
    </row>
    <row r="1257" ht="18.0" customHeight="1">
      <c r="A1257" s="17">
        <f>Github!J$538</f>
        <v>537</v>
      </c>
      <c r="B1257" s="27" t="str">
        <f>HYPERLINK(CONCAT("http://leetcode.com/problems/",Github!C$538), Github!B$538)</f>
        <v>Complex Number Multiplication</v>
      </c>
      <c r="C1257" s="17">
        <f>Github!F$538</f>
        <v>486</v>
      </c>
      <c r="D1257" s="17">
        <f>Github!G$538</f>
        <v>1109</v>
      </c>
      <c r="E1257" s="17">
        <f>Github!F$538+Github!G$538</f>
        <v>1595</v>
      </c>
      <c r="F1257" s="18">
        <f t="shared" si="1"/>
        <v>0.44</v>
      </c>
      <c r="G1257" s="17" t="str">
        <f>Github!H$538</f>
        <v>Algorithms</v>
      </c>
      <c r="H1257" s="19" t="str">
        <f>SUBSTITUTE(Github!L$538, ";", ", ")</f>
        <v>Math, String, Simulation, </v>
      </c>
      <c r="I1257" s="17" t="str">
        <f>Github!E$538</f>
        <v>Medium</v>
      </c>
      <c r="J1257" s="17" t="str">
        <f>IF(TRIM(Github!D$538)="TRUE","FALSE","TRUE")</f>
        <v>TRUE</v>
      </c>
      <c r="K1257" s="17" t="b">
        <f>Github!M$538</f>
        <v>1</v>
      </c>
      <c r="L1257" s="17" t="b">
        <f>Github!N$538</f>
        <v>0</v>
      </c>
      <c r="M1257" s="17" t="str">
        <f>ROUND(Github!O$538, 2)&amp;"%"</f>
        <v>71.08%</v>
      </c>
      <c r="N1257" s="17">
        <f>Github!P$538</f>
        <v>79913</v>
      </c>
      <c r="O1257" s="17">
        <f>Github!Q$538</f>
        <v>112427</v>
      </c>
    </row>
    <row r="1258" ht="18.0" customHeight="1">
      <c r="A1258" s="17">
        <f>Github!J$1409</f>
        <v>1408</v>
      </c>
      <c r="B1258" s="27" t="str">
        <f>HYPERLINK(CONCAT("http://leetcode.com/problems/",Github!C$1409), Github!B$1409)</f>
        <v>String Matching in an Array</v>
      </c>
      <c r="C1258" s="17">
        <f>Github!F$1409</f>
        <v>486</v>
      </c>
      <c r="D1258" s="17">
        <f>Github!G$1409</f>
        <v>70</v>
      </c>
      <c r="E1258" s="17">
        <f>Github!F$1409+Github!G$1409</f>
        <v>556</v>
      </c>
      <c r="F1258" s="18">
        <f t="shared" si="1"/>
        <v>6.94</v>
      </c>
      <c r="G1258" s="17" t="str">
        <f>Github!H$1409</f>
        <v>Algorithms</v>
      </c>
      <c r="H1258" s="19" t="str">
        <f>SUBSTITUTE(Github!L$1409, ";", ", ")</f>
        <v>String, String Matching, </v>
      </c>
      <c r="I1258" s="17" t="str">
        <f>Github!E$1409</f>
        <v>Easy</v>
      </c>
      <c r="J1258" s="17" t="str">
        <f>IF(TRIM(Github!D$1409)="TRUE","FALSE","TRUE")</f>
        <v>TRUE</v>
      </c>
      <c r="K1258" s="17" t="b">
        <f>Github!M$1409</f>
        <v>0</v>
      </c>
      <c r="L1258" s="17" t="b">
        <f>Github!N$1409</f>
        <v>0</v>
      </c>
      <c r="M1258" s="17" t="str">
        <f>ROUND(Github!O$1409, 2)&amp;"%"</f>
        <v>63.82%</v>
      </c>
      <c r="N1258" s="17">
        <f>Github!P$1409</f>
        <v>52694</v>
      </c>
      <c r="O1258" s="17">
        <f>Github!Q$1409</f>
        <v>82561</v>
      </c>
    </row>
    <row r="1259" ht="18.0" customHeight="1">
      <c r="A1259" s="17">
        <f>Github!J$1829</f>
        <v>1828</v>
      </c>
      <c r="B1259" s="27" t="str">
        <f>HYPERLINK(CONCAT("http://leetcode.com/problems/",Github!C$1829), Github!B$1829)</f>
        <v>Queries on Number of Points Inside a Circle</v>
      </c>
      <c r="C1259" s="17">
        <f>Github!F$1829</f>
        <v>487</v>
      </c>
      <c r="D1259" s="17">
        <f>Github!G$1829</f>
        <v>52</v>
      </c>
      <c r="E1259" s="17">
        <f>Github!F$1829+Github!G$1829</f>
        <v>539</v>
      </c>
      <c r="F1259" s="18">
        <f t="shared" si="1"/>
        <v>9.37</v>
      </c>
      <c r="G1259" s="17" t="str">
        <f>Github!H$1829</f>
        <v>Algorithms</v>
      </c>
      <c r="H1259" s="19" t="str">
        <f>SUBSTITUTE(Github!L$1829, ";", ", ")</f>
        <v>Array, Math, Geometry, </v>
      </c>
      <c r="I1259" s="17" t="str">
        <f>Github!E$1829</f>
        <v>Medium</v>
      </c>
      <c r="J1259" s="17" t="str">
        <f>IF(TRIM(Github!D$1829)="TRUE","FALSE","TRUE")</f>
        <v>TRUE</v>
      </c>
      <c r="K1259" s="17" t="b">
        <f>Github!M$1829</f>
        <v>0</v>
      </c>
      <c r="L1259" s="17" t="b">
        <f>Github!N$1829</f>
        <v>0</v>
      </c>
      <c r="M1259" s="17" t="str">
        <f>ROUND(Github!O$1829, 2)&amp;"%"</f>
        <v>86.64%</v>
      </c>
      <c r="N1259" s="17">
        <f>Github!P$1829</f>
        <v>35645</v>
      </c>
      <c r="O1259" s="17">
        <f>Github!Q$1829</f>
        <v>41143</v>
      </c>
    </row>
    <row r="1260" ht="18.0" customHeight="1">
      <c r="A1260" s="17">
        <f>Github!J$1781</f>
        <v>1780</v>
      </c>
      <c r="B1260" s="27" t="str">
        <f>HYPERLINK(CONCAT("http://leetcode.com/problems/",Github!C$1781), Github!B$1781)</f>
        <v>Check if Number is a Sum of Powers of Three</v>
      </c>
      <c r="C1260" s="17">
        <f>Github!F$1781</f>
        <v>486</v>
      </c>
      <c r="D1260" s="17">
        <f>Github!G$1781</f>
        <v>17</v>
      </c>
      <c r="E1260" s="17">
        <f>Github!F$1781+Github!G$1781</f>
        <v>503</v>
      </c>
      <c r="F1260" s="18">
        <f t="shared" si="1"/>
        <v>28.59</v>
      </c>
      <c r="G1260" s="17" t="str">
        <f>Github!H$1781</f>
        <v>Algorithms</v>
      </c>
      <c r="H1260" s="19" t="str">
        <f>SUBSTITUTE(Github!L$1781, ";", ", ")</f>
        <v>Math, </v>
      </c>
      <c r="I1260" s="17" t="str">
        <f>Github!E$1781</f>
        <v>Medium</v>
      </c>
      <c r="J1260" s="17" t="str">
        <f>IF(TRIM(Github!D$1781)="TRUE","FALSE","TRUE")</f>
        <v>TRUE</v>
      </c>
      <c r="K1260" s="17" t="b">
        <f>Github!M$1781</f>
        <v>0</v>
      </c>
      <c r="L1260" s="17" t="b">
        <f>Github!N$1781</f>
        <v>0</v>
      </c>
      <c r="M1260" s="17" t="str">
        <f>ROUND(Github!O$1781, 2)&amp;"%"</f>
        <v>64.76%</v>
      </c>
      <c r="N1260" s="17">
        <f>Github!P$1781</f>
        <v>20326</v>
      </c>
      <c r="O1260" s="17">
        <f>Github!Q$1781</f>
        <v>31386</v>
      </c>
    </row>
    <row r="1261" ht="18.0" customHeight="1">
      <c r="A1261" s="17">
        <f>Github!J$1171</f>
        <v>1170</v>
      </c>
      <c r="B1261" s="27" t="str">
        <f>HYPERLINK(CONCAT("http://leetcode.com/problems/",Github!C$1171), Github!B$1171)</f>
        <v>Compare Strings by Frequency of the Smallest Character</v>
      </c>
      <c r="C1261" s="17">
        <f>Github!F$1171</f>
        <v>484</v>
      </c>
      <c r="D1261" s="17">
        <f>Github!G$1171</f>
        <v>882</v>
      </c>
      <c r="E1261" s="17">
        <f>Github!F$1171+Github!G$1171</f>
        <v>1366</v>
      </c>
      <c r="F1261" s="18">
        <f t="shared" si="1"/>
        <v>0.55</v>
      </c>
      <c r="G1261" s="17" t="str">
        <f>Github!H$1171</f>
        <v>Algorithms</v>
      </c>
      <c r="H1261" s="19" t="str">
        <f>SUBSTITUTE(Github!L$1171, ";", ", ")</f>
        <v>Array, Hash Table, String, Binary Search, Sorting, </v>
      </c>
      <c r="I1261" s="17" t="str">
        <f>Github!E$1171</f>
        <v>Medium</v>
      </c>
      <c r="J1261" s="17" t="str">
        <f>IF(TRIM(Github!D$1171)="TRUE","FALSE","TRUE")</f>
        <v>TRUE</v>
      </c>
      <c r="K1261" s="17" t="b">
        <f>Github!M$1171</f>
        <v>0</v>
      </c>
      <c r="L1261" s="17" t="b">
        <f>Github!N$1171</f>
        <v>0</v>
      </c>
      <c r="M1261" s="17" t="str">
        <f>ROUND(Github!O$1171, 2)&amp;"%"</f>
        <v>61.04%</v>
      </c>
      <c r="N1261" s="17">
        <f>Github!P$1171</f>
        <v>64290</v>
      </c>
      <c r="O1261" s="17">
        <f>Github!Q$1171</f>
        <v>105329</v>
      </c>
    </row>
    <row r="1262" ht="18.0" customHeight="1">
      <c r="A1262" s="17">
        <f>Github!J$1063</f>
        <v>1062</v>
      </c>
      <c r="B1262" s="27" t="str">
        <f>HYPERLINK(CONCAT("http://leetcode.com/problems/",Github!C$1063), Github!B$1063)</f>
        <v>Longest Repeating Substring</v>
      </c>
      <c r="C1262" s="17">
        <f>Github!F$1063</f>
        <v>481</v>
      </c>
      <c r="D1262" s="17">
        <f>Github!G$1063</f>
        <v>30</v>
      </c>
      <c r="E1262" s="17">
        <f>Github!F$1063+Github!G$1063</f>
        <v>511</v>
      </c>
      <c r="F1262" s="18">
        <f t="shared" si="1"/>
        <v>16.03</v>
      </c>
      <c r="G1262" s="17" t="str">
        <f>Github!H$1063</f>
        <v>Algorithms</v>
      </c>
      <c r="H1262" s="19" t="str">
        <f>SUBSTITUTE(Github!L$1063, ";", ", ")</f>
        <v>String, Binary Search, Dynamic Programming, Rolling Hash, Suffix Array, Hash Function, </v>
      </c>
      <c r="I1262" s="17" t="str">
        <f>Github!E$1063</f>
        <v>Medium</v>
      </c>
      <c r="J1262" s="17" t="str">
        <f>IF(TRIM(Github!D$1063)="TRUE","FALSE","TRUE")</f>
        <v>FALSE</v>
      </c>
      <c r="K1262" s="17" t="b">
        <f>Github!M$1063</f>
        <v>1</v>
      </c>
      <c r="L1262" s="17" t="b">
        <f>Github!N$1063</f>
        <v>0</v>
      </c>
      <c r="M1262" s="17" t="str">
        <f>ROUND(Github!O$1063, 2)&amp;"%"</f>
        <v>59.2%</v>
      </c>
      <c r="N1262" s="17">
        <f>Github!P$1063</f>
        <v>24951</v>
      </c>
      <c r="O1262" s="17">
        <f>Github!Q$1063</f>
        <v>42152</v>
      </c>
    </row>
    <row r="1263" ht="18.0" customHeight="1">
      <c r="A1263" s="17">
        <f>Github!J$1434</f>
        <v>1433</v>
      </c>
      <c r="B1263" s="27" t="str">
        <f>HYPERLINK(CONCAT("http://leetcode.com/problems/",Github!C$1434), Github!B$1434)</f>
        <v>Check If a String Can Break Another String</v>
      </c>
      <c r="C1263" s="17">
        <f>Github!F$1434</f>
        <v>481</v>
      </c>
      <c r="D1263" s="17">
        <f>Github!G$1434</f>
        <v>108</v>
      </c>
      <c r="E1263" s="17">
        <f>Github!F$1434+Github!G$1434</f>
        <v>589</v>
      </c>
      <c r="F1263" s="18">
        <f t="shared" si="1"/>
        <v>4.45</v>
      </c>
      <c r="G1263" s="17" t="str">
        <f>Github!H$1434</f>
        <v>Algorithms</v>
      </c>
      <c r="H1263" s="19" t="str">
        <f>SUBSTITUTE(Github!L$1434, ";", ", ")</f>
        <v>String, Greedy, Sorting, </v>
      </c>
      <c r="I1263" s="17" t="str">
        <f>Github!E$1434</f>
        <v>Medium</v>
      </c>
      <c r="J1263" s="17" t="str">
        <f>IF(TRIM(Github!D$1434)="TRUE","FALSE","TRUE")</f>
        <v>TRUE</v>
      </c>
      <c r="K1263" s="17" t="b">
        <f>Github!M$1434</f>
        <v>0</v>
      </c>
      <c r="L1263" s="17" t="b">
        <f>Github!N$1434</f>
        <v>0</v>
      </c>
      <c r="M1263" s="17" t="str">
        <f>ROUND(Github!O$1434, 2)&amp;"%"</f>
        <v>68.36%</v>
      </c>
      <c r="N1263" s="17">
        <f>Github!P$1434</f>
        <v>28589</v>
      </c>
      <c r="O1263" s="17">
        <f>Github!Q$1434</f>
        <v>41823</v>
      </c>
    </row>
    <row r="1264" ht="18.0" customHeight="1">
      <c r="A1264" s="17">
        <f>Github!J$485</f>
        <v>484</v>
      </c>
      <c r="B1264" s="27" t="str">
        <f>HYPERLINK(CONCAT("http://leetcode.com/problems/",Github!C$485), Github!B$485)</f>
        <v>Find Permutation</v>
      </c>
      <c r="C1264" s="17">
        <f>Github!F$485</f>
        <v>480</v>
      </c>
      <c r="D1264" s="17">
        <f>Github!G$485</f>
        <v>79</v>
      </c>
      <c r="E1264" s="17">
        <f>Github!F$485+Github!G$485</f>
        <v>559</v>
      </c>
      <c r="F1264" s="18">
        <f t="shared" si="1"/>
        <v>6.08</v>
      </c>
      <c r="G1264" s="17" t="str">
        <f>Github!H$485</f>
        <v>Algorithms</v>
      </c>
      <c r="H1264" s="19" t="str">
        <f>SUBSTITUTE(Github!L$485, ";", ", ")</f>
        <v>Array, Stack, Greedy, </v>
      </c>
      <c r="I1264" s="17" t="str">
        <f>Github!E$485</f>
        <v>Medium</v>
      </c>
      <c r="J1264" s="17" t="str">
        <f>IF(TRIM(Github!D$485)="TRUE","FALSE","TRUE")</f>
        <v>FALSE</v>
      </c>
      <c r="K1264" s="17" t="b">
        <f>Github!M$485</f>
        <v>1</v>
      </c>
      <c r="L1264" s="17" t="b">
        <f>Github!N$485</f>
        <v>0</v>
      </c>
      <c r="M1264" s="17" t="str">
        <f>ROUND(Github!O$485, 2)&amp;"%"</f>
        <v>64.3%</v>
      </c>
      <c r="N1264" s="17">
        <f>Github!P$485</f>
        <v>26968</v>
      </c>
      <c r="O1264" s="17">
        <f>Github!Q$485</f>
        <v>41940</v>
      </c>
    </row>
    <row r="1265" ht="18.0" customHeight="1">
      <c r="A1265" s="17">
        <f>Github!J$1856</f>
        <v>1855</v>
      </c>
      <c r="B1265" s="27" t="str">
        <f>HYPERLINK(CONCAT("http://leetcode.com/problems/",Github!C$1856), Github!B$1856)</f>
        <v>Maximum Distance Between a Pair of Values</v>
      </c>
      <c r="C1265" s="17">
        <f>Github!F$1856</f>
        <v>481</v>
      </c>
      <c r="D1265" s="17">
        <f>Github!G$1856</f>
        <v>9</v>
      </c>
      <c r="E1265" s="17">
        <f>Github!F$1856+Github!G$1856</f>
        <v>490</v>
      </c>
      <c r="F1265" s="18">
        <f t="shared" si="1"/>
        <v>53.44</v>
      </c>
      <c r="G1265" s="17" t="str">
        <f>Github!H$1856</f>
        <v>Algorithms</v>
      </c>
      <c r="H1265" s="19" t="str">
        <f>SUBSTITUTE(Github!L$1856, ";", ", ")</f>
        <v>Array, Two Pointers, Binary Search, Greedy, </v>
      </c>
      <c r="I1265" s="17" t="str">
        <f>Github!E$1856</f>
        <v>Medium</v>
      </c>
      <c r="J1265" s="17" t="str">
        <f>IF(TRIM(Github!D$1856)="TRUE","FALSE","TRUE")</f>
        <v>TRUE</v>
      </c>
      <c r="K1265" s="17" t="b">
        <f>Github!M$1856</f>
        <v>0</v>
      </c>
      <c r="L1265" s="17" t="b">
        <f>Github!N$1856</f>
        <v>0</v>
      </c>
      <c r="M1265" s="17" t="str">
        <f>ROUND(Github!O$1856, 2)&amp;"%"</f>
        <v>48.95%</v>
      </c>
      <c r="N1265" s="17">
        <f>Github!P$1856</f>
        <v>19057</v>
      </c>
      <c r="O1265" s="17">
        <f>Github!Q$1856</f>
        <v>38929</v>
      </c>
    </row>
    <row r="1266" ht="18.0" customHeight="1">
      <c r="A1266" s="17">
        <f>Github!J$761</f>
        <v>760</v>
      </c>
      <c r="B1266" s="27" t="str">
        <f>HYPERLINK(CONCAT("http://leetcode.com/problems/",Github!C$761), Github!B$761)</f>
        <v>Find Anagram Mappings</v>
      </c>
      <c r="C1266" s="17">
        <f>Github!F$761</f>
        <v>478</v>
      </c>
      <c r="D1266" s="17">
        <f>Github!G$761</f>
        <v>193</v>
      </c>
      <c r="E1266" s="17">
        <f>Github!F$761+Github!G$761</f>
        <v>671</v>
      </c>
      <c r="F1266" s="18">
        <f t="shared" si="1"/>
        <v>2.48</v>
      </c>
      <c r="G1266" s="17" t="str">
        <f>Github!H$761</f>
        <v>Algorithms</v>
      </c>
      <c r="H1266" s="19" t="str">
        <f>SUBSTITUTE(Github!L$761, ";", ", ")</f>
        <v>Array, Hash Table, </v>
      </c>
      <c r="I1266" s="17" t="str">
        <f>Github!E$761</f>
        <v>Easy</v>
      </c>
      <c r="J1266" s="17" t="str">
        <f>IF(TRIM(Github!D$761)="TRUE","FALSE","TRUE")</f>
        <v>FALSE</v>
      </c>
      <c r="K1266" s="17" t="b">
        <f>Github!M$761</f>
        <v>1</v>
      </c>
      <c r="L1266" s="17" t="b">
        <f>Github!N$761</f>
        <v>0</v>
      </c>
      <c r="M1266" s="17" t="str">
        <f>ROUND(Github!O$761, 2)&amp;"%"</f>
        <v>82.61%</v>
      </c>
      <c r="N1266" s="17">
        <f>Github!P$761</f>
        <v>79602</v>
      </c>
      <c r="O1266" s="17">
        <f>Github!Q$761</f>
        <v>96354</v>
      </c>
    </row>
    <row r="1267" ht="18.0" customHeight="1">
      <c r="A1267" s="17">
        <f>Github!J$1450</f>
        <v>1449</v>
      </c>
      <c r="B1267" s="27" t="str">
        <f>HYPERLINK(CONCAT("http://leetcode.com/problems/",Github!C$1450), Github!B$1450)</f>
        <v>Form Largest Integer With Digits That Add up to Target</v>
      </c>
      <c r="C1267" s="17">
        <f>Github!F$1450</f>
        <v>478</v>
      </c>
      <c r="D1267" s="17">
        <f>Github!G$1450</f>
        <v>8</v>
      </c>
      <c r="E1267" s="17">
        <f>Github!F$1450+Github!G$1450</f>
        <v>486</v>
      </c>
      <c r="F1267" s="18">
        <f t="shared" si="1"/>
        <v>59.75</v>
      </c>
      <c r="G1267" s="17" t="str">
        <f>Github!H$1450</f>
        <v>Algorithms</v>
      </c>
      <c r="H1267" s="19" t="str">
        <f>SUBSTITUTE(Github!L$1450, ";", ", ")</f>
        <v>Array, Dynamic Programming, </v>
      </c>
      <c r="I1267" s="17" t="str">
        <f>Github!E$1450</f>
        <v>Hard</v>
      </c>
      <c r="J1267" s="17" t="str">
        <f>IF(TRIM(Github!D$1450)="TRUE","FALSE","TRUE")</f>
        <v>TRUE</v>
      </c>
      <c r="K1267" s="17" t="b">
        <f>Github!M$1450</f>
        <v>0</v>
      </c>
      <c r="L1267" s="17" t="b">
        <f>Github!N$1450</f>
        <v>0</v>
      </c>
      <c r="M1267" s="17" t="str">
        <f>ROUND(Github!O$1450, 2)&amp;"%"</f>
        <v>46.21%</v>
      </c>
      <c r="N1267" s="17">
        <f>Github!P$1450</f>
        <v>11712</v>
      </c>
      <c r="O1267" s="17">
        <f>Github!Q$1450</f>
        <v>25347</v>
      </c>
    </row>
    <row r="1268" ht="18.0" customHeight="1">
      <c r="A1268" s="17">
        <f>Github!J$886</f>
        <v>885</v>
      </c>
      <c r="B1268" s="27" t="str">
        <f>HYPERLINK(CONCAT("http://leetcode.com/problems/",Github!C$886), Github!B$886)</f>
        <v>Spiral Matrix III</v>
      </c>
      <c r="C1268" s="17">
        <f>Github!F$886</f>
        <v>480</v>
      </c>
      <c r="D1268" s="17">
        <f>Github!G$886</f>
        <v>515</v>
      </c>
      <c r="E1268" s="17">
        <f>Github!F$886+Github!G$886</f>
        <v>995</v>
      </c>
      <c r="F1268" s="18">
        <f t="shared" si="1"/>
        <v>0.93</v>
      </c>
      <c r="G1268" s="17" t="str">
        <f>Github!H$886</f>
        <v>Algorithms</v>
      </c>
      <c r="H1268" s="19" t="str">
        <f>SUBSTITUTE(Github!L$886, ";", ", ")</f>
        <v>Array, Matrix, Simulation, </v>
      </c>
      <c r="I1268" s="17" t="str">
        <f>Github!E$886</f>
        <v>Medium</v>
      </c>
      <c r="J1268" s="17" t="str">
        <f>IF(TRIM(Github!D$886)="TRUE","FALSE","TRUE")</f>
        <v>TRUE</v>
      </c>
      <c r="K1268" s="17" t="b">
        <f>Github!M$886</f>
        <v>1</v>
      </c>
      <c r="L1268" s="17" t="b">
        <f>Github!N$886</f>
        <v>0</v>
      </c>
      <c r="M1268" s="17" t="str">
        <f>ROUND(Github!O$886, 2)&amp;"%"</f>
        <v>72.21%</v>
      </c>
      <c r="N1268" s="17">
        <f>Github!P$886</f>
        <v>32825</v>
      </c>
      <c r="O1268" s="17">
        <f>Github!Q$886</f>
        <v>45456</v>
      </c>
    </row>
    <row r="1269" ht="18.0" customHeight="1">
      <c r="A1269" s="17">
        <f>Github!J$2090</f>
        <v>2089</v>
      </c>
      <c r="B1269" s="27" t="str">
        <f>HYPERLINK(CONCAT("http://leetcode.com/problems/",Github!C$2090), Github!B$2090)</f>
        <v>Find Target Indices After Sorting Array</v>
      </c>
      <c r="C1269" s="17">
        <f>Github!F$2090</f>
        <v>478</v>
      </c>
      <c r="D1269" s="17">
        <f>Github!G$2090</f>
        <v>23</v>
      </c>
      <c r="E1269" s="17">
        <f>Github!F$2090+Github!G$2090</f>
        <v>501</v>
      </c>
      <c r="F1269" s="18">
        <f t="shared" si="1"/>
        <v>20.78</v>
      </c>
      <c r="G1269" s="17" t="str">
        <f>Github!H$2090</f>
        <v>Algorithms</v>
      </c>
      <c r="H1269" s="19" t="str">
        <f>SUBSTITUTE(Github!L$2090, ";", ", ")</f>
        <v>Array, Binary Search, Sorting, </v>
      </c>
      <c r="I1269" s="17" t="str">
        <f>Github!E$2090</f>
        <v>Easy</v>
      </c>
      <c r="J1269" s="17" t="str">
        <f>IF(TRIM(Github!D$2090)="TRUE","FALSE","TRUE")</f>
        <v>TRUE</v>
      </c>
      <c r="K1269" s="17" t="b">
        <f>Github!M$2090</f>
        <v>0</v>
      </c>
      <c r="L1269" s="17" t="b">
        <f>Github!N$2090</f>
        <v>0</v>
      </c>
      <c r="M1269" s="17" t="str">
        <f>ROUND(Github!O$2090, 2)&amp;"%"</f>
        <v>80.22%</v>
      </c>
      <c r="N1269" s="17">
        <f>Github!P$2090</f>
        <v>43006</v>
      </c>
      <c r="O1269" s="17">
        <f>Github!Q$2090</f>
        <v>53611</v>
      </c>
    </row>
    <row r="1270" ht="18.0" customHeight="1">
      <c r="A1270" s="17">
        <f>Github!J$1140</f>
        <v>1139</v>
      </c>
      <c r="B1270" s="27" t="str">
        <f>HYPERLINK(CONCAT("http://leetcode.com/problems/",Github!C$1140), Github!B$1140)</f>
        <v>Largest 1-Bordered Square</v>
      </c>
      <c r="C1270" s="17">
        <f>Github!F$1140</f>
        <v>477</v>
      </c>
      <c r="D1270" s="17">
        <f>Github!G$1140</f>
        <v>80</v>
      </c>
      <c r="E1270" s="17">
        <f>Github!F$1140+Github!G$1140</f>
        <v>557</v>
      </c>
      <c r="F1270" s="18">
        <f t="shared" si="1"/>
        <v>5.96</v>
      </c>
      <c r="G1270" s="17" t="str">
        <f>Github!H$1140</f>
        <v>Algorithms</v>
      </c>
      <c r="H1270" s="19" t="str">
        <f>SUBSTITUTE(Github!L$1140, ";", ", ")</f>
        <v>Array, Dynamic Programming, Matrix, </v>
      </c>
      <c r="I1270" s="17" t="str">
        <f>Github!E$1140</f>
        <v>Medium</v>
      </c>
      <c r="J1270" s="17" t="str">
        <f>IF(TRIM(Github!D$1140)="TRUE","FALSE","TRUE")</f>
        <v>TRUE</v>
      </c>
      <c r="K1270" s="17" t="b">
        <f>Github!M$1140</f>
        <v>0</v>
      </c>
      <c r="L1270" s="17" t="b">
        <f>Github!N$1140</f>
        <v>0</v>
      </c>
      <c r="M1270" s="17" t="str">
        <f>ROUND(Github!O$1140, 2)&amp;"%"</f>
        <v>49.25%</v>
      </c>
      <c r="N1270" s="17">
        <f>Github!P$1140</f>
        <v>17696</v>
      </c>
      <c r="O1270" s="17">
        <f>Github!Q$1140</f>
        <v>35932</v>
      </c>
    </row>
    <row r="1271" ht="18.0" customHeight="1">
      <c r="A1271" s="17">
        <f>Github!J$892</f>
        <v>891</v>
      </c>
      <c r="B1271" s="27" t="str">
        <f>HYPERLINK(CONCAT("http://leetcode.com/problems/",Github!C$892), Github!B$892)</f>
        <v>Sum of Subsequence Widths</v>
      </c>
      <c r="C1271" s="17">
        <f>Github!F$892</f>
        <v>475</v>
      </c>
      <c r="D1271" s="17">
        <f>Github!G$892</f>
        <v>137</v>
      </c>
      <c r="E1271" s="17">
        <f>Github!F$892+Github!G$892</f>
        <v>612</v>
      </c>
      <c r="F1271" s="18">
        <f t="shared" si="1"/>
        <v>3.47</v>
      </c>
      <c r="G1271" s="17" t="str">
        <f>Github!H$892</f>
        <v>Algorithms</v>
      </c>
      <c r="H1271" s="19" t="str">
        <f>SUBSTITUTE(Github!L$892, ";", ", ")</f>
        <v>Array, Math, Sorting, </v>
      </c>
      <c r="I1271" s="17" t="str">
        <f>Github!E$892</f>
        <v>Hard</v>
      </c>
      <c r="J1271" s="17" t="str">
        <f>IF(TRIM(Github!D$892)="TRUE","FALSE","TRUE")</f>
        <v>TRUE</v>
      </c>
      <c r="K1271" s="17" t="b">
        <f>Github!M$892</f>
        <v>1</v>
      </c>
      <c r="L1271" s="17" t="b">
        <f>Github!N$892</f>
        <v>0</v>
      </c>
      <c r="M1271" s="17" t="str">
        <f>ROUND(Github!O$892, 2)&amp;"%"</f>
        <v>35.14%</v>
      </c>
      <c r="N1271" s="17">
        <f>Github!P$892</f>
        <v>14489</v>
      </c>
      <c r="O1271" s="17">
        <f>Github!Q$892</f>
        <v>41229</v>
      </c>
    </row>
    <row r="1272" ht="18.0" customHeight="1">
      <c r="A1272" s="17">
        <f>Github!J$1706</f>
        <v>1705</v>
      </c>
      <c r="B1272" s="27" t="str">
        <f>HYPERLINK(CONCAT("http://leetcode.com/problems/",Github!C$1706), Github!B$1706)</f>
        <v>Maximum Number of Eaten Apples</v>
      </c>
      <c r="C1272" s="17">
        <f>Github!F$1706</f>
        <v>474</v>
      </c>
      <c r="D1272" s="17">
        <f>Github!G$1706</f>
        <v>142</v>
      </c>
      <c r="E1272" s="17">
        <f>Github!F$1706+Github!G$1706</f>
        <v>616</v>
      </c>
      <c r="F1272" s="18">
        <f t="shared" si="1"/>
        <v>3.34</v>
      </c>
      <c r="G1272" s="17" t="str">
        <f>Github!H$1706</f>
        <v>Algorithms</v>
      </c>
      <c r="H1272" s="19" t="str">
        <f>SUBSTITUTE(Github!L$1706, ";", ", ")</f>
        <v>Array, Greedy, Heap (Priority Queue), </v>
      </c>
      <c r="I1272" s="17" t="str">
        <f>Github!E$1706</f>
        <v>Medium</v>
      </c>
      <c r="J1272" s="17" t="str">
        <f>IF(TRIM(Github!D$1706)="TRUE","FALSE","TRUE")</f>
        <v>TRUE</v>
      </c>
      <c r="K1272" s="17" t="b">
        <f>Github!M$1706</f>
        <v>0</v>
      </c>
      <c r="L1272" s="17" t="b">
        <f>Github!N$1706</f>
        <v>0</v>
      </c>
      <c r="M1272" s="17" t="str">
        <f>ROUND(Github!O$1706, 2)&amp;"%"</f>
        <v>36.08%</v>
      </c>
      <c r="N1272" s="17">
        <f>Github!P$1706</f>
        <v>13697</v>
      </c>
      <c r="O1272" s="17">
        <f>Github!Q$1706</f>
        <v>37958</v>
      </c>
    </row>
    <row r="1273" ht="18.0" customHeight="1">
      <c r="A1273" s="17">
        <f>Github!J$1792</f>
        <v>1791</v>
      </c>
      <c r="B1273" s="27" t="str">
        <f>HYPERLINK(CONCAT("http://leetcode.com/problems/",Github!C$1792), Github!B$1792)</f>
        <v>Find Center of Star Graph</v>
      </c>
      <c r="C1273" s="17">
        <f>Github!F$1792</f>
        <v>474</v>
      </c>
      <c r="D1273" s="17">
        <f>Github!G$1792</f>
        <v>65</v>
      </c>
      <c r="E1273" s="17">
        <f>Github!F$1792+Github!G$1792</f>
        <v>539</v>
      </c>
      <c r="F1273" s="18">
        <f t="shared" si="1"/>
        <v>7.29</v>
      </c>
      <c r="G1273" s="17" t="str">
        <f>Github!H$1792</f>
        <v>Algorithms</v>
      </c>
      <c r="H1273" s="19" t="str">
        <f>SUBSTITUTE(Github!L$1792, ";", ", ")</f>
        <v>Graph, </v>
      </c>
      <c r="I1273" s="17" t="str">
        <f>Github!E$1792</f>
        <v>Easy</v>
      </c>
      <c r="J1273" s="17" t="str">
        <f>IF(TRIM(Github!D$1792)="TRUE","FALSE","TRUE")</f>
        <v>TRUE</v>
      </c>
      <c r="K1273" s="17" t="b">
        <f>Github!M$1792</f>
        <v>0</v>
      </c>
      <c r="L1273" s="17" t="b">
        <f>Github!N$1792</f>
        <v>0</v>
      </c>
      <c r="M1273" s="17" t="str">
        <f>ROUND(Github!O$1792, 2)&amp;"%"</f>
        <v>83.74%</v>
      </c>
      <c r="N1273" s="17">
        <f>Github!P$1792</f>
        <v>72976</v>
      </c>
      <c r="O1273" s="17">
        <f>Github!Q$1792</f>
        <v>87151</v>
      </c>
    </row>
    <row r="1274" ht="18.0" customHeight="1">
      <c r="A1274" s="17">
        <f>Github!J$1456</f>
        <v>1455</v>
      </c>
      <c r="B1274" s="27" t="str">
        <f>HYPERLINK(CONCAT("http://leetcode.com/problems/",Github!C$1456), Github!B$1456)</f>
        <v>Check If a Word Occurs As a Prefix of Any Word in a Sentence</v>
      </c>
      <c r="C1274" s="17">
        <f>Github!F$1456</f>
        <v>473</v>
      </c>
      <c r="D1274" s="17">
        <f>Github!G$1456</f>
        <v>23</v>
      </c>
      <c r="E1274" s="17">
        <f>Github!F$1456+Github!G$1456</f>
        <v>496</v>
      </c>
      <c r="F1274" s="18">
        <f t="shared" si="1"/>
        <v>20.57</v>
      </c>
      <c r="G1274" s="17" t="str">
        <f>Github!H$1456</f>
        <v>Algorithms</v>
      </c>
      <c r="H1274" s="19" t="str">
        <f>SUBSTITUTE(Github!L$1456, ";", ", ")</f>
        <v>String, String Matching, </v>
      </c>
      <c r="I1274" s="17" t="str">
        <f>Github!E$1456</f>
        <v>Easy</v>
      </c>
      <c r="J1274" s="17" t="str">
        <f>IF(TRIM(Github!D$1456)="TRUE","FALSE","TRUE")</f>
        <v>TRUE</v>
      </c>
      <c r="K1274" s="17" t="b">
        <f>Github!M$1456</f>
        <v>0</v>
      </c>
      <c r="L1274" s="17" t="b">
        <f>Github!N$1456</f>
        <v>0</v>
      </c>
      <c r="M1274" s="17" t="str">
        <f>ROUND(Github!O$1456, 2)&amp;"%"</f>
        <v>64.56%</v>
      </c>
      <c r="N1274" s="17">
        <f>Github!P$1456</f>
        <v>47335</v>
      </c>
      <c r="O1274" s="17">
        <f>Github!Q$1456</f>
        <v>73319</v>
      </c>
    </row>
    <row r="1275" ht="18.0" customHeight="1">
      <c r="A1275" s="17">
        <f>Github!J$1590</f>
        <v>1589</v>
      </c>
      <c r="B1275" s="27" t="str">
        <f>HYPERLINK(CONCAT("http://leetcode.com/problems/",Github!C$1590), Github!B$1590)</f>
        <v>Maximum Sum Obtained of Any Permutation</v>
      </c>
      <c r="C1275" s="17">
        <f>Github!F$1590</f>
        <v>472</v>
      </c>
      <c r="D1275" s="17">
        <f>Github!G$1590</f>
        <v>25</v>
      </c>
      <c r="E1275" s="17">
        <f>Github!F$1590+Github!G$1590</f>
        <v>497</v>
      </c>
      <c r="F1275" s="18">
        <f t="shared" si="1"/>
        <v>18.88</v>
      </c>
      <c r="G1275" s="17" t="str">
        <f>Github!H$1590</f>
        <v>Algorithms</v>
      </c>
      <c r="H1275" s="19" t="str">
        <f>SUBSTITUTE(Github!L$1590, ";", ", ")</f>
        <v>Array, Greedy, Sorting, Prefix Sum, </v>
      </c>
      <c r="I1275" s="17" t="str">
        <f>Github!E$1590</f>
        <v>Medium</v>
      </c>
      <c r="J1275" s="17" t="str">
        <f>IF(TRIM(Github!D$1590)="TRUE","FALSE","TRUE")</f>
        <v>TRUE</v>
      </c>
      <c r="K1275" s="17" t="b">
        <f>Github!M$1590</f>
        <v>0</v>
      </c>
      <c r="L1275" s="17" t="b">
        <f>Github!N$1590</f>
        <v>0</v>
      </c>
      <c r="M1275" s="17" t="str">
        <f>ROUND(Github!O$1590, 2)&amp;"%"</f>
        <v>36.22%</v>
      </c>
      <c r="N1275" s="17">
        <f>Github!P$1590</f>
        <v>11777</v>
      </c>
      <c r="O1275" s="17">
        <f>Github!Q$1590</f>
        <v>32517</v>
      </c>
    </row>
    <row r="1276" ht="18.0" customHeight="1">
      <c r="A1276" s="17">
        <f>Github!J$1803</f>
        <v>1802</v>
      </c>
      <c r="B1276" s="27" t="str">
        <f>HYPERLINK(CONCAT("http://leetcode.com/problems/",Github!C$1803), Github!B$1803)</f>
        <v>Maximum Value at a Given Index in a Bounded Array</v>
      </c>
      <c r="C1276" s="17">
        <f>Github!F$1803</f>
        <v>472</v>
      </c>
      <c r="D1276" s="17">
        <f>Github!G$1803</f>
        <v>66</v>
      </c>
      <c r="E1276" s="17">
        <f>Github!F$1803+Github!G$1803</f>
        <v>538</v>
      </c>
      <c r="F1276" s="18">
        <f t="shared" si="1"/>
        <v>7.15</v>
      </c>
      <c r="G1276" s="17" t="str">
        <f>Github!H$1803</f>
        <v>Algorithms</v>
      </c>
      <c r="H1276" s="19" t="str">
        <f>SUBSTITUTE(Github!L$1803, ";", ", ")</f>
        <v>Binary Search, Greedy, </v>
      </c>
      <c r="I1276" s="17" t="str">
        <f>Github!E$1803</f>
        <v>Medium</v>
      </c>
      <c r="J1276" s="17" t="str">
        <f>IF(TRIM(Github!D$1803)="TRUE","FALSE","TRUE")</f>
        <v>TRUE</v>
      </c>
      <c r="K1276" s="17" t="b">
        <f>Github!M$1803</f>
        <v>0</v>
      </c>
      <c r="L1276" s="17" t="b">
        <f>Github!N$1803</f>
        <v>0</v>
      </c>
      <c r="M1276" s="17" t="str">
        <f>ROUND(Github!O$1803, 2)&amp;"%"</f>
        <v>29.66%</v>
      </c>
      <c r="N1276" s="17">
        <f>Github!P$1803</f>
        <v>9519</v>
      </c>
      <c r="O1276" s="17">
        <f>Github!Q$1803</f>
        <v>32095</v>
      </c>
    </row>
    <row r="1277" ht="18.0" customHeight="1">
      <c r="A1277" s="17">
        <f>Github!J$1423</f>
        <v>1422</v>
      </c>
      <c r="B1277" s="27" t="str">
        <f>HYPERLINK(CONCAT("http://leetcode.com/problems/",Github!C$1423), Github!B$1423)</f>
        <v>Maximum Score After Splitting a String</v>
      </c>
      <c r="C1277" s="17">
        <f>Github!F$1423</f>
        <v>472</v>
      </c>
      <c r="D1277" s="17">
        <f>Github!G$1423</f>
        <v>24</v>
      </c>
      <c r="E1277" s="17">
        <f>Github!F$1423+Github!G$1423</f>
        <v>496</v>
      </c>
      <c r="F1277" s="18">
        <f t="shared" si="1"/>
        <v>19.67</v>
      </c>
      <c r="G1277" s="17" t="str">
        <f>Github!H$1423</f>
        <v>Algorithms</v>
      </c>
      <c r="H1277" s="19" t="str">
        <f>SUBSTITUTE(Github!L$1423, ";", ", ")</f>
        <v>String, </v>
      </c>
      <c r="I1277" s="17" t="str">
        <f>Github!E$1423</f>
        <v>Easy</v>
      </c>
      <c r="J1277" s="17" t="str">
        <f>IF(TRIM(Github!D$1423)="TRUE","FALSE","TRUE")</f>
        <v>TRUE</v>
      </c>
      <c r="K1277" s="17" t="b">
        <f>Github!M$1423</f>
        <v>0</v>
      </c>
      <c r="L1277" s="17" t="b">
        <f>Github!N$1423</f>
        <v>0</v>
      </c>
      <c r="M1277" s="17" t="str">
        <f>ROUND(Github!O$1423, 2)&amp;"%"</f>
        <v>57.75%</v>
      </c>
      <c r="N1277" s="17">
        <f>Github!P$1423</f>
        <v>37488</v>
      </c>
      <c r="O1277" s="17">
        <f>Github!Q$1423</f>
        <v>64919</v>
      </c>
    </row>
    <row r="1278" ht="18.0" customHeight="1">
      <c r="A1278" s="17">
        <f>Github!J$1746</f>
        <v>1745</v>
      </c>
      <c r="B1278" s="27" t="str">
        <f>HYPERLINK(CONCAT("http://leetcode.com/problems/",Github!C$1746), Github!B$1746)</f>
        <v>Palindrome Partitioning IV</v>
      </c>
      <c r="C1278" s="17">
        <f>Github!F$1746</f>
        <v>470</v>
      </c>
      <c r="D1278" s="17">
        <f>Github!G$1746</f>
        <v>14</v>
      </c>
      <c r="E1278" s="17">
        <f>Github!F$1746+Github!G$1746</f>
        <v>484</v>
      </c>
      <c r="F1278" s="18">
        <f t="shared" si="1"/>
        <v>33.57</v>
      </c>
      <c r="G1278" s="17" t="str">
        <f>Github!H$1746</f>
        <v>Algorithms</v>
      </c>
      <c r="H1278" s="19" t="str">
        <f>SUBSTITUTE(Github!L$1746, ";", ", ")</f>
        <v>String, Dynamic Programming, </v>
      </c>
      <c r="I1278" s="17" t="str">
        <f>Github!E$1746</f>
        <v>Hard</v>
      </c>
      <c r="J1278" s="17" t="str">
        <f>IF(TRIM(Github!D$1746)="TRUE","FALSE","TRUE")</f>
        <v>TRUE</v>
      </c>
      <c r="K1278" s="17" t="b">
        <f>Github!M$1746</f>
        <v>0</v>
      </c>
      <c r="L1278" s="17" t="b">
        <f>Github!N$1746</f>
        <v>0</v>
      </c>
      <c r="M1278" s="17" t="str">
        <f>ROUND(Github!O$1746, 2)&amp;"%"</f>
        <v>49.26%</v>
      </c>
      <c r="N1278" s="17">
        <f>Github!P$1746</f>
        <v>14036</v>
      </c>
      <c r="O1278" s="17">
        <f>Github!Q$1746</f>
        <v>28494</v>
      </c>
    </row>
    <row r="1279" ht="18.0" customHeight="1">
      <c r="A1279" s="17">
        <f>Github!J$1776</f>
        <v>1775</v>
      </c>
      <c r="B1279" s="27" t="str">
        <f>HYPERLINK(CONCAT("http://leetcode.com/problems/",Github!C$1776), Github!B$1776)</f>
        <v>Equal Sum Arrays With Minimum Number of Operations</v>
      </c>
      <c r="C1279" s="17">
        <f>Github!F$1776</f>
        <v>470</v>
      </c>
      <c r="D1279" s="17">
        <f>Github!G$1776</f>
        <v>13</v>
      </c>
      <c r="E1279" s="17">
        <f>Github!F$1776+Github!G$1776</f>
        <v>483</v>
      </c>
      <c r="F1279" s="18">
        <f t="shared" si="1"/>
        <v>36.15</v>
      </c>
      <c r="G1279" s="17" t="str">
        <f>Github!H$1776</f>
        <v>Algorithms</v>
      </c>
      <c r="H1279" s="19" t="str">
        <f>SUBSTITUTE(Github!L$1776, ";", ", ")</f>
        <v>Array, Hash Table, Greedy, Counting, </v>
      </c>
      <c r="I1279" s="17" t="str">
        <f>Github!E$1776</f>
        <v>Medium</v>
      </c>
      <c r="J1279" s="17" t="str">
        <f>IF(TRIM(Github!D$1776)="TRUE","FALSE","TRUE")</f>
        <v>TRUE</v>
      </c>
      <c r="K1279" s="17" t="b">
        <f>Github!M$1776</f>
        <v>0</v>
      </c>
      <c r="L1279" s="17" t="b">
        <f>Github!N$1776</f>
        <v>0</v>
      </c>
      <c r="M1279" s="17" t="str">
        <f>ROUND(Github!O$1776, 2)&amp;"%"</f>
        <v>51.28%</v>
      </c>
      <c r="N1279" s="17">
        <f>Github!P$1776</f>
        <v>13985</v>
      </c>
      <c r="O1279" s="17">
        <f>Github!Q$1776</f>
        <v>27273</v>
      </c>
    </row>
    <row r="1280" ht="18.0" customHeight="1">
      <c r="A1280" s="17">
        <f>Github!J$985</f>
        <v>984</v>
      </c>
      <c r="B1280" s="27" t="str">
        <f>HYPERLINK(CONCAT("http://leetcode.com/problems/",Github!C$985), Github!B$985)</f>
        <v>String Without AAA or BBB</v>
      </c>
      <c r="C1280" s="17">
        <f>Github!F$985</f>
        <v>467</v>
      </c>
      <c r="D1280" s="17">
        <f>Github!G$985</f>
        <v>327</v>
      </c>
      <c r="E1280" s="17">
        <f>Github!F$985+Github!G$985</f>
        <v>794</v>
      </c>
      <c r="F1280" s="18">
        <f t="shared" si="1"/>
        <v>1.43</v>
      </c>
      <c r="G1280" s="17" t="str">
        <f>Github!H$985</f>
        <v>Algorithms</v>
      </c>
      <c r="H1280" s="19" t="str">
        <f>SUBSTITUTE(Github!L$985, ";", ", ")</f>
        <v>String, Greedy, </v>
      </c>
      <c r="I1280" s="17" t="str">
        <f>Github!E$985</f>
        <v>Medium</v>
      </c>
      <c r="J1280" s="17" t="str">
        <f>IF(TRIM(Github!D$985)="TRUE","FALSE","TRUE")</f>
        <v>TRUE</v>
      </c>
      <c r="K1280" s="17" t="b">
        <f>Github!M$985</f>
        <v>1</v>
      </c>
      <c r="L1280" s="17" t="b">
        <f>Github!N$985</f>
        <v>0</v>
      </c>
      <c r="M1280" s="17" t="str">
        <f>ROUND(Github!O$985, 2)&amp;"%"</f>
        <v>41.82%</v>
      </c>
      <c r="N1280" s="17">
        <f>Github!P$985</f>
        <v>31962</v>
      </c>
      <c r="O1280" s="17">
        <f>Github!Q$985</f>
        <v>76436</v>
      </c>
    </row>
    <row r="1281" ht="18.0" customHeight="1">
      <c r="A1281" s="17">
        <f>Github!J$1724</f>
        <v>1723</v>
      </c>
      <c r="B1281" s="27" t="str">
        <f>HYPERLINK(CONCAT("http://leetcode.com/problems/",Github!C$1724), Github!B$1724)</f>
        <v>Find Minimum Time to Finish All Jobs</v>
      </c>
      <c r="C1281" s="17">
        <f>Github!F$1724</f>
        <v>467</v>
      </c>
      <c r="D1281" s="17">
        <f>Github!G$1724</f>
        <v>14</v>
      </c>
      <c r="E1281" s="17">
        <f>Github!F$1724+Github!G$1724</f>
        <v>481</v>
      </c>
      <c r="F1281" s="18">
        <f t="shared" si="1"/>
        <v>33.36</v>
      </c>
      <c r="G1281" s="17" t="str">
        <f>Github!H$1724</f>
        <v>Algorithms</v>
      </c>
      <c r="H1281" s="19" t="str">
        <f>SUBSTITUTE(Github!L$1724, ";", ", ")</f>
        <v>Array, Dynamic Programming, Backtracking, Bit Manipulation, Bitmask, </v>
      </c>
      <c r="I1281" s="17" t="str">
        <f>Github!E$1724</f>
        <v>Hard</v>
      </c>
      <c r="J1281" s="17" t="str">
        <f>IF(TRIM(Github!D$1724)="TRUE","FALSE","TRUE")</f>
        <v>TRUE</v>
      </c>
      <c r="K1281" s="17" t="b">
        <f>Github!M$1724</f>
        <v>0</v>
      </c>
      <c r="L1281" s="17" t="b">
        <f>Github!N$1724</f>
        <v>0</v>
      </c>
      <c r="M1281" s="17" t="str">
        <f>ROUND(Github!O$1724, 2)&amp;"%"</f>
        <v>42.82%</v>
      </c>
      <c r="N1281" s="17">
        <f>Github!P$1724</f>
        <v>13078</v>
      </c>
      <c r="O1281" s="17">
        <f>Github!Q$1724</f>
        <v>30543</v>
      </c>
    </row>
    <row r="1282" ht="18.0" customHeight="1">
      <c r="A1282" s="17">
        <f>Github!J$1766</f>
        <v>1765</v>
      </c>
      <c r="B1282" s="27" t="str">
        <f>HYPERLINK(CONCAT("http://leetcode.com/problems/",Github!C$1766), Github!B$1766)</f>
        <v>Map of Highest Peak</v>
      </c>
      <c r="C1282" s="17">
        <f>Github!F$1766</f>
        <v>466</v>
      </c>
      <c r="D1282" s="17">
        <f>Github!G$1766</f>
        <v>30</v>
      </c>
      <c r="E1282" s="17">
        <f>Github!F$1766+Github!G$1766</f>
        <v>496</v>
      </c>
      <c r="F1282" s="18">
        <f t="shared" si="1"/>
        <v>15.53</v>
      </c>
      <c r="G1282" s="17" t="str">
        <f>Github!H$1766</f>
        <v>Algorithms</v>
      </c>
      <c r="H1282" s="19" t="str">
        <f>SUBSTITUTE(Github!L$1766, ";", ", ")</f>
        <v>Array, Breadth-First Search, Matrix, </v>
      </c>
      <c r="I1282" s="17" t="str">
        <f>Github!E$1766</f>
        <v>Medium</v>
      </c>
      <c r="J1282" s="17" t="str">
        <f>IF(TRIM(Github!D$1766)="TRUE","FALSE","TRUE")</f>
        <v>TRUE</v>
      </c>
      <c r="K1282" s="17" t="b">
        <f>Github!M$1766</f>
        <v>0</v>
      </c>
      <c r="L1282" s="17" t="b">
        <f>Github!N$1766</f>
        <v>0</v>
      </c>
      <c r="M1282" s="17" t="str">
        <f>ROUND(Github!O$1766, 2)&amp;"%"</f>
        <v>59.51%</v>
      </c>
      <c r="N1282" s="17">
        <f>Github!P$1766</f>
        <v>15430</v>
      </c>
      <c r="O1282" s="17">
        <f>Github!Q$1766</f>
        <v>25931</v>
      </c>
    </row>
    <row r="1283" ht="18.0" customHeight="1">
      <c r="A1283" s="17">
        <f>Github!J$1060</f>
        <v>1059</v>
      </c>
      <c r="B1283" s="27" t="str">
        <f>HYPERLINK(CONCAT("http://leetcode.com/problems/",Github!C$1060), Github!B$1060)</f>
        <v>All Paths from Source Lead to Destination</v>
      </c>
      <c r="C1283" s="17">
        <f>Github!F$1060</f>
        <v>466</v>
      </c>
      <c r="D1283" s="17">
        <f>Github!G$1060</f>
        <v>101</v>
      </c>
      <c r="E1283" s="17">
        <f>Github!F$1060+Github!G$1060</f>
        <v>567</v>
      </c>
      <c r="F1283" s="18">
        <f t="shared" si="1"/>
        <v>4.61</v>
      </c>
      <c r="G1283" s="17" t="str">
        <f>Github!H$1060</f>
        <v>Algorithms</v>
      </c>
      <c r="H1283" s="19" t="str">
        <f>SUBSTITUTE(Github!L$1060, ";", ", ")</f>
        <v>Depth-First Search, Graph, </v>
      </c>
      <c r="I1283" s="17" t="str">
        <f>Github!E$1060</f>
        <v>Medium</v>
      </c>
      <c r="J1283" s="17" t="str">
        <f>IF(TRIM(Github!D$1060)="TRUE","FALSE","TRUE")</f>
        <v>FALSE</v>
      </c>
      <c r="K1283" s="17" t="b">
        <f>Github!M$1060</f>
        <v>1</v>
      </c>
      <c r="L1283" s="17" t="b">
        <f>Github!N$1060</f>
        <v>0</v>
      </c>
      <c r="M1283" s="17" t="str">
        <f>ROUND(Github!O$1060, 2)&amp;"%"</f>
        <v>42.23%</v>
      </c>
      <c r="N1283" s="17">
        <f>Github!P$1060</f>
        <v>34214</v>
      </c>
      <c r="O1283" s="17">
        <f>Github!Q$1060</f>
        <v>81007</v>
      </c>
    </row>
    <row r="1284" ht="18.0" customHeight="1">
      <c r="A1284" s="17">
        <f>Github!J$1617</f>
        <v>1616</v>
      </c>
      <c r="B1284" s="27" t="str">
        <f>HYPERLINK(CONCAT("http://leetcode.com/problems/",Github!C$1617), Github!B$1617)</f>
        <v>Split Two Strings to Make Palindrome</v>
      </c>
      <c r="C1284" s="17">
        <f>Github!F$1617</f>
        <v>466</v>
      </c>
      <c r="D1284" s="17">
        <f>Github!G$1617</f>
        <v>197</v>
      </c>
      <c r="E1284" s="17">
        <f>Github!F$1617+Github!G$1617</f>
        <v>663</v>
      </c>
      <c r="F1284" s="18">
        <f t="shared" si="1"/>
        <v>2.37</v>
      </c>
      <c r="G1284" s="17" t="str">
        <f>Github!H$1617</f>
        <v>Algorithms</v>
      </c>
      <c r="H1284" s="19" t="str">
        <f>SUBSTITUTE(Github!L$1617, ";", ", ")</f>
        <v>Two Pointers, String, Greedy, </v>
      </c>
      <c r="I1284" s="17" t="str">
        <f>Github!E$1617</f>
        <v>Medium</v>
      </c>
      <c r="J1284" s="17" t="str">
        <f>IF(TRIM(Github!D$1617)="TRUE","FALSE","TRUE")</f>
        <v>TRUE</v>
      </c>
      <c r="K1284" s="17" t="b">
        <f>Github!M$1617</f>
        <v>0</v>
      </c>
      <c r="L1284" s="17" t="b">
        <f>Github!N$1617</f>
        <v>0</v>
      </c>
      <c r="M1284" s="17" t="str">
        <f>ROUND(Github!O$1617, 2)&amp;"%"</f>
        <v>31.43%</v>
      </c>
      <c r="N1284" s="17">
        <f>Github!P$1617</f>
        <v>16081</v>
      </c>
      <c r="O1284" s="17">
        <f>Github!Q$1617</f>
        <v>51162</v>
      </c>
    </row>
    <row r="1285" ht="18.0" customHeight="1">
      <c r="A1285" s="17">
        <f>Github!J$1735</f>
        <v>1734</v>
      </c>
      <c r="B1285" s="27" t="str">
        <f>HYPERLINK(CONCAT("http://leetcode.com/problems/",Github!C$1735), Github!B$1735)</f>
        <v>Decode XORed Permutation</v>
      </c>
      <c r="C1285" s="17">
        <f>Github!F$1735</f>
        <v>465</v>
      </c>
      <c r="D1285" s="17">
        <f>Github!G$1735</f>
        <v>18</v>
      </c>
      <c r="E1285" s="17">
        <f>Github!F$1735+Github!G$1735</f>
        <v>483</v>
      </c>
      <c r="F1285" s="18">
        <f t="shared" si="1"/>
        <v>25.83</v>
      </c>
      <c r="G1285" s="17" t="str">
        <f>Github!H$1735</f>
        <v>Algorithms</v>
      </c>
      <c r="H1285" s="19" t="str">
        <f>SUBSTITUTE(Github!L$1735, ";", ", ")</f>
        <v>Array, Bit Manipulation, </v>
      </c>
      <c r="I1285" s="17" t="str">
        <f>Github!E$1735</f>
        <v>Medium</v>
      </c>
      <c r="J1285" s="17" t="str">
        <f>IF(TRIM(Github!D$1735)="TRUE","FALSE","TRUE")</f>
        <v>TRUE</v>
      </c>
      <c r="K1285" s="17" t="b">
        <f>Github!M$1735</f>
        <v>0</v>
      </c>
      <c r="L1285" s="17" t="b">
        <f>Github!N$1735</f>
        <v>0</v>
      </c>
      <c r="M1285" s="17" t="str">
        <f>ROUND(Github!O$1735, 2)&amp;"%"</f>
        <v>60.21%</v>
      </c>
      <c r="N1285" s="17">
        <f>Github!P$1735</f>
        <v>8747</v>
      </c>
      <c r="O1285" s="17">
        <f>Github!Q$1735</f>
        <v>14528</v>
      </c>
    </row>
    <row r="1286" ht="18.0" customHeight="1">
      <c r="A1286" s="17">
        <f>Github!J$2036</f>
        <v>2035</v>
      </c>
      <c r="B1286" s="27" t="str">
        <f>HYPERLINK(CONCAT("http://leetcode.com/problems/",Github!C$2036), Github!B$2036)</f>
        <v>Partition Array Into Two Arrays to Minimize Sum Difference</v>
      </c>
      <c r="C1286" s="17">
        <f>Github!F$2036</f>
        <v>468</v>
      </c>
      <c r="D1286" s="17">
        <f>Github!G$2036</f>
        <v>27</v>
      </c>
      <c r="E1286" s="17">
        <f>Github!F$2036+Github!G$2036</f>
        <v>495</v>
      </c>
      <c r="F1286" s="18">
        <f t="shared" si="1"/>
        <v>17.33</v>
      </c>
      <c r="G1286" s="17" t="str">
        <f>Github!H$2036</f>
        <v>Algorithms</v>
      </c>
      <c r="H1286" s="19" t="str">
        <f>SUBSTITUTE(Github!L$2036, ";", ", ")</f>
        <v>Array, Two Pointers, Binary Search, Dynamic Programming, Bit Manipulation, Ordered Set, Bitmask, </v>
      </c>
      <c r="I1286" s="17" t="str">
        <f>Github!E$2036</f>
        <v>Hard</v>
      </c>
      <c r="J1286" s="17" t="str">
        <f>IF(TRIM(Github!D$2036)="TRUE","FALSE","TRUE")</f>
        <v>TRUE</v>
      </c>
      <c r="K1286" s="17" t="b">
        <f>Github!M$2036</f>
        <v>0</v>
      </c>
      <c r="L1286" s="17" t="b">
        <f>Github!N$2036</f>
        <v>0</v>
      </c>
      <c r="M1286" s="17" t="str">
        <f>ROUND(Github!O$2036, 2)&amp;"%"</f>
        <v>22.81%</v>
      </c>
      <c r="N1286" s="17">
        <f>Github!P$2036</f>
        <v>4748</v>
      </c>
      <c r="O1286" s="17">
        <f>Github!Q$2036</f>
        <v>20819</v>
      </c>
    </row>
    <row r="1287" ht="18.0" customHeight="1">
      <c r="A1287" s="17">
        <f>Github!J$1987</f>
        <v>1986</v>
      </c>
      <c r="B1287" s="27" t="str">
        <f>HYPERLINK(CONCAT("http://leetcode.com/problems/",Github!C$1987), Github!B$1987)</f>
        <v>Minimum Number of Work Sessions to Finish the Tasks</v>
      </c>
      <c r="C1287" s="17">
        <f>Github!F$1987</f>
        <v>464</v>
      </c>
      <c r="D1287" s="17">
        <f>Github!G$1987</f>
        <v>27</v>
      </c>
      <c r="E1287" s="17">
        <f>Github!F$1987+Github!G$1987</f>
        <v>491</v>
      </c>
      <c r="F1287" s="18">
        <f t="shared" si="1"/>
        <v>17.19</v>
      </c>
      <c r="G1287" s="17" t="str">
        <f>Github!H$1987</f>
        <v>Algorithms</v>
      </c>
      <c r="H1287" s="19" t="str">
        <f>SUBSTITUTE(Github!L$1987, ";", ", ")</f>
        <v>Array, Dynamic Programming, Backtracking, Bit Manipulation, Bitmask, </v>
      </c>
      <c r="I1287" s="17" t="str">
        <f>Github!E$1987</f>
        <v>Medium</v>
      </c>
      <c r="J1287" s="17" t="str">
        <f>IF(TRIM(Github!D$1987)="TRUE","FALSE","TRUE")</f>
        <v>TRUE</v>
      </c>
      <c r="K1287" s="17" t="b">
        <f>Github!M$1987</f>
        <v>0</v>
      </c>
      <c r="L1287" s="17" t="b">
        <f>Github!N$1987</f>
        <v>0</v>
      </c>
      <c r="M1287" s="17" t="str">
        <f>ROUND(Github!O$1987, 2)&amp;"%"</f>
        <v>31.55%</v>
      </c>
      <c r="N1287" s="17">
        <f>Github!P$1987</f>
        <v>10758</v>
      </c>
      <c r="O1287" s="17">
        <f>Github!Q$1987</f>
        <v>34100</v>
      </c>
    </row>
    <row r="1288" ht="18.0" customHeight="1">
      <c r="A1288" s="17">
        <f>Github!J$621</f>
        <v>620</v>
      </c>
      <c r="B1288" s="27" t="str">
        <f>HYPERLINK(CONCAT("http://leetcode.com/problems/",Github!C$621), Github!B$621)</f>
        <v>Not Boring Movies</v>
      </c>
      <c r="C1288" s="17">
        <f>Github!F$621</f>
        <v>462</v>
      </c>
      <c r="D1288" s="17">
        <f>Github!G$621</f>
        <v>359</v>
      </c>
      <c r="E1288" s="17">
        <f>Github!F$621+Github!G$621</f>
        <v>821</v>
      </c>
      <c r="F1288" s="18">
        <f t="shared" si="1"/>
        <v>1.29</v>
      </c>
      <c r="G1288" s="17" t="str">
        <f>Github!H$621</f>
        <v>Database</v>
      </c>
      <c r="H1288" s="19" t="str">
        <f>SUBSTITUTE(Github!L$621, ";", ", ")</f>
        <v>Database, </v>
      </c>
      <c r="I1288" s="17" t="str">
        <f>Github!E$621</f>
        <v>Easy</v>
      </c>
      <c r="J1288" s="17" t="str">
        <f>IF(TRIM(Github!D$621)="TRUE","FALSE","TRUE")</f>
        <v>TRUE</v>
      </c>
      <c r="K1288" s="17" t="b">
        <f>Github!M$621</f>
        <v>1</v>
      </c>
      <c r="L1288" s="17" t="b">
        <f>Github!N$621</f>
        <v>0</v>
      </c>
      <c r="M1288" s="17" t="str">
        <f>ROUND(Github!O$621, 2)&amp;"%"</f>
        <v>72.35%</v>
      </c>
      <c r="N1288" s="17">
        <f>Github!P$621</f>
        <v>177823</v>
      </c>
      <c r="O1288" s="17">
        <f>Github!Q$621</f>
        <v>245766</v>
      </c>
    </row>
    <row r="1289" ht="18.0" customHeight="1">
      <c r="A1289" s="17">
        <f>Github!J$1102</f>
        <v>1101</v>
      </c>
      <c r="B1289" s="27" t="str">
        <f>HYPERLINK(CONCAT("http://leetcode.com/problems/",Github!C$1102), Github!B$1102)</f>
        <v>The Earliest Moment When Everyone Become Friends</v>
      </c>
      <c r="C1289" s="17">
        <f>Github!F$1102</f>
        <v>462</v>
      </c>
      <c r="D1289" s="17">
        <f>Github!G$1102</f>
        <v>12</v>
      </c>
      <c r="E1289" s="17">
        <f>Github!F$1102+Github!G$1102</f>
        <v>474</v>
      </c>
      <c r="F1289" s="18">
        <f t="shared" si="1"/>
        <v>38.5</v>
      </c>
      <c r="G1289" s="17" t="str">
        <f>Github!H$1102</f>
        <v>Algorithms</v>
      </c>
      <c r="H1289" s="19" t="str">
        <f>SUBSTITUTE(Github!L$1102, ";", ", ")</f>
        <v>Array, Union Find, </v>
      </c>
      <c r="I1289" s="17" t="str">
        <f>Github!E$1102</f>
        <v>Medium</v>
      </c>
      <c r="J1289" s="17" t="str">
        <f>IF(TRIM(Github!D$1102)="TRUE","FALSE","TRUE")</f>
        <v>FALSE</v>
      </c>
      <c r="K1289" s="17" t="b">
        <f>Github!M$1102</f>
        <v>1</v>
      </c>
      <c r="L1289" s="17" t="b">
        <f>Github!N$1102</f>
        <v>0</v>
      </c>
      <c r="M1289" s="17" t="str">
        <f>ROUND(Github!O$1102, 2)&amp;"%"</f>
        <v>64.58%</v>
      </c>
      <c r="N1289" s="17">
        <f>Github!P$1102</f>
        <v>30477</v>
      </c>
      <c r="O1289" s="17">
        <f>Github!Q$1102</f>
        <v>47190</v>
      </c>
    </row>
    <row r="1290" ht="18.0" customHeight="1">
      <c r="A1290" s="17">
        <f>Github!J$565</f>
        <v>564</v>
      </c>
      <c r="B1290" s="27" t="str">
        <f>HYPERLINK(CONCAT("http://leetcode.com/problems/",Github!C$565), Github!B$565)</f>
        <v>Find the Closest Palindrome</v>
      </c>
      <c r="C1290" s="17">
        <f>Github!F$565</f>
        <v>461</v>
      </c>
      <c r="D1290" s="17">
        <f>Github!G$565</f>
        <v>1096</v>
      </c>
      <c r="E1290" s="17">
        <f>Github!F$565+Github!G$565</f>
        <v>1557</v>
      </c>
      <c r="F1290" s="18">
        <f t="shared" si="1"/>
        <v>0.42</v>
      </c>
      <c r="G1290" s="17" t="str">
        <f>Github!H$565</f>
        <v>Algorithms</v>
      </c>
      <c r="H1290" s="19" t="str">
        <f>SUBSTITUTE(Github!L$565, ";", ", ")</f>
        <v>Math, String, </v>
      </c>
      <c r="I1290" s="17" t="str">
        <f>Github!E$565</f>
        <v>Hard</v>
      </c>
      <c r="J1290" s="17" t="str">
        <f>IF(TRIM(Github!D$565)="TRUE","FALSE","TRUE")</f>
        <v>TRUE</v>
      </c>
      <c r="K1290" s="17" t="b">
        <f>Github!M$565</f>
        <v>0</v>
      </c>
      <c r="L1290" s="17" t="b">
        <f>Github!N$565</f>
        <v>0</v>
      </c>
      <c r="M1290" s="17" t="str">
        <f>ROUND(Github!O$565, 2)&amp;"%"</f>
        <v>21.12%</v>
      </c>
      <c r="N1290" s="17">
        <f>Github!P$565</f>
        <v>30303</v>
      </c>
      <c r="O1290" s="17">
        <f>Github!Q$565</f>
        <v>143513</v>
      </c>
    </row>
    <row r="1291" ht="18.0" customHeight="1">
      <c r="A1291" s="17">
        <f>Github!J$1793</f>
        <v>1792</v>
      </c>
      <c r="B1291" s="27" t="str">
        <f>HYPERLINK(CONCAT("http://leetcode.com/problems/",Github!C$1793), Github!B$1793)</f>
        <v>Maximum Average Pass Ratio</v>
      </c>
      <c r="C1291" s="17">
        <f>Github!F$1793</f>
        <v>461</v>
      </c>
      <c r="D1291" s="17">
        <f>Github!G$1793</f>
        <v>57</v>
      </c>
      <c r="E1291" s="17">
        <f>Github!F$1793+Github!G$1793</f>
        <v>518</v>
      </c>
      <c r="F1291" s="18">
        <f t="shared" si="1"/>
        <v>8.09</v>
      </c>
      <c r="G1291" s="17" t="str">
        <f>Github!H$1793</f>
        <v>Algorithms</v>
      </c>
      <c r="H1291" s="19" t="str">
        <f>SUBSTITUTE(Github!L$1793, ";", ", ")</f>
        <v>Array, Greedy, Heap (Priority Queue), </v>
      </c>
      <c r="I1291" s="17" t="str">
        <f>Github!E$1793</f>
        <v>Medium</v>
      </c>
      <c r="J1291" s="17" t="str">
        <f>IF(TRIM(Github!D$1793)="TRUE","FALSE","TRUE")</f>
        <v>TRUE</v>
      </c>
      <c r="K1291" s="17" t="b">
        <f>Github!M$1793</f>
        <v>0</v>
      </c>
      <c r="L1291" s="17" t="b">
        <f>Github!N$1793</f>
        <v>0</v>
      </c>
      <c r="M1291" s="17" t="str">
        <f>ROUND(Github!O$1793, 2)&amp;"%"</f>
        <v>50.36%</v>
      </c>
      <c r="N1291" s="17">
        <f>Github!P$1793</f>
        <v>14117</v>
      </c>
      <c r="O1291" s="17">
        <f>Github!Q$1793</f>
        <v>28030</v>
      </c>
    </row>
    <row r="1292" ht="18.0" customHeight="1">
      <c r="A1292" s="17">
        <f>Github!J$1497</f>
        <v>1496</v>
      </c>
      <c r="B1292" s="27" t="str">
        <f>HYPERLINK(CONCAT("http://leetcode.com/problems/",Github!C$1497), Github!B$1497)</f>
        <v>Path Crossing</v>
      </c>
      <c r="C1292" s="17">
        <f>Github!F$1497</f>
        <v>460</v>
      </c>
      <c r="D1292" s="17">
        <f>Github!G$1497</f>
        <v>8</v>
      </c>
      <c r="E1292" s="17">
        <f>Github!F$1497+Github!G$1497</f>
        <v>468</v>
      </c>
      <c r="F1292" s="18">
        <f t="shared" si="1"/>
        <v>57.5</v>
      </c>
      <c r="G1292" s="17" t="str">
        <f>Github!H$1497</f>
        <v>Algorithms</v>
      </c>
      <c r="H1292" s="19" t="str">
        <f>SUBSTITUTE(Github!L$1497, ";", ", ")</f>
        <v>Hash Table, String, </v>
      </c>
      <c r="I1292" s="17" t="str">
        <f>Github!E$1497</f>
        <v>Easy</v>
      </c>
      <c r="J1292" s="17" t="str">
        <f>IF(TRIM(Github!D$1497)="TRUE","FALSE","TRUE")</f>
        <v>TRUE</v>
      </c>
      <c r="K1292" s="17" t="b">
        <f>Github!M$1497</f>
        <v>0</v>
      </c>
      <c r="L1292" s="17" t="b">
        <f>Github!N$1497</f>
        <v>0</v>
      </c>
      <c r="M1292" s="17" t="str">
        <f>ROUND(Github!O$1497, 2)&amp;"%"</f>
        <v>55.71%</v>
      </c>
      <c r="N1292" s="17">
        <f>Github!P$1497</f>
        <v>34241</v>
      </c>
      <c r="O1292" s="17">
        <f>Github!Q$1497</f>
        <v>61468</v>
      </c>
    </row>
    <row r="1293" ht="18.0" customHeight="1">
      <c r="A1293" s="17">
        <f>Github!J$428</f>
        <v>427</v>
      </c>
      <c r="B1293" s="27" t="str">
        <f>HYPERLINK(CONCAT("http://leetcode.com/problems/",Github!C$428), Github!B$428)</f>
        <v>Construct Quad Tree</v>
      </c>
      <c r="C1293" s="17">
        <f>Github!F$428</f>
        <v>459</v>
      </c>
      <c r="D1293" s="17">
        <f>Github!G$428</f>
        <v>644</v>
      </c>
      <c r="E1293" s="17">
        <f>Github!F$428+Github!G$428</f>
        <v>1103</v>
      </c>
      <c r="F1293" s="18">
        <f t="shared" si="1"/>
        <v>0.71</v>
      </c>
      <c r="G1293" s="17" t="str">
        <f>Github!H$428</f>
        <v>Algorithms</v>
      </c>
      <c r="H1293" s="19" t="str">
        <f>SUBSTITUTE(Github!L$428, ";", ", ")</f>
        <v>Array, Divide and Conquer, Tree, Matrix, </v>
      </c>
      <c r="I1293" s="17" t="str">
        <f>Github!E$428</f>
        <v>Medium</v>
      </c>
      <c r="J1293" s="17" t="str">
        <f>IF(TRIM(Github!D$428)="TRUE","FALSE","TRUE")</f>
        <v>TRUE</v>
      </c>
      <c r="K1293" s="17" t="b">
        <f>Github!M$428</f>
        <v>0</v>
      </c>
      <c r="L1293" s="17" t="b">
        <f>Github!N$428</f>
        <v>0</v>
      </c>
      <c r="M1293" s="17" t="str">
        <f>ROUND(Github!O$428, 2)&amp;"%"</f>
        <v>64.95%</v>
      </c>
      <c r="N1293" s="17">
        <f>Github!P$428</f>
        <v>39373</v>
      </c>
      <c r="O1293" s="17">
        <f>Github!Q$428</f>
        <v>60623</v>
      </c>
    </row>
    <row r="1294" ht="18.0" customHeight="1">
      <c r="A1294" s="17">
        <f>Github!J$1031</f>
        <v>1030</v>
      </c>
      <c r="B1294" s="27" t="str">
        <f>HYPERLINK(CONCAT("http://leetcode.com/problems/",Github!C$1031), Github!B$1031)</f>
        <v>Matrix Cells in Distance Order</v>
      </c>
      <c r="C1294" s="17">
        <f>Github!F$1031</f>
        <v>459</v>
      </c>
      <c r="D1294" s="17">
        <f>Github!G$1031</f>
        <v>214</v>
      </c>
      <c r="E1294" s="17">
        <f>Github!F$1031+Github!G$1031</f>
        <v>673</v>
      </c>
      <c r="F1294" s="18">
        <f t="shared" si="1"/>
        <v>2.14</v>
      </c>
      <c r="G1294" s="17" t="str">
        <f>Github!H$1031</f>
        <v>Algorithms</v>
      </c>
      <c r="H1294" s="19" t="str">
        <f>SUBSTITUTE(Github!L$1031, ";", ", ")</f>
        <v>Array, Math, Geometry, Sorting, Matrix, </v>
      </c>
      <c r="I1294" s="17" t="str">
        <f>Github!E$1031</f>
        <v>Easy</v>
      </c>
      <c r="J1294" s="17" t="str">
        <f>IF(TRIM(Github!D$1031)="TRUE","FALSE","TRUE")</f>
        <v>TRUE</v>
      </c>
      <c r="K1294" s="17" t="b">
        <f>Github!M$1031</f>
        <v>0</v>
      </c>
      <c r="L1294" s="17" t="b">
        <f>Github!N$1031</f>
        <v>0</v>
      </c>
      <c r="M1294" s="17" t="str">
        <f>ROUND(Github!O$1031, 2)&amp;"%"</f>
        <v>68.93%</v>
      </c>
      <c r="N1294" s="17">
        <f>Github!P$1031</f>
        <v>40620</v>
      </c>
      <c r="O1294" s="17">
        <f>Github!Q$1031</f>
        <v>58930</v>
      </c>
    </row>
    <row r="1295" ht="18.0" customHeight="1">
      <c r="A1295" s="17">
        <f>Github!J$1116</f>
        <v>1115</v>
      </c>
      <c r="B1295" s="27" t="str">
        <f>HYPERLINK(CONCAT("http://leetcode.com/problems/",Github!C$1116), Github!B$1116)</f>
        <v>Print FooBar Alternately</v>
      </c>
      <c r="C1295" s="17">
        <f>Github!F$1116</f>
        <v>458</v>
      </c>
      <c r="D1295" s="17">
        <f>Github!G$1116</f>
        <v>37</v>
      </c>
      <c r="E1295" s="17">
        <f>Github!F$1116+Github!G$1116</f>
        <v>495</v>
      </c>
      <c r="F1295" s="18">
        <f t="shared" si="1"/>
        <v>12.38</v>
      </c>
      <c r="G1295" s="17" t="str">
        <f>Github!H$1116</f>
        <v>Concurrency</v>
      </c>
      <c r="H1295" s="19" t="str">
        <f>SUBSTITUTE(Github!L$1116, ";", ", ")</f>
        <v>Concurrency, </v>
      </c>
      <c r="I1295" s="17" t="str">
        <f>Github!E$1116</f>
        <v>Medium</v>
      </c>
      <c r="J1295" s="17" t="str">
        <f>IF(TRIM(Github!D$1116)="TRUE","FALSE","TRUE")</f>
        <v>TRUE</v>
      </c>
      <c r="K1295" s="17" t="b">
        <f>Github!M$1116</f>
        <v>0</v>
      </c>
      <c r="L1295" s="17" t="b">
        <f>Github!N$1116</f>
        <v>0</v>
      </c>
      <c r="M1295" s="17" t="str">
        <f>ROUND(Github!O$1116, 2)&amp;"%"</f>
        <v>60.35%</v>
      </c>
      <c r="N1295" s="17">
        <f>Github!P$1116</f>
        <v>50323</v>
      </c>
      <c r="O1295" s="17">
        <f>Github!Q$1116</f>
        <v>83382</v>
      </c>
    </row>
    <row r="1296" ht="18.0" customHeight="1">
      <c r="A1296" s="17">
        <f>Github!J$1754</f>
        <v>1753</v>
      </c>
      <c r="B1296" s="27" t="str">
        <f>HYPERLINK(CONCAT("http://leetcode.com/problems/",Github!C$1754), Github!B$1754)</f>
        <v>Maximum Score From Removing Stones</v>
      </c>
      <c r="C1296" s="17">
        <f>Github!F$1754</f>
        <v>458</v>
      </c>
      <c r="D1296" s="17">
        <f>Github!G$1754</f>
        <v>33</v>
      </c>
      <c r="E1296" s="17">
        <f>Github!F$1754+Github!G$1754</f>
        <v>491</v>
      </c>
      <c r="F1296" s="18">
        <f t="shared" si="1"/>
        <v>13.88</v>
      </c>
      <c r="G1296" s="17" t="str">
        <f>Github!H$1754</f>
        <v>Algorithms</v>
      </c>
      <c r="H1296" s="19" t="str">
        <f>SUBSTITUTE(Github!L$1754, ";", ", ")</f>
        <v>Math, Greedy, Heap (Priority Queue), </v>
      </c>
      <c r="I1296" s="17" t="str">
        <f>Github!E$1754</f>
        <v>Medium</v>
      </c>
      <c r="J1296" s="17" t="str">
        <f>IF(TRIM(Github!D$1754)="TRUE","FALSE","TRUE")</f>
        <v>TRUE</v>
      </c>
      <c r="K1296" s="17" t="b">
        <f>Github!M$1754</f>
        <v>0</v>
      </c>
      <c r="L1296" s="17" t="b">
        <f>Github!N$1754</f>
        <v>0</v>
      </c>
      <c r="M1296" s="17" t="str">
        <f>ROUND(Github!O$1754, 2)&amp;"%"</f>
        <v>64.86%</v>
      </c>
      <c r="N1296" s="17">
        <f>Github!P$1754</f>
        <v>20088</v>
      </c>
      <c r="O1296" s="17">
        <f>Github!Q$1754</f>
        <v>30970</v>
      </c>
    </row>
    <row r="1297" ht="18.0" customHeight="1">
      <c r="A1297" s="17">
        <f>Github!J$1129</f>
        <v>1128</v>
      </c>
      <c r="B1297" s="27" t="str">
        <f>HYPERLINK(CONCAT("http://leetcode.com/problems/",Github!C$1129), Github!B$1129)</f>
        <v>Number of Equivalent Domino Pairs</v>
      </c>
      <c r="C1297" s="17">
        <f>Github!F$1129</f>
        <v>457</v>
      </c>
      <c r="D1297" s="17">
        <f>Github!G$1129</f>
        <v>226</v>
      </c>
      <c r="E1297" s="17">
        <f>Github!F$1129+Github!G$1129</f>
        <v>683</v>
      </c>
      <c r="F1297" s="18">
        <f t="shared" si="1"/>
        <v>2.02</v>
      </c>
      <c r="G1297" s="17" t="str">
        <f>Github!H$1129</f>
        <v>Algorithms</v>
      </c>
      <c r="H1297" s="19" t="str">
        <f>SUBSTITUTE(Github!L$1129, ";", ", ")</f>
        <v>Array, Hash Table, Counting, </v>
      </c>
      <c r="I1297" s="17" t="str">
        <f>Github!E$1129</f>
        <v>Easy</v>
      </c>
      <c r="J1297" s="17" t="str">
        <f>IF(TRIM(Github!D$1129)="TRUE","FALSE","TRUE")</f>
        <v>TRUE</v>
      </c>
      <c r="K1297" s="17" t="b">
        <f>Github!M$1129</f>
        <v>0</v>
      </c>
      <c r="L1297" s="17" t="b">
        <f>Github!N$1129</f>
        <v>0</v>
      </c>
      <c r="M1297" s="17" t="str">
        <f>ROUND(Github!O$1129, 2)&amp;"%"</f>
        <v>46.26%</v>
      </c>
      <c r="N1297" s="17">
        <f>Github!P$1129</f>
        <v>45475</v>
      </c>
      <c r="O1297" s="17">
        <f>Github!Q$1129</f>
        <v>98294</v>
      </c>
    </row>
    <row r="1298" ht="18.0" customHeight="1">
      <c r="A1298" s="17">
        <f>Github!J$1452</f>
        <v>1451</v>
      </c>
      <c r="B1298" s="27" t="str">
        <f>HYPERLINK(CONCAT("http://leetcode.com/problems/",Github!C$1452), Github!B$1452)</f>
        <v>Rearrange Words in a Sentence</v>
      </c>
      <c r="C1298" s="17">
        <f>Github!F$1452</f>
        <v>457</v>
      </c>
      <c r="D1298" s="17">
        <f>Github!G$1452</f>
        <v>63</v>
      </c>
      <c r="E1298" s="17">
        <f>Github!F$1452+Github!G$1452</f>
        <v>520</v>
      </c>
      <c r="F1298" s="18">
        <f t="shared" si="1"/>
        <v>7.25</v>
      </c>
      <c r="G1298" s="17" t="str">
        <f>Github!H$1452</f>
        <v>Algorithms</v>
      </c>
      <c r="H1298" s="19" t="str">
        <f>SUBSTITUTE(Github!L$1452, ";", ", ")</f>
        <v>String, Sorting, </v>
      </c>
      <c r="I1298" s="17" t="str">
        <f>Github!E$1452</f>
        <v>Medium</v>
      </c>
      <c r="J1298" s="17" t="str">
        <f>IF(TRIM(Github!D$1452)="TRUE","FALSE","TRUE")</f>
        <v>TRUE</v>
      </c>
      <c r="K1298" s="17" t="b">
        <f>Github!M$1452</f>
        <v>0</v>
      </c>
      <c r="L1298" s="17" t="b">
        <f>Github!N$1452</f>
        <v>0</v>
      </c>
      <c r="M1298" s="17" t="str">
        <f>ROUND(Github!O$1452, 2)&amp;"%"</f>
        <v>61.74%</v>
      </c>
      <c r="N1298" s="17">
        <f>Github!P$1452</f>
        <v>36341</v>
      </c>
      <c r="O1298" s="17">
        <f>Github!Q$1452</f>
        <v>58860</v>
      </c>
    </row>
    <row r="1299" ht="18.0" customHeight="1">
      <c r="A1299" s="17">
        <f>Github!J$1708</f>
        <v>1707</v>
      </c>
      <c r="B1299" s="27" t="str">
        <f>HYPERLINK(CONCAT("http://leetcode.com/problems/",Github!C$1708), Github!B$1708)</f>
        <v>Maximum XOR With an Element From Array</v>
      </c>
      <c r="C1299" s="17">
        <f>Github!F$1708</f>
        <v>457</v>
      </c>
      <c r="D1299" s="17">
        <f>Github!G$1708</f>
        <v>15</v>
      </c>
      <c r="E1299" s="17">
        <f>Github!F$1708+Github!G$1708</f>
        <v>472</v>
      </c>
      <c r="F1299" s="18">
        <f t="shared" si="1"/>
        <v>30.47</v>
      </c>
      <c r="G1299" s="17" t="str">
        <f>Github!H$1708</f>
        <v>Algorithms</v>
      </c>
      <c r="H1299" s="19" t="str">
        <f>SUBSTITUTE(Github!L$1708, ";", ", ")</f>
        <v>Array, Bit Manipulation, Trie, </v>
      </c>
      <c r="I1299" s="17" t="str">
        <f>Github!E$1708</f>
        <v>Hard</v>
      </c>
      <c r="J1299" s="17" t="str">
        <f>IF(TRIM(Github!D$1708)="TRUE","FALSE","TRUE")</f>
        <v>TRUE</v>
      </c>
      <c r="K1299" s="17" t="b">
        <f>Github!M$1708</f>
        <v>0</v>
      </c>
      <c r="L1299" s="17" t="b">
        <f>Github!N$1708</f>
        <v>0</v>
      </c>
      <c r="M1299" s="17" t="str">
        <f>ROUND(Github!O$1708, 2)&amp;"%"</f>
        <v>43.12%</v>
      </c>
      <c r="N1299" s="17">
        <f>Github!P$1708</f>
        <v>8158</v>
      </c>
      <c r="O1299" s="17">
        <f>Github!Q$1708</f>
        <v>18918</v>
      </c>
    </row>
    <row r="1300" ht="18.0" customHeight="1">
      <c r="A1300" s="17">
        <f>Github!J$1819</f>
        <v>1818</v>
      </c>
      <c r="B1300" s="27" t="str">
        <f>HYPERLINK(CONCAT("http://leetcode.com/problems/",Github!C$1819), Github!B$1819)</f>
        <v>Minimum Absolute Sum Difference</v>
      </c>
      <c r="C1300" s="17">
        <f>Github!F$1819</f>
        <v>459</v>
      </c>
      <c r="D1300" s="17">
        <f>Github!G$1819</f>
        <v>45</v>
      </c>
      <c r="E1300" s="17">
        <f>Github!F$1819+Github!G$1819</f>
        <v>504</v>
      </c>
      <c r="F1300" s="18">
        <f t="shared" si="1"/>
        <v>10.2</v>
      </c>
      <c r="G1300" s="17" t="str">
        <f>Github!H$1819</f>
        <v>Algorithms</v>
      </c>
      <c r="H1300" s="19" t="str">
        <f>SUBSTITUTE(Github!L$1819, ";", ", ")</f>
        <v>Array, Binary Search, Sorting, Ordered Set, </v>
      </c>
      <c r="I1300" s="17" t="str">
        <f>Github!E$1819</f>
        <v>Medium</v>
      </c>
      <c r="J1300" s="17" t="str">
        <f>IF(TRIM(Github!D$1819)="TRUE","FALSE","TRUE")</f>
        <v>TRUE</v>
      </c>
      <c r="K1300" s="17" t="b">
        <f>Github!M$1819</f>
        <v>0</v>
      </c>
      <c r="L1300" s="17" t="b">
        <f>Github!N$1819</f>
        <v>0</v>
      </c>
      <c r="M1300" s="17" t="str">
        <f>ROUND(Github!O$1819, 2)&amp;"%"</f>
        <v>28.73%</v>
      </c>
      <c r="N1300" s="17">
        <f>Github!P$1819</f>
        <v>12814</v>
      </c>
      <c r="O1300" s="17">
        <f>Github!Q$1819</f>
        <v>44596</v>
      </c>
    </row>
    <row r="1301" ht="18.0" customHeight="1">
      <c r="A1301" s="17">
        <f>Github!J$421</f>
        <v>420</v>
      </c>
      <c r="B1301" s="27" t="str">
        <f>HYPERLINK(CONCAT("http://leetcode.com/problems/",Github!C$421), Github!B$421)</f>
        <v>Strong Password Checker</v>
      </c>
      <c r="C1301" s="17">
        <f>Github!F$421</f>
        <v>453</v>
      </c>
      <c r="D1301" s="17">
        <f>Github!G$421</f>
        <v>1224</v>
      </c>
      <c r="E1301" s="17">
        <f>Github!F$421+Github!G$421</f>
        <v>1677</v>
      </c>
      <c r="F1301" s="18">
        <f t="shared" si="1"/>
        <v>0.37</v>
      </c>
      <c r="G1301" s="17" t="str">
        <f>Github!H$421</f>
        <v>Algorithms</v>
      </c>
      <c r="H1301" s="19" t="str">
        <f>SUBSTITUTE(Github!L$421, ";", ", ")</f>
        <v>String, Greedy, Heap (Priority Queue), </v>
      </c>
      <c r="I1301" s="17" t="str">
        <f>Github!E$421</f>
        <v>Hard</v>
      </c>
      <c r="J1301" s="17" t="str">
        <f>IF(TRIM(Github!D$421)="TRUE","FALSE","TRUE")</f>
        <v>TRUE</v>
      </c>
      <c r="K1301" s="17" t="b">
        <f>Github!M$421</f>
        <v>0</v>
      </c>
      <c r="L1301" s="17" t="b">
        <f>Github!N$421</f>
        <v>0</v>
      </c>
      <c r="M1301" s="17" t="str">
        <f>ROUND(Github!O$421, 2)&amp;"%"</f>
        <v>14.1%</v>
      </c>
      <c r="N1301" s="17">
        <f>Github!P$421</f>
        <v>23334</v>
      </c>
      <c r="O1301" s="17">
        <f>Github!Q$421</f>
        <v>165512</v>
      </c>
    </row>
    <row r="1302" ht="18.0" customHeight="1">
      <c r="A1302" s="17">
        <f>Github!J$1692</f>
        <v>1691</v>
      </c>
      <c r="B1302" s="27" t="str">
        <f>HYPERLINK(CONCAT("http://leetcode.com/problems/",Github!C$1692), Github!B$1692)</f>
        <v>Maximum Height by Stacking Cuboids </v>
      </c>
      <c r="C1302" s="17">
        <f>Github!F$1692</f>
        <v>453</v>
      </c>
      <c r="D1302" s="17">
        <f>Github!G$1692</f>
        <v>14</v>
      </c>
      <c r="E1302" s="17">
        <f>Github!F$1692+Github!G$1692</f>
        <v>467</v>
      </c>
      <c r="F1302" s="18">
        <f t="shared" si="1"/>
        <v>32.36</v>
      </c>
      <c r="G1302" s="17" t="str">
        <f>Github!H$1692</f>
        <v>Algorithms</v>
      </c>
      <c r="H1302" s="19" t="str">
        <f>SUBSTITUTE(Github!L$1692, ";", ", ")</f>
        <v>Array, Dynamic Programming, Sorting, </v>
      </c>
      <c r="I1302" s="17" t="str">
        <f>Github!E$1692</f>
        <v>Hard</v>
      </c>
      <c r="J1302" s="17" t="str">
        <f>IF(TRIM(Github!D$1692)="TRUE","FALSE","TRUE")</f>
        <v>TRUE</v>
      </c>
      <c r="K1302" s="17" t="b">
        <f>Github!M$1692</f>
        <v>0</v>
      </c>
      <c r="L1302" s="17" t="b">
        <f>Github!N$1692</f>
        <v>0</v>
      </c>
      <c r="M1302" s="17" t="str">
        <f>ROUND(Github!O$1692, 2)&amp;"%"</f>
        <v>53.56%</v>
      </c>
      <c r="N1302" s="17">
        <f>Github!P$1692</f>
        <v>10331</v>
      </c>
      <c r="O1302" s="17">
        <f>Github!Q$1692</f>
        <v>19290</v>
      </c>
    </row>
    <row r="1303" ht="18.0" customHeight="1">
      <c r="A1303" s="17">
        <f>Github!J$1245</f>
        <v>1244</v>
      </c>
      <c r="B1303" s="27" t="str">
        <f>HYPERLINK(CONCAT("http://leetcode.com/problems/",Github!C$1245), Github!B$1245)</f>
        <v>Design A Leaderboard</v>
      </c>
      <c r="C1303" s="17">
        <f>Github!F$1245</f>
        <v>452</v>
      </c>
      <c r="D1303" s="17">
        <f>Github!G$1245</f>
        <v>73</v>
      </c>
      <c r="E1303" s="17">
        <f>Github!F$1245+Github!G$1245</f>
        <v>525</v>
      </c>
      <c r="F1303" s="18">
        <f t="shared" si="1"/>
        <v>6.19</v>
      </c>
      <c r="G1303" s="17" t="str">
        <f>Github!H$1245</f>
        <v>Algorithms</v>
      </c>
      <c r="H1303" s="19" t="str">
        <f>SUBSTITUTE(Github!L$1245, ";", ", ")</f>
        <v>Hash Table, Design, Sorting, </v>
      </c>
      <c r="I1303" s="17" t="str">
        <f>Github!E$1245</f>
        <v>Medium</v>
      </c>
      <c r="J1303" s="17" t="str">
        <f>IF(TRIM(Github!D$1245)="TRUE","FALSE","TRUE")</f>
        <v>FALSE</v>
      </c>
      <c r="K1303" s="17" t="b">
        <f>Github!M$1245</f>
        <v>1</v>
      </c>
      <c r="L1303" s="17" t="b">
        <f>Github!N$1245</f>
        <v>0</v>
      </c>
      <c r="M1303" s="17" t="str">
        <f>ROUND(Github!O$1245, 2)&amp;"%"</f>
        <v>68%</v>
      </c>
      <c r="N1303" s="17">
        <f>Github!P$1245</f>
        <v>37504</v>
      </c>
      <c r="O1303" s="17">
        <f>Github!Q$1245</f>
        <v>55152</v>
      </c>
    </row>
    <row r="1304" ht="18.0" customHeight="1">
      <c r="A1304" s="17">
        <f>Github!J$1261</f>
        <v>1260</v>
      </c>
      <c r="B1304" s="27" t="str">
        <f>HYPERLINK(CONCAT("http://leetcode.com/problems/",Github!C$1261), Github!B$1261)</f>
        <v>Shift 2D Grid</v>
      </c>
      <c r="C1304" s="17">
        <f>Github!F$1261</f>
        <v>453</v>
      </c>
      <c r="D1304" s="17">
        <f>Github!G$1261</f>
        <v>138</v>
      </c>
      <c r="E1304" s="17">
        <f>Github!F$1261+Github!G$1261</f>
        <v>591</v>
      </c>
      <c r="F1304" s="18">
        <f t="shared" si="1"/>
        <v>3.28</v>
      </c>
      <c r="G1304" s="17" t="str">
        <f>Github!H$1261</f>
        <v>Algorithms</v>
      </c>
      <c r="H1304" s="19" t="str">
        <f>SUBSTITUTE(Github!L$1261, ";", ", ")</f>
        <v>Array, Matrix, Simulation, </v>
      </c>
      <c r="I1304" s="17" t="str">
        <f>Github!E$1261</f>
        <v>Easy</v>
      </c>
      <c r="J1304" s="17" t="str">
        <f>IF(TRIM(Github!D$1261)="TRUE","FALSE","TRUE")</f>
        <v>TRUE</v>
      </c>
      <c r="K1304" s="17" t="b">
        <f>Github!M$1261</f>
        <v>1</v>
      </c>
      <c r="L1304" s="17" t="b">
        <f>Github!N$1261</f>
        <v>0</v>
      </c>
      <c r="M1304" s="17" t="str">
        <f>ROUND(Github!O$1261, 2)&amp;"%"</f>
        <v>62.55%</v>
      </c>
      <c r="N1304" s="17">
        <f>Github!P$1261</f>
        <v>33161</v>
      </c>
      <c r="O1304" s="17">
        <f>Github!Q$1261</f>
        <v>53014</v>
      </c>
    </row>
    <row r="1305" ht="18.0" customHeight="1">
      <c r="A1305" s="17">
        <f>Github!J$1521</f>
        <v>1520</v>
      </c>
      <c r="B1305" s="27" t="str">
        <f>HYPERLINK(CONCAT("http://leetcode.com/problems/",Github!C$1521), Github!B$1521)</f>
        <v>Maximum Number of Non-Overlapping Substrings</v>
      </c>
      <c r="C1305" s="17">
        <f>Github!F$1521</f>
        <v>453</v>
      </c>
      <c r="D1305" s="17">
        <f>Github!G$1521</f>
        <v>55</v>
      </c>
      <c r="E1305" s="17">
        <f>Github!F$1521+Github!G$1521</f>
        <v>508</v>
      </c>
      <c r="F1305" s="18">
        <f t="shared" si="1"/>
        <v>8.24</v>
      </c>
      <c r="G1305" s="17" t="str">
        <f>Github!H$1521</f>
        <v>Algorithms</v>
      </c>
      <c r="H1305" s="19" t="str">
        <f>SUBSTITUTE(Github!L$1521, ";", ", ")</f>
        <v>String, Greedy, </v>
      </c>
      <c r="I1305" s="17" t="str">
        <f>Github!E$1521</f>
        <v>Hard</v>
      </c>
      <c r="J1305" s="17" t="str">
        <f>IF(TRIM(Github!D$1521)="TRUE","FALSE","TRUE")</f>
        <v>TRUE</v>
      </c>
      <c r="K1305" s="17" t="b">
        <f>Github!M$1521</f>
        <v>0</v>
      </c>
      <c r="L1305" s="17" t="b">
        <f>Github!N$1521</f>
        <v>0</v>
      </c>
      <c r="M1305" s="17" t="str">
        <f>ROUND(Github!O$1521, 2)&amp;"%"</f>
        <v>37.41%</v>
      </c>
      <c r="N1305" s="17">
        <f>Github!P$1521</f>
        <v>10481</v>
      </c>
      <c r="O1305" s="17">
        <f>Github!Q$1521</f>
        <v>28014</v>
      </c>
    </row>
    <row r="1306" ht="18.0" customHeight="1">
      <c r="A1306" s="17">
        <f>Github!J$1599</f>
        <v>1598</v>
      </c>
      <c r="B1306" s="27" t="str">
        <f>HYPERLINK(CONCAT("http://leetcode.com/problems/",Github!C$1599), Github!B$1599)</f>
        <v>Crawler Log Folder</v>
      </c>
      <c r="C1306" s="17">
        <f>Github!F$1599</f>
        <v>452</v>
      </c>
      <c r="D1306" s="17">
        <f>Github!G$1599</f>
        <v>34</v>
      </c>
      <c r="E1306" s="17">
        <f>Github!F$1599+Github!G$1599</f>
        <v>486</v>
      </c>
      <c r="F1306" s="18">
        <f t="shared" si="1"/>
        <v>13.29</v>
      </c>
      <c r="G1306" s="17" t="str">
        <f>Github!H$1599</f>
        <v>Algorithms</v>
      </c>
      <c r="H1306" s="19" t="str">
        <f>SUBSTITUTE(Github!L$1599, ";", ", ")</f>
        <v>Array, String, Stack, </v>
      </c>
      <c r="I1306" s="17" t="str">
        <f>Github!E$1599</f>
        <v>Easy</v>
      </c>
      <c r="J1306" s="17" t="str">
        <f>IF(TRIM(Github!D$1599)="TRUE","FALSE","TRUE")</f>
        <v>TRUE</v>
      </c>
      <c r="K1306" s="17" t="b">
        <f>Github!M$1599</f>
        <v>0</v>
      </c>
      <c r="L1306" s="17" t="b">
        <f>Github!N$1599</f>
        <v>0</v>
      </c>
      <c r="M1306" s="17" t="str">
        <f>ROUND(Github!O$1599, 2)&amp;"%"</f>
        <v>64.18%</v>
      </c>
      <c r="N1306" s="17">
        <f>Github!P$1599</f>
        <v>37177</v>
      </c>
      <c r="O1306" s="17">
        <f>Github!Q$1599</f>
        <v>57922</v>
      </c>
    </row>
    <row r="1307" ht="18.0" customHeight="1">
      <c r="A1307" s="17">
        <f>Github!J$2112</f>
        <v>2111</v>
      </c>
      <c r="B1307" s="27" t="str">
        <f>HYPERLINK(CONCAT("http://leetcode.com/problems/",Github!C$2112), Github!B$2112)</f>
        <v>Minimum Operations to Make the Array K-Increasing</v>
      </c>
      <c r="C1307" s="17">
        <f>Github!F$2112</f>
        <v>452</v>
      </c>
      <c r="D1307" s="17">
        <f>Github!G$2112</f>
        <v>8</v>
      </c>
      <c r="E1307" s="17">
        <f>Github!F$2112+Github!G$2112</f>
        <v>460</v>
      </c>
      <c r="F1307" s="18">
        <f t="shared" si="1"/>
        <v>56.5</v>
      </c>
      <c r="G1307" s="17" t="str">
        <f>Github!H$2112</f>
        <v>Algorithms</v>
      </c>
      <c r="H1307" s="19" t="str">
        <f>SUBSTITUTE(Github!L$2112, ";", ", ")</f>
        <v>Array, Binary Search, </v>
      </c>
      <c r="I1307" s="17" t="str">
        <f>Github!E$2112</f>
        <v>Hard</v>
      </c>
      <c r="J1307" s="17" t="str">
        <f>IF(TRIM(Github!D$2112)="TRUE","FALSE","TRUE")</f>
        <v>TRUE</v>
      </c>
      <c r="K1307" s="17" t="b">
        <f>Github!M$2112</f>
        <v>0</v>
      </c>
      <c r="L1307" s="17" t="b">
        <f>Github!N$2112</f>
        <v>0</v>
      </c>
      <c r="M1307" s="17" t="str">
        <f>ROUND(Github!O$2112, 2)&amp;"%"</f>
        <v>35.94%</v>
      </c>
      <c r="N1307" s="17">
        <f>Github!P$2112</f>
        <v>8013</v>
      </c>
      <c r="O1307" s="17">
        <f>Github!Q$2112</f>
        <v>22298</v>
      </c>
    </row>
    <row r="1308" ht="18.0" customHeight="1">
      <c r="A1308" s="17">
        <f>Github!J$1567</f>
        <v>1566</v>
      </c>
      <c r="B1308" s="27" t="str">
        <f>HYPERLINK(CONCAT("http://leetcode.com/problems/",Github!C$1567), Github!B$1567)</f>
        <v>Detect Pattern of Length M Repeated K or More Times</v>
      </c>
      <c r="C1308" s="17">
        <f>Github!F$1567</f>
        <v>451</v>
      </c>
      <c r="D1308" s="17">
        <f>Github!G$1567</f>
        <v>79</v>
      </c>
      <c r="E1308" s="17">
        <f>Github!F$1567+Github!G$1567</f>
        <v>530</v>
      </c>
      <c r="F1308" s="18">
        <f t="shared" si="1"/>
        <v>5.71</v>
      </c>
      <c r="G1308" s="17" t="str">
        <f>Github!H$1567</f>
        <v>Algorithms</v>
      </c>
      <c r="H1308" s="19" t="str">
        <f>SUBSTITUTE(Github!L$1567, ";", ", ")</f>
        <v>Array, Enumeration, </v>
      </c>
      <c r="I1308" s="17" t="str">
        <f>Github!E$1567</f>
        <v>Easy</v>
      </c>
      <c r="J1308" s="17" t="str">
        <f>IF(TRIM(Github!D$1567)="TRUE","FALSE","TRUE")</f>
        <v>TRUE</v>
      </c>
      <c r="K1308" s="17" t="b">
        <f>Github!M$1567</f>
        <v>0</v>
      </c>
      <c r="L1308" s="17" t="b">
        <f>Github!N$1567</f>
        <v>0</v>
      </c>
      <c r="M1308" s="17" t="str">
        <f>ROUND(Github!O$1567, 2)&amp;"%"</f>
        <v>43.6%</v>
      </c>
      <c r="N1308" s="17">
        <f>Github!P$1567</f>
        <v>23363</v>
      </c>
      <c r="O1308" s="17">
        <f>Github!Q$1567</f>
        <v>53580</v>
      </c>
    </row>
    <row r="1309" ht="18.0" customHeight="1">
      <c r="A1309" s="17">
        <f>Github!J$1981</f>
        <v>1980</v>
      </c>
      <c r="B1309" s="27" t="str">
        <f>HYPERLINK(CONCAT("http://leetcode.com/problems/",Github!C$1981), Github!B$1981)</f>
        <v>Find Unique Binary String</v>
      </c>
      <c r="C1309" s="17">
        <f>Github!F$1981</f>
        <v>454</v>
      </c>
      <c r="D1309" s="17">
        <f>Github!G$1981</f>
        <v>23</v>
      </c>
      <c r="E1309" s="17">
        <f>Github!F$1981+Github!G$1981</f>
        <v>477</v>
      </c>
      <c r="F1309" s="18">
        <f t="shared" si="1"/>
        <v>19.74</v>
      </c>
      <c r="G1309" s="17" t="str">
        <f>Github!H$1981</f>
        <v>Algorithms</v>
      </c>
      <c r="H1309" s="19" t="str">
        <f>SUBSTITUTE(Github!L$1981, ";", ", ")</f>
        <v>Array, String, Backtracking, </v>
      </c>
      <c r="I1309" s="17" t="str">
        <f>Github!E$1981</f>
        <v>Medium</v>
      </c>
      <c r="J1309" s="17" t="str">
        <f>IF(TRIM(Github!D$1981)="TRUE","FALSE","TRUE")</f>
        <v>TRUE</v>
      </c>
      <c r="K1309" s="17" t="b">
        <f>Github!M$1981</f>
        <v>0</v>
      </c>
      <c r="L1309" s="17" t="b">
        <f>Github!N$1981</f>
        <v>0</v>
      </c>
      <c r="M1309" s="17" t="str">
        <f>ROUND(Github!O$1981, 2)&amp;"%"</f>
        <v>62.92%</v>
      </c>
      <c r="N1309" s="17">
        <f>Github!P$1981</f>
        <v>20666</v>
      </c>
      <c r="O1309" s="17">
        <f>Github!Q$1981</f>
        <v>32844</v>
      </c>
    </row>
    <row r="1310" ht="18.0" customHeight="1">
      <c r="A1310" s="17">
        <f>Github!J$1405</f>
        <v>1404</v>
      </c>
      <c r="B1310" s="27" t="str">
        <f>HYPERLINK(CONCAT("http://leetcode.com/problems/",Github!C$1405), Github!B$1405)</f>
        <v>Number of Steps to Reduce a Number in Binary Representation to One</v>
      </c>
      <c r="C1310" s="17">
        <f>Github!F$1405</f>
        <v>448</v>
      </c>
      <c r="D1310" s="17">
        <f>Github!G$1405</f>
        <v>41</v>
      </c>
      <c r="E1310" s="17">
        <f>Github!F$1405+Github!G$1405</f>
        <v>489</v>
      </c>
      <c r="F1310" s="18">
        <f t="shared" si="1"/>
        <v>10.93</v>
      </c>
      <c r="G1310" s="17" t="str">
        <f>Github!H$1405</f>
        <v>Algorithms</v>
      </c>
      <c r="H1310" s="19" t="str">
        <f>SUBSTITUTE(Github!L$1405, ";", ", ")</f>
        <v>String, Bit Manipulation, </v>
      </c>
      <c r="I1310" s="17" t="str">
        <f>Github!E$1405</f>
        <v>Medium</v>
      </c>
      <c r="J1310" s="17" t="str">
        <f>IF(TRIM(Github!D$1405)="TRUE","FALSE","TRUE")</f>
        <v>TRUE</v>
      </c>
      <c r="K1310" s="17" t="b">
        <f>Github!M$1405</f>
        <v>0</v>
      </c>
      <c r="L1310" s="17" t="b">
        <f>Github!N$1405</f>
        <v>0</v>
      </c>
      <c r="M1310" s="17" t="str">
        <f>ROUND(Github!O$1405, 2)&amp;"%"</f>
        <v>50.71%</v>
      </c>
      <c r="N1310" s="17">
        <f>Github!P$1405</f>
        <v>22562</v>
      </c>
      <c r="O1310" s="17">
        <f>Github!Q$1405</f>
        <v>44489</v>
      </c>
    </row>
    <row r="1311" ht="18.0" customHeight="1">
      <c r="A1311" s="17">
        <f>Github!J$1524</f>
        <v>1523</v>
      </c>
      <c r="B1311" s="27" t="str">
        <f>HYPERLINK(CONCAT("http://leetcode.com/problems/",Github!C$1524), Github!B$1524)</f>
        <v>Count Odd Numbers in an Interval Range</v>
      </c>
      <c r="C1311" s="17">
        <f>Github!F$1524</f>
        <v>449</v>
      </c>
      <c r="D1311" s="17">
        <f>Github!G$1524</f>
        <v>41</v>
      </c>
      <c r="E1311" s="17">
        <f>Github!F$1524+Github!G$1524</f>
        <v>490</v>
      </c>
      <c r="F1311" s="18">
        <f t="shared" si="1"/>
        <v>10.95</v>
      </c>
      <c r="G1311" s="17" t="str">
        <f>Github!H$1524</f>
        <v>Algorithms</v>
      </c>
      <c r="H1311" s="19" t="str">
        <f>SUBSTITUTE(Github!L$1524, ";", ", ")</f>
        <v>Math, </v>
      </c>
      <c r="I1311" s="17" t="str">
        <f>Github!E$1524</f>
        <v>Easy</v>
      </c>
      <c r="J1311" s="17" t="str">
        <f>IF(TRIM(Github!D$1524)="TRUE","FALSE","TRUE")</f>
        <v>TRUE</v>
      </c>
      <c r="K1311" s="17" t="b">
        <f>Github!M$1524</f>
        <v>0</v>
      </c>
      <c r="L1311" s="17" t="b">
        <f>Github!N$1524</f>
        <v>0</v>
      </c>
      <c r="M1311" s="17" t="str">
        <f>ROUND(Github!O$1524, 2)&amp;"%"</f>
        <v>50.62%</v>
      </c>
      <c r="N1311" s="17">
        <f>Github!P$1524</f>
        <v>46207</v>
      </c>
      <c r="O1311" s="17">
        <f>Github!Q$1524</f>
        <v>91274</v>
      </c>
    </row>
    <row r="1312" ht="18.0" customHeight="1">
      <c r="A1312" s="17">
        <f>Github!J$1546</f>
        <v>1545</v>
      </c>
      <c r="B1312" s="27" t="str">
        <f>HYPERLINK(CONCAT("http://leetcode.com/problems/",Github!C$1546), Github!B$1546)</f>
        <v>Find Kth Bit in Nth Binary String</v>
      </c>
      <c r="C1312" s="17">
        <f>Github!F$1546</f>
        <v>447</v>
      </c>
      <c r="D1312" s="17">
        <f>Github!G$1546</f>
        <v>38</v>
      </c>
      <c r="E1312" s="17">
        <f>Github!F$1546+Github!G$1546</f>
        <v>485</v>
      </c>
      <c r="F1312" s="18">
        <f t="shared" si="1"/>
        <v>11.76</v>
      </c>
      <c r="G1312" s="17" t="str">
        <f>Github!H$1546</f>
        <v>Algorithms</v>
      </c>
      <c r="H1312" s="19" t="str">
        <f>SUBSTITUTE(Github!L$1546, ";", ", ")</f>
        <v>String, Recursion, </v>
      </c>
      <c r="I1312" s="17" t="str">
        <f>Github!E$1546</f>
        <v>Medium</v>
      </c>
      <c r="J1312" s="17" t="str">
        <f>IF(TRIM(Github!D$1546)="TRUE","FALSE","TRUE")</f>
        <v>TRUE</v>
      </c>
      <c r="K1312" s="17" t="b">
        <f>Github!M$1546</f>
        <v>0</v>
      </c>
      <c r="L1312" s="17" t="b">
        <f>Github!N$1546</f>
        <v>0</v>
      </c>
      <c r="M1312" s="17" t="str">
        <f>ROUND(Github!O$1546, 2)&amp;"%"</f>
        <v>58.03%</v>
      </c>
      <c r="N1312" s="17">
        <f>Github!P$1546</f>
        <v>22560</v>
      </c>
      <c r="O1312" s="17">
        <f>Github!Q$1546</f>
        <v>38875</v>
      </c>
    </row>
    <row r="1313" ht="18.0" customHeight="1">
      <c r="A1313" s="17">
        <f>Github!J$1823</f>
        <v>1822</v>
      </c>
      <c r="B1313" s="27" t="str">
        <f>HYPERLINK(CONCAT("http://leetcode.com/problems/",Github!C$1823), Github!B$1823)</f>
        <v>Sign of the Product of an Array</v>
      </c>
      <c r="C1313" s="17">
        <f>Github!F$1823</f>
        <v>447</v>
      </c>
      <c r="D1313" s="17">
        <f>Github!G$1823</f>
        <v>65</v>
      </c>
      <c r="E1313" s="17">
        <f>Github!F$1823+Github!G$1823</f>
        <v>512</v>
      </c>
      <c r="F1313" s="18">
        <f t="shared" si="1"/>
        <v>6.88</v>
      </c>
      <c r="G1313" s="17" t="str">
        <f>Github!H$1823</f>
        <v>Algorithms</v>
      </c>
      <c r="H1313" s="19" t="str">
        <f>SUBSTITUTE(Github!L$1823, ";", ", ")</f>
        <v>Array, Math, </v>
      </c>
      <c r="I1313" s="17" t="str">
        <f>Github!E$1823</f>
        <v>Easy</v>
      </c>
      <c r="J1313" s="17" t="str">
        <f>IF(TRIM(Github!D$1823)="TRUE","FALSE","TRUE")</f>
        <v>TRUE</v>
      </c>
      <c r="K1313" s="17" t="b">
        <f>Github!M$1823</f>
        <v>0</v>
      </c>
      <c r="L1313" s="17" t="b">
        <f>Github!N$1823</f>
        <v>0</v>
      </c>
      <c r="M1313" s="17" t="str">
        <f>ROUND(Github!O$1823, 2)&amp;"%"</f>
        <v>67.31%</v>
      </c>
      <c r="N1313" s="17">
        <f>Github!P$1823</f>
        <v>75016</v>
      </c>
      <c r="O1313" s="17">
        <f>Github!Q$1823</f>
        <v>111451</v>
      </c>
    </row>
    <row r="1314" ht="18.0" customHeight="1">
      <c r="A1314" s="17">
        <f>Github!J$1982</f>
        <v>1981</v>
      </c>
      <c r="B1314" s="27" t="str">
        <f>HYPERLINK(CONCAT("http://leetcode.com/problems/",Github!C$1982), Github!B$1982)</f>
        <v>Minimize the Difference Between Target and Chosen Elements</v>
      </c>
      <c r="C1314" s="17">
        <f>Github!F$1982</f>
        <v>446</v>
      </c>
      <c r="D1314" s="17">
        <f>Github!G$1982</f>
        <v>81</v>
      </c>
      <c r="E1314" s="17">
        <f>Github!F$1982+Github!G$1982</f>
        <v>527</v>
      </c>
      <c r="F1314" s="18">
        <f t="shared" si="1"/>
        <v>5.51</v>
      </c>
      <c r="G1314" s="17" t="str">
        <f>Github!H$1982</f>
        <v>Algorithms</v>
      </c>
      <c r="H1314" s="19" t="str">
        <f>SUBSTITUTE(Github!L$1982, ";", ", ")</f>
        <v>Array, Dynamic Programming, Matrix, </v>
      </c>
      <c r="I1314" s="17" t="str">
        <f>Github!E$1982</f>
        <v>Medium</v>
      </c>
      <c r="J1314" s="17" t="str">
        <f>IF(TRIM(Github!D$1982)="TRUE","FALSE","TRUE")</f>
        <v>TRUE</v>
      </c>
      <c r="K1314" s="17" t="b">
        <f>Github!M$1982</f>
        <v>0</v>
      </c>
      <c r="L1314" s="17" t="b">
        <f>Github!N$1982</f>
        <v>0</v>
      </c>
      <c r="M1314" s="17" t="str">
        <f>ROUND(Github!O$1982, 2)&amp;"%"</f>
        <v>32.76%</v>
      </c>
      <c r="N1314" s="17">
        <f>Github!P$1982</f>
        <v>14068</v>
      </c>
      <c r="O1314" s="17">
        <f>Github!Q$1982</f>
        <v>42948</v>
      </c>
    </row>
    <row r="1315" ht="18.0" customHeight="1">
      <c r="A1315" s="17">
        <f>Github!J$373</f>
        <v>372</v>
      </c>
      <c r="B1315" s="27" t="str">
        <f>HYPERLINK(CONCAT("http://leetcode.com/problems/",Github!C$373), Github!B$373)</f>
        <v>Super Pow</v>
      </c>
      <c r="C1315" s="17">
        <f>Github!F$373</f>
        <v>445</v>
      </c>
      <c r="D1315" s="17">
        <f>Github!G$373</f>
        <v>1065</v>
      </c>
      <c r="E1315" s="17">
        <f>Github!F$373+Github!G$373</f>
        <v>1510</v>
      </c>
      <c r="F1315" s="18">
        <f t="shared" si="1"/>
        <v>0.42</v>
      </c>
      <c r="G1315" s="17" t="str">
        <f>Github!H$373</f>
        <v>Algorithms</v>
      </c>
      <c r="H1315" s="19" t="str">
        <f>SUBSTITUTE(Github!L$373, ";", ", ")</f>
        <v>Math, Divide and Conquer, </v>
      </c>
      <c r="I1315" s="17" t="str">
        <f>Github!E$373</f>
        <v>Medium</v>
      </c>
      <c r="J1315" s="17" t="str">
        <f>IF(TRIM(Github!D$373)="TRUE","FALSE","TRUE")</f>
        <v>TRUE</v>
      </c>
      <c r="K1315" s="17" t="b">
        <f>Github!M$373</f>
        <v>0</v>
      </c>
      <c r="L1315" s="17" t="b">
        <f>Github!N$373</f>
        <v>0</v>
      </c>
      <c r="M1315" s="17" t="str">
        <f>ROUND(Github!O$373, 2)&amp;"%"</f>
        <v>37.58%</v>
      </c>
      <c r="N1315" s="17">
        <f>Github!P$373</f>
        <v>47582</v>
      </c>
      <c r="O1315" s="17">
        <f>Github!Q$373</f>
        <v>126600</v>
      </c>
    </row>
    <row r="1316" ht="18.0" customHeight="1">
      <c r="A1316" s="17">
        <f>Github!J$505</f>
        <v>504</v>
      </c>
      <c r="B1316" s="27" t="str">
        <f>HYPERLINK(CONCAT("http://leetcode.com/problems/",Github!C$505), Github!B$505)</f>
        <v>Base 7</v>
      </c>
      <c r="C1316" s="17">
        <f>Github!F$505</f>
        <v>446</v>
      </c>
      <c r="D1316" s="17">
        <f>Github!G$505</f>
        <v>189</v>
      </c>
      <c r="E1316" s="17">
        <f>Github!F$505+Github!G$505</f>
        <v>635</v>
      </c>
      <c r="F1316" s="18">
        <f t="shared" si="1"/>
        <v>2.36</v>
      </c>
      <c r="G1316" s="17" t="str">
        <f>Github!H$505</f>
        <v>Algorithms</v>
      </c>
      <c r="H1316" s="19" t="str">
        <f>SUBSTITUTE(Github!L$505, ";", ", ")</f>
        <v>Math, </v>
      </c>
      <c r="I1316" s="17" t="str">
        <f>Github!E$505</f>
        <v>Easy</v>
      </c>
      <c r="J1316" s="17" t="str">
        <f>IF(TRIM(Github!D$505)="TRUE","FALSE","TRUE")</f>
        <v>TRUE</v>
      </c>
      <c r="K1316" s="17" t="b">
        <f>Github!M$505</f>
        <v>0</v>
      </c>
      <c r="L1316" s="17" t="b">
        <f>Github!N$505</f>
        <v>0</v>
      </c>
      <c r="M1316" s="17" t="str">
        <f>ROUND(Github!O$505, 2)&amp;"%"</f>
        <v>47.35%</v>
      </c>
      <c r="N1316" s="17">
        <f>Github!P$505</f>
        <v>82986</v>
      </c>
      <c r="O1316" s="17">
        <f>Github!Q$505</f>
        <v>175253</v>
      </c>
    </row>
    <row r="1317" ht="18.0" customHeight="1">
      <c r="A1317" s="17">
        <f>Github!J$1799</f>
        <v>1798</v>
      </c>
      <c r="B1317" s="27" t="str">
        <f>HYPERLINK(CONCAT("http://leetcode.com/problems/",Github!C$1799), Github!B$1799)</f>
        <v>Maximum Number of Consecutive Values You Can Make</v>
      </c>
      <c r="C1317" s="17">
        <f>Github!F$1799</f>
        <v>444</v>
      </c>
      <c r="D1317" s="17">
        <f>Github!G$1799</f>
        <v>33</v>
      </c>
      <c r="E1317" s="17">
        <f>Github!F$1799+Github!G$1799</f>
        <v>477</v>
      </c>
      <c r="F1317" s="18">
        <f t="shared" si="1"/>
        <v>13.45</v>
      </c>
      <c r="G1317" s="17" t="str">
        <f>Github!H$1799</f>
        <v>Algorithms</v>
      </c>
      <c r="H1317" s="19" t="str">
        <f>SUBSTITUTE(Github!L$1799, ";", ", ")</f>
        <v>Array, Greedy, </v>
      </c>
      <c r="I1317" s="17" t="str">
        <f>Github!E$1799</f>
        <v>Medium</v>
      </c>
      <c r="J1317" s="17" t="str">
        <f>IF(TRIM(Github!D$1799)="TRUE","FALSE","TRUE")</f>
        <v>TRUE</v>
      </c>
      <c r="K1317" s="17" t="b">
        <f>Github!M$1799</f>
        <v>0</v>
      </c>
      <c r="L1317" s="17" t="b">
        <f>Github!N$1799</f>
        <v>0</v>
      </c>
      <c r="M1317" s="17" t="str">
        <f>ROUND(Github!O$1799, 2)&amp;"%"</f>
        <v>51%</v>
      </c>
      <c r="N1317" s="17">
        <f>Github!P$1799</f>
        <v>9177</v>
      </c>
      <c r="O1317" s="17">
        <f>Github!Q$1799</f>
        <v>17993</v>
      </c>
    </row>
    <row r="1318" ht="18.0" customHeight="1">
      <c r="A1318" s="17">
        <f>Github!J$1687</f>
        <v>1686</v>
      </c>
      <c r="B1318" s="27" t="str">
        <f>HYPERLINK(CONCAT("http://leetcode.com/problems/",Github!C$1687), Github!B$1687)</f>
        <v>Stone Game VI</v>
      </c>
      <c r="C1318" s="17">
        <f>Github!F$1687</f>
        <v>443</v>
      </c>
      <c r="D1318" s="17">
        <f>Github!G$1687</f>
        <v>37</v>
      </c>
      <c r="E1318" s="17">
        <f>Github!F$1687+Github!G$1687</f>
        <v>480</v>
      </c>
      <c r="F1318" s="18">
        <f t="shared" si="1"/>
        <v>11.97</v>
      </c>
      <c r="G1318" s="17" t="str">
        <f>Github!H$1687</f>
        <v>Algorithms</v>
      </c>
      <c r="H1318" s="19" t="str">
        <f>SUBSTITUTE(Github!L$1687, ";", ", ")</f>
        <v>Array, Math, Greedy, Sorting, Heap (Priority Queue), Game Theory, </v>
      </c>
      <c r="I1318" s="17" t="str">
        <f>Github!E$1687</f>
        <v>Medium</v>
      </c>
      <c r="J1318" s="17" t="str">
        <f>IF(TRIM(Github!D$1687)="TRUE","FALSE","TRUE")</f>
        <v>TRUE</v>
      </c>
      <c r="K1318" s="17" t="b">
        <f>Github!M$1687</f>
        <v>0</v>
      </c>
      <c r="L1318" s="17" t="b">
        <f>Github!N$1687</f>
        <v>0</v>
      </c>
      <c r="M1318" s="17" t="str">
        <f>ROUND(Github!O$1687, 2)&amp;"%"</f>
        <v>53.49%</v>
      </c>
      <c r="N1318" s="17">
        <f>Github!P$1687</f>
        <v>10352</v>
      </c>
      <c r="O1318" s="17">
        <f>Github!Q$1687</f>
        <v>19352</v>
      </c>
    </row>
    <row r="1319" ht="18.0" customHeight="1">
      <c r="A1319" s="17">
        <f>Github!J$2122</f>
        <v>2121</v>
      </c>
      <c r="B1319" s="27" t="str">
        <f>HYPERLINK(CONCAT("http://leetcode.com/problems/",Github!C$2122), Github!B$2122)</f>
        <v>Intervals Between Identical Elements</v>
      </c>
      <c r="C1319" s="17">
        <f>Github!F$2122</f>
        <v>443</v>
      </c>
      <c r="D1319" s="17">
        <f>Github!G$2122</f>
        <v>19</v>
      </c>
      <c r="E1319" s="17">
        <f>Github!F$2122+Github!G$2122</f>
        <v>462</v>
      </c>
      <c r="F1319" s="18">
        <f t="shared" si="1"/>
        <v>23.32</v>
      </c>
      <c r="G1319" s="17" t="str">
        <f>Github!H$2122</f>
        <v>Algorithms</v>
      </c>
      <c r="H1319" s="19" t="str">
        <f>SUBSTITUTE(Github!L$2122, ";", ", ")</f>
        <v>Array, Hash Table, Prefix Sum, </v>
      </c>
      <c r="I1319" s="17" t="str">
        <f>Github!E$2122</f>
        <v>Medium</v>
      </c>
      <c r="J1319" s="17" t="str">
        <f>IF(TRIM(Github!D$2122)="TRUE","FALSE","TRUE")</f>
        <v>TRUE</v>
      </c>
      <c r="K1319" s="17" t="b">
        <f>Github!M$2122</f>
        <v>0</v>
      </c>
      <c r="L1319" s="17" t="b">
        <f>Github!N$2122</f>
        <v>0</v>
      </c>
      <c r="M1319" s="17" t="str">
        <f>ROUND(Github!O$2122, 2)&amp;"%"</f>
        <v>41.82%</v>
      </c>
      <c r="N1319" s="17">
        <f>Github!P$2122</f>
        <v>10349</v>
      </c>
      <c r="O1319" s="17">
        <f>Github!Q$2122</f>
        <v>24750</v>
      </c>
    </row>
    <row r="1320" ht="18.0" customHeight="1">
      <c r="A1320" s="17">
        <f>Github!J$757</f>
        <v>756</v>
      </c>
      <c r="B1320" s="27" t="str">
        <f>HYPERLINK(CONCAT("http://leetcode.com/problems/",Github!C$757), Github!B$757)</f>
        <v>Pyramid Transition Matrix</v>
      </c>
      <c r="C1320" s="17">
        <f>Github!F$757</f>
        <v>443</v>
      </c>
      <c r="D1320" s="17">
        <f>Github!G$757</f>
        <v>421</v>
      </c>
      <c r="E1320" s="17">
        <f>Github!F$757+Github!G$757</f>
        <v>864</v>
      </c>
      <c r="F1320" s="18">
        <f t="shared" si="1"/>
        <v>1.05</v>
      </c>
      <c r="G1320" s="17" t="str">
        <f>Github!H$757</f>
        <v>Algorithms</v>
      </c>
      <c r="H1320" s="19" t="str">
        <f>SUBSTITUTE(Github!L$757, ";", ", ")</f>
        <v>Bit Manipulation, Depth-First Search, Breadth-First Search, </v>
      </c>
      <c r="I1320" s="17" t="str">
        <f>Github!E$757</f>
        <v>Medium</v>
      </c>
      <c r="J1320" s="17" t="str">
        <f>IF(TRIM(Github!D$757)="TRUE","FALSE","TRUE")</f>
        <v>TRUE</v>
      </c>
      <c r="K1320" s="17" t="b">
        <f>Github!M$757</f>
        <v>0</v>
      </c>
      <c r="L1320" s="17" t="b">
        <f>Github!N$757</f>
        <v>0</v>
      </c>
      <c r="M1320" s="17" t="str">
        <f>ROUND(Github!O$757, 2)&amp;"%"</f>
        <v>54.75%</v>
      </c>
      <c r="N1320" s="17">
        <f>Github!P$757</f>
        <v>26787</v>
      </c>
      <c r="O1320" s="17">
        <f>Github!Q$757</f>
        <v>48927</v>
      </c>
    </row>
    <row r="1321" ht="18.0" customHeight="1">
      <c r="A1321" s="17">
        <f>Github!J$763</f>
        <v>762</v>
      </c>
      <c r="B1321" s="27" t="str">
        <f>HYPERLINK(CONCAT("http://leetcode.com/problems/",Github!C$763), Github!B$763)</f>
        <v>Prime Number of Set Bits in Binary Representation</v>
      </c>
      <c r="C1321" s="17">
        <f>Github!F$763</f>
        <v>444</v>
      </c>
      <c r="D1321" s="17">
        <f>Github!G$763</f>
        <v>450</v>
      </c>
      <c r="E1321" s="17">
        <f>Github!F$763+Github!G$763</f>
        <v>894</v>
      </c>
      <c r="F1321" s="18">
        <f t="shared" si="1"/>
        <v>0.99</v>
      </c>
      <c r="G1321" s="17" t="str">
        <f>Github!H$763</f>
        <v>Algorithms</v>
      </c>
      <c r="H1321" s="19" t="str">
        <f>SUBSTITUTE(Github!L$763, ";", ", ")</f>
        <v>Math, Bit Manipulation, </v>
      </c>
      <c r="I1321" s="17" t="str">
        <f>Github!E$763</f>
        <v>Easy</v>
      </c>
      <c r="J1321" s="17" t="str">
        <f>IF(TRIM(Github!D$763)="TRUE","FALSE","TRUE")</f>
        <v>TRUE</v>
      </c>
      <c r="K1321" s="17" t="b">
        <f>Github!M$763</f>
        <v>0</v>
      </c>
      <c r="L1321" s="17" t="b">
        <f>Github!N$763</f>
        <v>0</v>
      </c>
      <c r="M1321" s="17" t="str">
        <f>ROUND(Github!O$763, 2)&amp;"%"</f>
        <v>66.48%</v>
      </c>
      <c r="N1321" s="17">
        <f>Github!P$763</f>
        <v>66695</v>
      </c>
      <c r="O1321" s="17">
        <f>Github!Q$763</f>
        <v>100331</v>
      </c>
    </row>
    <row r="1322" ht="18.0" customHeight="1">
      <c r="A1322" s="17">
        <f>Github!J$445</f>
        <v>444</v>
      </c>
      <c r="B1322" s="27" t="str">
        <f>HYPERLINK(CONCAT("http://leetcode.com/problems/",Github!C$445), Github!B$445)</f>
        <v>Sequence Reconstruction</v>
      </c>
      <c r="C1322" s="17">
        <f>Github!F$445</f>
        <v>441</v>
      </c>
      <c r="D1322" s="17">
        <f>Github!G$445</f>
        <v>1374</v>
      </c>
      <c r="E1322" s="17">
        <f>Github!F$445+Github!G$445</f>
        <v>1815</v>
      </c>
      <c r="F1322" s="18">
        <f t="shared" si="1"/>
        <v>0.32</v>
      </c>
      <c r="G1322" s="17" t="str">
        <f>Github!H$445</f>
        <v>Algorithms</v>
      </c>
      <c r="H1322" s="19" t="str">
        <f>SUBSTITUTE(Github!L$445, ";", ", ")</f>
        <v>Array, Graph, Topological Sort, </v>
      </c>
      <c r="I1322" s="17" t="str">
        <f>Github!E$445</f>
        <v>Medium</v>
      </c>
      <c r="J1322" s="17" t="str">
        <f>IF(TRIM(Github!D$445)="TRUE","FALSE","TRUE")</f>
        <v>FALSE</v>
      </c>
      <c r="K1322" s="17" t="b">
        <f>Github!M$445</f>
        <v>0</v>
      </c>
      <c r="L1322" s="17" t="b">
        <f>Github!N$445</f>
        <v>0</v>
      </c>
      <c r="M1322" s="17" t="str">
        <f>ROUND(Github!O$445, 2)&amp;"%"</f>
        <v>24.68%</v>
      </c>
      <c r="N1322" s="17">
        <f>Github!P$445</f>
        <v>42907</v>
      </c>
      <c r="O1322" s="17">
        <f>Github!Q$445</f>
        <v>173877</v>
      </c>
    </row>
    <row r="1323" ht="18.0" customHeight="1">
      <c r="A1323" s="17">
        <f>Github!J$604</f>
        <v>603</v>
      </c>
      <c r="B1323" s="27" t="str">
        <f>HYPERLINK(CONCAT("http://leetcode.com/problems/",Github!C$604), Github!B$604)</f>
        <v>Consecutive Available Seats</v>
      </c>
      <c r="C1323" s="17">
        <f>Github!F$604</f>
        <v>441</v>
      </c>
      <c r="D1323" s="17">
        <f>Github!G$604</f>
        <v>39</v>
      </c>
      <c r="E1323" s="17">
        <f>Github!F$604+Github!G$604</f>
        <v>480</v>
      </c>
      <c r="F1323" s="18">
        <f t="shared" si="1"/>
        <v>11.31</v>
      </c>
      <c r="G1323" s="17" t="str">
        <f>Github!H$604</f>
        <v>Database</v>
      </c>
      <c r="H1323" s="19" t="str">
        <f>SUBSTITUTE(Github!L$604, ";", ", ")</f>
        <v>Database, </v>
      </c>
      <c r="I1323" s="17" t="str">
        <f>Github!E$604</f>
        <v>Easy</v>
      </c>
      <c r="J1323" s="17" t="str">
        <f>IF(TRIM(Github!D$604)="TRUE","FALSE","TRUE")</f>
        <v>FALSE</v>
      </c>
      <c r="K1323" s="17" t="b">
        <f>Github!M$604</f>
        <v>1</v>
      </c>
      <c r="L1323" s="17" t="b">
        <f>Github!N$604</f>
        <v>0</v>
      </c>
      <c r="M1323" s="17" t="str">
        <f>ROUND(Github!O$604, 2)&amp;"%"</f>
        <v>67.72%</v>
      </c>
      <c r="N1323" s="17">
        <f>Github!P$604</f>
        <v>52005</v>
      </c>
      <c r="O1323" s="17">
        <f>Github!Q$604</f>
        <v>76799</v>
      </c>
    </row>
    <row r="1324" ht="18.0" customHeight="1">
      <c r="A1324" s="17">
        <f>Github!J$1650</f>
        <v>1649</v>
      </c>
      <c r="B1324" s="27" t="str">
        <f>HYPERLINK(CONCAT("http://leetcode.com/problems/",Github!C$1650), Github!B$1650)</f>
        <v>Create Sorted Array through Instructions</v>
      </c>
      <c r="C1324" s="17">
        <f>Github!F$1650</f>
        <v>442</v>
      </c>
      <c r="D1324" s="17">
        <f>Github!G$1650</f>
        <v>60</v>
      </c>
      <c r="E1324" s="17">
        <f>Github!F$1650+Github!G$1650</f>
        <v>502</v>
      </c>
      <c r="F1324" s="18">
        <f t="shared" si="1"/>
        <v>7.37</v>
      </c>
      <c r="G1324" s="17" t="str">
        <f>Github!H$1650</f>
        <v>Algorithms</v>
      </c>
      <c r="H1324" s="19" t="str">
        <f>SUBSTITUTE(Github!L$1650, ";", ", ")</f>
        <v>Array, Binary Search, Divide and Conquer, Binary Indexed Tree, Segment Tree, Merge Sort, Ordered Set, </v>
      </c>
      <c r="I1324" s="17" t="str">
        <f>Github!E$1650</f>
        <v>Hard</v>
      </c>
      <c r="J1324" s="17" t="str">
        <f>IF(TRIM(Github!D$1650)="TRUE","FALSE","TRUE")</f>
        <v>TRUE</v>
      </c>
      <c r="K1324" s="17" t="b">
        <f>Github!M$1650</f>
        <v>1</v>
      </c>
      <c r="L1324" s="17" t="b">
        <f>Github!N$1650</f>
        <v>0</v>
      </c>
      <c r="M1324" s="17" t="str">
        <f>ROUND(Github!O$1650, 2)&amp;"%"</f>
        <v>37.12%</v>
      </c>
      <c r="N1324" s="17">
        <f>Github!P$1650</f>
        <v>19382</v>
      </c>
      <c r="O1324" s="17">
        <f>Github!Q$1650</f>
        <v>52214</v>
      </c>
    </row>
    <row r="1325" ht="18.0" customHeight="1">
      <c r="A1325" s="17">
        <f>Github!J$1817</f>
        <v>1816</v>
      </c>
      <c r="B1325" s="27" t="str">
        <f>HYPERLINK(CONCAT("http://leetcode.com/problems/",Github!C$1817), Github!B$1817)</f>
        <v>Truncate Sentence</v>
      </c>
      <c r="C1325" s="17">
        <f>Github!F$1817</f>
        <v>442</v>
      </c>
      <c r="D1325" s="17">
        <f>Github!G$1817</f>
        <v>15</v>
      </c>
      <c r="E1325" s="17">
        <f>Github!F$1817+Github!G$1817</f>
        <v>457</v>
      </c>
      <c r="F1325" s="18">
        <f t="shared" si="1"/>
        <v>29.47</v>
      </c>
      <c r="G1325" s="17" t="str">
        <f>Github!H$1817</f>
        <v>Algorithms</v>
      </c>
      <c r="H1325" s="19" t="str">
        <f>SUBSTITUTE(Github!L$1817, ";", ", ")</f>
        <v>Array, String, </v>
      </c>
      <c r="I1325" s="17" t="str">
        <f>Github!E$1817</f>
        <v>Easy</v>
      </c>
      <c r="J1325" s="17" t="str">
        <f>IF(TRIM(Github!D$1817)="TRUE","FALSE","TRUE")</f>
        <v>TRUE</v>
      </c>
      <c r="K1325" s="17" t="b">
        <f>Github!M$1817</f>
        <v>0</v>
      </c>
      <c r="L1325" s="17" t="b">
        <f>Github!N$1817</f>
        <v>0</v>
      </c>
      <c r="M1325" s="17" t="str">
        <f>ROUND(Github!O$1817, 2)&amp;"%"</f>
        <v>81.07%</v>
      </c>
      <c r="N1325" s="17">
        <f>Github!P$1817</f>
        <v>54833</v>
      </c>
      <c r="O1325" s="17">
        <f>Github!Q$1817</f>
        <v>67635</v>
      </c>
    </row>
    <row r="1326" ht="18.0" customHeight="1">
      <c r="A1326" s="17">
        <f>Github!J$1037</f>
        <v>1036</v>
      </c>
      <c r="B1326" s="27" t="str">
        <f>HYPERLINK(CONCAT("http://leetcode.com/problems/",Github!C$1037), Github!B$1037)</f>
        <v>Escape a Large Maze</v>
      </c>
      <c r="C1326" s="17">
        <f>Github!F$1037</f>
        <v>440</v>
      </c>
      <c r="D1326" s="17">
        <f>Github!G$1037</f>
        <v>138</v>
      </c>
      <c r="E1326" s="17">
        <f>Github!F$1037+Github!G$1037</f>
        <v>578</v>
      </c>
      <c r="F1326" s="18">
        <f t="shared" si="1"/>
        <v>3.19</v>
      </c>
      <c r="G1326" s="17" t="str">
        <f>Github!H$1037</f>
        <v>Algorithms</v>
      </c>
      <c r="H1326" s="19" t="str">
        <f>SUBSTITUTE(Github!L$1037, ";", ", ")</f>
        <v>Array, Hash Table, Depth-First Search, Breadth-First Search, </v>
      </c>
      <c r="I1326" s="17" t="str">
        <f>Github!E$1037</f>
        <v>Hard</v>
      </c>
      <c r="J1326" s="17" t="str">
        <f>IF(TRIM(Github!D$1037)="TRUE","FALSE","TRUE")</f>
        <v>TRUE</v>
      </c>
      <c r="K1326" s="17" t="b">
        <f>Github!M$1037</f>
        <v>0</v>
      </c>
      <c r="L1326" s="17" t="b">
        <f>Github!N$1037</f>
        <v>0</v>
      </c>
      <c r="M1326" s="17" t="str">
        <f>ROUND(Github!O$1037, 2)&amp;"%"</f>
        <v>34.29%</v>
      </c>
      <c r="N1326" s="17">
        <f>Github!P$1037</f>
        <v>15224</v>
      </c>
      <c r="O1326" s="17">
        <f>Github!Q$1037</f>
        <v>44401</v>
      </c>
    </row>
    <row r="1327" ht="18.0" customHeight="1">
      <c r="A1327" s="17">
        <f>Github!J$1536</f>
        <v>1535</v>
      </c>
      <c r="B1327" s="27" t="str">
        <f>HYPERLINK(CONCAT("http://leetcode.com/problems/",Github!C$1536), Github!B$1536)</f>
        <v>Find the Winner of an Array Game</v>
      </c>
      <c r="C1327" s="17">
        <f>Github!F$1536</f>
        <v>440</v>
      </c>
      <c r="D1327" s="17">
        <f>Github!G$1536</f>
        <v>25</v>
      </c>
      <c r="E1327" s="17">
        <f>Github!F$1536+Github!G$1536</f>
        <v>465</v>
      </c>
      <c r="F1327" s="18">
        <f t="shared" si="1"/>
        <v>17.6</v>
      </c>
      <c r="G1327" s="17" t="str">
        <f>Github!H$1536</f>
        <v>Algorithms</v>
      </c>
      <c r="H1327" s="19" t="str">
        <f>SUBSTITUTE(Github!L$1536, ";", ", ")</f>
        <v>Array, Simulation, </v>
      </c>
      <c r="I1327" s="17" t="str">
        <f>Github!E$1536</f>
        <v>Medium</v>
      </c>
      <c r="J1327" s="17" t="str">
        <f>IF(TRIM(Github!D$1536)="TRUE","FALSE","TRUE")</f>
        <v>TRUE</v>
      </c>
      <c r="K1327" s="17" t="b">
        <f>Github!M$1536</f>
        <v>0</v>
      </c>
      <c r="L1327" s="17" t="b">
        <f>Github!N$1536</f>
        <v>0</v>
      </c>
      <c r="M1327" s="17" t="str">
        <f>ROUND(Github!O$1536, 2)&amp;"%"</f>
        <v>48.79%</v>
      </c>
      <c r="N1327" s="17">
        <f>Github!P$1536</f>
        <v>23836</v>
      </c>
      <c r="O1327" s="17">
        <f>Github!Q$1536</f>
        <v>48853</v>
      </c>
    </row>
    <row r="1328" ht="18.0" customHeight="1">
      <c r="A1328" s="17">
        <f>Github!J$2128</f>
        <v>2127</v>
      </c>
      <c r="B1328" s="27" t="str">
        <f>HYPERLINK(CONCAT("http://leetcode.com/problems/",Github!C$2128), Github!B$2128)</f>
        <v>Maximum Employees to Be Invited to a Meeting</v>
      </c>
      <c r="C1328" s="17">
        <f>Github!F$2128</f>
        <v>440</v>
      </c>
      <c r="D1328" s="17">
        <f>Github!G$2128</f>
        <v>5</v>
      </c>
      <c r="E1328" s="17">
        <f>Github!F$2128+Github!G$2128</f>
        <v>445</v>
      </c>
      <c r="F1328" s="18">
        <f t="shared" si="1"/>
        <v>88</v>
      </c>
      <c r="G1328" s="17" t="str">
        <f>Github!H$2128</f>
        <v>Algorithms</v>
      </c>
      <c r="H1328" s="19" t="str">
        <f>SUBSTITUTE(Github!L$2128, ";", ", ")</f>
        <v>Depth-First Search, Graph, Topological Sort, </v>
      </c>
      <c r="I1328" s="17" t="str">
        <f>Github!E$2128</f>
        <v>Hard</v>
      </c>
      <c r="J1328" s="17" t="str">
        <f>IF(TRIM(Github!D$2128)="TRUE","FALSE","TRUE")</f>
        <v>TRUE</v>
      </c>
      <c r="K1328" s="17" t="b">
        <f>Github!M$2128</f>
        <v>0</v>
      </c>
      <c r="L1328" s="17" t="b">
        <f>Github!N$2128</f>
        <v>0</v>
      </c>
      <c r="M1328" s="17" t="str">
        <f>ROUND(Github!O$2128, 2)&amp;"%"</f>
        <v>29.57%</v>
      </c>
      <c r="N1328" s="17">
        <f>Github!P$2128</f>
        <v>4292</v>
      </c>
      <c r="O1328" s="17">
        <f>Github!Q$2128</f>
        <v>14517</v>
      </c>
    </row>
    <row r="1329" ht="18.0" customHeight="1">
      <c r="A1329" s="17">
        <f>Github!J$2168</f>
        <v>2167</v>
      </c>
      <c r="B1329" s="27" t="str">
        <f>HYPERLINK(CONCAT("http://leetcode.com/problems/",Github!C$2168), Github!B$2168)</f>
        <v>Minimum Time to Remove All Cars Containing Illegal Goods</v>
      </c>
      <c r="C1329" s="17">
        <f>Github!F$2168</f>
        <v>442</v>
      </c>
      <c r="D1329" s="17">
        <f>Github!G$2168</f>
        <v>7</v>
      </c>
      <c r="E1329" s="17">
        <f>Github!F$2168+Github!G$2168</f>
        <v>449</v>
      </c>
      <c r="F1329" s="18">
        <f t="shared" si="1"/>
        <v>63.14</v>
      </c>
      <c r="G1329" s="17" t="str">
        <f>Github!H$2168</f>
        <v>Algorithms</v>
      </c>
      <c r="H1329" s="19" t="str">
        <f>SUBSTITUTE(Github!L$2168, ";", ", ")</f>
        <v>String, Dynamic Programming, </v>
      </c>
      <c r="I1329" s="17" t="str">
        <f>Github!E$2168</f>
        <v>Hard</v>
      </c>
      <c r="J1329" s="17" t="str">
        <f>IF(TRIM(Github!D$2168)="TRUE","FALSE","TRUE")</f>
        <v>TRUE</v>
      </c>
      <c r="K1329" s="17" t="b">
        <f>Github!M$2168</f>
        <v>0</v>
      </c>
      <c r="L1329" s="17" t="b">
        <f>Github!N$2168</f>
        <v>0</v>
      </c>
      <c r="M1329" s="17" t="str">
        <f>ROUND(Github!O$2168, 2)&amp;"%"</f>
        <v>38.64%</v>
      </c>
      <c r="N1329" s="17">
        <f>Github!P$2168</f>
        <v>7323</v>
      </c>
      <c r="O1329" s="17">
        <f>Github!Q$2168</f>
        <v>18954</v>
      </c>
    </row>
    <row r="1330" ht="18.0" customHeight="1">
      <c r="A1330" s="17">
        <f>Github!J$1132</f>
        <v>1131</v>
      </c>
      <c r="B1330" s="27" t="str">
        <f>HYPERLINK(CONCAT("http://leetcode.com/problems/",Github!C$1132), Github!B$1132)</f>
        <v>Maximum of Absolute Value Expression</v>
      </c>
      <c r="C1330" s="17">
        <f>Github!F$1132</f>
        <v>439</v>
      </c>
      <c r="D1330" s="17">
        <f>Github!G$1132</f>
        <v>324</v>
      </c>
      <c r="E1330" s="17">
        <f>Github!F$1132+Github!G$1132</f>
        <v>763</v>
      </c>
      <c r="F1330" s="18">
        <f t="shared" si="1"/>
        <v>1.35</v>
      </c>
      <c r="G1330" s="17" t="str">
        <f>Github!H$1132</f>
        <v>Algorithms</v>
      </c>
      <c r="H1330" s="19" t="str">
        <f>SUBSTITUTE(Github!L$1132, ";", ", ")</f>
        <v>Array, Math, </v>
      </c>
      <c r="I1330" s="17" t="str">
        <f>Github!E$1132</f>
        <v>Medium</v>
      </c>
      <c r="J1330" s="17" t="str">
        <f>IF(TRIM(Github!D$1132)="TRUE","FALSE","TRUE")</f>
        <v>TRUE</v>
      </c>
      <c r="K1330" s="17" t="b">
        <f>Github!M$1132</f>
        <v>0</v>
      </c>
      <c r="L1330" s="17" t="b">
        <f>Github!N$1132</f>
        <v>0</v>
      </c>
      <c r="M1330" s="17" t="str">
        <f>ROUND(Github!O$1132, 2)&amp;"%"</f>
        <v>50.04%</v>
      </c>
      <c r="N1330" s="17">
        <f>Github!P$1132</f>
        <v>15589</v>
      </c>
      <c r="O1330" s="17">
        <f>Github!Q$1132</f>
        <v>31148</v>
      </c>
    </row>
    <row r="1331" ht="18.0" customHeight="1">
      <c r="A1331" s="17">
        <f>Github!J$1532</f>
        <v>1531</v>
      </c>
      <c r="B1331" s="27" t="str">
        <f>HYPERLINK(CONCAT("http://leetcode.com/problems/",Github!C$1532), Github!B$1532)</f>
        <v>String Compression II</v>
      </c>
      <c r="C1331" s="17">
        <f>Github!F$1532</f>
        <v>440</v>
      </c>
      <c r="D1331" s="17">
        <f>Github!G$1532</f>
        <v>47</v>
      </c>
      <c r="E1331" s="17">
        <f>Github!F$1532+Github!G$1532</f>
        <v>487</v>
      </c>
      <c r="F1331" s="18">
        <f t="shared" si="1"/>
        <v>9.36</v>
      </c>
      <c r="G1331" s="17" t="str">
        <f>Github!H$1532</f>
        <v>Algorithms</v>
      </c>
      <c r="H1331" s="19" t="str">
        <f>SUBSTITUTE(Github!L$1532, ";", ", ")</f>
        <v>String, Dynamic Programming, </v>
      </c>
      <c r="I1331" s="17" t="str">
        <f>Github!E$1532</f>
        <v>Hard</v>
      </c>
      <c r="J1331" s="17" t="str">
        <f>IF(TRIM(Github!D$1532)="TRUE","FALSE","TRUE")</f>
        <v>TRUE</v>
      </c>
      <c r="K1331" s="17" t="b">
        <f>Github!M$1532</f>
        <v>0</v>
      </c>
      <c r="L1331" s="17" t="b">
        <f>Github!N$1532</f>
        <v>0</v>
      </c>
      <c r="M1331" s="17" t="str">
        <f>ROUND(Github!O$1532, 2)&amp;"%"</f>
        <v>37.6%</v>
      </c>
      <c r="N1331" s="17">
        <f>Github!P$1532</f>
        <v>10453</v>
      </c>
      <c r="O1331" s="17">
        <f>Github!Q$1532</f>
        <v>27803</v>
      </c>
    </row>
    <row r="1332" ht="18.0" customHeight="1">
      <c r="A1332" s="17">
        <f>Github!J$1442</f>
        <v>1441</v>
      </c>
      <c r="B1332" s="27" t="str">
        <f>HYPERLINK(CONCAT("http://leetcode.com/problems/",Github!C$1442), Github!B$1442)</f>
        <v>Build an Array With Stack Operations</v>
      </c>
      <c r="C1332" s="17">
        <f>Github!F$1442</f>
        <v>438</v>
      </c>
      <c r="D1332" s="17">
        <f>Github!G$1442</f>
        <v>728</v>
      </c>
      <c r="E1332" s="17">
        <f>Github!F$1442+Github!G$1442</f>
        <v>1166</v>
      </c>
      <c r="F1332" s="18">
        <f t="shared" si="1"/>
        <v>0.6</v>
      </c>
      <c r="G1332" s="17" t="str">
        <f>Github!H$1442</f>
        <v>Algorithms</v>
      </c>
      <c r="H1332" s="19" t="str">
        <f>SUBSTITUTE(Github!L$1442, ";", ", ")</f>
        <v>Array, Stack, Simulation, </v>
      </c>
      <c r="I1332" s="17" t="str">
        <f>Github!E$1442</f>
        <v>Easy</v>
      </c>
      <c r="J1332" s="17" t="str">
        <f>IF(TRIM(Github!D$1442)="TRUE","FALSE","TRUE")</f>
        <v>TRUE</v>
      </c>
      <c r="K1332" s="17" t="b">
        <f>Github!M$1442</f>
        <v>0</v>
      </c>
      <c r="L1332" s="17" t="b">
        <f>Github!N$1442</f>
        <v>0</v>
      </c>
      <c r="M1332" s="17" t="str">
        <f>ROUND(Github!O$1442, 2)&amp;"%"</f>
        <v>70.85%</v>
      </c>
      <c r="N1332" s="17">
        <f>Github!P$1442</f>
        <v>56693</v>
      </c>
      <c r="O1332" s="17">
        <f>Github!Q$1442</f>
        <v>80018</v>
      </c>
    </row>
    <row r="1333" ht="18.0" customHeight="1">
      <c r="A1333" s="17">
        <f>Github!J$904</f>
        <v>903</v>
      </c>
      <c r="B1333" s="27" t="str">
        <f>HYPERLINK(CONCAT("http://leetcode.com/problems/",Github!C$904), Github!B$904)</f>
        <v>Valid Permutations for DI Sequence</v>
      </c>
      <c r="C1333" s="17">
        <f>Github!F$904</f>
        <v>437</v>
      </c>
      <c r="D1333" s="17">
        <f>Github!G$904</f>
        <v>35</v>
      </c>
      <c r="E1333" s="17">
        <f>Github!F$904+Github!G$904</f>
        <v>472</v>
      </c>
      <c r="F1333" s="18">
        <f t="shared" si="1"/>
        <v>12.49</v>
      </c>
      <c r="G1333" s="17" t="str">
        <f>Github!H$904</f>
        <v>Algorithms</v>
      </c>
      <c r="H1333" s="19" t="str">
        <f>SUBSTITUTE(Github!L$904, ";", ", ")</f>
        <v>Dynamic Programming, </v>
      </c>
      <c r="I1333" s="17" t="str">
        <f>Github!E$904</f>
        <v>Hard</v>
      </c>
      <c r="J1333" s="17" t="str">
        <f>IF(TRIM(Github!D$904)="TRUE","FALSE","TRUE")</f>
        <v>TRUE</v>
      </c>
      <c r="K1333" s="17" t="b">
        <f>Github!M$904</f>
        <v>0</v>
      </c>
      <c r="L1333" s="17" t="b">
        <f>Github!N$904</f>
        <v>0</v>
      </c>
      <c r="M1333" s="17" t="str">
        <f>ROUND(Github!O$904, 2)&amp;"%"</f>
        <v>57.01%</v>
      </c>
      <c r="N1333" s="17">
        <f>Github!P$904</f>
        <v>10465</v>
      </c>
      <c r="O1333" s="17">
        <f>Github!Q$904</f>
        <v>18358</v>
      </c>
    </row>
    <row r="1334" ht="18.0" customHeight="1">
      <c r="A1334" s="17">
        <f>Github!J$1241</f>
        <v>1240</v>
      </c>
      <c r="B1334" s="27" t="str">
        <f>HYPERLINK(CONCAT("http://leetcode.com/problems/",Github!C$1241), Github!B$1241)</f>
        <v>Tiling a Rectangle with the Fewest Squares</v>
      </c>
      <c r="C1334" s="17">
        <f>Github!F$1241</f>
        <v>437</v>
      </c>
      <c r="D1334" s="17">
        <f>Github!G$1241</f>
        <v>404</v>
      </c>
      <c r="E1334" s="17">
        <f>Github!F$1241+Github!G$1241</f>
        <v>841</v>
      </c>
      <c r="F1334" s="18">
        <f t="shared" si="1"/>
        <v>1.08</v>
      </c>
      <c r="G1334" s="17" t="str">
        <f>Github!H$1241</f>
        <v>Algorithms</v>
      </c>
      <c r="H1334" s="19" t="str">
        <f>SUBSTITUTE(Github!L$1241, ";", ", ")</f>
        <v>Dynamic Programming, Backtracking, </v>
      </c>
      <c r="I1334" s="17" t="str">
        <f>Github!E$1241</f>
        <v>Hard</v>
      </c>
      <c r="J1334" s="17" t="str">
        <f>IF(TRIM(Github!D$1241)="TRUE","FALSE","TRUE")</f>
        <v>TRUE</v>
      </c>
      <c r="K1334" s="17" t="b">
        <f>Github!M$1241</f>
        <v>0</v>
      </c>
      <c r="L1334" s="17" t="b">
        <f>Github!N$1241</f>
        <v>0</v>
      </c>
      <c r="M1334" s="17" t="str">
        <f>ROUND(Github!O$1241, 2)&amp;"%"</f>
        <v>52.83%</v>
      </c>
      <c r="N1334" s="17">
        <f>Github!P$1241</f>
        <v>15118</v>
      </c>
      <c r="O1334" s="17">
        <f>Github!Q$1241</f>
        <v>28615</v>
      </c>
    </row>
    <row r="1335" ht="18.0" customHeight="1">
      <c r="A1335" s="17">
        <f>Github!J$1752</f>
        <v>1751</v>
      </c>
      <c r="B1335" s="27" t="str">
        <f>HYPERLINK(CONCAT("http://leetcode.com/problems/",Github!C$1752), Github!B$1752)</f>
        <v>Maximum Number of Events That Can Be Attended II</v>
      </c>
      <c r="C1335" s="17">
        <f>Github!F$1752</f>
        <v>438</v>
      </c>
      <c r="D1335" s="17">
        <f>Github!G$1752</f>
        <v>8</v>
      </c>
      <c r="E1335" s="17">
        <f>Github!F$1752+Github!G$1752</f>
        <v>446</v>
      </c>
      <c r="F1335" s="18">
        <f t="shared" si="1"/>
        <v>54.75</v>
      </c>
      <c r="G1335" s="17" t="str">
        <f>Github!H$1752</f>
        <v>Algorithms</v>
      </c>
      <c r="H1335" s="19" t="str">
        <f>SUBSTITUTE(Github!L$1752, ";", ", ")</f>
        <v>Array, Binary Search, Dynamic Programming, </v>
      </c>
      <c r="I1335" s="17" t="str">
        <f>Github!E$1752</f>
        <v>Hard</v>
      </c>
      <c r="J1335" s="17" t="str">
        <f>IF(TRIM(Github!D$1752)="TRUE","FALSE","TRUE")</f>
        <v>TRUE</v>
      </c>
      <c r="K1335" s="17" t="b">
        <f>Github!M$1752</f>
        <v>0</v>
      </c>
      <c r="L1335" s="17" t="b">
        <f>Github!N$1752</f>
        <v>0</v>
      </c>
      <c r="M1335" s="17" t="str">
        <f>ROUND(Github!O$1752, 2)&amp;"%"</f>
        <v>54.57%</v>
      </c>
      <c r="N1335" s="17">
        <f>Github!P$1752</f>
        <v>13423</v>
      </c>
      <c r="O1335" s="17">
        <f>Github!Q$1752</f>
        <v>24597</v>
      </c>
    </row>
    <row r="1336" ht="18.0" customHeight="1">
      <c r="A1336" s="17">
        <f>Github!J$247</f>
        <v>246</v>
      </c>
      <c r="B1336" s="27" t="str">
        <f>HYPERLINK(CONCAT("http://leetcode.com/problems/",Github!C$247), Github!B$247)</f>
        <v>Strobogrammatic Number</v>
      </c>
      <c r="C1336" s="17">
        <f>Github!F$247</f>
        <v>436</v>
      </c>
      <c r="D1336" s="17">
        <f>Github!G$247</f>
        <v>719</v>
      </c>
      <c r="E1336" s="17">
        <f>Github!F$247+Github!G$247</f>
        <v>1155</v>
      </c>
      <c r="F1336" s="18">
        <f t="shared" si="1"/>
        <v>0.61</v>
      </c>
      <c r="G1336" s="17" t="str">
        <f>Github!H$247</f>
        <v>Algorithms</v>
      </c>
      <c r="H1336" s="19" t="str">
        <f>SUBSTITUTE(Github!L$247, ";", ", ")</f>
        <v>Hash Table, Two Pointers, String, </v>
      </c>
      <c r="I1336" s="17" t="str">
        <f>Github!E$247</f>
        <v>Easy</v>
      </c>
      <c r="J1336" s="17" t="str">
        <f>IF(TRIM(Github!D$247)="TRUE","FALSE","TRUE")</f>
        <v>FALSE</v>
      </c>
      <c r="K1336" s="17" t="b">
        <f>Github!M$247</f>
        <v>1</v>
      </c>
      <c r="L1336" s="17" t="b">
        <f>Github!N$247</f>
        <v>1</v>
      </c>
      <c r="M1336" s="17" t="str">
        <f>ROUND(Github!O$247, 2)&amp;"%"</f>
        <v>47.45%</v>
      </c>
      <c r="N1336" s="17">
        <f>Github!P$247</f>
        <v>131490</v>
      </c>
      <c r="O1336" s="17">
        <f>Github!Q$247</f>
        <v>277100</v>
      </c>
    </row>
    <row r="1337" ht="18.0" customHeight="1">
      <c r="A1337" s="17">
        <f>Github!J$700</f>
        <v>699</v>
      </c>
      <c r="B1337" s="27" t="str">
        <f>HYPERLINK(CONCAT("http://leetcode.com/problems/",Github!C$700), Github!B$700)</f>
        <v>Falling Squares</v>
      </c>
      <c r="C1337" s="17">
        <f>Github!F$700</f>
        <v>436</v>
      </c>
      <c r="D1337" s="17">
        <f>Github!G$700</f>
        <v>68</v>
      </c>
      <c r="E1337" s="17">
        <f>Github!F$700+Github!G$700</f>
        <v>504</v>
      </c>
      <c r="F1337" s="18">
        <f t="shared" si="1"/>
        <v>6.41</v>
      </c>
      <c r="G1337" s="17" t="str">
        <f>Github!H$700</f>
        <v>Algorithms</v>
      </c>
      <c r="H1337" s="19" t="str">
        <f>SUBSTITUTE(Github!L$700, ";", ", ")</f>
        <v>Array, Segment Tree, Ordered Set, </v>
      </c>
      <c r="I1337" s="17" t="str">
        <f>Github!E$700</f>
        <v>Hard</v>
      </c>
      <c r="J1337" s="17" t="str">
        <f>IF(TRIM(Github!D$700)="TRUE","FALSE","TRUE")</f>
        <v>TRUE</v>
      </c>
      <c r="K1337" s="17" t="b">
        <f>Github!M$700</f>
        <v>1</v>
      </c>
      <c r="L1337" s="17" t="b">
        <f>Github!N$700</f>
        <v>0</v>
      </c>
      <c r="M1337" s="17" t="str">
        <f>ROUND(Github!O$700, 2)&amp;"%"</f>
        <v>43.68%</v>
      </c>
      <c r="N1337" s="17">
        <f>Github!P$700</f>
        <v>19025</v>
      </c>
      <c r="O1337" s="17">
        <f>Github!Q$700</f>
        <v>43558</v>
      </c>
    </row>
    <row r="1338" ht="18.0" customHeight="1">
      <c r="A1338" s="17">
        <f>Github!J$1088</f>
        <v>1087</v>
      </c>
      <c r="B1338" s="27" t="str">
        <f>HYPERLINK(CONCAT("http://leetcode.com/problems/",Github!C$1088), Github!B$1088)</f>
        <v>Brace Expansion</v>
      </c>
      <c r="C1338" s="17">
        <f>Github!F$1088</f>
        <v>435</v>
      </c>
      <c r="D1338" s="17">
        <f>Github!G$1088</f>
        <v>39</v>
      </c>
      <c r="E1338" s="17">
        <f>Github!F$1088+Github!G$1088</f>
        <v>474</v>
      </c>
      <c r="F1338" s="18">
        <f t="shared" si="1"/>
        <v>11.15</v>
      </c>
      <c r="G1338" s="17" t="str">
        <f>Github!H$1088</f>
        <v>Algorithms</v>
      </c>
      <c r="H1338" s="19" t="str">
        <f>SUBSTITUTE(Github!L$1088, ";", ", ")</f>
        <v>String, Backtracking, Breadth-First Search, </v>
      </c>
      <c r="I1338" s="17" t="str">
        <f>Github!E$1088</f>
        <v>Medium</v>
      </c>
      <c r="J1338" s="17" t="str">
        <f>IF(TRIM(Github!D$1088)="TRUE","FALSE","TRUE")</f>
        <v>FALSE</v>
      </c>
      <c r="K1338" s="17" t="b">
        <f>Github!M$1088</f>
        <v>1</v>
      </c>
      <c r="L1338" s="17" t="b">
        <f>Github!N$1088</f>
        <v>0</v>
      </c>
      <c r="M1338" s="17" t="str">
        <f>ROUND(Github!O$1088, 2)&amp;"%"</f>
        <v>64.42%</v>
      </c>
      <c r="N1338" s="17">
        <f>Github!P$1088</f>
        <v>36560</v>
      </c>
      <c r="O1338" s="17">
        <f>Github!Q$1088</f>
        <v>56749</v>
      </c>
    </row>
    <row r="1339" ht="18.0" customHeight="1">
      <c r="A1339" s="17">
        <f>Github!J$956</f>
        <v>955</v>
      </c>
      <c r="B1339" s="27" t="str">
        <f>HYPERLINK(CONCAT("http://leetcode.com/problems/",Github!C$956), Github!B$956)</f>
        <v>Delete Columns to Make Sorted II</v>
      </c>
      <c r="C1339" s="17">
        <f>Github!F$956</f>
        <v>434</v>
      </c>
      <c r="D1339" s="17">
        <f>Github!G$956</f>
        <v>69</v>
      </c>
      <c r="E1339" s="17">
        <f>Github!F$956+Github!G$956</f>
        <v>503</v>
      </c>
      <c r="F1339" s="18">
        <f t="shared" si="1"/>
        <v>6.29</v>
      </c>
      <c r="G1339" s="17" t="str">
        <f>Github!H$956</f>
        <v>Algorithms</v>
      </c>
      <c r="H1339" s="19" t="str">
        <f>SUBSTITUTE(Github!L$956, ";", ", ")</f>
        <v>Array, String, Greedy, </v>
      </c>
      <c r="I1339" s="17" t="str">
        <f>Github!E$956</f>
        <v>Medium</v>
      </c>
      <c r="J1339" s="17" t="str">
        <f>IF(TRIM(Github!D$956)="TRUE","FALSE","TRUE")</f>
        <v>TRUE</v>
      </c>
      <c r="K1339" s="17" t="b">
        <f>Github!M$956</f>
        <v>0</v>
      </c>
      <c r="L1339" s="17" t="b">
        <f>Github!N$956</f>
        <v>0</v>
      </c>
      <c r="M1339" s="17" t="str">
        <f>ROUND(Github!O$956, 2)&amp;"%"</f>
        <v>34.13%</v>
      </c>
      <c r="N1339" s="17">
        <f>Github!P$956</f>
        <v>14966</v>
      </c>
      <c r="O1339" s="17">
        <f>Github!Q$956</f>
        <v>43844</v>
      </c>
    </row>
    <row r="1340" ht="18.0" customHeight="1">
      <c r="A1340" s="17">
        <f>Github!J$1217</f>
        <v>1216</v>
      </c>
      <c r="B1340" s="27" t="str">
        <f>HYPERLINK(CONCAT("http://leetcode.com/problems/",Github!C$1217), Github!B$1217)</f>
        <v>Valid Palindrome III</v>
      </c>
      <c r="C1340" s="17">
        <f>Github!F$1217</f>
        <v>434</v>
      </c>
      <c r="D1340" s="17">
        <f>Github!G$1217</f>
        <v>6</v>
      </c>
      <c r="E1340" s="17">
        <f>Github!F$1217+Github!G$1217</f>
        <v>440</v>
      </c>
      <c r="F1340" s="18">
        <f t="shared" si="1"/>
        <v>72.33</v>
      </c>
      <c r="G1340" s="17" t="str">
        <f>Github!H$1217</f>
        <v>Algorithms</v>
      </c>
      <c r="H1340" s="19" t="str">
        <f>SUBSTITUTE(Github!L$1217, ";", ", ")</f>
        <v>String, Dynamic Programming, </v>
      </c>
      <c r="I1340" s="17" t="str">
        <f>Github!E$1217</f>
        <v>Hard</v>
      </c>
      <c r="J1340" s="17" t="str">
        <f>IF(TRIM(Github!D$1217)="TRUE","FALSE","TRUE")</f>
        <v>FALSE</v>
      </c>
      <c r="K1340" s="17" t="b">
        <f>Github!M$1217</f>
        <v>1</v>
      </c>
      <c r="L1340" s="17" t="b">
        <f>Github!N$1217</f>
        <v>0</v>
      </c>
      <c r="M1340" s="17" t="str">
        <f>ROUND(Github!O$1217, 2)&amp;"%"</f>
        <v>51.26%</v>
      </c>
      <c r="N1340" s="17">
        <f>Github!P$1217</f>
        <v>30330</v>
      </c>
      <c r="O1340" s="17">
        <f>Github!Q$1217</f>
        <v>59164</v>
      </c>
    </row>
    <row r="1341" ht="18.0" customHeight="1">
      <c r="A1341" s="17">
        <f>Github!J$1910</f>
        <v>1909</v>
      </c>
      <c r="B1341" s="27" t="str">
        <f>HYPERLINK(CONCAT("http://leetcode.com/problems/",Github!C$1910), Github!B$1910)</f>
        <v>Remove One Element to Make the Array Strictly Increasing</v>
      </c>
      <c r="C1341" s="17">
        <f>Github!F$1910</f>
        <v>436</v>
      </c>
      <c r="D1341" s="17">
        <f>Github!G$1910</f>
        <v>191</v>
      </c>
      <c r="E1341" s="17">
        <f>Github!F$1910+Github!G$1910</f>
        <v>627</v>
      </c>
      <c r="F1341" s="18">
        <f t="shared" si="1"/>
        <v>2.28</v>
      </c>
      <c r="G1341" s="17" t="str">
        <f>Github!H$1910</f>
        <v>Algorithms</v>
      </c>
      <c r="H1341" s="19" t="str">
        <f>SUBSTITUTE(Github!L$1910, ";", ", ")</f>
        <v>Array, </v>
      </c>
      <c r="I1341" s="17" t="str">
        <f>Github!E$1910</f>
        <v>Easy</v>
      </c>
      <c r="J1341" s="17" t="str">
        <f>IF(TRIM(Github!D$1910)="TRUE","FALSE","TRUE")</f>
        <v>TRUE</v>
      </c>
      <c r="K1341" s="17" t="b">
        <f>Github!M$1910</f>
        <v>0</v>
      </c>
      <c r="L1341" s="17" t="b">
        <f>Github!N$1910</f>
        <v>0</v>
      </c>
      <c r="M1341" s="17" t="str">
        <f>ROUND(Github!O$1910, 2)&amp;"%"</f>
        <v>27.52%</v>
      </c>
      <c r="N1341" s="17">
        <f>Github!P$1910</f>
        <v>22939</v>
      </c>
      <c r="O1341" s="17">
        <f>Github!Q$1910</f>
        <v>83361</v>
      </c>
    </row>
    <row r="1342" ht="18.0" customHeight="1">
      <c r="A1342" s="17">
        <f>Github!J$758</f>
        <v>757</v>
      </c>
      <c r="B1342" s="27" t="str">
        <f>HYPERLINK(CONCAT("http://leetcode.com/problems/",Github!C$758), Github!B$758)</f>
        <v>Set Intersection Size At Least Two</v>
      </c>
      <c r="C1342" s="17">
        <f>Github!F$758</f>
        <v>432</v>
      </c>
      <c r="D1342" s="17">
        <f>Github!G$758</f>
        <v>57</v>
      </c>
      <c r="E1342" s="17">
        <f>Github!F$758+Github!G$758</f>
        <v>489</v>
      </c>
      <c r="F1342" s="18">
        <f t="shared" si="1"/>
        <v>7.58</v>
      </c>
      <c r="G1342" s="17" t="str">
        <f>Github!H$758</f>
        <v>Algorithms</v>
      </c>
      <c r="H1342" s="19" t="str">
        <f>SUBSTITUTE(Github!L$758, ";", ", ")</f>
        <v>Array, Greedy, Sorting, </v>
      </c>
      <c r="I1342" s="17" t="str">
        <f>Github!E$758</f>
        <v>Hard</v>
      </c>
      <c r="J1342" s="17" t="str">
        <f>IF(TRIM(Github!D$758)="TRUE","FALSE","TRUE")</f>
        <v>TRUE</v>
      </c>
      <c r="K1342" s="17" t="b">
        <f>Github!M$758</f>
        <v>0</v>
      </c>
      <c r="L1342" s="17" t="b">
        <f>Github!N$758</f>
        <v>0</v>
      </c>
      <c r="M1342" s="17" t="str">
        <f>ROUND(Github!O$758, 2)&amp;"%"</f>
        <v>43.02%</v>
      </c>
      <c r="N1342" s="17">
        <f>Github!P$758</f>
        <v>15164</v>
      </c>
      <c r="O1342" s="17">
        <f>Github!Q$758</f>
        <v>35250</v>
      </c>
    </row>
    <row r="1343" ht="18.0" customHeight="1">
      <c r="A1343" s="17">
        <f>Github!J$1000</f>
        <v>999</v>
      </c>
      <c r="B1343" s="27" t="str">
        <f>HYPERLINK(CONCAT("http://leetcode.com/problems/",Github!C$1000), Github!B$1000)</f>
        <v>Available Captures for Rook</v>
      </c>
      <c r="C1343" s="17">
        <f>Github!F$1000</f>
        <v>432</v>
      </c>
      <c r="D1343" s="17">
        <f>Github!G$1000</f>
        <v>557</v>
      </c>
      <c r="E1343" s="17">
        <f>Github!F$1000+Github!G$1000</f>
        <v>989</v>
      </c>
      <c r="F1343" s="18">
        <f t="shared" si="1"/>
        <v>0.78</v>
      </c>
      <c r="G1343" s="17" t="str">
        <f>Github!H$1000</f>
        <v>Algorithms</v>
      </c>
      <c r="H1343" s="19" t="str">
        <f>SUBSTITUTE(Github!L$1000, ";", ", ")</f>
        <v>Array, Matrix, Simulation, </v>
      </c>
      <c r="I1343" s="17" t="str">
        <f>Github!E$1000</f>
        <v>Easy</v>
      </c>
      <c r="J1343" s="17" t="str">
        <f>IF(TRIM(Github!D$1000)="TRUE","FALSE","TRUE")</f>
        <v>TRUE</v>
      </c>
      <c r="K1343" s="17" t="b">
        <f>Github!M$1000</f>
        <v>0</v>
      </c>
      <c r="L1343" s="17" t="b">
        <f>Github!N$1000</f>
        <v>0</v>
      </c>
      <c r="M1343" s="17" t="str">
        <f>ROUND(Github!O$1000, 2)&amp;"%"</f>
        <v>67.85%</v>
      </c>
      <c r="N1343" s="17">
        <f>Github!P$1000</f>
        <v>48697</v>
      </c>
      <c r="O1343" s="17">
        <f>Github!Q$1000</f>
        <v>71771</v>
      </c>
    </row>
    <row r="1344" ht="18.0" customHeight="1">
      <c r="A1344" s="17">
        <f>Github!J$1158</f>
        <v>1157</v>
      </c>
      <c r="B1344" s="27" t="str">
        <f>HYPERLINK(CONCAT("http://leetcode.com/problems/",Github!C$1158), Github!B$1158)</f>
        <v>Online Majority Element In Subarray</v>
      </c>
      <c r="C1344" s="17">
        <f>Github!F$1158</f>
        <v>432</v>
      </c>
      <c r="D1344" s="17">
        <f>Github!G$1158</f>
        <v>45</v>
      </c>
      <c r="E1344" s="17">
        <f>Github!F$1158+Github!G$1158</f>
        <v>477</v>
      </c>
      <c r="F1344" s="18">
        <f t="shared" si="1"/>
        <v>9.6</v>
      </c>
      <c r="G1344" s="17" t="str">
        <f>Github!H$1158</f>
        <v>Algorithms</v>
      </c>
      <c r="H1344" s="19" t="str">
        <f>SUBSTITUTE(Github!L$1158, ";", ", ")</f>
        <v>Array, Binary Search, Design, Binary Indexed Tree, Segment Tree, </v>
      </c>
      <c r="I1344" s="17" t="str">
        <f>Github!E$1158</f>
        <v>Hard</v>
      </c>
      <c r="J1344" s="17" t="str">
        <f>IF(TRIM(Github!D$1158)="TRUE","FALSE","TRUE")</f>
        <v>TRUE</v>
      </c>
      <c r="K1344" s="17" t="b">
        <f>Github!M$1158</f>
        <v>0</v>
      </c>
      <c r="L1344" s="17" t="b">
        <f>Github!N$1158</f>
        <v>0</v>
      </c>
      <c r="M1344" s="17" t="str">
        <f>ROUND(Github!O$1158, 2)&amp;"%"</f>
        <v>41.94%</v>
      </c>
      <c r="N1344" s="17">
        <f>Github!P$1158</f>
        <v>12346</v>
      </c>
      <c r="O1344" s="17">
        <f>Github!Q$1158</f>
        <v>29436</v>
      </c>
    </row>
    <row r="1345" ht="18.0" customHeight="1">
      <c r="A1345" s="17">
        <f>Github!J$2188</f>
        <v>2187</v>
      </c>
      <c r="B1345" s="27" t="str">
        <f>HYPERLINK(CONCAT("http://leetcode.com/problems/",Github!C$2188), Github!B$2188)</f>
        <v>Minimum Time to Complete Trips</v>
      </c>
      <c r="C1345" s="17">
        <f>Github!F$2188</f>
        <v>435</v>
      </c>
      <c r="D1345" s="17">
        <f>Github!G$2188</f>
        <v>23</v>
      </c>
      <c r="E1345" s="17">
        <f>Github!F$2188+Github!G$2188</f>
        <v>458</v>
      </c>
      <c r="F1345" s="18">
        <f t="shared" si="1"/>
        <v>18.91</v>
      </c>
      <c r="G1345" s="17" t="str">
        <f>Github!H$2188</f>
        <v>Algorithms</v>
      </c>
      <c r="H1345" s="19" t="str">
        <f>SUBSTITUTE(Github!L$2188, ";", ", ")</f>
        <v>Array, Binary Search, </v>
      </c>
      <c r="I1345" s="17" t="str">
        <f>Github!E$2188</f>
        <v>Medium</v>
      </c>
      <c r="J1345" s="17" t="str">
        <f>IF(TRIM(Github!D$2188)="TRUE","FALSE","TRUE")</f>
        <v>TRUE</v>
      </c>
      <c r="K1345" s="17" t="b">
        <f>Github!M$2188</f>
        <v>0</v>
      </c>
      <c r="L1345" s="17" t="b">
        <f>Github!N$2188</f>
        <v>0</v>
      </c>
      <c r="M1345" s="17" t="str">
        <f>ROUND(Github!O$2188, 2)&amp;"%"</f>
        <v>28.88%</v>
      </c>
      <c r="N1345" s="17">
        <f>Github!P$2188</f>
        <v>16592</v>
      </c>
      <c r="O1345" s="17">
        <f>Github!Q$2188</f>
        <v>57439</v>
      </c>
    </row>
    <row r="1346" ht="18.0" customHeight="1">
      <c r="A1346" s="17">
        <f>Github!J$1101</f>
        <v>1100</v>
      </c>
      <c r="B1346" s="27" t="str">
        <f>HYPERLINK(CONCAT("http://leetcode.com/problems/",Github!C$1101), Github!B$1101)</f>
        <v>Find K-Length Substrings With No Repeated Characters</v>
      </c>
      <c r="C1346" s="17">
        <f>Github!F$1101</f>
        <v>431</v>
      </c>
      <c r="D1346" s="17">
        <f>Github!G$1101</f>
        <v>10</v>
      </c>
      <c r="E1346" s="17">
        <f>Github!F$1101+Github!G$1101</f>
        <v>441</v>
      </c>
      <c r="F1346" s="18">
        <f t="shared" si="1"/>
        <v>43.1</v>
      </c>
      <c r="G1346" s="17" t="str">
        <f>Github!H$1101</f>
        <v>Algorithms</v>
      </c>
      <c r="H1346" s="19" t="str">
        <f>SUBSTITUTE(Github!L$1101, ";", ", ")</f>
        <v>Hash Table, String, Sliding Window, </v>
      </c>
      <c r="I1346" s="17" t="str">
        <f>Github!E$1101</f>
        <v>Medium</v>
      </c>
      <c r="J1346" s="17" t="str">
        <f>IF(TRIM(Github!D$1101)="TRUE","FALSE","TRUE")</f>
        <v>FALSE</v>
      </c>
      <c r="K1346" s="17" t="b">
        <f>Github!M$1101</f>
        <v>1</v>
      </c>
      <c r="L1346" s="17" t="b">
        <f>Github!N$1101</f>
        <v>0</v>
      </c>
      <c r="M1346" s="17" t="str">
        <f>ROUND(Github!O$1101, 2)&amp;"%"</f>
        <v>74.76%</v>
      </c>
      <c r="N1346" s="17">
        <f>Github!P$1101</f>
        <v>28855</v>
      </c>
      <c r="O1346" s="17">
        <f>Github!Q$1101</f>
        <v>38596</v>
      </c>
    </row>
    <row r="1347" ht="18.0" customHeight="1">
      <c r="A1347" s="17">
        <f>Github!J$1387</f>
        <v>1386</v>
      </c>
      <c r="B1347" s="27" t="str">
        <f>HYPERLINK(CONCAT("http://leetcode.com/problems/",Github!C$1387), Github!B$1387)</f>
        <v>Cinema Seat Allocation</v>
      </c>
      <c r="C1347" s="17">
        <f>Github!F$1387</f>
        <v>431</v>
      </c>
      <c r="D1347" s="17">
        <f>Github!G$1387</f>
        <v>235</v>
      </c>
      <c r="E1347" s="17">
        <f>Github!F$1387+Github!G$1387</f>
        <v>666</v>
      </c>
      <c r="F1347" s="18">
        <f t="shared" si="1"/>
        <v>1.83</v>
      </c>
      <c r="G1347" s="17" t="str">
        <f>Github!H$1387</f>
        <v>Algorithms</v>
      </c>
      <c r="H1347" s="19" t="str">
        <f>SUBSTITUTE(Github!L$1387, ";", ", ")</f>
        <v>Array, Hash Table, Greedy, Bit Manipulation, </v>
      </c>
      <c r="I1347" s="17" t="str">
        <f>Github!E$1387</f>
        <v>Medium</v>
      </c>
      <c r="J1347" s="17" t="str">
        <f>IF(TRIM(Github!D$1387)="TRUE","FALSE","TRUE")</f>
        <v>TRUE</v>
      </c>
      <c r="K1347" s="17" t="b">
        <f>Github!M$1387</f>
        <v>0</v>
      </c>
      <c r="L1347" s="17" t="b">
        <f>Github!N$1387</f>
        <v>0</v>
      </c>
      <c r="M1347" s="17" t="str">
        <f>ROUND(Github!O$1387, 2)&amp;"%"</f>
        <v>39.14%</v>
      </c>
      <c r="N1347" s="17">
        <f>Github!P$1387</f>
        <v>21115</v>
      </c>
      <c r="O1347" s="17">
        <f>Github!Q$1387</f>
        <v>53941</v>
      </c>
    </row>
    <row r="1348" ht="18.0" customHeight="1">
      <c r="A1348" s="17">
        <f>Github!J$1563</f>
        <v>1562</v>
      </c>
      <c r="B1348" s="27" t="str">
        <f>HYPERLINK(CONCAT("http://leetcode.com/problems/",Github!C$1563), Github!B$1563)</f>
        <v>Find Latest Group of Size M</v>
      </c>
      <c r="C1348" s="17">
        <f>Github!F$1563</f>
        <v>431</v>
      </c>
      <c r="D1348" s="17">
        <f>Github!G$1563</f>
        <v>90</v>
      </c>
      <c r="E1348" s="17">
        <f>Github!F$1563+Github!G$1563</f>
        <v>521</v>
      </c>
      <c r="F1348" s="18">
        <f t="shared" si="1"/>
        <v>4.79</v>
      </c>
      <c r="G1348" s="17" t="str">
        <f>Github!H$1563</f>
        <v>Algorithms</v>
      </c>
      <c r="H1348" s="19" t="str">
        <f>SUBSTITUTE(Github!L$1563, ";", ", ")</f>
        <v>Array, Binary Search, Simulation, </v>
      </c>
      <c r="I1348" s="17" t="str">
        <f>Github!E$1563</f>
        <v>Medium</v>
      </c>
      <c r="J1348" s="17" t="str">
        <f>IF(TRIM(Github!D$1563)="TRUE","FALSE","TRUE")</f>
        <v>TRUE</v>
      </c>
      <c r="K1348" s="17" t="b">
        <f>Github!M$1563</f>
        <v>0</v>
      </c>
      <c r="L1348" s="17" t="b">
        <f>Github!N$1563</f>
        <v>0</v>
      </c>
      <c r="M1348" s="17" t="str">
        <f>ROUND(Github!O$1563, 2)&amp;"%"</f>
        <v>40.71%</v>
      </c>
      <c r="N1348" s="17">
        <f>Github!P$1563</f>
        <v>12118</v>
      </c>
      <c r="O1348" s="17">
        <f>Github!Q$1563</f>
        <v>29763</v>
      </c>
    </row>
    <row r="1349" ht="18.0" customHeight="1">
      <c r="A1349" s="17">
        <f>Github!J$1698</f>
        <v>1697</v>
      </c>
      <c r="B1349" s="27" t="str">
        <f>HYPERLINK(CONCAT("http://leetcode.com/problems/",Github!C$1698), Github!B$1698)</f>
        <v>Checking Existence of Edge Length Limited Paths</v>
      </c>
      <c r="C1349" s="17">
        <f>Github!F$1698</f>
        <v>428</v>
      </c>
      <c r="D1349" s="17">
        <f>Github!G$1698</f>
        <v>7</v>
      </c>
      <c r="E1349" s="17">
        <f>Github!F$1698+Github!G$1698</f>
        <v>435</v>
      </c>
      <c r="F1349" s="18">
        <f t="shared" si="1"/>
        <v>61.14</v>
      </c>
      <c r="G1349" s="17" t="str">
        <f>Github!H$1698</f>
        <v>Algorithms</v>
      </c>
      <c r="H1349" s="19" t="str">
        <f>SUBSTITUTE(Github!L$1698, ";", ", ")</f>
        <v>Array, Union Find, Graph, Sorting, </v>
      </c>
      <c r="I1349" s="17" t="str">
        <f>Github!E$1698</f>
        <v>Hard</v>
      </c>
      <c r="J1349" s="17" t="str">
        <f>IF(TRIM(Github!D$1698)="TRUE","FALSE","TRUE")</f>
        <v>TRUE</v>
      </c>
      <c r="K1349" s="17" t="b">
        <f>Github!M$1698</f>
        <v>0</v>
      </c>
      <c r="L1349" s="17" t="b">
        <f>Github!N$1698</f>
        <v>0</v>
      </c>
      <c r="M1349" s="17" t="str">
        <f>ROUND(Github!O$1698, 2)&amp;"%"</f>
        <v>48.5%</v>
      </c>
      <c r="N1349" s="17">
        <f>Github!P$1698</f>
        <v>7516</v>
      </c>
      <c r="O1349" s="17">
        <f>Github!Q$1698</f>
        <v>15497</v>
      </c>
    </row>
    <row r="1350" ht="18.0" customHeight="1">
      <c r="A1350" s="17">
        <f>Github!J$1948</f>
        <v>1947</v>
      </c>
      <c r="B1350" s="27" t="str">
        <f>HYPERLINK(CONCAT("http://leetcode.com/problems/",Github!C$1948), Github!B$1948)</f>
        <v>Maximum Compatibility Score Sum</v>
      </c>
      <c r="C1350" s="17">
        <f>Github!F$1948</f>
        <v>428</v>
      </c>
      <c r="D1350" s="17">
        <f>Github!G$1948</f>
        <v>10</v>
      </c>
      <c r="E1350" s="17">
        <f>Github!F$1948+Github!G$1948</f>
        <v>438</v>
      </c>
      <c r="F1350" s="18">
        <f t="shared" si="1"/>
        <v>42.8</v>
      </c>
      <c r="G1350" s="17" t="str">
        <f>Github!H$1948</f>
        <v>Algorithms</v>
      </c>
      <c r="H1350" s="19" t="str">
        <f>SUBSTITUTE(Github!L$1948, ";", ", ")</f>
        <v>Array, Dynamic Programming, Backtracking, Bit Manipulation, Bitmask, </v>
      </c>
      <c r="I1350" s="17" t="str">
        <f>Github!E$1948</f>
        <v>Medium</v>
      </c>
      <c r="J1350" s="17" t="str">
        <f>IF(TRIM(Github!D$1948)="TRUE","FALSE","TRUE")</f>
        <v>TRUE</v>
      </c>
      <c r="K1350" s="17" t="b">
        <f>Github!M$1948</f>
        <v>0</v>
      </c>
      <c r="L1350" s="17" t="b">
        <f>Github!N$1948</f>
        <v>0</v>
      </c>
      <c r="M1350" s="17" t="str">
        <f>ROUND(Github!O$1948, 2)&amp;"%"</f>
        <v>59.73%</v>
      </c>
      <c r="N1350" s="17">
        <f>Github!P$1948</f>
        <v>13416</v>
      </c>
      <c r="O1350" s="17">
        <f>Github!Q$1948</f>
        <v>22461</v>
      </c>
    </row>
    <row r="1351" ht="18.0" customHeight="1">
      <c r="A1351" s="17">
        <f>Github!J$1164</f>
        <v>1163</v>
      </c>
      <c r="B1351" s="27" t="str">
        <f>HYPERLINK(CONCAT("http://leetcode.com/problems/",Github!C$1164), Github!B$1164)</f>
        <v>Last Substring in Lexicographical Order</v>
      </c>
      <c r="C1351" s="17">
        <f>Github!F$1164</f>
        <v>426</v>
      </c>
      <c r="D1351" s="17">
        <f>Github!G$1164</f>
        <v>404</v>
      </c>
      <c r="E1351" s="17">
        <f>Github!F$1164+Github!G$1164</f>
        <v>830</v>
      </c>
      <c r="F1351" s="18">
        <f t="shared" si="1"/>
        <v>1.05</v>
      </c>
      <c r="G1351" s="17" t="str">
        <f>Github!H$1164</f>
        <v>Algorithms</v>
      </c>
      <c r="H1351" s="19" t="str">
        <f>SUBSTITUTE(Github!L$1164, ";", ", ")</f>
        <v>Two Pointers, String, </v>
      </c>
      <c r="I1351" s="17" t="str">
        <f>Github!E$1164</f>
        <v>Hard</v>
      </c>
      <c r="J1351" s="17" t="str">
        <f>IF(TRIM(Github!D$1164)="TRUE","FALSE","TRUE")</f>
        <v>TRUE</v>
      </c>
      <c r="K1351" s="17" t="b">
        <f>Github!M$1164</f>
        <v>0</v>
      </c>
      <c r="L1351" s="17" t="b">
        <f>Github!N$1164</f>
        <v>0</v>
      </c>
      <c r="M1351" s="17" t="str">
        <f>ROUND(Github!O$1164, 2)&amp;"%"</f>
        <v>35.7%</v>
      </c>
      <c r="N1351" s="17">
        <f>Github!P$1164</f>
        <v>29119</v>
      </c>
      <c r="O1351" s="17">
        <f>Github!Q$1164</f>
        <v>81564</v>
      </c>
    </row>
    <row r="1352" ht="18.0" customHeight="1">
      <c r="A1352" s="17">
        <f>Github!J$1574</f>
        <v>1573</v>
      </c>
      <c r="B1352" s="27" t="str">
        <f>HYPERLINK(CONCAT("http://leetcode.com/problems/",Github!C$1574), Github!B$1574)</f>
        <v>Number of Ways to Split a String</v>
      </c>
      <c r="C1352" s="17">
        <f>Github!F$1574</f>
        <v>425</v>
      </c>
      <c r="D1352" s="17">
        <f>Github!G$1574</f>
        <v>55</v>
      </c>
      <c r="E1352" s="17">
        <f>Github!F$1574+Github!G$1574</f>
        <v>480</v>
      </c>
      <c r="F1352" s="18">
        <f t="shared" si="1"/>
        <v>7.73</v>
      </c>
      <c r="G1352" s="17" t="str">
        <f>Github!H$1574</f>
        <v>Algorithms</v>
      </c>
      <c r="H1352" s="19" t="str">
        <f>SUBSTITUTE(Github!L$1574, ";", ", ")</f>
        <v>Math, String, </v>
      </c>
      <c r="I1352" s="17" t="str">
        <f>Github!E$1574</f>
        <v>Medium</v>
      </c>
      <c r="J1352" s="17" t="str">
        <f>IF(TRIM(Github!D$1574)="TRUE","FALSE","TRUE")</f>
        <v>TRUE</v>
      </c>
      <c r="K1352" s="17" t="b">
        <f>Github!M$1574</f>
        <v>0</v>
      </c>
      <c r="L1352" s="17" t="b">
        <f>Github!N$1574</f>
        <v>0</v>
      </c>
      <c r="M1352" s="17" t="str">
        <f>ROUND(Github!O$1574, 2)&amp;"%"</f>
        <v>32.02%</v>
      </c>
      <c r="N1352" s="17">
        <f>Github!P$1574</f>
        <v>18518</v>
      </c>
      <c r="O1352" s="17">
        <f>Github!Q$1574</f>
        <v>57830</v>
      </c>
    </row>
    <row r="1353" ht="18.0" customHeight="1">
      <c r="A1353" s="17">
        <f>Github!J$880</f>
        <v>879</v>
      </c>
      <c r="B1353" s="27" t="str">
        <f>HYPERLINK(CONCAT("http://leetcode.com/problems/",Github!C$880), Github!B$880)</f>
        <v>Profitable Schemes</v>
      </c>
      <c r="C1353" s="17">
        <f>Github!F$880</f>
        <v>424</v>
      </c>
      <c r="D1353" s="17">
        <f>Github!G$880</f>
        <v>37</v>
      </c>
      <c r="E1353" s="17">
        <f>Github!F$880+Github!G$880</f>
        <v>461</v>
      </c>
      <c r="F1353" s="18">
        <f t="shared" si="1"/>
        <v>11.46</v>
      </c>
      <c r="G1353" s="17" t="str">
        <f>Github!H$880</f>
        <v>Algorithms</v>
      </c>
      <c r="H1353" s="19" t="str">
        <f>SUBSTITUTE(Github!L$880, ";", ", ")</f>
        <v>Array, Dynamic Programming, </v>
      </c>
      <c r="I1353" s="17" t="str">
        <f>Github!E$880</f>
        <v>Hard</v>
      </c>
      <c r="J1353" s="17" t="str">
        <f>IF(TRIM(Github!D$880)="TRUE","FALSE","TRUE")</f>
        <v>TRUE</v>
      </c>
      <c r="K1353" s="17" t="b">
        <f>Github!M$880</f>
        <v>1</v>
      </c>
      <c r="L1353" s="17" t="b">
        <f>Github!N$880</f>
        <v>0</v>
      </c>
      <c r="M1353" s="17" t="str">
        <f>ROUND(Github!O$880, 2)&amp;"%"</f>
        <v>40.67%</v>
      </c>
      <c r="N1353" s="17">
        <f>Github!P$880</f>
        <v>14399</v>
      </c>
      <c r="O1353" s="17">
        <f>Github!Q$880</f>
        <v>35405</v>
      </c>
    </row>
    <row r="1354" ht="18.0" customHeight="1">
      <c r="A1354" s="17">
        <f>Github!J$1867</f>
        <v>1866</v>
      </c>
      <c r="B1354" s="27" t="str">
        <f>HYPERLINK(CONCAT("http://leetcode.com/problems/",Github!C$1867), Github!B$1867)</f>
        <v>Number of Ways to Rearrange Sticks With K Sticks Visible</v>
      </c>
      <c r="C1354" s="17">
        <f>Github!F$1867</f>
        <v>423</v>
      </c>
      <c r="D1354" s="17">
        <f>Github!G$1867</f>
        <v>9</v>
      </c>
      <c r="E1354" s="17">
        <f>Github!F$1867+Github!G$1867</f>
        <v>432</v>
      </c>
      <c r="F1354" s="18">
        <f t="shared" si="1"/>
        <v>47</v>
      </c>
      <c r="G1354" s="17" t="str">
        <f>Github!H$1867</f>
        <v>Algorithms</v>
      </c>
      <c r="H1354" s="19" t="str">
        <f>SUBSTITUTE(Github!L$1867, ";", ", ")</f>
        <v>Math, Dynamic Programming, Combinatorics, </v>
      </c>
      <c r="I1354" s="17" t="str">
        <f>Github!E$1867</f>
        <v>Hard</v>
      </c>
      <c r="J1354" s="17" t="str">
        <f>IF(TRIM(Github!D$1867)="TRUE","FALSE","TRUE")</f>
        <v>TRUE</v>
      </c>
      <c r="K1354" s="17" t="b">
        <f>Github!M$1867</f>
        <v>0</v>
      </c>
      <c r="L1354" s="17" t="b">
        <f>Github!N$1867</f>
        <v>0</v>
      </c>
      <c r="M1354" s="17" t="str">
        <f>ROUND(Github!O$1867, 2)&amp;"%"</f>
        <v>55.29%</v>
      </c>
      <c r="N1354" s="17">
        <f>Github!P$1867</f>
        <v>7711</v>
      </c>
      <c r="O1354" s="17">
        <f>Github!Q$1867</f>
        <v>13947</v>
      </c>
    </row>
    <row r="1355" ht="18.0" customHeight="1">
      <c r="A1355" s="17">
        <f>Github!J$894</f>
        <v>893</v>
      </c>
      <c r="B1355" s="27" t="str">
        <f>HYPERLINK(CONCAT("http://leetcode.com/problems/",Github!C$894), Github!B$894)</f>
        <v>Groups of Special-Equivalent Strings</v>
      </c>
      <c r="C1355" s="17">
        <f>Github!F$894</f>
        <v>423</v>
      </c>
      <c r="D1355" s="17">
        <f>Github!G$894</f>
        <v>1379</v>
      </c>
      <c r="E1355" s="17">
        <f>Github!F$894+Github!G$894</f>
        <v>1802</v>
      </c>
      <c r="F1355" s="18">
        <f t="shared" si="1"/>
        <v>0.31</v>
      </c>
      <c r="G1355" s="17" t="str">
        <f>Github!H$894</f>
        <v>Algorithms</v>
      </c>
      <c r="H1355" s="19" t="str">
        <f>SUBSTITUTE(Github!L$894, ";", ", ")</f>
        <v>Array, Hash Table, String, </v>
      </c>
      <c r="I1355" s="17" t="str">
        <f>Github!E$894</f>
        <v>Medium</v>
      </c>
      <c r="J1355" s="17" t="str">
        <f>IF(TRIM(Github!D$894)="TRUE","FALSE","TRUE")</f>
        <v>TRUE</v>
      </c>
      <c r="K1355" s="17" t="b">
        <f>Github!M$894</f>
        <v>0</v>
      </c>
      <c r="L1355" s="17" t="b">
        <f>Github!N$894</f>
        <v>0</v>
      </c>
      <c r="M1355" s="17" t="str">
        <f>ROUND(Github!O$894, 2)&amp;"%"</f>
        <v>70.44%</v>
      </c>
      <c r="N1355" s="17">
        <f>Github!P$894</f>
        <v>40545</v>
      </c>
      <c r="O1355" s="17">
        <f>Github!Q$894</f>
        <v>57561</v>
      </c>
    </row>
    <row r="1356" ht="18.0" customHeight="1">
      <c r="A1356" s="17">
        <f>Github!J$1756</f>
        <v>1755</v>
      </c>
      <c r="B1356" s="27" t="str">
        <f>HYPERLINK(CONCAT("http://leetcode.com/problems/",Github!C$1756), Github!B$1756)</f>
        <v>Closest Subsequence Sum</v>
      </c>
      <c r="C1356" s="17">
        <f>Github!F$1756</f>
        <v>421</v>
      </c>
      <c r="D1356" s="17">
        <f>Github!G$1756</f>
        <v>54</v>
      </c>
      <c r="E1356" s="17">
        <f>Github!F$1756+Github!G$1756</f>
        <v>475</v>
      </c>
      <c r="F1356" s="18">
        <f t="shared" si="1"/>
        <v>7.8</v>
      </c>
      <c r="G1356" s="17" t="str">
        <f>Github!H$1756</f>
        <v>Algorithms</v>
      </c>
      <c r="H1356" s="19" t="str">
        <f>SUBSTITUTE(Github!L$1756, ";", ", ")</f>
        <v>Array, Two Pointers, Dynamic Programming, Bit Manipulation, Bitmask, </v>
      </c>
      <c r="I1356" s="17" t="str">
        <f>Github!E$1756</f>
        <v>Hard</v>
      </c>
      <c r="J1356" s="17" t="str">
        <f>IF(TRIM(Github!D$1756)="TRUE","FALSE","TRUE")</f>
        <v>TRUE</v>
      </c>
      <c r="K1356" s="17" t="b">
        <f>Github!M$1756</f>
        <v>0</v>
      </c>
      <c r="L1356" s="17" t="b">
        <f>Github!N$1756</f>
        <v>0</v>
      </c>
      <c r="M1356" s="17" t="str">
        <f>ROUND(Github!O$1756, 2)&amp;"%"</f>
        <v>36.39%</v>
      </c>
      <c r="N1356" s="17">
        <f>Github!P$1756</f>
        <v>8243</v>
      </c>
      <c r="O1356" s="17">
        <f>Github!Q$1756</f>
        <v>22651</v>
      </c>
    </row>
    <row r="1357" ht="18.0" customHeight="1">
      <c r="A1357" s="17">
        <f>Github!J$1445</f>
        <v>1444</v>
      </c>
      <c r="B1357" s="27" t="str">
        <f>HYPERLINK(CONCAT("http://leetcode.com/problems/",Github!C$1445), Github!B$1445)</f>
        <v>Number of Ways of Cutting a Pizza</v>
      </c>
      <c r="C1357" s="17">
        <f>Github!F$1445</f>
        <v>421</v>
      </c>
      <c r="D1357" s="17">
        <f>Github!G$1445</f>
        <v>16</v>
      </c>
      <c r="E1357" s="17">
        <f>Github!F$1445+Github!G$1445</f>
        <v>437</v>
      </c>
      <c r="F1357" s="18">
        <f t="shared" si="1"/>
        <v>26.31</v>
      </c>
      <c r="G1357" s="17" t="str">
        <f>Github!H$1445</f>
        <v>Algorithms</v>
      </c>
      <c r="H1357" s="19" t="str">
        <f>SUBSTITUTE(Github!L$1445, ";", ", ")</f>
        <v>Array, Dynamic Programming, Memoization, Matrix, </v>
      </c>
      <c r="I1357" s="17" t="str">
        <f>Github!E$1445</f>
        <v>Hard</v>
      </c>
      <c r="J1357" s="17" t="str">
        <f>IF(TRIM(Github!D$1445)="TRUE","FALSE","TRUE")</f>
        <v>TRUE</v>
      </c>
      <c r="K1357" s="17" t="b">
        <f>Github!M$1445</f>
        <v>0</v>
      </c>
      <c r="L1357" s="17" t="b">
        <f>Github!N$1445</f>
        <v>0</v>
      </c>
      <c r="M1357" s="17" t="str">
        <f>ROUND(Github!O$1445, 2)&amp;"%"</f>
        <v>55.32%</v>
      </c>
      <c r="N1357" s="17">
        <f>Github!P$1445</f>
        <v>11299</v>
      </c>
      <c r="O1357" s="17">
        <f>Github!Q$1445</f>
        <v>20423</v>
      </c>
    </row>
    <row r="1358" ht="18.0" customHeight="1">
      <c r="A1358" s="17">
        <f>Github!J$1214</f>
        <v>1213</v>
      </c>
      <c r="B1358" s="27" t="str">
        <f>HYPERLINK(CONCAT("http://leetcode.com/problems/",Github!C$1214), Github!B$1214)</f>
        <v>Intersection of Three Sorted Arrays</v>
      </c>
      <c r="C1358" s="17">
        <f>Github!F$1214</f>
        <v>419</v>
      </c>
      <c r="D1358" s="17">
        <f>Github!G$1214</f>
        <v>22</v>
      </c>
      <c r="E1358" s="17">
        <f>Github!F$1214+Github!G$1214</f>
        <v>441</v>
      </c>
      <c r="F1358" s="18">
        <f t="shared" si="1"/>
        <v>19.05</v>
      </c>
      <c r="G1358" s="17" t="str">
        <f>Github!H$1214</f>
        <v>Algorithms</v>
      </c>
      <c r="H1358" s="19" t="str">
        <f>SUBSTITUTE(Github!L$1214, ";", ", ")</f>
        <v>Array, Hash Table, Binary Search, Counting, </v>
      </c>
      <c r="I1358" s="17" t="str">
        <f>Github!E$1214</f>
        <v>Easy</v>
      </c>
      <c r="J1358" s="17" t="str">
        <f>IF(TRIM(Github!D$1214)="TRUE","FALSE","TRUE")</f>
        <v>FALSE</v>
      </c>
      <c r="K1358" s="17" t="b">
        <f>Github!M$1214</f>
        <v>1</v>
      </c>
      <c r="L1358" s="17" t="b">
        <f>Github!N$1214</f>
        <v>0</v>
      </c>
      <c r="M1358" s="17" t="str">
        <f>ROUND(Github!O$1214, 2)&amp;"%"</f>
        <v>79.91%</v>
      </c>
      <c r="N1358" s="17">
        <f>Github!P$1214</f>
        <v>62848</v>
      </c>
      <c r="O1358" s="17">
        <f>Github!Q$1214</f>
        <v>78648</v>
      </c>
    </row>
    <row r="1359" ht="18.0" customHeight="1">
      <c r="A1359" s="17">
        <f>Github!J$1430</f>
        <v>1429</v>
      </c>
      <c r="B1359" s="27" t="str">
        <f>HYPERLINK(CONCAT("http://leetcode.com/problems/",Github!C$1430), Github!B$1430)</f>
        <v>First Unique Number</v>
      </c>
      <c r="C1359" s="17">
        <f>Github!F$1430</f>
        <v>419</v>
      </c>
      <c r="D1359" s="17">
        <f>Github!G$1430</f>
        <v>20</v>
      </c>
      <c r="E1359" s="17">
        <f>Github!F$1430+Github!G$1430</f>
        <v>439</v>
      </c>
      <c r="F1359" s="18">
        <f t="shared" si="1"/>
        <v>20.95</v>
      </c>
      <c r="G1359" s="17" t="str">
        <f>Github!H$1430</f>
        <v>Algorithms</v>
      </c>
      <c r="H1359" s="19" t="str">
        <f>SUBSTITUTE(Github!L$1430, ";", ", ")</f>
        <v>Array, Hash Table, Design, Queue, Data Stream, </v>
      </c>
      <c r="I1359" s="17" t="str">
        <f>Github!E$1430</f>
        <v>Medium</v>
      </c>
      <c r="J1359" s="17" t="str">
        <f>IF(TRIM(Github!D$1430)="TRUE","FALSE","TRUE")</f>
        <v>FALSE</v>
      </c>
      <c r="K1359" s="17" t="b">
        <f>Github!M$1430</f>
        <v>1</v>
      </c>
      <c r="L1359" s="17" t="b">
        <f>Github!N$1430</f>
        <v>0</v>
      </c>
      <c r="M1359" s="17" t="str">
        <f>ROUND(Github!O$1430, 2)&amp;"%"</f>
        <v>52.14%</v>
      </c>
      <c r="N1359" s="17">
        <f>Github!P$1430</f>
        <v>69656</v>
      </c>
      <c r="O1359" s="17">
        <f>Github!Q$1430</f>
        <v>133591</v>
      </c>
    </row>
    <row r="1360" ht="18.0" customHeight="1">
      <c r="A1360" s="17">
        <f>Github!J$1490</f>
        <v>1489</v>
      </c>
      <c r="B1360" s="27" t="str">
        <f>HYPERLINK(CONCAT("http://leetcode.com/problems/",Github!C$1490), Github!B$1490)</f>
        <v>Find Critical and Pseudo-Critical Edges in Minimum Spanning Tree</v>
      </c>
      <c r="C1360" s="17">
        <f>Github!F$1490</f>
        <v>420</v>
      </c>
      <c r="D1360" s="17">
        <f>Github!G$1490</f>
        <v>40</v>
      </c>
      <c r="E1360" s="17">
        <f>Github!F$1490+Github!G$1490</f>
        <v>460</v>
      </c>
      <c r="F1360" s="18">
        <f t="shared" si="1"/>
        <v>10.5</v>
      </c>
      <c r="G1360" s="17" t="str">
        <f>Github!H$1490</f>
        <v>Algorithms</v>
      </c>
      <c r="H1360" s="19" t="str">
        <f>SUBSTITUTE(Github!L$1490, ";", ", ")</f>
        <v>Union Find, Graph, Sorting, Minimum Spanning Tree, Strongly Connected Component, </v>
      </c>
      <c r="I1360" s="17" t="str">
        <f>Github!E$1490</f>
        <v>Hard</v>
      </c>
      <c r="J1360" s="17" t="str">
        <f>IF(TRIM(Github!D$1490)="TRUE","FALSE","TRUE")</f>
        <v>TRUE</v>
      </c>
      <c r="K1360" s="17" t="b">
        <f>Github!M$1490</f>
        <v>0</v>
      </c>
      <c r="L1360" s="17" t="b">
        <f>Github!N$1490</f>
        <v>0</v>
      </c>
      <c r="M1360" s="17" t="str">
        <f>ROUND(Github!O$1490, 2)&amp;"%"</f>
        <v>52.66%</v>
      </c>
      <c r="N1360" s="17">
        <f>Github!P$1490</f>
        <v>7267</v>
      </c>
      <c r="O1360" s="17">
        <f>Github!Q$1490</f>
        <v>13801</v>
      </c>
    </row>
    <row r="1361" ht="18.0" customHeight="1">
      <c r="A1361" s="17">
        <f>Github!J$1871</f>
        <v>1870</v>
      </c>
      <c r="B1361" s="27" t="str">
        <f>HYPERLINK(CONCAT("http://leetcode.com/problems/",Github!C$1871), Github!B$1871)</f>
        <v>Minimum Speed to Arrive on Time</v>
      </c>
      <c r="C1361" s="17">
        <f>Github!F$1871</f>
        <v>419</v>
      </c>
      <c r="D1361" s="17">
        <f>Github!G$1871</f>
        <v>73</v>
      </c>
      <c r="E1361" s="17">
        <f>Github!F$1871+Github!G$1871</f>
        <v>492</v>
      </c>
      <c r="F1361" s="18">
        <f t="shared" si="1"/>
        <v>5.74</v>
      </c>
      <c r="G1361" s="17" t="str">
        <f>Github!H$1871</f>
        <v>Algorithms</v>
      </c>
      <c r="H1361" s="19" t="str">
        <f>SUBSTITUTE(Github!L$1871, ";", ", ")</f>
        <v>Array, Binary Search, </v>
      </c>
      <c r="I1361" s="17" t="str">
        <f>Github!E$1871</f>
        <v>Medium</v>
      </c>
      <c r="J1361" s="17" t="str">
        <f>IF(TRIM(Github!D$1871)="TRUE","FALSE","TRUE")</f>
        <v>TRUE</v>
      </c>
      <c r="K1361" s="17" t="b">
        <f>Github!M$1871</f>
        <v>0</v>
      </c>
      <c r="L1361" s="17" t="b">
        <f>Github!N$1871</f>
        <v>0</v>
      </c>
      <c r="M1361" s="17" t="str">
        <f>ROUND(Github!O$1871, 2)&amp;"%"</f>
        <v>35.17%</v>
      </c>
      <c r="N1361" s="17">
        <f>Github!P$1871</f>
        <v>16609</v>
      </c>
      <c r="O1361" s="17">
        <f>Github!Q$1871</f>
        <v>47229</v>
      </c>
    </row>
    <row r="1362" ht="18.0" customHeight="1">
      <c r="A1362" s="17">
        <f>Github!J$435</f>
        <v>434</v>
      </c>
      <c r="B1362" s="27" t="str">
        <f>HYPERLINK(CONCAT("http://leetcode.com/problems/",Github!C$435), Github!B$435)</f>
        <v>Number of Segments in a String</v>
      </c>
      <c r="C1362" s="17">
        <f>Github!F$435</f>
        <v>418</v>
      </c>
      <c r="D1362" s="17">
        <f>Github!G$435</f>
        <v>986</v>
      </c>
      <c r="E1362" s="17">
        <f>Github!F$435+Github!G$435</f>
        <v>1404</v>
      </c>
      <c r="F1362" s="18">
        <f t="shared" si="1"/>
        <v>0.42</v>
      </c>
      <c r="G1362" s="17" t="str">
        <f>Github!H$435</f>
        <v>Algorithms</v>
      </c>
      <c r="H1362" s="19" t="str">
        <f>SUBSTITUTE(Github!L$435, ";", ", ")</f>
        <v>String, </v>
      </c>
      <c r="I1362" s="17" t="str">
        <f>Github!E$435</f>
        <v>Easy</v>
      </c>
      <c r="J1362" s="17" t="str">
        <f>IF(TRIM(Github!D$435)="TRUE","FALSE","TRUE")</f>
        <v>TRUE</v>
      </c>
      <c r="K1362" s="17" t="b">
        <f>Github!M$435</f>
        <v>1</v>
      </c>
      <c r="L1362" s="17" t="b">
        <f>Github!N$435</f>
        <v>0</v>
      </c>
      <c r="M1362" s="17" t="str">
        <f>ROUND(Github!O$435, 2)&amp;"%"</f>
        <v>37.91%</v>
      </c>
      <c r="N1362" s="17">
        <f>Github!P$435</f>
        <v>111909</v>
      </c>
      <c r="O1362" s="17">
        <f>Github!Q$435</f>
        <v>295192</v>
      </c>
    </row>
    <row r="1363" ht="18.0" customHeight="1">
      <c r="A1363" s="17">
        <f>Github!J$664</f>
        <v>663</v>
      </c>
      <c r="B1363" s="27" t="str">
        <f>HYPERLINK(CONCAT("http://leetcode.com/problems/",Github!C$664), Github!B$664)</f>
        <v>Equal Tree Partition</v>
      </c>
      <c r="C1363" s="17">
        <f>Github!F$664</f>
        <v>418</v>
      </c>
      <c r="D1363" s="17">
        <f>Github!G$664</f>
        <v>32</v>
      </c>
      <c r="E1363" s="17">
        <f>Github!F$664+Github!G$664</f>
        <v>450</v>
      </c>
      <c r="F1363" s="18">
        <f t="shared" si="1"/>
        <v>13.06</v>
      </c>
      <c r="G1363" s="17" t="str">
        <f>Github!H$664</f>
        <v>Algorithms</v>
      </c>
      <c r="H1363" s="19" t="str">
        <f>SUBSTITUTE(Github!L$664, ";", ", ")</f>
        <v>Tree, Depth-First Search, Binary Tree, </v>
      </c>
      <c r="I1363" s="17" t="str">
        <f>Github!E$664</f>
        <v>Medium</v>
      </c>
      <c r="J1363" s="17" t="str">
        <f>IF(TRIM(Github!D$664)="TRUE","FALSE","TRUE")</f>
        <v>FALSE</v>
      </c>
      <c r="K1363" s="17" t="b">
        <f>Github!M$664</f>
        <v>1</v>
      </c>
      <c r="L1363" s="17" t="b">
        <f>Github!N$664</f>
        <v>0</v>
      </c>
      <c r="M1363" s="17" t="str">
        <f>ROUND(Github!O$664, 2)&amp;"%"</f>
        <v>41.14%</v>
      </c>
      <c r="N1363" s="17">
        <f>Github!P$664</f>
        <v>26909</v>
      </c>
      <c r="O1363" s="17">
        <f>Github!Q$664</f>
        <v>65412</v>
      </c>
    </row>
    <row r="1364" ht="18.0" customHeight="1">
      <c r="A1364" s="17">
        <f>Github!J$2142</f>
        <v>2141</v>
      </c>
      <c r="B1364" s="27" t="str">
        <f>HYPERLINK(CONCAT("http://leetcode.com/problems/",Github!C$2142), Github!B$2142)</f>
        <v>Maximum Running Time of N Computers</v>
      </c>
      <c r="C1364" s="17">
        <f>Github!F$2142</f>
        <v>417</v>
      </c>
      <c r="D1364" s="17">
        <f>Github!G$2142</f>
        <v>10</v>
      </c>
      <c r="E1364" s="17">
        <f>Github!F$2142+Github!G$2142</f>
        <v>427</v>
      </c>
      <c r="F1364" s="18">
        <f t="shared" si="1"/>
        <v>41.7</v>
      </c>
      <c r="G1364" s="17" t="str">
        <f>Github!H$2142</f>
        <v>Algorithms</v>
      </c>
      <c r="H1364" s="19" t="str">
        <f>SUBSTITUTE(Github!L$2142, ";", ", ")</f>
        <v>Array, Binary Search, Greedy, Sorting, </v>
      </c>
      <c r="I1364" s="17" t="str">
        <f>Github!E$2142</f>
        <v>Hard</v>
      </c>
      <c r="J1364" s="17" t="str">
        <f>IF(TRIM(Github!D$2142)="TRUE","FALSE","TRUE")</f>
        <v>TRUE</v>
      </c>
      <c r="K1364" s="17" t="b">
        <f>Github!M$2142</f>
        <v>0</v>
      </c>
      <c r="L1364" s="17" t="b">
        <f>Github!N$2142</f>
        <v>0</v>
      </c>
      <c r="M1364" s="17" t="str">
        <f>ROUND(Github!O$2142, 2)&amp;"%"</f>
        <v>37.19%</v>
      </c>
      <c r="N1364" s="17">
        <f>Github!P$2142</f>
        <v>7443</v>
      </c>
      <c r="O1364" s="17">
        <f>Github!Q$2142</f>
        <v>20012</v>
      </c>
    </row>
    <row r="1365" ht="18.0" customHeight="1">
      <c r="A1365" s="17">
        <f>Github!J$1325</f>
        <v>1324</v>
      </c>
      <c r="B1365" s="27" t="str">
        <f>HYPERLINK(CONCAT("http://leetcode.com/problems/",Github!C$1325), Github!B$1325)</f>
        <v>Print Words Vertically</v>
      </c>
      <c r="C1365" s="17">
        <f>Github!F$1325</f>
        <v>416</v>
      </c>
      <c r="D1365" s="17">
        <f>Github!G$1325</f>
        <v>87</v>
      </c>
      <c r="E1365" s="17">
        <f>Github!F$1325+Github!G$1325</f>
        <v>503</v>
      </c>
      <c r="F1365" s="18">
        <f t="shared" si="1"/>
        <v>4.78</v>
      </c>
      <c r="G1365" s="17" t="str">
        <f>Github!H$1325</f>
        <v>Algorithms</v>
      </c>
      <c r="H1365" s="19" t="str">
        <f>SUBSTITUTE(Github!L$1325, ";", ", ")</f>
        <v>Array, String, Simulation, </v>
      </c>
      <c r="I1365" s="17" t="str">
        <f>Github!E$1325</f>
        <v>Medium</v>
      </c>
      <c r="J1365" s="17" t="str">
        <f>IF(TRIM(Github!D$1325)="TRUE","FALSE","TRUE")</f>
        <v>TRUE</v>
      </c>
      <c r="K1365" s="17" t="b">
        <f>Github!M$1325</f>
        <v>0</v>
      </c>
      <c r="L1365" s="17" t="b">
        <f>Github!N$1325</f>
        <v>0</v>
      </c>
      <c r="M1365" s="17" t="str">
        <f>ROUND(Github!O$1325, 2)&amp;"%"</f>
        <v>59.44%</v>
      </c>
      <c r="N1365" s="17">
        <f>Github!P$1325</f>
        <v>25248</v>
      </c>
      <c r="O1365" s="17">
        <f>Github!Q$1325</f>
        <v>42479</v>
      </c>
    </row>
    <row r="1366" ht="18.0" customHeight="1">
      <c r="A1366" s="17">
        <f>Github!J$1675</f>
        <v>1674</v>
      </c>
      <c r="B1366" s="27" t="str">
        <f>HYPERLINK(CONCAT("http://leetcode.com/problems/",Github!C$1675), Github!B$1675)</f>
        <v>Minimum Moves to Make Array Complementary</v>
      </c>
      <c r="C1366" s="17">
        <f>Github!F$1675</f>
        <v>416</v>
      </c>
      <c r="D1366" s="17">
        <f>Github!G$1675</f>
        <v>52</v>
      </c>
      <c r="E1366" s="17">
        <f>Github!F$1675+Github!G$1675</f>
        <v>468</v>
      </c>
      <c r="F1366" s="18">
        <f t="shared" si="1"/>
        <v>8</v>
      </c>
      <c r="G1366" s="17" t="str">
        <f>Github!H$1675</f>
        <v>Algorithms</v>
      </c>
      <c r="H1366" s="19" t="str">
        <f>SUBSTITUTE(Github!L$1675, ";", ", ")</f>
        <v>Array, Hash Table, Prefix Sum, </v>
      </c>
      <c r="I1366" s="17" t="str">
        <f>Github!E$1675</f>
        <v>Medium</v>
      </c>
      <c r="J1366" s="17" t="str">
        <f>IF(TRIM(Github!D$1675)="TRUE","FALSE","TRUE")</f>
        <v>TRUE</v>
      </c>
      <c r="K1366" s="17" t="b">
        <f>Github!M$1675</f>
        <v>0</v>
      </c>
      <c r="L1366" s="17" t="b">
        <f>Github!N$1675</f>
        <v>0</v>
      </c>
      <c r="M1366" s="17" t="str">
        <f>ROUND(Github!O$1675, 2)&amp;"%"</f>
        <v>37.35%</v>
      </c>
      <c r="N1366" s="17">
        <f>Github!P$1675</f>
        <v>5662</v>
      </c>
      <c r="O1366" s="17">
        <f>Github!Q$1675</f>
        <v>15161</v>
      </c>
    </row>
    <row r="1367" ht="18.0" customHeight="1">
      <c r="A1367" s="17">
        <f>Github!J$1537</f>
        <v>1536</v>
      </c>
      <c r="B1367" s="27" t="str">
        <f>HYPERLINK(CONCAT("http://leetcode.com/problems/",Github!C$1537), Github!B$1537)</f>
        <v>Minimum Swaps to Arrange a Binary Grid</v>
      </c>
      <c r="C1367" s="17">
        <f>Github!F$1537</f>
        <v>415</v>
      </c>
      <c r="D1367" s="17">
        <f>Github!G$1537</f>
        <v>59</v>
      </c>
      <c r="E1367" s="17">
        <f>Github!F$1537+Github!G$1537</f>
        <v>474</v>
      </c>
      <c r="F1367" s="18">
        <f t="shared" si="1"/>
        <v>7.03</v>
      </c>
      <c r="G1367" s="17" t="str">
        <f>Github!H$1537</f>
        <v>Algorithms</v>
      </c>
      <c r="H1367" s="19" t="str">
        <f>SUBSTITUTE(Github!L$1537, ";", ", ")</f>
        <v>Array, Greedy, Matrix, </v>
      </c>
      <c r="I1367" s="17" t="str">
        <f>Github!E$1537</f>
        <v>Medium</v>
      </c>
      <c r="J1367" s="17" t="str">
        <f>IF(TRIM(Github!D$1537)="TRUE","FALSE","TRUE")</f>
        <v>TRUE</v>
      </c>
      <c r="K1367" s="17" t="b">
        <f>Github!M$1537</f>
        <v>0</v>
      </c>
      <c r="L1367" s="17" t="b">
        <f>Github!N$1537</f>
        <v>0</v>
      </c>
      <c r="M1367" s="17" t="str">
        <f>ROUND(Github!O$1537, 2)&amp;"%"</f>
        <v>45.6%</v>
      </c>
      <c r="N1367" s="17">
        <f>Github!P$1537</f>
        <v>10969</v>
      </c>
      <c r="O1367" s="17">
        <f>Github!Q$1537</f>
        <v>24056</v>
      </c>
    </row>
    <row r="1368" ht="18.0" customHeight="1">
      <c r="A1368" s="17">
        <f>Github!J$1180</f>
        <v>1179</v>
      </c>
      <c r="B1368" s="27" t="str">
        <f>HYPERLINK(CONCAT("http://leetcode.com/problems/",Github!C$1180), Github!B$1180)</f>
        <v>Reformat Department Table</v>
      </c>
      <c r="C1368" s="17">
        <f>Github!F$1180</f>
        <v>414</v>
      </c>
      <c r="D1368" s="17">
        <f>Github!G$1180</f>
        <v>307</v>
      </c>
      <c r="E1368" s="17">
        <f>Github!F$1180+Github!G$1180</f>
        <v>721</v>
      </c>
      <c r="F1368" s="18">
        <f t="shared" si="1"/>
        <v>1.35</v>
      </c>
      <c r="G1368" s="17" t="str">
        <f>Github!H$1180</f>
        <v>Database</v>
      </c>
      <c r="H1368" s="19" t="str">
        <f>SUBSTITUTE(Github!L$1180, ";", ", ")</f>
        <v>Database, </v>
      </c>
      <c r="I1368" s="17" t="str">
        <f>Github!E$1180</f>
        <v>Easy</v>
      </c>
      <c r="J1368" s="17" t="str">
        <f>IF(TRIM(Github!D$1180)="TRUE","FALSE","TRUE")</f>
        <v>TRUE</v>
      </c>
      <c r="K1368" s="17" t="b">
        <f>Github!M$1180</f>
        <v>0</v>
      </c>
      <c r="L1368" s="17" t="b">
        <f>Github!N$1180</f>
        <v>0</v>
      </c>
      <c r="M1368" s="17" t="str">
        <f>ROUND(Github!O$1180, 2)&amp;"%"</f>
        <v>82.28%</v>
      </c>
      <c r="N1368" s="17">
        <f>Github!P$1180</f>
        <v>66060</v>
      </c>
      <c r="O1368" s="17">
        <f>Github!Q$1180</f>
        <v>80289</v>
      </c>
    </row>
    <row r="1369" ht="18.0" customHeight="1">
      <c r="A1369" s="17">
        <f>Github!J$1858</f>
        <v>1857</v>
      </c>
      <c r="B1369" s="27" t="str">
        <f>HYPERLINK(CONCAT("http://leetcode.com/problems/",Github!C$1858), Github!B$1858)</f>
        <v>Largest Color Value in a Directed Graph</v>
      </c>
      <c r="C1369" s="17">
        <f>Github!F$1858</f>
        <v>415</v>
      </c>
      <c r="D1369" s="17">
        <f>Github!G$1858</f>
        <v>15</v>
      </c>
      <c r="E1369" s="17">
        <f>Github!F$1858+Github!G$1858</f>
        <v>430</v>
      </c>
      <c r="F1369" s="18">
        <f t="shared" si="1"/>
        <v>27.67</v>
      </c>
      <c r="G1369" s="17" t="str">
        <f>Github!H$1858</f>
        <v>Algorithms</v>
      </c>
      <c r="H1369" s="19" t="str">
        <f>SUBSTITUTE(Github!L$1858, ";", ", ")</f>
        <v>Hash Table, Dynamic Programming, Graph, Topological Sort, Memoization, Counting, </v>
      </c>
      <c r="I1369" s="17" t="str">
        <f>Github!E$1858</f>
        <v>Hard</v>
      </c>
      <c r="J1369" s="17" t="str">
        <f>IF(TRIM(Github!D$1858)="TRUE","FALSE","TRUE")</f>
        <v>TRUE</v>
      </c>
      <c r="K1369" s="17" t="b">
        <f>Github!M$1858</f>
        <v>0</v>
      </c>
      <c r="L1369" s="17" t="b">
        <f>Github!N$1858</f>
        <v>0</v>
      </c>
      <c r="M1369" s="17" t="str">
        <f>ROUND(Github!O$1858, 2)&amp;"%"</f>
        <v>39.63%</v>
      </c>
      <c r="N1369" s="17">
        <f>Github!P$1858</f>
        <v>10358</v>
      </c>
      <c r="O1369" s="17">
        <f>Github!Q$1858</f>
        <v>26136</v>
      </c>
    </row>
    <row r="1370" ht="18.0" customHeight="1">
      <c r="A1370" s="17">
        <f>Github!J$2172</f>
        <v>2171</v>
      </c>
      <c r="B1370" s="27" t="str">
        <f>HYPERLINK(CONCAT("http://leetcode.com/problems/",Github!C$2172), Github!B$2172)</f>
        <v>Removing Minimum Number of Magic Beans</v>
      </c>
      <c r="C1370" s="17">
        <f>Github!F$2172</f>
        <v>416</v>
      </c>
      <c r="D1370" s="17">
        <f>Github!G$2172</f>
        <v>26</v>
      </c>
      <c r="E1370" s="17">
        <f>Github!F$2172+Github!G$2172</f>
        <v>442</v>
      </c>
      <c r="F1370" s="18">
        <f t="shared" si="1"/>
        <v>16</v>
      </c>
      <c r="G1370" s="17" t="str">
        <f>Github!H$2172</f>
        <v>Algorithms</v>
      </c>
      <c r="H1370" s="19" t="str">
        <f>SUBSTITUTE(Github!L$2172, ";", ", ")</f>
        <v>Array, Sorting, Prefix Sum, </v>
      </c>
      <c r="I1370" s="17" t="str">
        <f>Github!E$2172</f>
        <v>Medium</v>
      </c>
      <c r="J1370" s="17" t="str">
        <f>IF(TRIM(Github!D$2172)="TRUE","FALSE","TRUE")</f>
        <v>TRUE</v>
      </c>
      <c r="K1370" s="17" t="b">
        <f>Github!M$2172</f>
        <v>0</v>
      </c>
      <c r="L1370" s="17" t="b">
        <f>Github!N$2172</f>
        <v>0</v>
      </c>
      <c r="M1370" s="17" t="str">
        <f>ROUND(Github!O$2172, 2)&amp;"%"</f>
        <v>40.69%</v>
      </c>
      <c r="N1370" s="17">
        <f>Github!P$2172</f>
        <v>13028</v>
      </c>
      <c r="O1370" s="17">
        <f>Github!Q$2172</f>
        <v>32018</v>
      </c>
    </row>
    <row r="1371" ht="18.0" customHeight="1">
      <c r="A1371" s="17">
        <f>Github!J$961</f>
        <v>960</v>
      </c>
      <c r="B1371" s="27" t="str">
        <f>HYPERLINK(CONCAT("http://leetcode.com/problems/",Github!C$961), Github!B$961)</f>
        <v>Delete Columns to Make Sorted III</v>
      </c>
      <c r="C1371" s="17">
        <f>Github!F$961</f>
        <v>413</v>
      </c>
      <c r="D1371" s="17">
        <f>Github!G$961</f>
        <v>11</v>
      </c>
      <c r="E1371" s="17">
        <f>Github!F$961+Github!G$961</f>
        <v>424</v>
      </c>
      <c r="F1371" s="18">
        <f t="shared" si="1"/>
        <v>37.55</v>
      </c>
      <c r="G1371" s="17" t="str">
        <f>Github!H$961</f>
        <v>Algorithms</v>
      </c>
      <c r="H1371" s="19" t="str">
        <f>SUBSTITUTE(Github!L$961, ";", ", ")</f>
        <v>Array, String, Dynamic Programming, </v>
      </c>
      <c r="I1371" s="17" t="str">
        <f>Github!E$961</f>
        <v>Hard</v>
      </c>
      <c r="J1371" s="17" t="str">
        <f>IF(TRIM(Github!D$961)="TRUE","FALSE","TRUE")</f>
        <v>TRUE</v>
      </c>
      <c r="K1371" s="17" t="b">
        <f>Github!M$961</f>
        <v>1</v>
      </c>
      <c r="L1371" s="17" t="b">
        <f>Github!N$961</f>
        <v>0</v>
      </c>
      <c r="M1371" s="17" t="str">
        <f>ROUND(Github!O$961, 2)&amp;"%"</f>
        <v>56.45%</v>
      </c>
      <c r="N1371" s="17">
        <f>Github!P$961</f>
        <v>9989</v>
      </c>
      <c r="O1371" s="17">
        <f>Github!Q$961</f>
        <v>17696</v>
      </c>
    </row>
    <row r="1372" ht="18.0" customHeight="1">
      <c r="A1372" s="17">
        <f>Github!J$650</f>
        <v>649</v>
      </c>
      <c r="B1372" s="27" t="str">
        <f>HYPERLINK(CONCAT("http://leetcode.com/problems/",Github!C$650), Github!B$650)</f>
        <v>Dota2 Senate</v>
      </c>
      <c r="C1372" s="17">
        <f>Github!F$650</f>
        <v>412</v>
      </c>
      <c r="D1372" s="17">
        <f>Github!G$650</f>
        <v>299</v>
      </c>
      <c r="E1372" s="17">
        <f>Github!F$650+Github!G$650</f>
        <v>711</v>
      </c>
      <c r="F1372" s="18">
        <f t="shared" si="1"/>
        <v>1.38</v>
      </c>
      <c r="G1372" s="17" t="str">
        <f>Github!H$650</f>
        <v>Algorithms</v>
      </c>
      <c r="H1372" s="19" t="str">
        <f>SUBSTITUTE(Github!L$650, ";", ", ")</f>
        <v>String, Greedy, Queue, </v>
      </c>
      <c r="I1372" s="17" t="str">
        <f>Github!E$650</f>
        <v>Medium</v>
      </c>
      <c r="J1372" s="17" t="str">
        <f>IF(TRIM(Github!D$650)="TRUE","FALSE","TRUE")</f>
        <v>TRUE</v>
      </c>
      <c r="K1372" s="17" t="b">
        <f>Github!M$650</f>
        <v>0</v>
      </c>
      <c r="L1372" s="17" t="b">
        <f>Github!N$650</f>
        <v>0</v>
      </c>
      <c r="M1372" s="17" t="str">
        <f>ROUND(Github!O$650, 2)&amp;"%"</f>
        <v>39.87%</v>
      </c>
      <c r="N1372" s="17">
        <f>Github!P$650</f>
        <v>18435</v>
      </c>
      <c r="O1372" s="17">
        <f>Github!Q$650</f>
        <v>46236</v>
      </c>
    </row>
    <row r="1373" ht="18.0" customHeight="1">
      <c r="A1373" s="17">
        <f>Github!J$869</f>
        <v>868</v>
      </c>
      <c r="B1373" s="27" t="str">
        <f>HYPERLINK(CONCAT("http://leetcode.com/problems/",Github!C$869), Github!B$869)</f>
        <v>Binary Gap</v>
      </c>
      <c r="C1373" s="17">
        <f>Github!F$869</f>
        <v>412</v>
      </c>
      <c r="D1373" s="17">
        <f>Github!G$869</f>
        <v>588</v>
      </c>
      <c r="E1373" s="17">
        <f>Github!F$869+Github!G$869</f>
        <v>1000</v>
      </c>
      <c r="F1373" s="18">
        <f t="shared" si="1"/>
        <v>0.7</v>
      </c>
      <c r="G1373" s="17" t="str">
        <f>Github!H$869</f>
        <v>Algorithms</v>
      </c>
      <c r="H1373" s="19" t="str">
        <f>SUBSTITUTE(Github!L$869, ";", ", ")</f>
        <v>Math, Bit Manipulation, </v>
      </c>
      <c r="I1373" s="17" t="str">
        <f>Github!E$869</f>
        <v>Easy</v>
      </c>
      <c r="J1373" s="17" t="str">
        <f>IF(TRIM(Github!D$869)="TRUE","FALSE","TRUE")</f>
        <v>TRUE</v>
      </c>
      <c r="K1373" s="17" t="b">
        <f>Github!M$869</f>
        <v>1</v>
      </c>
      <c r="L1373" s="17" t="b">
        <f>Github!N$869</f>
        <v>0</v>
      </c>
      <c r="M1373" s="17" t="str">
        <f>ROUND(Github!O$869, 2)&amp;"%"</f>
        <v>61.69%</v>
      </c>
      <c r="N1373" s="17">
        <f>Github!P$869</f>
        <v>56845</v>
      </c>
      <c r="O1373" s="17">
        <f>Github!Q$869</f>
        <v>92140</v>
      </c>
    </row>
    <row r="1374" ht="18.0" customHeight="1">
      <c r="A1374" s="17">
        <f>Github!J$1717</f>
        <v>1716</v>
      </c>
      <c r="B1374" s="27" t="str">
        <f>HYPERLINK(CONCAT("http://leetcode.com/problems/",Github!C$1717), Github!B$1717)</f>
        <v>Calculate Money in Leetcode Bank</v>
      </c>
      <c r="C1374" s="17">
        <f>Github!F$1717</f>
        <v>412</v>
      </c>
      <c r="D1374" s="17">
        <f>Github!G$1717</f>
        <v>14</v>
      </c>
      <c r="E1374" s="17">
        <f>Github!F$1717+Github!G$1717</f>
        <v>426</v>
      </c>
      <c r="F1374" s="18">
        <f t="shared" si="1"/>
        <v>29.43</v>
      </c>
      <c r="G1374" s="17" t="str">
        <f>Github!H$1717</f>
        <v>Algorithms</v>
      </c>
      <c r="H1374" s="19" t="str">
        <f>SUBSTITUTE(Github!L$1717, ";", ", ")</f>
        <v>Math, </v>
      </c>
      <c r="I1374" s="17" t="str">
        <f>Github!E$1717</f>
        <v>Easy</v>
      </c>
      <c r="J1374" s="17" t="str">
        <f>IF(TRIM(Github!D$1717)="TRUE","FALSE","TRUE")</f>
        <v>TRUE</v>
      </c>
      <c r="K1374" s="17" t="b">
        <f>Github!M$1717</f>
        <v>0</v>
      </c>
      <c r="L1374" s="17" t="b">
        <f>Github!N$1717</f>
        <v>0</v>
      </c>
      <c r="M1374" s="17" t="str">
        <f>ROUND(Github!O$1717, 2)&amp;"%"</f>
        <v>64.85%</v>
      </c>
      <c r="N1374" s="17">
        <f>Github!P$1717</f>
        <v>28295</v>
      </c>
      <c r="O1374" s="17">
        <f>Github!Q$1717</f>
        <v>43631</v>
      </c>
    </row>
    <row r="1375" ht="18.0" customHeight="1">
      <c r="A1375" s="17">
        <f>Github!J$2012</f>
        <v>2011</v>
      </c>
      <c r="B1375" s="27" t="str">
        <f>HYPERLINK(CONCAT("http://leetcode.com/problems/",Github!C$2012), Github!B$2012)</f>
        <v>Final Value of Variable After Performing Operations</v>
      </c>
      <c r="C1375" s="17">
        <f>Github!F$2012</f>
        <v>411</v>
      </c>
      <c r="D1375" s="17">
        <f>Github!G$2012</f>
        <v>82</v>
      </c>
      <c r="E1375" s="17">
        <f>Github!F$2012+Github!G$2012</f>
        <v>493</v>
      </c>
      <c r="F1375" s="18">
        <f t="shared" si="1"/>
        <v>5.01</v>
      </c>
      <c r="G1375" s="17" t="str">
        <f>Github!H$2012</f>
        <v>Algorithms</v>
      </c>
      <c r="H1375" s="19" t="str">
        <f>SUBSTITUTE(Github!L$2012, ";", ", ")</f>
        <v>Array, String, Simulation, </v>
      </c>
      <c r="I1375" s="17" t="str">
        <f>Github!E$2012</f>
        <v>Easy</v>
      </c>
      <c r="J1375" s="17" t="str">
        <f>IF(TRIM(Github!D$2012)="TRUE","FALSE","TRUE")</f>
        <v>TRUE</v>
      </c>
      <c r="K1375" s="17" t="b">
        <f>Github!M$2012</f>
        <v>0</v>
      </c>
      <c r="L1375" s="17" t="b">
        <f>Github!N$2012</f>
        <v>0</v>
      </c>
      <c r="M1375" s="17" t="str">
        <f>ROUND(Github!O$2012, 2)&amp;"%"</f>
        <v>89.24%</v>
      </c>
      <c r="N1375" s="17">
        <f>Github!P$2012</f>
        <v>81417</v>
      </c>
      <c r="O1375" s="17">
        <f>Github!Q$2012</f>
        <v>91227</v>
      </c>
    </row>
    <row r="1376" ht="18.0" customHeight="1">
      <c r="A1376" s="17">
        <f>Github!J$1266</f>
        <v>1265</v>
      </c>
      <c r="B1376" s="27" t="str">
        <f>HYPERLINK(CONCAT("http://leetcode.com/problems/",Github!C$1266), Github!B$1266)</f>
        <v>Print Immutable Linked List in Reverse</v>
      </c>
      <c r="C1376" s="17">
        <f>Github!F$1266</f>
        <v>410</v>
      </c>
      <c r="D1376" s="17">
        <f>Github!G$1266</f>
        <v>73</v>
      </c>
      <c r="E1376" s="17">
        <f>Github!F$1266+Github!G$1266</f>
        <v>483</v>
      </c>
      <c r="F1376" s="18">
        <f t="shared" si="1"/>
        <v>5.62</v>
      </c>
      <c r="G1376" s="17" t="str">
        <f>Github!H$1266</f>
        <v>Algorithms</v>
      </c>
      <c r="H1376" s="19" t="str">
        <f>SUBSTITUTE(Github!L$1266, ";", ", ")</f>
        <v>Linked List, Two Pointers, Stack, Recursion, </v>
      </c>
      <c r="I1376" s="17" t="str">
        <f>Github!E$1266</f>
        <v>Medium</v>
      </c>
      <c r="J1376" s="17" t="str">
        <f>IF(TRIM(Github!D$1266)="TRUE","FALSE","TRUE")</f>
        <v>FALSE</v>
      </c>
      <c r="K1376" s="17" t="b">
        <f>Github!M$1266</f>
        <v>0</v>
      </c>
      <c r="L1376" s="17" t="b">
        <f>Github!N$1266</f>
        <v>0</v>
      </c>
      <c r="M1376" s="17" t="str">
        <f>ROUND(Github!O$1266, 2)&amp;"%"</f>
        <v>94.28%</v>
      </c>
      <c r="N1376" s="17">
        <f>Github!P$1266</f>
        <v>38176</v>
      </c>
      <c r="O1376" s="17">
        <f>Github!Q$1266</f>
        <v>40493</v>
      </c>
    </row>
    <row r="1377" ht="18.0" customHeight="1">
      <c r="A1377" s="17">
        <f>Github!J$1583</f>
        <v>1582</v>
      </c>
      <c r="B1377" s="27" t="str">
        <f>HYPERLINK(CONCAT("http://leetcode.com/problems/",Github!C$1583), Github!B$1583)</f>
        <v>Special Positions in a Binary Matrix</v>
      </c>
      <c r="C1377" s="17">
        <f>Github!F$1583</f>
        <v>410</v>
      </c>
      <c r="D1377" s="17">
        <f>Github!G$1583</f>
        <v>17</v>
      </c>
      <c r="E1377" s="17">
        <f>Github!F$1583+Github!G$1583</f>
        <v>427</v>
      </c>
      <c r="F1377" s="18">
        <f t="shared" si="1"/>
        <v>24.12</v>
      </c>
      <c r="G1377" s="17" t="str">
        <f>Github!H$1583</f>
        <v>Algorithms</v>
      </c>
      <c r="H1377" s="19" t="str">
        <f>SUBSTITUTE(Github!L$1583, ";", ", ")</f>
        <v>Array, Matrix, </v>
      </c>
      <c r="I1377" s="17" t="str">
        <f>Github!E$1583</f>
        <v>Easy</v>
      </c>
      <c r="J1377" s="17" t="str">
        <f>IF(TRIM(Github!D$1583)="TRUE","FALSE","TRUE")</f>
        <v>TRUE</v>
      </c>
      <c r="K1377" s="17" t="b">
        <f>Github!M$1583</f>
        <v>0</v>
      </c>
      <c r="L1377" s="17" t="b">
        <f>Github!N$1583</f>
        <v>0</v>
      </c>
      <c r="M1377" s="17" t="str">
        <f>ROUND(Github!O$1583, 2)&amp;"%"</f>
        <v>64.96%</v>
      </c>
      <c r="N1377" s="17">
        <f>Github!P$1583</f>
        <v>29918</v>
      </c>
      <c r="O1377" s="17">
        <f>Github!Q$1583</f>
        <v>46054</v>
      </c>
    </row>
    <row r="1378" ht="18.0" customHeight="1">
      <c r="A1378" s="17">
        <f>Github!J$636</f>
        <v>635</v>
      </c>
      <c r="B1378" s="27" t="str">
        <f>HYPERLINK(CONCAT("http://leetcode.com/problems/",Github!C$636), Github!B$636)</f>
        <v>Design Log Storage System</v>
      </c>
      <c r="C1378" s="17">
        <f>Github!F$636</f>
        <v>408</v>
      </c>
      <c r="D1378" s="17">
        <f>Github!G$636</f>
        <v>168</v>
      </c>
      <c r="E1378" s="17">
        <f>Github!F$636+Github!G$636</f>
        <v>576</v>
      </c>
      <c r="F1378" s="18">
        <f t="shared" si="1"/>
        <v>2.43</v>
      </c>
      <c r="G1378" s="17" t="str">
        <f>Github!H$636</f>
        <v>Algorithms</v>
      </c>
      <c r="H1378" s="19" t="str">
        <f>SUBSTITUTE(Github!L$636, ";", ", ")</f>
        <v>Hash Table, String, Design, Ordered Set, </v>
      </c>
      <c r="I1378" s="17" t="str">
        <f>Github!E$636</f>
        <v>Medium</v>
      </c>
      <c r="J1378" s="17" t="str">
        <f>IF(TRIM(Github!D$636)="TRUE","FALSE","TRUE")</f>
        <v>FALSE</v>
      </c>
      <c r="K1378" s="17" t="b">
        <f>Github!M$636</f>
        <v>1</v>
      </c>
      <c r="L1378" s="17" t="b">
        <f>Github!N$636</f>
        <v>0</v>
      </c>
      <c r="M1378" s="17" t="str">
        <f>ROUND(Github!O$636, 2)&amp;"%"</f>
        <v>62.18%</v>
      </c>
      <c r="N1378" s="17">
        <f>Github!P$636</f>
        <v>29252</v>
      </c>
      <c r="O1378" s="17">
        <f>Github!Q$636</f>
        <v>47042</v>
      </c>
    </row>
    <row r="1379" ht="18.0" customHeight="1">
      <c r="A1379" s="17">
        <f>Github!J$597</f>
        <v>596</v>
      </c>
      <c r="B1379" s="27" t="str">
        <f>HYPERLINK(CONCAT("http://leetcode.com/problems/",Github!C$597), Github!B$597)</f>
        <v>Classes More Than 5 Students</v>
      </c>
      <c r="C1379" s="17">
        <f>Github!F$597</f>
        <v>407</v>
      </c>
      <c r="D1379" s="17">
        <f>Github!G$597</f>
        <v>900</v>
      </c>
      <c r="E1379" s="17">
        <f>Github!F$597+Github!G$597</f>
        <v>1307</v>
      </c>
      <c r="F1379" s="18">
        <f t="shared" si="1"/>
        <v>0.45</v>
      </c>
      <c r="G1379" s="17" t="str">
        <f>Github!H$597</f>
        <v>Database</v>
      </c>
      <c r="H1379" s="19" t="str">
        <f>SUBSTITUTE(Github!L$597, ";", ", ")</f>
        <v>Database, </v>
      </c>
      <c r="I1379" s="17" t="str">
        <f>Github!E$597</f>
        <v>Easy</v>
      </c>
      <c r="J1379" s="17" t="str">
        <f>IF(TRIM(Github!D$597)="TRUE","FALSE","TRUE")</f>
        <v>TRUE</v>
      </c>
      <c r="K1379" s="17" t="b">
        <f>Github!M$597</f>
        <v>1</v>
      </c>
      <c r="L1379" s="17" t="b">
        <f>Github!N$597</f>
        <v>0</v>
      </c>
      <c r="M1379" s="17" t="str">
        <f>ROUND(Github!O$597, 2)&amp;"%"</f>
        <v>41.73%</v>
      </c>
      <c r="N1379" s="17">
        <f>Github!P$597</f>
        <v>150332</v>
      </c>
      <c r="O1379" s="17">
        <f>Github!Q$597</f>
        <v>360265</v>
      </c>
    </row>
    <row r="1380" ht="18.0" customHeight="1">
      <c r="A1380" s="17">
        <f>Github!J$1929</f>
        <v>1928</v>
      </c>
      <c r="B1380" s="27" t="str">
        <f>HYPERLINK(CONCAT("http://leetcode.com/problems/",Github!C$1929), Github!B$1929)</f>
        <v>Minimum Cost to Reach Destination in Time</v>
      </c>
      <c r="C1380" s="17">
        <f>Github!F$1929</f>
        <v>407</v>
      </c>
      <c r="D1380" s="17">
        <f>Github!G$1929</f>
        <v>6</v>
      </c>
      <c r="E1380" s="17">
        <f>Github!F$1929+Github!G$1929</f>
        <v>413</v>
      </c>
      <c r="F1380" s="18">
        <f t="shared" si="1"/>
        <v>67.83</v>
      </c>
      <c r="G1380" s="17" t="str">
        <f>Github!H$1929</f>
        <v>Algorithms</v>
      </c>
      <c r="H1380" s="19" t="str">
        <f>SUBSTITUTE(Github!L$1929, ";", ", ")</f>
        <v>Dynamic Programming, Graph, </v>
      </c>
      <c r="I1380" s="17" t="str">
        <f>Github!E$1929</f>
        <v>Hard</v>
      </c>
      <c r="J1380" s="17" t="str">
        <f>IF(TRIM(Github!D$1929)="TRUE","FALSE","TRUE")</f>
        <v>TRUE</v>
      </c>
      <c r="K1380" s="17" t="b">
        <f>Github!M$1929</f>
        <v>0</v>
      </c>
      <c r="L1380" s="17" t="b">
        <f>Github!N$1929</f>
        <v>0</v>
      </c>
      <c r="M1380" s="17" t="str">
        <f>ROUND(Github!O$1929, 2)&amp;"%"</f>
        <v>37.14%</v>
      </c>
      <c r="N1380" s="17">
        <f>Github!P$1929</f>
        <v>9253</v>
      </c>
      <c r="O1380" s="17">
        <f>Github!Q$1929</f>
        <v>24915</v>
      </c>
    </row>
    <row r="1381" ht="18.0" customHeight="1">
      <c r="A1381" s="17">
        <f>Github!J$2018</f>
        <v>2017</v>
      </c>
      <c r="B1381" s="27" t="str">
        <f>HYPERLINK(CONCAT("http://leetcode.com/problems/",Github!C$2018), Github!B$2018)</f>
        <v>Grid Game</v>
      </c>
      <c r="C1381" s="17">
        <f>Github!F$2018</f>
        <v>408</v>
      </c>
      <c r="D1381" s="17">
        <f>Github!G$2018</f>
        <v>10</v>
      </c>
      <c r="E1381" s="17">
        <f>Github!F$2018+Github!G$2018</f>
        <v>418</v>
      </c>
      <c r="F1381" s="18">
        <f t="shared" si="1"/>
        <v>40.8</v>
      </c>
      <c r="G1381" s="17" t="str">
        <f>Github!H$2018</f>
        <v>Algorithms</v>
      </c>
      <c r="H1381" s="19" t="str">
        <f>SUBSTITUTE(Github!L$2018, ";", ", ")</f>
        <v>Array, Matrix, Prefix Sum, </v>
      </c>
      <c r="I1381" s="17" t="str">
        <f>Github!E$2018</f>
        <v>Medium</v>
      </c>
      <c r="J1381" s="17" t="str">
        <f>IF(TRIM(Github!D$2018)="TRUE","FALSE","TRUE")</f>
        <v>TRUE</v>
      </c>
      <c r="K1381" s="17" t="b">
        <f>Github!M$2018</f>
        <v>0</v>
      </c>
      <c r="L1381" s="17" t="b">
        <f>Github!N$2018</f>
        <v>0</v>
      </c>
      <c r="M1381" s="17" t="str">
        <f>ROUND(Github!O$2018, 2)&amp;"%"</f>
        <v>41.36%</v>
      </c>
      <c r="N1381" s="17">
        <f>Github!P$2018</f>
        <v>9747</v>
      </c>
      <c r="O1381" s="17">
        <f>Github!Q$2018</f>
        <v>23568</v>
      </c>
    </row>
    <row r="1382" ht="18.0" customHeight="1">
      <c r="A1382" s="17">
        <f>Github!J$1319</f>
        <v>1318</v>
      </c>
      <c r="B1382" s="27" t="str">
        <f>HYPERLINK(CONCAT("http://leetcode.com/problems/",Github!C$1319), Github!B$1319)</f>
        <v>Minimum Flips to Make a OR b Equal to c</v>
      </c>
      <c r="C1382" s="17">
        <f>Github!F$1319</f>
        <v>406</v>
      </c>
      <c r="D1382" s="17">
        <f>Github!G$1319</f>
        <v>35</v>
      </c>
      <c r="E1382" s="17">
        <f>Github!F$1319+Github!G$1319</f>
        <v>441</v>
      </c>
      <c r="F1382" s="18">
        <f t="shared" si="1"/>
        <v>11.6</v>
      </c>
      <c r="G1382" s="17" t="str">
        <f>Github!H$1319</f>
        <v>Algorithms</v>
      </c>
      <c r="H1382" s="19" t="str">
        <f>SUBSTITUTE(Github!L$1319, ";", ", ")</f>
        <v>Bit Manipulation, </v>
      </c>
      <c r="I1382" s="17" t="str">
        <f>Github!E$1319</f>
        <v>Medium</v>
      </c>
      <c r="J1382" s="17" t="str">
        <f>IF(TRIM(Github!D$1319)="TRUE","FALSE","TRUE")</f>
        <v>TRUE</v>
      </c>
      <c r="K1382" s="17" t="b">
        <f>Github!M$1319</f>
        <v>0</v>
      </c>
      <c r="L1382" s="17" t="b">
        <f>Github!N$1319</f>
        <v>0</v>
      </c>
      <c r="M1382" s="17" t="str">
        <f>ROUND(Github!O$1319, 2)&amp;"%"</f>
        <v>65.06%</v>
      </c>
      <c r="N1382" s="17">
        <f>Github!P$1319</f>
        <v>23097</v>
      </c>
      <c r="O1382" s="17">
        <f>Github!Q$1319</f>
        <v>35500</v>
      </c>
    </row>
    <row r="1383" ht="18.0" customHeight="1">
      <c r="A1383" s="17">
        <f>Github!J$1971</f>
        <v>1970</v>
      </c>
      <c r="B1383" s="27" t="str">
        <f>HYPERLINK(CONCAT("http://leetcode.com/problems/",Github!C$1971), Github!B$1971)</f>
        <v>Last Day Where You Can Still Cross</v>
      </c>
      <c r="C1383" s="17">
        <f>Github!F$1971</f>
        <v>405</v>
      </c>
      <c r="D1383" s="17">
        <f>Github!G$1971</f>
        <v>7</v>
      </c>
      <c r="E1383" s="17">
        <f>Github!F$1971+Github!G$1971</f>
        <v>412</v>
      </c>
      <c r="F1383" s="18">
        <f t="shared" si="1"/>
        <v>57.86</v>
      </c>
      <c r="G1383" s="17" t="str">
        <f>Github!H$1971</f>
        <v>Algorithms</v>
      </c>
      <c r="H1383" s="19" t="str">
        <f>SUBSTITUTE(Github!L$1971, ";", ", ")</f>
        <v>Array, Binary Search, Depth-First Search, Breadth-First Search, Union Find, Matrix, </v>
      </c>
      <c r="I1383" s="17" t="str">
        <f>Github!E$1971</f>
        <v>Hard</v>
      </c>
      <c r="J1383" s="17" t="str">
        <f>IF(TRIM(Github!D$1971)="TRUE","FALSE","TRUE")</f>
        <v>TRUE</v>
      </c>
      <c r="K1383" s="17" t="b">
        <f>Github!M$1971</f>
        <v>0</v>
      </c>
      <c r="L1383" s="17" t="b">
        <f>Github!N$1971</f>
        <v>0</v>
      </c>
      <c r="M1383" s="17" t="str">
        <f>ROUND(Github!O$1971, 2)&amp;"%"</f>
        <v>48.42%</v>
      </c>
      <c r="N1383" s="17">
        <f>Github!P$1971</f>
        <v>7899</v>
      </c>
      <c r="O1383" s="17">
        <f>Github!Q$1971</f>
        <v>16314</v>
      </c>
    </row>
    <row r="1384" ht="18.0" customHeight="1">
      <c r="A1384" s="17">
        <f>Github!J$1671</f>
        <v>1670</v>
      </c>
      <c r="B1384" s="27" t="str">
        <f>HYPERLINK(CONCAT("http://leetcode.com/problems/",Github!C$1671), Github!B$1671)</f>
        <v>Design Front Middle Back Queue</v>
      </c>
      <c r="C1384" s="17">
        <f>Github!F$1671</f>
        <v>404</v>
      </c>
      <c r="D1384" s="17">
        <f>Github!G$1671</f>
        <v>70</v>
      </c>
      <c r="E1384" s="17">
        <f>Github!F$1671+Github!G$1671</f>
        <v>474</v>
      </c>
      <c r="F1384" s="18">
        <f t="shared" si="1"/>
        <v>5.77</v>
      </c>
      <c r="G1384" s="17" t="str">
        <f>Github!H$1671</f>
        <v>Algorithms</v>
      </c>
      <c r="H1384" s="19" t="str">
        <f>SUBSTITUTE(Github!L$1671, ";", ", ")</f>
        <v>Array, Linked List, Design, Queue, Data Stream, </v>
      </c>
      <c r="I1384" s="17" t="str">
        <f>Github!E$1671</f>
        <v>Medium</v>
      </c>
      <c r="J1384" s="17" t="str">
        <f>IF(TRIM(Github!D$1671)="TRUE","FALSE","TRUE")</f>
        <v>TRUE</v>
      </c>
      <c r="K1384" s="17" t="b">
        <f>Github!M$1671</f>
        <v>0</v>
      </c>
      <c r="L1384" s="17" t="b">
        <f>Github!N$1671</f>
        <v>0</v>
      </c>
      <c r="M1384" s="17" t="str">
        <f>ROUND(Github!O$1671, 2)&amp;"%"</f>
        <v>55.37%</v>
      </c>
      <c r="N1384" s="17">
        <f>Github!P$1671</f>
        <v>13755</v>
      </c>
      <c r="O1384" s="17">
        <f>Github!Q$1671</f>
        <v>24842</v>
      </c>
    </row>
    <row r="1385" ht="18.0" customHeight="1">
      <c r="A1385" s="17">
        <f>Github!J$1704</f>
        <v>1703</v>
      </c>
      <c r="B1385" s="27" t="str">
        <f>HYPERLINK(CONCAT("http://leetcode.com/problems/",Github!C$1704), Github!B$1704)</f>
        <v>Minimum Adjacent Swaps for K Consecutive Ones</v>
      </c>
      <c r="C1385" s="17">
        <f>Github!F$1704</f>
        <v>404</v>
      </c>
      <c r="D1385" s="17">
        <f>Github!G$1704</f>
        <v>16</v>
      </c>
      <c r="E1385" s="17">
        <f>Github!F$1704+Github!G$1704</f>
        <v>420</v>
      </c>
      <c r="F1385" s="18">
        <f t="shared" si="1"/>
        <v>25.25</v>
      </c>
      <c r="G1385" s="17" t="str">
        <f>Github!H$1704</f>
        <v>Algorithms</v>
      </c>
      <c r="H1385" s="19" t="str">
        <f>SUBSTITUTE(Github!L$1704, ";", ", ")</f>
        <v>Array, Greedy, Sliding Window, Prefix Sum, </v>
      </c>
      <c r="I1385" s="17" t="str">
        <f>Github!E$1704</f>
        <v>Hard</v>
      </c>
      <c r="J1385" s="17" t="str">
        <f>IF(TRIM(Github!D$1704)="TRUE","FALSE","TRUE")</f>
        <v>TRUE</v>
      </c>
      <c r="K1385" s="17" t="b">
        <f>Github!M$1704</f>
        <v>0</v>
      </c>
      <c r="L1385" s="17" t="b">
        <f>Github!N$1704</f>
        <v>0</v>
      </c>
      <c r="M1385" s="17" t="str">
        <f>ROUND(Github!O$1704, 2)&amp;"%"</f>
        <v>40.27%</v>
      </c>
      <c r="N1385" s="17">
        <f>Github!P$1704</f>
        <v>5520</v>
      </c>
      <c r="O1385" s="17">
        <f>Github!Q$1704</f>
        <v>13706</v>
      </c>
    </row>
    <row r="1386" ht="18.0" customHeight="1">
      <c r="A1386" s="17">
        <f>Github!J$2003</f>
        <v>2002</v>
      </c>
      <c r="B1386" s="27" t="str">
        <f>HYPERLINK(CONCAT("http://leetcode.com/problems/",Github!C$2003), Github!B$2003)</f>
        <v>Maximum Product of the Length of Two Palindromic Subsequences</v>
      </c>
      <c r="C1386" s="17">
        <f>Github!F$2003</f>
        <v>405</v>
      </c>
      <c r="D1386" s="17">
        <f>Github!G$2003</f>
        <v>27</v>
      </c>
      <c r="E1386" s="17">
        <f>Github!F$2003+Github!G$2003</f>
        <v>432</v>
      </c>
      <c r="F1386" s="18">
        <f t="shared" si="1"/>
        <v>15</v>
      </c>
      <c r="G1386" s="17" t="str">
        <f>Github!H$2003</f>
        <v>Algorithms</v>
      </c>
      <c r="H1386" s="19" t="str">
        <f>SUBSTITUTE(Github!L$2003, ";", ", ")</f>
        <v>String, Dynamic Programming, Backtracking, Bit Manipulation, Bitmask, </v>
      </c>
      <c r="I1386" s="17" t="str">
        <f>Github!E$2003</f>
        <v>Medium</v>
      </c>
      <c r="J1386" s="17" t="str">
        <f>IF(TRIM(Github!D$2003)="TRUE","FALSE","TRUE")</f>
        <v>TRUE</v>
      </c>
      <c r="K1386" s="17" t="b">
        <f>Github!M$2003</f>
        <v>0</v>
      </c>
      <c r="L1386" s="17" t="b">
        <f>Github!N$2003</f>
        <v>0</v>
      </c>
      <c r="M1386" s="17" t="str">
        <f>ROUND(Github!O$2003, 2)&amp;"%"</f>
        <v>52.69%</v>
      </c>
      <c r="N1386" s="17">
        <f>Github!P$2003</f>
        <v>10720</v>
      </c>
      <c r="O1386" s="17">
        <f>Github!Q$2003</f>
        <v>20344</v>
      </c>
    </row>
    <row r="1387" ht="18.0" customHeight="1">
      <c r="A1387" s="17">
        <f>Github!J$409</f>
        <v>408</v>
      </c>
      <c r="B1387" s="27" t="str">
        <f>HYPERLINK(CONCAT("http://leetcode.com/problems/",Github!C$409), Github!B$409)</f>
        <v>Valid Word Abbreviation</v>
      </c>
      <c r="C1387" s="17">
        <f>Github!F$409</f>
        <v>404</v>
      </c>
      <c r="D1387" s="17">
        <f>Github!G$409</f>
        <v>1474</v>
      </c>
      <c r="E1387" s="17">
        <f>Github!F$409+Github!G$409</f>
        <v>1878</v>
      </c>
      <c r="F1387" s="18">
        <f t="shared" si="1"/>
        <v>0.27</v>
      </c>
      <c r="G1387" s="17" t="str">
        <f>Github!H$409</f>
        <v>Algorithms</v>
      </c>
      <c r="H1387" s="19" t="str">
        <f>SUBSTITUTE(Github!L$409, ";", ", ")</f>
        <v>Two Pointers, String, </v>
      </c>
      <c r="I1387" s="17" t="str">
        <f>Github!E$409</f>
        <v>Easy</v>
      </c>
      <c r="J1387" s="17" t="str">
        <f>IF(TRIM(Github!D$409)="TRUE","FALSE","TRUE")</f>
        <v>FALSE</v>
      </c>
      <c r="K1387" s="17" t="b">
        <f>Github!M$409</f>
        <v>0</v>
      </c>
      <c r="L1387" s="17" t="b">
        <f>Github!N$409</f>
        <v>0</v>
      </c>
      <c r="M1387" s="17" t="str">
        <f>ROUND(Github!O$409, 2)&amp;"%"</f>
        <v>34.33%</v>
      </c>
      <c r="N1387" s="17">
        <f>Github!P$409</f>
        <v>83474</v>
      </c>
      <c r="O1387" s="17">
        <f>Github!Q$409</f>
        <v>243132</v>
      </c>
    </row>
    <row r="1388" ht="18.0" customHeight="1">
      <c r="A1388" s="17">
        <f>Github!J$507</f>
        <v>506</v>
      </c>
      <c r="B1388" s="27" t="str">
        <f>HYPERLINK(CONCAT("http://leetcode.com/problems/",Github!C$507), Github!B$507)</f>
        <v>Relative Ranks</v>
      </c>
      <c r="C1388" s="17">
        <f>Github!F$507</f>
        <v>402</v>
      </c>
      <c r="D1388" s="17">
        <f>Github!G$507</f>
        <v>23</v>
      </c>
      <c r="E1388" s="17">
        <f>Github!F$507+Github!G$507</f>
        <v>425</v>
      </c>
      <c r="F1388" s="18">
        <f t="shared" si="1"/>
        <v>17.48</v>
      </c>
      <c r="G1388" s="17" t="str">
        <f>Github!H$507</f>
        <v>Algorithms</v>
      </c>
      <c r="H1388" s="19" t="str">
        <f>SUBSTITUTE(Github!L$507, ";", ", ")</f>
        <v>Array, Sorting, Heap (Priority Queue), </v>
      </c>
      <c r="I1388" s="17" t="str">
        <f>Github!E$507</f>
        <v>Easy</v>
      </c>
      <c r="J1388" s="17" t="str">
        <f>IF(TRIM(Github!D$507)="TRUE","FALSE","TRUE")</f>
        <v>TRUE</v>
      </c>
      <c r="K1388" s="17" t="b">
        <f>Github!M$507</f>
        <v>0</v>
      </c>
      <c r="L1388" s="17" t="b">
        <f>Github!N$507</f>
        <v>0</v>
      </c>
      <c r="M1388" s="17" t="str">
        <f>ROUND(Github!O$507, 2)&amp;"%"</f>
        <v>56.09%</v>
      </c>
      <c r="N1388" s="17">
        <f>Github!P$507</f>
        <v>84777</v>
      </c>
      <c r="O1388" s="17">
        <f>Github!Q$507</f>
        <v>151132</v>
      </c>
    </row>
    <row r="1389" ht="18.0" customHeight="1">
      <c r="A1389" s="17">
        <f>Github!J$1148</f>
        <v>1147</v>
      </c>
      <c r="B1389" s="27" t="str">
        <f>HYPERLINK(CONCAT("http://leetcode.com/problems/",Github!C$1148), Github!B$1148)</f>
        <v>Longest Chunked Palindrome Decomposition</v>
      </c>
      <c r="C1389" s="17">
        <f>Github!F$1148</f>
        <v>400</v>
      </c>
      <c r="D1389" s="17">
        <f>Github!G$1148</f>
        <v>24</v>
      </c>
      <c r="E1389" s="17">
        <f>Github!F$1148+Github!G$1148</f>
        <v>424</v>
      </c>
      <c r="F1389" s="18">
        <f t="shared" si="1"/>
        <v>16.67</v>
      </c>
      <c r="G1389" s="17" t="str">
        <f>Github!H$1148</f>
        <v>Algorithms</v>
      </c>
      <c r="H1389" s="19" t="str">
        <f>SUBSTITUTE(Github!L$1148, ";", ", ")</f>
        <v>Two Pointers, String, Dynamic Programming, Greedy, Rolling Hash, Hash Function, </v>
      </c>
      <c r="I1389" s="17" t="str">
        <f>Github!E$1148</f>
        <v>Hard</v>
      </c>
      <c r="J1389" s="17" t="str">
        <f>IF(TRIM(Github!D$1148)="TRUE","FALSE","TRUE")</f>
        <v>TRUE</v>
      </c>
      <c r="K1389" s="17" t="b">
        <f>Github!M$1148</f>
        <v>0</v>
      </c>
      <c r="L1389" s="17" t="b">
        <f>Github!N$1148</f>
        <v>0</v>
      </c>
      <c r="M1389" s="17" t="str">
        <f>ROUND(Github!O$1148, 2)&amp;"%"</f>
        <v>60.25%</v>
      </c>
      <c r="N1389" s="17">
        <f>Github!P$1148</f>
        <v>15945</v>
      </c>
      <c r="O1389" s="17">
        <f>Github!Q$1148</f>
        <v>26465</v>
      </c>
    </row>
    <row r="1390" ht="18.0" customHeight="1">
      <c r="A1390" s="17">
        <f>Github!J$1931</f>
        <v>1930</v>
      </c>
      <c r="B1390" s="27" t="str">
        <f>HYPERLINK(CONCAT("http://leetcode.com/problems/",Github!C$1931), Github!B$1931)</f>
        <v>Unique Length-3 Palindromic Subsequences</v>
      </c>
      <c r="C1390" s="17">
        <f>Github!F$1931</f>
        <v>400</v>
      </c>
      <c r="D1390" s="17">
        <f>Github!G$1931</f>
        <v>11</v>
      </c>
      <c r="E1390" s="17">
        <f>Github!F$1931+Github!G$1931</f>
        <v>411</v>
      </c>
      <c r="F1390" s="18">
        <f t="shared" si="1"/>
        <v>36.36</v>
      </c>
      <c r="G1390" s="17" t="str">
        <f>Github!H$1931</f>
        <v>Algorithms</v>
      </c>
      <c r="H1390" s="19" t="str">
        <f>SUBSTITUTE(Github!L$1931, ";", ", ")</f>
        <v>Hash Table, String, Prefix Sum, </v>
      </c>
      <c r="I1390" s="17" t="str">
        <f>Github!E$1931</f>
        <v>Medium</v>
      </c>
      <c r="J1390" s="17" t="str">
        <f>IF(TRIM(Github!D$1931)="TRUE","FALSE","TRUE")</f>
        <v>TRUE</v>
      </c>
      <c r="K1390" s="17" t="b">
        <f>Github!M$1931</f>
        <v>0</v>
      </c>
      <c r="L1390" s="17" t="b">
        <f>Github!N$1931</f>
        <v>0</v>
      </c>
      <c r="M1390" s="17" t="str">
        <f>ROUND(Github!O$1931, 2)&amp;"%"</f>
        <v>50.86%</v>
      </c>
      <c r="N1390" s="17">
        <f>Github!P$1931</f>
        <v>15204</v>
      </c>
      <c r="O1390" s="17">
        <f>Github!Q$1931</f>
        <v>29893</v>
      </c>
    </row>
    <row r="1391" ht="18.0" customHeight="1">
      <c r="A1391" s="17">
        <f>Github!J$2115</f>
        <v>2114</v>
      </c>
      <c r="B1391" s="27" t="str">
        <f>HYPERLINK(CONCAT("http://leetcode.com/problems/",Github!C$2115), Github!B$2115)</f>
        <v>Maximum Number of Words Found in Sentences</v>
      </c>
      <c r="C1391" s="17">
        <f>Github!F$2115</f>
        <v>402</v>
      </c>
      <c r="D1391" s="17">
        <f>Github!G$2115</f>
        <v>15</v>
      </c>
      <c r="E1391" s="17">
        <f>Github!F$2115+Github!G$2115</f>
        <v>417</v>
      </c>
      <c r="F1391" s="18">
        <f t="shared" si="1"/>
        <v>26.8</v>
      </c>
      <c r="G1391" s="17" t="str">
        <f>Github!H$2115</f>
        <v>Algorithms</v>
      </c>
      <c r="H1391" s="19" t="str">
        <f>SUBSTITUTE(Github!L$2115, ";", ", ")</f>
        <v>Array, String, </v>
      </c>
      <c r="I1391" s="17" t="str">
        <f>Github!E$2115</f>
        <v>Easy</v>
      </c>
      <c r="J1391" s="17" t="str">
        <f>IF(TRIM(Github!D$2115)="TRUE","FALSE","TRUE")</f>
        <v>TRUE</v>
      </c>
      <c r="K1391" s="17" t="b">
        <f>Github!M$2115</f>
        <v>0</v>
      </c>
      <c r="L1391" s="17" t="b">
        <f>Github!N$2115</f>
        <v>0</v>
      </c>
      <c r="M1391" s="17" t="str">
        <f>ROUND(Github!O$2115, 2)&amp;"%"</f>
        <v>89.19%</v>
      </c>
      <c r="N1391" s="17">
        <f>Github!P$2115</f>
        <v>48672</v>
      </c>
      <c r="O1391" s="17">
        <f>Github!Q$2115</f>
        <v>54570</v>
      </c>
    </row>
    <row r="1392" ht="18.0" customHeight="1">
      <c r="A1392" s="17">
        <f>Github!J$909</f>
        <v>908</v>
      </c>
      <c r="B1392" s="27" t="str">
        <f>HYPERLINK(CONCAT("http://leetcode.com/problems/",Github!C$909), Github!B$909)</f>
        <v>Smallest Range I</v>
      </c>
      <c r="C1392" s="17">
        <f>Github!F$909</f>
        <v>401</v>
      </c>
      <c r="D1392" s="17">
        <f>Github!G$909</f>
        <v>1579</v>
      </c>
      <c r="E1392" s="17">
        <f>Github!F$909+Github!G$909</f>
        <v>1980</v>
      </c>
      <c r="F1392" s="18">
        <f t="shared" si="1"/>
        <v>0.25</v>
      </c>
      <c r="G1392" s="17" t="str">
        <f>Github!H$909</f>
        <v>Algorithms</v>
      </c>
      <c r="H1392" s="19" t="str">
        <f>SUBSTITUTE(Github!L$909, ";", ", ")</f>
        <v>Array, Math, </v>
      </c>
      <c r="I1392" s="17" t="str">
        <f>Github!E$909</f>
        <v>Easy</v>
      </c>
      <c r="J1392" s="17" t="str">
        <f>IF(TRIM(Github!D$909)="TRUE","FALSE","TRUE")</f>
        <v>TRUE</v>
      </c>
      <c r="K1392" s="17" t="b">
        <f>Github!M$909</f>
        <v>0</v>
      </c>
      <c r="L1392" s="17" t="b">
        <f>Github!N$909</f>
        <v>0</v>
      </c>
      <c r="M1392" s="17" t="str">
        <f>ROUND(Github!O$909, 2)&amp;"%"</f>
        <v>67.14%</v>
      </c>
      <c r="N1392" s="17">
        <f>Github!P$909</f>
        <v>58481</v>
      </c>
      <c r="O1392" s="17">
        <f>Github!Q$909</f>
        <v>87101</v>
      </c>
    </row>
    <row r="1393" ht="18.0" customHeight="1">
      <c r="A1393" s="17">
        <f>Github!J$1653</f>
        <v>1652</v>
      </c>
      <c r="B1393" s="27" t="str">
        <f>HYPERLINK(CONCAT("http://leetcode.com/problems/",Github!C$1653), Github!B$1653)</f>
        <v>Defuse the Bomb</v>
      </c>
      <c r="C1393" s="17">
        <f>Github!F$1653</f>
        <v>398</v>
      </c>
      <c r="D1393" s="17">
        <f>Github!G$1653</f>
        <v>43</v>
      </c>
      <c r="E1393" s="17">
        <f>Github!F$1653+Github!G$1653</f>
        <v>441</v>
      </c>
      <c r="F1393" s="18">
        <f t="shared" si="1"/>
        <v>9.26</v>
      </c>
      <c r="G1393" s="17" t="str">
        <f>Github!H$1653</f>
        <v>Algorithms</v>
      </c>
      <c r="H1393" s="19" t="str">
        <f>SUBSTITUTE(Github!L$1653, ";", ", ")</f>
        <v>Array, </v>
      </c>
      <c r="I1393" s="17" t="str">
        <f>Github!E$1653</f>
        <v>Easy</v>
      </c>
      <c r="J1393" s="17" t="str">
        <f>IF(TRIM(Github!D$1653)="TRUE","FALSE","TRUE")</f>
        <v>TRUE</v>
      </c>
      <c r="K1393" s="17" t="b">
        <f>Github!M$1653</f>
        <v>0</v>
      </c>
      <c r="L1393" s="17" t="b">
        <f>Github!N$1653</f>
        <v>0</v>
      </c>
      <c r="M1393" s="17" t="str">
        <f>ROUND(Github!O$1653, 2)&amp;"%"</f>
        <v>60.83%</v>
      </c>
      <c r="N1393" s="17">
        <f>Github!P$1653</f>
        <v>21926</v>
      </c>
      <c r="O1393" s="17">
        <f>Github!Q$1653</f>
        <v>36042</v>
      </c>
    </row>
    <row r="1394" ht="18.0" customHeight="1">
      <c r="A1394" s="17">
        <f>Github!J$2025</f>
        <v>2024</v>
      </c>
      <c r="B1394" s="27" t="str">
        <f>HYPERLINK(CONCAT("http://leetcode.com/problems/",Github!C$2025), Github!B$2025)</f>
        <v>Maximize the Confusion of an Exam</v>
      </c>
      <c r="C1394" s="17">
        <f>Github!F$2025</f>
        <v>398</v>
      </c>
      <c r="D1394" s="17">
        <f>Github!G$2025</f>
        <v>8</v>
      </c>
      <c r="E1394" s="17">
        <f>Github!F$2025+Github!G$2025</f>
        <v>406</v>
      </c>
      <c r="F1394" s="18">
        <f t="shared" si="1"/>
        <v>49.75</v>
      </c>
      <c r="G1394" s="17" t="str">
        <f>Github!H$2025</f>
        <v>Algorithms</v>
      </c>
      <c r="H1394" s="19" t="str">
        <f>SUBSTITUTE(Github!L$2025, ";", ", ")</f>
        <v>String, Binary Search, Sliding Window, Prefix Sum, </v>
      </c>
      <c r="I1394" s="17" t="str">
        <f>Github!E$2025</f>
        <v>Medium</v>
      </c>
      <c r="J1394" s="17" t="str">
        <f>IF(TRIM(Github!D$2025)="TRUE","FALSE","TRUE")</f>
        <v>TRUE</v>
      </c>
      <c r="K1394" s="17" t="b">
        <f>Github!M$2025</f>
        <v>0</v>
      </c>
      <c r="L1394" s="17" t="b">
        <f>Github!N$2025</f>
        <v>0</v>
      </c>
      <c r="M1394" s="17" t="str">
        <f>ROUND(Github!O$2025, 2)&amp;"%"</f>
        <v>56.33%</v>
      </c>
      <c r="N1394" s="17">
        <f>Github!P$2025</f>
        <v>12015</v>
      </c>
      <c r="O1394" s="17">
        <f>Github!Q$2025</f>
        <v>21328</v>
      </c>
    </row>
    <row r="1395" ht="18.0" customHeight="1">
      <c r="A1395" s="17">
        <f>Github!J$929</f>
        <v>928</v>
      </c>
      <c r="B1395" s="27" t="str">
        <f>HYPERLINK(CONCAT("http://leetcode.com/problems/",Github!C$929), Github!B$929)</f>
        <v>Minimize Malware Spread II</v>
      </c>
      <c r="C1395" s="17">
        <f>Github!F$929</f>
        <v>397</v>
      </c>
      <c r="D1395" s="17">
        <f>Github!G$929</f>
        <v>67</v>
      </c>
      <c r="E1395" s="17">
        <f>Github!F$929+Github!G$929</f>
        <v>464</v>
      </c>
      <c r="F1395" s="18">
        <f t="shared" si="1"/>
        <v>5.93</v>
      </c>
      <c r="G1395" s="17" t="str">
        <f>Github!H$929</f>
        <v>Algorithms</v>
      </c>
      <c r="H1395" s="19" t="str">
        <f>SUBSTITUTE(Github!L$929, ";", ", ")</f>
        <v>Array, Depth-First Search, Breadth-First Search, Union Find, Matrix, </v>
      </c>
      <c r="I1395" s="17" t="str">
        <f>Github!E$929</f>
        <v>Hard</v>
      </c>
      <c r="J1395" s="17" t="str">
        <f>IF(TRIM(Github!D$929)="TRUE","FALSE","TRUE")</f>
        <v>TRUE</v>
      </c>
      <c r="K1395" s="17" t="b">
        <f>Github!M$929</f>
        <v>1</v>
      </c>
      <c r="L1395" s="17" t="b">
        <f>Github!N$929</f>
        <v>0</v>
      </c>
      <c r="M1395" s="17" t="str">
        <f>ROUND(Github!O$929, 2)&amp;"%"</f>
        <v>42.02%</v>
      </c>
      <c r="N1395" s="17">
        <f>Github!P$929</f>
        <v>14813</v>
      </c>
      <c r="O1395" s="17">
        <f>Github!Q$929</f>
        <v>35250</v>
      </c>
    </row>
    <row r="1396" ht="18.0" customHeight="1">
      <c r="A1396" s="17">
        <f>Github!J$1535</f>
        <v>1534</v>
      </c>
      <c r="B1396" s="27" t="str">
        <f>HYPERLINK(CONCAT("http://leetcode.com/problems/",Github!C$1535), Github!B$1535)</f>
        <v>Count Good Triplets</v>
      </c>
      <c r="C1396" s="17">
        <f>Github!F$1535</f>
        <v>398</v>
      </c>
      <c r="D1396" s="17">
        <f>Github!G$1535</f>
        <v>844</v>
      </c>
      <c r="E1396" s="17">
        <f>Github!F$1535+Github!G$1535</f>
        <v>1242</v>
      </c>
      <c r="F1396" s="18">
        <f t="shared" si="1"/>
        <v>0.47</v>
      </c>
      <c r="G1396" s="17" t="str">
        <f>Github!H$1535</f>
        <v>Algorithms</v>
      </c>
      <c r="H1396" s="19" t="str">
        <f>SUBSTITUTE(Github!L$1535, ";", ", ")</f>
        <v>Array, Enumeration, </v>
      </c>
      <c r="I1396" s="17" t="str">
        <f>Github!E$1535</f>
        <v>Easy</v>
      </c>
      <c r="J1396" s="17" t="str">
        <f>IF(TRIM(Github!D$1535)="TRUE","FALSE","TRUE")</f>
        <v>TRUE</v>
      </c>
      <c r="K1396" s="17" t="b">
        <f>Github!M$1535</f>
        <v>0</v>
      </c>
      <c r="L1396" s="17" t="b">
        <f>Github!N$1535</f>
        <v>0</v>
      </c>
      <c r="M1396" s="17" t="str">
        <f>ROUND(Github!O$1535, 2)&amp;"%"</f>
        <v>80.52%</v>
      </c>
      <c r="N1396" s="17">
        <f>Github!P$1535</f>
        <v>71478</v>
      </c>
      <c r="O1396" s="17">
        <f>Github!Q$1535</f>
        <v>88774</v>
      </c>
    </row>
    <row r="1397" ht="18.0" customHeight="1">
      <c r="A1397" s="17">
        <f>Github!J$1559</f>
        <v>1558</v>
      </c>
      <c r="B1397" s="27" t="str">
        <f>HYPERLINK(CONCAT("http://leetcode.com/problems/",Github!C$1559), Github!B$1559)</f>
        <v>Minimum Numbers of Function Calls to Make Target Array</v>
      </c>
      <c r="C1397" s="17">
        <f>Github!F$1559</f>
        <v>397</v>
      </c>
      <c r="D1397" s="17">
        <f>Github!G$1559</f>
        <v>22</v>
      </c>
      <c r="E1397" s="17">
        <f>Github!F$1559+Github!G$1559</f>
        <v>419</v>
      </c>
      <c r="F1397" s="18">
        <f t="shared" si="1"/>
        <v>18.05</v>
      </c>
      <c r="G1397" s="17" t="str">
        <f>Github!H$1559</f>
        <v>Algorithms</v>
      </c>
      <c r="H1397" s="19" t="str">
        <f>SUBSTITUTE(Github!L$1559, ";", ", ")</f>
        <v>Array, Greedy, </v>
      </c>
      <c r="I1397" s="17" t="str">
        <f>Github!E$1559</f>
        <v>Medium</v>
      </c>
      <c r="J1397" s="17" t="str">
        <f>IF(TRIM(Github!D$1559)="TRUE","FALSE","TRUE")</f>
        <v>TRUE</v>
      </c>
      <c r="K1397" s="17" t="b">
        <f>Github!M$1559</f>
        <v>0</v>
      </c>
      <c r="L1397" s="17" t="b">
        <f>Github!N$1559</f>
        <v>0</v>
      </c>
      <c r="M1397" s="17" t="str">
        <f>ROUND(Github!O$1559, 2)&amp;"%"</f>
        <v>63.86%</v>
      </c>
      <c r="N1397" s="17">
        <f>Github!P$1559</f>
        <v>14748</v>
      </c>
      <c r="O1397" s="17">
        <f>Github!Q$1559</f>
        <v>23096</v>
      </c>
    </row>
    <row r="1398" ht="18.0" customHeight="1">
      <c r="A1398" s="17">
        <f>Github!J$1052</f>
        <v>1051</v>
      </c>
      <c r="B1398" s="27" t="str">
        <f>HYPERLINK(CONCAT("http://leetcode.com/problems/",Github!C$1052), Github!B$1052)</f>
        <v>Height Checker</v>
      </c>
      <c r="C1398" s="17">
        <f>Github!F$1052</f>
        <v>396</v>
      </c>
      <c r="D1398" s="17">
        <f>Github!G$1052</f>
        <v>46</v>
      </c>
      <c r="E1398" s="17">
        <f>Github!F$1052+Github!G$1052</f>
        <v>442</v>
      </c>
      <c r="F1398" s="18">
        <f t="shared" si="1"/>
        <v>8.61</v>
      </c>
      <c r="G1398" s="17" t="str">
        <f>Github!H$1052</f>
        <v>Algorithms</v>
      </c>
      <c r="H1398" s="19" t="str">
        <f>SUBSTITUTE(Github!L$1052, ";", ", ")</f>
        <v>Array, Sorting, Counting Sort, </v>
      </c>
      <c r="I1398" s="17" t="str">
        <f>Github!E$1052</f>
        <v>Easy</v>
      </c>
      <c r="J1398" s="17" t="str">
        <f>IF(TRIM(Github!D$1052)="TRUE","FALSE","TRUE")</f>
        <v>TRUE</v>
      </c>
      <c r="K1398" s="17" t="b">
        <f>Github!M$1052</f>
        <v>0</v>
      </c>
      <c r="L1398" s="17" t="b">
        <f>Github!N$1052</f>
        <v>0</v>
      </c>
      <c r="M1398" s="17" t="str">
        <f>ROUND(Github!O$1052, 2)&amp;"%"</f>
        <v>74.15%</v>
      </c>
      <c r="N1398" s="17">
        <f>Github!P$1052</f>
        <v>188176</v>
      </c>
      <c r="O1398" s="17">
        <f>Github!Q$1052</f>
        <v>253763</v>
      </c>
    </row>
    <row r="1399" ht="18.0" customHeight="1">
      <c r="A1399" s="17">
        <f>Github!J$1714</f>
        <v>1713</v>
      </c>
      <c r="B1399" s="27" t="str">
        <f>HYPERLINK(CONCAT("http://leetcode.com/problems/",Github!C$1714), Github!B$1714)</f>
        <v>Minimum Operations to Make a Subsequence</v>
      </c>
      <c r="C1399" s="17">
        <f>Github!F$1714</f>
        <v>394</v>
      </c>
      <c r="D1399" s="17">
        <f>Github!G$1714</f>
        <v>5</v>
      </c>
      <c r="E1399" s="17">
        <f>Github!F$1714+Github!G$1714</f>
        <v>399</v>
      </c>
      <c r="F1399" s="18">
        <f t="shared" si="1"/>
        <v>78.8</v>
      </c>
      <c r="G1399" s="17" t="str">
        <f>Github!H$1714</f>
        <v>Algorithms</v>
      </c>
      <c r="H1399" s="19" t="str">
        <f>SUBSTITUTE(Github!L$1714, ";", ", ")</f>
        <v>Array, Hash Table, Binary Search, Greedy, </v>
      </c>
      <c r="I1399" s="17" t="str">
        <f>Github!E$1714</f>
        <v>Hard</v>
      </c>
      <c r="J1399" s="17" t="str">
        <f>IF(TRIM(Github!D$1714)="TRUE","FALSE","TRUE")</f>
        <v>TRUE</v>
      </c>
      <c r="K1399" s="17" t="b">
        <f>Github!M$1714</f>
        <v>0</v>
      </c>
      <c r="L1399" s="17" t="b">
        <f>Github!N$1714</f>
        <v>0</v>
      </c>
      <c r="M1399" s="17" t="str">
        <f>ROUND(Github!O$1714, 2)&amp;"%"</f>
        <v>48.72%</v>
      </c>
      <c r="N1399" s="17">
        <f>Github!P$1714</f>
        <v>6824</v>
      </c>
      <c r="O1399" s="17">
        <f>Github!Q$1714</f>
        <v>14006</v>
      </c>
    </row>
    <row r="1400" ht="18.0" customHeight="1">
      <c r="A1400" s="17">
        <f>Github!J$1851</f>
        <v>1850</v>
      </c>
      <c r="B1400" s="27" t="str">
        <f>HYPERLINK(CONCAT("http://leetcode.com/problems/",Github!C$1851), Github!B$1851)</f>
        <v>Minimum Adjacent Swaps to Reach the Kth Smallest Number</v>
      </c>
      <c r="C1400" s="17">
        <f>Github!F$1851</f>
        <v>395</v>
      </c>
      <c r="D1400" s="17">
        <f>Github!G$1851</f>
        <v>53</v>
      </c>
      <c r="E1400" s="17">
        <f>Github!F$1851+Github!G$1851</f>
        <v>448</v>
      </c>
      <c r="F1400" s="18">
        <f t="shared" si="1"/>
        <v>7.45</v>
      </c>
      <c r="G1400" s="17" t="str">
        <f>Github!H$1851</f>
        <v>Algorithms</v>
      </c>
      <c r="H1400" s="19" t="str">
        <f>SUBSTITUTE(Github!L$1851, ";", ", ")</f>
        <v>Two Pointers, String, Greedy, </v>
      </c>
      <c r="I1400" s="17" t="str">
        <f>Github!E$1851</f>
        <v>Medium</v>
      </c>
      <c r="J1400" s="17" t="str">
        <f>IF(TRIM(Github!D$1851)="TRUE","FALSE","TRUE")</f>
        <v>TRUE</v>
      </c>
      <c r="K1400" s="17" t="b">
        <f>Github!M$1851</f>
        <v>0</v>
      </c>
      <c r="L1400" s="17" t="b">
        <f>Github!N$1851</f>
        <v>0</v>
      </c>
      <c r="M1400" s="17" t="str">
        <f>ROUND(Github!O$1851, 2)&amp;"%"</f>
        <v>72.56%</v>
      </c>
      <c r="N1400" s="17">
        <f>Github!P$1851</f>
        <v>13314</v>
      </c>
      <c r="O1400" s="17">
        <f>Github!Q$1851</f>
        <v>18352</v>
      </c>
    </row>
    <row r="1401" ht="18.0" customHeight="1">
      <c r="A1401" s="17">
        <f>Github!J$303</f>
        <v>302</v>
      </c>
      <c r="B1401" s="27" t="str">
        <f>HYPERLINK(CONCAT("http://leetcode.com/problems/",Github!C$303), Github!B$303)</f>
        <v>Smallest Rectangle Enclosing Black Pixels</v>
      </c>
      <c r="C1401" s="17">
        <f>Github!F$303</f>
        <v>393</v>
      </c>
      <c r="D1401" s="17">
        <f>Github!G$303</f>
        <v>80</v>
      </c>
      <c r="E1401" s="17">
        <f>Github!F$303+Github!G$303</f>
        <v>473</v>
      </c>
      <c r="F1401" s="18">
        <f t="shared" si="1"/>
        <v>4.91</v>
      </c>
      <c r="G1401" s="17" t="str">
        <f>Github!H$303</f>
        <v>Algorithms</v>
      </c>
      <c r="H1401" s="19" t="str">
        <f>SUBSTITUTE(Github!L$303, ";", ", ")</f>
        <v>Array, Binary Search, Depth-First Search, Breadth-First Search, Matrix, </v>
      </c>
      <c r="I1401" s="17" t="str">
        <f>Github!E$303</f>
        <v>Hard</v>
      </c>
      <c r="J1401" s="17" t="str">
        <f>IF(TRIM(Github!D$303)="TRUE","FALSE","TRUE")</f>
        <v>FALSE</v>
      </c>
      <c r="K1401" s="17" t="b">
        <f>Github!M$303</f>
        <v>1</v>
      </c>
      <c r="L1401" s="17" t="b">
        <f>Github!N$303</f>
        <v>0</v>
      </c>
      <c r="M1401" s="17" t="str">
        <f>ROUND(Github!O$303, 2)&amp;"%"</f>
        <v>56.15%</v>
      </c>
      <c r="N1401" s="17">
        <f>Github!P$303</f>
        <v>38950</v>
      </c>
      <c r="O1401" s="17">
        <f>Github!Q$303</f>
        <v>69370</v>
      </c>
    </row>
    <row r="1402" ht="18.0" customHeight="1">
      <c r="A1402" s="17">
        <f>Github!J$893</f>
        <v>892</v>
      </c>
      <c r="B1402" s="27" t="str">
        <f>HYPERLINK(CONCAT("http://leetcode.com/problems/",Github!C$893), Github!B$893)</f>
        <v>Surface Area of 3D Shapes</v>
      </c>
      <c r="C1402" s="17">
        <f>Github!F$893</f>
        <v>393</v>
      </c>
      <c r="D1402" s="17">
        <f>Github!G$893</f>
        <v>555</v>
      </c>
      <c r="E1402" s="17">
        <f>Github!F$893+Github!G$893</f>
        <v>948</v>
      </c>
      <c r="F1402" s="18">
        <f t="shared" si="1"/>
        <v>0.71</v>
      </c>
      <c r="G1402" s="17" t="str">
        <f>Github!H$893</f>
        <v>Algorithms</v>
      </c>
      <c r="H1402" s="19" t="str">
        <f>SUBSTITUTE(Github!L$893, ";", ", ")</f>
        <v>Array, Math, Geometry, Matrix, </v>
      </c>
      <c r="I1402" s="17" t="str">
        <f>Github!E$893</f>
        <v>Easy</v>
      </c>
      <c r="J1402" s="17" t="str">
        <f>IF(TRIM(Github!D$893)="TRUE","FALSE","TRUE")</f>
        <v>TRUE</v>
      </c>
      <c r="K1402" s="17" t="b">
        <f>Github!M$893</f>
        <v>0</v>
      </c>
      <c r="L1402" s="17" t="b">
        <f>Github!N$893</f>
        <v>0</v>
      </c>
      <c r="M1402" s="17" t="str">
        <f>ROUND(Github!O$893, 2)&amp;"%"</f>
        <v>61.57%</v>
      </c>
      <c r="N1402" s="17">
        <f>Github!P$893</f>
        <v>27736</v>
      </c>
      <c r="O1402" s="17">
        <f>Github!Q$893</f>
        <v>45044</v>
      </c>
    </row>
    <row r="1403" ht="18.0" customHeight="1">
      <c r="A1403" s="17">
        <f>Github!J$1189</f>
        <v>1188</v>
      </c>
      <c r="B1403" s="27" t="str">
        <f>HYPERLINK(CONCAT("http://leetcode.com/problems/",Github!C$1189), Github!B$1189)</f>
        <v>Design Bounded Blocking Queue</v>
      </c>
      <c r="C1403" s="17">
        <f>Github!F$1189</f>
        <v>393</v>
      </c>
      <c r="D1403" s="17">
        <f>Github!G$1189</f>
        <v>31</v>
      </c>
      <c r="E1403" s="17">
        <f>Github!F$1189+Github!G$1189</f>
        <v>424</v>
      </c>
      <c r="F1403" s="18">
        <f t="shared" si="1"/>
        <v>12.68</v>
      </c>
      <c r="G1403" s="17" t="str">
        <f>Github!H$1189</f>
        <v>Concurrency</v>
      </c>
      <c r="H1403" s="19" t="str">
        <f>SUBSTITUTE(Github!L$1189, ";", ", ")</f>
        <v>Concurrency, </v>
      </c>
      <c r="I1403" s="17" t="str">
        <f>Github!E$1189</f>
        <v>Medium</v>
      </c>
      <c r="J1403" s="17" t="str">
        <f>IF(TRIM(Github!D$1189)="TRUE","FALSE","TRUE")</f>
        <v>FALSE</v>
      </c>
      <c r="K1403" s="17" t="b">
        <f>Github!M$1189</f>
        <v>0</v>
      </c>
      <c r="L1403" s="17" t="b">
        <f>Github!N$1189</f>
        <v>0</v>
      </c>
      <c r="M1403" s="17" t="str">
        <f>ROUND(Github!O$1189, 2)&amp;"%"</f>
        <v>72.95%</v>
      </c>
      <c r="N1403" s="17">
        <f>Github!P$1189</f>
        <v>34410</v>
      </c>
      <c r="O1403" s="17">
        <f>Github!Q$1189</f>
        <v>47167</v>
      </c>
    </row>
    <row r="1404" ht="18.0" customHeight="1">
      <c r="A1404" s="17">
        <f>Github!J$1421</f>
        <v>1420</v>
      </c>
      <c r="B1404" s="27" t="str">
        <f>HYPERLINK(CONCAT("http://leetcode.com/problems/",Github!C$1421), Github!B$1421)</f>
        <v>Build Array Where You Can Find The Maximum Exactly K Comparisons</v>
      </c>
      <c r="C1404" s="17">
        <f>Github!F$1421</f>
        <v>393</v>
      </c>
      <c r="D1404" s="17">
        <f>Github!G$1421</f>
        <v>10</v>
      </c>
      <c r="E1404" s="17">
        <f>Github!F$1421+Github!G$1421</f>
        <v>403</v>
      </c>
      <c r="F1404" s="18">
        <f t="shared" si="1"/>
        <v>39.3</v>
      </c>
      <c r="G1404" s="17" t="str">
        <f>Github!H$1421</f>
        <v>Algorithms</v>
      </c>
      <c r="H1404" s="19" t="str">
        <f>SUBSTITUTE(Github!L$1421, ";", ", ")</f>
        <v>Dynamic Programming, </v>
      </c>
      <c r="I1404" s="17" t="str">
        <f>Github!E$1421</f>
        <v>Hard</v>
      </c>
      <c r="J1404" s="17" t="str">
        <f>IF(TRIM(Github!D$1421)="TRUE","FALSE","TRUE")</f>
        <v>TRUE</v>
      </c>
      <c r="K1404" s="17" t="b">
        <f>Github!M$1421</f>
        <v>0</v>
      </c>
      <c r="L1404" s="17" t="b">
        <f>Github!N$1421</f>
        <v>0</v>
      </c>
      <c r="M1404" s="17" t="str">
        <f>ROUND(Github!O$1421, 2)&amp;"%"</f>
        <v>64.64%</v>
      </c>
      <c r="N1404" s="17">
        <f>Github!P$1421</f>
        <v>9289</v>
      </c>
      <c r="O1404" s="17">
        <f>Github!Q$1421</f>
        <v>14370</v>
      </c>
    </row>
    <row r="1405" ht="18.0" customHeight="1">
      <c r="A1405" s="17">
        <f>Github!J$1523</f>
        <v>1522</v>
      </c>
      <c r="B1405" s="27" t="str">
        <f>HYPERLINK(CONCAT("http://leetcode.com/problems/",Github!C$1523), Github!B$1523)</f>
        <v>Diameter of N-Ary Tree</v>
      </c>
      <c r="C1405" s="17">
        <f>Github!F$1523</f>
        <v>393</v>
      </c>
      <c r="D1405" s="17">
        <f>Github!G$1523</f>
        <v>6</v>
      </c>
      <c r="E1405" s="17">
        <f>Github!F$1523+Github!G$1523</f>
        <v>399</v>
      </c>
      <c r="F1405" s="18">
        <f t="shared" si="1"/>
        <v>65.5</v>
      </c>
      <c r="G1405" s="17" t="str">
        <f>Github!H$1523</f>
        <v>Algorithms</v>
      </c>
      <c r="H1405" s="19" t="str">
        <f>SUBSTITUTE(Github!L$1523, ";", ", ")</f>
        <v>Tree, Depth-First Search, </v>
      </c>
      <c r="I1405" s="17" t="str">
        <f>Github!E$1523</f>
        <v>Medium</v>
      </c>
      <c r="J1405" s="17" t="str">
        <f>IF(TRIM(Github!D$1523)="TRUE","FALSE","TRUE")</f>
        <v>FALSE</v>
      </c>
      <c r="K1405" s="17" t="b">
        <f>Github!M$1523</f>
        <v>1</v>
      </c>
      <c r="L1405" s="17" t="b">
        <f>Github!N$1523</f>
        <v>0</v>
      </c>
      <c r="M1405" s="17" t="str">
        <f>ROUND(Github!O$1523, 2)&amp;"%"</f>
        <v>72.98%</v>
      </c>
      <c r="N1405" s="17">
        <f>Github!P$1523</f>
        <v>28063</v>
      </c>
      <c r="O1405" s="17">
        <f>Github!Q$1523</f>
        <v>38455</v>
      </c>
    </row>
    <row r="1406" ht="18.0" customHeight="1">
      <c r="A1406" s="17">
        <f>Github!J$1472</f>
        <v>1471</v>
      </c>
      <c r="B1406" s="27" t="str">
        <f>HYPERLINK(CONCAT("http://leetcode.com/problems/",Github!C$1472), Github!B$1472)</f>
        <v>The k Strongest Values in an Array</v>
      </c>
      <c r="C1406" s="17">
        <f>Github!F$1472</f>
        <v>392</v>
      </c>
      <c r="D1406" s="17">
        <f>Github!G$1472</f>
        <v>92</v>
      </c>
      <c r="E1406" s="17">
        <f>Github!F$1472+Github!G$1472</f>
        <v>484</v>
      </c>
      <c r="F1406" s="18">
        <f t="shared" si="1"/>
        <v>4.26</v>
      </c>
      <c r="G1406" s="17" t="str">
        <f>Github!H$1472</f>
        <v>Algorithms</v>
      </c>
      <c r="H1406" s="19" t="str">
        <f>SUBSTITUTE(Github!L$1472, ";", ", ")</f>
        <v>Array, Two Pointers, Sorting, </v>
      </c>
      <c r="I1406" s="17" t="str">
        <f>Github!E$1472</f>
        <v>Medium</v>
      </c>
      <c r="J1406" s="17" t="str">
        <f>IF(TRIM(Github!D$1472)="TRUE","FALSE","TRUE")</f>
        <v>TRUE</v>
      </c>
      <c r="K1406" s="17" t="b">
        <f>Github!M$1472</f>
        <v>0</v>
      </c>
      <c r="L1406" s="17" t="b">
        <f>Github!N$1472</f>
        <v>0</v>
      </c>
      <c r="M1406" s="17" t="str">
        <f>ROUND(Github!O$1472, 2)&amp;"%"</f>
        <v>59.69%</v>
      </c>
      <c r="N1406" s="17">
        <f>Github!P$1472</f>
        <v>26702</v>
      </c>
      <c r="O1406" s="17">
        <f>Github!Q$1472</f>
        <v>44732</v>
      </c>
    </row>
    <row r="1407" ht="18.0" customHeight="1">
      <c r="A1407" s="17">
        <f>Github!J$1081</f>
        <v>1080</v>
      </c>
      <c r="B1407" s="27" t="str">
        <f>HYPERLINK(CONCAT("http://leetcode.com/problems/",Github!C$1081), Github!B$1081)</f>
        <v>Insufficient Nodes in Root to Leaf Paths</v>
      </c>
      <c r="C1407" s="17">
        <f>Github!F$1081</f>
        <v>391</v>
      </c>
      <c r="D1407" s="17">
        <f>Github!G$1081</f>
        <v>532</v>
      </c>
      <c r="E1407" s="17">
        <f>Github!F$1081+Github!G$1081</f>
        <v>923</v>
      </c>
      <c r="F1407" s="18">
        <f t="shared" si="1"/>
        <v>0.73</v>
      </c>
      <c r="G1407" s="17" t="str">
        <f>Github!H$1081</f>
        <v>Algorithms</v>
      </c>
      <c r="H1407" s="19" t="str">
        <f>SUBSTITUTE(Github!L$1081, ";", ", ")</f>
        <v>Tree, Depth-First Search, Binary Tree, </v>
      </c>
      <c r="I1407" s="17" t="str">
        <f>Github!E$1081</f>
        <v>Medium</v>
      </c>
      <c r="J1407" s="17" t="str">
        <f>IF(TRIM(Github!D$1081)="TRUE","FALSE","TRUE")</f>
        <v>TRUE</v>
      </c>
      <c r="K1407" s="17" t="b">
        <f>Github!M$1081</f>
        <v>0</v>
      </c>
      <c r="L1407" s="17" t="b">
        <f>Github!N$1081</f>
        <v>0</v>
      </c>
      <c r="M1407" s="17" t="str">
        <f>ROUND(Github!O$1081, 2)&amp;"%"</f>
        <v>51.74%</v>
      </c>
      <c r="N1407" s="17">
        <f>Github!P$1081</f>
        <v>24476</v>
      </c>
      <c r="O1407" s="17">
        <f>Github!Q$1081</f>
        <v>47307</v>
      </c>
    </row>
    <row r="1408" ht="18.0" customHeight="1">
      <c r="A1408" s="17">
        <f>Github!J$1927</f>
        <v>1926</v>
      </c>
      <c r="B1408" s="27" t="str">
        <f>HYPERLINK(CONCAT("http://leetcode.com/problems/",Github!C$1927), Github!B$1927)</f>
        <v>Nearest Exit from Entrance in Maze</v>
      </c>
      <c r="C1408" s="17">
        <f>Github!F$1927</f>
        <v>390</v>
      </c>
      <c r="D1408" s="17">
        <f>Github!G$1927</f>
        <v>18</v>
      </c>
      <c r="E1408" s="17">
        <f>Github!F$1927+Github!G$1927</f>
        <v>408</v>
      </c>
      <c r="F1408" s="18">
        <f t="shared" si="1"/>
        <v>21.67</v>
      </c>
      <c r="G1408" s="17" t="str">
        <f>Github!H$1927</f>
        <v>Algorithms</v>
      </c>
      <c r="H1408" s="19" t="str">
        <f>SUBSTITUTE(Github!L$1927, ";", ", ")</f>
        <v>Array, Breadth-First Search, Matrix, </v>
      </c>
      <c r="I1408" s="17" t="str">
        <f>Github!E$1927</f>
        <v>Medium</v>
      </c>
      <c r="J1408" s="17" t="str">
        <f>IF(TRIM(Github!D$1927)="TRUE","FALSE","TRUE")</f>
        <v>TRUE</v>
      </c>
      <c r="K1408" s="17" t="b">
        <f>Github!M$1927</f>
        <v>0</v>
      </c>
      <c r="L1408" s="17" t="b">
        <f>Github!N$1927</f>
        <v>0</v>
      </c>
      <c r="M1408" s="17" t="str">
        <f>ROUND(Github!O$1927, 2)&amp;"%"</f>
        <v>38.46%</v>
      </c>
      <c r="N1408" s="17">
        <f>Github!P$1927</f>
        <v>14406</v>
      </c>
      <c r="O1408" s="17">
        <f>Github!Q$1927</f>
        <v>37452</v>
      </c>
    </row>
    <row r="1409" ht="18.0" customHeight="1">
      <c r="A1409" s="17">
        <f>Github!J$1727</f>
        <v>1726</v>
      </c>
      <c r="B1409" s="27" t="str">
        <f>HYPERLINK(CONCAT("http://leetcode.com/problems/",Github!C$1727), Github!B$1727)</f>
        <v>Tuple with Same Product</v>
      </c>
      <c r="C1409" s="17">
        <f>Github!F$1727</f>
        <v>389</v>
      </c>
      <c r="D1409" s="17">
        <f>Github!G$1727</f>
        <v>17</v>
      </c>
      <c r="E1409" s="17">
        <f>Github!F$1727+Github!G$1727</f>
        <v>406</v>
      </c>
      <c r="F1409" s="18">
        <f t="shared" si="1"/>
        <v>22.88</v>
      </c>
      <c r="G1409" s="17" t="str">
        <f>Github!H$1727</f>
        <v>Algorithms</v>
      </c>
      <c r="H1409" s="19" t="str">
        <f>SUBSTITUTE(Github!L$1727, ";", ", ")</f>
        <v>Array, Hash Table, </v>
      </c>
      <c r="I1409" s="17" t="str">
        <f>Github!E$1727</f>
        <v>Medium</v>
      </c>
      <c r="J1409" s="17" t="str">
        <f>IF(TRIM(Github!D$1727)="TRUE","FALSE","TRUE")</f>
        <v>TRUE</v>
      </c>
      <c r="K1409" s="17" t="b">
        <f>Github!M$1727</f>
        <v>0</v>
      </c>
      <c r="L1409" s="17" t="b">
        <f>Github!N$1727</f>
        <v>0</v>
      </c>
      <c r="M1409" s="17" t="str">
        <f>ROUND(Github!O$1727, 2)&amp;"%"</f>
        <v>60.31%</v>
      </c>
      <c r="N1409" s="17">
        <f>Github!P$1727</f>
        <v>17881</v>
      </c>
      <c r="O1409" s="17">
        <f>Github!Q$1727</f>
        <v>29647</v>
      </c>
    </row>
    <row r="1410" ht="18.0" customHeight="1">
      <c r="A1410" s="17">
        <f>Github!J$1815</f>
        <v>1814</v>
      </c>
      <c r="B1410" s="27" t="str">
        <f>HYPERLINK(CONCAT("http://leetcode.com/problems/",Github!C$1815), Github!B$1815)</f>
        <v>Count Nice Pairs in an Array</v>
      </c>
      <c r="C1410" s="17">
        <f>Github!F$1815</f>
        <v>389</v>
      </c>
      <c r="D1410" s="17">
        <f>Github!G$1815</f>
        <v>19</v>
      </c>
      <c r="E1410" s="17">
        <f>Github!F$1815+Github!G$1815</f>
        <v>408</v>
      </c>
      <c r="F1410" s="18">
        <f t="shared" si="1"/>
        <v>20.47</v>
      </c>
      <c r="G1410" s="17" t="str">
        <f>Github!H$1815</f>
        <v>Algorithms</v>
      </c>
      <c r="H1410" s="19" t="str">
        <f>SUBSTITUTE(Github!L$1815, ";", ", ")</f>
        <v>Array, Hash Table, Math, Counting, </v>
      </c>
      <c r="I1410" s="17" t="str">
        <f>Github!E$1815</f>
        <v>Medium</v>
      </c>
      <c r="J1410" s="17" t="str">
        <f>IF(TRIM(Github!D$1815)="TRUE","FALSE","TRUE")</f>
        <v>TRUE</v>
      </c>
      <c r="K1410" s="17" t="b">
        <f>Github!M$1815</f>
        <v>0</v>
      </c>
      <c r="L1410" s="17" t="b">
        <f>Github!N$1815</f>
        <v>0</v>
      </c>
      <c r="M1410" s="17" t="str">
        <f>ROUND(Github!O$1815, 2)&amp;"%"</f>
        <v>40.09%</v>
      </c>
      <c r="N1410" s="17">
        <f>Github!P$1815</f>
        <v>13671</v>
      </c>
      <c r="O1410" s="17">
        <f>Github!Q$1815</f>
        <v>34101</v>
      </c>
    </row>
    <row r="1411" ht="18.0" customHeight="1">
      <c r="A1411" s="17">
        <f>Github!J$1775</f>
        <v>1774</v>
      </c>
      <c r="B1411" s="27" t="str">
        <f>HYPERLINK(CONCAT("http://leetcode.com/problems/",Github!C$1775), Github!B$1775)</f>
        <v>Closest Dessert Cost</v>
      </c>
      <c r="C1411" s="17">
        <f>Github!F$1775</f>
        <v>389</v>
      </c>
      <c r="D1411" s="17">
        <f>Github!G$1775</f>
        <v>40</v>
      </c>
      <c r="E1411" s="17">
        <f>Github!F$1775+Github!G$1775</f>
        <v>429</v>
      </c>
      <c r="F1411" s="18">
        <f t="shared" si="1"/>
        <v>9.73</v>
      </c>
      <c r="G1411" s="17" t="str">
        <f>Github!H$1775</f>
        <v>Algorithms</v>
      </c>
      <c r="H1411" s="19" t="str">
        <f>SUBSTITUTE(Github!L$1775, ";", ", ")</f>
        <v>Array, Dynamic Programming, Backtracking, </v>
      </c>
      <c r="I1411" s="17" t="str">
        <f>Github!E$1775</f>
        <v>Medium</v>
      </c>
      <c r="J1411" s="17" t="str">
        <f>IF(TRIM(Github!D$1775)="TRUE","FALSE","TRUE")</f>
        <v>TRUE</v>
      </c>
      <c r="K1411" s="17" t="b">
        <f>Github!M$1775</f>
        <v>0</v>
      </c>
      <c r="L1411" s="17" t="b">
        <f>Github!N$1775</f>
        <v>0</v>
      </c>
      <c r="M1411" s="17" t="str">
        <f>ROUND(Github!O$1775, 2)&amp;"%"</f>
        <v>45.99%</v>
      </c>
      <c r="N1411" s="17">
        <f>Github!P$1775</f>
        <v>14443</v>
      </c>
      <c r="O1411" s="17">
        <f>Github!Q$1775</f>
        <v>31406</v>
      </c>
    </row>
    <row r="1412" ht="18.0" customHeight="1">
      <c r="A1412" s="17">
        <f>Github!J$795</f>
        <v>794</v>
      </c>
      <c r="B1412" s="27" t="str">
        <f>HYPERLINK(CONCAT("http://leetcode.com/problems/",Github!C$795), Github!B$795)</f>
        <v>Valid Tic-Tac-Toe State</v>
      </c>
      <c r="C1412" s="17">
        <f>Github!F$795</f>
        <v>388</v>
      </c>
      <c r="D1412" s="17">
        <f>Github!G$795</f>
        <v>934</v>
      </c>
      <c r="E1412" s="17">
        <f>Github!F$795+Github!G$795</f>
        <v>1322</v>
      </c>
      <c r="F1412" s="18">
        <f t="shared" si="1"/>
        <v>0.42</v>
      </c>
      <c r="G1412" s="17" t="str">
        <f>Github!H$795</f>
        <v>Algorithms</v>
      </c>
      <c r="H1412" s="19" t="str">
        <f>SUBSTITUTE(Github!L$795, ";", ", ")</f>
        <v>Array, String, </v>
      </c>
      <c r="I1412" s="17" t="str">
        <f>Github!E$795</f>
        <v>Medium</v>
      </c>
      <c r="J1412" s="17" t="str">
        <f>IF(TRIM(Github!D$795)="TRUE","FALSE","TRUE")</f>
        <v>TRUE</v>
      </c>
      <c r="K1412" s="17" t="b">
        <f>Github!M$795</f>
        <v>0</v>
      </c>
      <c r="L1412" s="17" t="b">
        <f>Github!N$795</f>
        <v>0</v>
      </c>
      <c r="M1412" s="17" t="str">
        <f>ROUND(Github!O$795, 2)&amp;"%"</f>
        <v>35.13%</v>
      </c>
      <c r="N1412" s="17">
        <f>Github!P$795</f>
        <v>44106</v>
      </c>
      <c r="O1412" s="17">
        <f>Github!Q$795</f>
        <v>125548</v>
      </c>
    </row>
    <row r="1413" ht="18.0" customHeight="1">
      <c r="A1413" s="17">
        <f>Github!J$1378</f>
        <v>1377</v>
      </c>
      <c r="B1413" s="27" t="str">
        <f>HYPERLINK(CONCAT("http://leetcode.com/problems/",Github!C$1378), Github!B$1378)</f>
        <v>Frog Position After T Seconds</v>
      </c>
      <c r="C1413" s="17">
        <f>Github!F$1378</f>
        <v>388</v>
      </c>
      <c r="D1413" s="17">
        <f>Github!G$1378</f>
        <v>90</v>
      </c>
      <c r="E1413" s="17">
        <f>Github!F$1378+Github!G$1378</f>
        <v>478</v>
      </c>
      <c r="F1413" s="18">
        <f t="shared" si="1"/>
        <v>4.31</v>
      </c>
      <c r="G1413" s="17" t="str">
        <f>Github!H$1378</f>
        <v>Algorithms</v>
      </c>
      <c r="H1413" s="19" t="str">
        <f>SUBSTITUTE(Github!L$1378, ";", ", ")</f>
        <v>Tree, Depth-First Search, Breadth-First Search, Graph, </v>
      </c>
      <c r="I1413" s="17" t="str">
        <f>Github!E$1378</f>
        <v>Hard</v>
      </c>
      <c r="J1413" s="17" t="str">
        <f>IF(TRIM(Github!D$1378)="TRUE","FALSE","TRUE")</f>
        <v>TRUE</v>
      </c>
      <c r="K1413" s="17" t="b">
        <f>Github!M$1378</f>
        <v>0</v>
      </c>
      <c r="L1413" s="17" t="b">
        <f>Github!N$1378</f>
        <v>0</v>
      </c>
      <c r="M1413" s="17" t="str">
        <f>ROUND(Github!O$1378, 2)&amp;"%"</f>
        <v>36.26%</v>
      </c>
      <c r="N1413" s="17">
        <f>Github!P$1378</f>
        <v>18699</v>
      </c>
      <c r="O1413" s="17">
        <f>Github!Q$1378</f>
        <v>51573</v>
      </c>
    </row>
    <row r="1414" ht="18.0" customHeight="1">
      <c r="A1414" s="17">
        <f>Github!J$1645</f>
        <v>1644</v>
      </c>
      <c r="B1414" s="27" t="str">
        <f>HYPERLINK(CONCAT("http://leetcode.com/problems/",Github!C$1645), Github!B$1645)</f>
        <v>Lowest Common Ancestor of a Binary Tree II</v>
      </c>
      <c r="C1414" s="17">
        <f>Github!F$1645</f>
        <v>386</v>
      </c>
      <c r="D1414" s="17">
        <f>Github!G$1645</f>
        <v>19</v>
      </c>
      <c r="E1414" s="17">
        <f>Github!F$1645+Github!G$1645</f>
        <v>405</v>
      </c>
      <c r="F1414" s="18">
        <f t="shared" si="1"/>
        <v>20.32</v>
      </c>
      <c r="G1414" s="17" t="str">
        <f>Github!H$1645</f>
        <v>Algorithms</v>
      </c>
      <c r="H1414" s="19" t="str">
        <f>SUBSTITUTE(Github!L$1645, ";", ", ")</f>
        <v>Tree, Depth-First Search, Binary Tree, </v>
      </c>
      <c r="I1414" s="17" t="str">
        <f>Github!E$1645</f>
        <v>Medium</v>
      </c>
      <c r="J1414" s="17" t="str">
        <f>IF(TRIM(Github!D$1645)="TRUE","FALSE","TRUE")</f>
        <v>FALSE</v>
      </c>
      <c r="K1414" s="17" t="b">
        <f>Github!M$1645</f>
        <v>0</v>
      </c>
      <c r="L1414" s="17" t="b">
        <f>Github!N$1645</f>
        <v>0</v>
      </c>
      <c r="M1414" s="17" t="str">
        <f>ROUND(Github!O$1645, 2)&amp;"%"</f>
        <v>58.64%</v>
      </c>
      <c r="N1414" s="17">
        <f>Github!P$1645</f>
        <v>37732</v>
      </c>
      <c r="O1414" s="17">
        <f>Github!Q$1645</f>
        <v>64345</v>
      </c>
    </row>
    <row r="1415" ht="18.0" customHeight="1">
      <c r="A1415" s="17">
        <f>Github!J$1880</f>
        <v>1879</v>
      </c>
      <c r="B1415" s="27" t="str">
        <f>HYPERLINK(CONCAT("http://leetcode.com/problems/",Github!C$1880), Github!B$1880)</f>
        <v>Minimum XOR Sum of Two Arrays</v>
      </c>
      <c r="C1415" s="17">
        <f>Github!F$1880</f>
        <v>386</v>
      </c>
      <c r="D1415" s="17">
        <f>Github!G$1880</f>
        <v>7</v>
      </c>
      <c r="E1415" s="17">
        <f>Github!F$1880+Github!G$1880</f>
        <v>393</v>
      </c>
      <c r="F1415" s="18">
        <f t="shared" si="1"/>
        <v>55.14</v>
      </c>
      <c r="G1415" s="17" t="str">
        <f>Github!H$1880</f>
        <v>Algorithms</v>
      </c>
      <c r="H1415" s="19" t="str">
        <f>SUBSTITUTE(Github!L$1880, ";", ", ")</f>
        <v>Array, Dynamic Programming, Bit Manipulation, Bitmask, </v>
      </c>
      <c r="I1415" s="17" t="str">
        <f>Github!E$1880</f>
        <v>Hard</v>
      </c>
      <c r="J1415" s="17" t="str">
        <f>IF(TRIM(Github!D$1880)="TRUE","FALSE","TRUE")</f>
        <v>TRUE</v>
      </c>
      <c r="K1415" s="17" t="b">
        <f>Github!M$1880</f>
        <v>0</v>
      </c>
      <c r="L1415" s="17" t="b">
        <f>Github!N$1880</f>
        <v>0</v>
      </c>
      <c r="M1415" s="17" t="str">
        <f>ROUND(Github!O$1880, 2)&amp;"%"</f>
        <v>41.84%</v>
      </c>
      <c r="N1415" s="17">
        <f>Github!P$1880</f>
        <v>7424</v>
      </c>
      <c r="O1415" s="17">
        <f>Github!Q$1880</f>
        <v>17745</v>
      </c>
    </row>
    <row r="1416" ht="18.0" customHeight="1">
      <c r="A1416" s="17">
        <f>Github!J$1986</f>
        <v>1985</v>
      </c>
      <c r="B1416" s="27" t="str">
        <f>HYPERLINK(CONCAT("http://leetcode.com/problems/",Github!C$1986), Github!B$1986)</f>
        <v>Find the Kth Largest Integer in the Array</v>
      </c>
      <c r="C1416" s="17">
        <f>Github!F$1986</f>
        <v>386</v>
      </c>
      <c r="D1416" s="17">
        <f>Github!G$1986</f>
        <v>62</v>
      </c>
      <c r="E1416" s="17">
        <f>Github!F$1986+Github!G$1986</f>
        <v>448</v>
      </c>
      <c r="F1416" s="18">
        <f t="shared" si="1"/>
        <v>6.23</v>
      </c>
      <c r="G1416" s="17" t="str">
        <f>Github!H$1986</f>
        <v>Algorithms</v>
      </c>
      <c r="H1416" s="19" t="str">
        <f>SUBSTITUTE(Github!L$1986, ";", ", ")</f>
        <v>Array, String, Divide and Conquer, Sorting, Heap (Priority Queue), Quickselect, </v>
      </c>
      <c r="I1416" s="17" t="str">
        <f>Github!E$1986</f>
        <v>Medium</v>
      </c>
      <c r="J1416" s="17" t="str">
        <f>IF(TRIM(Github!D$1986)="TRUE","FALSE","TRUE")</f>
        <v>TRUE</v>
      </c>
      <c r="K1416" s="17" t="b">
        <f>Github!M$1986</f>
        <v>0</v>
      </c>
      <c r="L1416" s="17" t="b">
        <f>Github!N$1986</f>
        <v>0</v>
      </c>
      <c r="M1416" s="17" t="str">
        <f>ROUND(Github!O$1986, 2)&amp;"%"</f>
        <v>44.75%</v>
      </c>
      <c r="N1416" s="17">
        <f>Github!P$1986</f>
        <v>25194</v>
      </c>
      <c r="O1416" s="17">
        <f>Github!Q$1986</f>
        <v>56303</v>
      </c>
    </row>
    <row r="1417" ht="18.0" customHeight="1">
      <c r="A1417" s="17">
        <f>Github!J$2093</f>
        <v>2092</v>
      </c>
      <c r="B1417" s="27" t="str">
        <f>HYPERLINK(CONCAT("http://leetcode.com/problems/",Github!C$2093), Github!B$2093)</f>
        <v>Find All People With Secret</v>
      </c>
      <c r="C1417" s="17">
        <f>Github!F$2093</f>
        <v>387</v>
      </c>
      <c r="D1417" s="17">
        <f>Github!G$2093</f>
        <v>19</v>
      </c>
      <c r="E1417" s="17">
        <f>Github!F$2093+Github!G$2093</f>
        <v>406</v>
      </c>
      <c r="F1417" s="18">
        <f t="shared" si="1"/>
        <v>20.37</v>
      </c>
      <c r="G1417" s="17" t="str">
        <f>Github!H$2093</f>
        <v>Algorithms</v>
      </c>
      <c r="H1417" s="19" t="str">
        <f>SUBSTITUTE(Github!L$2093, ";", ", ")</f>
        <v>Depth-First Search, Breadth-First Search, Union Find, Graph, Sorting, </v>
      </c>
      <c r="I1417" s="17" t="str">
        <f>Github!E$2093</f>
        <v>Hard</v>
      </c>
      <c r="J1417" s="17" t="str">
        <f>IF(TRIM(Github!D$2093)="TRUE","FALSE","TRUE")</f>
        <v>TRUE</v>
      </c>
      <c r="K1417" s="17" t="b">
        <f>Github!M$2093</f>
        <v>0</v>
      </c>
      <c r="L1417" s="17" t="b">
        <f>Github!N$2093</f>
        <v>0</v>
      </c>
      <c r="M1417" s="17" t="str">
        <f>ROUND(Github!O$2093, 2)&amp;"%"</f>
        <v>32.53%</v>
      </c>
      <c r="N1417" s="17">
        <f>Github!P$2093</f>
        <v>11027</v>
      </c>
      <c r="O1417" s="17">
        <f>Github!Q$2093</f>
        <v>33899</v>
      </c>
    </row>
    <row r="1418" ht="18.0" customHeight="1">
      <c r="A1418" s="17">
        <f>Github!J$493</f>
        <v>492</v>
      </c>
      <c r="B1418" s="27" t="str">
        <f>HYPERLINK(CONCAT("http://leetcode.com/problems/",Github!C$493), Github!B$493)</f>
        <v>Construct the Rectangle</v>
      </c>
      <c r="C1418" s="17">
        <f>Github!F$493</f>
        <v>385</v>
      </c>
      <c r="D1418" s="17">
        <f>Github!G$493</f>
        <v>319</v>
      </c>
      <c r="E1418" s="17">
        <f>Github!F$493+Github!G$493</f>
        <v>704</v>
      </c>
      <c r="F1418" s="18">
        <f t="shared" si="1"/>
        <v>1.21</v>
      </c>
      <c r="G1418" s="17" t="str">
        <f>Github!H$493</f>
        <v>Algorithms</v>
      </c>
      <c r="H1418" s="19" t="str">
        <f>SUBSTITUTE(Github!L$493, ";", ", ")</f>
        <v>Math, </v>
      </c>
      <c r="I1418" s="17" t="str">
        <f>Github!E$493</f>
        <v>Easy</v>
      </c>
      <c r="J1418" s="17" t="str">
        <f>IF(TRIM(Github!D$493)="TRUE","FALSE","TRUE")</f>
        <v>TRUE</v>
      </c>
      <c r="K1418" s="17" t="b">
        <f>Github!M$493</f>
        <v>0</v>
      </c>
      <c r="L1418" s="17" t="b">
        <f>Github!N$493</f>
        <v>0</v>
      </c>
      <c r="M1418" s="17" t="str">
        <f>ROUND(Github!O$493, 2)&amp;"%"</f>
        <v>52.41%</v>
      </c>
      <c r="N1418" s="17">
        <f>Github!P$493</f>
        <v>76280</v>
      </c>
      <c r="O1418" s="17">
        <f>Github!Q$493</f>
        <v>145534</v>
      </c>
    </row>
    <row r="1419" ht="18.0" customHeight="1">
      <c r="A1419" s="17">
        <f>Github!J$1570</f>
        <v>1569</v>
      </c>
      <c r="B1419" s="27" t="str">
        <f>HYPERLINK(CONCAT("http://leetcode.com/problems/",Github!C$1570), Github!B$1570)</f>
        <v>Number of Ways to Reorder Array to Get Same BST</v>
      </c>
      <c r="C1419" s="17">
        <f>Github!F$1570</f>
        <v>385</v>
      </c>
      <c r="D1419" s="17">
        <f>Github!G$1570</f>
        <v>42</v>
      </c>
      <c r="E1419" s="17">
        <f>Github!F$1570+Github!G$1570</f>
        <v>427</v>
      </c>
      <c r="F1419" s="18">
        <f t="shared" si="1"/>
        <v>9.17</v>
      </c>
      <c r="G1419" s="17" t="str">
        <f>Github!H$1570</f>
        <v>Algorithms</v>
      </c>
      <c r="H1419" s="19" t="str">
        <f>SUBSTITUTE(Github!L$1570, ";", ", ")</f>
        <v>Array, Math, Divide and Conquer, Dynamic Programming, Tree, Union Find, Binary Search Tree, Memoization, Combinatorics, Binary Tree, </v>
      </c>
      <c r="I1419" s="17" t="str">
        <f>Github!E$1570</f>
        <v>Hard</v>
      </c>
      <c r="J1419" s="17" t="str">
        <f>IF(TRIM(Github!D$1570)="TRUE","FALSE","TRUE")</f>
        <v>TRUE</v>
      </c>
      <c r="K1419" s="17" t="b">
        <f>Github!M$1570</f>
        <v>0</v>
      </c>
      <c r="L1419" s="17" t="b">
        <f>Github!N$1570</f>
        <v>0</v>
      </c>
      <c r="M1419" s="17" t="str">
        <f>ROUND(Github!O$1570, 2)&amp;"%"</f>
        <v>49.12%</v>
      </c>
      <c r="N1419" s="17">
        <f>Github!P$1570</f>
        <v>9103</v>
      </c>
      <c r="O1419" s="17">
        <f>Github!Q$1570</f>
        <v>18537</v>
      </c>
    </row>
    <row r="1420" ht="18.0" customHeight="1">
      <c r="A1420" s="17">
        <f>Github!J$1813</f>
        <v>1812</v>
      </c>
      <c r="B1420" s="27" t="str">
        <f>HYPERLINK(CONCAT("http://leetcode.com/problems/",Github!C$1813), Github!B$1813)</f>
        <v>Determine Color of a Chessboard Square</v>
      </c>
      <c r="C1420" s="17">
        <f>Github!F$1813</f>
        <v>386</v>
      </c>
      <c r="D1420" s="17">
        <f>Github!G$1813</f>
        <v>13</v>
      </c>
      <c r="E1420" s="17">
        <f>Github!F$1813+Github!G$1813</f>
        <v>399</v>
      </c>
      <c r="F1420" s="18">
        <f t="shared" si="1"/>
        <v>29.69</v>
      </c>
      <c r="G1420" s="17" t="str">
        <f>Github!H$1813</f>
        <v>Algorithms</v>
      </c>
      <c r="H1420" s="19" t="str">
        <f>SUBSTITUTE(Github!L$1813, ";", ", ")</f>
        <v>Math, String, </v>
      </c>
      <c r="I1420" s="17" t="str">
        <f>Github!E$1813</f>
        <v>Easy</v>
      </c>
      <c r="J1420" s="17" t="str">
        <f>IF(TRIM(Github!D$1813)="TRUE","FALSE","TRUE")</f>
        <v>TRUE</v>
      </c>
      <c r="K1420" s="17" t="b">
        <f>Github!M$1813</f>
        <v>0</v>
      </c>
      <c r="L1420" s="17" t="b">
        <f>Github!N$1813</f>
        <v>0</v>
      </c>
      <c r="M1420" s="17" t="str">
        <f>ROUND(Github!O$1813, 2)&amp;"%"</f>
        <v>77.63%</v>
      </c>
      <c r="N1420" s="17">
        <f>Github!P$1813</f>
        <v>33909</v>
      </c>
      <c r="O1420" s="17">
        <f>Github!Q$1813</f>
        <v>43683</v>
      </c>
    </row>
    <row r="1421" ht="18.0" customHeight="1">
      <c r="A1421" s="17">
        <f>Github!J$1002</f>
        <v>1001</v>
      </c>
      <c r="B1421" s="27" t="str">
        <f>HYPERLINK(CONCAT("http://leetcode.com/problems/",Github!C$1002), Github!B$1002)</f>
        <v>Grid Illumination</v>
      </c>
      <c r="C1421" s="17">
        <f>Github!F$1002</f>
        <v>384</v>
      </c>
      <c r="D1421" s="17">
        <f>Github!G$1002</f>
        <v>102</v>
      </c>
      <c r="E1421" s="17">
        <f>Github!F$1002+Github!G$1002</f>
        <v>486</v>
      </c>
      <c r="F1421" s="18">
        <f t="shared" si="1"/>
        <v>3.76</v>
      </c>
      <c r="G1421" s="17" t="str">
        <f>Github!H$1002</f>
        <v>Algorithms</v>
      </c>
      <c r="H1421" s="19" t="str">
        <f>SUBSTITUTE(Github!L$1002, ";", ", ")</f>
        <v>Array, Hash Table, </v>
      </c>
      <c r="I1421" s="17" t="str">
        <f>Github!E$1002</f>
        <v>Hard</v>
      </c>
      <c r="J1421" s="17" t="str">
        <f>IF(TRIM(Github!D$1002)="TRUE","FALSE","TRUE")</f>
        <v>TRUE</v>
      </c>
      <c r="K1421" s="17" t="b">
        <f>Github!M$1002</f>
        <v>0</v>
      </c>
      <c r="L1421" s="17" t="b">
        <f>Github!N$1002</f>
        <v>0</v>
      </c>
      <c r="M1421" s="17" t="str">
        <f>ROUND(Github!O$1002, 2)&amp;"%"</f>
        <v>36.14%</v>
      </c>
      <c r="N1421" s="17">
        <f>Github!P$1002</f>
        <v>14730</v>
      </c>
      <c r="O1421" s="17">
        <f>Github!Q$1002</f>
        <v>40759</v>
      </c>
    </row>
    <row r="1422" ht="18.0" customHeight="1">
      <c r="A1422" s="17">
        <f>Github!J$1759</f>
        <v>1758</v>
      </c>
      <c r="B1422" s="27" t="str">
        <f>HYPERLINK(CONCAT("http://leetcode.com/problems/",Github!C$1759), Github!B$1759)</f>
        <v>Minimum Changes To Make Alternating Binary String</v>
      </c>
      <c r="C1422" s="17">
        <f>Github!F$1759</f>
        <v>383</v>
      </c>
      <c r="D1422" s="17">
        <f>Github!G$1759</f>
        <v>11</v>
      </c>
      <c r="E1422" s="17">
        <f>Github!F$1759+Github!G$1759</f>
        <v>394</v>
      </c>
      <c r="F1422" s="18">
        <f t="shared" si="1"/>
        <v>34.82</v>
      </c>
      <c r="G1422" s="17" t="str">
        <f>Github!H$1759</f>
        <v>Algorithms</v>
      </c>
      <c r="H1422" s="19" t="str">
        <f>SUBSTITUTE(Github!L$1759, ";", ", ")</f>
        <v>String, </v>
      </c>
      <c r="I1422" s="17" t="str">
        <f>Github!E$1759</f>
        <v>Easy</v>
      </c>
      <c r="J1422" s="17" t="str">
        <f>IF(TRIM(Github!D$1759)="TRUE","FALSE","TRUE")</f>
        <v>TRUE</v>
      </c>
      <c r="K1422" s="17" t="b">
        <f>Github!M$1759</f>
        <v>0</v>
      </c>
      <c r="L1422" s="17" t="b">
        <f>Github!N$1759</f>
        <v>0</v>
      </c>
      <c r="M1422" s="17" t="str">
        <f>ROUND(Github!O$1759, 2)&amp;"%"</f>
        <v>59.27%</v>
      </c>
      <c r="N1422" s="17">
        <f>Github!P$1759</f>
        <v>25975</v>
      </c>
      <c r="O1422" s="17">
        <f>Github!Q$1759</f>
        <v>43825</v>
      </c>
    </row>
    <row r="1423" ht="18.0" customHeight="1">
      <c r="A1423" s="17">
        <f>Github!J$2140</f>
        <v>2139</v>
      </c>
      <c r="B1423" s="27" t="str">
        <f>HYPERLINK(CONCAT("http://leetcode.com/problems/",Github!C$2140), Github!B$2140)</f>
        <v>Minimum Moves to Reach Target Score</v>
      </c>
      <c r="C1423" s="17">
        <f>Github!F$2140</f>
        <v>383</v>
      </c>
      <c r="D1423" s="17">
        <f>Github!G$2140</f>
        <v>5</v>
      </c>
      <c r="E1423" s="17">
        <f>Github!F$2140+Github!G$2140</f>
        <v>388</v>
      </c>
      <c r="F1423" s="18">
        <f t="shared" si="1"/>
        <v>76.6</v>
      </c>
      <c r="G1423" s="17" t="str">
        <f>Github!H$2140</f>
        <v>Algorithms</v>
      </c>
      <c r="H1423" s="19" t="str">
        <f>SUBSTITUTE(Github!L$2140, ";", ", ")</f>
        <v>Math, Greedy, </v>
      </c>
      <c r="I1423" s="17" t="str">
        <f>Github!E$2140</f>
        <v>Medium</v>
      </c>
      <c r="J1423" s="17" t="str">
        <f>IF(TRIM(Github!D$2140)="TRUE","FALSE","TRUE")</f>
        <v>TRUE</v>
      </c>
      <c r="K1423" s="17" t="b">
        <f>Github!M$2140</f>
        <v>0</v>
      </c>
      <c r="L1423" s="17" t="b">
        <f>Github!N$2140</f>
        <v>0</v>
      </c>
      <c r="M1423" s="17" t="str">
        <f>ROUND(Github!O$2140, 2)&amp;"%"</f>
        <v>48.55%</v>
      </c>
      <c r="N1423" s="17">
        <f>Github!P$2140</f>
        <v>19500</v>
      </c>
      <c r="O1423" s="17">
        <f>Github!Q$2140</f>
        <v>40162</v>
      </c>
    </row>
    <row r="1424" ht="18.0" customHeight="1">
      <c r="A1424" s="17">
        <f>Github!J$884</f>
        <v>883</v>
      </c>
      <c r="B1424" s="27" t="str">
        <f>HYPERLINK(CONCAT("http://leetcode.com/problems/",Github!C$884), Github!B$884)</f>
        <v>Projection Area of 3D Shapes</v>
      </c>
      <c r="C1424" s="17">
        <f>Github!F$884</f>
        <v>383</v>
      </c>
      <c r="D1424" s="17">
        <f>Github!G$884</f>
        <v>1122</v>
      </c>
      <c r="E1424" s="17">
        <f>Github!F$884+Github!G$884</f>
        <v>1505</v>
      </c>
      <c r="F1424" s="18">
        <f t="shared" si="1"/>
        <v>0.34</v>
      </c>
      <c r="G1424" s="17" t="str">
        <f>Github!H$884</f>
        <v>Algorithms</v>
      </c>
      <c r="H1424" s="19" t="str">
        <f>SUBSTITUTE(Github!L$884, ";", ", ")</f>
        <v>Array, Math, Geometry, Matrix, </v>
      </c>
      <c r="I1424" s="17" t="str">
        <f>Github!E$884</f>
        <v>Easy</v>
      </c>
      <c r="J1424" s="17" t="str">
        <f>IF(TRIM(Github!D$884)="TRUE","FALSE","TRUE")</f>
        <v>TRUE</v>
      </c>
      <c r="K1424" s="17" t="b">
        <f>Github!M$884</f>
        <v>1</v>
      </c>
      <c r="L1424" s="17" t="b">
        <f>Github!N$884</f>
        <v>0</v>
      </c>
      <c r="M1424" s="17" t="str">
        <f>ROUND(Github!O$884, 2)&amp;"%"</f>
        <v>69.87%</v>
      </c>
      <c r="N1424" s="17">
        <f>Github!P$884</f>
        <v>39476</v>
      </c>
      <c r="O1424" s="17">
        <f>Github!Q$884</f>
        <v>56497</v>
      </c>
    </row>
    <row r="1425" ht="18.0" customHeight="1">
      <c r="A1425" s="17">
        <f>Github!J$1013</f>
        <v>1012</v>
      </c>
      <c r="B1425" s="27" t="str">
        <f>HYPERLINK(CONCAT("http://leetcode.com/problems/",Github!C$1013), Github!B$1013)</f>
        <v>Numbers With Repeated Digits</v>
      </c>
      <c r="C1425" s="17">
        <f>Github!F$1013</f>
        <v>381</v>
      </c>
      <c r="D1425" s="17">
        <f>Github!G$1013</f>
        <v>59</v>
      </c>
      <c r="E1425" s="17">
        <f>Github!F$1013+Github!G$1013</f>
        <v>440</v>
      </c>
      <c r="F1425" s="18">
        <f t="shared" si="1"/>
        <v>6.46</v>
      </c>
      <c r="G1425" s="17" t="str">
        <f>Github!H$1013</f>
        <v>Algorithms</v>
      </c>
      <c r="H1425" s="19" t="str">
        <f>SUBSTITUTE(Github!L$1013, ";", ", ")</f>
        <v>Math, Dynamic Programming, </v>
      </c>
      <c r="I1425" s="17" t="str">
        <f>Github!E$1013</f>
        <v>Hard</v>
      </c>
      <c r="J1425" s="17" t="str">
        <f>IF(TRIM(Github!D$1013)="TRUE","FALSE","TRUE")</f>
        <v>TRUE</v>
      </c>
      <c r="K1425" s="17" t="b">
        <f>Github!M$1013</f>
        <v>0</v>
      </c>
      <c r="L1425" s="17" t="b">
        <f>Github!N$1013</f>
        <v>0</v>
      </c>
      <c r="M1425" s="17" t="str">
        <f>ROUND(Github!O$1013, 2)&amp;"%"</f>
        <v>38.46%</v>
      </c>
      <c r="N1425" s="17">
        <f>Github!P$1013</f>
        <v>8799</v>
      </c>
      <c r="O1425" s="17">
        <f>Github!Q$1013</f>
        <v>22881</v>
      </c>
    </row>
    <row r="1426" ht="18.0" customHeight="1">
      <c r="A1426" s="17">
        <f>Github!J$549</f>
        <v>548</v>
      </c>
      <c r="B1426" s="27" t="str">
        <f>HYPERLINK(CONCAT("http://leetcode.com/problems/",Github!C$549), Github!B$549)</f>
        <v>Split Array with Equal Sum</v>
      </c>
      <c r="C1426" s="17">
        <f>Github!F$549</f>
        <v>380</v>
      </c>
      <c r="D1426" s="17">
        <f>Github!G$549</f>
        <v>124</v>
      </c>
      <c r="E1426" s="17">
        <f>Github!F$549+Github!G$549</f>
        <v>504</v>
      </c>
      <c r="F1426" s="18">
        <f t="shared" si="1"/>
        <v>3.06</v>
      </c>
      <c r="G1426" s="17" t="str">
        <f>Github!H$549</f>
        <v>Algorithms</v>
      </c>
      <c r="H1426" s="19" t="str">
        <f>SUBSTITUTE(Github!L$549, ";", ", ")</f>
        <v>Array, Prefix Sum, </v>
      </c>
      <c r="I1426" s="17" t="str">
        <f>Github!E$549</f>
        <v>Hard</v>
      </c>
      <c r="J1426" s="17" t="str">
        <f>IF(TRIM(Github!D$549)="TRUE","FALSE","TRUE")</f>
        <v>FALSE</v>
      </c>
      <c r="K1426" s="17" t="b">
        <f>Github!M$549</f>
        <v>1</v>
      </c>
      <c r="L1426" s="17" t="b">
        <f>Github!N$549</f>
        <v>0</v>
      </c>
      <c r="M1426" s="17" t="str">
        <f>ROUND(Github!O$549, 2)&amp;"%"</f>
        <v>49.75%</v>
      </c>
      <c r="N1426" s="17">
        <f>Github!P$549</f>
        <v>21792</v>
      </c>
      <c r="O1426" s="17">
        <f>Github!Q$549</f>
        <v>43799</v>
      </c>
    </row>
    <row r="1427" ht="18.0" customHeight="1">
      <c r="A1427" s="17">
        <f>Github!J$737</f>
        <v>736</v>
      </c>
      <c r="B1427" s="27" t="str">
        <f>HYPERLINK(CONCAT("http://leetcode.com/problems/",Github!C$737), Github!B$737)</f>
        <v>Parse Lisp Expression</v>
      </c>
      <c r="C1427" s="17">
        <f>Github!F$737</f>
        <v>380</v>
      </c>
      <c r="D1427" s="17">
        <f>Github!G$737</f>
        <v>297</v>
      </c>
      <c r="E1427" s="17">
        <f>Github!F$737+Github!G$737</f>
        <v>677</v>
      </c>
      <c r="F1427" s="18">
        <f t="shared" si="1"/>
        <v>1.28</v>
      </c>
      <c r="G1427" s="17" t="str">
        <f>Github!H$737</f>
        <v>Algorithms</v>
      </c>
      <c r="H1427" s="19" t="str">
        <f>SUBSTITUTE(Github!L$737, ";", ", ")</f>
        <v>Hash Table, String, Stack, Recursion, </v>
      </c>
      <c r="I1427" s="17" t="str">
        <f>Github!E$737</f>
        <v>Hard</v>
      </c>
      <c r="J1427" s="17" t="str">
        <f>IF(TRIM(Github!D$737)="TRUE","FALSE","TRUE")</f>
        <v>TRUE</v>
      </c>
      <c r="K1427" s="17" t="b">
        <f>Github!M$737</f>
        <v>0</v>
      </c>
      <c r="L1427" s="17" t="b">
        <f>Github!N$737</f>
        <v>0</v>
      </c>
      <c r="M1427" s="17" t="str">
        <f>ROUND(Github!O$737, 2)&amp;"%"</f>
        <v>51.2%</v>
      </c>
      <c r="N1427" s="17">
        <f>Github!P$737</f>
        <v>18178</v>
      </c>
      <c r="O1427" s="17">
        <f>Github!Q$737</f>
        <v>35505</v>
      </c>
    </row>
    <row r="1428" ht="18.0" customHeight="1">
      <c r="A1428" s="17">
        <f>Github!J$2131</f>
        <v>2130</v>
      </c>
      <c r="B1428" s="27" t="str">
        <f>HYPERLINK(CONCAT("http://leetcode.com/problems/",Github!C$2131), Github!B$2131)</f>
        <v>Maximum Twin Sum of a Linked List</v>
      </c>
      <c r="C1428" s="17">
        <f>Github!F$2131</f>
        <v>384</v>
      </c>
      <c r="D1428" s="17">
        <f>Github!G$2131</f>
        <v>15</v>
      </c>
      <c r="E1428" s="17">
        <f>Github!F$2131+Github!G$2131</f>
        <v>399</v>
      </c>
      <c r="F1428" s="18">
        <f t="shared" si="1"/>
        <v>25.6</v>
      </c>
      <c r="G1428" s="17" t="str">
        <f>Github!H$2131</f>
        <v>Algorithms</v>
      </c>
      <c r="H1428" s="19" t="str">
        <f>SUBSTITUTE(Github!L$2131, ";", ", ")</f>
        <v>Linked List, Two Pointers, Stack, </v>
      </c>
      <c r="I1428" s="17" t="str">
        <f>Github!E$2131</f>
        <v>Medium</v>
      </c>
      <c r="J1428" s="17" t="str">
        <f>IF(TRIM(Github!D$2131)="TRUE","FALSE","TRUE")</f>
        <v>TRUE</v>
      </c>
      <c r="K1428" s="17" t="b">
        <f>Github!M$2131</f>
        <v>0</v>
      </c>
      <c r="L1428" s="17" t="b">
        <f>Github!N$2131</f>
        <v>0</v>
      </c>
      <c r="M1428" s="17" t="str">
        <f>ROUND(Github!O$2131, 2)&amp;"%"</f>
        <v>82.38%</v>
      </c>
      <c r="N1428" s="17">
        <f>Github!P$2131</f>
        <v>22896</v>
      </c>
      <c r="O1428" s="17">
        <f>Github!Q$2131</f>
        <v>27791</v>
      </c>
    </row>
    <row r="1429" ht="18.0" customHeight="1">
      <c r="A1429" s="17">
        <f>Github!J$432</f>
        <v>431</v>
      </c>
      <c r="B1429" s="27" t="str">
        <f>HYPERLINK(CONCAT("http://leetcode.com/problems/",Github!C$432), Github!B$432)</f>
        <v>Encode N-ary Tree to Binary Tree</v>
      </c>
      <c r="C1429" s="17">
        <f>Github!F$432</f>
        <v>379</v>
      </c>
      <c r="D1429" s="17">
        <f>Github!G$432</f>
        <v>20</v>
      </c>
      <c r="E1429" s="17">
        <f>Github!F$432+Github!G$432</f>
        <v>399</v>
      </c>
      <c r="F1429" s="18">
        <f t="shared" si="1"/>
        <v>18.95</v>
      </c>
      <c r="G1429" s="17" t="str">
        <f>Github!H$432</f>
        <v>Algorithms</v>
      </c>
      <c r="H1429" s="19" t="str">
        <f>SUBSTITUTE(Github!L$432, ";", ", ")</f>
        <v>Tree, Depth-First Search, Breadth-First Search, Design, Binary Tree, </v>
      </c>
      <c r="I1429" s="17" t="str">
        <f>Github!E$432</f>
        <v>Hard</v>
      </c>
      <c r="J1429" s="17" t="str">
        <f>IF(TRIM(Github!D$432)="TRUE","FALSE","TRUE")</f>
        <v>FALSE</v>
      </c>
      <c r="K1429" s="17" t="b">
        <f>Github!M$432</f>
        <v>1</v>
      </c>
      <c r="L1429" s="17" t="b">
        <f>Github!N$432</f>
        <v>0</v>
      </c>
      <c r="M1429" s="17" t="str">
        <f>ROUND(Github!O$432, 2)&amp;"%"</f>
        <v>76.17%</v>
      </c>
      <c r="N1429" s="17">
        <f>Github!P$432</f>
        <v>14590</v>
      </c>
      <c r="O1429" s="17">
        <f>Github!Q$432</f>
        <v>19154</v>
      </c>
    </row>
    <row r="1430" ht="18.0" customHeight="1">
      <c r="A1430" s="17">
        <f>Github!J$2035</f>
        <v>2034</v>
      </c>
      <c r="B1430" s="27" t="str">
        <f>HYPERLINK(CONCAT("http://leetcode.com/problems/",Github!C$2035), Github!B$2035)</f>
        <v>Stock Price Fluctuation </v>
      </c>
      <c r="C1430" s="17">
        <f>Github!F$2035</f>
        <v>379</v>
      </c>
      <c r="D1430" s="17">
        <f>Github!G$2035</f>
        <v>27</v>
      </c>
      <c r="E1430" s="17">
        <f>Github!F$2035+Github!G$2035</f>
        <v>406</v>
      </c>
      <c r="F1430" s="18">
        <f t="shared" si="1"/>
        <v>14.04</v>
      </c>
      <c r="G1430" s="17" t="str">
        <f>Github!H$2035</f>
        <v>Algorithms</v>
      </c>
      <c r="H1430" s="19" t="str">
        <f>SUBSTITUTE(Github!L$2035, ";", ", ")</f>
        <v>Hash Table, Design, Heap (Priority Queue), Data Stream, Ordered Set, </v>
      </c>
      <c r="I1430" s="17" t="str">
        <f>Github!E$2035</f>
        <v>Medium</v>
      </c>
      <c r="J1430" s="17" t="str">
        <f>IF(TRIM(Github!D$2035)="TRUE","FALSE","TRUE")</f>
        <v>TRUE</v>
      </c>
      <c r="K1430" s="17" t="b">
        <f>Github!M$2035</f>
        <v>0</v>
      </c>
      <c r="L1430" s="17" t="b">
        <f>Github!N$2035</f>
        <v>0</v>
      </c>
      <c r="M1430" s="17" t="str">
        <f>ROUND(Github!O$2035, 2)&amp;"%"</f>
        <v>46.34%</v>
      </c>
      <c r="N1430" s="17">
        <f>Github!P$2035</f>
        <v>19373</v>
      </c>
      <c r="O1430" s="17">
        <f>Github!Q$2035</f>
        <v>41806</v>
      </c>
    </row>
    <row r="1431" ht="18.0" customHeight="1">
      <c r="A1431" s="17">
        <f>Github!J$1035</f>
        <v>1034</v>
      </c>
      <c r="B1431" s="27" t="str">
        <f>HYPERLINK(CONCAT("http://leetcode.com/problems/",Github!C$1035), Github!B$1035)</f>
        <v>Coloring A Border</v>
      </c>
      <c r="C1431" s="17">
        <f>Github!F$1035</f>
        <v>378</v>
      </c>
      <c r="D1431" s="17">
        <f>Github!G$1035</f>
        <v>573</v>
      </c>
      <c r="E1431" s="17">
        <f>Github!F$1035+Github!G$1035</f>
        <v>951</v>
      </c>
      <c r="F1431" s="18">
        <f t="shared" si="1"/>
        <v>0.66</v>
      </c>
      <c r="G1431" s="17" t="str">
        <f>Github!H$1035</f>
        <v>Algorithms</v>
      </c>
      <c r="H1431" s="19" t="str">
        <f>SUBSTITUTE(Github!L$1035, ";", ", ")</f>
        <v>Array, Depth-First Search, Breadth-First Search, Matrix, </v>
      </c>
      <c r="I1431" s="17" t="str">
        <f>Github!E$1035</f>
        <v>Medium</v>
      </c>
      <c r="J1431" s="17" t="str">
        <f>IF(TRIM(Github!D$1035)="TRUE","FALSE","TRUE")</f>
        <v>TRUE</v>
      </c>
      <c r="K1431" s="17" t="b">
        <f>Github!M$1035</f>
        <v>0</v>
      </c>
      <c r="L1431" s="17" t="b">
        <f>Github!N$1035</f>
        <v>0</v>
      </c>
      <c r="M1431" s="17" t="str">
        <f>ROUND(Github!O$1035, 2)&amp;"%"</f>
        <v>48.17%</v>
      </c>
      <c r="N1431" s="17">
        <f>Github!P$1035</f>
        <v>21320</v>
      </c>
      <c r="O1431" s="17">
        <f>Github!Q$1035</f>
        <v>44261</v>
      </c>
    </row>
    <row r="1432" ht="18.0" customHeight="1">
      <c r="A1432" s="17">
        <f>Github!J$1207</f>
        <v>1206</v>
      </c>
      <c r="B1432" s="27" t="str">
        <f>HYPERLINK(CONCAT("http://leetcode.com/problems/",Github!C$1207), Github!B$1207)</f>
        <v>Design Skiplist</v>
      </c>
      <c r="C1432" s="17">
        <f>Github!F$1207</f>
        <v>378</v>
      </c>
      <c r="D1432" s="17">
        <f>Github!G$1207</f>
        <v>45</v>
      </c>
      <c r="E1432" s="17">
        <f>Github!F$1207+Github!G$1207</f>
        <v>423</v>
      </c>
      <c r="F1432" s="18">
        <f t="shared" si="1"/>
        <v>8.4</v>
      </c>
      <c r="G1432" s="17" t="str">
        <f>Github!H$1207</f>
        <v>Algorithms</v>
      </c>
      <c r="H1432" s="19" t="str">
        <f>SUBSTITUTE(Github!L$1207, ";", ", ")</f>
        <v>Linked List, Design, </v>
      </c>
      <c r="I1432" s="17" t="str">
        <f>Github!E$1207</f>
        <v>Hard</v>
      </c>
      <c r="J1432" s="17" t="str">
        <f>IF(TRIM(Github!D$1207)="TRUE","FALSE","TRUE")</f>
        <v>TRUE</v>
      </c>
      <c r="K1432" s="17" t="b">
        <f>Github!M$1207</f>
        <v>0</v>
      </c>
      <c r="L1432" s="17" t="b">
        <f>Github!N$1207</f>
        <v>0</v>
      </c>
      <c r="M1432" s="17" t="str">
        <f>ROUND(Github!O$1207, 2)&amp;"%"</f>
        <v>59.73%</v>
      </c>
      <c r="N1432" s="17">
        <f>Github!P$1207</f>
        <v>11712</v>
      </c>
      <c r="O1432" s="17">
        <f>Github!Q$1207</f>
        <v>19609</v>
      </c>
    </row>
    <row r="1433" ht="18.0" customHeight="1">
      <c r="A1433" s="17">
        <f>Github!J$1243</f>
        <v>1242</v>
      </c>
      <c r="B1433" s="27" t="str">
        <f>HYPERLINK(CONCAT("http://leetcode.com/problems/",Github!C$1243), Github!B$1243)</f>
        <v>Web Crawler Multithreaded</v>
      </c>
      <c r="C1433" s="17">
        <f>Github!F$1243</f>
        <v>378</v>
      </c>
      <c r="D1433" s="17">
        <f>Github!G$1243</f>
        <v>69</v>
      </c>
      <c r="E1433" s="17">
        <f>Github!F$1243+Github!G$1243</f>
        <v>447</v>
      </c>
      <c r="F1433" s="18">
        <f t="shared" si="1"/>
        <v>5.48</v>
      </c>
      <c r="G1433" s="17" t="str">
        <f>Github!H$1243</f>
        <v>Concurrency</v>
      </c>
      <c r="H1433" s="19" t="str">
        <f>SUBSTITUTE(Github!L$1243, ";", ", ")</f>
        <v>Depth-First Search, Breadth-First Search, Concurrency, </v>
      </c>
      <c r="I1433" s="17" t="str">
        <f>Github!E$1243</f>
        <v>Medium</v>
      </c>
      <c r="J1433" s="17" t="str">
        <f>IF(TRIM(Github!D$1243)="TRUE","FALSE","TRUE")</f>
        <v>FALSE</v>
      </c>
      <c r="K1433" s="17" t="b">
        <f>Github!M$1243</f>
        <v>0</v>
      </c>
      <c r="L1433" s="17" t="b">
        <f>Github!N$1243</f>
        <v>0</v>
      </c>
      <c r="M1433" s="17" t="str">
        <f>ROUND(Github!O$1243, 2)&amp;"%"</f>
        <v>48.51%</v>
      </c>
      <c r="N1433" s="17">
        <f>Github!P$1243</f>
        <v>30946</v>
      </c>
      <c r="O1433" s="17">
        <f>Github!Q$1243</f>
        <v>63792</v>
      </c>
    </row>
    <row r="1434" ht="18.0" customHeight="1">
      <c r="A1434" s="17">
        <f>Github!J$1418</f>
        <v>1417</v>
      </c>
      <c r="B1434" s="27" t="str">
        <f>HYPERLINK(CONCAT("http://leetcode.com/problems/",Github!C$1418), Github!B$1418)</f>
        <v>Reformat The String</v>
      </c>
      <c r="C1434" s="17">
        <f>Github!F$1418</f>
        <v>379</v>
      </c>
      <c r="D1434" s="17">
        <f>Github!G$1418</f>
        <v>73</v>
      </c>
      <c r="E1434" s="17">
        <f>Github!F$1418+Github!G$1418</f>
        <v>452</v>
      </c>
      <c r="F1434" s="18">
        <f t="shared" si="1"/>
        <v>5.19</v>
      </c>
      <c r="G1434" s="17" t="str">
        <f>Github!H$1418</f>
        <v>Algorithms</v>
      </c>
      <c r="H1434" s="19" t="str">
        <f>SUBSTITUTE(Github!L$1418, ";", ", ")</f>
        <v>String, </v>
      </c>
      <c r="I1434" s="17" t="str">
        <f>Github!E$1418</f>
        <v>Easy</v>
      </c>
      <c r="J1434" s="17" t="str">
        <f>IF(TRIM(Github!D$1418)="TRUE","FALSE","TRUE")</f>
        <v>TRUE</v>
      </c>
      <c r="K1434" s="17" t="b">
        <f>Github!M$1418</f>
        <v>0</v>
      </c>
      <c r="L1434" s="17" t="b">
        <f>Github!N$1418</f>
        <v>0</v>
      </c>
      <c r="M1434" s="17" t="str">
        <f>ROUND(Github!O$1418, 2)&amp;"%"</f>
        <v>56.42%</v>
      </c>
      <c r="N1434" s="17">
        <f>Github!P$1418</f>
        <v>41482</v>
      </c>
      <c r="O1434" s="17">
        <f>Github!Q$1418</f>
        <v>73530</v>
      </c>
    </row>
    <row r="1435" ht="18.0" customHeight="1">
      <c r="A1435" s="17">
        <f>Github!J$1438</f>
        <v>1437</v>
      </c>
      <c r="B1435" s="27" t="str">
        <f>HYPERLINK(CONCAT("http://leetcode.com/problems/",Github!C$1438), Github!B$1438)</f>
        <v>Check If All 1's Are at Least Length K Places Away</v>
      </c>
      <c r="C1435" s="17">
        <f>Github!F$1438</f>
        <v>378</v>
      </c>
      <c r="D1435" s="17">
        <f>Github!G$1438</f>
        <v>192</v>
      </c>
      <c r="E1435" s="17">
        <f>Github!F$1438+Github!G$1438</f>
        <v>570</v>
      </c>
      <c r="F1435" s="18">
        <f t="shared" si="1"/>
        <v>1.97</v>
      </c>
      <c r="G1435" s="17" t="str">
        <f>Github!H$1438</f>
        <v>Algorithms</v>
      </c>
      <c r="H1435" s="19" t="str">
        <f>SUBSTITUTE(Github!L$1438, ";", ", ")</f>
        <v>Array, </v>
      </c>
      <c r="I1435" s="17" t="str">
        <f>Github!E$1438</f>
        <v>Easy</v>
      </c>
      <c r="J1435" s="17" t="str">
        <f>IF(TRIM(Github!D$1438)="TRUE","FALSE","TRUE")</f>
        <v>TRUE</v>
      </c>
      <c r="K1435" s="17" t="b">
        <f>Github!M$1438</f>
        <v>1</v>
      </c>
      <c r="L1435" s="17" t="b">
        <f>Github!N$1438</f>
        <v>0</v>
      </c>
      <c r="M1435" s="17" t="str">
        <f>ROUND(Github!O$1438, 2)&amp;"%"</f>
        <v>60.12%</v>
      </c>
      <c r="N1435" s="17">
        <f>Github!P$1438</f>
        <v>56514</v>
      </c>
      <c r="O1435" s="17">
        <f>Github!Q$1438</f>
        <v>94009</v>
      </c>
    </row>
    <row r="1436" ht="18.0" customHeight="1">
      <c r="A1436" s="17">
        <f>Github!J$1818</f>
        <v>1817</v>
      </c>
      <c r="B1436" s="27" t="str">
        <f>HYPERLINK(CONCAT("http://leetcode.com/problems/",Github!C$1818), Github!B$1818)</f>
        <v>Finding the Users Active Minutes</v>
      </c>
      <c r="C1436" s="17">
        <f>Github!F$1818</f>
        <v>378</v>
      </c>
      <c r="D1436" s="17">
        <f>Github!G$1818</f>
        <v>146</v>
      </c>
      <c r="E1436" s="17">
        <f>Github!F$1818+Github!G$1818</f>
        <v>524</v>
      </c>
      <c r="F1436" s="18">
        <f t="shared" si="1"/>
        <v>2.59</v>
      </c>
      <c r="G1436" s="17" t="str">
        <f>Github!H$1818</f>
        <v>Algorithms</v>
      </c>
      <c r="H1436" s="19" t="str">
        <f>SUBSTITUTE(Github!L$1818, ";", ", ")</f>
        <v>Array, Hash Table, </v>
      </c>
      <c r="I1436" s="17" t="str">
        <f>Github!E$1818</f>
        <v>Medium</v>
      </c>
      <c r="J1436" s="17" t="str">
        <f>IF(TRIM(Github!D$1818)="TRUE","FALSE","TRUE")</f>
        <v>TRUE</v>
      </c>
      <c r="K1436" s="17" t="b">
        <f>Github!M$1818</f>
        <v>0</v>
      </c>
      <c r="L1436" s="17" t="b">
        <f>Github!N$1818</f>
        <v>0</v>
      </c>
      <c r="M1436" s="17" t="str">
        <f>ROUND(Github!O$1818, 2)&amp;"%"</f>
        <v>80.5%</v>
      </c>
      <c r="N1436" s="17">
        <f>Github!P$1818</f>
        <v>30159</v>
      </c>
      <c r="O1436" s="17">
        <f>Github!Q$1818</f>
        <v>37464</v>
      </c>
    </row>
    <row r="1437" ht="18.0" customHeight="1">
      <c r="A1437" s="17">
        <f>Github!J$498</f>
        <v>497</v>
      </c>
      <c r="B1437" s="27" t="str">
        <f>HYPERLINK(CONCAT("http://leetcode.com/problems/",Github!C$498), Github!B$498)</f>
        <v>Random Point in Non-overlapping Rectangles</v>
      </c>
      <c r="C1437" s="17">
        <f>Github!F$498</f>
        <v>377</v>
      </c>
      <c r="D1437" s="17">
        <f>Github!G$498</f>
        <v>588</v>
      </c>
      <c r="E1437" s="17">
        <f>Github!F$498+Github!G$498</f>
        <v>965</v>
      </c>
      <c r="F1437" s="18">
        <f t="shared" si="1"/>
        <v>0.64</v>
      </c>
      <c r="G1437" s="17" t="str">
        <f>Github!H$498</f>
        <v>Algorithms</v>
      </c>
      <c r="H1437" s="19" t="str">
        <f>SUBSTITUTE(Github!L$498, ";", ", ")</f>
        <v>Math, Binary Search, Reservoir Sampling, Prefix Sum, Ordered Set, Randomized, </v>
      </c>
      <c r="I1437" s="17" t="str">
        <f>Github!E$498</f>
        <v>Medium</v>
      </c>
      <c r="J1437" s="17" t="str">
        <f>IF(TRIM(Github!D$498)="TRUE","FALSE","TRUE")</f>
        <v>TRUE</v>
      </c>
      <c r="K1437" s="17" t="b">
        <f>Github!M$498</f>
        <v>0</v>
      </c>
      <c r="L1437" s="17" t="b">
        <f>Github!N$498</f>
        <v>0</v>
      </c>
      <c r="M1437" s="17" t="str">
        <f>ROUND(Github!O$498, 2)&amp;"%"</f>
        <v>39.12%</v>
      </c>
      <c r="N1437" s="17">
        <f>Github!P$498</f>
        <v>33608</v>
      </c>
      <c r="O1437" s="17">
        <f>Github!Q$498</f>
        <v>85909</v>
      </c>
    </row>
    <row r="1438" ht="18.0" customHeight="1">
      <c r="A1438" s="17">
        <f>Github!J$1718</f>
        <v>1717</v>
      </c>
      <c r="B1438" s="27" t="str">
        <f>HYPERLINK(CONCAT("http://leetcode.com/problems/",Github!C$1718), Github!B$1718)</f>
        <v>Maximum Score From Removing Substrings</v>
      </c>
      <c r="C1438" s="17">
        <f>Github!F$1718</f>
        <v>379</v>
      </c>
      <c r="D1438" s="17">
        <f>Github!G$1718</f>
        <v>18</v>
      </c>
      <c r="E1438" s="17">
        <f>Github!F$1718+Github!G$1718</f>
        <v>397</v>
      </c>
      <c r="F1438" s="18">
        <f t="shared" si="1"/>
        <v>21.06</v>
      </c>
      <c r="G1438" s="17" t="str">
        <f>Github!H$1718</f>
        <v>Algorithms</v>
      </c>
      <c r="H1438" s="19" t="str">
        <f>SUBSTITUTE(Github!L$1718, ";", ", ")</f>
        <v>String, Stack, Greedy, </v>
      </c>
      <c r="I1438" s="17" t="str">
        <f>Github!E$1718</f>
        <v>Medium</v>
      </c>
      <c r="J1438" s="17" t="str">
        <f>IF(TRIM(Github!D$1718)="TRUE","FALSE","TRUE")</f>
        <v>TRUE</v>
      </c>
      <c r="K1438" s="17" t="b">
        <f>Github!M$1718</f>
        <v>0</v>
      </c>
      <c r="L1438" s="17" t="b">
        <f>Github!N$1718</f>
        <v>0</v>
      </c>
      <c r="M1438" s="17" t="str">
        <f>ROUND(Github!O$1718, 2)&amp;"%"</f>
        <v>44.44%</v>
      </c>
      <c r="N1438" s="17">
        <f>Github!P$1718</f>
        <v>8996</v>
      </c>
      <c r="O1438" s="17">
        <f>Github!Q$1718</f>
        <v>20244</v>
      </c>
    </row>
    <row r="1439" ht="18.0" customHeight="1">
      <c r="A1439" s="17">
        <f>Github!J$1791</f>
        <v>1790</v>
      </c>
      <c r="B1439" s="27" t="str">
        <f>HYPERLINK(CONCAT("http://leetcode.com/problems/",Github!C$1791), Github!B$1791)</f>
        <v>Check if One String Swap Can Make Strings Equal</v>
      </c>
      <c r="C1439" s="17">
        <f>Github!F$1791</f>
        <v>378</v>
      </c>
      <c r="D1439" s="17">
        <f>Github!G$1791</f>
        <v>15</v>
      </c>
      <c r="E1439" s="17">
        <f>Github!F$1791+Github!G$1791</f>
        <v>393</v>
      </c>
      <c r="F1439" s="18">
        <f t="shared" si="1"/>
        <v>25.2</v>
      </c>
      <c r="G1439" s="17" t="str">
        <f>Github!H$1791</f>
        <v>Algorithms</v>
      </c>
      <c r="H1439" s="19" t="str">
        <f>SUBSTITUTE(Github!L$1791, ";", ", ")</f>
        <v>Hash Table, String, Counting, </v>
      </c>
      <c r="I1439" s="17" t="str">
        <f>Github!E$1791</f>
        <v>Easy</v>
      </c>
      <c r="J1439" s="17" t="str">
        <f>IF(TRIM(Github!D$1791)="TRUE","FALSE","TRUE")</f>
        <v>TRUE</v>
      </c>
      <c r="K1439" s="17" t="b">
        <f>Github!M$1791</f>
        <v>0</v>
      </c>
      <c r="L1439" s="17" t="b">
        <f>Github!N$1791</f>
        <v>0</v>
      </c>
      <c r="M1439" s="17" t="str">
        <f>ROUND(Github!O$1791, 2)&amp;"%"</f>
        <v>45.96%</v>
      </c>
      <c r="N1439" s="17">
        <f>Github!P$1791</f>
        <v>31042</v>
      </c>
      <c r="O1439" s="17">
        <f>Github!Q$1791</f>
        <v>67540</v>
      </c>
    </row>
    <row r="1440" ht="18.0" customHeight="1">
      <c r="A1440" s="17">
        <f>Github!J$662</f>
        <v>661</v>
      </c>
      <c r="B1440" s="27" t="str">
        <f>HYPERLINK(CONCAT("http://leetcode.com/problems/",Github!C$662), Github!B$662)</f>
        <v>Image Smoother</v>
      </c>
      <c r="C1440" s="17">
        <f>Github!F$662</f>
        <v>375</v>
      </c>
      <c r="D1440" s="17">
        <f>Github!G$662</f>
        <v>1560</v>
      </c>
      <c r="E1440" s="17">
        <f>Github!F$662+Github!G$662</f>
        <v>1935</v>
      </c>
      <c r="F1440" s="18">
        <f t="shared" si="1"/>
        <v>0.24</v>
      </c>
      <c r="G1440" s="17" t="str">
        <f>Github!H$662</f>
        <v>Algorithms</v>
      </c>
      <c r="H1440" s="19" t="str">
        <f>SUBSTITUTE(Github!L$662, ";", ", ")</f>
        <v>Array, Matrix, </v>
      </c>
      <c r="I1440" s="17" t="str">
        <f>Github!E$662</f>
        <v>Easy</v>
      </c>
      <c r="J1440" s="17" t="str">
        <f>IF(TRIM(Github!D$662)="TRUE","FALSE","TRUE")</f>
        <v>TRUE</v>
      </c>
      <c r="K1440" s="17" t="b">
        <f>Github!M$662</f>
        <v>0</v>
      </c>
      <c r="L1440" s="17" t="b">
        <f>Github!N$662</f>
        <v>0</v>
      </c>
      <c r="M1440" s="17" t="str">
        <f>ROUND(Github!O$662, 2)&amp;"%"</f>
        <v>53.95%</v>
      </c>
      <c r="N1440" s="17">
        <f>Github!P$662</f>
        <v>62767</v>
      </c>
      <c r="O1440" s="17">
        <f>Github!Q$662</f>
        <v>116334</v>
      </c>
    </row>
    <row r="1441" ht="18.0" customHeight="1">
      <c r="A1441" s="17">
        <f>Github!J$1215</f>
        <v>1214</v>
      </c>
      <c r="B1441" s="27" t="str">
        <f>HYPERLINK(CONCAT("http://leetcode.com/problems/",Github!C$1215), Github!B$1215)</f>
        <v>Two Sum BSTs</v>
      </c>
      <c r="C1441" s="17">
        <f>Github!F$1215</f>
        <v>374</v>
      </c>
      <c r="D1441" s="17">
        <f>Github!G$1215</f>
        <v>36</v>
      </c>
      <c r="E1441" s="17">
        <f>Github!F$1215+Github!G$1215</f>
        <v>410</v>
      </c>
      <c r="F1441" s="18">
        <f t="shared" si="1"/>
        <v>10.39</v>
      </c>
      <c r="G1441" s="17" t="str">
        <f>Github!H$1215</f>
        <v>Algorithms</v>
      </c>
      <c r="H1441" s="19" t="str">
        <f>SUBSTITUTE(Github!L$1215, ";", ", ")</f>
        <v>Two Pointers, Binary Search, Stack, Tree, Depth-First Search, Binary Search Tree, Binary Tree, </v>
      </c>
      <c r="I1441" s="17" t="str">
        <f>Github!E$1215</f>
        <v>Medium</v>
      </c>
      <c r="J1441" s="17" t="str">
        <f>IF(TRIM(Github!D$1215)="TRUE","FALSE","TRUE")</f>
        <v>FALSE</v>
      </c>
      <c r="K1441" s="17" t="b">
        <f>Github!M$1215</f>
        <v>1</v>
      </c>
      <c r="L1441" s="17" t="b">
        <f>Github!N$1215</f>
        <v>0</v>
      </c>
      <c r="M1441" s="17" t="str">
        <f>ROUND(Github!O$1215, 2)&amp;"%"</f>
        <v>66.86%</v>
      </c>
      <c r="N1441" s="17">
        <f>Github!P$1215</f>
        <v>31219</v>
      </c>
      <c r="O1441" s="17">
        <f>Github!Q$1215</f>
        <v>46692</v>
      </c>
    </row>
    <row r="1442" ht="18.0" customHeight="1">
      <c r="A1442" s="17">
        <f>Github!J$1364</f>
        <v>1363</v>
      </c>
      <c r="B1442" s="27" t="str">
        <f>HYPERLINK(CONCAT("http://leetcode.com/problems/",Github!C$1364), Github!B$1364)</f>
        <v>Largest Multiple of Three</v>
      </c>
      <c r="C1442" s="17">
        <f>Github!F$1364</f>
        <v>373</v>
      </c>
      <c r="D1442" s="17">
        <f>Github!G$1364</f>
        <v>53</v>
      </c>
      <c r="E1442" s="17">
        <f>Github!F$1364+Github!G$1364</f>
        <v>426</v>
      </c>
      <c r="F1442" s="18">
        <f t="shared" si="1"/>
        <v>7.04</v>
      </c>
      <c r="G1442" s="17" t="str">
        <f>Github!H$1364</f>
        <v>Algorithms</v>
      </c>
      <c r="H1442" s="19" t="str">
        <f>SUBSTITUTE(Github!L$1364, ";", ", ")</f>
        <v>Array, Dynamic Programming, Greedy, </v>
      </c>
      <c r="I1442" s="17" t="str">
        <f>Github!E$1364</f>
        <v>Hard</v>
      </c>
      <c r="J1442" s="17" t="str">
        <f>IF(TRIM(Github!D$1364)="TRUE","FALSE","TRUE")</f>
        <v>TRUE</v>
      </c>
      <c r="K1442" s="17" t="b">
        <f>Github!M$1364</f>
        <v>0</v>
      </c>
      <c r="L1442" s="17" t="b">
        <f>Github!N$1364</f>
        <v>0</v>
      </c>
      <c r="M1442" s="17" t="str">
        <f>ROUND(Github!O$1364, 2)&amp;"%"</f>
        <v>34.33%</v>
      </c>
      <c r="N1442" s="17">
        <f>Github!P$1364</f>
        <v>13351</v>
      </c>
      <c r="O1442" s="17">
        <f>Github!Q$1364</f>
        <v>38886</v>
      </c>
    </row>
    <row r="1443" ht="18.0" customHeight="1">
      <c r="A1443" s="17">
        <f>Github!J$1914</f>
        <v>1913</v>
      </c>
      <c r="B1443" s="27" t="str">
        <f>HYPERLINK(CONCAT("http://leetcode.com/problems/",Github!C$1914), Github!B$1914)</f>
        <v>Maximum Product Difference Between Two Pairs</v>
      </c>
      <c r="C1443" s="17">
        <f>Github!F$1914</f>
        <v>373</v>
      </c>
      <c r="D1443" s="17">
        <f>Github!G$1914</f>
        <v>18</v>
      </c>
      <c r="E1443" s="17">
        <f>Github!F$1914+Github!G$1914</f>
        <v>391</v>
      </c>
      <c r="F1443" s="18">
        <f t="shared" si="1"/>
        <v>20.72</v>
      </c>
      <c r="G1443" s="17" t="str">
        <f>Github!H$1914</f>
        <v>Algorithms</v>
      </c>
      <c r="H1443" s="19" t="str">
        <f>SUBSTITUTE(Github!L$1914, ";", ", ")</f>
        <v>Array, Sorting, </v>
      </c>
      <c r="I1443" s="17" t="str">
        <f>Github!E$1914</f>
        <v>Easy</v>
      </c>
      <c r="J1443" s="17" t="str">
        <f>IF(TRIM(Github!D$1914)="TRUE","FALSE","TRUE")</f>
        <v>TRUE</v>
      </c>
      <c r="K1443" s="17" t="b">
        <f>Github!M$1914</f>
        <v>0</v>
      </c>
      <c r="L1443" s="17" t="b">
        <f>Github!N$1914</f>
        <v>0</v>
      </c>
      <c r="M1443" s="17" t="str">
        <f>ROUND(Github!O$1914, 2)&amp;"%"</f>
        <v>81.25%</v>
      </c>
      <c r="N1443" s="17">
        <f>Github!P$1914</f>
        <v>44994</v>
      </c>
      <c r="O1443" s="17">
        <f>Github!Q$1914</f>
        <v>55378</v>
      </c>
    </row>
    <row r="1444" ht="18.0" customHeight="1">
      <c r="A1444" s="17">
        <f>Github!J$2010</f>
        <v>2009</v>
      </c>
      <c r="B1444" s="27" t="str">
        <f>HYPERLINK(CONCAT("http://leetcode.com/problems/",Github!C$2010), Github!B$2010)</f>
        <v>Minimum Number of Operations to Make Array Continuous</v>
      </c>
      <c r="C1444" s="17">
        <f>Github!F$2010</f>
        <v>375</v>
      </c>
      <c r="D1444" s="17">
        <f>Github!G$2010</f>
        <v>4</v>
      </c>
      <c r="E1444" s="17">
        <f>Github!F$2010+Github!G$2010</f>
        <v>379</v>
      </c>
      <c r="F1444" s="18">
        <f t="shared" si="1"/>
        <v>93.75</v>
      </c>
      <c r="G1444" s="17" t="str">
        <f>Github!H$2010</f>
        <v>Algorithms</v>
      </c>
      <c r="H1444" s="19" t="str">
        <f>SUBSTITUTE(Github!L$2010, ";", ", ")</f>
        <v>Array, Binary Search, </v>
      </c>
      <c r="I1444" s="17" t="str">
        <f>Github!E$2010</f>
        <v>Hard</v>
      </c>
      <c r="J1444" s="17" t="str">
        <f>IF(TRIM(Github!D$2010)="TRUE","FALSE","TRUE")</f>
        <v>TRUE</v>
      </c>
      <c r="K1444" s="17" t="b">
        <f>Github!M$2010</f>
        <v>0</v>
      </c>
      <c r="L1444" s="17" t="b">
        <f>Github!N$2010</f>
        <v>0</v>
      </c>
      <c r="M1444" s="17" t="str">
        <f>ROUND(Github!O$2010, 2)&amp;"%"</f>
        <v>45.6%</v>
      </c>
      <c r="N1444" s="17">
        <f>Github!P$2010</f>
        <v>5737</v>
      </c>
      <c r="O1444" s="17">
        <f>Github!Q$2010</f>
        <v>12581</v>
      </c>
    </row>
    <row r="1445" ht="18.0" customHeight="1">
      <c r="A1445" s="17">
        <f>Github!J$1577</f>
        <v>1576</v>
      </c>
      <c r="B1445" s="27" t="str">
        <f>HYPERLINK(CONCAT("http://leetcode.com/problems/",Github!C$1577), Github!B$1577)</f>
        <v>Replace All ?'s to Avoid Consecutive Repeating Characters</v>
      </c>
      <c r="C1445" s="17">
        <f>Github!F$1577</f>
        <v>373</v>
      </c>
      <c r="D1445" s="17">
        <f>Github!G$1577</f>
        <v>141</v>
      </c>
      <c r="E1445" s="17">
        <f>Github!F$1577+Github!G$1577</f>
        <v>514</v>
      </c>
      <c r="F1445" s="18">
        <f t="shared" si="1"/>
        <v>2.65</v>
      </c>
      <c r="G1445" s="17" t="str">
        <f>Github!H$1577</f>
        <v>Algorithms</v>
      </c>
      <c r="H1445" s="19" t="str">
        <f>SUBSTITUTE(Github!L$1577, ";", ", ")</f>
        <v>String, </v>
      </c>
      <c r="I1445" s="17" t="str">
        <f>Github!E$1577</f>
        <v>Easy</v>
      </c>
      <c r="J1445" s="17" t="str">
        <f>IF(TRIM(Github!D$1577)="TRUE","FALSE","TRUE")</f>
        <v>TRUE</v>
      </c>
      <c r="K1445" s="17" t="b">
        <f>Github!M$1577</f>
        <v>0</v>
      </c>
      <c r="L1445" s="17" t="b">
        <f>Github!N$1577</f>
        <v>0</v>
      </c>
      <c r="M1445" s="17" t="str">
        <f>ROUND(Github!O$1577, 2)&amp;"%"</f>
        <v>50%</v>
      </c>
      <c r="N1445" s="17">
        <f>Github!P$1577</f>
        <v>42766</v>
      </c>
      <c r="O1445" s="17">
        <f>Github!Q$1577</f>
        <v>85529</v>
      </c>
    </row>
    <row r="1446" ht="18.0" customHeight="1">
      <c r="A1446" s="17">
        <f>Github!J$2065</f>
        <v>2064</v>
      </c>
      <c r="B1446" s="27" t="str">
        <f>HYPERLINK(CONCAT("http://leetcode.com/problems/",Github!C$2065), Github!B$2065)</f>
        <v>Minimized Maximum of Products Distributed to Any Store</v>
      </c>
      <c r="C1446" s="17">
        <f>Github!F$2065</f>
        <v>371</v>
      </c>
      <c r="D1446" s="17">
        <f>Github!G$2065</f>
        <v>15</v>
      </c>
      <c r="E1446" s="17">
        <f>Github!F$2065+Github!G$2065</f>
        <v>386</v>
      </c>
      <c r="F1446" s="18">
        <f t="shared" si="1"/>
        <v>24.73</v>
      </c>
      <c r="G1446" s="17" t="str">
        <f>Github!H$2065</f>
        <v>Algorithms</v>
      </c>
      <c r="H1446" s="19" t="str">
        <f>SUBSTITUTE(Github!L$2065, ";", ", ")</f>
        <v>Array, Binary Search, </v>
      </c>
      <c r="I1446" s="17" t="str">
        <f>Github!E$2065</f>
        <v>Medium</v>
      </c>
      <c r="J1446" s="17" t="str">
        <f>IF(TRIM(Github!D$2065)="TRUE","FALSE","TRUE")</f>
        <v>TRUE</v>
      </c>
      <c r="K1446" s="17" t="b">
        <f>Github!M$2065</f>
        <v>0</v>
      </c>
      <c r="L1446" s="17" t="b">
        <f>Github!N$2065</f>
        <v>0</v>
      </c>
      <c r="M1446" s="17" t="str">
        <f>ROUND(Github!O$2065, 2)&amp;"%"</f>
        <v>48.19%</v>
      </c>
      <c r="N1446" s="17">
        <f>Github!P$2065</f>
        <v>10472</v>
      </c>
      <c r="O1446" s="17">
        <f>Github!Q$2065</f>
        <v>21730</v>
      </c>
    </row>
    <row r="1447" ht="18.0" customHeight="1">
      <c r="A1447" s="17">
        <f>Github!J$1840</f>
        <v>1839</v>
      </c>
      <c r="B1447" s="27" t="str">
        <f>HYPERLINK(CONCAT("http://leetcode.com/problems/",Github!C$1840), Github!B$1840)</f>
        <v>Longest Substring Of All Vowels in Order</v>
      </c>
      <c r="C1447" s="17">
        <f>Github!F$1840</f>
        <v>370</v>
      </c>
      <c r="D1447" s="17">
        <f>Github!G$1840</f>
        <v>11</v>
      </c>
      <c r="E1447" s="17">
        <f>Github!F$1840+Github!G$1840</f>
        <v>381</v>
      </c>
      <c r="F1447" s="18">
        <f t="shared" si="1"/>
        <v>33.64</v>
      </c>
      <c r="G1447" s="17" t="str">
        <f>Github!H$1840</f>
        <v>Algorithms</v>
      </c>
      <c r="H1447" s="19" t="str">
        <f>SUBSTITUTE(Github!L$1840, ";", ", ")</f>
        <v>String, Sliding Window, </v>
      </c>
      <c r="I1447" s="17" t="str">
        <f>Github!E$1840</f>
        <v>Medium</v>
      </c>
      <c r="J1447" s="17" t="str">
        <f>IF(TRIM(Github!D$1840)="TRUE","FALSE","TRUE")</f>
        <v>TRUE</v>
      </c>
      <c r="K1447" s="17" t="b">
        <f>Github!M$1840</f>
        <v>0</v>
      </c>
      <c r="L1447" s="17" t="b">
        <f>Github!N$1840</f>
        <v>0</v>
      </c>
      <c r="M1447" s="17" t="str">
        <f>ROUND(Github!O$1840, 2)&amp;"%"</f>
        <v>47.88%</v>
      </c>
      <c r="N1447" s="17">
        <f>Github!P$1840</f>
        <v>17409</v>
      </c>
      <c r="O1447" s="17">
        <f>Github!Q$1840</f>
        <v>36359</v>
      </c>
    </row>
    <row r="1448" ht="18.0" customHeight="1">
      <c r="A1448" s="17">
        <f>Github!J$1520</f>
        <v>1519</v>
      </c>
      <c r="B1448" s="27" t="str">
        <f>HYPERLINK(CONCAT("http://leetcode.com/problems/",Github!C$1520), Github!B$1520)</f>
        <v>Number of Nodes in the Sub-Tree With the Same Label</v>
      </c>
      <c r="C1448" s="17">
        <f>Github!F$1520</f>
        <v>366</v>
      </c>
      <c r="D1448" s="17">
        <f>Github!G$1520</f>
        <v>348</v>
      </c>
      <c r="E1448" s="17">
        <f>Github!F$1520+Github!G$1520</f>
        <v>714</v>
      </c>
      <c r="F1448" s="18">
        <f t="shared" si="1"/>
        <v>1.05</v>
      </c>
      <c r="G1448" s="17" t="str">
        <f>Github!H$1520</f>
        <v>Algorithms</v>
      </c>
      <c r="H1448" s="19" t="str">
        <f>SUBSTITUTE(Github!L$1520, ";", ", ")</f>
        <v>Hash Table, Tree, Depth-First Search, Breadth-First Search, Counting, </v>
      </c>
      <c r="I1448" s="17" t="str">
        <f>Github!E$1520</f>
        <v>Medium</v>
      </c>
      <c r="J1448" s="17" t="str">
        <f>IF(TRIM(Github!D$1520)="TRUE","FALSE","TRUE")</f>
        <v>TRUE</v>
      </c>
      <c r="K1448" s="17" t="b">
        <f>Github!M$1520</f>
        <v>0</v>
      </c>
      <c r="L1448" s="17" t="b">
        <f>Github!N$1520</f>
        <v>0</v>
      </c>
      <c r="M1448" s="17" t="str">
        <f>ROUND(Github!O$1520, 2)&amp;"%"</f>
        <v>39.51%</v>
      </c>
      <c r="N1448" s="17">
        <f>Github!P$1520</f>
        <v>15802</v>
      </c>
      <c r="O1448" s="17">
        <f>Github!Q$1520</f>
        <v>39997</v>
      </c>
    </row>
    <row r="1449" ht="18.0" customHeight="1">
      <c r="A1449" s="17">
        <f>Github!J$807</f>
        <v>806</v>
      </c>
      <c r="B1449" s="27" t="str">
        <f>HYPERLINK(CONCAT("http://leetcode.com/problems/",Github!C$807), Github!B$807)</f>
        <v>Number of Lines To Write String</v>
      </c>
      <c r="C1449" s="17">
        <f>Github!F$807</f>
        <v>365</v>
      </c>
      <c r="D1449" s="17">
        <f>Github!G$807</f>
        <v>1103</v>
      </c>
      <c r="E1449" s="17">
        <f>Github!F$807+Github!G$807</f>
        <v>1468</v>
      </c>
      <c r="F1449" s="18">
        <f t="shared" si="1"/>
        <v>0.33</v>
      </c>
      <c r="G1449" s="17" t="str">
        <f>Github!H$807</f>
        <v>Algorithms</v>
      </c>
      <c r="H1449" s="19" t="str">
        <f>SUBSTITUTE(Github!L$807, ";", ", ")</f>
        <v>Array, String, </v>
      </c>
      <c r="I1449" s="17" t="str">
        <f>Github!E$807</f>
        <v>Easy</v>
      </c>
      <c r="J1449" s="17" t="str">
        <f>IF(TRIM(Github!D$807)="TRUE","FALSE","TRUE")</f>
        <v>TRUE</v>
      </c>
      <c r="K1449" s="17" t="b">
        <f>Github!M$807</f>
        <v>1</v>
      </c>
      <c r="L1449" s="17" t="b">
        <f>Github!N$807</f>
        <v>0</v>
      </c>
      <c r="M1449" s="17" t="str">
        <f>ROUND(Github!O$807, 2)&amp;"%"</f>
        <v>65.97%</v>
      </c>
      <c r="N1449" s="17">
        <f>Github!P$807</f>
        <v>52334</v>
      </c>
      <c r="O1449" s="17">
        <f>Github!Q$807</f>
        <v>79331</v>
      </c>
    </row>
    <row r="1450" ht="18.0" customHeight="1">
      <c r="A1450" s="17">
        <f>Github!J$1625</f>
        <v>1624</v>
      </c>
      <c r="B1450" s="27" t="str">
        <f>HYPERLINK(CONCAT("http://leetcode.com/problems/",Github!C$1625), Github!B$1625)</f>
        <v>Largest Substring Between Two Equal Characters</v>
      </c>
      <c r="C1450" s="17">
        <f>Github!F$1625</f>
        <v>365</v>
      </c>
      <c r="D1450" s="17">
        <f>Github!G$1625</f>
        <v>21</v>
      </c>
      <c r="E1450" s="17">
        <f>Github!F$1625+Github!G$1625</f>
        <v>386</v>
      </c>
      <c r="F1450" s="18">
        <f t="shared" si="1"/>
        <v>17.38</v>
      </c>
      <c r="G1450" s="17" t="str">
        <f>Github!H$1625</f>
        <v>Algorithms</v>
      </c>
      <c r="H1450" s="19" t="str">
        <f>SUBSTITUTE(Github!L$1625, ";", ", ")</f>
        <v>Hash Table, String, </v>
      </c>
      <c r="I1450" s="17" t="str">
        <f>Github!E$1625</f>
        <v>Easy</v>
      </c>
      <c r="J1450" s="17" t="str">
        <f>IF(TRIM(Github!D$1625)="TRUE","FALSE","TRUE")</f>
        <v>TRUE</v>
      </c>
      <c r="K1450" s="17" t="b">
        <f>Github!M$1625</f>
        <v>0</v>
      </c>
      <c r="L1450" s="17" t="b">
        <f>Github!N$1625</f>
        <v>0</v>
      </c>
      <c r="M1450" s="17" t="str">
        <f>ROUND(Github!O$1625, 2)&amp;"%"</f>
        <v>59.19%</v>
      </c>
      <c r="N1450" s="17">
        <f>Github!P$1625</f>
        <v>30168</v>
      </c>
      <c r="O1450" s="17">
        <f>Github!Q$1625</f>
        <v>50965</v>
      </c>
    </row>
    <row r="1451" ht="18.0" customHeight="1">
      <c r="A1451" s="17">
        <f>Github!J$2117</f>
        <v>2116</v>
      </c>
      <c r="B1451" s="27" t="str">
        <f>HYPERLINK(CONCAT("http://leetcode.com/problems/",Github!C$2117), Github!B$2117)</f>
        <v>Check if a Parentheses String Can Be Valid</v>
      </c>
      <c r="C1451" s="17">
        <f>Github!F$2117</f>
        <v>365</v>
      </c>
      <c r="D1451" s="17">
        <f>Github!G$2117</f>
        <v>13</v>
      </c>
      <c r="E1451" s="17">
        <f>Github!F$2117+Github!G$2117</f>
        <v>378</v>
      </c>
      <c r="F1451" s="18">
        <f t="shared" si="1"/>
        <v>28.08</v>
      </c>
      <c r="G1451" s="17" t="str">
        <f>Github!H$2117</f>
        <v>Algorithms</v>
      </c>
      <c r="H1451" s="19" t="str">
        <f>SUBSTITUTE(Github!L$2117, ";", ", ")</f>
        <v>String, Stack, Greedy, </v>
      </c>
      <c r="I1451" s="17" t="str">
        <f>Github!E$2117</f>
        <v>Medium</v>
      </c>
      <c r="J1451" s="17" t="str">
        <f>IF(TRIM(Github!D$2117)="TRUE","FALSE","TRUE")</f>
        <v>TRUE</v>
      </c>
      <c r="K1451" s="17" t="b">
        <f>Github!M$2117</f>
        <v>0</v>
      </c>
      <c r="L1451" s="17" t="b">
        <f>Github!N$2117</f>
        <v>0</v>
      </c>
      <c r="M1451" s="17" t="str">
        <f>ROUND(Github!O$2117, 2)&amp;"%"</f>
        <v>31.18%</v>
      </c>
      <c r="N1451" s="17">
        <f>Github!P$2117</f>
        <v>6841</v>
      </c>
      <c r="O1451" s="17">
        <f>Github!Q$2117</f>
        <v>21945</v>
      </c>
    </row>
    <row r="1452" ht="18.0" customHeight="1">
      <c r="A1452" s="17">
        <f>Github!J$1830</f>
        <v>1829</v>
      </c>
      <c r="B1452" s="27" t="str">
        <f>HYPERLINK(CONCAT("http://leetcode.com/problems/",Github!C$1830), Github!B$1830)</f>
        <v>Maximum XOR for Each Query</v>
      </c>
      <c r="C1452" s="17">
        <f>Github!F$1830</f>
        <v>364</v>
      </c>
      <c r="D1452" s="17">
        <f>Github!G$1830</f>
        <v>28</v>
      </c>
      <c r="E1452" s="17">
        <f>Github!F$1830+Github!G$1830</f>
        <v>392</v>
      </c>
      <c r="F1452" s="18">
        <f t="shared" si="1"/>
        <v>13</v>
      </c>
      <c r="G1452" s="17" t="str">
        <f>Github!H$1830</f>
        <v>Algorithms</v>
      </c>
      <c r="H1452" s="19" t="str">
        <f>SUBSTITUTE(Github!L$1830, ";", ", ")</f>
        <v>Array, Bit Manipulation, Prefix Sum, </v>
      </c>
      <c r="I1452" s="17" t="str">
        <f>Github!E$1830</f>
        <v>Medium</v>
      </c>
      <c r="J1452" s="17" t="str">
        <f>IF(TRIM(Github!D$1830)="TRUE","FALSE","TRUE")</f>
        <v>TRUE</v>
      </c>
      <c r="K1452" s="17" t="b">
        <f>Github!M$1830</f>
        <v>0</v>
      </c>
      <c r="L1452" s="17" t="b">
        <f>Github!N$1830</f>
        <v>0</v>
      </c>
      <c r="M1452" s="17" t="str">
        <f>ROUND(Github!O$1830, 2)&amp;"%"</f>
        <v>76.02%</v>
      </c>
      <c r="N1452" s="17">
        <f>Github!P$1830</f>
        <v>14595</v>
      </c>
      <c r="O1452" s="17">
        <f>Github!Q$1830</f>
        <v>19200</v>
      </c>
    </row>
    <row r="1453" ht="18.0" customHeight="1">
      <c r="A1453" s="17">
        <f>Github!J$1960</f>
        <v>1959</v>
      </c>
      <c r="B1453" s="27" t="str">
        <f>HYPERLINK(CONCAT("http://leetcode.com/problems/",Github!C$1960), Github!B$1960)</f>
        <v>Minimum Total Space Wasted With K Resizing Operations</v>
      </c>
      <c r="C1453" s="17">
        <f>Github!F$1960</f>
        <v>363</v>
      </c>
      <c r="D1453" s="17">
        <f>Github!G$1960</f>
        <v>29</v>
      </c>
      <c r="E1453" s="17">
        <f>Github!F$1960+Github!G$1960</f>
        <v>392</v>
      </c>
      <c r="F1453" s="18">
        <f t="shared" si="1"/>
        <v>12.52</v>
      </c>
      <c r="G1453" s="17" t="str">
        <f>Github!H$1960</f>
        <v>Algorithms</v>
      </c>
      <c r="H1453" s="19" t="str">
        <f>SUBSTITUTE(Github!L$1960, ";", ", ")</f>
        <v>Array, Dynamic Programming, </v>
      </c>
      <c r="I1453" s="17" t="str">
        <f>Github!E$1960</f>
        <v>Medium</v>
      </c>
      <c r="J1453" s="17" t="str">
        <f>IF(TRIM(Github!D$1960)="TRUE","FALSE","TRUE")</f>
        <v>TRUE</v>
      </c>
      <c r="K1453" s="17" t="b">
        <f>Github!M$1960</f>
        <v>0</v>
      </c>
      <c r="L1453" s="17" t="b">
        <f>Github!N$1960</f>
        <v>0</v>
      </c>
      <c r="M1453" s="17" t="str">
        <f>ROUND(Github!O$1960, 2)&amp;"%"</f>
        <v>41.71%</v>
      </c>
      <c r="N1453" s="17">
        <f>Github!P$1960</f>
        <v>4977</v>
      </c>
      <c r="O1453" s="17">
        <f>Github!Q$1960</f>
        <v>11932</v>
      </c>
    </row>
    <row r="1454" ht="18.0" customHeight="1">
      <c r="A1454" s="17">
        <f>Github!J$1719</f>
        <v>1718</v>
      </c>
      <c r="B1454" s="27" t="str">
        <f>HYPERLINK(CONCAT("http://leetcode.com/problems/",Github!C$1719), Github!B$1719)</f>
        <v>Construct the Lexicographically Largest Valid Sequence</v>
      </c>
      <c r="C1454" s="17">
        <f>Github!F$1719</f>
        <v>362</v>
      </c>
      <c r="D1454" s="17">
        <f>Github!G$1719</f>
        <v>33</v>
      </c>
      <c r="E1454" s="17">
        <f>Github!F$1719+Github!G$1719</f>
        <v>395</v>
      </c>
      <c r="F1454" s="18">
        <f t="shared" si="1"/>
        <v>10.97</v>
      </c>
      <c r="G1454" s="17" t="str">
        <f>Github!H$1719</f>
        <v>Algorithms</v>
      </c>
      <c r="H1454" s="19" t="str">
        <f>SUBSTITUTE(Github!L$1719, ";", ", ")</f>
        <v>Array, Backtracking, </v>
      </c>
      <c r="I1454" s="17" t="str">
        <f>Github!E$1719</f>
        <v>Medium</v>
      </c>
      <c r="J1454" s="17" t="str">
        <f>IF(TRIM(Github!D$1719)="TRUE","FALSE","TRUE")</f>
        <v>TRUE</v>
      </c>
      <c r="K1454" s="17" t="b">
        <f>Github!M$1719</f>
        <v>0</v>
      </c>
      <c r="L1454" s="17" t="b">
        <f>Github!N$1719</f>
        <v>0</v>
      </c>
      <c r="M1454" s="17" t="str">
        <f>ROUND(Github!O$1719, 2)&amp;"%"</f>
        <v>51.08%</v>
      </c>
      <c r="N1454" s="17">
        <f>Github!P$1719</f>
        <v>8457</v>
      </c>
      <c r="O1454" s="17">
        <f>Github!Q$1719</f>
        <v>16555</v>
      </c>
    </row>
    <row r="1455" ht="18.0" customHeight="1">
      <c r="A1455" s="17">
        <f>Github!J$1943</f>
        <v>1942</v>
      </c>
      <c r="B1455" s="27" t="str">
        <f>HYPERLINK(CONCAT("http://leetcode.com/problems/",Github!C$1943), Github!B$1943)</f>
        <v>The Number of the Smallest Unoccupied Chair</v>
      </c>
      <c r="C1455" s="17">
        <f>Github!F$1943</f>
        <v>363</v>
      </c>
      <c r="D1455" s="17">
        <f>Github!G$1943</f>
        <v>18</v>
      </c>
      <c r="E1455" s="17">
        <f>Github!F$1943+Github!G$1943</f>
        <v>381</v>
      </c>
      <c r="F1455" s="18">
        <f t="shared" si="1"/>
        <v>20.17</v>
      </c>
      <c r="G1455" s="17" t="str">
        <f>Github!H$1943</f>
        <v>Algorithms</v>
      </c>
      <c r="H1455" s="19" t="str">
        <f>SUBSTITUTE(Github!L$1943, ";", ", ")</f>
        <v>Array, Heap (Priority Queue), Ordered Set, </v>
      </c>
      <c r="I1455" s="17" t="str">
        <f>Github!E$1943</f>
        <v>Medium</v>
      </c>
      <c r="J1455" s="17" t="str">
        <f>IF(TRIM(Github!D$1943)="TRUE","FALSE","TRUE")</f>
        <v>TRUE</v>
      </c>
      <c r="K1455" s="17" t="b">
        <f>Github!M$1943</f>
        <v>0</v>
      </c>
      <c r="L1455" s="17" t="b">
        <f>Github!N$1943</f>
        <v>0</v>
      </c>
      <c r="M1455" s="17" t="str">
        <f>ROUND(Github!O$1943, 2)&amp;"%"</f>
        <v>38.59%</v>
      </c>
      <c r="N1455" s="17">
        <f>Github!P$1943</f>
        <v>10479</v>
      </c>
      <c r="O1455" s="17">
        <f>Github!Q$1943</f>
        <v>27154</v>
      </c>
    </row>
    <row r="1456" ht="18.0" customHeight="1">
      <c r="A1456" s="17">
        <f>Github!J$523</f>
        <v>522</v>
      </c>
      <c r="B1456" s="27" t="str">
        <f>HYPERLINK(CONCAT("http://leetcode.com/problems/",Github!C$523), Github!B$523)</f>
        <v>Longest Uncommon Subsequence II</v>
      </c>
      <c r="C1456" s="17">
        <f>Github!F$523</f>
        <v>361</v>
      </c>
      <c r="D1456" s="17">
        <f>Github!G$523</f>
        <v>1043</v>
      </c>
      <c r="E1456" s="17">
        <f>Github!F$523+Github!G$523</f>
        <v>1404</v>
      </c>
      <c r="F1456" s="18">
        <f t="shared" si="1"/>
        <v>0.35</v>
      </c>
      <c r="G1456" s="17" t="str">
        <f>Github!H$523</f>
        <v>Algorithms</v>
      </c>
      <c r="H1456" s="19" t="str">
        <f>SUBSTITUTE(Github!L$523, ";", ", ")</f>
        <v>Array, Hash Table, Two Pointers, String, Sorting, </v>
      </c>
      <c r="I1456" s="17" t="str">
        <f>Github!E$523</f>
        <v>Medium</v>
      </c>
      <c r="J1456" s="17" t="str">
        <f>IF(TRIM(Github!D$523)="TRUE","FALSE","TRUE")</f>
        <v>TRUE</v>
      </c>
      <c r="K1456" s="17" t="b">
        <f>Github!M$523</f>
        <v>1</v>
      </c>
      <c r="L1456" s="17" t="b">
        <f>Github!N$523</f>
        <v>0</v>
      </c>
      <c r="M1456" s="17" t="str">
        <f>ROUND(Github!O$523, 2)&amp;"%"</f>
        <v>40.06%</v>
      </c>
      <c r="N1456" s="17">
        <f>Github!P$523</f>
        <v>42368</v>
      </c>
      <c r="O1456" s="17">
        <f>Github!Q$523</f>
        <v>105751</v>
      </c>
    </row>
    <row r="1457" ht="18.0" customHeight="1">
      <c r="A1457" s="17">
        <f>Github!J$641</f>
        <v>640</v>
      </c>
      <c r="B1457" s="27" t="str">
        <f>HYPERLINK(CONCAT("http://leetcode.com/problems/",Github!C$641), Github!B$641)</f>
        <v>Solve the Equation</v>
      </c>
      <c r="C1457" s="17">
        <f>Github!F$641</f>
        <v>360</v>
      </c>
      <c r="D1457" s="17">
        <f>Github!G$641</f>
        <v>681</v>
      </c>
      <c r="E1457" s="17">
        <f>Github!F$641+Github!G$641</f>
        <v>1041</v>
      </c>
      <c r="F1457" s="18">
        <f t="shared" si="1"/>
        <v>0.53</v>
      </c>
      <c r="G1457" s="17" t="str">
        <f>Github!H$641</f>
        <v>Algorithms</v>
      </c>
      <c r="H1457" s="19" t="str">
        <f>SUBSTITUTE(Github!L$641, ";", ", ")</f>
        <v>Math, String, Simulation, </v>
      </c>
      <c r="I1457" s="17" t="str">
        <f>Github!E$641</f>
        <v>Medium</v>
      </c>
      <c r="J1457" s="17" t="str">
        <f>IF(TRIM(Github!D$641)="TRUE","FALSE","TRUE")</f>
        <v>TRUE</v>
      </c>
      <c r="K1457" s="17" t="b">
        <f>Github!M$641</f>
        <v>1</v>
      </c>
      <c r="L1457" s="17" t="b">
        <f>Github!N$641</f>
        <v>0</v>
      </c>
      <c r="M1457" s="17" t="str">
        <f>ROUND(Github!O$641, 2)&amp;"%"</f>
        <v>43.28%</v>
      </c>
      <c r="N1457" s="17">
        <f>Github!P$641</f>
        <v>31644</v>
      </c>
      <c r="O1457" s="17">
        <f>Github!Q$641</f>
        <v>73115</v>
      </c>
    </row>
    <row r="1458" ht="18.0" customHeight="1">
      <c r="A1458" s="17">
        <f>Github!J$859</f>
        <v>858</v>
      </c>
      <c r="B1458" s="27" t="str">
        <f>HYPERLINK(CONCAT("http://leetcode.com/problems/",Github!C$859), Github!B$859)</f>
        <v>Mirror Reflection</v>
      </c>
      <c r="C1458" s="17">
        <f>Github!F$859</f>
        <v>361</v>
      </c>
      <c r="D1458" s="17">
        <f>Github!G$859</f>
        <v>706</v>
      </c>
      <c r="E1458" s="17">
        <f>Github!F$859+Github!G$859</f>
        <v>1067</v>
      </c>
      <c r="F1458" s="18">
        <f t="shared" si="1"/>
        <v>0.51</v>
      </c>
      <c r="G1458" s="17" t="str">
        <f>Github!H$859</f>
        <v>Algorithms</v>
      </c>
      <c r="H1458" s="19" t="str">
        <f>SUBSTITUTE(Github!L$859, ";", ", ")</f>
        <v>Math, Geometry, </v>
      </c>
      <c r="I1458" s="17" t="str">
        <f>Github!E$859</f>
        <v>Medium</v>
      </c>
      <c r="J1458" s="17" t="str">
        <f>IF(TRIM(Github!D$859)="TRUE","FALSE","TRUE")</f>
        <v>TRUE</v>
      </c>
      <c r="K1458" s="17" t="b">
        <f>Github!M$859</f>
        <v>0</v>
      </c>
      <c r="L1458" s="17" t="b">
        <f>Github!N$859</f>
        <v>0</v>
      </c>
      <c r="M1458" s="17" t="str">
        <f>ROUND(Github!O$859, 2)&amp;"%"</f>
        <v>59.55%</v>
      </c>
      <c r="N1458" s="17">
        <f>Github!P$859</f>
        <v>26083</v>
      </c>
      <c r="O1458" s="17">
        <f>Github!Q$859</f>
        <v>43799</v>
      </c>
    </row>
    <row r="1459" ht="18.0" customHeight="1">
      <c r="A1459" s="17">
        <f>Github!J$394</f>
        <v>393</v>
      </c>
      <c r="B1459" s="27" t="str">
        <f>HYPERLINK(CONCAT("http://leetcode.com/problems/",Github!C$394), Github!B$394)</f>
        <v>UTF-8 Validation</v>
      </c>
      <c r="C1459" s="17">
        <f>Github!F$394</f>
        <v>359</v>
      </c>
      <c r="D1459" s="17">
        <f>Github!G$394</f>
        <v>1489</v>
      </c>
      <c r="E1459" s="17">
        <f>Github!F$394+Github!G$394</f>
        <v>1848</v>
      </c>
      <c r="F1459" s="18">
        <f t="shared" si="1"/>
        <v>0.24</v>
      </c>
      <c r="G1459" s="17" t="str">
        <f>Github!H$394</f>
        <v>Algorithms</v>
      </c>
      <c r="H1459" s="19" t="str">
        <f>SUBSTITUTE(Github!L$394, ";", ", ")</f>
        <v>Array, Bit Manipulation, </v>
      </c>
      <c r="I1459" s="17" t="str">
        <f>Github!E$394</f>
        <v>Medium</v>
      </c>
      <c r="J1459" s="17" t="str">
        <f>IF(TRIM(Github!D$394)="TRUE","FALSE","TRUE")</f>
        <v>TRUE</v>
      </c>
      <c r="K1459" s="17" t="b">
        <f>Github!M$394</f>
        <v>1</v>
      </c>
      <c r="L1459" s="17" t="b">
        <f>Github!N$394</f>
        <v>0</v>
      </c>
      <c r="M1459" s="17" t="str">
        <f>ROUND(Github!O$394, 2)&amp;"%"</f>
        <v>39.09%</v>
      </c>
      <c r="N1459" s="17">
        <f>Github!P$394</f>
        <v>66359</v>
      </c>
      <c r="O1459" s="17">
        <f>Github!Q$394</f>
        <v>169750</v>
      </c>
    </row>
    <row r="1460" ht="18.0" customHeight="1">
      <c r="A1460" s="17">
        <f>Github!J$1760</f>
        <v>1759</v>
      </c>
      <c r="B1460" s="27" t="str">
        <f>HYPERLINK(CONCAT("http://leetcode.com/problems/",Github!C$1760), Github!B$1760)</f>
        <v>Count Number of Homogenous Substrings</v>
      </c>
      <c r="C1460" s="17">
        <f>Github!F$1760</f>
        <v>359</v>
      </c>
      <c r="D1460" s="17">
        <f>Github!G$1760</f>
        <v>35</v>
      </c>
      <c r="E1460" s="17">
        <f>Github!F$1760+Github!G$1760</f>
        <v>394</v>
      </c>
      <c r="F1460" s="18">
        <f t="shared" si="1"/>
        <v>10.26</v>
      </c>
      <c r="G1460" s="17" t="str">
        <f>Github!H$1760</f>
        <v>Algorithms</v>
      </c>
      <c r="H1460" s="19" t="str">
        <f>SUBSTITUTE(Github!L$1760, ";", ", ")</f>
        <v>Math, String, </v>
      </c>
      <c r="I1460" s="17" t="str">
        <f>Github!E$1760</f>
        <v>Medium</v>
      </c>
      <c r="J1460" s="17" t="str">
        <f>IF(TRIM(Github!D$1760)="TRUE","FALSE","TRUE")</f>
        <v>TRUE</v>
      </c>
      <c r="K1460" s="17" t="b">
        <f>Github!M$1760</f>
        <v>0</v>
      </c>
      <c r="L1460" s="17" t="b">
        <f>Github!N$1760</f>
        <v>0</v>
      </c>
      <c r="M1460" s="17" t="str">
        <f>ROUND(Github!O$1760, 2)&amp;"%"</f>
        <v>46.05%</v>
      </c>
      <c r="N1460" s="17">
        <f>Github!P$1760</f>
        <v>17345</v>
      </c>
      <c r="O1460" s="17">
        <f>Github!Q$1760</f>
        <v>37664</v>
      </c>
    </row>
    <row r="1461" ht="18.0" customHeight="1">
      <c r="A1461" s="17">
        <f>Github!J$1954</f>
        <v>1953</v>
      </c>
      <c r="B1461" s="27" t="str">
        <f>HYPERLINK(CONCAT("http://leetcode.com/problems/",Github!C$1954), Github!B$1954)</f>
        <v>Maximum Number of Weeks for Which You Can Work</v>
      </c>
      <c r="C1461" s="17">
        <f>Github!F$1954</f>
        <v>360</v>
      </c>
      <c r="D1461" s="17">
        <f>Github!G$1954</f>
        <v>92</v>
      </c>
      <c r="E1461" s="17">
        <f>Github!F$1954+Github!G$1954</f>
        <v>452</v>
      </c>
      <c r="F1461" s="18">
        <f t="shared" si="1"/>
        <v>3.91</v>
      </c>
      <c r="G1461" s="17" t="str">
        <f>Github!H$1954</f>
        <v>Algorithms</v>
      </c>
      <c r="H1461" s="19" t="str">
        <f>SUBSTITUTE(Github!L$1954, ";", ", ")</f>
        <v>Array, Greedy, </v>
      </c>
      <c r="I1461" s="17" t="str">
        <f>Github!E$1954</f>
        <v>Medium</v>
      </c>
      <c r="J1461" s="17" t="str">
        <f>IF(TRIM(Github!D$1954)="TRUE","FALSE","TRUE")</f>
        <v>TRUE</v>
      </c>
      <c r="K1461" s="17" t="b">
        <f>Github!M$1954</f>
        <v>0</v>
      </c>
      <c r="L1461" s="17" t="b">
        <f>Github!N$1954</f>
        <v>0</v>
      </c>
      <c r="M1461" s="17" t="str">
        <f>ROUND(Github!O$1954, 2)&amp;"%"</f>
        <v>37.12%</v>
      </c>
      <c r="N1461" s="17">
        <f>Github!P$1954</f>
        <v>13617</v>
      </c>
      <c r="O1461" s="17">
        <f>Github!Q$1954</f>
        <v>36687</v>
      </c>
    </row>
    <row r="1462" ht="18.0" customHeight="1">
      <c r="A1462" s="17">
        <f>Github!J$2055</f>
        <v>2054</v>
      </c>
      <c r="B1462" s="27" t="str">
        <f>HYPERLINK(CONCAT("http://leetcode.com/problems/",Github!C$2055), Github!B$2055)</f>
        <v>Two Best Non-Overlapping Events</v>
      </c>
      <c r="C1462" s="17">
        <f>Github!F$2055</f>
        <v>359</v>
      </c>
      <c r="D1462" s="17">
        <f>Github!G$2055</f>
        <v>7</v>
      </c>
      <c r="E1462" s="17">
        <f>Github!F$2055+Github!G$2055</f>
        <v>366</v>
      </c>
      <c r="F1462" s="18">
        <f t="shared" si="1"/>
        <v>51.29</v>
      </c>
      <c r="G1462" s="17" t="str">
        <f>Github!H$2055</f>
        <v>Algorithms</v>
      </c>
      <c r="H1462" s="19" t="str">
        <f>SUBSTITUTE(Github!L$2055, ";", ", ")</f>
        <v>Array, Binary Search, Dynamic Programming, Sorting, Heap (Priority Queue), </v>
      </c>
      <c r="I1462" s="17" t="str">
        <f>Github!E$2055</f>
        <v>Medium</v>
      </c>
      <c r="J1462" s="17" t="str">
        <f>IF(TRIM(Github!D$2055)="TRUE","FALSE","TRUE")</f>
        <v>TRUE</v>
      </c>
      <c r="K1462" s="17" t="b">
        <f>Github!M$2055</f>
        <v>0</v>
      </c>
      <c r="L1462" s="17" t="b">
        <f>Github!N$2055</f>
        <v>0</v>
      </c>
      <c r="M1462" s="17" t="str">
        <f>ROUND(Github!O$2055, 2)&amp;"%"</f>
        <v>42.87%</v>
      </c>
      <c r="N1462" s="17">
        <f>Github!P$2055</f>
        <v>7792</v>
      </c>
      <c r="O1462" s="17">
        <f>Github!Q$2055</f>
        <v>18174</v>
      </c>
    </row>
    <row r="1463" ht="18.0" customHeight="1">
      <c r="A1463" s="17">
        <f>Github!J$496</f>
        <v>495</v>
      </c>
      <c r="B1463" s="27" t="str">
        <f>HYPERLINK(CONCAT("http://leetcode.com/problems/",Github!C$496), Github!B$496)</f>
        <v>Teemo Attacking</v>
      </c>
      <c r="C1463" s="17">
        <f>Github!F$496</f>
        <v>358</v>
      </c>
      <c r="D1463" s="17">
        <f>Github!G$496</f>
        <v>34</v>
      </c>
      <c r="E1463" s="17">
        <f>Github!F$496+Github!G$496</f>
        <v>392</v>
      </c>
      <c r="F1463" s="18">
        <f t="shared" si="1"/>
        <v>10.53</v>
      </c>
      <c r="G1463" s="17" t="str">
        <f>Github!H$496</f>
        <v>Algorithms</v>
      </c>
      <c r="H1463" s="19" t="str">
        <f>SUBSTITUTE(Github!L$496, ";", ", ")</f>
        <v>Array, Simulation, </v>
      </c>
      <c r="I1463" s="17" t="str">
        <f>Github!E$496</f>
        <v>Easy</v>
      </c>
      <c r="J1463" s="17" t="str">
        <f>IF(TRIM(Github!D$496)="TRUE","FALSE","TRUE")</f>
        <v>TRUE</v>
      </c>
      <c r="K1463" s="17" t="b">
        <f>Github!M$496</f>
        <v>1</v>
      </c>
      <c r="L1463" s="17" t="b">
        <f>Github!N$496</f>
        <v>0</v>
      </c>
      <c r="M1463" s="17" t="str">
        <f>ROUND(Github!O$496, 2)&amp;"%"</f>
        <v>56.84%</v>
      </c>
      <c r="N1463" s="17">
        <f>Github!P$496</f>
        <v>95237</v>
      </c>
      <c r="O1463" s="17">
        <f>Github!Q$496</f>
        <v>167558</v>
      </c>
    </row>
    <row r="1464" ht="18.0" customHeight="1">
      <c r="A1464" s="17">
        <f>Github!J$2100</f>
        <v>2099</v>
      </c>
      <c r="B1464" s="27" t="str">
        <f>HYPERLINK(CONCAT("http://leetcode.com/problems/",Github!C$2100), Github!B$2100)</f>
        <v>Find Subsequence of Length K With the Largest Sum</v>
      </c>
      <c r="C1464" s="17">
        <f>Github!F$2100</f>
        <v>359</v>
      </c>
      <c r="D1464" s="17">
        <f>Github!G$2100</f>
        <v>27</v>
      </c>
      <c r="E1464" s="17">
        <f>Github!F$2100+Github!G$2100</f>
        <v>386</v>
      </c>
      <c r="F1464" s="18">
        <f t="shared" si="1"/>
        <v>13.3</v>
      </c>
      <c r="G1464" s="17" t="str">
        <f>Github!H$2100</f>
        <v>Algorithms</v>
      </c>
      <c r="H1464" s="19" t="str">
        <f>SUBSTITUTE(Github!L$2100, ";", ", ")</f>
        <v>Array, Hash Table, Sorting, Heap (Priority Queue), </v>
      </c>
      <c r="I1464" s="17" t="str">
        <f>Github!E$2100</f>
        <v>Easy</v>
      </c>
      <c r="J1464" s="17" t="str">
        <f>IF(TRIM(Github!D$2100)="TRUE","FALSE","TRUE")</f>
        <v>TRUE</v>
      </c>
      <c r="K1464" s="17" t="b">
        <f>Github!M$2100</f>
        <v>0</v>
      </c>
      <c r="L1464" s="17" t="b">
        <f>Github!N$2100</f>
        <v>0</v>
      </c>
      <c r="M1464" s="17" t="str">
        <f>ROUND(Github!O$2100, 2)&amp;"%"</f>
        <v>44.09%</v>
      </c>
      <c r="N1464" s="17">
        <f>Github!P$2100</f>
        <v>13269</v>
      </c>
      <c r="O1464" s="17">
        <f>Github!Q$2100</f>
        <v>30092</v>
      </c>
    </row>
    <row r="1465" ht="18.0" customHeight="1">
      <c r="A1465" s="17">
        <f>Github!J$1275</f>
        <v>1274</v>
      </c>
      <c r="B1465" s="27" t="str">
        <f>HYPERLINK(CONCAT("http://leetcode.com/problems/",Github!C$1275), Github!B$1275)</f>
        <v>Number of Ships in a Rectangle</v>
      </c>
      <c r="C1465" s="17">
        <f>Github!F$1275</f>
        <v>357</v>
      </c>
      <c r="D1465" s="17">
        <f>Github!G$1275</f>
        <v>42</v>
      </c>
      <c r="E1465" s="17">
        <f>Github!F$1275+Github!G$1275</f>
        <v>399</v>
      </c>
      <c r="F1465" s="18">
        <f t="shared" si="1"/>
        <v>8.5</v>
      </c>
      <c r="G1465" s="17" t="str">
        <f>Github!H$1275</f>
        <v>Algorithms</v>
      </c>
      <c r="H1465" s="19" t="str">
        <f>SUBSTITUTE(Github!L$1275, ";", ", ")</f>
        <v>Array, Divide and Conquer, Interactive, </v>
      </c>
      <c r="I1465" s="17" t="str">
        <f>Github!E$1275</f>
        <v>Hard</v>
      </c>
      <c r="J1465" s="17" t="str">
        <f>IF(TRIM(Github!D$1275)="TRUE","FALSE","TRUE")</f>
        <v>FALSE</v>
      </c>
      <c r="K1465" s="17" t="b">
        <f>Github!M$1275</f>
        <v>1</v>
      </c>
      <c r="L1465" s="17" t="b">
        <f>Github!N$1275</f>
        <v>0</v>
      </c>
      <c r="M1465" s="17" t="str">
        <f>ROUND(Github!O$1275, 2)&amp;"%"</f>
        <v>68.48%</v>
      </c>
      <c r="N1465" s="17">
        <f>Github!P$1275</f>
        <v>16727</v>
      </c>
      <c r="O1465" s="17">
        <f>Github!Q$1275</f>
        <v>24427</v>
      </c>
    </row>
    <row r="1466" ht="18.0" customHeight="1">
      <c r="A1466" s="17">
        <f>Github!J$1569</f>
        <v>1568</v>
      </c>
      <c r="B1466" s="27" t="str">
        <f>HYPERLINK(CONCAT("http://leetcode.com/problems/",Github!C$1569), Github!B$1569)</f>
        <v>Minimum Number of Days to Disconnect Island</v>
      </c>
      <c r="C1466" s="17">
        <f>Github!F$1569</f>
        <v>357</v>
      </c>
      <c r="D1466" s="17">
        <f>Github!G$1569</f>
        <v>118</v>
      </c>
      <c r="E1466" s="17">
        <f>Github!F$1569+Github!G$1569</f>
        <v>475</v>
      </c>
      <c r="F1466" s="18">
        <f t="shared" si="1"/>
        <v>3.03</v>
      </c>
      <c r="G1466" s="17" t="str">
        <f>Github!H$1569</f>
        <v>Algorithms</v>
      </c>
      <c r="H1466" s="19" t="str">
        <f>SUBSTITUTE(Github!L$1569, ";", ", ")</f>
        <v>Array, Depth-First Search, Breadth-First Search, Matrix, Strongly Connected Component, </v>
      </c>
      <c r="I1466" s="17" t="str">
        <f>Github!E$1569</f>
        <v>Hard</v>
      </c>
      <c r="J1466" s="17" t="str">
        <f>IF(TRIM(Github!D$1569)="TRUE","FALSE","TRUE")</f>
        <v>TRUE</v>
      </c>
      <c r="K1466" s="17" t="b">
        <f>Github!M$1569</f>
        <v>0</v>
      </c>
      <c r="L1466" s="17" t="b">
        <f>Github!N$1569</f>
        <v>0</v>
      </c>
      <c r="M1466" s="17" t="str">
        <f>ROUND(Github!O$1569, 2)&amp;"%"</f>
        <v>48.76%</v>
      </c>
      <c r="N1466" s="17">
        <f>Github!P$1569</f>
        <v>7997</v>
      </c>
      <c r="O1466" s="17">
        <f>Github!Q$1569</f>
        <v>16400</v>
      </c>
    </row>
    <row r="1467" ht="18.0" customHeight="1">
      <c r="A1467" s="17">
        <f>Github!J$1669</f>
        <v>1668</v>
      </c>
      <c r="B1467" s="27" t="str">
        <f>HYPERLINK(CONCAT("http://leetcode.com/problems/",Github!C$1669), Github!B$1669)</f>
        <v>Maximum Repeating Substring</v>
      </c>
      <c r="C1467" s="17">
        <f>Github!F$1669</f>
        <v>357</v>
      </c>
      <c r="D1467" s="17">
        <f>Github!G$1669</f>
        <v>117</v>
      </c>
      <c r="E1467" s="17">
        <f>Github!F$1669+Github!G$1669</f>
        <v>474</v>
      </c>
      <c r="F1467" s="18">
        <f t="shared" si="1"/>
        <v>3.05</v>
      </c>
      <c r="G1467" s="17" t="str">
        <f>Github!H$1669</f>
        <v>Algorithms</v>
      </c>
      <c r="H1467" s="19" t="str">
        <f>SUBSTITUTE(Github!L$1669, ";", ", ")</f>
        <v>String, String Matching, </v>
      </c>
      <c r="I1467" s="17" t="str">
        <f>Github!E$1669</f>
        <v>Easy</v>
      </c>
      <c r="J1467" s="17" t="str">
        <f>IF(TRIM(Github!D$1669)="TRUE","FALSE","TRUE")</f>
        <v>TRUE</v>
      </c>
      <c r="K1467" s="17" t="b">
        <f>Github!M$1669</f>
        <v>0</v>
      </c>
      <c r="L1467" s="17" t="b">
        <f>Github!N$1669</f>
        <v>0</v>
      </c>
      <c r="M1467" s="17" t="str">
        <f>ROUND(Github!O$1669, 2)&amp;"%"</f>
        <v>39.5%</v>
      </c>
      <c r="N1467" s="17">
        <f>Github!P$1669</f>
        <v>22625</v>
      </c>
      <c r="O1467" s="17">
        <f>Github!Q$1669</f>
        <v>57282</v>
      </c>
    </row>
    <row r="1468" ht="18.0" customHeight="1">
      <c r="A1468" s="17">
        <f>Github!J$1845</f>
        <v>1844</v>
      </c>
      <c r="B1468" s="27" t="str">
        <f>HYPERLINK(CONCAT("http://leetcode.com/problems/",Github!C$1845), Github!B$1845)</f>
        <v>Replace All Digits with Characters</v>
      </c>
      <c r="C1468" s="17">
        <f>Github!F$1845</f>
        <v>357</v>
      </c>
      <c r="D1468" s="17">
        <f>Github!G$1845</f>
        <v>45</v>
      </c>
      <c r="E1468" s="17">
        <f>Github!F$1845+Github!G$1845</f>
        <v>402</v>
      </c>
      <c r="F1468" s="18">
        <f t="shared" si="1"/>
        <v>7.93</v>
      </c>
      <c r="G1468" s="17" t="str">
        <f>Github!H$1845</f>
        <v>Algorithms</v>
      </c>
      <c r="H1468" s="19" t="str">
        <f>SUBSTITUTE(Github!L$1845, ";", ", ")</f>
        <v>String, </v>
      </c>
      <c r="I1468" s="17" t="str">
        <f>Github!E$1845</f>
        <v>Easy</v>
      </c>
      <c r="J1468" s="17" t="str">
        <f>IF(TRIM(Github!D$1845)="TRUE","FALSE","TRUE")</f>
        <v>TRUE</v>
      </c>
      <c r="K1468" s="17" t="b">
        <f>Github!M$1845</f>
        <v>0</v>
      </c>
      <c r="L1468" s="17" t="b">
        <f>Github!N$1845</f>
        <v>0</v>
      </c>
      <c r="M1468" s="17" t="str">
        <f>ROUND(Github!O$1845, 2)&amp;"%"</f>
        <v>80.11%</v>
      </c>
      <c r="N1468" s="17">
        <f>Github!P$1845</f>
        <v>36631</v>
      </c>
      <c r="O1468" s="17">
        <f>Github!Q$1845</f>
        <v>45727</v>
      </c>
    </row>
    <row r="1469" ht="18.0" customHeight="1">
      <c r="A1469" s="17">
        <f>Github!J$545</f>
        <v>544</v>
      </c>
      <c r="B1469" s="27" t="str">
        <f>HYPERLINK(CONCAT("http://leetcode.com/problems/",Github!C$545), Github!B$545)</f>
        <v>Output Contest Matches</v>
      </c>
      <c r="C1469" s="17">
        <f>Github!F$545</f>
        <v>355</v>
      </c>
      <c r="D1469" s="17">
        <f>Github!G$545</f>
        <v>114</v>
      </c>
      <c r="E1469" s="17">
        <f>Github!F$545+Github!G$545</f>
        <v>469</v>
      </c>
      <c r="F1469" s="18">
        <f t="shared" si="1"/>
        <v>3.11</v>
      </c>
      <c r="G1469" s="17" t="str">
        <f>Github!H$545</f>
        <v>Algorithms</v>
      </c>
      <c r="H1469" s="19" t="str">
        <f>SUBSTITUTE(Github!L$545, ";", ", ")</f>
        <v>String, Recursion, Simulation, </v>
      </c>
      <c r="I1469" s="17" t="str">
        <f>Github!E$545</f>
        <v>Medium</v>
      </c>
      <c r="J1469" s="17" t="str">
        <f>IF(TRIM(Github!D$545)="TRUE","FALSE","TRUE")</f>
        <v>FALSE</v>
      </c>
      <c r="K1469" s="17" t="b">
        <f>Github!M$545</f>
        <v>0</v>
      </c>
      <c r="L1469" s="17" t="b">
        <f>Github!N$545</f>
        <v>0</v>
      </c>
      <c r="M1469" s="17" t="str">
        <f>ROUND(Github!O$545, 2)&amp;"%"</f>
        <v>76.37%</v>
      </c>
      <c r="N1469" s="17">
        <f>Github!P$545</f>
        <v>24497</v>
      </c>
      <c r="O1469" s="17">
        <f>Github!Q$545</f>
        <v>32078</v>
      </c>
    </row>
    <row r="1470" ht="18.0" customHeight="1">
      <c r="A1470" s="17">
        <f>Github!J$1097</f>
        <v>1096</v>
      </c>
      <c r="B1470" s="27" t="str">
        <f>HYPERLINK(CONCAT("http://leetcode.com/problems/",Github!C$1097), Github!B$1097)</f>
        <v>Brace Expansion II</v>
      </c>
      <c r="C1470" s="17">
        <f>Github!F$1097</f>
        <v>355</v>
      </c>
      <c r="D1470" s="17">
        <f>Github!G$1097</f>
        <v>224</v>
      </c>
      <c r="E1470" s="17">
        <f>Github!F$1097+Github!G$1097</f>
        <v>579</v>
      </c>
      <c r="F1470" s="18">
        <f t="shared" si="1"/>
        <v>1.58</v>
      </c>
      <c r="G1470" s="17" t="str">
        <f>Github!H$1097</f>
        <v>Algorithms</v>
      </c>
      <c r="H1470" s="19" t="str">
        <f>SUBSTITUTE(Github!L$1097, ";", ", ")</f>
        <v>String, Backtracking, Stack, Breadth-First Search, </v>
      </c>
      <c r="I1470" s="17" t="str">
        <f>Github!E$1097</f>
        <v>Hard</v>
      </c>
      <c r="J1470" s="17" t="str">
        <f>IF(TRIM(Github!D$1097)="TRUE","FALSE","TRUE")</f>
        <v>TRUE</v>
      </c>
      <c r="K1470" s="17" t="b">
        <f>Github!M$1097</f>
        <v>0</v>
      </c>
      <c r="L1470" s="17" t="b">
        <f>Github!N$1097</f>
        <v>0</v>
      </c>
      <c r="M1470" s="17" t="str">
        <f>ROUND(Github!O$1097, 2)&amp;"%"</f>
        <v>62.49%</v>
      </c>
      <c r="N1470" s="17">
        <f>Github!P$1097</f>
        <v>18314</v>
      </c>
      <c r="O1470" s="17">
        <f>Github!Q$1097</f>
        <v>29307</v>
      </c>
    </row>
    <row r="1471" ht="18.0" customHeight="1">
      <c r="A1471" s="17">
        <f>Github!J$1477</f>
        <v>1476</v>
      </c>
      <c r="B1471" s="27" t="str">
        <f>HYPERLINK(CONCAT("http://leetcode.com/problems/",Github!C$1477), Github!B$1477)</f>
        <v>Subrectangle Queries</v>
      </c>
      <c r="C1471" s="17">
        <f>Github!F$1477</f>
        <v>355</v>
      </c>
      <c r="D1471" s="17">
        <f>Github!G$1477</f>
        <v>942</v>
      </c>
      <c r="E1471" s="17">
        <f>Github!F$1477+Github!G$1477</f>
        <v>1297</v>
      </c>
      <c r="F1471" s="18">
        <f t="shared" si="1"/>
        <v>0.38</v>
      </c>
      <c r="G1471" s="17" t="str">
        <f>Github!H$1477</f>
        <v>Algorithms</v>
      </c>
      <c r="H1471" s="19" t="str">
        <f>SUBSTITUTE(Github!L$1477, ";", ", ")</f>
        <v>Array, Design, Matrix, </v>
      </c>
      <c r="I1471" s="17" t="str">
        <f>Github!E$1477</f>
        <v>Medium</v>
      </c>
      <c r="J1471" s="17" t="str">
        <f>IF(TRIM(Github!D$1477)="TRUE","FALSE","TRUE")</f>
        <v>TRUE</v>
      </c>
      <c r="K1471" s="17" t="b">
        <f>Github!M$1477</f>
        <v>0</v>
      </c>
      <c r="L1471" s="17" t="b">
        <f>Github!N$1477</f>
        <v>0</v>
      </c>
      <c r="M1471" s="17" t="str">
        <f>ROUND(Github!O$1477, 2)&amp;"%"</f>
        <v>88.24%</v>
      </c>
      <c r="N1471" s="17">
        <f>Github!P$1477</f>
        <v>67104</v>
      </c>
      <c r="O1471" s="17">
        <f>Github!Q$1477</f>
        <v>76045</v>
      </c>
    </row>
    <row r="1472" ht="18.0" customHeight="1">
      <c r="A1472" s="17">
        <f>Github!J$2050</f>
        <v>2049</v>
      </c>
      <c r="B1472" s="27" t="str">
        <f>HYPERLINK(CONCAT("http://leetcode.com/problems/",Github!C$2050), Github!B$2050)</f>
        <v>Count Nodes With the Highest Score</v>
      </c>
      <c r="C1472" s="17">
        <f>Github!F$2050</f>
        <v>358</v>
      </c>
      <c r="D1472" s="17">
        <f>Github!G$2050</f>
        <v>24</v>
      </c>
      <c r="E1472" s="17">
        <f>Github!F$2050+Github!G$2050</f>
        <v>382</v>
      </c>
      <c r="F1472" s="18">
        <f t="shared" si="1"/>
        <v>14.92</v>
      </c>
      <c r="G1472" s="17" t="str">
        <f>Github!H$2050</f>
        <v>Algorithms</v>
      </c>
      <c r="H1472" s="19" t="str">
        <f>SUBSTITUTE(Github!L$2050, ";", ", ")</f>
        <v>Array, Tree, Depth-First Search, Binary Tree, </v>
      </c>
      <c r="I1472" s="17" t="str">
        <f>Github!E$2050</f>
        <v>Medium</v>
      </c>
      <c r="J1472" s="17" t="str">
        <f>IF(TRIM(Github!D$2050)="TRUE","FALSE","TRUE")</f>
        <v>TRUE</v>
      </c>
      <c r="K1472" s="17" t="b">
        <f>Github!M$2050</f>
        <v>0</v>
      </c>
      <c r="L1472" s="17" t="b">
        <f>Github!N$2050</f>
        <v>0</v>
      </c>
      <c r="M1472" s="17" t="str">
        <f>ROUND(Github!O$2050, 2)&amp;"%"</f>
        <v>46.38%</v>
      </c>
      <c r="N1472" s="17">
        <f>Github!P$2050</f>
        <v>8921</v>
      </c>
      <c r="O1472" s="17">
        <f>Github!Q$2050</f>
        <v>19234</v>
      </c>
    </row>
    <row r="1473" ht="18.0" customHeight="1">
      <c r="A1473" s="17">
        <f>Github!J$386</f>
        <v>385</v>
      </c>
      <c r="B1473" s="27" t="str">
        <f>HYPERLINK(CONCAT("http://leetcode.com/problems/",Github!C$386), Github!B$386)</f>
        <v>Mini Parser</v>
      </c>
      <c r="C1473" s="17">
        <f>Github!F$386</f>
        <v>354</v>
      </c>
      <c r="D1473" s="17">
        <f>Github!G$386</f>
        <v>1111</v>
      </c>
      <c r="E1473" s="17">
        <f>Github!F$386+Github!G$386</f>
        <v>1465</v>
      </c>
      <c r="F1473" s="18">
        <f t="shared" si="1"/>
        <v>0.32</v>
      </c>
      <c r="G1473" s="17" t="str">
        <f>Github!H$386</f>
        <v>Algorithms</v>
      </c>
      <c r="H1473" s="19" t="str">
        <f>SUBSTITUTE(Github!L$386, ";", ", ")</f>
        <v>String, Stack, Depth-First Search, </v>
      </c>
      <c r="I1473" s="17" t="str">
        <f>Github!E$386</f>
        <v>Medium</v>
      </c>
      <c r="J1473" s="17" t="str">
        <f>IF(TRIM(Github!D$386)="TRUE","FALSE","TRUE")</f>
        <v>TRUE</v>
      </c>
      <c r="K1473" s="17" t="b">
        <f>Github!M$386</f>
        <v>0</v>
      </c>
      <c r="L1473" s="17" t="b">
        <f>Github!N$386</f>
        <v>0</v>
      </c>
      <c r="M1473" s="17" t="str">
        <f>ROUND(Github!O$386, 2)&amp;"%"</f>
        <v>35.73%</v>
      </c>
      <c r="N1473" s="17">
        <f>Github!P$386</f>
        <v>47139</v>
      </c>
      <c r="O1473" s="17">
        <f>Github!Q$386</f>
        <v>131947</v>
      </c>
    </row>
    <row r="1474" ht="18.0" customHeight="1">
      <c r="A1474" s="17">
        <f>Github!J$479</f>
        <v>478</v>
      </c>
      <c r="B1474" s="27" t="str">
        <f>HYPERLINK(CONCAT("http://leetcode.com/problems/",Github!C$479), Github!B$479)</f>
        <v>Generate Random Point in a Circle</v>
      </c>
      <c r="C1474" s="17">
        <f>Github!F$479</f>
        <v>354</v>
      </c>
      <c r="D1474" s="17">
        <f>Github!G$479</f>
        <v>664</v>
      </c>
      <c r="E1474" s="17">
        <f>Github!F$479+Github!G$479</f>
        <v>1018</v>
      </c>
      <c r="F1474" s="18">
        <f t="shared" si="1"/>
        <v>0.53</v>
      </c>
      <c r="G1474" s="17" t="str">
        <f>Github!H$479</f>
        <v>Algorithms</v>
      </c>
      <c r="H1474" s="19" t="str">
        <f>SUBSTITUTE(Github!L$479, ";", ", ")</f>
        <v>Math, Geometry, Rejection Sampling, Randomized, </v>
      </c>
      <c r="I1474" s="17" t="str">
        <f>Github!E$479</f>
        <v>Medium</v>
      </c>
      <c r="J1474" s="17" t="str">
        <f>IF(TRIM(Github!D$479)="TRUE","FALSE","TRUE")</f>
        <v>TRUE</v>
      </c>
      <c r="K1474" s="17" t="b">
        <f>Github!M$479</f>
        <v>1</v>
      </c>
      <c r="L1474" s="17" t="b">
        <f>Github!N$479</f>
        <v>0</v>
      </c>
      <c r="M1474" s="17" t="str">
        <f>ROUND(Github!O$479, 2)&amp;"%"</f>
        <v>39.34%</v>
      </c>
      <c r="N1474" s="17">
        <f>Github!P$479</f>
        <v>32853</v>
      </c>
      <c r="O1474" s="17">
        <f>Github!Q$479</f>
        <v>83512</v>
      </c>
    </row>
    <row r="1475" ht="18.0" customHeight="1">
      <c r="A1475" s="17">
        <f>Github!J$1988</f>
        <v>1987</v>
      </c>
      <c r="B1475" s="27" t="str">
        <f>HYPERLINK(CONCAT("http://leetcode.com/problems/",Github!C$1988), Github!B$1988)</f>
        <v>Number of Unique Good Subsequences</v>
      </c>
      <c r="C1475" s="17">
        <f>Github!F$1988</f>
        <v>354</v>
      </c>
      <c r="D1475" s="17">
        <f>Github!G$1988</f>
        <v>7</v>
      </c>
      <c r="E1475" s="17">
        <f>Github!F$1988+Github!G$1988</f>
        <v>361</v>
      </c>
      <c r="F1475" s="18">
        <f t="shared" si="1"/>
        <v>50.57</v>
      </c>
      <c r="G1475" s="17" t="str">
        <f>Github!H$1988</f>
        <v>Algorithms</v>
      </c>
      <c r="H1475" s="19" t="str">
        <f>SUBSTITUTE(Github!L$1988, ";", ", ")</f>
        <v>String, Dynamic Programming, </v>
      </c>
      <c r="I1475" s="17" t="str">
        <f>Github!E$1988</f>
        <v>Hard</v>
      </c>
      <c r="J1475" s="17" t="str">
        <f>IF(TRIM(Github!D$1988)="TRUE","FALSE","TRUE")</f>
        <v>TRUE</v>
      </c>
      <c r="K1475" s="17" t="b">
        <f>Github!M$1988</f>
        <v>0</v>
      </c>
      <c r="L1475" s="17" t="b">
        <f>Github!N$1988</f>
        <v>0</v>
      </c>
      <c r="M1475" s="17" t="str">
        <f>ROUND(Github!O$1988, 2)&amp;"%"</f>
        <v>51.9%</v>
      </c>
      <c r="N1475" s="17">
        <f>Github!P$1988</f>
        <v>6607</v>
      </c>
      <c r="O1475" s="17">
        <f>Github!Q$1988</f>
        <v>12731</v>
      </c>
    </row>
    <row r="1476" ht="18.0" customHeight="1">
      <c r="A1476" s="17">
        <f>Github!J$2132</f>
        <v>2131</v>
      </c>
      <c r="B1476" s="27" t="str">
        <f>HYPERLINK(CONCAT("http://leetcode.com/problems/",Github!C$2132), Github!B$2132)</f>
        <v>Longest Palindrome by Concatenating Two Letter Words</v>
      </c>
      <c r="C1476" s="17">
        <f>Github!F$2132</f>
        <v>353</v>
      </c>
      <c r="D1476" s="17">
        <f>Github!G$2132</f>
        <v>7</v>
      </c>
      <c r="E1476" s="17">
        <f>Github!F$2132+Github!G$2132</f>
        <v>360</v>
      </c>
      <c r="F1476" s="18">
        <f t="shared" si="1"/>
        <v>50.43</v>
      </c>
      <c r="G1476" s="17" t="str">
        <f>Github!H$2132</f>
        <v>Algorithms</v>
      </c>
      <c r="H1476" s="19" t="str">
        <f>SUBSTITUTE(Github!L$2132, ";", ", ")</f>
        <v>Array, Hash Table, String, Greedy, Counting, </v>
      </c>
      <c r="I1476" s="17" t="str">
        <f>Github!E$2132</f>
        <v>Medium</v>
      </c>
      <c r="J1476" s="17" t="str">
        <f>IF(TRIM(Github!D$2132)="TRUE","FALSE","TRUE")</f>
        <v>TRUE</v>
      </c>
      <c r="K1476" s="17" t="b">
        <f>Github!M$2132</f>
        <v>0</v>
      </c>
      <c r="L1476" s="17" t="b">
        <f>Github!N$2132</f>
        <v>0</v>
      </c>
      <c r="M1476" s="17" t="str">
        <f>ROUND(Github!O$2132, 2)&amp;"%"</f>
        <v>37.87%</v>
      </c>
      <c r="N1476" s="17">
        <f>Github!P$2132</f>
        <v>11998</v>
      </c>
      <c r="O1476" s="17">
        <f>Github!Q$2132</f>
        <v>31683</v>
      </c>
    </row>
    <row r="1477" ht="18.0" customHeight="1">
      <c r="A1477" s="17">
        <f>Github!J$1089</f>
        <v>1088</v>
      </c>
      <c r="B1477" s="27" t="str">
        <f>HYPERLINK(CONCAT("http://leetcode.com/problems/",Github!C$1089), Github!B$1089)</f>
        <v>Confusing Number II</v>
      </c>
      <c r="C1477" s="17">
        <f>Github!F$1089</f>
        <v>352</v>
      </c>
      <c r="D1477" s="17">
        <f>Github!G$1089</f>
        <v>95</v>
      </c>
      <c r="E1477" s="17">
        <f>Github!F$1089+Github!G$1089</f>
        <v>447</v>
      </c>
      <c r="F1477" s="18">
        <f t="shared" si="1"/>
        <v>3.71</v>
      </c>
      <c r="G1477" s="17" t="str">
        <f>Github!H$1089</f>
        <v>Algorithms</v>
      </c>
      <c r="H1477" s="19" t="str">
        <f>SUBSTITUTE(Github!L$1089, ";", ", ")</f>
        <v>Math, Backtracking, </v>
      </c>
      <c r="I1477" s="17" t="str">
        <f>Github!E$1089</f>
        <v>Hard</v>
      </c>
      <c r="J1477" s="17" t="str">
        <f>IF(TRIM(Github!D$1089)="TRUE","FALSE","TRUE")</f>
        <v>FALSE</v>
      </c>
      <c r="K1477" s="17" t="b">
        <f>Github!M$1089</f>
        <v>0</v>
      </c>
      <c r="L1477" s="17" t="b">
        <f>Github!N$1089</f>
        <v>0</v>
      </c>
      <c r="M1477" s="17" t="str">
        <f>ROUND(Github!O$1089, 2)&amp;"%"</f>
        <v>46.5%</v>
      </c>
      <c r="N1477" s="17">
        <f>Github!P$1089</f>
        <v>28393</v>
      </c>
      <c r="O1477" s="17">
        <f>Github!Q$1089</f>
        <v>61061</v>
      </c>
    </row>
    <row r="1478" ht="18.0" customHeight="1">
      <c r="A1478" s="17">
        <f>Github!J$1801</f>
        <v>1800</v>
      </c>
      <c r="B1478" s="27" t="str">
        <f>HYPERLINK(CONCAT("http://leetcode.com/problems/",Github!C$1801), Github!B$1801)</f>
        <v>Maximum Ascending Subarray Sum</v>
      </c>
      <c r="C1478" s="17">
        <f>Github!F$1801</f>
        <v>352</v>
      </c>
      <c r="D1478" s="17">
        <f>Github!G$1801</f>
        <v>12</v>
      </c>
      <c r="E1478" s="17">
        <f>Github!F$1801+Github!G$1801</f>
        <v>364</v>
      </c>
      <c r="F1478" s="18">
        <f t="shared" si="1"/>
        <v>29.33</v>
      </c>
      <c r="G1478" s="17" t="str">
        <f>Github!H$1801</f>
        <v>Algorithms</v>
      </c>
      <c r="H1478" s="19" t="str">
        <f>SUBSTITUTE(Github!L$1801, ";", ", ")</f>
        <v>Array, </v>
      </c>
      <c r="I1478" s="17" t="str">
        <f>Github!E$1801</f>
        <v>Easy</v>
      </c>
      <c r="J1478" s="17" t="str">
        <f>IF(TRIM(Github!D$1801)="TRUE","FALSE","TRUE")</f>
        <v>TRUE</v>
      </c>
      <c r="K1478" s="17" t="b">
        <f>Github!M$1801</f>
        <v>0</v>
      </c>
      <c r="L1478" s="17" t="b">
        <f>Github!N$1801</f>
        <v>0</v>
      </c>
      <c r="M1478" s="17" t="str">
        <f>ROUND(Github!O$1801, 2)&amp;"%"</f>
        <v>64.51%</v>
      </c>
      <c r="N1478" s="17">
        <f>Github!P$1801</f>
        <v>28030</v>
      </c>
      <c r="O1478" s="17">
        <f>Github!Q$1801</f>
        <v>43449</v>
      </c>
    </row>
    <row r="1479" ht="18.0" customHeight="1">
      <c r="A1479" s="17">
        <f>Github!J$1470</f>
        <v>1469</v>
      </c>
      <c r="B1479" s="27" t="str">
        <f>HYPERLINK(CONCAT("http://leetcode.com/problems/",Github!C$1470), Github!B$1470)</f>
        <v>Find All The Lonely Nodes</v>
      </c>
      <c r="C1479" s="17">
        <f>Github!F$1470</f>
        <v>350</v>
      </c>
      <c r="D1479" s="17">
        <f>Github!G$1470</f>
        <v>7</v>
      </c>
      <c r="E1479" s="17">
        <f>Github!F$1470+Github!G$1470</f>
        <v>357</v>
      </c>
      <c r="F1479" s="18">
        <f t="shared" si="1"/>
        <v>50</v>
      </c>
      <c r="G1479" s="17" t="str">
        <f>Github!H$1470</f>
        <v>Algorithms</v>
      </c>
      <c r="H1479" s="19" t="str">
        <f>SUBSTITUTE(Github!L$1470, ";", ", ")</f>
        <v>Tree, Depth-First Search, Breadth-First Search, Binary Tree, </v>
      </c>
      <c r="I1479" s="17" t="str">
        <f>Github!E$1470</f>
        <v>Easy</v>
      </c>
      <c r="J1479" s="17" t="str">
        <f>IF(TRIM(Github!D$1470)="TRUE","FALSE","TRUE")</f>
        <v>FALSE</v>
      </c>
      <c r="K1479" s="17" t="b">
        <f>Github!M$1470</f>
        <v>0</v>
      </c>
      <c r="L1479" s="17" t="b">
        <f>Github!N$1470</f>
        <v>0</v>
      </c>
      <c r="M1479" s="17" t="str">
        <f>ROUND(Github!O$1470, 2)&amp;"%"</f>
        <v>81.62%</v>
      </c>
      <c r="N1479" s="17">
        <f>Github!P$1470</f>
        <v>31736</v>
      </c>
      <c r="O1479" s="17">
        <f>Github!Q$1470</f>
        <v>38885</v>
      </c>
    </row>
    <row r="1480" ht="18.0" customHeight="1">
      <c r="A1480" s="17">
        <f>Github!J$605</f>
        <v>604</v>
      </c>
      <c r="B1480" s="27" t="str">
        <f>HYPERLINK(CONCAT("http://leetcode.com/problems/",Github!C$605), Github!B$605)</f>
        <v>Design Compressed String Iterator</v>
      </c>
      <c r="C1480" s="17">
        <f>Github!F$605</f>
        <v>350</v>
      </c>
      <c r="D1480" s="17">
        <f>Github!G$605</f>
        <v>121</v>
      </c>
      <c r="E1480" s="17">
        <f>Github!F$605+Github!G$605</f>
        <v>471</v>
      </c>
      <c r="F1480" s="18">
        <f t="shared" si="1"/>
        <v>2.89</v>
      </c>
      <c r="G1480" s="17" t="str">
        <f>Github!H$605</f>
        <v>Algorithms</v>
      </c>
      <c r="H1480" s="19" t="str">
        <f>SUBSTITUTE(Github!L$605, ";", ", ")</f>
        <v>Array, Hash Table, String, Design, Iterator, </v>
      </c>
      <c r="I1480" s="17" t="str">
        <f>Github!E$605</f>
        <v>Easy</v>
      </c>
      <c r="J1480" s="17" t="str">
        <f>IF(TRIM(Github!D$605)="TRUE","FALSE","TRUE")</f>
        <v>FALSE</v>
      </c>
      <c r="K1480" s="17" t="b">
        <f>Github!M$605</f>
        <v>1</v>
      </c>
      <c r="L1480" s="17" t="b">
        <f>Github!N$605</f>
        <v>0</v>
      </c>
      <c r="M1480" s="17" t="str">
        <f>ROUND(Github!O$605, 2)&amp;"%"</f>
        <v>38.98%</v>
      </c>
      <c r="N1480" s="17">
        <f>Github!P$605</f>
        <v>25677</v>
      </c>
      <c r="O1480" s="17">
        <f>Github!Q$605</f>
        <v>65873</v>
      </c>
    </row>
    <row r="1481" ht="18.0" customHeight="1">
      <c r="A1481" s="17">
        <f>Github!J$1225</f>
        <v>1224</v>
      </c>
      <c r="B1481" s="27" t="str">
        <f>HYPERLINK(CONCAT("http://leetcode.com/problems/",Github!C$1225), Github!B$1225)</f>
        <v>Maximum Equal Frequency</v>
      </c>
      <c r="C1481" s="17">
        <f>Github!F$1225</f>
        <v>349</v>
      </c>
      <c r="D1481" s="17">
        <f>Github!G$1225</f>
        <v>38</v>
      </c>
      <c r="E1481" s="17">
        <f>Github!F$1225+Github!G$1225</f>
        <v>387</v>
      </c>
      <c r="F1481" s="18">
        <f t="shared" si="1"/>
        <v>9.18</v>
      </c>
      <c r="G1481" s="17" t="str">
        <f>Github!H$1225</f>
        <v>Algorithms</v>
      </c>
      <c r="H1481" s="19" t="str">
        <f>SUBSTITUTE(Github!L$1225, ";", ", ")</f>
        <v>Array, Hash Table, </v>
      </c>
      <c r="I1481" s="17" t="str">
        <f>Github!E$1225</f>
        <v>Hard</v>
      </c>
      <c r="J1481" s="17" t="str">
        <f>IF(TRIM(Github!D$1225)="TRUE","FALSE","TRUE")</f>
        <v>TRUE</v>
      </c>
      <c r="K1481" s="17" t="b">
        <f>Github!M$1225</f>
        <v>0</v>
      </c>
      <c r="L1481" s="17" t="b">
        <f>Github!N$1225</f>
        <v>0</v>
      </c>
      <c r="M1481" s="17" t="str">
        <f>ROUND(Github!O$1225, 2)&amp;"%"</f>
        <v>36.59%</v>
      </c>
      <c r="N1481" s="17">
        <f>Github!P$1225</f>
        <v>10421</v>
      </c>
      <c r="O1481" s="17">
        <f>Github!Q$1225</f>
        <v>28480</v>
      </c>
    </row>
    <row r="1482" ht="18.0" customHeight="1">
      <c r="A1482" s="17">
        <f>Github!J$1992</f>
        <v>1991</v>
      </c>
      <c r="B1482" s="27" t="str">
        <f>HYPERLINK(CONCAT("http://leetcode.com/problems/",Github!C$1992), Github!B$1992)</f>
        <v>Find the Middle Index in Array</v>
      </c>
      <c r="C1482" s="17">
        <f>Github!F$1992</f>
        <v>349</v>
      </c>
      <c r="D1482" s="17">
        <f>Github!G$1992</f>
        <v>18</v>
      </c>
      <c r="E1482" s="17">
        <f>Github!F$1992+Github!G$1992</f>
        <v>367</v>
      </c>
      <c r="F1482" s="18">
        <f t="shared" si="1"/>
        <v>19.39</v>
      </c>
      <c r="G1482" s="17" t="str">
        <f>Github!H$1992</f>
        <v>Algorithms</v>
      </c>
      <c r="H1482" s="19" t="str">
        <f>SUBSTITUTE(Github!L$1992, ";", ", ")</f>
        <v>Array, Prefix Sum, </v>
      </c>
      <c r="I1482" s="17" t="str">
        <f>Github!E$1992</f>
        <v>Easy</v>
      </c>
      <c r="J1482" s="17" t="str">
        <f>IF(TRIM(Github!D$1992)="TRUE","FALSE","TRUE")</f>
        <v>TRUE</v>
      </c>
      <c r="K1482" s="17" t="b">
        <f>Github!M$1992</f>
        <v>0</v>
      </c>
      <c r="L1482" s="17" t="b">
        <f>Github!N$1992</f>
        <v>0</v>
      </c>
      <c r="M1482" s="17" t="str">
        <f>ROUND(Github!O$1992, 2)&amp;"%"</f>
        <v>66.34%</v>
      </c>
      <c r="N1482" s="17">
        <f>Github!P$1992</f>
        <v>23571</v>
      </c>
      <c r="O1482" s="17">
        <f>Github!Q$1992</f>
        <v>35532</v>
      </c>
    </row>
    <row r="1483" ht="18.0" customHeight="1">
      <c r="A1483" s="17">
        <f>Github!J$2184</f>
        <v>2183</v>
      </c>
      <c r="B1483" s="27" t="str">
        <f>HYPERLINK(CONCAT("http://leetcode.com/problems/",Github!C$2184), Github!B$2184)</f>
        <v>Count Array Pairs Divisible by K</v>
      </c>
      <c r="C1483" s="17">
        <f>Github!F$2184</f>
        <v>349</v>
      </c>
      <c r="D1483" s="17">
        <f>Github!G$2184</f>
        <v>21</v>
      </c>
      <c r="E1483" s="17">
        <f>Github!F$2184+Github!G$2184</f>
        <v>370</v>
      </c>
      <c r="F1483" s="18">
        <f t="shared" si="1"/>
        <v>16.62</v>
      </c>
      <c r="G1483" s="17" t="str">
        <f>Github!H$2184</f>
        <v>Algorithms</v>
      </c>
      <c r="H1483" s="19" t="str">
        <f>SUBSTITUTE(Github!L$2184, ";", ", ")</f>
        <v>Array, Math, Number Theory, </v>
      </c>
      <c r="I1483" s="17" t="str">
        <f>Github!E$2184</f>
        <v>Hard</v>
      </c>
      <c r="J1483" s="17" t="str">
        <f>IF(TRIM(Github!D$2184)="TRUE","FALSE","TRUE")</f>
        <v>TRUE</v>
      </c>
      <c r="K1483" s="17" t="b">
        <f>Github!M$2184</f>
        <v>0</v>
      </c>
      <c r="L1483" s="17" t="b">
        <f>Github!N$2184</f>
        <v>0</v>
      </c>
      <c r="M1483" s="17" t="str">
        <f>ROUND(Github!O$2184, 2)&amp;"%"</f>
        <v>26.03%</v>
      </c>
      <c r="N1483" s="17">
        <f>Github!P$2184</f>
        <v>6989</v>
      </c>
      <c r="O1483" s="17">
        <f>Github!Q$2184</f>
        <v>26852</v>
      </c>
    </row>
    <row r="1484" ht="18.0" customHeight="1">
      <c r="A1484" s="17">
        <f>Github!J$1800</f>
        <v>1799</v>
      </c>
      <c r="B1484" s="27" t="str">
        <f>HYPERLINK(CONCAT("http://leetcode.com/problems/",Github!C$1800), Github!B$1800)</f>
        <v>Maximize Score After N Operations</v>
      </c>
      <c r="C1484" s="17">
        <f>Github!F$1800</f>
        <v>348</v>
      </c>
      <c r="D1484" s="17">
        <f>Github!G$1800</f>
        <v>33</v>
      </c>
      <c r="E1484" s="17">
        <f>Github!F$1800+Github!G$1800</f>
        <v>381</v>
      </c>
      <c r="F1484" s="18">
        <f t="shared" si="1"/>
        <v>10.55</v>
      </c>
      <c r="G1484" s="17" t="str">
        <f>Github!H$1800</f>
        <v>Algorithms</v>
      </c>
      <c r="H1484" s="19" t="str">
        <f>SUBSTITUTE(Github!L$1800, ";", ", ")</f>
        <v>Array, Math, Dynamic Programming, Backtracking, Bit Manipulation, Number Theory, Bitmask, </v>
      </c>
      <c r="I1484" s="17" t="str">
        <f>Github!E$1800</f>
        <v>Hard</v>
      </c>
      <c r="J1484" s="17" t="str">
        <f>IF(TRIM(Github!D$1800)="TRUE","FALSE","TRUE")</f>
        <v>TRUE</v>
      </c>
      <c r="K1484" s="17" t="b">
        <f>Github!M$1800</f>
        <v>0</v>
      </c>
      <c r="L1484" s="17" t="b">
        <f>Github!N$1800</f>
        <v>0</v>
      </c>
      <c r="M1484" s="17" t="str">
        <f>ROUND(Github!O$1800, 2)&amp;"%"</f>
        <v>46.34%</v>
      </c>
      <c r="N1484" s="17">
        <f>Github!P$1800</f>
        <v>11201</v>
      </c>
      <c r="O1484" s="17">
        <f>Github!Q$1800</f>
        <v>24171</v>
      </c>
    </row>
    <row r="1485" ht="18.0" customHeight="1">
      <c r="A1485" s="17">
        <f>Github!J$1228</f>
        <v>1227</v>
      </c>
      <c r="B1485" s="27" t="str">
        <f>HYPERLINK(CONCAT("http://leetcode.com/problems/",Github!C$1228), Github!B$1228)</f>
        <v>Airplane Seat Assignment Probability</v>
      </c>
      <c r="C1485" s="17">
        <f>Github!F$1228</f>
        <v>347</v>
      </c>
      <c r="D1485" s="17">
        <f>Github!G$1228</f>
        <v>633</v>
      </c>
      <c r="E1485" s="17">
        <f>Github!F$1228+Github!G$1228</f>
        <v>980</v>
      </c>
      <c r="F1485" s="18">
        <f t="shared" si="1"/>
        <v>0.55</v>
      </c>
      <c r="G1485" s="17" t="str">
        <f>Github!H$1228</f>
        <v>Algorithms</v>
      </c>
      <c r="H1485" s="19" t="str">
        <f>SUBSTITUTE(Github!L$1228, ";", ", ")</f>
        <v>Math, Dynamic Programming, Brainteaser, Probability and Statistics, </v>
      </c>
      <c r="I1485" s="17" t="str">
        <f>Github!E$1228</f>
        <v>Medium</v>
      </c>
      <c r="J1485" s="17" t="str">
        <f>IF(TRIM(Github!D$1228)="TRUE","FALSE","TRUE")</f>
        <v>TRUE</v>
      </c>
      <c r="K1485" s="17" t="b">
        <f>Github!M$1228</f>
        <v>0</v>
      </c>
      <c r="L1485" s="17" t="b">
        <f>Github!N$1228</f>
        <v>0</v>
      </c>
      <c r="M1485" s="17" t="str">
        <f>ROUND(Github!O$1228, 2)&amp;"%"</f>
        <v>63.93%</v>
      </c>
      <c r="N1485" s="17">
        <f>Github!P$1228</f>
        <v>24147</v>
      </c>
      <c r="O1485" s="17">
        <f>Github!Q$1228</f>
        <v>37772</v>
      </c>
    </row>
    <row r="1486" ht="18.0" customHeight="1">
      <c r="A1486" s="17">
        <f>Github!J$1611</f>
        <v>1610</v>
      </c>
      <c r="B1486" s="27" t="str">
        <f>HYPERLINK(CONCAT("http://leetcode.com/problems/",Github!C$1611), Github!B$1611)</f>
        <v>Maximum Number of Visible Points</v>
      </c>
      <c r="C1486" s="17">
        <f>Github!F$1611</f>
        <v>348</v>
      </c>
      <c r="D1486" s="17">
        <f>Github!G$1611</f>
        <v>469</v>
      </c>
      <c r="E1486" s="17">
        <f>Github!F$1611+Github!G$1611</f>
        <v>817</v>
      </c>
      <c r="F1486" s="18">
        <f t="shared" si="1"/>
        <v>0.74</v>
      </c>
      <c r="G1486" s="17" t="str">
        <f>Github!H$1611</f>
        <v>Algorithms</v>
      </c>
      <c r="H1486" s="19" t="str">
        <f>SUBSTITUTE(Github!L$1611, ";", ", ")</f>
        <v>Array, Math, Geometry, Sliding Window, Sorting, </v>
      </c>
      <c r="I1486" s="17" t="str">
        <f>Github!E$1611</f>
        <v>Hard</v>
      </c>
      <c r="J1486" s="17" t="str">
        <f>IF(TRIM(Github!D$1611)="TRUE","FALSE","TRUE")</f>
        <v>TRUE</v>
      </c>
      <c r="K1486" s="17" t="b">
        <f>Github!M$1611</f>
        <v>0</v>
      </c>
      <c r="L1486" s="17" t="b">
        <f>Github!N$1611</f>
        <v>0</v>
      </c>
      <c r="M1486" s="17" t="str">
        <f>ROUND(Github!O$1611, 2)&amp;"%"</f>
        <v>36.05%</v>
      </c>
      <c r="N1486" s="17">
        <f>Github!P$1611</f>
        <v>23507</v>
      </c>
      <c r="O1486" s="17">
        <f>Github!Q$1611</f>
        <v>65202</v>
      </c>
    </row>
    <row r="1487" ht="18.0" customHeight="1">
      <c r="A1487" s="17">
        <f>Github!J$1743</f>
        <v>1742</v>
      </c>
      <c r="B1487" s="27" t="str">
        <f>HYPERLINK(CONCAT("http://leetcode.com/problems/",Github!C$1743), Github!B$1743)</f>
        <v>Maximum Number of Balls in a Box</v>
      </c>
      <c r="C1487" s="17">
        <f>Github!F$1743</f>
        <v>347</v>
      </c>
      <c r="D1487" s="17">
        <f>Github!G$1743</f>
        <v>80</v>
      </c>
      <c r="E1487" s="17">
        <f>Github!F$1743+Github!G$1743</f>
        <v>427</v>
      </c>
      <c r="F1487" s="18">
        <f t="shared" si="1"/>
        <v>4.34</v>
      </c>
      <c r="G1487" s="17" t="str">
        <f>Github!H$1743</f>
        <v>Algorithms</v>
      </c>
      <c r="H1487" s="19" t="str">
        <f>SUBSTITUTE(Github!L$1743, ";", ", ")</f>
        <v>Hash Table, Math, Counting, </v>
      </c>
      <c r="I1487" s="17" t="str">
        <f>Github!E$1743</f>
        <v>Easy</v>
      </c>
      <c r="J1487" s="17" t="str">
        <f>IF(TRIM(Github!D$1743)="TRUE","FALSE","TRUE")</f>
        <v>TRUE</v>
      </c>
      <c r="K1487" s="17" t="b">
        <f>Github!M$1743</f>
        <v>0</v>
      </c>
      <c r="L1487" s="17" t="b">
        <f>Github!N$1743</f>
        <v>0</v>
      </c>
      <c r="M1487" s="17" t="str">
        <f>ROUND(Github!O$1743, 2)&amp;"%"</f>
        <v>73.68%</v>
      </c>
      <c r="N1487" s="17">
        <f>Github!P$1743</f>
        <v>36780</v>
      </c>
      <c r="O1487" s="17">
        <f>Github!Q$1743</f>
        <v>49918</v>
      </c>
    </row>
    <row r="1488" ht="18.0" customHeight="1">
      <c r="A1488" s="17">
        <f>Github!J$1907</f>
        <v>1906</v>
      </c>
      <c r="B1488" s="27" t="str">
        <f>HYPERLINK(CONCAT("http://leetcode.com/problems/",Github!C$1907), Github!B$1907)</f>
        <v>Minimum Absolute Difference Queries</v>
      </c>
      <c r="C1488" s="17">
        <f>Github!F$1907</f>
        <v>346</v>
      </c>
      <c r="D1488" s="17">
        <f>Github!G$1907</f>
        <v>28</v>
      </c>
      <c r="E1488" s="17">
        <f>Github!F$1907+Github!G$1907</f>
        <v>374</v>
      </c>
      <c r="F1488" s="18">
        <f t="shared" si="1"/>
        <v>12.36</v>
      </c>
      <c r="G1488" s="17" t="str">
        <f>Github!H$1907</f>
        <v>Algorithms</v>
      </c>
      <c r="H1488" s="19" t="str">
        <f>SUBSTITUTE(Github!L$1907, ";", ", ")</f>
        <v>Array, Hash Table, </v>
      </c>
      <c r="I1488" s="17" t="str">
        <f>Github!E$1907</f>
        <v>Medium</v>
      </c>
      <c r="J1488" s="17" t="str">
        <f>IF(TRIM(Github!D$1907)="TRUE","FALSE","TRUE")</f>
        <v>TRUE</v>
      </c>
      <c r="K1488" s="17" t="b">
        <f>Github!M$1907</f>
        <v>0</v>
      </c>
      <c r="L1488" s="17" t="b">
        <f>Github!N$1907</f>
        <v>0</v>
      </c>
      <c r="M1488" s="17" t="str">
        <f>ROUND(Github!O$1907, 2)&amp;"%"</f>
        <v>42.72%</v>
      </c>
      <c r="N1488" s="17">
        <f>Github!P$1907</f>
        <v>7235</v>
      </c>
      <c r="O1488" s="17">
        <f>Github!Q$1907</f>
        <v>16934</v>
      </c>
    </row>
    <row r="1489" ht="18.0" customHeight="1">
      <c r="A1489" s="17">
        <f>Github!J$1647</f>
        <v>1646</v>
      </c>
      <c r="B1489" s="27" t="str">
        <f>HYPERLINK(CONCAT("http://leetcode.com/problems/",Github!C$1647), Github!B$1647)</f>
        <v>Get Maximum in Generated Array</v>
      </c>
      <c r="C1489" s="17">
        <f>Github!F$1647</f>
        <v>345</v>
      </c>
      <c r="D1489" s="17">
        <f>Github!G$1647</f>
        <v>499</v>
      </c>
      <c r="E1489" s="17">
        <f>Github!F$1647+Github!G$1647</f>
        <v>844</v>
      </c>
      <c r="F1489" s="18">
        <f t="shared" si="1"/>
        <v>0.69</v>
      </c>
      <c r="G1489" s="17" t="str">
        <f>Github!H$1647</f>
        <v>Algorithms</v>
      </c>
      <c r="H1489" s="19" t="str">
        <f>SUBSTITUTE(Github!L$1647, ";", ", ")</f>
        <v>Array, Dynamic Programming, Simulation, </v>
      </c>
      <c r="I1489" s="17" t="str">
        <f>Github!E$1647</f>
        <v>Easy</v>
      </c>
      <c r="J1489" s="17" t="str">
        <f>IF(TRIM(Github!D$1647)="TRUE","FALSE","TRUE")</f>
        <v>TRUE</v>
      </c>
      <c r="K1489" s="17" t="b">
        <f>Github!M$1647</f>
        <v>1</v>
      </c>
      <c r="L1489" s="17" t="b">
        <f>Github!N$1647</f>
        <v>0</v>
      </c>
      <c r="M1489" s="17" t="str">
        <f>ROUND(Github!O$1647, 2)&amp;"%"</f>
        <v>51.01%</v>
      </c>
      <c r="N1489" s="17">
        <f>Github!P$1647</f>
        <v>55429</v>
      </c>
      <c r="O1489" s="17">
        <f>Github!Q$1647</f>
        <v>108667</v>
      </c>
    </row>
    <row r="1490" ht="18.0" customHeight="1">
      <c r="A1490" s="17">
        <f>Github!J$2079</f>
        <v>2078</v>
      </c>
      <c r="B1490" s="27" t="str">
        <f>HYPERLINK(CONCAT("http://leetcode.com/problems/",Github!C$2079), Github!B$2079)</f>
        <v>Two Furthest Houses With Different Colors</v>
      </c>
      <c r="C1490" s="17">
        <f>Github!F$2079</f>
        <v>345</v>
      </c>
      <c r="D1490" s="17">
        <f>Github!G$2079</f>
        <v>9</v>
      </c>
      <c r="E1490" s="17">
        <f>Github!F$2079+Github!G$2079</f>
        <v>354</v>
      </c>
      <c r="F1490" s="18">
        <f t="shared" si="1"/>
        <v>38.33</v>
      </c>
      <c r="G1490" s="17" t="str">
        <f>Github!H$2079</f>
        <v>Algorithms</v>
      </c>
      <c r="H1490" s="19" t="str">
        <f>SUBSTITUTE(Github!L$2079, ";", ", ")</f>
        <v>Array, Greedy, </v>
      </c>
      <c r="I1490" s="17" t="str">
        <f>Github!E$2079</f>
        <v>Easy</v>
      </c>
      <c r="J1490" s="17" t="str">
        <f>IF(TRIM(Github!D$2079)="TRUE","FALSE","TRUE")</f>
        <v>TRUE</v>
      </c>
      <c r="K1490" s="17" t="b">
        <f>Github!M$2079</f>
        <v>0</v>
      </c>
      <c r="L1490" s="17" t="b">
        <f>Github!N$2079</f>
        <v>0</v>
      </c>
      <c r="M1490" s="17" t="str">
        <f>ROUND(Github!O$2079, 2)&amp;"%"</f>
        <v>68.83%</v>
      </c>
      <c r="N1490" s="17">
        <f>Github!P$2079</f>
        <v>21121</v>
      </c>
      <c r="O1490" s="17">
        <f>Github!Q$2079</f>
        <v>30685</v>
      </c>
    </row>
    <row r="1491" ht="18.0" customHeight="1">
      <c r="A1491" s="17">
        <f>Github!J$193</f>
        <v>192</v>
      </c>
      <c r="B1491" s="27" t="str">
        <f>HYPERLINK(CONCAT("http://leetcode.com/problems/",Github!C$193), Github!B$193)</f>
        <v>Word Frequency</v>
      </c>
      <c r="C1491" s="17">
        <f>Github!F$193</f>
        <v>343</v>
      </c>
      <c r="D1491" s="17">
        <f>Github!G$193</f>
        <v>232</v>
      </c>
      <c r="E1491" s="17">
        <f>Github!F$193+Github!G$193</f>
        <v>575</v>
      </c>
      <c r="F1491" s="18">
        <f t="shared" si="1"/>
        <v>1.48</v>
      </c>
      <c r="G1491" s="17" t="str">
        <f>Github!H$193</f>
        <v>Shell</v>
      </c>
      <c r="H1491" s="19" t="str">
        <f>SUBSTITUTE(Github!L$193, ";", ", ")</f>
        <v>Shell, </v>
      </c>
      <c r="I1491" s="17" t="str">
        <f>Github!E$193</f>
        <v>Medium</v>
      </c>
      <c r="J1491" s="17" t="str">
        <f>IF(TRIM(Github!D$193)="TRUE","FALSE","TRUE")</f>
        <v>TRUE</v>
      </c>
      <c r="K1491" s="17" t="b">
        <f>Github!M$193</f>
        <v>0</v>
      </c>
      <c r="L1491" s="17" t="b">
        <f>Github!N$193</f>
        <v>0</v>
      </c>
      <c r="M1491" s="17" t="str">
        <f>ROUND(Github!O$193, 2)&amp;"%"</f>
        <v>25.59%</v>
      </c>
      <c r="N1491" s="17">
        <f>Github!P$193</f>
        <v>36152</v>
      </c>
      <c r="O1491" s="17">
        <f>Github!Q$193</f>
        <v>141260</v>
      </c>
    </row>
    <row r="1492" ht="18.0" customHeight="1">
      <c r="A1492" s="17">
        <f>Github!J$799</f>
        <v>798</v>
      </c>
      <c r="B1492" s="27" t="str">
        <f>HYPERLINK(CONCAT("http://leetcode.com/problems/",Github!C$799), Github!B$799)</f>
        <v>Smallest Rotation with Highest Score</v>
      </c>
      <c r="C1492" s="17">
        <f>Github!F$799</f>
        <v>342</v>
      </c>
      <c r="D1492" s="17">
        <f>Github!G$799</f>
        <v>21</v>
      </c>
      <c r="E1492" s="17">
        <f>Github!F$799+Github!G$799</f>
        <v>363</v>
      </c>
      <c r="F1492" s="18">
        <f t="shared" si="1"/>
        <v>16.29</v>
      </c>
      <c r="G1492" s="17" t="str">
        <f>Github!H$799</f>
        <v>Algorithms</v>
      </c>
      <c r="H1492" s="19" t="str">
        <f>SUBSTITUTE(Github!L$799, ";", ", ")</f>
        <v>Array, Prefix Sum, </v>
      </c>
      <c r="I1492" s="17" t="str">
        <f>Github!E$799</f>
        <v>Hard</v>
      </c>
      <c r="J1492" s="17" t="str">
        <f>IF(TRIM(Github!D$799)="TRUE","FALSE","TRUE")</f>
        <v>TRUE</v>
      </c>
      <c r="K1492" s="17" t="b">
        <f>Github!M$799</f>
        <v>1</v>
      </c>
      <c r="L1492" s="17" t="b">
        <f>Github!N$799</f>
        <v>0</v>
      </c>
      <c r="M1492" s="17" t="str">
        <f>ROUND(Github!O$799, 2)&amp;"%"</f>
        <v>47.2%</v>
      </c>
      <c r="N1492" s="17">
        <f>Github!P$799</f>
        <v>8495</v>
      </c>
      <c r="O1492" s="17">
        <f>Github!Q$799</f>
        <v>17998</v>
      </c>
    </row>
    <row r="1493" ht="18.0" customHeight="1">
      <c r="A1493" s="17">
        <f>Github!J$1564</f>
        <v>1563</v>
      </c>
      <c r="B1493" s="27" t="str">
        <f>HYPERLINK(CONCAT("http://leetcode.com/problems/",Github!C$1564), Github!B$1564)</f>
        <v>Stone Game V</v>
      </c>
      <c r="C1493" s="17">
        <f>Github!F$1564</f>
        <v>342</v>
      </c>
      <c r="D1493" s="17">
        <f>Github!G$1564</f>
        <v>58</v>
      </c>
      <c r="E1493" s="17">
        <f>Github!F$1564+Github!G$1564</f>
        <v>400</v>
      </c>
      <c r="F1493" s="18">
        <f t="shared" si="1"/>
        <v>5.9</v>
      </c>
      <c r="G1493" s="17" t="str">
        <f>Github!H$1564</f>
        <v>Algorithms</v>
      </c>
      <c r="H1493" s="19" t="str">
        <f>SUBSTITUTE(Github!L$1564, ";", ", ")</f>
        <v>Array, Math, Dynamic Programming, Game Theory, </v>
      </c>
      <c r="I1493" s="17" t="str">
        <f>Github!E$1564</f>
        <v>Hard</v>
      </c>
      <c r="J1493" s="17" t="str">
        <f>IF(TRIM(Github!D$1564)="TRUE","FALSE","TRUE")</f>
        <v>TRUE</v>
      </c>
      <c r="K1493" s="17" t="b">
        <f>Github!M$1564</f>
        <v>0</v>
      </c>
      <c r="L1493" s="17" t="b">
        <f>Github!N$1564</f>
        <v>0</v>
      </c>
      <c r="M1493" s="17" t="str">
        <f>ROUND(Github!O$1564, 2)&amp;"%"</f>
        <v>40.93%</v>
      </c>
      <c r="N1493" s="17">
        <f>Github!P$1564</f>
        <v>12348</v>
      </c>
      <c r="O1493" s="17">
        <f>Github!Q$1564</f>
        <v>30172</v>
      </c>
    </row>
    <row r="1494" ht="18.0" customHeight="1">
      <c r="A1494" s="17">
        <f>Github!J$2056</f>
        <v>2055</v>
      </c>
      <c r="B1494" s="27" t="str">
        <f>HYPERLINK(CONCAT("http://leetcode.com/problems/",Github!C$2056), Github!B$2056)</f>
        <v>Plates Between Candles</v>
      </c>
      <c r="C1494" s="17">
        <f>Github!F$2056</f>
        <v>343</v>
      </c>
      <c r="D1494" s="17">
        <f>Github!G$2056</f>
        <v>8</v>
      </c>
      <c r="E1494" s="17">
        <f>Github!F$2056+Github!G$2056</f>
        <v>351</v>
      </c>
      <c r="F1494" s="18">
        <f t="shared" si="1"/>
        <v>42.88</v>
      </c>
      <c r="G1494" s="17" t="str">
        <f>Github!H$2056</f>
        <v>Algorithms</v>
      </c>
      <c r="H1494" s="19" t="str">
        <f>SUBSTITUTE(Github!L$2056, ";", ", ")</f>
        <v>Array, String, Binary Search, Prefix Sum, </v>
      </c>
      <c r="I1494" s="17" t="str">
        <f>Github!E$2056</f>
        <v>Medium</v>
      </c>
      <c r="J1494" s="17" t="str">
        <f>IF(TRIM(Github!D$2056)="TRUE","FALSE","TRUE")</f>
        <v>TRUE</v>
      </c>
      <c r="K1494" s="17" t="b">
        <f>Github!M$2056</f>
        <v>0</v>
      </c>
      <c r="L1494" s="17" t="b">
        <f>Github!N$2056</f>
        <v>0</v>
      </c>
      <c r="M1494" s="17" t="str">
        <f>ROUND(Github!O$2056, 2)&amp;"%"</f>
        <v>46.75%</v>
      </c>
      <c r="N1494" s="17">
        <f>Github!P$2056</f>
        <v>9198</v>
      </c>
      <c r="O1494" s="17">
        <f>Github!Q$2056</f>
        <v>19674</v>
      </c>
    </row>
    <row r="1495" ht="18.0" customHeight="1">
      <c r="A1495" s="17">
        <f>Github!J$2146</f>
        <v>2145</v>
      </c>
      <c r="B1495" s="27" t="str">
        <f>HYPERLINK(CONCAT("http://leetcode.com/problems/",Github!C$2146), Github!B$2146)</f>
        <v>Count the Hidden Sequences</v>
      </c>
      <c r="C1495" s="17">
        <f>Github!F$2146</f>
        <v>342</v>
      </c>
      <c r="D1495" s="17">
        <f>Github!G$2146</f>
        <v>37</v>
      </c>
      <c r="E1495" s="17">
        <f>Github!F$2146+Github!G$2146</f>
        <v>379</v>
      </c>
      <c r="F1495" s="18">
        <f t="shared" si="1"/>
        <v>9.24</v>
      </c>
      <c r="G1495" s="17" t="str">
        <f>Github!H$2146</f>
        <v>Algorithms</v>
      </c>
      <c r="H1495" s="19" t="str">
        <f>SUBSTITUTE(Github!L$2146, ";", ", ")</f>
        <v>Array, Prefix Sum, </v>
      </c>
      <c r="I1495" s="17" t="str">
        <f>Github!E$2146</f>
        <v>Medium</v>
      </c>
      <c r="J1495" s="17" t="str">
        <f>IF(TRIM(Github!D$2146)="TRUE","FALSE","TRUE")</f>
        <v>TRUE</v>
      </c>
      <c r="K1495" s="17" t="b">
        <f>Github!M$2146</f>
        <v>0</v>
      </c>
      <c r="L1495" s="17" t="b">
        <f>Github!N$2146</f>
        <v>0</v>
      </c>
      <c r="M1495" s="17" t="str">
        <f>ROUND(Github!O$2146, 2)&amp;"%"</f>
        <v>34.91%</v>
      </c>
      <c r="N1495" s="17">
        <f>Github!P$2146</f>
        <v>10817</v>
      </c>
      <c r="O1495" s="17">
        <f>Github!Q$2146</f>
        <v>30987</v>
      </c>
    </row>
    <row r="1496" ht="18.0" customHeight="1">
      <c r="A1496" s="17">
        <f>Github!J$1183</f>
        <v>1182</v>
      </c>
      <c r="B1496" s="27" t="str">
        <f>HYPERLINK(CONCAT("http://leetcode.com/problems/",Github!C$1183), Github!B$1183)</f>
        <v>Shortest Distance to Target Color</v>
      </c>
      <c r="C1496" s="17">
        <f>Github!F$1183</f>
        <v>342</v>
      </c>
      <c r="D1496" s="17">
        <f>Github!G$1183</f>
        <v>15</v>
      </c>
      <c r="E1496" s="17">
        <f>Github!F$1183+Github!G$1183</f>
        <v>357</v>
      </c>
      <c r="F1496" s="18">
        <f t="shared" si="1"/>
        <v>22.8</v>
      </c>
      <c r="G1496" s="17" t="str">
        <f>Github!H$1183</f>
        <v>Algorithms</v>
      </c>
      <c r="H1496" s="19" t="str">
        <f>SUBSTITUTE(Github!L$1183, ";", ", ")</f>
        <v>Array, Binary Search, Dynamic Programming, </v>
      </c>
      <c r="I1496" s="17" t="str">
        <f>Github!E$1183</f>
        <v>Medium</v>
      </c>
      <c r="J1496" s="17" t="str">
        <f>IF(TRIM(Github!D$1183)="TRUE","FALSE","TRUE")</f>
        <v>FALSE</v>
      </c>
      <c r="K1496" s="17" t="b">
        <f>Github!M$1183</f>
        <v>1</v>
      </c>
      <c r="L1496" s="17" t="b">
        <f>Github!N$1183</f>
        <v>0</v>
      </c>
      <c r="M1496" s="17" t="str">
        <f>ROUND(Github!O$1183, 2)&amp;"%"</f>
        <v>54.24%</v>
      </c>
      <c r="N1496" s="17">
        <f>Github!P$1183</f>
        <v>21848</v>
      </c>
      <c r="O1496" s="17">
        <f>Github!Q$1183</f>
        <v>40282</v>
      </c>
    </row>
    <row r="1497" ht="18.0" customHeight="1">
      <c r="A1497" s="17">
        <f>Github!J$999</f>
        <v>998</v>
      </c>
      <c r="B1497" s="27" t="str">
        <f>HYPERLINK(CONCAT("http://leetcode.com/problems/",Github!C$999), Github!B$999)</f>
        <v>Maximum Binary Tree II</v>
      </c>
      <c r="C1497" s="17">
        <f>Github!F$999</f>
        <v>340</v>
      </c>
      <c r="D1497" s="17">
        <f>Github!G$999</f>
        <v>635</v>
      </c>
      <c r="E1497" s="17">
        <f>Github!F$999+Github!G$999</f>
        <v>975</v>
      </c>
      <c r="F1497" s="18">
        <f t="shared" si="1"/>
        <v>0.54</v>
      </c>
      <c r="G1497" s="17" t="str">
        <f>Github!H$999</f>
        <v>Algorithms</v>
      </c>
      <c r="H1497" s="19" t="str">
        <f>SUBSTITUTE(Github!L$999, ";", ", ")</f>
        <v>Tree, Binary Tree, </v>
      </c>
      <c r="I1497" s="17" t="str">
        <f>Github!E$999</f>
        <v>Medium</v>
      </c>
      <c r="J1497" s="17" t="str">
        <f>IF(TRIM(Github!D$999)="TRUE","FALSE","TRUE")</f>
        <v>TRUE</v>
      </c>
      <c r="K1497" s="17" t="b">
        <f>Github!M$999</f>
        <v>0</v>
      </c>
      <c r="L1497" s="17" t="b">
        <f>Github!N$999</f>
        <v>0</v>
      </c>
      <c r="M1497" s="17" t="str">
        <f>ROUND(Github!O$999, 2)&amp;"%"</f>
        <v>65.43%</v>
      </c>
      <c r="N1497" s="17">
        <f>Github!P$999</f>
        <v>25793</v>
      </c>
      <c r="O1497" s="17">
        <f>Github!Q$999</f>
        <v>39423</v>
      </c>
    </row>
    <row r="1498" ht="18.0" customHeight="1">
      <c r="A1498" s="17">
        <f>Github!J$1417</f>
        <v>1416</v>
      </c>
      <c r="B1498" s="27" t="str">
        <f>HYPERLINK(CONCAT("http://leetcode.com/problems/",Github!C$1417), Github!B$1417)</f>
        <v>Restore The Array</v>
      </c>
      <c r="C1498" s="17">
        <f>Github!F$1417</f>
        <v>340</v>
      </c>
      <c r="D1498" s="17">
        <f>Github!G$1417</f>
        <v>13</v>
      </c>
      <c r="E1498" s="17">
        <f>Github!F$1417+Github!G$1417</f>
        <v>353</v>
      </c>
      <c r="F1498" s="18">
        <f t="shared" si="1"/>
        <v>26.15</v>
      </c>
      <c r="G1498" s="17" t="str">
        <f>Github!H$1417</f>
        <v>Algorithms</v>
      </c>
      <c r="H1498" s="19" t="str">
        <f>SUBSTITUTE(Github!L$1417, ";", ", ")</f>
        <v>String, Dynamic Programming, </v>
      </c>
      <c r="I1498" s="17" t="str">
        <f>Github!E$1417</f>
        <v>Hard</v>
      </c>
      <c r="J1498" s="17" t="str">
        <f>IF(TRIM(Github!D$1417)="TRUE","FALSE","TRUE")</f>
        <v>TRUE</v>
      </c>
      <c r="K1498" s="17" t="b">
        <f>Github!M$1417</f>
        <v>0</v>
      </c>
      <c r="L1498" s="17" t="b">
        <f>Github!N$1417</f>
        <v>0</v>
      </c>
      <c r="M1498" s="17" t="str">
        <f>ROUND(Github!O$1417, 2)&amp;"%"</f>
        <v>37.78%</v>
      </c>
      <c r="N1498" s="17">
        <f>Github!P$1417</f>
        <v>11694</v>
      </c>
      <c r="O1498" s="17">
        <f>Github!Q$1417</f>
        <v>30949</v>
      </c>
    </row>
    <row r="1499" ht="18.0" customHeight="1">
      <c r="A1499" s="17">
        <f>Github!J$1576</f>
        <v>1575</v>
      </c>
      <c r="B1499" s="27" t="str">
        <f>HYPERLINK(CONCAT("http://leetcode.com/problems/",Github!C$1576), Github!B$1576)</f>
        <v>Count All Possible Routes</v>
      </c>
      <c r="C1499" s="17">
        <f>Github!F$1576</f>
        <v>340</v>
      </c>
      <c r="D1499" s="17">
        <f>Github!G$1576</f>
        <v>16</v>
      </c>
      <c r="E1499" s="17">
        <f>Github!F$1576+Github!G$1576</f>
        <v>356</v>
      </c>
      <c r="F1499" s="18">
        <f t="shared" si="1"/>
        <v>21.25</v>
      </c>
      <c r="G1499" s="17" t="str">
        <f>Github!H$1576</f>
        <v>Algorithms</v>
      </c>
      <c r="H1499" s="19" t="str">
        <f>SUBSTITUTE(Github!L$1576, ";", ", ")</f>
        <v>Array, Dynamic Programming, Memoization, </v>
      </c>
      <c r="I1499" s="17" t="str">
        <f>Github!E$1576</f>
        <v>Hard</v>
      </c>
      <c r="J1499" s="17" t="str">
        <f>IF(TRIM(Github!D$1576)="TRUE","FALSE","TRUE")</f>
        <v>TRUE</v>
      </c>
      <c r="K1499" s="17" t="b">
        <f>Github!M$1576</f>
        <v>0</v>
      </c>
      <c r="L1499" s="17" t="b">
        <f>Github!N$1576</f>
        <v>0</v>
      </c>
      <c r="M1499" s="17" t="str">
        <f>ROUND(Github!O$1576, 2)&amp;"%"</f>
        <v>57.62%</v>
      </c>
      <c r="N1499" s="17">
        <f>Github!P$1576</f>
        <v>9431</v>
      </c>
      <c r="O1499" s="17">
        <f>Github!Q$1576</f>
        <v>16368</v>
      </c>
    </row>
    <row r="1500" ht="18.0" customHeight="1">
      <c r="A1500" s="17">
        <f>Github!J$1666</f>
        <v>1665</v>
      </c>
      <c r="B1500" s="27" t="str">
        <f>HYPERLINK(CONCAT("http://leetcode.com/problems/",Github!C$1666), Github!B$1666)</f>
        <v>Minimum Initial Energy to Finish Tasks</v>
      </c>
      <c r="C1500" s="17">
        <f>Github!F$1666</f>
        <v>340</v>
      </c>
      <c r="D1500" s="17">
        <f>Github!G$1666</f>
        <v>27</v>
      </c>
      <c r="E1500" s="17">
        <f>Github!F$1666+Github!G$1666</f>
        <v>367</v>
      </c>
      <c r="F1500" s="18">
        <f t="shared" si="1"/>
        <v>12.59</v>
      </c>
      <c r="G1500" s="17" t="str">
        <f>Github!H$1666</f>
        <v>Algorithms</v>
      </c>
      <c r="H1500" s="19" t="str">
        <f>SUBSTITUTE(Github!L$1666, ";", ", ")</f>
        <v>Array, Greedy, Sorting, </v>
      </c>
      <c r="I1500" s="17" t="str">
        <f>Github!E$1666</f>
        <v>Hard</v>
      </c>
      <c r="J1500" s="17" t="str">
        <f>IF(TRIM(Github!D$1666)="TRUE","FALSE","TRUE")</f>
        <v>TRUE</v>
      </c>
      <c r="K1500" s="17" t="b">
        <f>Github!M$1666</f>
        <v>0</v>
      </c>
      <c r="L1500" s="17" t="b">
        <f>Github!N$1666</f>
        <v>0</v>
      </c>
      <c r="M1500" s="17" t="str">
        <f>ROUND(Github!O$1666, 2)&amp;"%"</f>
        <v>55.73%</v>
      </c>
      <c r="N1500" s="17">
        <f>Github!P$1666</f>
        <v>11043</v>
      </c>
      <c r="O1500" s="17">
        <f>Github!Q$1666</f>
        <v>19814</v>
      </c>
    </row>
    <row r="1501" ht="18.0" customHeight="1">
      <c r="A1501" s="17">
        <f>Github!J$2167</f>
        <v>2166</v>
      </c>
      <c r="B1501" s="27" t="str">
        <f>HYPERLINK(CONCAT("http://leetcode.com/problems/",Github!C$2167), Github!B$2167)</f>
        <v>Design Bitset</v>
      </c>
      <c r="C1501" s="17">
        <f>Github!F$2167</f>
        <v>340</v>
      </c>
      <c r="D1501" s="17">
        <f>Github!G$2167</f>
        <v>31</v>
      </c>
      <c r="E1501" s="17">
        <f>Github!F$2167+Github!G$2167</f>
        <v>371</v>
      </c>
      <c r="F1501" s="18">
        <f t="shared" si="1"/>
        <v>10.97</v>
      </c>
      <c r="G1501" s="17" t="str">
        <f>Github!H$2167</f>
        <v>Algorithms</v>
      </c>
      <c r="H1501" s="19" t="str">
        <f>SUBSTITUTE(Github!L$2167, ";", ", ")</f>
        <v>Array, Hash Table, Design, </v>
      </c>
      <c r="I1501" s="17" t="str">
        <f>Github!E$2167</f>
        <v>Medium</v>
      </c>
      <c r="J1501" s="17" t="str">
        <f>IF(TRIM(Github!D$2167)="TRUE","FALSE","TRUE")</f>
        <v>TRUE</v>
      </c>
      <c r="K1501" s="17" t="b">
        <f>Github!M$2167</f>
        <v>0</v>
      </c>
      <c r="L1501" s="17" t="b">
        <f>Github!N$2167</f>
        <v>0</v>
      </c>
      <c r="M1501" s="17" t="str">
        <f>ROUND(Github!O$2167, 2)&amp;"%"</f>
        <v>28.83%</v>
      </c>
      <c r="N1501" s="17">
        <f>Github!P$2167</f>
        <v>12258</v>
      </c>
      <c r="O1501" s="17">
        <f>Github!Q$2167</f>
        <v>42528</v>
      </c>
    </row>
    <row r="1502" ht="18.0" customHeight="1">
      <c r="A1502" s="17">
        <f>Github!J$1965</f>
        <v>1964</v>
      </c>
      <c r="B1502" s="27" t="str">
        <f>HYPERLINK(CONCAT("http://leetcode.com/problems/",Github!C$1965), Github!B$1965)</f>
        <v>Find the Longest Valid Obstacle Course at Each Position</v>
      </c>
      <c r="C1502" s="17">
        <f>Github!F$1965</f>
        <v>339</v>
      </c>
      <c r="D1502" s="17">
        <f>Github!G$1965</f>
        <v>5</v>
      </c>
      <c r="E1502" s="17">
        <f>Github!F$1965+Github!G$1965</f>
        <v>344</v>
      </c>
      <c r="F1502" s="18">
        <f t="shared" si="1"/>
        <v>67.8</v>
      </c>
      <c r="G1502" s="17" t="str">
        <f>Github!H$1965</f>
        <v>Algorithms</v>
      </c>
      <c r="H1502" s="19" t="str">
        <f>SUBSTITUTE(Github!L$1965, ";", ", ")</f>
        <v>Array, Binary Search, Binary Indexed Tree, </v>
      </c>
      <c r="I1502" s="17" t="str">
        <f>Github!E$1965</f>
        <v>Hard</v>
      </c>
      <c r="J1502" s="17" t="str">
        <f>IF(TRIM(Github!D$1965)="TRUE","FALSE","TRUE")</f>
        <v>TRUE</v>
      </c>
      <c r="K1502" s="17" t="b">
        <f>Github!M$1965</f>
        <v>0</v>
      </c>
      <c r="L1502" s="17" t="b">
        <f>Github!N$1965</f>
        <v>0</v>
      </c>
      <c r="M1502" s="17" t="str">
        <f>ROUND(Github!O$1965, 2)&amp;"%"</f>
        <v>45.18%</v>
      </c>
      <c r="N1502" s="17">
        <f>Github!P$1965</f>
        <v>7998</v>
      </c>
      <c r="O1502" s="17">
        <f>Github!Q$1965</f>
        <v>17703</v>
      </c>
    </row>
    <row r="1503" ht="18.0" customHeight="1">
      <c r="A1503" s="17">
        <f>Github!J$945</f>
        <v>944</v>
      </c>
      <c r="B1503" s="27" t="str">
        <f>HYPERLINK(CONCAT("http://leetcode.com/problems/",Github!C$945), Github!B$945)</f>
        <v>Delete Columns to Make Sorted</v>
      </c>
      <c r="C1503" s="17">
        <f>Github!F$945</f>
        <v>338</v>
      </c>
      <c r="D1503" s="17">
        <f>Github!G$945</f>
        <v>1991</v>
      </c>
      <c r="E1503" s="17">
        <f>Github!F$945+Github!G$945</f>
        <v>2329</v>
      </c>
      <c r="F1503" s="18">
        <f t="shared" si="1"/>
        <v>0.17</v>
      </c>
      <c r="G1503" s="17" t="str">
        <f>Github!H$945</f>
        <v>Algorithms</v>
      </c>
      <c r="H1503" s="19" t="str">
        <f>SUBSTITUTE(Github!L$945, ";", ", ")</f>
        <v>Array, String, </v>
      </c>
      <c r="I1503" s="17" t="str">
        <f>Github!E$945</f>
        <v>Easy</v>
      </c>
      <c r="J1503" s="17" t="str">
        <f>IF(TRIM(Github!D$945)="TRUE","FALSE","TRUE")</f>
        <v>TRUE</v>
      </c>
      <c r="K1503" s="17" t="b">
        <f>Github!M$945</f>
        <v>0</v>
      </c>
      <c r="L1503" s="17" t="b">
        <f>Github!N$945</f>
        <v>0</v>
      </c>
      <c r="M1503" s="17" t="str">
        <f>ROUND(Github!O$945, 2)&amp;"%"</f>
        <v>70.05%</v>
      </c>
      <c r="N1503" s="17">
        <f>Github!P$945</f>
        <v>64682</v>
      </c>
      <c r="O1503" s="17">
        <f>Github!Q$945</f>
        <v>92340</v>
      </c>
    </row>
    <row r="1504" ht="18.0" customHeight="1">
      <c r="A1504" s="17">
        <f>Github!J$967</f>
        <v>966</v>
      </c>
      <c r="B1504" s="27" t="str">
        <f>HYPERLINK(CONCAT("http://leetcode.com/problems/",Github!C$967), Github!B$967)</f>
        <v>Vowel Spellchecker</v>
      </c>
      <c r="C1504" s="17">
        <f>Github!F$967</f>
        <v>338</v>
      </c>
      <c r="D1504" s="17">
        <f>Github!G$967</f>
        <v>709</v>
      </c>
      <c r="E1504" s="17">
        <f>Github!F$967+Github!G$967</f>
        <v>1047</v>
      </c>
      <c r="F1504" s="18">
        <f t="shared" si="1"/>
        <v>0.48</v>
      </c>
      <c r="G1504" s="17" t="str">
        <f>Github!H$967</f>
        <v>Algorithms</v>
      </c>
      <c r="H1504" s="19" t="str">
        <f>SUBSTITUTE(Github!L$967, ";", ", ")</f>
        <v>Array, Hash Table, String, </v>
      </c>
      <c r="I1504" s="17" t="str">
        <f>Github!E$967</f>
        <v>Medium</v>
      </c>
      <c r="J1504" s="17" t="str">
        <f>IF(TRIM(Github!D$967)="TRUE","FALSE","TRUE")</f>
        <v>TRUE</v>
      </c>
      <c r="K1504" s="17" t="b">
        <f>Github!M$967</f>
        <v>1</v>
      </c>
      <c r="L1504" s="17" t="b">
        <f>Github!N$967</f>
        <v>0</v>
      </c>
      <c r="M1504" s="17" t="str">
        <f>ROUND(Github!O$967, 2)&amp;"%"</f>
        <v>51.59%</v>
      </c>
      <c r="N1504" s="17">
        <f>Github!P$967</f>
        <v>34951</v>
      </c>
      <c r="O1504" s="17">
        <f>Github!Q$967</f>
        <v>67750</v>
      </c>
    </row>
    <row r="1505" ht="18.0" customHeight="1">
      <c r="A1505" s="17">
        <f>Github!J$1199</f>
        <v>1198</v>
      </c>
      <c r="B1505" s="27" t="str">
        <f>HYPERLINK(CONCAT("http://leetcode.com/problems/",Github!C$1199), Github!B$1199)</f>
        <v>Find Smallest Common Element in All Rows</v>
      </c>
      <c r="C1505" s="17">
        <f>Github!F$1199</f>
        <v>338</v>
      </c>
      <c r="D1505" s="17">
        <f>Github!G$1199</f>
        <v>24</v>
      </c>
      <c r="E1505" s="17">
        <f>Github!F$1199+Github!G$1199</f>
        <v>362</v>
      </c>
      <c r="F1505" s="18">
        <f t="shared" si="1"/>
        <v>14.08</v>
      </c>
      <c r="G1505" s="17" t="str">
        <f>Github!H$1199</f>
        <v>Algorithms</v>
      </c>
      <c r="H1505" s="19" t="str">
        <f>SUBSTITUTE(Github!L$1199, ";", ", ")</f>
        <v>Array, Hash Table, Binary Search, Matrix, Counting, </v>
      </c>
      <c r="I1505" s="17" t="str">
        <f>Github!E$1199</f>
        <v>Medium</v>
      </c>
      <c r="J1505" s="17" t="str">
        <f>IF(TRIM(Github!D$1199)="TRUE","FALSE","TRUE")</f>
        <v>FALSE</v>
      </c>
      <c r="K1505" s="17" t="b">
        <f>Github!M$1199</f>
        <v>1</v>
      </c>
      <c r="L1505" s="17" t="b">
        <f>Github!N$1199</f>
        <v>1</v>
      </c>
      <c r="M1505" s="17" t="str">
        <f>ROUND(Github!O$1199, 2)&amp;"%"</f>
        <v>75.99%</v>
      </c>
      <c r="N1505" s="17">
        <f>Github!P$1199</f>
        <v>26280</v>
      </c>
      <c r="O1505" s="17">
        <f>Github!Q$1199</f>
        <v>34581</v>
      </c>
    </row>
    <row r="1506" ht="18.0" customHeight="1">
      <c r="A1506" s="17">
        <f>Github!J$1196</f>
        <v>1195</v>
      </c>
      <c r="B1506" s="27" t="str">
        <f>HYPERLINK(CONCAT("http://leetcode.com/problems/",Github!C$1196), Github!B$1196)</f>
        <v>Fizz Buzz Multithreaded</v>
      </c>
      <c r="C1506" s="17">
        <f>Github!F$1196</f>
        <v>337</v>
      </c>
      <c r="D1506" s="17">
        <f>Github!G$1196</f>
        <v>265</v>
      </c>
      <c r="E1506" s="17">
        <f>Github!F$1196+Github!G$1196</f>
        <v>602</v>
      </c>
      <c r="F1506" s="18">
        <f t="shared" si="1"/>
        <v>1.27</v>
      </c>
      <c r="G1506" s="17" t="str">
        <f>Github!H$1196</f>
        <v>Concurrency</v>
      </c>
      <c r="H1506" s="19" t="str">
        <f>SUBSTITUTE(Github!L$1196, ";", ", ")</f>
        <v>Concurrency, </v>
      </c>
      <c r="I1506" s="17" t="str">
        <f>Github!E$1196</f>
        <v>Medium</v>
      </c>
      <c r="J1506" s="17" t="str">
        <f>IF(TRIM(Github!D$1196)="TRUE","FALSE","TRUE")</f>
        <v>TRUE</v>
      </c>
      <c r="K1506" s="17" t="b">
        <f>Github!M$1196</f>
        <v>0</v>
      </c>
      <c r="L1506" s="17" t="b">
        <f>Github!N$1196</f>
        <v>0</v>
      </c>
      <c r="M1506" s="17" t="str">
        <f>ROUND(Github!O$1196, 2)&amp;"%"</f>
        <v>72.04%</v>
      </c>
      <c r="N1506" s="17">
        <f>Github!P$1196</f>
        <v>26781</v>
      </c>
      <c r="O1506" s="17">
        <f>Github!Q$1196</f>
        <v>37178</v>
      </c>
    </row>
    <row r="1507" ht="18.0" customHeight="1">
      <c r="A1507" s="17">
        <f>Github!J$1551</f>
        <v>1550</v>
      </c>
      <c r="B1507" s="27" t="str">
        <f>HYPERLINK(CONCAT("http://leetcode.com/problems/",Github!C$1551), Github!B$1551)</f>
        <v>Three Consecutive Odds</v>
      </c>
      <c r="C1507" s="17">
        <f>Github!F$1551</f>
        <v>337</v>
      </c>
      <c r="D1507" s="17">
        <f>Github!G$1551</f>
        <v>46</v>
      </c>
      <c r="E1507" s="17">
        <f>Github!F$1551+Github!G$1551</f>
        <v>383</v>
      </c>
      <c r="F1507" s="18">
        <f t="shared" si="1"/>
        <v>7.33</v>
      </c>
      <c r="G1507" s="17" t="str">
        <f>Github!H$1551</f>
        <v>Algorithms</v>
      </c>
      <c r="H1507" s="19" t="str">
        <f>SUBSTITUTE(Github!L$1551, ";", ", ")</f>
        <v>Array, </v>
      </c>
      <c r="I1507" s="17" t="str">
        <f>Github!E$1551</f>
        <v>Easy</v>
      </c>
      <c r="J1507" s="17" t="str">
        <f>IF(TRIM(Github!D$1551)="TRUE","FALSE","TRUE")</f>
        <v>TRUE</v>
      </c>
      <c r="K1507" s="17" t="b">
        <f>Github!M$1551</f>
        <v>0</v>
      </c>
      <c r="L1507" s="17" t="b">
        <f>Github!N$1551</f>
        <v>0</v>
      </c>
      <c r="M1507" s="17" t="str">
        <f>ROUND(Github!O$1551, 2)&amp;"%"</f>
        <v>64.23%</v>
      </c>
      <c r="N1507" s="17">
        <f>Github!P$1551</f>
        <v>48060</v>
      </c>
      <c r="O1507" s="17">
        <f>Github!Q$1551</f>
        <v>74826</v>
      </c>
    </row>
    <row r="1508" ht="18.0" customHeight="1">
      <c r="A1508" s="17">
        <f>Github!J$1018</f>
        <v>1017</v>
      </c>
      <c r="B1508" s="27" t="str">
        <f>HYPERLINK(CONCAT("http://leetcode.com/problems/",Github!C$1018), Github!B$1018)</f>
        <v>Convert to Base -2</v>
      </c>
      <c r="C1508" s="17">
        <f>Github!F$1018</f>
        <v>336</v>
      </c>
      <c r="D1508" s="17">
        <f>Github!G$1018</f>
        <v>219</v>
      </c>
      <c r="E1508" s="17">
        <f>Github!F$1018+Github!G$1018</f>
        <v>555</v>
      </c>
      <c r="F1508" s="18">
        <f t="shared" si="1"/>
        <v>1.53</v>
      </c>
      <c r="G1508" s="17" t="str">
        <f>Github!H$1018</f>
        <v>Algorithms</v>
      </c>
      <c r="H1508" s="19" t="str">
        <f>SUBSTITUTE(Github!L$1018, ";", ", ")</f>
        <v>Math, </v>
      </c>
      <c r="I1508" s="17" t="str">
        <f>Github!E$1018</f>
        <v>Medium</v>
      </c>
      <c r="J1508" s="17" t="str">
        <f>IF(TRIM(Github!D$1018)="TRUE","FALSE","TRUE")</f>
        <v>TRUE</v>
      </c>
      <c r="K1508" s="17" t="b">
        <f>Github!M$1018</f>
        <v>0</v>
      </c>
      <c r="L1508" s="17" t="b">
        <f>Github!N$1018</f>
        <v>0</v>
      </c>
      <c r="M1508" s="17" t="str">
        <f>ROUND(Github!O$1018, 2)&amp;"%"</f>
        <v>60%</v>
      </c>
      <c r="N1508" s="17">
        <f>Github!P$1018</f>
        <v>17663</v>
      </c>
      <c r="O1508" s="17">
        <f>Github!Q$1018</f>
        <v>29437</v>
      </c>
    </row>
    <row r="1509" ht="18.0" customHeight="1">
      <c r="A1509" s="17">
        <f>Github!J$1166</f>
        <v>1165</v>
      </c>
      <c r="B1509" s="27" t="str">
        <f>HYPERLINK(CONCAT("http://leetcode.com/problems/",Github!C$1166), Github!B$1166)</f>
        <v>Single-Row Keyboard</v>
      </c>
      <c r="C1509" s="17">
        <f>Github!F$1166</f>
        <v>336</v>
      </c>
      <c r="D1509" s="17">
        <f>Github!G$1166</f>
        <v>17</v>
      </c>
      <c r="E1509" s="17">
        <f>Github!F$1166+Github!G$1166</f>
        <v>353</v>
      </c>
      <c r="F1509" s="18">
        <f t="shared" si="1"/>
        <v>19.76</v>
      </c>
      <c r="G1509" s="17" t="str">
        <f>Github!H$1166</f>
        <v>Algorithms</v>
      </c>
      <c r="H1509" s="19" t="str">
        <f>SUBSTITUTE(Github!L$1166, ";", ", ")</f>
        <v>Hash Table, String, </v>
      </c>
      <c r="I1509" s="17" t="str">
        <f>Github!E$1166</f>
        <v>Easy</v>
      </c>
      <c r="J1509" s="17" t="str">
        <f>IF(TRIM(Github!D$1166)="TRUE","FALSE","TRUE")</f>
        <v>FALSE</v>
      </c>
      <c r="K1509" s="17" t="b">
        <f>Github!M$1166</f>
        <v>1</v>
      </c>
      <c r="L1509" s="17" t="b">
        <f>Github!N$1166</f>
        <v>0</v>
      </c>
      <c r="M1509" s="17" t="str">
        <f>ROUND(Github!O$1166, 2)&amp;"%"</f>
        <v>85.64%</v>
      </c>
      <c r="N1509" s="17">
        <f>Github!P$1166</f>
        <v>57414</v>
      </c>
      <c r="O1509" s="17">
        <f>Github!Q$1166</f>
        <v>67043</v>
      </c>
    </row>
    <row r="1510" ht="18.0" customHeight="1">
      <c r="A1510" s="17">
        <f>Github!J$500</f>
        <v>499</v>
      </c>
      <c r="B1510" s="27" t="str">
        <f>HYPERLINK(CONCAT("http://leetcode.com/problems/",Github!C$500), Github!B$500)</f>
        <v>The Maze III</v>
      </c>
      <c r="C1510" s="17">
        <f>Github!F$500</f>
        <v>335</v>
      </c>
      <c r="D1510" s="17">
        <f>Github!G$500</f>
        <v>60</v>
      </c>
      <c r="E1510" s="17">
        <f>Github!F$500+Github!G$500</f>
        <v>395</v>
      </c>
      <c r="F1510" s="18">
        <f t="shared" si="1"/>
        <v>5.58</v>
      </c>
      <c r="G1510" s="17" t="str">
        <f>Github!H$500</f>
        <v>Algorithms</v>
      </c>
      <c r="H1510" s="19" t="str">
        <f>SUBSTITUTE(Github!L$500, ";", ", ")</f>
        <v>Depth-First Search, Breadth-First Search, Graph, Heap (Priority Queue), Shortest Path, </v>
      </c>
      <c r="I1510" s="17" t="str">
        <f>Github!E$500</f>
        <v>Hard</v>
      </c>
      <c r="J1510" s="17" t="str">
        <f>IF(TRIM(Github!D$500)="TRUE","FALSE","TRUE")</f>
        <v>FALSE</v>
      </c>
      <c r="K1510" s="17" t="b">
        <f>Github!M$500</f>
        <v>0</v>
      </c>
      <c r="L1510" s="17" t="b">
        <f>Github!N$500</f>
        <v>0</v>
      </c>
      <c r="M1510" s="17" t="str">
        <f>ROUND(Github!O$500, 2)&amp;"%"</f>
        <v>44.86%</v>
      </c>
      <c r="N1510" s="17">
        <f>Github!P$500</f>
        <v>21917</v>
      </c>
      <c r="O1510" s="17">
        <f>Github!Q$500</f>
        <v>48855</v>
      </c>
    </row>
    <row r="1511" ht="18.0" customHeight="1">
      <c r="A1511" s="17">
        <f>Github!J$1772</f>
        <v>1771</v>
      </c>
      <c r="B1511" s="27" t="str">
        <f>HYPERLINK(CONCAT("http://leetcode.com/problems/",Github!C$1772), Github!B$1772)</f>
        <v>Maximize Palindrome Length From Subsequences</v>
      </c>
      <c r="C1511" s="17">
        <f>Github!F$1772</f>
        <v>336</v>
      </c>
      <c r="D1511" s="17">
        <f>Github!G$1772</f>
        <v>6</v>
      </c>
      <c r="E1511" s="17">
        <f>Github!F$1772+Github!G$1772</f>
        <v>342</v>
      </c>
      <c r="F1511" s="18">
        <f t="shared" si="1"/>
        <v>56</v>
      </c>
      <c r="G1511" s="17" t="str">
        <f>Github!H$1772</f>
        <v>Algorithms</v>
      </c>
      <c r="H1511" s="19" t="str">
        <f>SUBSTITUTE(Github!L$1772, ";", ", ")</f>
        <v>String, Dynamic Programming, </v>
      </c>
      <c r="I1511" s="17" t="str">
        <f>Github!E$1772</f>
        <v>Hard</v>
      </c>
      <c r="J1511" s="17" t="str">
        <f>IF(TRIM(Github!D$1772)="TRUE","FALSE","TRUE")</f>
        <v>TRUE</v>
      </c>
      <c r="K1511" s="17" t="b">
        <f>Github!M$1772</f>
        <v>0</v>
      </c>
      <c r="L1511" s="17" t="b">
        <f>Github!N$1772</f>
        <v>0</v>
      </c>
      <c r="M1511" s="17" t="str">
        <f>ROUND(Github!O$1772, 2)&amp;"%"</f>
        <v>34.66%</v>
      </c>
      <c r="N1511" s="17">
        <f>Github!P$1772</f>
        <v>7094</v>
      </c>
      <c r="O1511" s="17">
        <f>Github!Q$1772</f>
        <v>20467</v>
      </c>
    </row>
    <row r="1512" ht="18.0" customHeight="1">
      <c r="A1512" s="17">
        <f>Github!J$1404</f>
        <v>1403</v>
      </c>
      <c r="B1512" s="27" t="str">
        <f>HYPERLINK(CONCAT("http://leetcode.com/problems/",Github!C$1404), Github!B$1404)</f>
        <v>Minimum Subsequence in Non-Increasing Order</v>
      </c>
      <c r="C1512" s="17">
        <f>Github!F$1404</f>
        <v>334</v>
      </c>
      <c r="D1512" s="17">
        <f>Github!G$1404</f>
        <v>370</v>
      </c>
      <c r="E1512" s="17">
        <f>Github!F$1404+Github!G$1404</f>
        <v>704</v>
      </c>
      <c r="F1512" s="18">
        <f t="shared" si="1"/>
        <v>0.9</v>
      </c>
      <c r="G1512" s="17" t="str">
        <f>Github!H$1404</f>
        <v>Algorithms</v>
      </c>
      <c r="H1512" s="19" t="str">
        <f>SUBSTITUTE(Github!L$1404, ";", ", ")</f>
        <v>Array, Greedy, Sorting, </v>
      </c>
      <c r="I1512" s="17" t="str">
        <f>Github!E$1404</f>
        <v>Easy</v>
      </c>
      <c r="J1512" s="17" t="str">
        <f>IF(TRIM(Github!D$1404)="TRUE","FALSE","TRUE")</f>
        <v>TRUE</v>
      </c>
      <c r="K1512" s="17" t="b">
        <f>Github!M$1404</f>
        <v>0</v>
      </c>
      <c r="L1512" s="17" t="b">
        <f>Github!N$1404</f>
        <v>0</v>
      </c>
      <c r="M1512" s="17" t="str">
        <f>ROUND(Github!O$1404, 2)&amp;"%"</f>
        <v>72.13%</v>
      </c>
      <c r="N1512" s="17">
        <f>Github!P$1404</f>
        <v>48323</v>
      </c>
      <c r="O1512" s="17">
        <f>Github!Q$1404</f>
        <v>66994</v>
      </c>
    </row>
    <row r="1513" ht="18.0" customHeight="1">
      <c r="A1513" s="17">
        <f>Github!J$1731</f>
        <v>1730</v>
      </c>
      <c r="B1513" s="27" t="str">
        <f>HYPERLINK(CONCAT("http://leetcode.com/problems/",Github!C$1731), Github!B$1731)</f>
        <v>Shortest Path to Get Food</v>
      </c>
      <c r="C1513" s="17">
        <f>Github!F$1731</f>
        <v>333</v>
      </c>
      <c r="D1513" s="17">
        <f>Github!G$1731</f>
        <v>15</v>
      </c>
      <c r="E1513" s="17">
        <f>Github!F$1731+Github!G$1731</f>
        <v>348</v>
      </c>
      <c r="F1513" s="18">
        <f t="shared" si="1"/>
        <v>22.2</v>
      </c>
      <c r="G1513" s="17" t="str">
        <f>Github!H$1731</f>
        <v>Algorithms</v>
      </c>
      <c r="H1513" s="19" t="str">
        <f>SUBSTITUTE(Github!L$1731, ";", ", ")</f>
        <v>Array, Breadth-First Search, Matrix, </v>
      </c>
      <c r="I1513" s="17" t="str">
        <f>Github!E$1731</f>
        <v>Medium</v>
      </c>
      <c r="J1513" s="17" t="str">
        <f>IF(TRIM(Github!D$1731)="TRUE","FALSE","TRUE")</f>
        <v>FALSE</v>
      </c>
      <c r="K1513" s="17" t="b">
        <f>Github!M$1731</f>
        <v>0</v>
      </c>
      <c r="L1513" s="17" t="b">
        <f>Github!N$1731</f>
        <v>0</v>
      </c>
      <c r="M1513" s="17" t="str">
        <f>ROUND(Github!O$1731, 2)&amp;"%"</f>
        <v>54.3%</v>
      </c>
      <c r="N1513" s="17">
        <f>Github!P$1731</f>
        <v>25748</v>
      </c>
      <c r="O1513" s="17">
        <f>Github!Q$1731</f>
        <v>47418</v>
      </c>
    </row>
    <row r="1514" ht="18.0" customHeight="1">
      <c r="A1514" s="17">
        <f>Github!J$1904</f>
        <v>1903</v>
      </c>
      <c r="B1514" s="27" t="str">
        <f>HYPERLINK(CONCAT("http://leetcode.com/problems/",Github!C$1904), Github!B$1904)</f>
        <v>Largest Odd Number in String</v>
      </c>
      <c r="C1514" s="17">
        <f>Github!F$1904</f>
        <v>332</v>
      </c>
      <c r="D1514" s="17">
        <f>Github!G$1904</f>
        <v>26</v>
      </c>
      <c r="E1514" s="17">
        <f>Github!F$1904+Github!G$1904</f>
        <v>358</v>
      </c>
      <c r="F1514" s="18">
        <f t="shared" si="1"/>
        <v>12.77</v>
      </c>
      <c r="G1514" s="17" t="str">
        <f>Github!H$1904</f>
        <v>Algorithms</v>
      </c>
      <c r="H1514" s="19" t="str">
        <f>SUBSTITUTE(Github!L$1904, ";", ", ")</f>
        <v>Math, String, Greedy, </v>
      </c>
      <c r="I1514" s="17" t="str">
        <f>Github!E$1904</f>
        <v>Easy</v>
      </c>
      <c r="J1514" s="17" t="str">
        <f>IF(TRIM(Github!D$1904)="TRUE","FALSE","TRUE")</f>
        <v>TRUE</v>
      </c>
      <c r="K1514" s="17" t="b">
        <f>Github!M$1904</f>
        <v>0</v>
      </c>
      <c r="L1514" s="17" t="b">
        <f>Github!N$1904</f>
        <v>0</v>
      </c>
      <c r="M1514" s="17" t="str">
        <f>ROUND(Github!O$1904, 2)&amp;"%"</f>
        <v>56.98%</v>
      </c>
      <c r="N1514" s="17">
        <f>Github!P$1904</f>
        <v>29802</v>
      </c>
      <c r="O1514" s="17">
        <f>Github!Q$1904</f>
        <v>52302</v>
      </c>
    </row>
    <row r="1515" ht="18.0" customHeight="1">
      <c r="A1515" s="17">
        <f>Github!J$2017</f>
        <v>2016</v>
      </c>
      <c r="B1515" s="27" t="str">
        <f>HYPERLINK(CONCAT("http://leetcode.com/problems/",Github!C$2017), Github!B$2017)</f>
        <v>Maximum Difference Between Increasing Elements</v>
      </c>
      <c r="C1515" s="17">
        <f>Github!F$2017</f>
        <v>332</v>
      </c>
      <c r="D1515" s="17">
        <f>Github!G$2017</f>
        <v>15</v>
      </c>
      <c r="E1515" s="17">
        <f>Github!F$2017+Github!G$2017</f>
        <v>347</v>
      </c>
      <c r="F1515" s="18">
        <f t="shared" si="1"/>
        <v>22.13</v>
      </c>
      <c r="G1515" s="17" t="str">
        <f>Github!H$2017</f>
        <v>Algorithms</v>
      </c>
      <c r="H1515" s="19" t="str">
        <f>SUBSTITUTE(Github!L$2017, ";", ", ")</f>
        <v>Array, </v>
      </c>
      <c r="I1515" s="17" t="str">
        <f>Github!E$2017</f>
        <v>Easy</v>
      </c>
      <c r="J1515" s="17" t="str">
        <f>IF(TRIM(Github!D$2017)="TRUE","FALSE","TRUE")</f>
        <v>TRUE</v>
      </c>
      <c r="K1515" s="17" t="b">
        <f>Github!M$2017</f>
        <v>0</v>
      </c>
      <c r="L1515" s="17" t="b">
        <f>Github!N$2017</f>
        <v>0</v>
      </c>
      <c r="M1515" s="17" t="str">
        <f>ROUND(Github!O$2017, 2)&amp;"%"</f>
        <v>54.93%</v>
      </c>
      <c r="N1515" s="17">
        <f>Github!P$2017</f>
        <v>27222</v>
      </c>
      <c r="O1515" s="17">
        <f>Github!Q$2017</f>
        <v>49565</v>
      </c>
    </row>
    <row r="1516" ht="18.0" customHeight="1">
      <c r="A1516" s="17">
        <f>Github!J$1238</f>
        <v>1237</v>
      </c>
      <c r="B1516" s="27" t="str">
        <f>HYPERLINK(CONCAT("http://leetcode.com/problems/",Github!C$1238), Github!B$1238)</f>
        <v>Find Positive Integer Solution for a Given Equation</v>
      </c>
      <c r="C1516" s="17">
        <f>Github!F$1238</f>
        <v>331</v>
      </c>
      <c r="D1516" s="17">
        <f>Github!G$1238</f>
        <v>1125</v>
      </c>
      <c r="E1516" s="17">
        <f>Github!F$1238+Github!G$1238</f>
        <v>1456</v>
      </c>
      <c r="F1516" s="18">
        <f t="shared" si="1"/>
        <v>0.29</v>
      </c>
      <c r="G1516" s="17" t="str">
        <f>Github!H$1238</f>
        <v>Algorithms</v>
      </c>
      <c r="H1516" s="19" t="str">
        <f>SUBSTITUTE(Github!L$1238, ";", ", ")</f>
        <v>Math, Two Pointers, Binary Search, Interactive, </v>
      </c>
      <c r="I1516" s="17" t="str">
        <f>Github!E$1238</f>
        <v>Medium</v>
      </c>
      <c r="J1516" s="17" t="str">
        <f>IF(TRIM(Github!D$1238)="TRUE","FALSE","TRUE")</f>
        <v>TRUE</v>
      </c>
      <c r="K1516" s="17" t="b">
        <f>Github!M$1238</f>
        <v>0</v>
      </c>
      <c r="L1516" s="17" t="b">
        <f>Github!N$1238</f>
        <v>0</v>
      </c>
      <c r="M1516" s="17" t="str">
        <f>ROUND(Github!O$1238, 2)&amp;"%"</f>
        <v>69.46%</v>
      </c>
      <c r="N1516" s="17">
        <f>Github!P$1238</f>
        <v>47291</v>
      </c>
      <c r="O1516" s="17">
        <f>Github!Q$1238</f>
        <v>68082</v>
      </c>
    </row>
    <row r="1517" ht="18.0" customHeight="1">
      <c r="A1517" s="17">
        <f>Github!J$1681</f>
        <v>1680</v>
      </c>
      <c r="B1517" s="27" t="str">
        <f>HYPERLINK(CONCAT("http://leetcode.com/problems/",Github!C$1681), Github!B$1681)</f>
        <v>Concatenation of Consecutive Binary Numbers</v>
      </c>
      <c r="C1517" s="17">
        <f>Github!F$1681</f>
        <v>332</v>
      </c>
      <c r="D1517" s="17">
        <f>Github!G$1681</f>
        <v>203</v>
      </c>
      <c r="E1517" s="17">
        <f>Github!F$1681+Github!G$1681</f>
        <v>535</v>
      </c>
      <c r="F1517" s="18">
        <f t="shared" si="1"/>
        <v>1.64</v>
      </c>
      <c r="G1517" s="17" t="str">
        <f>Github!H$1681</f>
        <v>Algorithms</v>
      </c>
      <c r="H1517" s="19" t="str">
        <f>SUBSTITUTE(Github!L$1681, ";", ", ")</f>
        <v>Math, Bit Manipulation, Simulation, </v>
      </c>
      <c r="I1517" s="17" t="str">
        <f>Github!E$1681</f>
        <v>Medium</v>
      </c>
      <c r="J1517" s="17" t="str">
        <f>IF(TRIM(Github!D$1681)="TRUE","FALSE","TRUE")</f>
        <v>TRUE</v>
      </c>
      <c r="K1517" s="17" t="b">
        <f>Github!M$1681</f>
        <v>1</v>
      </c>
      <c r="L1517" s="17" t="b">
        <f>Github!N$1681</f>
        <v>0</v>
      </c>
      <c r="M1517" s="17" t="str">
        <f>ROUND(Github!O$1681, 2)&amp;"%"</f>
        <v>52.54%</v>
      </c>
      <c r="N1517" s="17">
        <f>Github!P$1681</f>
        <v>33307</v>
      </c>
      <c r="O1517" s="17">
        <f>Github!Q$1681</f>
        <v>63390</v>
      </c>
    </row>
    <row r="1518" ht="18.0" customHeight="1">
      <c r="A1518" s="17">
        <f>Github!J$2102</f>
        <v>2101</v>
      </c>
      <c r="B1518" s="27" t="str">
        <f>HYPERLINK(CONCAT("http://leetcode.com/problems/",Github!C$2102), Github!B$2102)</f>
        <v>Detonate the Maximum Bombs</v>
      </c>
      <c r="C1518" s="17">
        <f>Github!F$2102</f>
        <v>331</v>
      </c>
      <c r="D1518" s="17">
        <f>Github!G$2102</f>
        <v>39</v>
      </c>
      <c r="E1518" s="17">
        <f>Github!F$2102+Github!G$2102</f>
        <v>370</v>
      </c>
      <c r="F1518" s="18">
        <f t="shared" si="1"/>
        <v>8.49</v>
      </c>
      <c r="G1518" s="17" t="str">
        <f>Github!H$2102</f>
        <v>Algorithms</v>
      </c>
      <c r="H1518" s="19" t="str">
        <f>SUBSTITUTE(Github!L$2102, ";", ", ")</f>
        <v>Array, Math, Depth-First Search, Breadth-First Search, Graph, Geometry, </v>
      </c>
      <c r="I1518" s="17" t="str">
        <f>Github!E$2102</f>
        <v>Medium</v>
      </c>
      <c r="J1518" s="17" t="str">
        <f>IF(TRIM(Github!D$2102)="TRUE","FALSE","TRUE")</f>
        <v>TRUE</v>
      </c>
      <c r="K1518" s="17" t="b">
        <f>Github!M$2102</f>
        <v>0</v>
      </c>
      <c r="L1518" s="17" t="b">
        <f>Github!N$2102</f>
        <v>0</v>
      </c>
      <c r="M1518" s="17" t="str">
        <f>ROUND(Github!O$2102, 2)&amp;"%"</f>
        <v>39.79%</v>
      </c>
      <c r="N1518" s="17">
        <f>Github!P$2102</f>
        <v>8787</v>
      </c>
      <c r="O1518" s="17">
        <f>Github!Q$2102</f>
        <v>22083</v>
      </c>
    </row>
    <row r="1519" ht="18.0" customHeight="1">
      <c r="A1519" s="17">
        <f>Github!J$246</f>
        <v>245</v>
      </c>
      <c r="B1519" s="27" t="str">
        <f>HYPERLINK(CONCAT("http://leetcode.com/problems/",Github!C$246), Github!B$246)</f>
        <v>Shortest Word Distance III</v>
      </c>
      <c r="C1519" s="17">
        <f>Github!F$246</f>
        <v>330</v>
      </c>
      <c r="D1519" s="17">
        <f>Github!G$246</f>
        <v>82</v>
      </c>
      <c r="E1519" s="17">
        <f>Github!F$246+Github!G$246</f>
        <v>412</v>
      </c>
      <c r="F1519" s="18">
        <f t="shared" si="1"/>
        <v>4.02</v>
      </c>
      <c r="G1519" s="17" t="str">
        <f>Github!H$246</f>
        <v>Algorithms</v>
      </c>
      <c r="H1519" s="19" t="str">
        <f>SUBSTITUTE(Github!L$246, ";", ", ")</f>
        <v>Array, String, </v>
      </c>
      <c r="I1519" s="17" t="str">
        <f>Github!E$246</f>
        <v>Medium</v>
      </c>
      <c r="J1519" s="17" t="str">
        <f>IF(TRIM(Github!D$246)="TRUE","FALSE","TRUE")</f>
        <v>FALSE</v>
      </c>
      <c r="K1519" s="17" t="b">
        <f>Github!M$246</f>
        <v>0</v>
      </c>
      <c r="L1519" s="17" t="b">
        <f>Github!N$246</f>
        <v>0</v>
      </c>
      <c r="M1519" s="17" t="str">
        <f>ROUND(Github!O$246, 2)&amp;"%"</f>
        <v>57.08%</v>
      </c>
      <c r="N1519" s="17">
        <f>Github!P$246</f>
        <v>65651</v>
      </c>
      <c r="O1519" s="17">
        <f>Github!Q$246</f>
        <v>115020</v>
      </c>
    </row>
    <row r="1520" ht="18.0" customHeight="1">
      <c r="A1520" s="17">
        <f>Github!J$440</f>
        <v>439</v>
      </c>
      <c r="B1520" s="27" t="str">
        <f>HYPERLINK(CONCAT("http://leetcode.com/problems/",Github!C$440), Github!B$440)</f>
        <v>Ternary Expression Parser</v>
      </c>
      <c r="C1520" s="17">
        <f>Github!F$440</f>
        <v>329</v>
      </c>
      <c r="D1520" s="17">
        <f>Github!G$440</f>
        <v>41</v>
      </c>
      <c r="E1520" s="17">
        <f>Github!F$440+Github!G$440</f>
        <v>370</v>
      </c>
      <c r="F1520" s="18">
        <f t="shared" si="1"/>
        <v>8.02</v>
      </c>
      <c r="G1520" s="17" t="str">
        <f>Github!H$440</f>
        <v>Algorithms</v>
      </c>
      <c r="H1520" s="19" t="str">
        <f>SUBSTITUTE(Github!L$440, ";", ", ")</f>
        <v>String, Stack, Recursion, </v>
      </c>
      <c r="I1520" s="17" t="str">
        <f>Github!E$440</f>
        <v>Medium</v>
      </c>
      <c r="J1520" s="17" t="str">
        <f>IF(TRIM(Github!D$440)="TRUE","FALSE","TRUE")</f>
        <v>FALSE</v>
      </c>
      <c r="K1520" s="17" t="b">
        <f>Github!M$440</f>
        <v>0</v>
      </c>
      <c r="L1520" s="17" t="b">
        <f>Github!N$440</f>
        <v>0</v>
      </c>
      <c r="M1520" s="17" t="str">
        <f>ROUND(Github!O$440, 2)&amp;"%"</f>
        <v>57.76%</v>
      </c>
      <c r="N1520" s="17">
        <f>Github!P$440</f>
        <v>24364</v>
      </c>
      <c r="O1520" s="17">
        <f>Github!Q$440</f>
        <v>42183</v>
      </c>
    </row>
    <row r="1521" ht="18.0" customHeight="1">
      <c r="A1521" s="17">
        <f>Github!J$489</f>
        <v>488</v>
      </c>
      <c r="B1521" s="27" t="str">
        <f>HYPERLINK(CONCAT("http://leetcode.com/problems/",Github!C$489), Github!B$489)</f>
        <v>Zuma Game</v>
      </c>
      <c r="C1521" s="17">
        <f>Github!F$489</f>
        <v>329</v>
      </c>
      <c r="D1521" s="17">
        <f>Github!G$489</f>
        <v>386</v>
      </c>
      <c r="E1521" s="17">
        <f>Github!F$489+Github!G$489</f>
        <v>715</v>
      </c>
      <c r="F1521" s="18">
        <f t="shared" si="1"/>
        <v>0.85</v>
      </c>
      <c r="G1521" s="17" t="str">
        <f>Github!H$489</f>
        <v>Algorithms</v>
      </c>
      <c r="H1521" s="19" t="str">
        <f>SUBSTITUTE(Github!L$489, ";", ", ")</f>
        <v>String, Dynamic Programming, Breadth-First Search, Memoization, </v>
      </c>
      <c r="I1521" s="17" t="str">
        <f>Github!E$489</f>
        <v>Hard</v>
      </c>
      <c r="J1521" s="17" t="str">
        <f>IF(TRIM(Github!D$489)="TRUE","FALSE","TRUE")</f>
        <v>TRUE</v>
      </c>
      <c r="K1521" s="17" t="b">
        <f>Github!M$489</f>
        <v>0</v>
      </c>
      <c r="L1521" s="17" t="b">
        <f>Github!N$489</f>
        <v>0</v>
      </c>
      <c r="M1521" s="17" t="str">
        <f>ROUND(Github!O$489, 2)&amp;"%"</f>
        <v>36.58%</v>
      </c>
      <c r="N1521" s="17">
        <f>Github!P$489</f>
        <v>19704</v>
      </c>
      <c r="O1521" s="17">
        <f>Github!Q$489</f>
        <v>53865</v>
      </c>
    </row>
    <row r="1522" ht="18.0" customHeight="1">
      <c r="A1522" s="17">
        <f>Github!J$1286</f>
        <v>1285</v>
      </c>
      <c r="B1522" s="27" t="str">
        <f>HYPERLINK(CONCAT("http://leetcode.com/problems/",Github!C$1286), Github!B$1286)</f>
        <v>Find the Start and End Number of Continuous Ranges</v>
      </c>
      <c r="C1522" s="17">
        <f>Github!F$1286</f>
        <v>329</v>
      </c>
      <c r="D1522" s="17">
        <f>Github!G$1286</f>
        <v>24</v>
      </c>
      <c r="E1522" s="17">
        <f>Github!F$1286+Github!G$1286</f>
        <v>353</v>
      </c>
      <c r="F1522" s="18">
        <f t="shared" si="1"/>
        <v>13.71</v>
      </c>
      <c r="G1522" s="17" t="str">
        <f>Github!H$1286</f>
        <v>Database</v>
      </c>
      <c r="H1522" s="19" t="str">
        <f>SUBSTITUTE(Github!L$1286, ";", ", ")</f>
        <v>Database, </v>
      </c>
      <c r="I1522" s="17" t="str">
        <f>Github!E$1286</f>
        <v>Medium</v>
      </c>
      <c r="J1522" s="17" t="str">
        <f>IF(TRIM(Github!D$1286)="TRUE","FALSE","TRUE")</f>
        <v>FALSE</v>
      </c>
      <c r="K1522" s="17" t="b">
        <f>Github!M$1286</f>
        <v>0</v>
      </c>
      <c r="L1522" s="17" t="b">
        <f>Github!N$1286</f>
        <v>0</v>
      </c>
      <c r="M1522" s="17" t="str">
        <f>ROUND(Github!O$1286, 2)&amp;"%"</f>
        <v>88.36%</v>
      </c>
      <c r="N1522" s="17">
        <f>Github!P$1286</f>
        <v>20203</v>
      </c>
      <c r="O1522" s="17">
        <f>Github!Q$1286</f>
        <v>22857</v>
      </c>
    </row>
    <row r="1523" ht="18.0" customHeight="1">
      <c r="A1523" s="17">
        <f>Github!J$2183</f>
        <v>2182</v>
      </c>
      <c r="B1523" s="27" t="str">
        <f>HYPERLINK(CONCAT("http://leetcode.com/problems/",Github!C$2183), Github!B$2183)</f>
        <v>Construct String With Repeat Limit</v>
      </c>
      <c r="C1523" s="17">
        <f>Github!F$2183</f>
        <v>330</v>
      </c>
      <c r="D1523" s="17">
        <f>Github!G$2183</f>
        <v>19</v>
      </c>
      <c r="E1523" s="17">
        <f>Github!F$2183+Github!G$2183</f>
        <v>349</v>
      </c>
      <c r="F1523" s="18">
        <f t="shared" si="1"/>
        <v>17.37</v>
      </c>
      <c r="G1523" s="17" t="str">
        <f>Github!H$2183</f>
        <v>Algorithms</v>
      </c>
      <c r="H1523" s="19" t="str">
        <f>SUBSTITUTE(Github!L$2183, ";", ", ")</f>
        <v>String, Greedy, Heap (Priority Queue), Counting, </v>
      </c>
      <c r="I1523" s="17" t="str">
        <f>Github!E$2183</f>
        <v>Medium</v>
      </c>
      <c r="J1523" s="17" t="str">
        <f>IF(TRIM(Github!D$2183)="TRUE","FALSE","TRUE")</f>
        <v>TRUE</v>
      </c>
      <c r="K1523" s="17" t="b">
        <f>Github!M$2183</f>
        <v>0</v>
      </c>
      <c r="L1523" s="17" t="b">
        <f>Github!N$2183</f>
        <v>0</v>
      </c>
      <c r="M1523" s="17" t="str">
        <f>ROUND(Github!O$2183, 2)&amp;"%"</f>
        <v>50.6%</v>
      </c>
      <c r="N1523" s="17">
        <f>Github!P$2183</f>
        <v>11744</v>
      </c>
      <c r="O1523" s="17">
        <f>Github!Q$2183</f>
        <v>23212</v>
      </c>
    </row>
    <row r="1524" ht="18.0" customHeight="1">
      <c r="A1524" s="17">
        <f>Github!J$602</f>
        <v>601</v>
      </c>
      <c r="B1524" s="27" t="str">
        <f>HYPERLINK(CONCAT("http://leetcode.com/problems/",Github!C$602), Github!B$602)</f>
        <v>Human Traffic of Stadium</v>
      </c>
      <c r="C1524" s="17">
        <f>Github!F$602</f>
        <v>328</v>
      </c>
      <c r="D1524" s="17">
        <f>Github!G$602</f>
        <v>471</v>
      </c>
      <c r="E1524" s="17">
        <f>Github!F$602+Github!G$602</f>
        <v>799</v>
      </c>
      <c r="F1524" s="18">
        <f t="shared" si="1"/>
        <v>0.7</v>
      </c>
      <c r="G1524" s="17" t="str">
        <f>Github!H$602</f>
        <v>Database</v>
      </c>
      <c r="H1524" s="19" t="str">
        <f>SUBSTITUTE(Github!L$602, ";", ", ")</f>
        <v>Database, </v>
      </c>
      <c r="I1524" s="17" t="str">
        <f>Github!E$602</f>
        <v>Hard</v>
      </c>
      <c r="J1524" s="17" t="str">
        <f>IF(TRIM(Github!D$602)="TRUE","FALSE","TRUE")</f>
        <v>TRUE</v>
      </c>
      <c r="K1524" s="17" t="b">
        <f>Github!M$602</f>
        <v>1</v>
      </c>
      <c r="L1524" s="17" t="b">
        <f>Github!N$602</f>
        <v>0</v>
      </c>
      <c r="M1524" s="17" t="str">
        <f>ROUND(Github!O$602, 2)&amp;"%"</f>
        <v>49.27%</v>
      </c>
      <c r="N1524" s="17">
        <f>Github!P$602</f>
        <v>58327</v>
      </c>
      <c r="O1524" s="17">
        <f>Github!Q$602</f>
        <v>118391</v>
      </c>
    </row>
    <row r="1525" ht="18.0" customHeight="1">
      <c r="A1525" s="17">
        <f>Github!J$1065</f>
        <v>1064</v>
      </c>
      <c r="B1525" s="27" t="str">
        <f>HYPERLINK(CONCAT("http://leetcode.com/problems/",Github!C$1065), Github!B$1065)</f>
        <v>Fixed Point</v>
      </c>
      <c r="C1525" s="17">
        <f>Github!F$1065</f>
        <v>328</v>
      </c>
      <c r="D1525" s="17">
        <f>Github!G$1065</f>
        <v>58</v>
      </c>
      <c r="E1525" s="17">
        <f>Github!F$1065+Github!G$1065</f>
        <v>386</v>
      </c>
      <c r="F1525" s="18">
        <f t="shared" si="1"/>
        <v>5.66</v>
      </c>
      <c r="G1525" s="17" t="str">
        <f>Github!H$1065</f>
        <v>Algorithms</v>
      </c>
      <c r="H1525" s="19" t="str">
        <f>SUBSTITUTE(Github!L$1065, ";", ", ")</f>
        <v>Array, Binary Search, </v>
      </c>
      <c r="I1525" s="17" t="str">
        <f>Github!E$1065</f>
        <v>Easy</v>
      </c>
      <c r="J1525" s="17" t="str">
        <f>IF(TRIM(Github!D$1065)="TRUE","FALSE","TRUE")</f>
        <v>FALSE</v>
      </c>
      <c r="K1525" s="17" t="b">
        <f>Github!M$1065</f>
        <v>1</v>
      </c>
      <c r="L1525" s="17" t="b">
        <f>Github!N$1065</f>
        <v>0</v>
      </c>
      <c r="M1525" s="17" t="str">
        <f>ROUND(Github!O$1065, 2)&amp;"%"</f>
        <v>64.03%</v>
      </c>
      <c r="N1525" s="17">
        <f>Github!P$1065</f>
        <v>33605</v>
      </c>
      <c r="O1525" s="17">
        <f>Github!Q$1065</f>
        <v>52482</v>
      </c>
    </row>
    <row r="1526" ht="18.0" customHeight="1">
      <c r="A1526" s="17">
        <f>Github!J$1755</f>
        <v>1754</v>
      </c>
      <c r="B1526" s="27" t="str">
        <f>HYPERLINK(CONCAT("http://leetcode.com/problems/",Github!C$1755), Github!B$1755)</f>
        <v>Largest Merge Of Two Strings</v>
      </c>
      <c r="C1526" s="17">
        <f>Github!F$1755</f>
        <v>329</v>
      </c>
      <c r="D1526" s="17">
        <f>Github!G$1755</f>
        <v>50</v>
      </c>
      <c r="E1526" s="17">
        <f>Github!F$1755+Github!G$1755</f>
        <v>379</v>
      </c>
      <c r="F1526" s="18">
        <f t="shared" si="1"/>
        <v>6.58</v>
      </c>
      <c r="G1526" s="17" t="str">
        <f>Github!H$1755</f>
        <v>Algorithms</v>
      </c>
      <c r="H1526" s="19" t="str">
        <f>SUBSTITUTE(Github!L$1755, ";", ", ")</f>
        <v>Two Pointers, String, Greedy, </v>
      </c>
      <c r="I1526" s="17" t="str">
        <f>Github!E$1755</f>
        <v>Medium</v>
      </c>
      <c r="J1526" s="17" t="str">
        <f>IF(TRIM(Github!D$1755)="TRUE","FALSE","TRUE")</f>
        <v>TRUE</v>
      </c>
      <c r="K1526" s="17" t="b">
        <f>Github!M$1755</f>
        <v>0</v>
      </c>
      <c r="L1526" s="17" t="b">
        <f>Github!N$1755</f>
        <v>0</v>
      </c>
      <c r="M1526" s="17" t="str">
        <f>ROUND(Github!O$1755, 2)&amp;"%"</f>
        <v>43.69%</v>
      </c>
      <c r="N1526" s="17">
        <f>Github!P$1755</f>
        <v>13662</v>
      </c>
      <c r="O1526" s="17">
        <f>Github!Q$1755</f>
        <v>31273</v>
      </c>
    </row>
    <row r="1527" ht="18.0" customHeight="1">
      <c r="A1527" s="17">
        <f>Github!J$2063</f>
        <v>2062</v>
      </c>
      <c r="B1527" s="27" t="str">
        <f>HYPERLINK(CONCAT("http://leetcode.com/problems/",Github!C$2063), Github!B$2063)</f>
        <v>Count Vowel Substrings of a String</v>
      </c>
      <c r="C1527" s="17">
        <f>Github!F$2063</f>
        <v>330</v>
      </c>
      <c r="D1527" s="17">
        <f>Github!G$2063</f>
        <v>99</v>
      </c>
      <c r="E1527" s="17">
        <f>Github!F$2063+Github!G$2063</f>
        <v>429</v>
      </c>
      <c r="F1527" s="18">
        <f t="shared" si="1"/>
        <v>3.33</v>
      </c>
      <c r="G1527" s="17" t="str">
        <f>Github!H$2063</f>
        <v>Algorithms</v>
      </c>
      <c r="H1527" s="19" t="str">
        <f>SUBSTITUTE(Github!L$2063, ";", ", ")</f>
        <v>Hash Table, String, </v>
      </c>
      <c r="I1527" s="17" t="str">
        <f>Github!E$2063</f>
        <v>Easy</v>
      </c>
      <c r="J1527" s="17" t="str">
        <f>IF(TRIM(Github!D$2063)="TRUE","FALSE","TRUE")</f>
        <v>TRUE</v>
      </c>
      <c r="K1527" s="17" t="b">
        <f>Github!M$2063</f>
        <v>0</v>
      </c>
      <c r="L1527" s="17" t="b">
        <f>Github!N$2063</f>
        <v>0</v>
      </c>
      <c r="M1527" s="17" t="str">
        <f>ROUND(Github!O$2063, 2)&amp;"%"</f>
        <v>65.77%</v>
      </c>
      <c r="N1527" s="17">
        <f>Github!P$2063</f>
        <v>15222</v>
      </c>
      <c r="O1527" s="17">
        <f>Github!Q$2063</f>
        <v>23145</v>
      </c>
    </row>
    <row r="1528" ht="18.0" customHeight="1">
      <c r="A1528" s="17">
        <f>Github!J$2060</f>
        <v>2059</v>
      </c>
      <c r="B1528" s="27" t="str">
        <f>HYPERLINK(CONCAT("http://leetcode.com/problems/",Github!C$2060), Github!B$2060)</f>
        <v>Minimum Operations to Convert Number</v>
      </c>
      <c r="C1528" s="17">
        <f>Github!F$2060</f>
        <v>327</v>
      </c>
      <c r="D1528" s="17">
        <f>Github!G$2060</f>
        <v>16</v>
      </c>
      <c r="E1528" s="17">
        <f>Github!F$2060+Github!G$2060</f>
        <v>343</v>
      </c>
      <c r="F1528" s="18">
        <f t="shared" si="1"/>
        <v>20.44</v>
      </c>
      <c r="G1528" s="17" t="str">
        <f>Github!H$2060</f>
        <v>Algorithms</v>
      </c>
      <c r="H1528" s="19" t="str">
        <f>SUBSTITUTE(Github!L$2060, ";", ", ")</f>
        <v>Array, Breadth-First Search, </v>
      </c>
      <c r="I1528" s="17" t="str">
        <f>Github!E$2060</f>
        <v>Medium</v>
      </c>
      <c r="J1528" s="17" t="str">
        <f>IF(TRIM(Github!D$2060)="TRUE","FALSE","TRUE")</f>
        <v>TRUE</v>
      </c>
      <c r="K1528" s="17" t="b">
        <f>Github!M$2060</f>
        <v>0</v>
      </c>
      <c r="L1528" s="17" t="b">
        <f>Github!N$2060</f>
        <v>0</v>
      </c>
      <c r="M1528" s="17" t="str">
        <f>ROUND(Github!O$2060, 2)&amp;"%"</f>
        <v>45.83%</v>
      </c>
      <c r="N1528" s="17">
        <f>Github!P$2060</f>
        <v>9123</v>
      </c>
      <c r="O1528" s="17">
        <f>Github!Q$2060</f>
        <v>19909</v>
      </c>
    </row>
    <row r="1529" ht="18.0" customHeight="1">
      <c r="A1529" s="17">
        <f>Github!J$1644</f>
        <v>1643</v>
      </c>
      <c r="B1529" s="27" t="str">
        <f>HYPERLINK(CONCAT("http://leetcode.com/problems/",Github!C$1644), Github!B$1644)</f>
        <v>Kth Smallest Instructions</v>
      </c>
      <c r="C1529" s="17">
        <f>Github!F$1644</f>
        <v>327</v>
      </c>
      <c r="D1529" s="17">
        <f>Github!G$1644</f>
        <v>3</v>
      </c>
      <c r="E1529" s="17">
        <f>Github!F$1644+Github!G$1644</f>
        <v>330</v>
      </c>
      <c r="F1529" s="18">
        <f t="shared" si="1"/>
        <v>109</v>
      </c>
      <c r="G1529" s="17" t="str">
        <f>Github!H$1644</f>
        <v>Algorithms</v>
      </c>
      <c r="H1529" s="19" t="str">
        <f>SUBSTITUTE(Github!L$1644, ";", ", ")</f>
        <v>Array, Math, Dynamic Programming, Combinatorics, </v>
      </c>
      <c r="I1529" s="17" t="str">
        <f>Github!E$1644</f>
        <v>Hard</v>
      </c>
      <c r="J1529" s="17" t="str">
        <f>IF(TRIM(Github!D$1644)="TRUE","FALSE","TRUE")</f>
        <v>TRUE</v>
      </c>
      <c r="K1529" s="17" t="b">
        <f>Github!M$1644</f>
        <v>0</v>
      </c>
      <c r="L1529" s="17" t="b">
        <f>Github!N$1644</f>
        <v>0</v>
      </c>
      <c r="M1529" s="17" t="str">
        <f>ROUND(Github!O$1644, 2)&amp;"%"</f>
        <v>45.51%</v>
      </c>
      <c r="N1529" s="17">
        <f>Github!P$1644</f>
        <v>7249</v>
      </c>
      <c r="O1529" s="17">
        <f>Github!Q$1644</f>
        <v>15930</v>
      </c>
    </row>
    <row r="1530" ht="18.0" customHeight="1">
      <c r="A1530" s="17">
        <f>Github!J$1956</f>
        <v>1955</v>
      </c>
      <c r="B1530" s="27" t="str">
        <f>HYPERLINK(CONCAT("http://leetcode.com/problems/",Github!C$1956), Github!B$1956)</f>
        <v>Count Number of Special Subsequences</v>
      </c>
      <c r="C1530" s="17">
        <f>Github!F$1956</f>
        <v>326</v>
      </c>
      <c r="D1530" s="17">
        <f>Github!G$1956</f>
        <v>6</v>
      </c>
      <c r="E1530" s="17">
        <f>Github!F$1956+Github!G$1956</f>
        <v>332</v>
      </c>
      <c r="F1530" s="18">
        <f t="shared" si="1"/>
        <v>54.33</v>
      </c>
      <c r="G1530" s="17" t="str">
        <f>Github!H$1956</f>
        <v>Algorithms</v>
      </c>
      <c r="H1530" s="19" t="str">
        <f>SUBSTITUTE(Github!L$1956, ";", ", ")</f>
        <v>Array, Dynamic Programming, </v>
      </c>
      <c r="I1530" s="17" t="str">
        <f>Github!E$1956</f>
        <v>Hard</v>
      </c>
      <c r="J1530" s="17" t="str">
        <f>IF(TRIM(Github!D$1956)="TRUE","FALSE","TRUE")</f>
        <v>TRUE</v>
      </c>
      <c r="K1530" s="17" t="b">
        <f>Github!M$1956</f>
        <v>0</v>
      </c>
      <c r="L1530" s="17" t="b">
        <f>Github!N$1956</f>
        <v>0</v>
      </c>
      <c r="M1530" s="17" t="str">
        <f>ROUND(Github!O$1956, 2)&amp;"%"</f>
        <v>50.8%</v>
      </c>
      <c r="N1530" s="17">
        <f>Github!P$1956</f>
        <v>7132</v>
      </c>
      <c r="O1530" s="17">
        <f>Github!Q$1956</f>
        <v>14039</v>
      </c>
    </row>
    <row r="1531" ht="18.0" customHeight="1">
      <c r="A1531" s="17">
        <f>Github!J$1852</f>
        <v>1851</v>
      </c>
      <c r="B1531" s="27" t="str">
        <f>HYPERLINK(CONCAT("http://leetcode.com/problems/",Github!C$1852), Github!B$1852)</f>
        <v>Minimum Interval to Include Each Query</v>
      </c>
      <c r="C1531" s="17">
        <f>Github!F$1852</f>
        <v>324</v>
      </c>
      <c r="D1531" s="17">
        <f>Github!G$1852</f>
        <v>5</v>
      </c>
      <c r="E1531" s="17">
        <f>Github!F$1852+Github!G$1852</f>
        <v>329</v>
      </c>
      <c r="F1531" s="18">
        <f t="shared" si="1"/>
        <v>64.8</v>
      </c>
      <c r="G1531" s="17" t="str">
        <f>Github!H$1852</f>
        <v>Algorithms</v>
      </c>
      <c r="H1531" s="19" t="str">
        <f>SUBSTITUTE(Github!L$1852, ";", ", ")</f>
        <v>Array, Binary Search, Line Sweep, Sorting, Heap (Priority Queue), </v>
      </c>
      <c r="I1531" s="17" t="str">
        <f>Github!E$1852</f>
        <v>Hard</v>
      </c>
      <c r="J1531" s="17" t="str">
        <f>IF(TRIM(Github!D$1852)="TRUE","FALSE","TRUE")</f>
        <v>TRUE</v>
      </c>
      <c r="K1531" s="17" t="b">
        <f>Github!M$1852</f>
        <v>0</v>
      </c>
      <c r="L1531" s="17" t="b">
        <f>Github!N$1852</f>
        <v>0</v>
      </c>
      <c r="M1531" s="17" t="str">
        <f>ROUND(Github!O$1852, 2)&amp;"%"</f>
        <v>45.4%</v>
      </c>
      <c r="N1531" s="17">
        <f>Github!P$1852</f>
        <v>6275</v>
      </c>
      <c r="O1531" s="17">
        <f>Github!Q$1852</f>
        <v>13823</v>
      </c>
    </row>
    <row r="1532" ht="18.0" customHeight="1">
      <c r="A1532" s="17">
        <f>Github!J$1993</f>
        <v>1992</v>
      </c>
      <c r="B1532" s="27" t="str">
        <f>HYPERLINK(CONCAT("http://leetcode.com/problems/",Github!C$1993), Github!B$1993)</f>
        <v>Find All Groups of Farmland</v>
      </c>
      <c r="C1532" s="17">
        <f>Github!F$1993</f>
        <v>323</v>
      </c>
      <c r="D1532" s="17">
        <f>Github!G$1993</f>
        <v>16</v>
      </c>
      <c r="E1532" s="17">
        <f>Github!F$1993+Github!G$1993</f>
        <v>339</v>
      </c>
      <c r="F1532" s="18">
        <f t="shared" si="1"/>
        <v>20.19</v>
      </c>
      <c r="G1532" s="17" t="str">
        <f>Github!H$1993</f>
        <v>Algorithms</v>
      </c>
      <c r="H1532" s="19" t="str">
        <f>SUBSTITUTE(Github!L$1993, ";", ", ")</f>
        <v>Array, Depth-First Search, Breadth-First Search, Matrix, </v>
      </c>
      <c r="I1532" s="17" t="str">
        <f>Github!E$1993</f>
        <v>Medium</v>
      </c>
      <c r="J1532" s="17" t="str">
        <f>IF(TRIM(Github!D$1993)="TRUE","FALSE","TRUE")</f>
        <v>TRUE</v>
      </c>
      <c r="K1532" s="17" t="b">
        <f>Github!M$1993</f>
        <v>0</v>
      </c>
      <c r="L1532" s="17" t="b">
        <f>Github!N$1993</f>
        <v>0</v>
      </c>
      <c r="M1532" s="17" t="str">
        <f>ROUND(Github!O$1993, 2)&amp;"%"</f>
        <v>67%</v>
      </c>
      <c r="N1532" s="17">
        <f>Github!P$1993</f>
        <v>12464</v>
      </c>
      <c r="O1532" s="17">
        <f>Github!Q$1993</f>
        <v>18604</v>
      </c>
    </row>
    <row r="1533" ht="18.0" customHeight="1">
      <c r="A1533" s="17">
        <f>Github!J$1118</f>
        <v>1117</v>
      </c>
      <c r="B1533" s="27" t="str">
        <f>HYPERLINK(CONCAT("http://leetcode.com/problems/",Github!C$1118), Github!B$1118)</f>
        <v>Building H2O</v>
      </c>
      <c r="C1533" s="17">
        <f>Github!F$1118</f>
        <v>323</v>
      </c>
      <c r="D1533" s="17">
        <f>Github!G$1118</f>
        <v>89</v>
      </c>
      <c r="E1533" s="17">
        <f>Github!F$1118+Github!G$1118</f>
        <v>412</v>
      </c>
      <c r="F1533" s="18">
        <f t="shared" si="1"/>
        <v>3.63</v>
      </c>
      <c r="G1533" s="17" t="str">
        <f>Github!H$1118</f>
        <v>Concurrency</v>
      </c>
      <c r="H1533" s="19" t="str">
        <f>SUBSTITUTE(Github!L$1118, ";", ", ")</f>
        <v>Concurrency, </v>
      </c>
      <c r="I1533" s="17" t="str">
        <f>Github!E$1118</f>
        <v>Medium</v>
      </c>
      <c r="J1533" s="17" t="str">
        <f>IF(TRIM(Github!D$1118)="TRUE","FALSE","TRUE")</f>
        <v>TRUE</v>
      </c>
      <c r="K1533" s="17" t="b">
        <f>Github!M$1118</f>
        <v>0</v>
      </c>
      <c r="L1533" s="17" t="b">
        <f>Github!N$1118</f>
        <v>0</v>
      </c>
      <c r="M1533" s="17" t="str">
        <f>ROUND(Github!O$1118, 2)&amp;"%"</f>
        <v>54.3%</v>
      </c>
      <c r="N1533" s="17">
        <f>Github!P$1118</f>
        <v>28383</v>
      </c>
      <c r="O1533" s="17">
        <f>Github!Q$1118</f>
        <v>52272</v>
      </c>
    </row>
    <row r="1534" ht="18.0" customHeight="1">
      <c r="A1534" s="17">
        <f>Github!J$813</f>
        <v>812</v>
      </c>
      <c r="B1534" s="27" t="str">
        <f>HYPERLINK(CONCAT("http://leetcode.com/problems/",Github!C$813), Github!B$813)</f>
        <v>Largest Triangle Area</v>
      </c>
      <c r="C1534" s="17">
        <f>Github!F$813</f>
        <v>321</v>
      </c>
      <c r="D1534" s="17">
        <f>Github!G$813</f>
        <v>1305</v>
      </c>
      <c r="E1534" s="17">
        <f>Github!F$813+Github!G$813</f>
        <v>1626</v>
      </c>
      <c r="F1534" s="18">
        <f t="shared" si="1"/>
        <v>0.25</v>
      </c>
      <c r="G1534" s="17" t="str">
        <f>Github!H$813</f>
        <v>Algorithms</v>
      </c>
      <c r="H1534" s="19" t="str">
        <f>SUBSTITUTE(Github!L$813, ";", ", ")</f>
        <v>Array, Math, Geometry, </v>
      </c>
      <c r="I1534" s="17" t="str">
        <f>Github!E$813</f>
        <v>Easy</v>
      </c>
      <c r="J1534" s="17" t="str">
        <f>IF(TRIM(Github!D$813)="TRUE","FALSE","TRUE")</f>
        <v>TRUE</v>
      </c>
      <c r="K1534" s="17" t="b">
        <f>Github!M$813</f>
        <v>0</v>
      </c>
      <c r="L1534" s="17" t="b">
        <f>Github!N$813</f>
        <v>0</v>
      </c>
      <c r="M1534" s="17" t="str">
        <f>ROUND(Github!O$813, 2)&amp;"%"</f>
        <v>59.51%</v>
      </c>
      <c r="N1534" s="17">
        <f>Github!P$813</f>
        <v>31531</v>
      </c>
      <c r="O1534" s="17">
        <f>Github!Q$813</f>
        <v>52981</v>
      </c>
    </row>
    <row r="1535" ht="18.0" customHeight="1">
      <c r="A1535" s="17">
        <f>Github!J$1507</f>
        <v>1506</v>
      </c>
      <c r="B1535" s="27" t="str">
        <f>HYPERLINK(CONCAT("http://leetcode.com/problems/",Github!C$1507), Github!B$1507)</f>
        <v>Find Root of N-Ary Tree</v>
      </c>
      <c r="C1535" s="17">
        <f>Github!F$1507</f>
        <v>320</v>
      </c>
      <c r="D1535" s="17">
        <f>Github!G$1507</f>
        <v>111</v>
      </c>
      <c r="E1535" s="17">
        <f>Github!F$1507+Github!G$1507</f>
        <v>431</v>
      </c>
      <c r="F1535" s="18">
        <f t="shared" si="1"/>
        <v>2.88</v>
      </c>
      <c r="G1535" s="17" t="str">
        <f>Github!H$1507</f>
        <v>Algorithms</v>
      </c>
      <c r="H1535" s="19" t="str">
        <f>SUBSTITUTE(Github!L$1507, ";", ", ")</f>
        <v>Hash Table, Bit Manipulation, Tree, Depth-First Search, </v>
      </c>
      <c r="I1535" s="17" t="str">
        <f>Github!E$1507</f>
        <v>Medium</v>
      </c>
      <c r="J1535" s="17" t="str">
        <f>IF(TRIM(Github!D$1507)="TRUE","FALSE","TRUE")</f>
        <v>FALSE</v>
      </c>
      <c r="K1535" s="17" t="b">
        <f>Github!M$1507</f>
        <v>1</v>
      </c>
      <c r="L1535" s="17" t="b">
        <f>Github!N$1507</f>
        <v>0</v>
      </c>
      <c r="M1535" s="17" t="str">
        <f>ROUND(Github!O$1507, 2)&amp;"%"</f>
        <v>78.18%</v>
      </c>
      <c r="N1535" s="17">
        <f>Github!P$1507</f>
        <v>20332</v>
      </c>
      <c r="O1535" s="17">
        <f>Github!Q$1507</f>
        <v>26005</v>
      </c>
    </row>
    <row r="1536" ht="18.0" customHeight="1">
      <c r="A1536" s="17">
        <f>Github!J$2064</f>
        <v>2063</v>
      </c>
      <c r="B1536" s="27" t="str">
        <f>HYPERLINK(CONCAT("http://leetcode.com/problems/",Github!C$2064), Github!B$2064)</f>
        <v>Vowels of All Substrings</v>
      </c>
      <c r="C1536" s="17">
        <f>Github!F$2064</f>
        <v>321</v>
      </c>
      <c r="D1536" s="17">
        <f>Github!G$2064</f>
        <v>12</v>
      </c>
      <c r="E1536" s="17">
        <f>Github!F$2064+Github!G$2064</f>
        <v>333</v>
      </c>
      <c r="F1536" s="18">
        <f t="shared" si="1"/>
        <v>26.75</v>
      </c>
      <c r="G1536" s="17" t="str">
        <f>Github!H$2064</f>
        <v>Algorithms</v>
      </c>
      <c r="H1536" s="19" t="str">
        <f>SUBSTITUTE(Github!L$2064, ";", ", ")</f>
        <v>Math, String, Dynamic Programming, Combinatorics, </v>
      </c>
      <c r="I1536" s="17" t="str">
        <f>Github!E$2064</f>
        <v>Medium</v>
      </c>
      <c r="J1536" s="17" t="str">
        <f>IF(TRIM(Github!D$2064)="TRUE","FALSE","TRUE")</f>
        <v>TRUE</v>
      </c>
      <c r="K1536" s="17" t="b">
        <f>Github!M$2064</f>
        <v>0</v>
      </c>
      <c r="L1536" s="17" t="b">
        <f>Github!N$2064</f>
        <v>0</v>
      </c>
      <c r="M1536" s="17" t="str">
        <f>ROUND(Github!O$2064, 2)&amp;"%"</f>
        <v>54.14%</v>
      </c>
      <c r="N1536" s="17">
        <f>Github!P$2064</f>
        <v>11942</v>
      </c>
      <c r="O1536" s="17">
        <f>Github!Q$2064</f>
        <v>22057</v>
      </c>
    </row>
    <row r="1537" ht="18.0" customHeight="1">
      <c r="A1537" s="17">
        <f>Github!J$1117</f>
        <v>1116</v>
      </c>
      <c r="B1537" s="27" t="str">
        <f>HYPERLINK(CONCAT("http://leetcode.com/problems/",Github!C$1117), Github!B$1117)</f>
        <v>Print Zero Even Odd</v>
      </c>
      <c r="C1537" s="17">
        <f>Github!F$1117</f>
        <v>319</v>
      </c>
      <c r="D1537" s="17">
        <f>Github!G$1117</f>
        <v>221</v>
      </c>
      <c r="E1537" s="17">
        <f>Github!F$1117+Github!G$1117</f>
        <v>540</v>
      </c>
      <c r="F1537" s="18">
        <f t="shared" si="1"/>
        <v>1.44</v>
      </c>
      <c r="G1537" s="17" t="str">
        <f>Github!H$1117</f>
        <v>Concurrency</v>
      </c>
      <c r="H1537" s="19" t="str">
        <f>SUBSTITUTE(Github!L$1117, ";", ", ")</f>
        <v>Concurrency, </v>
      </c>
      <c r="I1537" s="17" t="str">
        <f>Github!E$1117</f>
        <v>Medium</v>
      </c>
      <c r="J1537" s="17" t="str">
        <f>IF(TRIM(Github!D$1117)="TRUE","FALSE","TRUE")</f>
        <v>TRUE</v>
      </c>
      <c r="K1537" s="17" t="b">
        <f>Github!M$1117</f>
        <v>0</v>
      </c>
      <c r="L1537" s="17" t="b">
        <f>Github!N$1117</f>
        <v>0</v>
      </c>
      <c r="M1537" s="17" t="str">
        <f>ROUND(Github!O$1117, 2)&amp;"%"</f>
        <v>59.19%</v>
      </c>
      <c r="N1537" s="17">
        <f>Github!P$1117</f>
        <v>30070</v>
      </c>
      <c r="O1537" s="17">
        <f>Github!Q$1117</f>
        <v>50806</v>
      </c>
    </row>
    <row r="1538" ht="18.0" customHeight="1">
      <c r="A1538" s="17">
        <f>Github!J$1557</f>
        <v>1556</v>
      </c>
      <c r="B1538" s="27" t="str">
        <f>HYPERLINK(CONCAT("http://leetcode.com/problems/",Github!C$1557), Github!B$1557)</f>
        <v>Thousand Separator</v>
      </c>
      <c r="C1538" s="17">
        <f>Github!F$1557</f>
        <v>319</v>
      </c>
      <c r="D1538" s="17">
        <f>Github!G$1557</f>
        <v>11</v>
      </c>
      <c r="E1538" s="17">
        <f>Github!F$1557+Github!G$1557</f>
        <v>330</v>
      </c>
      <c r="F1538" s="18">
        <f t="shared" si="1"/>
        <v>29</v>
      </c>
      <c r="G1538" s="17" t="str">
        <f>Github!H$1557</f>
        <v>Algorithms</v>
      </c>
      <c r="H1538" s="19" t="str">
        <f>SUBSTITUTE(Github!L$1557, ";", ", ")</f>
        <v>String, </v>
      </c>
      <c r="I1538" s="17" t="str">
        <f>Github!E$1557</f>
        <v>Easy</v>
      </c>
      <c r="J1538" s="17" t="str">
        <f>IF(TRIM(Github!D$1557)="TRUE","FALSE","TRUE")</f>
        <v>TRUE</v>
      </c>
      <c r="K1538" s="17" t="b">
        <f>Github!M$1557</f>
        <v>0</v>
      </c>
      <c r="L1538" s="17" t="b">
        <f>Github!N$1557</f>
        <v>0</v>
      </c>
      <c r="M1538" s="17" t="str">
        <f>ROUND(Github!O$1557, 2)&amp;"%"</f>
        <v>56.24%</v>
      </c>
      <c r="N1538" s="17">
        <f>Github!P$1557</f>
        <v>31840</v>
      </c>
      <c r="O1538" s="17">
        <f>Github!Q$1557</f>
        <v>56610</v>
      </c>
    </row>
    <row r="1539" ht="18.0" customHeight="1">
      <c r="A1539" s="17">
        <f>Github!J$1726</f>
        <v>1725</v>
      </c>
      <c r="B1539" s="27" t="str">
        <f>HYPERLINK(CONCAT("http://leetcode.com/problems/",Github!C$1726), Github!B$1726)</f>
        <v>Number Of Rectangles That Can Form The Largest Square</v>
      </c>
      <c r="C1539" s="17">
        <f>Github!F$1726</f>
        <v>320</v>
      </c>
      <c r="D1539" s="17">
        <f>Github!G$1726</f>
        <v>40</v>
      </c>
      <c r="E1539" s="17">
        <f>Github!F$1726+Github!G$1726</f>
        <v>360</v>
      </c>
      <c r="F1539" s="18">
        <f t="shared" si="1"/>
        <v>8</v>
      </c>
      <c r="G1539" s="17" t="str">
        <f>Github!H$1726</f>
        <v>Algorithms</v>
      </c>
      <c r="H1539" s="19" t="str">
        <f>SUBSTITUTE(Github!L$1726, ";", ", ")</f>
        <v>Array, </v>
      </c>
      <c r="I1539" s="17" t="str">
        <f>Github!E$1726</f>
        <v>Easy</v>
      </c>
      <c r="J1539" s="17" t="str">
        <f>IF(TRIM(Github!D$1726)="TRUE","FALSE","TRUE")</f>
        <v>TRUE</v>
      </c>
      <c r="K1539" s="17" t="b">
        <f>Github!M$1726</f>
        <v>0</v>
      </c>
      <c r="L1539" s="17" t="b">
        <f>Github!N$1726</f>
        <v>0</v>
      </c>
      <c r="M1539" s="17" t="str">
        <f>ROUND(Github!O$1726, 2)&amp;"%"</f>
        <v>78.71%</v>
      </c>
      <c r="N1539" s="17">
        <f>Github!P$1726</f>
        <v>39207</v>
      </c>
      <c r="O1539" s="17">
        <f>Github!Q$1726</f>
        <v>49813</v>
      </c>
    </row>
    <row r="1540" ht="18.0" customHeight="1">
      <c r="A1540" s="17">
        <f>Github!J$1980</f>
        <v>1979</v>
      </c>
      <c r="B1540" s="27" t="str">
        <f>HYPERLINK(CONCAT("http://leetcode.com/problems/",Github!C$1980), Github!B$1980)</f>
        <v>Find Greatest Common Divisor of Array</v>
      </c>
      <c r="C1540" s="17">
        <f>Github!F$1980</f>
        <v>320</v>
      </c>
      <c r="D1540" s="17">
        <f>Github!G$1980</f>
        <v>14</v>
      </c>
      <c r="E1540" s="17">
        <f>Github!F$1980+Github!G$1980</f>
        <v>334</v>
      </c>
      <c r="F1540" s="18">
        <f t="shared" si="1"/>
        <v>22.86</v>
      </c>
      <c r="G1540" s="17" t="str">
        <f>Github!H$1980</f>
        <v>Algorithms</v>
      </c>
      <c r="H1540" s="19" t="str">
        <f>SUBSTITUTE(Github!L$1980, ";", ", ")</f>
        <v>Array, Math, Number Theory, </v>
      </c>
      <c r="I1540" s="17" t="str">
        <f>Github!E$1980</f>
        <v>Easy</v>
      </c>
      <c r="J1540" s="17" t="str">
        <f>IF(TRIM(Github!D$1980)="TRUE","FALSE","TRUE")</f>
        <v>TRUE</v>
      </c>
      <c r="K1540" s="17" t="b">
        <f>Github!M$1980</f>
        <v>0</v>
      </c>
      <c r="L1540" s="17" t="b">
        <f>Github!N$1980</f>
        <v>0</v>
      </c>
      <c r="M1540" s="17" t="str">
        <f>ROUND(Github!O$1980, 2)&amp;"%"</f>
        <v>78.17%</v>
      </c>
      <c r="N1540" s="17">
        <f>Github!P$1980</f>
        <v>35930</v>
      </c>
      <c r="O1540" s="17">
        <f>Github!Q$1980</f>
        <v>45963</v>
      </c>
    </row>
    <row r="1541" ht="18.0" customHeight="1">
      <c r="A1541" s="17">
        <f>Github!J$458</f>
        <v>457</v>
      </c>
      <c r="B1541" s="27" t="str">
        <f>HYPERLINK(CONCAT("http://leetcode.com/problems/",Github!C$458), Github!B$458)</f>
        <v>Circular Array Loop</v>
      </c>
      <c r="C1541" s="17">
        <f>Github!F$458</f>
        <v>319</v>
      </c>
      <c r="D1541" s="17">
        <f>Github!G$458</f>
        <v>270</v>
      </c>
      <c r="E1541" s="17">
        <f>Github!F$458+Github!G$458</f>
        <v>589</v>
      </c>
      <c r="F1541" s="18">
        <f t="shared" si="1"/>
        <v>1.18</v>
      </c>
      <c r="G1541" s="17" t="str">
        <f>Github!H$458</f>
        <v>Algorithms</v>
      </c>
      <c r="H1541" s="19" t="str">
        <f>SUBSTITUTE(Github!L$458, ";", ", ")</f>
        <v>Array, Hash Table, Two Pointers, </v>
      </c>
      <c r="I1541" s="17" t="str">
        <f>Github!E$458</f>
        <v>Medium</v>
      </c>
      <c r="J1541" s="17" t="str">
        <f>IF(TRIM(Github!D$458)="TRUE","FALSE","TRUE")</f>
        <v>TRUE</v>
      </c>
      <c r="K1541" s="17" t="b">
        <f>Github!M$458</f>
        <v>0</v>
      </c>
      <c r="L1541" s="17" t="b">
        <f>Github!N$458</f>
        <v>0</v>
      </c>
      <c r="M1541" s="17" t="str">
        <f>ROUND(Github!O$458, 2)&amp;"%"</f>
        <v>31.51%</v>
      </c>
      <c r="N1541" s="17">
        <f>Github!P$458</f>
        <v>57089</v>
      </c>
      <c r="O1541" s="17">
        <f>Github!Q$458</f>
        <v>181158</v>
      </c>
    </row>
    <row r="1542" ht="18.0" customHeight="1">
      <c r="A1542" s="17">
        <f>Github!J$1410</f>
        <v>1409</v>
      </c>
      <c r="B1542" s="27" t="str">
        <f>HYPERLINK(CONCAT("http://leetcode.com/problems/",Github!C$1410), Github!B$1410)</f>
        <v>Queries on a Permutation With Key</v>
      </c>
      <c r="C1542" s="17">
        <f>Github!F$1410</f>
        <v>318</v>
      </c>
      <c r="D1542" s="17">
        <f>Github!G$1410</f>
        <v>514</v>
      </c>
      <c r="E1542" s="17">
        <f>Github!F$1410+Github!G$1410</f>
        <v>832</v>
      </c>
      <c r="F1542" s="18">
        <f t="shared" si="1"/>
        <v>0.62</v>
      </c>
      <c r="G1542" s="17" t="str">
        <f>Github!H$1410</f>
        <v>Algorithms</v>
      </c>
      <c r="H1542" s="19" t="str">
        <f>SUBSTITUTE(Github!L$1410, ";", ", ")</f>
        <v>Array, Binary Indexed Tree, Simulation, </v>
      </c>
      <c r="I1542" s="17" t="str">
        <f>Github!E$1410</f>
        <v>Medium</v>
      </c>
      <c r="J1542" s="17" t="str">
        <f>IF(TRIM(Github!D$1410)="TRUE","FALSE","TRUE")</f>
        <v>TRUE</v>
      </c>
      <c r="K1542" s="17" t="b">
        <f>Github!M$1410</f>
        <v>0</v>
      </c>
      <c r="L1542" s="17" t="b">
        <f>Github!N$1410</f>
        <v>0</v>
      </c>
      <c r="M1542" s="17" t="str">
        <f>ROUND(Github!O$1410, 2)&amp;"%"</f>
        <v>82.71%</v>
      </c>
      <c r="N1542" s="17">
        <f>Github!P$1410</f>
        <v>36472</v>
      </c>
      <c r="O1542" s="17">
        <f>Github!Q$1410</f>
        <v>44096</v>
      </c>
    </row>
    <row r="1543" ht="18.0" customHeight="1">
      <c r="A1543" s="17">
        <f>Github!J$609</f>
        <v>608</v>
      </c>
      <c r="B1543" s="27" t="str">
        <f>HYPERLINK(CONCAT("http://leetcode.com/problems/",Github!C$609), Github!B$609)</f>
        <v>Tree Node</v>
      </c>
      <c r="C1543" s="17">
        <f>Github!F$609</f>
        <v>317</v>
      </c>
      <c r="D1543" s="17">
        <f>Github!G$609</f>
        <v>30</v>
      </c>
      <c r="E1543" s="17">
        <f>Github!F$609+Github!G$609</f>
        <v>347</v>
      </c>
      <c r="F1543" s="18">
        <f t="shared" si="1"/>
        <v>10.57</v>
      </c>
      <c r="G1543" s="17" t="str">
        <f>Github!H$609</f>
        <v>Database</v>
      </c>
      <c r="H1543" s="19" t="str">
        <f>SUBSTITUTE(Github!L$609, ";", ", ")</f>
        <v>Database, </v>
      </c>
      <c r="I1543" s="17" t="str">
        <f>Github!E$609</f>
        <v>Medium</v>
      </c>
      <c r="J1543" s="17" t="str">
        <f>IF(TRIM(Github!D$609)="TRUE","FALSE","TRUE")</f>
        <v>FALSE</v>
      </c>
      <c r="K1543" s="17" t="b">
        <f>Github!M$609</f>
        <v>1</v>
      </c>
      <c r="L1543" s="17" t="b">
        <f>Github!N$609</f>
        <v>0</v>
      </c>
      <c r="M1543" s="17" t="str">
        <f>ROUND(Github!O$609, 2)&amp;"%"</f>
        <v>71.3%</v>
      </c>
      <c r="N1543" s="17">
        <f>Github!P$609</f>
        <v>40648</v>
      </c>
      <c r="O1543" s="17">
        <f>Github!Q$609</f>
        <v>57012</v>
      </c>
    </row>
    <row r="1544" ht="18.0" customHeight="1">
      <c r="A1544" s="17">
        <f>Github!J$1331</f>
        <v>1330</v>
      </c>
      <c r="B1544" s="27" t="str">
        <f>HYPERLINK(CONCAT("http://leetcode.com/problems/",Github!C$1331), Github!B$1331)</f>
        <v>Reverse Subarray To Maximize Array Value</v>
      </c>
      <c r="C1544" s="17">
        <f>Github!F$1331</f>
        <v>318</v>
      </c>
      <c r="D1544" s="17">
        <f>Github!G$1331</f>
        <v>32</v>
      </c>
      <c r="E1544" s="17">
        <f>Github!F$1331+Github!G$1331</f>
        <v>350</v>
      </c>
      <c r="F1544" s="18">
        <f t="shared" si="1"/>
        <v>9.94</v>
      </c>
      <c r="G1544" s="17" t="str">
        <f>Github!H$1331</f>
        <v>Algorithms</v>
      </c>
      <c r="H1544" s="19" t="str">
        <f>SUBSTITUTE(Github!L$1331, ";", ", ")</f>
        <v>Array, Math, Greedy, </v>
      </c>
      <c r="I1544" s="17" t="str">
        <f>Github!E$1331</f>
        <v>Hard</v>
      </c>
      <c r="J1544" s="17" t="str">
        <f>IF(TRIM(Github!D$1331)="TRUE","FALSE","TRUE")</f>
        <v>TRUE</v>
      </c>
      <c r="K1544" s="17" t="b">
        <f>Github!M$1331</f>
        <v>0</v>
      </c>
      <c r="L1544" s="17" t="b">
        <f>Github!N$1331</f>
        <v>0</v>
      </c>
      <c r="M1544" s="17" t="str">
        <f>ROUND(Github!O$1331, 2)&amp;"%"</f>
        <v>38.8%</v>
      </c>
      <c r="N1544" s="17">
        <f>Github!P$1331</f>
        <v>3767</v>
      </c>
      <c r="O1544" s="17">
        <f>Github!Q$1331</f>
        <v>9710</v>
      </c>
    </row>
    <row r="1545" ht="18.0" customHeight="1">
      <c r="A1545" s="17">
        <f>Github!J$1488</f>
        <v>1487</v>
      </c>
      <c r="B1545" s="27" t="str">
        <f>HYPERLINK(CONCAT("http://leetcode.com/problems/",Github!C$1488), Github!B$1488)</f>
        <v>Making File Names Unique</v>
      </c>
      <c r="C1545" s="17">
        <f>Github!F$1488</f>
        <v>315</v>
      </c>
      <c r="D1545" s="17">
        <f>Github!G$1488</f>
        <v>486</v>
      </c>
      <c r="E1545" s="17">
        <f>Github!F$1488+Github!G$1488</f>
        <v>801</v>
      </c>
      <c r="F1545" s="18">
        <f t="shared" si="1"/>
        <v>0.65</v>
      </c>
      <c r="G1545" s="17" t="str">
        <f>Github!H$1488</f>
        <v>Algorithms</v>
      </c>
      <c r="H1545" s="19" t="str">
        <f>SUBSTITUTE(Github!L$1488, ";", ", ")</f>
        <v>Array, Hash Table, String, </v>
      </c>
      <c r="I1545" s="17" t="str">
        <f>Github!E$1488</f>
        <v>Medium</v>
      </c>
      <c r="J1545" s="17" t="str">
        <f>IF(TRIM(Github!D$1488)="TRUE","FALSE","TRUE")</f>
        <v>TRUE</v>
      </c>
      <c r="K1545" s="17" t="b">
        <f>Github!M$1488</f>
        <v>0</v>
      </c>
      <c r="L1545" s="17" t="b">
        <f>Github!N$1488</f>
        <v>0</v>
      </c>
      <c r="M1545" s="17" t="str">
        <f>ROUND(Github!O$1488, 2)&amp;"%"</f>
        <v>34.61%</v>
      </c>
      <c r="N1545" s="17">
        <f>Github!P$1488</f>
        <v>22091</v>
      </c>
      <c r="O1545" s="17">
        <f>Github!Q$1488</f>
        <v>63837</v>
      </c>
    </row>
    <row r="1546" ht="18.0" customHeight="1">
      <c r="A1546" s="17">
        <f>Github!J$1888</f>
        <v>1887</v>
      </c>
      <c r="B1546" s="27" t="str">
        <f>HYPERLINK(CONCAT("http://leetcode.com/problems/",Github!C$1888), Github!B$1888)</f>
        <v>Reduction Operations to Make the Array Elements Equal</v>
      </c>
      <c r="C1546" s="17">
        <f>Github!F$1888</f>
        <v>316</v>
      </c>
      <c r="D1546" s="17">
        <f>Github!G$1888</f>
        <v>11</v>
      </c>
      <c r="E1546" s="17">
        <f>Github!F$1888+Github!G$1888</f>
        <v>327</v>
      </c>
      <c r="F1546" s="18">
        <f t="shared" si="1"/>
        <v>28.73</v>
      </c>
      <c r="G1546" s="17" t="str">
        <f>Github!H$1888</f>
        <v>Algorithms</v>
      </c>
      <c r="H1546" s="19" t="str">
        <f>SUBSTITUTE(Github!L$1888, ";", ", ")</f>
        <v>Array, Sorting, </v>
      </c>
      <c r="I1546" s="17" t="str">
        <f>Github!E$1888</f>
        <v>Medium</v>
      </c>
      <c r="J1546" s="17" t="str">
        <f>IF(TRIM(Github!D$1888)="TRUE","FALSE","TRUE")</f>
        <v>TRUE</v>
      </c>
      <c r="K1546" s="17" t="b">
        <f>Github!M$1888</f>
        <v>0</v>
      </c>
      <c r="L1546" s="17" t="b">
        <f>Github!N$1888</f>
        <v>0</v>
      </c>
      <c r="M1546" s="17" t="str">
        <f>ROUND(Github!O$1888, 2)&amp;"%"</f>
        <v>61.38%</v>
      </c>
      <c r="N1546" s="17">
        <f>Github!P$1888</f>
        <v>16032</v>
      </c>
      <c r="O1546" s="17">
        <f>Github!Q$1888</f>
        <v>26120</v>
      </c>
    </row>
    <row r="1547" ht="18.0" customHeight="1">
      <c r="A1547" s="17">
        <f>Github!J$1586</f>
        <v>1585</v>
      </c>
      <c r="B1547" s="27" t="str">
        <f>HYPERLINK(CONCAT("http://leetcode.com/problems/",Github!C$1586), Github!B$1586)</f>
        <v>Check If String Is Transformable With Substring Sort Operations</v>
      </c>
      <c r="C1547" s="17">
        <f>Github!F$1586</f>
        <v>315</v>
      </c>
      <c r="D1547" s="17">
        <f>Github!G$1586</f>
        <v>5</v>
      </c>
      <c r="E1547" s="17">
        <f>Github!F$1586+Github!G$1586</f>
        <v>320</v>
      </c>
      <c r="F1547" s="18">
        <f t="shared" si="1"/>
        <v>63</v>
      </c>
      <c r="G1547" s="17" t="str">
        <f>Github!H$1586</f>
        <v>Algorithms</v>
      </c>
      <c r="H1547" s="19" t="str">
        <f>SUBSTITUTE(Github!L$1586, ";", ", ")</f>
        <v>String, Greedy, Sorting, </v>
      </c>
      <c r="I1547" s="17" t="str">
        <f>Github!E$1586</f>
        <v>Hard</v>
      </c>
      <c r="J1547" s="17" t="str">
        <f>IF(TRIM(Github!D$1586)="TRUE","FALSE","TRUE")</f>
        <v>TRUE</v>
      </c>
      <c r="K1547" s="17" t="b">
        <f>Github!M$1586</f>
        <v>0</v>
      </c>
      <c r="L1547" s="17" t="b">
        <f>Github!N$1586</f>
        <v>0</v>
      </c>
      <c r="M1547" s="17" t="str">
        <f>ROUND(Github!O$1586, 2)&amp;"%"</f>
        <v>48.33%</v>
      </c>
      <c r="N1547" s="17">
        <f>Github!P$1586</f>
        <v>5823</v>
      </c>
      <c r="O1547" s="17">
        <f>Github!Q$1586</f>
        <v>12049</v>
      </c>
    </row>
    <row r="1548" ht="18.0" customHeight="1">
      <c r="A1548" s="17">
        <f>Github!J$2104</f>
        <v>2103</v>
      </c>
      <c r="B1548" s="27" t="str">
        <f>HYPERLINK(CONCAT("http://leetcode.com/problems/",Github!C$2104), Github!B$2104)</f>
        <v>Rings and Rods</v>
      </c>
      <c r="C1548" s="17">
        <f>Github!F$2104</f>
        <v>315</v>
      </c>
      <c r="D1548" s="17">
        <f>Github!G$2104</f>
        <v>9</v>
      </c>
      <c r="E1548" s="17">
        <f>Github!F$2104+Github!G$2104</f>
        <v>324</v>
      </c>
      <c r="F1548" s="18">
        <f t="shared" si="1"/>
        <v>35</v>
      </c>
      <c r="G1548" s="17" t="str">
        <f>Github!H$2104</f>
        <v>Algorithms</v>
      </c>
      <c r="H1548" s="19" t="str">
        <f>SUBSTITUTE(Github!L$2104, ";", ", ")</f>
        <v>Hash Table, String, </v>
      </c>
      <c r="I1548" s="17" t="str">
        <f>Github!E$2104</f>
        <v>Easy</v>
      </c>
      <c r="J1548" s="17" t="str">
        <f>IF(TRIM(Github!D$2104)="TRUE","FALSE","TRUE")</f>
        <v>TRUE</v>
      </c>
      <c r="K1548" s="17" t="b">
        <f>Github!M$2104</f>
        <v>0</v>
      </c>
      <c r="L1548" s="17" t="b">
        <f>Github!N$2104</f>
        <v>0</v>
      </c>
      <c r="M1548" s="17" t="str">
        <f>ROUND(Github!O$2104, 2)&amp;"%"</f>
        <v>81.82%</v>
      </c>
      <c r="N1548" s="17">
        <f>Github!P$2104</f>
        <v>24900</v>
      </c>
      <c r="O1548" s="17">
        <f>Github!Q$2104</f>
        <v>30432</v>
      </c>
    </row>
    <row r="1549" ht="18.0" customHeight="1">
      <c r="A1549" s="17">
        <f>Github!J$2171</f>
        <v>2170</v>
      </c>
      <c r="B1549" s="27" t="str">
        <f>HYPERLINK(CONCAT("http://leetcode.com/problems/",Github!C$2171), Github!B$2171)</f>
        <v>Minimum Operations to Make the Array Alternating</v>
      </c>
      <c r="C1549" s="17">
        <f>Github!F$2171</f>
        <v>315</v>
      </c>
      <c r="D1549" s="17">
        <f>Github!G$2171</f>
        <v>247</v>
      </c>
      <c r="E1549" s="17">
        <f>Github!F$2171+Github!G$2171</f>
        <v>562</v>
      </c>
      <c r="F1549" s="18">
        <f t="shared" si="1"/>
        <v>1.28</v>
      </c>
      <c r="G1549" s="17" t="str">
        <f>Github!H$2171</f>
        <v>Algorithms</v>
      </c>
      <c r="H1549" s="19" t="str">
        <f>SUBSTITUTE(Github!L$2171, ";", ", ")</f>
        <v>Array, Hash Table, Greedy, Counting, </v>
      </c>
      <c r="I1549" s="17" t="str">
        <f>Github!E$2171</f>
        <v>Medium</v>
      </c>
      <c r="J1549" s="17" t="str">
        <f>IF(TRIM(Github!D$2171)="TRUE","FALSE","TRUE")</f>
        <v>TRUE</v>
      </c>
      <c r="K1549" s="17" t="b">
        <f>Github!M$2171</f>
        <v>0</v>
      </c>
      <c r="L1549" s="17" t="b">
        <f>Github!N$2171</f>
        <v>0</v>
      </c>
      <c r="M1549" s="17" t="str">
        <f>ROUND(Github!O$2171, 2)&amp;"%"</f>
        <v>32.57%</v>
      </c>
      <c r="N1549" s="17">
        <f>Github!P$2171</f>
        <v>14329</v>
      </c>
      <c r="O1549" s="17">
        <f>Github!Q$2171</f>
        <v>44000</v>
      </c>
    </row>
    <row r="1550" ht="18.0" customHeight="1">
      <c r="A1550" s="17">
        <f>Github!J$1504</f>
        <v>1503</v>
      </c>
      <c r="B1550" s="27" t="str">
        <f>HYPERLINK(CONCAT("http://leetcode.com/problems/",Github!C$1504), Github!B$1504)</f>
        <v>Last Moment Before All Ants Fall Out of a Plank</v>
      </c>
      <c r="C1550" s="17">
        <f>Github!F$1504</f>
        <v>313</v>
      </c>
      <c r="D1550" s="17">
        <f>Github!G$1504</f>
        <v>178</v>
      </c>
      <c r="E1550" s="17">
        <f>Github!F$1504+Github!G$1504</f>
        <v>491</v>
      </c>
      <c r="F1550" s="18">
        <f t="shared" si="1"/>
        <v>1.76</v>
      </c>
      <c r="G1550" s="17" t="str">
        <f>Github!H$1504</f>
        <v>Algorithms</v>
      </c>
      <c r="H1550" s="19" t="str">
        <f>SUBSTITUTE(Github!L$1504, ";", ", ")</f>
        <v>Array, Brainteaser, Simulation, </v>
      </c>
      <c r="I1550" s="17" t="str">
        <f>Github!E$1504</f>
        <v>Medium</v>
      </c>
      <c r="J1550" s="17" t="str">
        <f>IF(TRIM(Github!D$1504)="TRUE","FALSE","TRUE")</f>
        <v>TRUE</v>
      </c>
      <c r="K1550" s="17" t="b">
        <f>Github!M$1504</f>
        <v>0</v>
      </c>
      <c r="L1550" s="17" t="b">
        <f>Github!N$1504</f>
        <v>0</v>
      </c>
      <c r="M1550" s="17" t="str">
        <f>ROUND(Github!O$1504, 2)&amp;"%"</f>
        <v>54.7%</v>
      </c>
      <c r="N1550" s="17">
        <f>Github!P$1504</f>
        <v>14899</v>
      </c>
      <c r="O1550" s="17">
        <f>Github!Q$1504</f>
        <v>27240</v>
      </c>
    </row>
    <row r="1551" ht="18.0" customHeight="1">
      <c r="A1551" s="17">
        <f>Github!J$2080</f>
        <v>2079</v>
      </c>
      <c r="B1551" s="27" t="str">
        <f>HYPERLINK(CONCAT("http://leetcode.com/problems/",Github!C$2080), Github!B$2080)</f>
        <v>Watering Plants</v>
      </c>
      <c r="C1551" s="17">
        <f>Github!F$2080</f>
        <v>313</v>
      </c>
      <c r="D1551" s="17">
        <f>Github!G$2080</f>
        <v>22</v>
      </c>
      <c r="E1551" s="17">
        <f>Github!F$2080+Github!G$2080</f>
        <v>335</v>
      </c>
      <c r="F1551" s="18">
        <f t="shared" si="1"/>
        <v>14.23</v>
      </c>
      <c r="G1551" s="17" t="str">
        <f>Github!H$2080</f>
        <v>Algorithms</v>
      </c>
      <c r="H1551" s="19" t="str">
        <f>SUBSTITUTE(Github!L$2080, ";", ", ")</f>
        <v>Array, </v>
      </c>
      <c r="I1551" s="17" t="str">
        <f>Github!E$2080</f>
        <v>Medium</v>
      </c>
      <c r="J1551" s="17" t="str">
        <f>IF(TRIM(Github!D$2080)="TRUE","FALSE","TRUE")</f>
        <v>TRUE</v>
      </c>
      <c r="K1551" s="17" t="b">
        <f>Github!M$2080</f>
        <v>0</v>
      </c>
      <c r="L1551" s="17" t="b">
        <f>Github!N$2080</f>
        <v>0</v>
      </c>
      <c r="M1551" s="17" t="str">
        <f>ROUND(Github!O$2080, 2)&amp;"%"</f>
        <v>80.53%</v>
      </c>
      <c r="N1551" s="17">
        <f>Github!P$2080</f>
        <v>17495</v>
      </c>
      <c r="O1551" s="17">
        <f>Github!Q$2080</f>
        <v>21726</v>
      </c>
    </row>
    <row r="1552" ht="18.0" customHeight="1">
      <c r="A1552" s="17">
        <f>Github!J$1596</f>
        <v>1595</v>
      </c>
      <c r="B1552" s="27" t="str">
        <f>HYPERLINK(CONCAT("http://leetcode.com/problems/",Github!C$1596), Github!B$1596)</f>
        <v>Minimum Cost to Connect Two Groups of Points</v>
      </c>
      <c r="C1552" s="17">
        <f>Github!F$1596</f>
        <v>312</v>
      </c>
      <c r="D1552" s="17">
        <f>Github!G$1596</f>
        <v>11</v>
      </c>
      <c r="E1552" s="17">
        <f>Github!F$1596+Github!G$1596</f>
        <v>323</v>
      </c>
      <c r="F1552" s="18">
        <f t="shared" si="1"/>
        <v>28.36</v>
      </c>
      <c r="G1552" s="17" t="str">
        <f>Github!H$1596</f>
        <v>Algorithms</v>
      </c>
      <c r="H1552" s="19" t="str">
        <f>SUBSTITUTE(Github!L$1596, ";", ", ")</f>
        <v>Array, Dynamic Programming, Bit Manipulation, Matrix, Bitmask, </v>
      </c>
      <c r="I1552" s="17" t="str">
        <f>Github!E$1596</f>
        <v>Hard</v>
      </c>
      <c r="J1552" s="17" t="str">
        <f>IF(TRIM(Github!D$1596)="TRUE","FALSE","TRUE")</f>
        <v>TRUE</v>
      </c>
      <c r="K1552" s="17" t="b">
        <f>Github!M$1596</f>
        <v>0</v>
      </c>
      <c r="L1552" s="17" t="b">
        <f>Github!N$1596</f>
        <v>0</v>
      </c>
      <c r="M1552" s="17" t="str">
        <f>ROUND(Github!O$1596, 2)&amp;"%"</f>
        <v>45.76%</v>
      </c>
      <c r="N1552" s="17">
        <f>Github!P$1596</f>
        <v>6095</v>
      </c>
      <c r="O1552" s="17">
        <f>Github!Q$1596</f>
        <v>13320</v>
      </c>
    </row>
    <row r="1553" ht="18.0" customHeight="1">
      <c r="A1553" s="17">
        <f>Github!J$1834</f>
        <v>1833</v>
      </c>
      <c r="B1553" s="27" t="str">
        <f>HYPERLINK(CONCAT("http://leetcode.com/problems/",Github!C$1834), Github!B$1834)</f>
        <v>Maximum Ice Cream Bars</v>
      </c>
      <c r="C1553" s="17">
        <f>Github!F$1834</f>
        <v>312</v>
      </c>
      <c r="D1553" s="17">
        <f>Github!G$1834</f>
        <v>131</v>
      </c>
      <c r="E1553" s="17">
        <f>Github!F$1834+Github!G$1834</f>
        <v>443</v>
      </c>
      <c r="F1553" s="18">
        <f t="shared" si="1"/>
        <v>2.38</v>
      </c>
      <c r="G1553" s="17" t="str">
        <f>Github!H$1834</f>
        <v>Algorithms</v>
      </c>
      <c r="H1553" s="19" t="str">
        <f>SUBSTITUTE(Github!L$1834, ";", ", ")</f>
        <v>Array, Greedy, Sorting, </v>
      </c>
      <c r="I1553" s="17" t="str">
        <f>Github!E$1834</f>
        <v>Medium</v>
      </c>
      <c r="J1553" s="17" t="str">
        <f>IF(TRIM(Github!D$1834)="TRUE","FALSE","TRUE")</f>
        <v>TRUE</v>
      </c>
      <c r="K1553" s="17" t="b">
        <f>Github!M$1834</f>
        <v>0</v>
      </c>
      <c r="L1553" s="17" t="b">
        <f>Github!N$1834</f>
        <v>0</v>
      </c>
      <c r="M1553" s="17" t="str">
        <f>ROUND(Github!O$1834, 2)&amp;"%"</f>
        <v>64.67%</v>
      </c>
      <c r="N1553" s="17">
        <f>Github!P$1834</f>
        <v>30314</v>
      </c>
      <c r="O1553" s="17">
        <f>Github!Q$1834</f>
        <v>46875</v>
      </c>
    </row>
    <row r="1554" ht="18.0" customHeight="1">
      <c r="A1554" s="17">
        <f>Github!J$1702</f>
        <v>1701</v>
      </c>
      <c r="B1554" s="27" t="str">
        <f>HYPERLINK(CONCAT("http://leetcode.com/problems/",Github!C$1702), Github!B$1702)</f>
        <v>Average Waiting Time</v>
      </c>
      <c r="C1554" s="17">
        <f>Github!F$1702</f>
        <v>311</v>
      </c>
      <c r="D1554" s="17">
        <f>Github!G$1702</f>
        <v>37</v>
      </c>
      <c r="E1554" s="17">
        <f>Github!F$1702+Github!G$1702</f>
        <v>348</v>
      </c>
      <c r="F1554" s="18">
        <f t="shared" si="1"/>
        <v>8.41</v>
      </c>
      <c r="G1554" s="17" t="str">
        <f>Github!H$1702</f>
        <v>Algorithms</v>
      </c>
      <c r="H1554" s="19" t="str">
        <f>SUBSTITUTE(Github!L$1702, ";", ", ")</f>
        <v>Array, Simulation, </v>
      </c>
      <c r="I1554" s="17" t="str">
        <f>Github!E$1702</f>
        <v>Medium</v>
      </c>
      <c r="J1554" s="17" t="str">
        <f>IF(TRIM(Github!D$1702)="TRUE","FALSE","TRUE")</f>
        <v>TRUE</v>
      </c>
      <c r="K1554" s="17" t="b">
        <f>Github!M$1702</f>
        <v>0</v>
      </c>
      <c r="L1554" s="17" t="b">
        <f>Github!N$1702</f>
        <v>0</v>
      </c>
      <c r="M1554" s="17" t="str">
        <f>ROUND(Github!O$1702, 2)&amp;"%"</f>
        <v>61.59%</v>
      </c>
      <c r="N1554" s="17">
        <f>Github!P$1702</f>
        <v>18292</v>
      </c>
      <c r="O1554" s="17">
        <f>Github!Q$1702</f>
        <v>29698</v>
      </c>
    </row>
    <row r="1555" ht="18.0" customHeight="1">
      <c r="A1555" s="17">
        <f>Github!J$1079</f>
        <v>1078</v>
      </c>
      <c r="B1555" s="27" t="str">
        <f>HYPERLINK(CONCAT("http://leetcode.com/problems/",Github!C$1079), Github!B$1079)</f>
        <v>Occurrences After Bigram</v>
      </c>
      <c r="C1555" s="17">
        <f>Github!F$1079</f>
        <v>310</v>
      </c>
      <c r="D1555" s="17">
        <f>Github!G$1079</f>
        <v>283</v>
      </c>
      <c r="E1555" s="17">
        <f>Github!F$1079+Github!G$1079</f>
        <v>593</v>
      </c>
      <c r="F1555" s="18">
        <f t="shared" si="1"/>
        <v>1.1</v>
      </c>
      <c r="G1555" s="17" t="str">
        <f>Github!H$1079</f>
        <v>Algorithms</v>
      </c>
      <c r="H1555" s="19" t="str">
        <f>SUBSTITUTE(Github!L$1079, ";", ", ")</f>
        <v>String, </v>
      </c>
      <c r="I1555" s="17" t="str">
        <f>Github!E$1079</f>
        <v>Easy</v>
      </c>
      <c r="J1555" s="17" t="str">
        <f>IF(TRIM(Github!D$1079)="TRUE","FALSE","TRUE")</f>
        <v>TRUE</v>
      </c>
      <c r="K1555" s="17" t="b">
        <f>Github!M$1079</f>
        <v>0</v>
      </c>
      <c r="L1555" s="17" t="b">
        <f>Github!N$1079</f>
        <v>0</v>
      </c>
      <c r="M1555" s="17" t="str">
        <f>ROUND(Github!O$1079, 2)&amp;"%"</f>
        <v>64.3%</v>
      </c>
      <c r="N1555" s="17">
        <f>Github!P$1079</f>
        <v>49961</v>
      </c>
      <c r="O1555" s="17">
        <f>Github!Q$1079</f>
        <v>77706</v>
      </c>
    </row>
    <row r="1556" ht="18.0" customHeight="1">
      <c r="A1556" s="17">
        <f>Github!J$1173</f>
        <v>1172</v>
      </c>
      <c r="B1556" s="27" t="str">
        <f>HYPERLINK(CONCAT("http://leetcode.com/problems/",Github!C$1173), Github!B$1173)</f>
        <v>Dinner Plate Stacks</v>
      </c>
      <c r="C1556" s="17">
        <f>Github!F$1173</f>
        <v>310</v>
      </c>
      <c r="D1556" s="17">
        <f>Github!G$1173</f>
        <v>47</v>
      </c>
      <c r="E1556" s="17">
        <f>Github!F$1173+Github!G$1173</f>
        <v>357</v>
      </c>
      <c r="F1556" s="18">
        <f t="shared" si="1"/>
        <v>6.6</v>
      </c>
      <c r="G1556" s="17" t="str">
        <f>Github!H$1173</f>
        <v>Algorithms</v>
      </c>
      <c r="H1556" s="19" t="str">
        <f>SUBSTITUTE(Github!L$1173, ";", ", ")</f>
        <v>Hash Table, Stack, Design, Heap (Priority Queue), </v>
      </c>
      <c r="I1556" s="17" t="str">
        <f>Github!E$1173</f>
        <v>Hard</v>
      </c>
      <c r="J1556" s="17" t="str">
        <f>IF(TRIM(Github!D$1173)="TRUE","FALSE","TRUE")</f>
        <v>TRUE</v>
      </c>
      <c r="K1556" s="17" t="b">
        <f>Github!M$1173</f>
        <v>0</v>
      </c>
      <c r="L1556" s="17" t="b">
        <f>Github!N$1173</f>
        <v>0</v>
      </c>
      <c r="M1556" s="17" t="str">
        <f>ROUND(Github!O$1173, 2)&amp;"%"</f>
        <v>34.64%</v>
      </c>
      <c r="N1556" s="17">
        <f>Github!P$1173</f>
        <v>13251</v>
      </c>
      <c r="O1556" s="17">
        <f>Github!Q$1173</f>
        <v>38249</v>
      </c>
    </row>
    <row r="1557" ht="18.0" customHeight="1">
      <c r="A1557" s="17">
        <f>Github!J$2081</f>
        <v>2080</v>
      </c>
      <c r="B1557" s="27" t="str">
        <f>HYPERLINK(CONCAT("http://leetcode.com/problems/",Github!C$2081), Github!B$2081)</f>
        <v>Range Frequency Queries</v>
      </c>
      <c r="C1557" s="17">
        <f>Github!F$2081</f>
        <v>310</v>
      </c>
      <c r="D1557" s="17">
        <f>Github!G$2081</f>
        <v>19</v>
      </c>
      <c r="E1557" s="17">
        <f>Github!F$2081+Github!G$2081</f>
        <v>329</v>
      </c>
      <c r="F1557" s="18">
        <f t="shared" si="1"/>
        <v>16.32</v>
      </c>
      <c r="G1557" s="17" t="str">
        <f>Github!H$2081</f>
        <v>Algorithms</v>
      </c>
      <c r="H1557" s="19" t="str">
        <f>SUBSTITUTE(Github!L$2081, ";", ", ")</f>
        <v>Array, Hash Table, Binary Search, Design, Segment Tree, </v>
      </c>
      <c r="I1557" s="17" t="str">
        <f>Github!E$2081</f>
        <v>Medium</v>
      </c>
      <c r="J1557" s="17" t="str">
        <f>IF(TRIM(Github!D$2081)="TRUE","FALSE","TRUE")</f>
        <v>TRUE</v>
      </c>
      <c r="K1557" s="17" t="b">
        <f>Github!M$2081</f>
        <v>0</v>
      </c>
      <c r="L1557" s="17" t="b">
        <f>Github!N$2081</f>
        <v>0</v>
      </c>
      <c r="M1557" s="17" t="str">
        <f>ROUND(Github!O$2081, 2)&amp;"%"</f>
        <v>36.22%</v>
      </c>
      <c r="N1557" s="17">
        <f>Github!P$2081</f>
        <v>10106</v>
      </c>
      <c r="O1557" s="17">
        <f>Github!Q$2081</f>
        <v>27899</v>
      </c>
    </row>
    <row r="1558" ht="18.0" customHeight="1">
      <c r="A1558" s="17">
        <f>Github!J$1254</f>
        <v>1253</v>
      </c>
      <c r="B1558" s="27" t="str">
        <f>HYPERLINK(CONCAT("http://leetcode.com/problems/",Github!C$1254), Github!B$1254)</f>
        <v>Reconstruct a 2-Row Binary Matrix</v>
      </c>
      <c r="C1558" s="17">
        <f>Github!F$1254</f>
        <v>309</v>
      </c>
      <c r="D1558" s="17">
        <f>Github!G$1254</f>
        <v>24</v>
      </c>
      <c r="E1558" s="17">
        <f>Github!F$1254+Github!G$1254</f>
        <v>333</v>
      </c>
      <c r="F1558" s="18">
        <f t="shared" si="1"/>
        <v>12.88</v>
      </c>
      <c r="G1558" s="17" t="str">
        <f>Github!H$1254</f>
        <v>Algorithms</v>
      </c>
      <c r="H1558" s="19" t="str">
        <f>SUBSTITUTE(Github!L$1254, ";", ", ")</f>
        <v>Array, Greedy, Matrix, </v>
      </c>
      <c r="I1558" s="17" t="str">
        <f>Github!E$1254</f>
        <v>Medium</v>
      </c>
      <c r="J1558" s="17" t="str">
        <f>IF(TRIM(Github!D$1254)="TRUE","FALSE","TRUE")</f>
        <v>TRUE</v>
      </c>
      <c r="K1558" s="17" t="b">
        <f>Github!M$1254</f>
        <v>0</v>
      </c>
      <c r="L1558" s="17" t="b">
        <f>Github!N$1254</f>
        <v>0</v>
      </c>
      <c r="M1558" s="17" t="str">
        <f>ROUND(Github!O$1254, 2)&amp;"%"</f>
        <v>43.09%</v>
      </c>
      <c r="N1558" s="17">
        <f>Github!P$1254</f>
        <v>18655</v>
      </c>
      <c r="O1558" s="17">
        <f>Github!Q$1254</f>
        <v>43298</v>
      </c>
    </row>
    <row r="1559" ht="18.0" customHeight="1">
      <c r="A1559" s="17">
        <f>Github!J$1998</f>
        <v>1997</v>
      </c>
      <c r="B1559" s="27" t="str">
        <f>HYPERLINK(CONCAT("http://leetcode.com/problems/",Github!C$1998), Github!B$1998)</f>
        <v>First Day Where You Have Been in All the Rooms</v>
      </c>
      <c r="C1559" s="17">
        <f>Github!F$1998</f>
        <v>309</v>
      </c>
      <c r="D1559" s="17">
        <f>Github!G$1998</f>
        <v>51</v>
      </c>
      <c r="E1559" s="17">
        <f>Github!F$1998+Github!G$1998</f>
        <v>360</v>
      </c>
      <c r="F1559" s="18">
        <f t="shared" si="1"/>
        <v>6.06</v>
      </c>
      <c r="G1559" s="17" t="str">
        <f>Github!H$1998</f>
        <v>Algorithms</v>
      </c>
      <c r="H1559" s="19" t="str">
        <f>SUBSTITUTE(Github!L$1998, ";", ", ")</f>
        <v>Array, Dynamic Programming, </v>
      </c>
      <c r="I1559" s="17" t="str">
        <f>Github!E$1998</f>
        <v>Medium</v>
      </c>
      <c r="J1559" s="17" t="str">
        <f>IF(TRIM(Github!D$1998)="TRUE","FALSE","TRUE")</f>
        <v>TRUE</v>
      </c>
      <c r="K1559" s="17" t="b">
        <f>Github!M$1998</f>
        <v>0</v>
      </c>
      <c r="L1559" s="17" t="b">
        <f>Github!N$1998</f>
        <v>0</v>
      </c>
      <c r="M1559" s="17" t="str">
        <f>ROUND(Github!O$1998, 2)&amp;"%"</f>
        <v>35.22%</v>
      </c>
      <c r="N1559" s="17">
        <f>Github!P$1998</f>
        <v>5402</v>
      </c>
      <c r="O1559" s="17">
        <f>Github!Q$1998</f>
        <v>15337</v>
      </c>
    </row>
    <row r="1560" ht="18.0" customHeight="1">
      <c r="A1560" s="17">
        <f>Github!J$1592</f>
        <v>1591</v>
      </c>
      <c r="B1560" s="27" t="str">
        <f>HYPERLINK(CONCAT("http://leetcode.com/problems/",Github!C$1592), Github!B$1592)</f>
        <v>Strange Printer II</v>
      </c>
      <c r="C1560" s="17">
        <f>Github!F$1592</f>
        <v>308</v>
      </c>
      <c r="D1560" s="17">
        <f>Github!G$1592</f>
        <v>9</v>
      </c>
      <c r="E1560" s="17">
        <f>Github!F$1592+Github!G$1592</f>
        <v>317</v>
      </c>
      <c r="F1560" s="18">
        <f t="shared" si="1"/>
        <v>34.22</v>
      </c>
      <c r="G1560" s="17" t="str">
        <f>Github!H$1592</f>
        <v>Algorithms</v>
      </c>
      <c r="H1560" s="19" t="str">
        <f>SUBSTITUTE(Github!L$1592, ";", ", ")</f>
        <v>Array, Graph, Topological Sort, Matrix, </v>
      </c>
      <c r="I1560" s="17" t="str">
        <f>Github!E$1592</f>
        <v>Hard</v>
      </c>
      <c r="J1560" s="17" t="str">
        <f>IF(TRIM(Github!D$1592)="TRUE","FALSE","TRUE")</f>
        <v>TRUE</v>
      </c>
      <c r="K1560" s="17" t="b">
        <f>Github!M$1592</f>
        <v>0</v>
      </c>
      <c r="L1560" s="17" t="b">
        <f>Github!N$1592</f>
        <v>0</v>
      </c>
      <c r="M1560" s="17" t="str">
        <f>ROUND(Github!O$1592, 2)&amp;"%"</f>
        <v>56.16%</v>
      </c>
      <c r="N1560" s="17">
        <f>Github!P$1592</f>
        <v>5629</v>
      </c>
      <c r="O1560" s="17">
        <f>Github!Q$1592</f>
        <v>10024</v>
      </c>
    </row>
    <row r="1561" ht="18.0" customHeight="1">
      <c r="A1561" s="17">
        <f>Github!J$1780</f>
        <v>1779</v>
      </c>
      <c r="B1561" s="27" t="str">
        <f>HYPERLINK(CONCAT("http://leetcode.com/problems/",Github!C$1780), Github!B$1780)</f>
        <v>Find Nearest Point That Has the Same X or Y Coordinate</v>
      </c>
      <c r="C1561" s="17">
        <f>Github!F$1780</f>
        <v>311</v>
      </c>
      <c r="D1561" s="17">
        <f>Github!G$1780</f>
        <v>49</v>
      </c>
      <c r="E1561" s="17">
        <f>Github!F$1780+Github!G$1780</f>
        <v>360</v>
      </c>
      <c r="F1561" s="18">
        <f t="shared" si="1"/>
        <v>6.35</v>
      </c>
      <c r="G1561" s="17" t="str">
        <f>Github!H$1780</f>
        <v>Algorithms</v>
      </c>
      <c r="H1561" s="19" t="str">
        <f>SUBSTITUTE(Github!L$1780, ";", ", ")</f>
        <v>Array, </v>
      </c>
      <c r="I1561" s="17" t="str">
        <f>Github!E$1780</f>
        <v>Easy</v>
      </c>
      <c r="J1561" s="17" t="str">
        <f>IF(TRIM(Github!D$1780)="TRUE","FALSE","TRUE")</f>
        <v>TRUE</v>
      </c>
      <c r="K1561" s="17" t="b">
        <f>Github!M$1780</f>
        <v>0</v>
      </c>
      <c r="L1561" s="17" t="b">
        <f>Github!N$1780</f>
        <v>0</v>
      </c>
      <c r="M1561" s="17" t="str">
        <f>ROUND(Github!O$1780, 2)&amp;"%"</f>
        <v>68.44%</v>
      </c>
      <c r="N1561" s="17">
        <f>Github!P$1780</f>
        <v>34710</v>
      </c>
      <c r="O1561" s="17">
        <f>Github!Q$1780</f>
        <v>50719</v>
      </c>
    </row>
    <row r="1562" ht="18.0" customHeight="1">
      <c r="A1562" s="17">
        <f>Github!J$1892</f>
        <v>1891</v>
      </c>
      <c r="B1562" s="27" t="str">
        <f>HYPERLINK(CONCAT("http://leetcode.com/problems/",Github!C$1892), Github!B$1892)</f>
        <v>Cutting Ribbons</v>
      </c>
      <c r="C1562" s="17">
        <f>Github!F$1892</f>
        <v>310</v>
      </c>
      <c r="D1562" s="17">
        <f>Github!G$1892</f>
        <v>17</v>
      </c>
      <c r="E1562" s="17">
        <f>Github!F$1892+Github!G$1892</f>
        <v>327</v>
      </c>
      <c r="F1562" s="18">
        <f t="shared" si="1"/>
        <v>18.24</v>
      </c>
      <c r="G1562" s="17" t="str">
        <f>Github!H$1892</f>
        <v>Algorithms</v>
      </c>
      <c r="H1562" s="19" t="str">
        <f>SUBSTITUTE(Github!L$1892, ";", ", ")</f>
        <v>Array, Binary Search, </v>
      </c>
      <c r="I1562" s="17" t="str">
        <f>Github!E$1892</f>
        <v>Medium</v>
      </c>
      <c r="J1562" s="17" t="str">
        <f>IF(TRIM(Github!D$1892)="TRUE","FALSE","TRUE")</f>
        <v>FALSE</v>
      </c>
      <c r="K1562" s="17" t="b">
        <f>Github!M$1892</f>
        <v>0</v>
      </c>
      <c r="L1562" s="17" t="b">
        <f>Github!N$1892</f>
        <v>0</v>
      </c>
      <c r="M1562" s="17" t="str">
        <f>ROUND(Github!O$1892, 2)&amp;"%"</f>
        <v>48.45%</v>
      </c>
      <c r="N1562" s="17">
        <f>Github!P$1892</f>
        <v>30004</v>
      </c>
      <c r="O1562" s="17">
        <f>Github!Q$1892</f>
        <v>61922</v>
      </c>
    </row>
    <row r="1563" ht="18.0" customHeight="1">
      <c r="A1563" s="17">
        <f>Github!J$867</f>
        <v>866</v>
      </c>
      <c r="B1563" s="27" t="str">
        <f>HYPERLINK(CONCAT("http://leetcode.com/problems/",Github!C$867), Github!B$867)</f>
        <v>Prime Palindrome</v>
      </c>
      <c r="C1563" s="17">
        <f>Github!F$867</f>
        <v>307</v>
      </c>
      <c r="D1563" s="17">
        <f>Github!G$867</f>
        <v>701</v>
      </c>
      <c r="E1563" s="17">
        <f>Github!F$867+Github!G$867</f>
        <v>1008</v>
      </c>
      <c r="F1563" s="18">
        <f t="shared" si="1"/>
        <v>0.44</v>
      </c>
      <c r="G1563" s="17" t="str">
        <f>Github!H$867</f>
        <v>Algorithms</v>
      </c>
      <c r="H1563" s="19" t="str">
        <f>SUBSTITUTE(Github!L$867, ";", ", ")</f>
        <v>Math, </v>
      </c>
      <c r="I1563" s="17" t="str">
        <f>Github!E$867</f>
        <v>Medium</v>
      </c>
      <c r="J1563" s="17" t="str">
        <f>IF(TRIM(Github!D$867)="TRUE","FALSE","TRUE")</f>
        <v>TRUE</v>
      </c>
      <c r="K1563" s="17" t="b">
        <f>Github!M$867</f>
        <v>1</v>
      </c>
      <c r="L1563" s="17" t="b">
        <f>Github!N$867</f>
        <v>0</v>
      </c>
      <c r="M1563" s="17" t="str">
        <f>ROUND(Github!O$867, 2)&amp;"%"</f>
        <v>25.53%</v>
      </c>
      <c r="N1563" s="17">
        <f>Github!P$867</f>
        <v>24707</v>
      </c>
      <c r="O1563" s="17">
        <f>Github!Q$867</f>
        <v>96765</v>
      </c>
    </row>
    <row r="1564" ht="18.0" customHeight="1">
      <c r="A1564" s="17">
        <f>Github!J$1622</f>
        <v>1621</v>
      </c>
      <c r="B1564" s="27" t="str">
        <f>HYPERLINK(CONCAT("http://leetcode.com/problems/",Github!C$1622), Github!B$1622)</f>
        <v>Number of Sets of K Non-Overlapping Line Segments</v>
      </c>
      <c r="C1564" s="17">
        <f>Github!F$1622</f>
        <v>306</v>
      </c>
      <c r="D1564" s="17">
        <f>Github!G$1622</f>
        <v>33</v>
      </c>
      <c r="E1564" s="17">
        <f>Github!F$1622+Github!G$1622</f>
        <v>339</v>
      </c>
      <c r="F1564" s="18">
        <f t="shared" si="1"/>
        <v>9.27</v>
      </c>
      <c r="G1564" s="17" t="str">
        <f>Github!H$1622</f>
        <v>Algorithms</v>
      </c>
      <c r="H1564" s="19" t="str">
        <f>SUBSTITUTE(Github!L$1622, ";", ", ")</f>
        <v>Math, Dynamic Programming, </v>
      </c>
      <c r="I1564" s="17" t="str">
        <f>Github!E$1622</f>
        <v>Medium</v>
      </c>
      <c r="J1564" s="17" t="str">
        <f>IF(TRIM(Github!D$1622)="TRUE","FALSE","TRUE")</f>
        <v>TRUE</v>
      </c>
      <c r="K1564" s="17" t="b">
        <f>Github!M$1622</f>
        <v>0</v>
      </c>
      <c r="L1564" s="17" t="b">
        <f>Github!N$1622</f>
        <v>0</v>
      </c>
      <c r="M1564" s="17" t="str">
        <f>ROUND(Github!O$1622, 2)&amp;"%"</f>
        <v>42.47%</v>
      </c>
      <c r="N1564" s="17">
        <f>Github!P$1622</f>
        <v>6500</v>
      </c>
      <c r="O1564" s="17">
        <f>Github!Q$1622</f>
        <v>15306</v>
      </c>
    </row>
    <row r="1565" ht="18.0" customHeight="1">
      <c r="A1565" s="17">
        <f>Github!J$1881</f>
        <v>1880</v>
      </c>
      <c r="B1565" s="27" t="str">
        <f>HYPERLINK(CONCAT("http://leetcode.com/problems/",Github!C$1881), Github!B$1881)</f>
        <v>Check if Word Equals Summation of Two Words</v>
      </c>
      <c r="C1565" s="17">
        <f>Github!F$1881</f>
        <v>306</v>
      </c>
      <c r="D1565" s="17">
        <f>Github!G$1881</f>
        <v>18</v>
      </c>
      <c r="E1565" s="17">
        <f>Github!F$1881+Github!G$1881</f>
        <v>324</v>
      </c>
      <c r="F1565" s="18">
        <f t="shared" si="1"/>
        <v>17</v>
      </c>
      <c r="G1565" s="17" t="str">
        <f>Github!H$1881</f>
        <v>Algorithms</v>
      </c>
      <c r="H1565" s="19" t="str">
        <f>SUBSTITUTE(Github!L$1881, ";", ", ")</f>
        <v>String, </v>
      </c>
      <c r="I1565" s="17" t="str">
        <f>Github!E$1881</f>
        <v>Easy</v>
      </c>
      <c r="J1565" s="17" t="str">
        <f>IF(TRIM(Github!D$1881)="TRUE","FALSE","TRUE")</f>
        <v>TRUE</v>
      </c>
      <c r="K1565" s="17" t="b">
        <f>Github!M$1881</f>
        <v>0</v>
      </c>
      <c r="L1565" s="17" t="b">
        <f>Github!N$1881</f>
        <v>0</v>
      </c>
      <c r="M1565" s="17" t="str">
        <f>ROUND(Github!O$1881, 2)&amp;"%"</f>
        <v>73.11%</v>
      </c>
      <c r="N1565" s="17">
        <f>Github!P$1881</f>
        <v>37750</v>
      </c>
      <c r="O1565" s="17">
        <f>Github!Q$1881</f>
        <v>51637</v>
      </c>
    </row>
    <row r="1566" ht="18.0" customHeight="1">
      <c r="A1566" s="17">
        <f>Github!J$574</f>
        <v>573</v>
      </c>
      <c r="B1566" s="27" t="str">
        <f>HYPERLINK(CONCAT("http://leetcode.com/problems/",Github!C$574), Github!B$574)</f>
        <v>Squirrel Simulation</v>
      </c>
      <c r="C1566" s="17">
        <f>Github!F$574</f>
        <v>304</v>
      </c>
      <c r="D1566" s="17">
        <f>Github!G$574</f>
        <v>32</v>
      </c>
      <c r="E1566" s="17">
        <f>Github!F$574+Github!G$574</f>
        <v>336</v>
      </c>
      <c r="F1566" s="18">
        <f t="shared" si="1"/>
        <v>9.5</v>
      </c>
      <c r="G1566" s="17" t="str">
        <f>Github!H$574</f>
        <v>Algorithms</v>
      </c>
      <c r="H1566" s="19" t="str">
        <f>SUBSTITUTE(Github!L$574, ";", ", ")</f>
        <v>Array, Math, </v>
      </c>
      <c r="I1566" s="17" t="str">
        <f>Github!E$574</f>
        <v>Medium</v>
      </c>
      <c r="J1566" s="17" t="str">
        <f>IF(TRIM(Github!D$574)="TRUE","FALSE","TRUE")</f>
        <v>FALSE</v>
      </c>
      <c r="K1566" s="17" t="b">
        <f>Github!M$574</f>
        <v>1</v>
      </c>
      <c r="L1566" s="17" t="b">
        <f>Github!N$574</f>
        <v>0</v>
      </c>
      <c r="M1566" s="17" t="str">
        <f>ROUND(Github!O$574, 2)&amp;"%"</f>
        <v>54.65%</v>
      </c>
      <c r="N1566" s="17">
        <f>Github!P$574</f>
        <v>16828</v>
      </c>
      <c r="O1566" s="17">
        <f>Github!Q$574</f>
        <v>30790</v>
      </c>
    </row>
    <row r="1567" ht="18.0" customHeight="1">
      <c r="A1567" s="17">
        <f>Github!J$2164</f>
        <v>2163</v>
      </c>
      <c r="B1567" s="27" t="str">
        <f>HYPERLINK(CONCAT("http://leetcode.com/problems/",Github!C$2164), Github!B$2164)</f>
        <v>Minimum Difference in Sums After Removal of Elements</v>
      </c>
      <c r="C1567" s="17">
        <f>Github!F$2164</f>
        <v>304</v>
      </c>
      <c r="D1567" s="17">
        <f>Github!G$2164</f>
        <v>5</v>
      </c>
      <c r="E1567" s="17">
        <f>Github!F$2164+Github!G$2164</f>
        <v>309</v>
      </c>
      <c r="F1567" s="18">
        <f t="shared" si="1"/>
        <v>60.8</v>
      </c>
      <c r="G1567" s="17" t="str">
        <f>Github!H$2164</f>
        <v>Algorithms</v>
      </c>
      <c r="H1567" s="19" t="str">
        <f>SUBSTITUTE(Github!L$2164, ";", ", ")</f>
        <v>Array, Dynamic Programming, Heap (Priority Queue), </v>
      </c>
      <c r="I1567" s="17" t="str">
        <f>Github!E$2164</f>
        <v>Hard</v>
      </c>
      <c r="J1567" s="17" t="str">
        <f>IF(TRIM(Github!D$2164)="TRUE","FALSE","TRUE")</f>
        <v>TRUE</v>
      </c>
      <c r="K1567" s="17" t="b">
        <f>Github!M$2164</f>
        <v>0</v>
      </c>
      <c r="L1567" s="17" t="b">
        <f>Github!N$2164</f>
        <v>0</v>
      </c>
      <c r="M1567" s="17" t="str">
        <f>ROUND(Github!O$2164, 2)&amp;"%"</f>
        <v>45.55%</v>
      </c>
      <c r="N1567" s="17">
        <f>Github!P$2164</f>
        <v>4294</v>
      </c>
      <c r="O1567" s="17">
        <f>Github!Q$2164</f>
        <v>9427</v>
      </c>
    </row>
    <row r="1568" ht="18.0" customHeight="1">
      <c r="A1568" s="17">
        <f>Github!J$1302</f>
        <v>1301</v>
      </c>
      <c r="B1568" s="27" t="str">
        <f>HYPERLINK(CONCAT("http://leetcode.com/problems/",Github!C$1302), Github!B$1302)</f>
        <v>Number of Paths with Max Score</v>
      </c>
      <c r="C1568" s="17">
        <f>Github!F$1302</f>
        <v>303</v>
      </c>
      <c r="D1568" s="17">
        <f>Github!G$1302</f>
        <v>15</v>
      </c>
      <c r="E1568" s="17">
        <f>Github!F$1302+Github!G$1302</f>
        <v>318</v>
      </c>
      <c r="F1568" s="18">
        <f t="shared" si="1"/>
        <v>20.2</v>
      </c>
      <c r="G1568" s="17" t="str">
        <f>Github!H$1302</f>
        <v>Algorithms</v>
      </c>
      <c r="H1568" s="19" t="str">
        <f>SUBSTITUTE(Github!L$1302, ";", ", ")</f>
        <v>Array, Dynamic Programming, Matrix, </v>
      </c>
      <c r="I1568" s="17" t="str">
        <f>Github!E$1302</f>
        <v>Hard</v>
      </c>
      <c r="J1568" s="17" t="str">
        <f>IF(TRIM(Github!D$1302)="TRUE","FALSE","TRUE")</f>
        <v>TRUE</v>
      </c>
      <c r="K1568" s="17" t="b">
        <f>Github!M$1302</f>
        <v>0</v>
      </c>
      <c r="L1568" s="17" t="b">
        <f>Github!N$1302</f>
        <v>0</v>
      </c>
      <c r="M1568" s="17" t="str">
        <f>ROUND(Github!O$1302, 2)&amp;"%"</f>
        <v>38.73%</v>
      </c>
      <c r="N1568" s="17">
        <f>Github!P$1302</f>
        <v>8869</v>
      </c>
      <c r="O1568" s="17">
        <f>Github!Q$1302</f>
        <v>22900</v>
      </c>
    </row>
    <row r="1569" ht="18.0" customHeight="1">
      <c r="A1569" s="17">
        <f>Github!J$1848</f>
        <v>1847</v>
      </c>
      <c r="B1569" s="27" t="str">
        <f>HYPERLINK(CONCAT("http://leetcode.com/problems/",Github!C$1848), Github!B$1848)</f>
        <v>Closest Room</v>
      </c>
      <c r="C1569" s="17">
        <f>Github!F$1848</f>
        <v>303</v>
      </c>
      <c r="D1569" s="17">
        <f>Github!G$1848</f>
        <v>12</v>
      </c>
      <c r="E1569" s="17">
        <f>Github!F$1848+Github!G$1848</f>
        <v>315</v>
      </c>
      <c r="F1569" s="18">
        <f t="shared" si="1"/>
        <v>25.25</v>
      </c>
      <c r="G1569" s="17" t="str">
        <f>Github!H$1848</f>
        <v>Algorithms</v>
      </c>
      <c r="H1569" s="19" t="str">
        <f>SUBSTITUTE(Github!L$1848, ";", ", ")</f>
        <v>Array, Binary Search, Sorting, </v>
      </c>
      <c r="I1569" s="17" t="str">
        <f>Github!E$1848</f>
        <v>Hard</v>
      </c>
      <c r="J1569" s="17" t="str">
        <f>IF(TRIM(Github!D$1848)="TRUE","FALSE","TRUE")</f>
        <v>TRUE</v>
      </c>
      <c r="K1569" s="17" t="b">
        <f>Github!M$1848</f>
        <v>0</v>
      </c>
      <c r="L1569" s="17" t="b">
        <f>Github!N$1848</f>
        <v>0</v>
      </c>
      <c r="M1569" s="17" t="str">
        <f>ROUND(Github!O$1848, 2)&amp;"%"</f>
        <v>32.92%</v>
      </c>
      <c r="N1569" s="17">
        <f>Github!P$1848</f>
        <v>5189</v>
      </c>
      <c r="O1569" s="17">
        <f>Github!Q$1848</f>
        <v>15763</v>
      </c>
    </row>
    <row r="1570" ht="18.0" customHeight="1">
      <c r="A1570" s="17">
        <f>Github!J$1629</f>
        <v>1628</v>
      </c>
      <c r="B1570" s="27" t="str">
        <f>HYPERLINK(CONCAT("http://leetcode.com/problems/",Github!C$1629), Github!B$1629)</f>
        <v>Design an Expression Tree With Evaluate Function</v>
      </c>
      <c r="C1570" s="17">
        <f>Github!F$1629</f>
        <v>302</v>
      </c>
      <c r="D1570" s="17">
        <f>Github!G$1629</f>
        <v>48</v>
      </c>
      <c r="E1570" s="17">
        <f>Github!F$1629+Github!G$1629</f>
        <v>350</v>
      </c>
      <c r="F1570" s="18">
        <f t="shared" si="1"/>
        <v>6.29</v>
      </c>
      <c r="G1570" s="17" t="str">
        <f>Github!H$1629</f>
        <v>Algorithms</v>
      </c>
      <c r="H1570" s="19" t="str">
        <f>SUBSTITUTE(Github!L$1629, ";", ", ")</f>
        <v>Math, Stack, Tree, Design, Binary Tree, </v>
      </c>
      <c r="I1570" s="17" t="str">
        <f>Github!E$1629</f>
        <v>Medium</v>
      </c>
      <c r="J1570" s="17" t="str">
        <f>IF(TRIM(Github!D$1629)="TRUE","FALSE","TRUE")</f>
        <v>FALSE</v>
      </c>
      <c r="K1570" s="17" t="b">
        <f>Github!M$1629</f>
        <v>0</v>
      </c>
      <c r="L1570" s="17" t="b">
        <f>Github!N$1629</f>
        <v>0</v>
      </c>
      <c r="M1570" s="17" t="str">
        <f>ROUND(Github!O$1629, 2)&amp;"%"</f>
        <v>81.52%</v>
      </c>
      <c r="N1570" s="17">
        <f>Github!P$1629</f>
        <v>13997</v>
      </c>
      <c r="O1570" s="17">
        <f>Github!Q$1629</f>
        <v>17171</v>
      </c>
    </row>
    <row r="1571" ht="18.0" customHeight="1">
      <c r="A1571" s="17">
        <f>Github!J$1628</f>
        <v>1627</v>
      </c>
      <c r="B1571" s="27" t="str">
        <f>HYPERLINK(CONCAT("http://leetcode.com/problems/",Github!C$1628), Github!B$1628)</f>
        <v>Graph Connectivity With Threshold</v>
      </c>
      <c r="C1571" s="17">
        <f>Github!F$1628</f>
        <v>301</v>
      </c>
      <c r="D1571" s="17">
        <f>Github!G$1628</f>
        <v>23</v>
      </c>
      <c r="E1571" s="17">
        <f>Github!F$1628+Github!G$1628</f>
        <v>324</v>
      </c>
      <c r="F1571" s="18">
        <f t="shared" si="1"/>
        <v>13.09</v>
      </c>
      <c r="G1571" s="17" t="str">
        <f>Github!H$1628</f>
        <v>Algorithms</v>
      </c>
      <c r="H1571" s="19" t="str">
        <f>SUBSTITUTE(Github!L$1628, ";", ", ")</f>
        <v>Array, Math, Union Find, </v>
      </c>
      <c r="I1571" s="17" t="str">
        <f>Github!E$1628</f>
        <v>Hard</v>
      </c>
      <c r="J1571" s="17" t="str">
        <f>IF(TRIM(Github!D$1628)="TRUE","FALSE","TRUE")</f>
        <v>TRUE</v>
      </c>
      <c r="K1571" s="17" t="b">
        <f>Github!M$1628</f>
        <v>0</v>
      </c>
      <c r="L1571" s="17" t="b">
        <f>Github!N$1628</f>
        <v>0</v>
      </c>
      <c r="M1571" s="17" t="str">
        <f>ROUND(Github!O$1628, 2)&amp;"%"</f>
        <v>44.08%</v>
      </c>
      <c r="N1571" s="17">
        <f>Github!P$1628</f>
        <v>9651</v>
      </c>
      <c r="O1571" s="17">
        <f>Github!Q$1628</f>
        <v>21896</v>
      </c>
    </row>
    <row r="1572" ht="18.0" customHeight="1">
      <c r="A1572" s="17">
        <f>Github!J$1703</f>
        <v>1702</v>
      </c>
      <c r="B1572" s="27" t="str">
        <f>HYPERLINK(CONCAT("http://leetcode.com/problems/",Github!C$1703), Github!B$1703)</f>
        <v>Maximum Binary String After Change</v>
      </c>
      <c r="C1572" s="17">
        <f>Github!F$1703</f>
        <v>300</v>
      </c>
      <c r="D1572" s="17">
        <f>Github!G$1703</f>
        <v>36</v>
      </c>
      <c r="E1572" s="17">
        <f>Github!F$1703+Github!G$1703</f>
        <v>336</v>
      </c>
      <c r="F1572" s="18">
        <f t="shared" si="1"/>
        <v>8.33</v>
      </c>
      <c r="G1572" s="17" t="str">
        <f>Github!H$1703</f>
        <v>Algorithms</v>
      </c>
      <c r="H1572" s="19" t="str">
        <f>SUBSTITUTE(Github!L$1703, ";", ", ")</f>
        <v>String, Greedy, </v>
      </c>
      <c r="I1572" s="17" t="str">
        <f>Github!E$1703</f>
        <v>Medium</v>
      </c>
      <c r="J1572" s="17" t="str">
        <f>IF(TRIM(Github!D$1703)="TRUE","FALSE","TRUE")</f>
        <v>TRUE</v>
      </c>
      <c r="K1572" s="17" t="b">
        <f>Github!M$1703</f>
        <v>0</v>
      </c>
      <c r="L1572" s="17" t="b">
        <f>Github!N$1703</f>
        <v>0</v>
      </c>
      <c r="M1572" s="17" t="str">
        <f>ROUND(Github!O$1703, 2)&amp;"%"</f>
        <v>45.07%</v>
      </c>
      <c r="N1572" s="17">
        <f>Github!P$1703</f>
        <v>8237</v>
      </c>
      <c r="O1572" s="17">
        <f>Github!Q$1703</f>
        <v>18276</v>
      </c>
    </row>
    <row r="1573" ht="18.0" customHeight="1">
      <c r="A1573" s="17">
        <f>Github!J$1806</f>
        <v>1805</v>
      </c>
      <c r="B1573" s="27" t="str">
        <f>HYPERLINK(CONCAT("http://leetcode.com/problems/",Github!C$1806), Github!B$1806)</f>
        <v>Number of Different Integers in a String</v>
      </c>
      <c r="C1573" s="17">
        <f>Github!F$1806</f>
        <v>300</v>
      </c>
      <c r="D1573" s="17">
        <f>Github!G$1806</f>
        <v>54</v>
      </c>
      <c r="E1573" s="17">
        <f>Github!F$1806+Github!G$1806</f>
        <v>354</v>
      </c>
      <c r="F1573" s="18">
        <f t="shared" si="1"/>
        <v>5.56</v>
      </c>
      <c r="G1573" s="17" t="str">
        <f>Github!H$1806</f>
        <v>Algorithms</v>
      </c>
      <c r="H1573" s="19" t="str">
        <f>SUBSTITUTE(Github!L$1806, ";", ", ")</f>
        <v>Hash Table, String, </v>
      </c>
      <c r="I1573" s="17" t="str">
        <f>Github!E$1806</f>
        <v>Easy</v>
      </c>
      <c r="J1573" s="17" t="str">
        <f>IF(TRIM(Github!D$1806)="TRUE","FALSE","TRUE")</f>
        <v>TRUE</v>
      </c>
      <c r="K1573" s="17" t="b">
        <f>Github!M$1806</f>
        <v>0</v>
      </c>
      <c r="L1573" s="17" t="b">
        <f>Github!N$1806</f>
        <v>0</v>
      </c>
      <c r="M1573" s="17" t="str">
        <f>ROUND(Github!O$1806, 2)&amp;"%"</f>
        <v>35.48%</v>
      </c>
      <c r="N1573" s="17">
        <f>Github!P$1806</f>
        <v>24112</v>
      </c>
      <c r="O1573" s="17">
        <f>Github!Q$1806</f>
        <v>67960</v>
      </c>
    </row>
    <row r="1574" ht="18.0" customHeight="1">
      <c r="A1574" s="17">
        <f>Github!J$1850</f>
        <v>1849</v>
      </c>
      <c r="B1574" s="27" t="str">
        <f>HYPERLINK(CONCAT("http://leetcode.com/problems/",Github!C$1850), Github!B$1850)</f>
        <v>Splitting a String Into Descending Consecutive Values</v>
      </c>
      <c r="C1574" s="17">
        <f>Github!F$1850</f>
        <v>299</v>
      </c>
      <c r="D1574" s="17">
        <f>Github!G$1850</f>
        <v>79</v>
      </c>
      <c r="E1574" s="17">
        <f>Github!F$1850+Github!G$1850</f>
        <v>378</v>
      </c>
      <c r="F1574" s="18">
        <f t="shared" si="1"/>
        <v>3.78</v>
      </c>
      <c r="G1574" s="17" t="str">
        <f>Github!H$1850</f>
        <v>Algorithms</v>
      </c>
      <c r="H1574" s="19" t="str">
        <f>SUBSTITUTE(Github!L$1850, ";", ", ")</f>
        <v>String, Backtracking, </v>
      </c>
      <c r="I1574" s="17" t="str">
        <f>Github!E$1850</f>
        <v>Medium</v>
      </c>
      <c r="J1574" s="17" t="str">
        <f>IF(TRIM(Github!D$1850)="TRUE","FALSE","TRUE")</f>
        <v>TRUE</v>
      </c>
      <c r="K1574" s="17" t="b">
        <f>Github!M$1850</f>
        <v>0</v>
      </c>
      <c r="L1574" s="17" t="b">
        <f>Github!N$1850</f>
        <v>0</v>
      </c>
      <c r="M1574" s="17" t="str">
        <f>ROUND(Github!O$1850, 2)&amp;"%"</f>
        <v>30.9%</v>
      </c>
      <c r="N1574" s="17">
        <f>Github!P$1850</f>
        <v>13422</v>
      </c>
      <c r="O1574" s="17">
        <f>Github!Q$1850</f>
        <v>43431</v>
      </c>
    </row>
    <row r="1575" ht="18.0" customHeight="1">
      <c r="A1575" s="17">
        <f>Github!J$1975</f>
        <v>1974</v>
      </c>
      <c r="B1575" s="27" t="str">
        <f>HYPERLINK(CONCAT("http://leetcode.com/problems/",Github!C$1975), Github!B$1975)</f>
        <v>Minimum Time to Type Word Using Special Typewriter</v>
      </c>
      <c r="C1575" s="17">
        <f>Github!F$1975</f>
        <v>299</v>
      </c>
      <c r="D1575" s="17">
        <f>Github!G$1975</f>
        <v>14</v>
      </c>
      <c r="E1575" s="17">
        <f>Github!F$1975+Github!G$1975</f>
        <v>313</v>
      </c>
      <c r="F1575" s="18">
        <f t="shared" si="1"/>
        <v>21.36</v>
      </c>
      <c r="G1575" s="17" t="str">
        <f>Github!H$1975</f>
        <v>Algorithms</v>
      </c>
      <c r="H1575" s="19" t="str">
        <f>SUBSTITUTE(Github!L$1975, ";", ", ")</f>
        <v>String, Greedy, </v>
      </c>
      <c r="I1575" s="17" t="str">
        <f>Github!E$1975</f>
        <v>Easy</v>
      </c>
      <c r="J1575" s="17" t="str">
        <f>IF(TRIM(Github!D$1975)="TRUE","FALSE","TRUE")</f>
        <v>TRUE</v>
      </c>
      <c r="K1575" s="17" t="b">
        <f>Github!M$1975</f>
        <v>0</v>
      </c>
      <c r="L1575" s="17" t="b">
        <f>Github!N$1975</f>
        <v>0</v>
      </c>
      <c r="M1575" s="17" t="str">
        <f>ROUND(Github!O$1975, 2)&amp;"%"</f>
        <v>71.9%</v>
      </c>
      <c r="N1575" s="17">
        <f>Github!P$1975</f>
        <v>17704</v>
      </c>
      <c r="O1575" s="17">
        <f>Github!Q$1975</f>
        <v>24623</v>
      </c>
    </row>
    <row r="1576" ht="18.0" customHeight="1">
      <c r="A1576" s="17">
        <f>Github!J$2046</f>
        <v>2045</v>
      </c>
      <c r="B1576" s="27" t="str">
        <f>HYPERLINK(CONCAT("http://leetcode.com/problems/",Github!C$2046), Github!B$2046)</f>
        <v>Second Minimum Time to Reach Destination</v>
      </c>
      <c r="C1576" s="17">
        <f>Github!F$2046</f>
        <v>299</v>
      </c>
      <c r="D1576" s="17">
        <f>Github!G$2046</f>
        <v>4</v>
      </c>
      <c r="E1576" s="17">
        <f>Github!F$2046+Github!G$2046</f>
        <v>303</v>
      </c>
      <c r="F1576" s="18">
        <f t="shared" si="1"/>
        <v>74.75</v>
      </c>
      <c r="G1576" s="17" t="str">
        <f>Github!H$2046</f>
        <v>Algorithms</v>
      </c>
      <c r="H1576" s="19" t="str">
        <f>SUBSTITUTE(Github!L$2046, ";", ", ")</f>
        <v>Breadth-First Search, Graph, Shortest Path, </v>
      </c>
      <c r="I1576" s="17" t="str">
        <f>Github!E$2046</f>
        <v>Hard</v>
      </c>
      <c r="J1576" s="17" t="str">
        <f>IF(TRIM(Github!D$2046)="TRUE","FALSE","TRUE")</f>
        <v>TRUE</v>
      </c>
      <c r="K1576" s="17" t="b">
        <f>Github!M$2046</f>
        <v>0</v>
      </c>
      <c r="L1576" s="17" t="b">
        <f>Github!N$2046</f>
        <v>0</v>
      </c>
      <c r="M1576" s="17" t="str">
        <f>ROUND(Github!O$2046, 2)&amp;"%"</f>
        <v>36.37%</v>
      </c>
      <c r="N1576" s="17">
        <f>Github!P$2046</f>
        <v>5549</v>
      </c>
      <c r="O1576" s="17">
        <f>Github!Q$2046</f>
        <v>15256</v>
      </c>
    </row>
    <row r="1577" ht="18.0" customHeight="1">
      <c r="A1577" s="17">
        <f>Github!J$2136</f>
        <v>2135</v>
      </c>
      <c r="B1577" s="27" t="str">
        <f>HYPERLINK(CONCAT("http://leetcode.com/problems/",Github!C$2136), Github!B$2136)</f>
        <v>Count Words Obtained After Adding a Letter</v>
      </c>
      <c r="C1577" s="17">
        <f>Github!F$2136</f>
        <v>301</v>
      </c>
      <c r="D1577" s="17">
        <f>Github!G$2136</f>
        <v>57</v>
      </c>
      <c r="E1577" s="17">
        <f>Github!F$2136+Github!G$2136</f>
        <v>358</v>
      </c>
      <c r="F1577" s="18">
        <f t="shared" si="1"/>
        <v>5.28</v>
      </c>
      <c r="G1577" s="17" t="str">
        <f>Github!H$2136</f>
        <v>Algorithms</v>
      </c>
      <c r="H1577" s="19" t="str">
        <f>SUBSTITUTE(Github!L$2136, ";", ", ")</f>
        <v>Array, Hash Table, String, Bit Manipulation, Sorting, </v>
      </c>
      <c r="I1577" s="17" t="str">
        <f>Github!E$2136</f>
        <v>Medium</v>
      </c>
      <c r="J1577" s="17" t="str">
        <f>IF(TRIM(Github!D$2136)="TRUE","FALSE","TRUE")</f>
        <v>TRUE</v>
      </c>
      <c r="K1577" s="17" t="b">
        <f>Github!M$2136</f>
        <v>0</v>
      </c>
      <c r="L1577" s="17" t="b">
        <f>Github!N$2136</f>
        <v>0</v>
      </c>
      <c r="M1577" s="17" t="str">
        <f>ROUND(Github!O$2136, 2)&amp;"%"</f>
        <v>36.12%</v>
      </c>
      <c r="N1577" s="17">
        <f>Github!P$2136</f>
        <v>11561</v>
      </c>
      <c r="O1577" s="17">
        <f>Github!Q$2136</f>
        <v>32004</v>
      </c>
    </row>
    <row r="1578" ht="18.0" customHeight="1">
      <c r="A1578" s="17">
        <f>Github!J$1506</f>
        <v>1505</v>
      </c>
      <c r="B1578" s="27" t="str">
        <f>HYPERLINK(CONCAT("http://leetcode.com/problems/",Github!C$1506), Github!B$1506)</f>
        <v>Minimum Possible Integer After at Most K Adjacent Swaps On Digits</v>
      </c>
      <c r="C1578" s="17">
        <f>Github!F$1506</f>
        <v>298</v>
      </c>
      <c r="D1578" s="17">
        <f>Github!G$1506</f>
        <v>19</v>
      </c>
      <c r="E1578" s="17">
        <f>Github!F$1506+Github!G$1506</f>
        <v>317</v>
      </c>
      <c r="F1578" s="18">
        <f t="shared" si="1"/>
        <v>15.68</v>
      </c>
      <c r="G1578" s="17" t="str">
        <f>Github!H$1506</f>
        <v>Algorithms</v>
      </c>
      <c r="H1578" s="19" t="str">
        <f>SUBSTITUTE(Github!L$1506, ";", ", ")</f>
        <v>String, Greedy, Binary Indexed Tree, Segment Tree, </v>
      </c>
      <c r="I1578" s="17" t="str">
        <f>Github!E$1506</f>
        <v>Hard</v>
      </c>
      <c r="J1578" s="17" t="str">
        <f>IF(TRIM(Github!D$1506)="TRUE","FALSE","TRUE")</f>
        <v>TRUE</v>
      </c>
      <c r="K1578" s="17" t="b">
        <f>Github!M$1506</f>
        <v>0</v>
      </c>
      <c r="L1578" s="17" t="b">
        <f>Github!N$1506</f>
        <v>0</v>
      </c>
      <c r="M1578" s="17" t="str">
        <f>ROUND(Github!O$1506, 2)&amp;"%"</f>
        <v>37.45%</v>
      </c>
      <c r="N1578" s="17">
        <f>Github!P$1506</f>
        <v>7199</v>
      </c>
      <c r="O1578" s="17">
        <f>Github!Q$1506</f>
        <v>19221</v>
      </c>
    </row>
    <row r="1579" ht="18.0" customHeight="1">
      <c r="A1579" s="17">
        <f>Github!J$907</f>
        <v>906</v>
      </c>
      <c r="B1579" s="27" t="str">
        <f>HYPERLINK(CONCAT("http://leetcode.com/problems/",Github!C$907), Github!B$907)</f>
        <v>Super Palindromes</v>
      </c>
      <c r="C1579" s="17">
        <f>Github!F$907</f>
        <v>297</v>
      </c>
      <c r="D1579" s="17">
        <f>Github!G$907</f>
        <v>374</v>
      </c>
      <c r="E1579" s="17">
        <f>Github!F$907+Github!G$907</f>
        <v>671</v>
      </c>
      <c r="F1579" s="18">
        <f t="shared" si="1"/>
        <v>0.79</v>
      </c>
      <c r="G1579" s="17" t="str">
        <f>Github!H$907</f>
        <v>Algorithms</v>
      </c>
      <c r="H1579" s="19" t="str">
        <f>SUBSTITUTE(Github!L$907, ";", ", ")</f>
        <v>Math, Enumeration, </v>
      </c>
      <c r="I1579" s="17" t="str">
        <f>Github!E$907</f>
        <v>Hard</v>
      </c>
      <c r="J1579" s="17" t="str">
        <f>IF(TRIM(Github!D$907)="TRUE","FALSE","TRUE")</f>
        <v>TRUE</v>
      </c>
      <c r="K1579" s="17" t="b">
        <f>Github!M$907</f>
        <v>1</v>
      </c>
      <c r="L1579" s="17" t="b">
        <f>Github!N$907</f>
        <v>0</v>
      </c>
      <c r="M1579" s="17" t="str">
        <f>ROUND(Github!O$907, 2)&amp;"%"</f>
        <v>39.2%</v>
      </c>
      <c r="N1579" s="17">
        <f>Github!P$907</f>
        <v>21040</v>
      </c>
      <c r="O1579" s="17">
        <f>Github!Q$907</f>
        <v>53664</v>
      </c>
    </row>
    <row r="1580" ht="18.0" customHeight="1">
      <c r="A1580" s="17">
        <f>Github!J$1923</f>
        <v>1922</v>
      </c>
      <c r="B1580" s="27" t="str">
        <f>HYPERLINK(CONCAT("http://leetcode.com/problems/",Github!C$1923), Github!B$1923)</f>
        <v>Count Good Numbers</v>
      </c>
      <c r="C1580" s="17">
        <f>Github!F$1923</f>
        <v>297</v>
      </c>
      <c r="D1580" s="17">
        <f>Github!G$1923</f>
        <v>211</v>
      </c>
      <c r="E1580" s="17">
        <f>Github!F$1923+Github!G$1923</f>
        <v>508</v>
      </c>
      <c r="F1580" s="18">
        <f t="shared" si="1"/>
        <v>1.41</v>
      </c>
      <c r="G1580" s="17" t="str">
        <f>Github!H$1923</f>
        <v>Algorithms</v>
      </c>
      <c r="H1580" s="19" t="str">
        <f>SUBSTITUTE(Github!L$1923, ";", ", ")</f>
        <v>Math, Recursion, </v>
      </c>
      <c r="I1580" s="17" t="str">
        <f>Github!E$1923</f>
        <v>Medium</v>
      </c>
      <c r="J1580" s="17" t="str">
        <f>IF(TRIM(Github!D$1923)="TRUE","FALSE","TRUE")</f>
        <v>TRUE</v>
      </c>
      <c r="K1580" s="17" t="b">
        <f>Github!M$1923</f>
        <v>0</v>
      </c>
      <c r="L1580" s="17" t="b">
        <f>Github!N$1923</f>
        <v>0</v>
      </c>
      <c r="M1580" s="17" t="str">
        <f>ROUND(Github!O$1923, 2)&amp;"%"</f>
        <v>38.33%</v>
      </c>
      <c r="N1580" s="17">
        <f>Github!P$1923</f>
        <v>14279</v>
      </c>
      <c r="O1580" s="17">
        <f>Github!Q$1923</f>
        <v>37257</v>
      </c>
    </row>
    <row r="1581" ht="18.0" customHeight="1">
      <c r="A1581" s="17">
        <f>Github!J$1942</f>
        <v>1941</v>
      </c>
      <c r="B1581" s="27" t="str">
        <f>HYPERLINK(CONCAT("http://leetcode.com/problems/",Github!C$1942), Github!B$1942)</f>
        <v>Check if All Characters Have Equal Number of Occurrences</v>
      </c>
      <c r="C1581" s="17">
        <f>Github!F$1942</f>
        <v>297</v>
      </c>
      <c r="D1581" s="17">
        <f>Github!G$1942</f>
        <v>10</v>
      </c>
      <c r="E1581" s="17">
        <f>Github!F$1942+Github!G$1942</f>
        <v>307</v>
      </c>
      <c r="F1581" s="18">
        <f t="shared" si="1"/>
        <v>29.7</v>
      </c>
      <c r="G1581" s="17" t="str">
        <f>Github!H$1942</f>
        <v>Algorithms</v>
      </c>
      <c r="H1581" s="19" t="str">
        <f>SUBSTITUTE(Github!L$1942, ";", ", ")</f>
        <v>Hash Table, String, Counting, </v>
      </c>
      <c r="I1581" s="17" t="str">
        <f>Github!E$1942</f>
        <v>Easy</v>
      </c>
      <c r="J1581" s="17" t="str">
        <f>IF(TRIM(Github!D$1942)="TRUE","FALSE","TRUE")</f>
        <v>TRUE</v>
      </c>
      <c r="K1581" s="17" t="b">
        <f>Github!M$1942</f>
        <v>0</v>
      </c>
      <c r="L1581" s="17" t="b">
        <f>Github!N$1942</f>
        <v>0</v>
      </c>
      <c r="M1581" s="17" t="str">
        <f>ROUND(Github!O$1942, 2)&amp;"%"</f>
        <v>77.11%</v>
      </c>
      <c r="N1581" s="17">
        <f>Github!P$1942</f>
        <v>30891</v>
      </c>
      <c r="O1581" s="17">
        <f>Github!Q$1942</f>
        <v>40062</v>
      </c>
    </row>
    <row r="1582" ht="18.0" customHeight="1">
      <c r="A1582" s="17">
        <f>Github!J$1386</f>
        <v>1385</v>
      </c>
      <c r="B1582" s="27" t="str">
        <f>HYPERLINK(CONCAT("http://leetcode.com/problems/",Github!C$1386), Github!B$1386)</f>
        <v>Find the Distance Value Between Two Arrays</v>
      </c>
      <c r="C1582" s="17">
        <f>Github!F$1386</f>
        <v>297</v>
      </c>
      <c r="D1582" s="17">
        <f>Github!G$1386</f>
        <v>1162</v>
      </c>
      <c r="E1582" s="17">
        <f>Github!F$1386+Github!G$1386</f>
        <v>1459</v>
      </c>
      <c r="F1582" s="18">
        <f t="shared" si="1"/>
        <v>0.26</v>
      </c>
      <c r="G1582" s="17" t="str">
        <f>Github!H$1386</f>
        <v>Algorithms</v>
      </c>
      <c r="H1582" s="19" t="str">
        <f>SUBSTITUTE(Github!L$1386, ";", ", ")</f>
        <v>Array, Two Pointers, Binary Search, Sorting, </v>
      </c>
      <c r="I1582" s="17" t="str">
        <f>Github!E$1386</f>
        <v>Easy</v>
      </c>
      <c r="J1582" s="17" t="str">
        <f>IF(TRIM(Github!D$1386)="TRUE","FALSE","TRUE")</f>
        <v>TRUE</v>
      </c>
      <c r="K1582" s="17" t="b">
        <f>Github!M$1386</f>
        <v>0</v>
      </c>
      <c r="L1582" s="17" t="b">
        <f>Github!N$1386</f>
        <v>0</v>
      </c>
      <c r="M1582" s="17" t="str">
        <f>ROUND(Github!O$1386, 2)&amp;"%"</f>
        <v>66.11%</v>
      </c>
      <c r="N1582" s="17">
        <f>Github!P$1386</f>
        <v>38332</v>
      </c>
      <c r="O1582" s="17">
        <f>Github!Q$1386</f>
        <v>57979</v>
      </c>
    </row>
    <row r="1583" ht="18.0" customHeight="1">
      <c r="A1583" s="17">
        <f>Github!J$2111</f>
        <v>2110</v>
      </c>
      <c r="B1583" s="27" t="str">
        <f>HYPERLINK(CONCAT("http://leetcode.com/problems/",Github!C$2111), Github!B$2111)</f>
        <v>Number of Smooth Descent Periods of a Stock</v>
      </c>
      <c r="C1583" s="17">
        <f>Github!F$2111</f>
        <v>296</v>
      </c>
      <c r="D1583" s="17">
        <f>Github!G$2111</f>
        <v>10</v>
      </c>
      <c r="E1583" s="17">
        <f>Github!F$2111+Github!G$2111</f>
        <v>306</v>
      </c>
      <c r="F1583" s="18">
        <f t="shared" si="1"/>
        <v>29.6</v>
      </c>
      <c r="G1583" s="17" t="str">
        <f>Github!H$2111</f>
        <v>Algorithms</v>
      </c>
      <c r="H1583" s="19" t="str">
        <f>SUBSTITUTE(Github!L$2111, ";", ", ")</f>
        <v>Array, Math, Dynamic Programming, </v>
      </c>
      <c r="I1583" s="17" t="str">
        <f>Github!E$2111</f>
        <v>Medium</v>
      </c>
      <c r="J1583" s="17" t="str">
        <f>IF(TRIM(Github!D$2111)="TRUE","FALSE","TRUE")</f>
        <v>TRUE</v>
      </c>
      <c r="K1583" s="17" t="b">
        <f>Github!M$2111</f>
        <v>0</v>
      </c>
      <c r="L1583" s="17" t="b">
        <f>Github!N$2111</f>
        <v>0</v>
      </c>
      <c r="M1583" s="17" t="str">
        <f>ROUND(Github!O$2111, 2)&amp;"%"</f>
        <v>54.92%</v>
      </c>
      <c r="N1583" s="17">
        <f>Github!P$2111</f>
        <v>16733</v>
      </c>
      <c r="O1583" s="17">
        <f>Github!Q$2111</f>
        <v>30466</v>
      </c>
    </row>
    <row r="1584" ht="18.0" customHeight="1">
      <c r="A1584" s="17">
        <f>Github!J$593</f>
        <v>592</v>
      </c>
      <c r="B1584" s="27" t="str">
        <f>HYPERLINK(CONCAT("http://leetcode.com/problems/",Github!C$593), Github!B$593)</f>
        <v>Fraction Addition and Subtraction</v>
      </c>
      <c r="C1584" s="17">
        <f>Github!F$593</f>
        <v>295</v>
      </c>
      <c r="D1584" s="17">
        <f>Github!G$593</f>
        <v>428</v>
      </c>
      <c r="E1584" s="17">
        <f>Github!F$593+Github!G$593</f>
        <v>723</v>
      </c>
      <c r="F1584" s="18">
        <f t="shared" si="1"/>
        <v>0.69</v>
      </c>
      <c r="G1584" s="17" t="str">
        <f>Github!H$593</f>
        <v>Algorithms</v>
      </c>
      <c r="H1584" s="19" t="str">
        <f>SUBSTITUTE(Github!L$593, ";", ", ")</f>
        <v>Math, String, Simulation, </v>
      </c>
      <c r="I1584" s="17" t="str">
        <f>Github!E$593</f>
        <v>Medium</v>
      </c>
      <c r="J1584" s="17" t="str">
        <f>IF(TRIM(Github!D$593)="TRUE","FALSE","TRUE")</f>
        <v>TRUE</v>
      </c>
      <c r="K1584" s="17" t="b">
        <f>Github!M$593</f>
        <v>1</v>
      </c>
      <c r="L1584" s="17" t="b">
        <f>Github!N$593</f>
        <v>0</v>
      </c>
      <c r="M1584" s="17" t="str">
        <f>ROUND(Github!O$593, 2)&amp;"%"</f>
        <v>51.61%</v>
      </c>
      <c r="N1584" s="17">
        <f>Github!P$593</f>
        <v>28250</v>
      </c>
      <c r="O1584" s="17">
        <f>Github!Q$593</f>
        <v>54742</v>
      </c>
    </row>
    <row r="1585" ht="18.0" customHeight="1">
      <c r="A1585" s="17">
        <f>Github!J$749</f>
        <v>748</v>
      </c>
      <c r="B1585" s="27" t="str">
        <f>HYPERLINK(CONCAT("http://leetcode.com/problems/",Github!C$749), Github!B$749)</f>
        <v>Shortest Completing Word</v>
      </c>
      <c r="C1585" s="17">
        <f>Github!F$749</f>
        <v>295</v>
      </c>
      <c r="D1585" s="17">
        <f>Github!G$749</f>
        <v>836</v>
      </c>
      <c r="E1585" s="17">
        <f>Github!F$749+Github!G$749</f>
        <v>1131</v>
      </c>
      <c r="F1585" s="18">
        <f t="shared" si="1"/>
        <v>0.35</v>
      </c>
      <c r="G1585" s="17" t="str">
        <f>Github!H$749</f>
        <v>Algorithms</v>
      </c>
      <c r="H1585" s="19" t="str">
        <f>SUBSTITUTE(Github!L$749, ";", ", ")</f>
        <v>Array, Hash Table, String, </v>
      </c>
      <c r="I1585" s="17" t="str">
        <f>Github!E$749</f>
        <v>Easy</v>
      </c>
      <c r="J1585" s="17" t="str">
        <f>IF(TRIM(Github!D$749)="TRUE","FALSE","TRUE")</f>
        <v>TRUE</v>
      </c>
      <c r="K1585" s="17" t="b">
        <f>Github!M$749</f>
        <v>0</v>
      </c>
      <c r="L1585" s="17" t="b">
        <f>Github!N$749</f>
        <v>0</v>
      </c>
      <c r="M1585" s="17" t="str">
        <f>ROUND(Github!O$749, 2)&amp;"%"</f>
        <v>58.76%</v>
      </c>
      <c r="N1585" s="17">
        <f>Github!P$749</f>
        <v>48389</v>
      </c>
      <c r="O1585" s="17">
        <f>Github!Q$749</f>
        <v>82357</v>
      </c>
    </row>
    <row r="1586" ht="18.0" customHeight="1">
      <c r="A1586" s="17">
        <f>Github!J$1928</f>
        <v>1927</v>
      </c>
      <c r="B1586" s="27" t="str">
        <f>HYPERLINK(CONCAT("http://leetcode.com/problems/",Github!C$1928), Github!B$1928)</f>
        <v>Sum Game</v>
      </c>
      <c r="C1586" s="17">
        <f>Github!F$1928</f>
        <v>295</v>
      </c>
      <c r="D1586" s="17">
        <f>Github!G$1928</f>
        <v>42</v>
      </c>
      <c r="E1586" s="17">
        <f>Github!F$1928+Github!G$1928</f>
        <v>337</v>
      </c>
      <c r="F1586" s="18">
        <f t="shared" si="1"/>
        <v>7.02</v>
      </c>
      <c r="G1586" s="17" t="str">
        <f>Github!H$1928</f>
        <v>Algorithms</v>
      </c>
      <c r="H1586" s="19" t="str">
        <f>SUBSTITUTE(Github!L$1928, ";", ", ")</f>
        <v>Math, Greedy, Game Theory, </v>
      </c>
      <c r="I1586" s="17" t="str">
        <f>Github!E$1928</f>
        <v>Medium</v>
      </c>
      <c r="J1586" s="17" t="str">
        <f>IF(TRIM(Github!D$1928)="TRUE","FALSE","TRUE")</f>
        <v>TRUE</v>
      </c>
      <c r="K1586" s="17" t="b">
        <f>Github!M$1928</f>
        <v>0</v>
      </c>
      <c r="L1586" s="17" t="b">
        <f>Github!N$1928</f>
        <v>0</v>
      </c>
      <c r="M1586" s="17" t="str">
        <f>ROUND(Github!O$1928, 2)&amp;"%"</f>
        <v>46.8%</v>
      </c>
      <c r="N1586" s="17">
        <f>Github!P$1928</f>
        <v>6151</v>
      </c>
      <c r="O1586" s="17">
        <f>Github!Q$1928</f>
        <v>13142</v>
      </c>
    </row>
    <row r="1587" ht="18.0" customHeight="1">
      <c r="A1587" s="17">
        <f>Github!J$532</f>
        <v>531</v>
      </c>
      <c r="B1587" s="27" t="str">
        <f>HYPERLINK(CONCAT("http://leetcode.com/problems/",Github!C$532), Github!B$532)</f>
        <v>Lonely Pixel I</v>
      </c>
      <c r="C1587" s="17">
        <f>Github!F$532</f>
        <v>294</v>
      </c>
      <c r="D1587" s="17">
        <f>Github!G$532</f>
        <v>35</v>
      </c>
      <c r="E1587" s="17">
        <f>Github!F$532+Github!G$532</f>
        <v>329</v>
      </c>
      <c r="F1587" s="18">
        <f t="shared" si="1"/>
        <v>8.4</v>
      </c>
      <c r="G1587" s="17" t="str">
        <f>Github!H$532</f>
        <v>Algorithms</v>
      </c>
      <c r="H1587" s="19" t="str">
        <f>SUBSTITUTE(Github!L$532, ";", ", ")</f>
        <v>Array, Hash Table, Matrix, </v>
      </c>
      <c r="I1587" s="17" t="str">
        <f>Github!E$532</f>
        <v>Medium</v>
      </c>
      <c r="J1587" s="17" t="str">
        <f>IF(TRIM(Github!D$532)="TRUE","FALSE","TRUE")</f>
        <v>FALSE</v>
      </c>
      <c r="K1587" s="17" t="b">
        <f>Github!M$532</f>
        <v>0</v>
      </c>
      <c r="L1587" s="17" t="b">
        <f>Github!N$532</f>
        <v>0</v>
      </c>
      <c r="M1587" s="17" t="str">
        <f>ROUND(Github!O$532, 2)&amp;"%"</f>
        <v>60.62%</v>
      </c>
      <c r="N1587" s="17">
        <f>Github!P$532</f>
        <v>30253</v>
      </c>
      <c r="O1587" s="17">
        <f>Github!Q$532</f>
        <v>49908</v>
      </c>
    </row>
    <row r="1588" ht="18.0" customHeight="1">
      <c r="A1588" s="17">
        <f>Github!J$1153</f>
        <v>1152</v>
      </c>
      <c r="B1588" s="27" t="str">
        <f>HYPERLINK(CONCAT("http://leetcode.com/problems/",Github!C$1153), Github!B$1153)</f>
        <v>Analyze User Website Visit Pattern</v>
      </c>
      <c r="C1588" s="17">
        <f>Github!F$1153</f>
        <v>294</v>
      </c>
      <c r="D1588" s="17">
        <f>Github!G$1153</f>
        <v>2553</v>
      </c>
      <c r="E1588" s="17">
        <f>Github!F$1153+Github!G$1153</f>
        <v>2847</v>
      </c>
      <c r="F1588" s="18">
        <f t="shared" si="1"/>
        <v>0.12</v>
      </c>
      <c r="G1588" s="17" t="str">
        <f>Github!H$1153</f>
        <v>Algorithms</v>
      </c>
      <c r="H1588" s="19" t="str">
        <f>SUBSTITUTE(Github!L$1153, ";", ", ")</f>
        <v>Array, Hash Table, Sorting, </v>
      </c>
      <c r="I1588" s="17" t="str">
        <f>Github!E$1153</f>
        <v>Medium</v>
      </c>
      <c r="J1588" s="17" t="str">
        <f>IF(TRIM(Github!D$1153)="TRUE","FALSE","TRUE")</f>
        <v>FALSE</v>
      </c>
      <c r="K1588" s="17" t="b">
        <f>Github!M$1153</f>
        <v>0</v>
      </c>
      <c r="L1588" s="17" t="b">
        <f>Github!N$1153</f>
        <v>0</v>
      </c>
      <c r="M1588" s="17" t="str">
        <f>ROUND(Github!O$1153, 2)&amp;"%"</f>
        <v>43.53%</v>
      </c>
      <c r="N1588" s="17">
        <f>Github!P$1153</f>
        <v>57476</v>
      </c>
      <c r="O1588" s="17">
        <f>Github!Q$1153</f>
        <v>132023</v>
      </c>
    </row>
    <row r="1589" ht="18.0" customHeight="1">
      <c r="A1589" s="17">
        <f>Github!J$1836</f>
        <v>1835</v>
      </c>
      <c r="B1589" s="27" t="str">
        <f>HYPERLINK(CONCAT("http://leetcode.com/problems/",Github!C$1836), Github!B$1836)</f>
        <v>Find XOR Sum of All Pairs Bitwise AND</v>
      </c>
      <c r="C1589" s="17">
        <f>Github!F$1836</f>
        <v>294</v>
      </c>
      <c r="D1589" s="17">
        <f>Github!G$1836</f>
        <v>32</v>
      </c>
      <c r="E1589" s="17">
        <f>Github!F$1836+Github!G$1836</f>
        <v>326</v>
      </c>
      <c r="F1589" s="18">
        <f t="shared" si="1"/>
        <v>9.19</v>
      </c>
      <c r="G1589" s="17" t="str">
        <f>Github!H$1836</f>
        <v>Algorithms</v>
      </c>
      <c r="H1589" s="19" t="str">
        <f>SUBSTITUTE(Github!L$1836, ";", ", ")</f>
        <v>Array, Math, Bit Manipulation, </v>
      </c>
      <c r="I1589" s="17" t="str">
        <f>Github!E$1836</f>
        <v>Hard</v>
      </c>
      <c r="J1589" s="17" t="str">
        <f>IF(TRIM(Github!D$1836)="TRUE","FALSE","TRUE")</f>
        <v>TRUE</v>
      </c>
      <c r="K1589" s="17" t="b">
        <f>Github!M$1836</f>
        <v>0</v>
      </c>
      <c r="L1589" s="17" t="b">
        <f>Github!N$1836</f>
        <v>0</v>
      </c>
      <c r="M1589" s="17" t="str">
        <f>ROUND(Github!O$1836, 2)&amp;"%"</f>
        <v>58.76%</v>
      </c>
      <c r="N1589" s="17">
        <f>Github!P$1836</f>
        <v>10033</v>
      </c>
      <c r="O1589" s="17">
        <f>Github!Q$1836</f>
        <v>17074</v>
      </c>
    </row>
    <row r="1590" ht="18.0" customHeight="1">
      <c r="A1590" s="17">
        <f>Github!J$2150</f>
        <v>2149</v>
      </c>
      <c r="B1590" s="27" t="str">
        <f>HYPERLINK(CONCAT("http://leetcode.com/problems/",Github!C$2150), Github!B$2150)</f>
        <v>Rearrange Array Elements by Sign</v>
      </c>
      <c r="C1590" s="17">
        <f>Github!F$2150</f>
        <v>294</v>
      </c>
      <c r="D1590" s="17">
        <f>Github!G$2150</f>
        <v>16</v>
      </c>
      <c r="E1590" s="17">
        <f>Github!F$2150+Github!G$2150</f>
        <v>310</v>
      </c>
      <c r="F1590" s="18">
        <f t="shared" si="1"/>
        <v>18.38</v>
      </c>
      <c r="G1590" s="17" t="str">
        <f>Github!H$2150</f>
        <v>Algorithms</v>
      </c>
      <c r="H1590" s="19" t="str">
        <f>SUBSTITUTE(Github!L$2150, ";", ", ")</f>
        <v>Array, Two Pointers, Simulation, </v>
      </c>
      <c r="I1590" s="17" t="str">
        <f>Github!E$2150</f>
        <v>Medium</v>
      </c>
      <c r="J1590" s="17" t="str">
        <f>IF(TRIM(Github!D$2150)="TRUE","FALSE","TRUE")</f>
        <v>TRUE</v>
      </c>
      <c r="K1590" s="17" t="b">
        <f>Github!M$2150</f>
        <v>0</v>
      </c>
      <c r="L1590" s="17" t="b">
        <f>Github!N$2150</f>
        <v>0</v>
      </c>
      <c r="M1590" s="17" t="str">
        <f>ROUND(Github!O$2150, 2)&amp;"%"</f>
        <v>81.92%</v>
      </c>
      <c r="N1590" s="17">
        <f>Github!P$2150</f>
        <v>24130</v>
      </c>
      <c r="O1590" s="17">
        <f>Github!Q$2150</f>
        <v>29454</v>
      </c>
    </row>
    <row r="1591" ht="18.0" customHeight="1">
      <c r="A1591" s="17">
        <f>Github!J$1375</f>
        <v>1374</v>
      </c>
      <c r="B1591" s="27" t="str">
        <f>HYPERLINK(CONCAT("http://leetcode.com/problems/",Github!C$1375), Github!B$1375)</f>
        <v>Generate a String With Characters That Have Odd Counts</v>
      </c>
      <c r="C1591" s="17">
        <f>Github!F$1375</f>
        <v>293</v>
      </c>
      <c r="D1591" s="17">
        <f>Github!G$1375</f>
        <v>963</v>
      </c>
      <c r="E1591" s="17">
        <f>Github!F$1375+Github!G$1375</f>
        <v>1256</v>
      </c>
      <c r="F1591" s="18">
        <f t="shared" si="1"/>
        <v>0.3</v>
      </c>
      <c r="G1591" s="17" t="str">
        <f>Github!H$1375</f>
        <v>Algorithms</v>
      </c>
      <c r="H1591" s="19" t="str">
        <f>SUBSTITUTE(Github!L$1375, ";", ", ")</f>
        <v>String, </v>
      </c>
      <c r="I1591" s="17" t="str">
        <f>Github!E$1375</f>
        <v>Easy</v>
      </c>
      <c r="J1591" s="17" t="str">
        <f>IF(TRIM(Github!D$1375)="TRUE","FALSE","TRUE")</f>
        <v>TRUE</v>
      </c>
      <c r="K1591" s="17" t="b">
        <f>Github!M$1375</f>
        <v>0</v>
      </c>
      <c r="L1591" s="17" t="b">
        <f>Github!N$1375</f>
        <v>0</v>
      </c>
      <c r="M1591" s="17" t="str">
        <f>ROUND(Github!O$1375, 2)&amp;"%"</f>
        <v>77.31%</v>
      </c>
      <c r="N1591" s="17">
        <f>Github!P$1375</f>
        <v>63634</v>
      </c>
      <c r="O1591" s="17">
        <f>Github!Q$1375</f>
        <v>82309</v>
      </c>
    </row>
    <row r="1592" ht="18.0" customHeight="1">
      <c r="A1592" s="17">
        <f>Github!J$1782</f>
        <v>1781</v>
      </c>
      <c r="B1592" s="27" t="str">
        <f>HYPERLINK(CONCAT("http://leetcode.com/problems/",Github!C$1782), Github!B$1782)</f>
        <v>Sum of Beauty of All Substrings</v>
      </c>
      <c r="C1592" s="17">
        <f>Github!F$1782</f>
        <v>293</v>
      </c>
      <c r="D1592" s="17">
        <f>Github!G$1782</f>
        <v>79</v>
      </c>
      <c r="E1592" s="17">
        <f>Github!F$1782+Github!G$1782</f>
        <v>372</v>
      </c>
      <c r="F1592" s="18">
        <f t="shared" si="1"/>
        <v>3.71</v>
      </c>
      <c r="G1592" s="17" t="str">
        <f>Github!H$1782</f>
        <v>Algorithms</v>
      </c>
      <c r="H1592" s="19" t="str">
        <f>SUBSTITUTE(Github!L$1782, ";", ", ")</f>
        <v>Hash Table, String, Counting, </v>
      </c>
      <c r="I1592" s="17" t="str">
        <f>Github!E$1782</f>
        <v>Medium</v>
      </c>
      <c r="J1592" s="17" t="str">
        <f>IF(TRIM(Github!D$1782)="TRUE","FALSE","TRUE")</f>
        <v>TRUE</v>
      </c>
      <c r="K1592" s="17" t="b">
        <f>Github!M$1782</f>
        <v>0</v>
      </c>
      <c r="L1592" s="17" t="b">
        <f>Github!N$1782</f>
        <v>0</v>
      </c>
      <c r="M1592" s="17" t="str">
        <f>ROUND(Github!O$1782, 2)&amp;"%"</f>
        <v>59.82%</v>
      </c>
      <c r="N1592" s="17">
        <f>Github!P$1782</f>
        <v>12509</v>
      </c>
      <c r="O1592" s="17">
        <f>Github!Q$1782</f>
        <v>20910</v>
      </c>
    </row>
    <row r="1593" ht="18.0" customHeight="1">
      <c r="A1593" s="17">
        <f>Github!J$1922</f>
        <v>1921</v>
      </c>
      <c r="B1593" s="27" t="str">
        <f>HYPERLINK(CONCAT("http://leetcode.com/problems/",Github!C$1922), Github!B$1922)</f>
        <v>Eliminate Maximum Number of Monsters</v>
      </c>
      <c r="C1593" s="17">
        <f>Github!F$1922</f>
        <v>294</v>
      </c>
      <c r="D1593" s="17">
        <f>Github!G$1922</f>
        <v>47</v>
      </c>
      <c r="E1593" s="17">
        <f>Github!F$1922+Github!G$1922</f>
        <v>341</v>
      </c>
      <c r="F1593" s="18">
        <f t="shared" si="1"/>
        <v>6.26</v>
      </c>
      <c r="G1593" s="17" t="str">
        <f>Github!H$1922</f>
        <v>Algorithms</v>
      </c>
      <c r="H1593" s="19" t="str">
        <f>SUBSTITUTE(Github!L$1922, ";", ", ")</f>
        <v>Array, Greedy, Sorting, </v>
      </c>
      <c r="I1593" s="17" t="str">
        <f>Github!E$1922</f>
        <v>Medium</v>
      </c>
      <c r="J1593" s="17" t="str">
        <f>IF(TRIM(Github!D$1922)="TRUE","FALSE","TRUE")</f>
        <v>TRUE</v>
      </c>
      <c r="K1593" s="17" t="b">
        <f>Github!M$1922</f>
        <v>0</v>
      </c>
      <c r="L1593" s="17" t="b">
        <f>Github!N$1922</f>
        <v>0</v>
      </c>
      <c r="M1593" s="17" t="str">
        <f>ROUND(Github!O$1922, 2)&amp;"%"</f>
        <v>37.45%</v>
      </c>
      <c r="N1593" s="17">
        <f>Github!P$1922</f>
        <v>15276</v>
      </c>
      <c r="O1593" s="17">
        <f>Github!Q$1922</f>
        <v>40785</v>
      </c>
    </row>
    <row r="1594" ht="18.0" customHeight="1">
      <c r="A1594" s="17">
        <f>Github!J$2051</f>
        <v>2050</v>
      </c>
      <c r="B1594" s="27" t="str">
        <f>HYPERLINK(CONCAT("http://leetcode.com/problems/",Github!C$2051), Github!B$2051)</f>
        <v>Parallel Courses III</v>
      </c>
      <c r="C1594" s="17">
        <f>Github!F$2051</f>
        <v>293</v>
      </c>
      <c r="D1594" s="17">
        <f>Github!G$2051</f>
        <v>7</v>
      </c>
      <c r="E1594" s="17">
        <f>Github!F$2051+Github!G$2051</f>
        <v>300</v>
      </c>
      <c r="F1594" s="18">
        <f t="shared" si="1"/>
        <v>41.86</v>
      </c>
      <c r="G1594" s="17" t="str">
        <f>Github!H$2051</f>
        <v>Algorithms</v>
      </c>
      <c r="H1594" s="19" t="str">
        <f>SUBSTITUTE(Github!L$2051, ";", ", ")</f>
        <v>Dynamic Programming, Graph, Topological Sort, </v>
      </c>
      <c r="I1594" s="17" t="str">
        <f>Github!E$2051</f>
        <v>Hard</v>
      </c>
      <c r="J1594" s="17" t="str">
        <f>IF(TRIM(Github!D$2051)="TRUE","FALSE","TRUE")</f>
        <v>TRUE</v>
      </c>
      <c r="K1594" s="17" t="b">
        <f>Github!M$2051</f>
        <v>0</v>
      </c>
      <c r="L1594" s="17" t="b">
        <f>Github!N$2051</f>
        <v>0</v>
      </c>
      <c r="M1594" s="17" t="str">
        <f>ROUND(Github!O$2051, 2)&amp;"%"</f>
        <v>60.17%</v>
      </c>
      <c r="N1594" s="17">
        <f>Github!P$2051</f>
        <v>7815</v>
      </c>
      <c r="O1594" s="17">
        <f>Github!Q$2051</f>
        <v>12989</v>
      </c>
    </row>
    <row r="1595" ht="18.0" customHeight="1">
      <c r="A1595" s="17">
        <f>Github!J$2074</f>
        <v>2073</v>
      </c>
      <c r="B1595" s="27" t="str">
        <f>HYPERLINK(CONCAT("http://leetcode.com/problems/",Github!C$2074), Github!B$2074)</f>
        <v>Time Needed to Buy Tickets</v>
      </c>
      <c r="C1595" s="17">
        <f>Github!F$2074</f>
        <v>293</v>
      </c>
      <c r="D1595" s="17">
        <f>Github!G$2074</f>
        <v>18</v>
      </c>
      <c r="E1595" s="17">
        <f>Github!F$2074+Github!G$2074</f>
        <v>311</v>
      </c>
      <c r="F1595" s="18">
        <f t="shared" si="1"/>
        <v>16.28</v>
      </c>
      <c r="G1595" s="17" t="str">
        <f>Github!H$2074</f>
        <v>Algorithms</v>
      </c>
      <c r="H1595" s="19" t="str">
        <f>SUBSTITUTE(Github!L$2074, ";", ", ")</f>
        <v>Array, Queue, Simulation, </v>
      </c>
      <c r="I1595" s="17" t="str">
        <f>Github!E$2074</f>
        <v>Easy</v>
      </c>
      <c r="J1595" s="17" t="str">
        <f>IF(TRIM(Github!D$2074)="TRUE","FALSE","TRUE")</f>
        <v>TRUE</v>
      </c>
      <c r="K1595" s="17" t="b">
        <f>Github!M$2074</f>
        <v>0</v>
      </c>
      <c r="L1595" s="17" t="b">
        <f>Github!N$2074</f>
        <v>0</v>
      </c>
      <c r="M1595" s="17" t="str">
        <f>ROUND(Github!O$2074, 2)&amp;"%"</f>
        <v>61.99%</v>
      </c>
      <c r="N1595" s="17">
        <f>Github!P$2074</f>
        <v>18616</v>
      </c>
      <c r="O1595" s="17">
        <f>Github!Q$2074</f>
        <v>30029</v>
      </c>
    </row>
    <row r="1596" ht="18.0" customHeight="1">
      <c r="A1596" s="17">
        <f>Github!J$2077</f>
        <v>2076</v>
      </c>
      <c r="B1596" s="27" t="str">
        <f>HYPERLINK(CONCAT("http://leetcode.com/problems/",Github!C$2077), Github!B$2077)</f>
        <v>Process Restricted Friend Requests</v>
      </c>
      <c r="C1596" s="17">
        <f>Github!F$2077</f>
        <v>293</v>
      </c>
      <c r="D1596" s="17">
        <f>Github!G$2077</f>
        <v>3</v>
      </c>
      <c r="E1596" s="17">
        <f>Github!F$2077+Github!G$2077</f>
        <v>296</v>
      </c>
      <c r="F1596" s="18">
        <f t="shared" si="1"/>
        <v>97.67</v>
      </c>
      <c r="G1596" s="17" t="str">
        <f>Github!H$2077</f>
        <v>Algorithms</v>
      </c>
      <c r="H1596" s="19" t="str">
        <f>SUBSTITUTE(Github!L$2077, ";", ", ")</f>
        <v>Union Find, Graph, </v>
      </c>
      <c r="I1596" s="17" t="str">
        <f>Github!E$2077</f>
        <v>Hard</v>
      </c>
      <c r="J1596" s="17" t="str">
        <f>IF(TRIM(Github!D$2077)="TRUE","FALSE","TRUE")</f>
        <v>TRUE</v>
      </c>
      <c r="K1596" s="17" t="b">
        <f>Github!M$2077</f>
        <v>0</v>
      </c>
      <c r="L1596" s="17" t="b">
        <f>Github!N$2077</f>
        <v>0</v>
      </c>
      <c r="M1596" s="17" t="str">
        <f>ROUND(Github!O$2077, 2)&amp;"%"</f>
        <v>53.1%</v>
      </c>
      <c r="N1596" s="17">
        <f>Github!P$2077</f>
        <v>8209</v>
      </c>
      <c r="O1596" s="17">
        <f>Github!Q$2077</f>
        <v>15459</v>
      </c>
    </row>
    <row r="1597" ht="18.0" customHeight="1">
      <c r="A1597" s="17">
        <f>Github!J$964</f>
        <v>963</v>
      </c>
      <c r="B1597" s="27" t="str">
        <f>HYPERLINK(CONCAT("http://leetcode.com/problems/",Github!C$964), Github!B$964)</f>
        <v>Minimum Area Rectangle II</v>
      </c>
      <c r="C1597" s="17">
        <f>Github!F$964</f>
        <v>290</v>
      </c>
      <c r="D1597" s="17">
        <f>Github!G$964</f>
        <v>388</v>
      </c>
      <c r="E1597" s="17">
        <f>Github!F$964+Github!G$964</f>
        <v>678</v>
      </c>
      <c r="F1597" s="18">
        <f t="shared" si="1"/>
        <v>0.75</v>
      </c>
      <c r="G1597" s="17" t="str">
        <f>Github!H$964</f>
        <v>Algorithms</v>
      </c>
      <c r="H1597" s="19" t="str">
        <f>SUBSTITUTE(Github!L$964, ";", ", ")</f>
        <v>Array, Math, Geometry, </v>
      </c>
      <c r="I1597" s="17" t="str">
        <f>Github!E$964</f>
        <v>Medium</v>
      </c>
      <c r="J1597" s="17" t="str">
        <f>IF(TRIM(Github!D$964)="TRUE","FALSE","TRUE")</f>
        <v>TRUE</v>
      </c>
      <c r="K1597" s="17" t="b">
        <f>Github!M$964</f>
        <v>0</v>
      </c>
      <c r="L1597" s="17" t="b">
        <f>Github!N$964</f>
        <v>0</v>
      </c>
      <c r="M1597" s="17" t="str">
        <f>ROUND(Github!O$964, 2)&amp;"%"</f>
        <v>54.46%</v>
      </c>
      <c r="N1597" s="17">
        <f>Github!P$964</f>
        <v>22278</v>
      </c>
      <c r="O1597" s="17">
        <f>Github!Q$964</f>
        <v>40910</v>
      </c>
    </row>
    <row r="1598" ht="18.0" customHeight="1">
      <c r="A1598" s="17">
        <f>Github!J$2156</f>
        <v>2155</v>
      </c>
      <c r="B1598" s="27" t="str">
        <f>HYPERLINK(CONCAT("http://leetcode.com/problems/",Github!C$2156), Github!B$2156)</f>
        <v>All Divisions With the Highest Score of a Binary Array</v>
      </c>
      <c r="C1598" s="17">
        <f>Github!F$2156</f>
        <v>291</v>
      </c>
      <c r="D1598" s="17">
        <f>Github!G$2156</f>
        <v>8</v>
      </c>
      <c r="E1598" s="17">
        <f>Github!F$2156+Github!G$2156</f>
        <v>299</v>
      </c>
      <c r="F1598" s="18">
        <f t="shared" si="1"/>
        <v>36.38</v>
      </c>
      <c r="G1598" s="17" t="str">
        <f>Github!H$2156</f>
        <v>Algorithms</v>
      </c>
      <c r="H1598" s="19" t="str">
        <f>SUBSTITUTE(Github!L$2156, ";", ", ")</f>
        <v>Array, </v>
      </c>
      <c r="I1598" s="17" t="str">
        <f>Github!E$2156</f>
        <v>Medium</v>
      </c>
      <c r="J1598" s="17" t="str">
        <f>IF(TRIM(Github!D$2156)="TRUE","FALSE","TRUE")</f>
        <v>TRUE</v>
      </c>
      <c r="K1598" s="17" t="b">
        <f>Github!M$2156</f>
        <v>0</v>
      </c>
      <c r="L1598" s="17" t="b">
        <f>Github!N$2156</f>
        <v>0</v>
      </c>
      <c r="M1598" s="17" t="str">
        <f>ROUND(Github!O$2156, 2)&amp;"%"</f>
        <v>61.58%</v>
      </c>
      <c r="N1598" s="17">
        <f>Github!P$2156</f>
        <v>18285</v>
      </c>
      <c r="O1598" s="17">
        <f>Github!Q$2156</f>
        <v>29695</v>
      </c>
    </row>
    <row r="1599" ht="18.0" customHeight="1">
      <c r="A1599" s="17">
        <f>Github!J$528</f>
        <v>527</v>
      </c>
      <c r="B1599" s="27" t="str">
        <f>HYPERLINK(CONCAT("http://leetcode.com/problems/",Github!C$528), Github!B$528)</f>
        <v>Word Abbreviation</v>
      </c>
      <c r="C1599" s="17">
        <f>Github!F$528</f>
        <v>289</v>
      </c>
      <c r="D1599" s="17">
        <f>Github!G$528</f>
        <v>194</v>
      </c>
      <c r="E1599" s="17">
        <f>Github!F$528+Github!G$528</f>
        <v>483</v>
      </c>
      <c r="F1599" s="18">
        <f t="shared" si="1"/>
        <v>1.49</v>
      </c>
      <c r="G1599" s="17" t="str">
        <f>Github!H$528</f>
        <v>Algorithms</v>
      </c>
      <c r="H1599" s="19" t="str">
        <f>SUBSTITUTE(Github!L$528, ";", ", ")</f>
        <v>Array, String, Greedy, Trie, Sorting, </v>
      </c>
      <c r="I1599" s="17" t="str">
        <f>Github!E$528</f>
        <v>Hard</v>
      </c>
      <c r="J1599" s="17" t="str">
        <f>IF(TRIM(Github!D$528)="TRUE","FALSE","TRUE")</f>
        <v>FALSE</v>
      </c>
      <c r="K1599" s="17" t="b">
        <f>Github!M$528</f>
        <v>1</v>
      </c>
      <c r="L1599" s="17" t="b">
        <f>Github!N$528</f>
        <v>0</v>
      </c>
      <c r="M1599" s="17" t="str">
        <f>ROUND(Github!O$528, 2)&amp;"%"</f>
        <v>58.02%</v>
      </c>
      <c r="N1599" s="17">
        <f>Github!P$528</f>
        <v>21542</v>
      </c>
      <c r="O1599" s="17">
        <f>Github!Q$528</f>
        <v>37128</v>
      </c>
    </row>
    <row r="1600" ht="18.0" customHeight="1">
      <c r="A1600" s="17">
        <f>Github!J$794</f>
        <v>793</v>
      </c>
      <c r="B1600" s="27" t="str">
        <f>HYPERLINK(CONCAT("http://leetcode.com/problems/",Github!C$794), Github!B$794)</f>
        <v>Preimage Size of Factorial Zeroes Function</v>
      </c>
      <c r="C1600" s="17">
        <f>Github!F$794</f>
        <v>289</v>
      </c>
      <c r="D1600" s="17">
        <f>Github!G$794</f>
        <v>68</v>
      </c>
      <c r="E1600" s="17">
        <f>Github!F$794+Github!G$794</f>
        <v>357</v>
      </c>
      <c r="F1600" s="18">
        <f t="shared" si="1"/>
        <v>4.25</v>
      </c>
      <c r="G1600" s="17" t="str">
        <f>Github!H$794</f>
        <v>Algorithms</v>
      </c>
      <c r="H1600" s="19" t="str">
        <f>SUBSTITUTE(Github!L$794, ";", ", ")</f>
        <v>Math, Binary Search, </v>
      </c>
      <c r="I1600" s="17" t="str">
        <f>Github!E$794</f>
        <v>Hard</v>
      </c>
      <c r="J1600" s="17" t="str">
        <f>IF(TRIM(Github!D$794)="TRUE","FALSE","TRUE")</f>
        <v>TRUE</v>
      </c>
      <c r="K1600" s="17" t="b">
        <f>Github!M$794</f>
        <v>1</v>
      </c>
      <c r="L1600" s="17" t="b">
        <f>Github!N$794</f>
        <v>0</v>
      </c>
      <c r="M1600" s="17" t="str">
        <f>ROUND(Github!O$794, 2)&amp;"%"</f>
        <v>41.54%</v>
      </c>
      <c r="N1600" s="17">
        <f>Github!P$794</f>
        <v>11812</v>
      </c>
      <c r="O1600" s="17">
        <f>Github!Q$794</f>
        <v>28435</v>
      </c>
    </row>
    <row r="1601" ht="18.0" customHeight="1">
      <c r="A1601" s="17">
        <f>Github!J$1258</f>
        <v>1257</v>
      </c>
      <c r="B1601" s="27" t="str">
        <f>HYPERLINK(CONCAT("http://leetcode.com/problems/",Github!C$1258), Github!B$1258)</f>
        <v>Smallest Common Region</v>
      </c>
      <c r="C1601" s="17">
        <f>Github!F$1258</f>
        <v>289</v>
      </c>
      <c r="D1601" s="17">
        <f>Github!G$1258</f>
        <v>26</v>
      </c>
      <c r="E1601" s="17">
        <f>Github!F$1258+Github!G$1258</f>
        <v>315</v>
      </c>
      <c r="F1601" s="18">
        <f t="shared" si="1"/>
        <v>11.12</v>
      </c>
      <c r="G1601" s="17" t="str">
        <f>Github!H$1258</f>
        <v>Algorithms</v>
      </c>
      <c r="H1601" s="19" t="str">
        <f>SUBSTITUTE(Github!L$1258, ";", ", ")</f>
        <v>Array, Hash Table, String, Tree, Depth-First Search, Breadth-First Search, </v>
      </c>
      <c r="I1601" s="17" t="str">
        <f>Github!E$1258</f>
        <v>Medium</v>
      </c>
      <c r="J1601" s="17" t="str">
        <f>IF(TRIM(Github!D$1258)="TRUE","FALSE","TRUE")</f>
        <v>FALSE</v>
      </c>
      <c r="K1601" s="17" t="b">
        <f>Github!M$1258</f>
        <v>0</v>
      </c>
      <c r="L1601" s="17" t="b">
        <f>Github!N$1258</f>
        <v>0</v>
      </c>
      <c r="M1601" s="17" t="str">
        <f>ROUND(Github!O$1258, 2)&amp;"%"</f>
        <v>62.72%</v>
      </c>
      <c r="N1601" s="17">
        <f>Github!P$1258</f>
        <v>13214</v>
      </c>
      <c r="O1601" s="17">
        <f>Github!Q$1258</f>
        <v>21068</v>
      </c>
    </row>
    <row r="1602" ht="18.0" customHeight="1">
      <c r="A1602" s="17">
        <f>Github!J$1151</f>
        <v>1150</v>
      </c>
      <c r="B1602" s="27" t="str">
        <f>HYPERLINK(CONCAT("http://leetcode.com/problems/",Github!C$1151), Github!B$1151)</f>
        <v>Check If a Number Is Majority Element in a Sorted Array</v>
      </c>
      <c r="C1602" s="17">
        <f>Github!F$1151</f>
        <v>288</v>
      </c>
      <c r="D1602" s="17">
        <f>Github!G$1151</f>
        <v>30</v>
      </c>
      <c r="E1602" s="17">
        <f>Github!F$1151+Github!G$1151</f>
        <v>318</v>
      </c>
      <c r="F1602" s="18">
        <f t="shared" si="1"/>
        <v>9.6</v>
      </c>
      <c r="G1602" s="17" t="str">
        <f>Github!H$1151</f>
        <v>Algorithms</v>
      </c>
      <c r="H1602" s="19" t="str">
        <f>SUBSTITUTE(Github!L$1151, ";", ", ")</f>
        <v>Array, Binary Search, </v>
      </c>
      <c r="I1602" s="17" t="str">
        <f>Github!E$1151</f>
        <v>Easy</v>
      </c>
      <c r="J1602" s="17" t="str">
        <f>IF(TRIM(Github!D$1151)="TRUE","FALSE","TRUE")</f>
        <v>FALSE</v>
      </c>
      <c r="K1602" s="17" t="b">
        <f>Github!M$1151</f>
        <v>0</v>
      </c>
      <c r="L1602" s="17" t="b">
        <f>Github!N$1151</f>
        <v>0</v>
      </c>
      <c r="M1602" s="17" t="str">
        <f>ROUND(Github!O$1151, 2)&amp;"%"</f>
        <v>56.71%</v>
      </c>
      <c r="N1602" s="17">
        <f>Github!P$1151</f>
        <v>30438</v>
      </c>
      <c r="O1602" s="17">
        <f>Github!Q$1151</f>
        <v>53671</v>
      </c>
    </row>
    <row r="1603" ht="18.0" customHeight="1">
      <c r="A1603" s="17">
        <f>Github!J$1308</f>
        <v>1307</v>
      </c>
      <c r="B1603" s="27" t="str">
        <f>HYPERLINK(CONCAT("http://leetcode.com/problems/",Github!C$1308), Github!B$1308)</f>
        <v>Verbal Arithmetic Puzzle</v>
      </c>
      <c r="C1603" s="17">
        <f>Github!F$1308</f>
        <v>288</v>
      </c>
      <c r="D1603" s="17">
        <f>Github!G$1308</f>
        <v>76</v>
      </c>
      <c r="E1603" s="17">
        <f>Github!F$1308+Github!G$1308</f>
        <v>364</v>
      </c>
      <c r="F1603" s="18">
        <f t="shared" si="1"/>
        <v>3.79</v>
      </c>
      <c r="G1603" s="17" t="str">
        <f>Github!H$1308</f>
        <v>Algorithms</v>
      </c>
      <c r="H1603" s="19" t="str">
        <f>SUBSTITUTE(Github!L$1308, ";", ", ")</f>
        <v>Array, Math, String, Backtracking, </v>
      </c>
      <c r="I1603" s="17" t="str">
        <f>Github!E$1308</f>
        <v>Hard</v>
      </c>
      <c r="J1603" s="17" t="str">
        <f>IF(TRIM(Github!D$1308)="TRUE","FALSE","TRUE")</f>
        <v>TRUE</v>
      </c>
      <c r="K1603" s="17" t="b">
        <f>Github!M$1308</f>
        <v>0</v>
      </c>
      <c r="L1603" s="17" t="b">
        <f>Github!N$1308</f>
        <v>0</v>
      </c>
      <c r="M1603" s="17" t="str">
        <f>ROUND(Github!O$1308, 2)&amp;"%"</f>
        <v>35.04%</v>
      </c>
      <c r="N1603" s="17">
        <f>Github!P$1308</f>
        <v>6677</v>
      </c>
      <c r="O1603" s="17">
        <f>Github!Q$1308</f>
        <v>19053</v>
      </c>
    </row>
    <row r="1604" ht="18.0" customHeight="1">
      <c r="A1604" s="17">
        <f>Github!J$2179</f>
        <v>2178</v>
      </c>
      <c r="B1604" s="27" t="str">
        <f>HYPERLINK(CONCAT("http://leetcode.com/problems/",Github!C$2179), Github!B$2179)</f>
        <v>Maximum Split of Positive Even Integers</v>
      </c>
      <c r="C1604" s="17">
        <f>Github!F$2179</f>
        <v>291</v>
      </c>
      <c r="D1604" s="17">
        <f>Github!G$2179</f>
        <v>37</v>
      </c>
      <c r="E1604" s="17">
        <f>Github!F$2179+Github!G$2179</f>
        <v>328</v>
      </c>
      <c r="F1604" s="18">
        <f t="shared" si="1"/>
        <v>7.86</v>
      </c>
      <c r="G1604" s="17" t="str">
        <f>Github!H$2179</f>
        <v>Algorithms</v>
      </c>
      <c r="H1604" s="19" t="str">
        <f>SUBSTITUTE(Github!L$2179, ";", ", ")</f>
        <v>Math, Greedy, </v>
      </c>
      <c r="I1604" s="17" t="str">
        <f>Github!E$2179</f>
        <v>Medium</v>
      </c>
      <c r="J1604" s="17" t="str">
        <f>IF(TRIM(Github!D$2179)="TRUE","FALSE","TRUE")</f>
        <v>TRUE</v>
      </c>
      <c r="K1604" s="17" t="b">
        <f>Github!M$2179</f>
        <v>0</v>
      </c>
      <c r="L1604" s="17" t="b">
        <f>Github!N$2179</f>
        <v>0</v>
      </c>
      <c r="M1604" s="17" t="str">
        <f>ROUND(Github!O$2179, 2)&amp;"%"</f>
        <v>53.56%</v>
      </c>
      <c r="N1604" s="17">
        <f>Github!P$2179</f>
        <v>12548</v>
      </c>
      <c r="O1604" s="17">
        <f>Github!Q$2179</f>
        <v>23426</v>
      </c>
    </row>
    <row r="1605" ht="18.0" customHeight="1">
      <c r="A1605" s="17">
        <f>Github!J$1491</f>
        <v>1490</v>
      </c>
      <c r="B1605" s="27" t="str">
        <f>HYPERLINK(CONCAT("http://leetcode.com/problems/",Github!C$1491), Github!B$1491)</f>
        <v>Clone N-ary Tree</v>
      </c>
      <c r="C1605" s="17">
        <f>Github!F$1491</f>
        <v>290</v>
      </c>
      <c r="D1605" s="17">
        <f>Github!G$1491</f>
        <v>13</v>
      </c>
      <c r="E1605" s="17">
        <f>Github!F$1491+Github!G$1491</f>
        <v>303</v>
      </c>
      <c r="F1605" s="18">
        <f t="shared" si="1"/>
        <v>22.31</v>
      </c>
      <c r="G1605" s="17" t="str">
        <f>Github!H$1491</f>
        <v>Algorithms</v>
      </c>
      <c r="H1605" s="19" t="str">
        <f>SUBSTITUTE(Github!L$1491, ";", ", ")</f>
        <v>Hash Table, Tree, Depth-First Search, Breadth-First Search, </v>
      </c>
      <c r="I1605" s="17" t="str">
        <f>Github!E$1491</f>
        <v>Medium</v>
      </c>
      <c r="J1605" s="17" t="str">
        <f>IF(TRIM(Github!D$1491)="TRUE","FALSE","TRUE")</f>
        <v>FALSE</v>
      </c>
      <c r="K1605" s="17" t="b">
        <f>Github!M$1491</f>
        <v>1</v>
      </c>
      <c r="L1605" s="17" t="b">
        <f>Github!N$1491</f>
        <v>0</v>
      </c>
      <c r="M1605" s="17" t="str">
        <f>ROUND(Github!O$1491, 2)&amp;"%"</f>
        <v>83.62%</v>
      </c>
      <c r="N1605" s="17">
        <f>Github!P$1491</f>
        <v>19519</v>
      </c>
      <c r="O1605" s="17">
        <f>Github!Q$1491</f>
        <v>23342</v>
      </c>
    </row>
    <row r="1606" ht="18.0" customHeight="1">
      <c r="A1606" s="17">
        <f>Github!J$1607</f>
        <v>1606</v>
      </c>
      <c r="B1606" s="27" t="str">
        <f>HYPERLINK(CONCAT("http://leetcode.com/problems/",Github!C$1607), Github!B$1607)</f>
        <v>Find Servers That Handled Most Number of Requests</v>
      </c>
      <c r="C1606" s="17">
        <f>Github!F$1607</f>
        <v>288</v>
      </c>
      <c r="D1606" s="17">
        <f>Github!G$1607</f>
        <v>11</v>
      </c>
      <c r="E1606" s="17">
        <f>Github!F$1607+Github!G$1607</f>
        <v>299</v>
      </c>
      <c r="F1606" s="18">
        <f t="shared" si="1"/>
        <v>26.18</v>
      </c>
      <c r="G1606" s="17" t="str">
        <f>Github!H$1607</f>
        <v>Algorithms</v>
      </c>
      <c r="H1606" s="19" t="str">
        <f>SUBSTITUTE(Github!L$1607, ";", ", ")</f>
        <v>Array, Greedy, Heap (Priority Queue), Ordered Set, </v>
      </c>
      <c r="I1606" s="17" t="str">
        <f>Github!E$1607</f>
        <v>Hard</v>
      </c>
      <c r="J1606" s="17" t="str">
        <f>IF(TRIM(Github!D$1607)="TRUE","FALSE","TRUE")</f>
        <v>TRUE</v>
      </c>
      <c r="K1606" s="17" t="b">
        <f>Github!M$1607</f>
        <v>0</v>
      </c>
      <c r="L1606" s="17" t="b">
        <f>Github!N$1607</f>
        <v>0</v>
      </c>
      <c r="M1606" s="17" t="str">
        <f>ROUND(Github!O$1607, 2)&amp;"%"</f>
        <v>40.48%</v>
      </c>
      <c r="N1606" s="17">
        <f>Github!P$1607</f>
        <v>6703</v>
      </c>
      <c r="O1606" s="17">
        <f>Github!Q$1607</f>
        <v>16557</v>
      </c>
    </row>
    <row r="1607" ht="18.0" customHeight="1">
      <c r="A1607" s="17">
        <f>Github!J$2101</f>
        <v>2100</v>
      </c>
      <c r="B1607" s="27" t="str">
        <f>HYPERLINK(CONCAT("http://leetcode.com/problems/",Github!C$2101), Github!B$2101)</f>
        <v>Find Good Days to Rob the Bank</v>
      </c>
      <c r="C1607" s="17">
        <f>Github!F$2101</f>
        <v>288</v>
      </c>
      <c r="D1607" s="17">
        <f>Github!G$2101</f>
        <v>14</v>
      </c>
      <c r="E1607" s="17">
        <f>Github!F$2101+Github!G$2101</f>
        <v>302</v>
      </c>
      <c r="F1607" s="18">
        <f t="shared" si="1"/>
        <v>20.57</v>
      </c>
      <c r="G1607" s="17" t="str">
        <f>Github!H$2101</f>
        <v>Algorithms</v>
      </c>
      <c r="H1607" s="19" t="str">
        <f>SUBSTITUTE(Github!L$2101, ";", ", ")</f>
        <v>Array, Dynamic Programming, Prefix Sum, </v>
      </c>
      <c r="I1607" s="17" t="str">
        <f>Github!E$2101</f>
        <v>Medium</v>
      </c>
      <c r="J1607" s="17" t="str">
        <f>IF(TRIM(Github!D$2101)="TRUE","FALSE","TRUE")</f>
        <v>TRUE</v>
      </c>
      <c r="K1607" s="17" t="b">
        <f>Github!M$2101</f>
        <v>0</v>
      </c>
      <c r="L1607" s="17" t="b">
        <f>Github!N$2101</f>
        <v>0</v>
      </c>
      <c r="M1607" s="17" t="str">
        <f>ROUND(Github!O$2101, 2)&amp;"%"</f>
        <v>46.39%</v>
      </c>
      <c r="N1607" s="17">
        <f>Github!P$2101</f>
        <v>8480</v>
      </c>
      <c r="O1607" s="17">
        <f>Github!Q$2101</f>
        <v>18280</v>
      </c>
    </row>
    <row r="1608" ht="18.0" customHeight="1">
      <c r="A1608" s="17">
        <f>Github!J$520</f>
        <v>519</v>
      </c>
      <c r="B1608" s="27" t="str">
        <f>HYPERLINK(CONCAT("http://leetcode.com/problems/",Github!C$520), Github!B$520)</f>
        <v>Random Flip Matrix</v>
      </c>
      <c r="C1608" s="17">
        <f>Github!F$520</f>
        <v>286</v>
      </c>
      <c r="D1608" s="17">
        <f>Github!G$520</f>
        <v>86</v>
      </c>
      <c r="E1608" s="17">
        <f>Github!F$520+Github!G$520</f>
        <v>372</v>
      </c>
      <c r="F1608" s="18">
        <f t="shared" si="1"/>
        <v>3.33</v>
      </c>
      <c r="G1608" s="17" t="str">
        <f>Github!H$520</f>
        <v>Algorithms</v>
      </c>
      <c r="H1608" s="19" t="str">
        <f>SUBSTITUTE(Github!L$520, ";", ", ")</f>
        <v>Hash Table, Math, Reservoir Sampling, Randomized, </v>
      </c>
      <c r="I1608" s="17" t="str">
        <f>Github!E$520</f>
        <v>Medium</v>
      </c>
      <c r="J1608" s="17" t="str">
        <f>IF(TRIM(Github!D$520)="TRUE","FALSE","TRUE")</f>
        <v>TRUE</v>
      </c>
      <c r="K1608" s="17" t="b">
        <f>Github!M$520</f>
        <v>0</v>
      </c>
      <c r="L1608" s="17" t="b">
        <f>Github!N$520</f>
        <v>0</v>
      </c>
      <c r="M1608" s="17" t="str">
        <f>ROUND(Github!O$520, 2)&amp;"%"</f>
        <v>38.92%</v>
      </c>
      <c r="N1608" s="17">
        <f>Github!P$520</f>
        <v>12987</v>
      </c>
      <c r="O1608" s="17">
        <f>Github!Q$520</f>
        <v>33367</v>
      </c>
    </row>
    <row r="1609" ht="18.0" customHeight="1">
      <c r="A1609" s="17">
        <f>Github!J$1739</f>
        <v>1738</v>
      </c>
      <c r="B1609" s="27" t="str">
        <f>HYPERLINK(CONCAT("http://leetcode.com/problems/",Github!C$1739), Github!B$1739)</f>
        <v>Find Kth Largest XOR Coordinate Value</v>
      </c>
      <c r="C1609" s="17">
        <f>Github!F$1739</f>
        <v>286</v>
      </c>
      <c r="D1609" s="17">
        <f>Github!G$1739</f>
        <v>43</v>
      </c>
      <c r="E1609" s="17">
        <f>Github!F$1739+Github!G$1739</f>
        <v>329</v>
      </c>
      <c r="F1609" s="18">
        <f t="shared" si="1"/>
        <v>6.65</v>
      </c>
      <c r="G1609" s="17" t="str">
        <f>Github!H$1739</f>
        <v>Algorithms</v>
      </c>
      <c r="H1609" s="19" t="str">
        <f>SUBSTITUTE(Github!L$1739, ";", ", ")</f>
        <v>Array, Divide and Conquer, Bit Manipulation, Heap (Priority Queue), Matrix, Prefix Sum, Quickselect, </v>
      </c>
      <c r="I1609" s="17" t="str">
        <f>Github!E$1739</f>
        <v>Medium</v>
      </c>
      <c r="J1609" s="17" t="str">
        <f>IF(TRIM(Github!D$1739)="TRUE","FALSE","TRUE")</f>
        <v>TRUE</v>
      </c>
      <c r="K1609" s="17" t="b">
        <f>Github!M$1739</f>
        <v>0</v>
      </c>
      <c r="L1609" s="17" t="b">
        <f>Github!N$1739</f>
        <v>0</v>
      </c>
      <c r="M1609" s="17" t="str">
        <f>ROUND(Github!O$1739, 2)&amp;"%"</f>
        <v>62.2%</v>
      </c>
      <c r="N1609" s="17">
        <f>Github!P$1739</f>
        <v>13708</v>
      </c>
      <c r="O1609" s="17">
        <f>Github!Q$1739</f>
        <v>22040</v>
      </c>
    </row>
    <row r="1610" ht="18.0" customHeight="1">
      <c r="A1610" s="17">
        <f>Github!J$2152</f>
        <v>2151</v>
      </c>
      <c r="B1610" s="27" t="str">
        <f>HYPERLINK(CONCAT("http://leetcode.com/problems/",Github!C$2152), Github!B$2152)</f>
        <v>Maximum Good People Based on Statements</v>
      </c>
      <c r="C1610" s="17">
        <f>Github!F$2152</f>
        <v>286</v>
      </c>
      <c r="D1610" s="17">
        <f>Github!G$2152</f>
        <v>63</v>
      </c>
      <c r="E1610" s="17">
        <f>Github!F$2152+Github!G$2152</f>
        <v>349</v>
      </c>
      <c r="F1610" s="18">
        <f t="shared" si="1"/>
        <v>4.54</v>
      </c>
      <c r="G1610" s="17" t="str">
        <f>Github!H$2152</f>
        <v>Algorithms</v>
      </c>
      <c r="H1610" s="19" t="str">
        <f>SUBSTITUTE(Github!L$2152, ";", ", ")</f>
        <v>Array, Backtracking, Bit Manipulation, Enumeration, </v>
      </c>
      <c r="I1610" s="17" t="str">
        <f>Github!E$2152</f>
        <v>Hard</v>
      </c>
      <c r="J1610" s="17" t="str">
        <f>IF(TRIM(Github!D$2152)="TRUE","FALSE","TRUE")</f>
        <v>TRUE</v>
      </c>
      <c r="K1610" s="17" t="b">
        <f>Github!M$2152</f>
        <v>0</v>
      </c>
      <c r="L1610" s="17" t="b">
        <f>Github!N$2152</f>
        <v>0</v>
      </c>
      <c r="M1610" s="17" t="str">
        <f>ROUND(Github!O$2152, 2)&amp;"%"</f>
        <v>45.67%</v>
      </c>
      <c r="N1610" s="17">
        <f>Github!P$2152</f>
        <v>7832</v>
      </c>
      <c r="O1610" s="17">
        <f>Github!Q$2152</f>
        <v>17148</v>
      </c>
    </row>
    <row r="1611" ht="18.0" customHeight="1">
      <c r="A1611" s="17">
        <f>Github!J$467</f>
        <v>466</v>
      </c>
      <c r="B1611" s="27" t="str">
        <f>HYPERLINK(CONCAT("http://leetcode.com/problems/",Github!C$467), Github!B$467)</f>
        <v>Count The Repetitions</v>
      </c>
      <c r="C1611" s="17">
        <f>Github!F$467</f>
        <v>285</v>
      </c>
      <c r="D1611" s="17">
        <f>Github!G$467</f>
        <v>255</v>
      </c>
      <c r="E1611" s="17">
        <f>Github!F$467+Github!G$467</f>
        <v>540</v>
      </c>
      <c r="F1611" s="18">
        <f t="shared" si="1"/>
        <v>1.12</v>
      </c>
      <c r="G1611" s="17" t="str">
        <f>Github!H$467</f>
        <v>Algorithms</v>
      </c>
      <c r="H1611" s="19" t="str">
        <f>SUBSTITUTE(Github!L$467, ";", ", ")</f>
        <v>String, Dynamic Programming, </v>
      </c>
      <c r="I1611" s="17" t="str">
        <f>Github!E$467</f>
        <v>Hard</v>
      </c>
      <c r="J1611" s="17" t="str">
        <f>IF(TRIM(Github!D$467)="TRUE","FALSE","TRUE")</f>
        <v>TRUE</v>
      </c>
      <c r="K1611" s="17" t="b">
        <f>Github!M$467</f>
        <v>1</v>
      </c>
      <c r="L1611" s="17" t="b">
        <f>Github!N$467</f>
        <v>0</v>
      </c>
      <c r="M1611" s="17" t="str">
        <f>ROUND(Github!O$467, 2)&amp;"%"</f>
        <v>28.97%</v>
      </c>
      <c r="N1611" s="17">
        <f>Github!P$467</f>
        <v>13923</v>
      </c>
      <c r="O1611" s="17">
        <f>Github!Q$467</f>
        <v>48060</v>
      </c>
    </row>
    <row r="1612" ht="18.0" customHeight="1">
      <c r="A1612" s="17">
        <f>Github!J$1866</f>
        <v>1865</v>
      </c>
      <c r="B1612" s="27" t="str">
        <f>HYPERLINK(CONCAT("http://leetcode.com/problems/",Github!C$1866), Github!B$1866)</f>
        <v>Finding Pairs With a Certain Sum</v>
      </c>
      <c r="C1612" s="17">
        <f>Github!F$1866</f>
        <v>285</v>
      </c>
      <c r="D1612" s="17">
        <f>Github!G$1866</f>
        <v>73</v>
      </c>
      <c r="E1612" s="17">
        <f>Github!F$1866+Github!G$1866</f>
        <v>358</v>
      </c>
      <c r="F1612" s="18">
        <f t="shared" si="1"/>
        <v>3.9</v>
      </c>
      <c r="G1612" s="17" t="str">
        <f>Github!H$1866</f>
        <v>Algorithms</v>
      </c>
      <c r="H1612" s="19" t="str">
        <f>SUBSTITUTE(Github!L$1866, ";", ", ")</f>
        <v>Array, Hash Table, Design, </v>
      </c>
      <c r="I1612" s="17" t="str">
        <f>Github!E$1866</f>
        <v>Medium</v>
      </c>
      <c r="J1612" s="17" t="str">
        <f>IF(TRIM(Github!D$1866)="TRUE","FALSE","TRUE")</f>
        <v>TRUE</v>
      </c>
      <c r="K1612" s="17" t="b">
        <f>Github!M$1866</f>
        <v>0</v>
      </c>
      <c r="L1612" s="17" t="b">
        <f>Github!N$1866</f>
        <v>0</v>
      </c>
      <c r="M1612" s="17" t="str">
        <f>ROUND(Github!O$1866, 2)&amp;"%"</f>
        <v>48.8%</v>
      </c>
      <c r="N1612" s="17">
        <f>Github!P$1866</f>
        <v>14144</v>
      </c>
      <c r="O1612" s="17">
        <f>Github!Q$1866</f>
        <v>28985</v>
      </c>
    </row>
    <row r="1613" ht="18.0" customHeight="1">
      <c r="A1613" s="17">
        <f>Github!J$783</f>
        <v>782</v>
      </c>
      <c r="B1613" s="27" t="str">
        <f>HYPERLINK(CONCAT("http://leetcode.com/problems/",Github!C$783), Github!B$783)</f>
        <v>Transform to Chessboard</v>
      </c>
      <c r="C1613" s="17">
        <f>Github!F$783</f>
        <v>284</v>
      </c>
      <c r="D1613" s="17">
        <f>Github!G$783</f>
        <v>282</v>
      </c>
      <c r="E1613" s="17">
        <f>Github!F$783+Github!G$783</f>
        <v>566</v>
      </c>
      <c r="F1613" s="18">
        <f t="shared" si="1"/>
        <v>1.01</v>
      </c>
      <c r="G1613" s="17" t="str">
        <f>Github!H$783</f>
        <v>Algorithms</v>
      </c>
      <c r="H1613" s="19" t="str">
        <f>SUBSTITUTE(Github!L$783, ";", ", ")</f>
        <v>Array, Math, Bit Manipulation, Matrix, </v>
      </c>
      <c r="I1613" s="17" t="str">
        <f>Github!E$783</f>
        <v>Hard</v>
      </c>
      <c r="J1613" s="17" t="str">
        <f>IF(TRIM(Github!D$783)="TRUE","FALSE","TRUE")</f>
        <v>TRUE</v>
      </c>
      <c r="K1613" s="17" t="b">
        <f>Github!M$783</f>
        <v>1</v>
      </c>
      <c r="L1613" s="17" t="b">
        <f>Github!N$783</f>
        <v>0</v>
      </c>
      <c r="M1613" s="17" t="str">
        <f>ROUND(Github!O$783, 2)&amp;"%"</f>
        <v>52.05%</v>
      </c>
      <c r="N1613" s="17">
        <f>Github!P$783</f>
        <v>14848</v>
      </c>
      <c r="O1613" s="17">
        <f>Github!Q$783</f>
        <v>28525</v>
      </c>
    </row>
    <row r="1614" ht="18.0" customHeight="1">
      <c r="A1614" s="17">
        <f>Github!J$2157</f>
        <v>2156</v>
      </c>
      <c r="B1614" s="27" t="str">
        <f>HYPERLINK(CONCAT("http://leetcode.com/problems/",Github!C$2157), Github!B$2157)</f>
        <v>Find Substring With Given Hash Value</v>
      </c>
      <c r="C1614" s="17">
        <f>Github!F$2157</f>
        <v>286</v>
      </c>
      <c r="D1614" s="17">
        <f>Github!G$2157</f>
        <v>330</v>
      </c>
      <c r="E1614" s="17">
        <f>Github!F$2157+Github!G$2157</f>
        <v>616</v>
      </c>
      <c r="F1614" s="18">
        <f t="shared" si="1"/>
        <v>0.87</v>
      </c>
      <c r="G1614" s="17" t="str">
        <f>Github!H$2157</f>
        <v>Algorithms</v>
      </c>
      <c r="H1614" s="19" t="str">
        <f>SUBSTITUTE(Github!L$2157, ";", ", ")</f>
        <v>String, Sliding Window, Rolling Hash, Hash Function, </v>
      </c>
      <c r="I1614" s="17" t="str">
        <f>Github!E$2157</f>
        <v>Hard</v>
      </c>
      <c r="J1614" s="17" t="str">
        <f>IF(TRIM(Github!D$2157)="TRUE","FALSE","TRUE")</f>
        <v>TRUE</v>
      </c>
      <c r="K1614" s="17" t="b">
        <f>Github!M$2157</f>
        <v>0</v>
      </c>
      <c r="L1614" s="17" t="b">
        <f>Github!N$2157</f>
        <v>0</v>
      </c>
      <c r="M1614" s="17" t="str">
        <f>ROUND(Github!O$2157, 2)&amp;"%"</f>
        <v>20.23%</v>
      </c>
      <c r="N1614" s="17">
        <f>Github!P$2157</f>
        <v>8292</v>
      </c>
      <c r="O1614" s="17">
        <f>Github!Q$2157</f>
        <v>40997</v>
      </c>
    </row>
    <row r="1615" ht="18.0" customHeight="1">
      <c r="A1615" s="17">
        <f>Github!J$1618</f>
        <v>1617</v>
      </c>
      <c r="B1615" s="27" t="str">
        <f>HYPERLINK(CONCAT("http://leetcode.com/problems/",Github!C$1618), Github!B$1618)</f>
        <v>Count Subtrees With Max Distance Between Cities</v>
      </c>
      <c r="C1615" s="17">
        <f>Github!F$1618</f>
        <v>283</v>
      </c>
      <c r="D1615" s="17">
        <f>Github!G$1618</f>
        <v>27</v>
      </c>
      <c r="E1615" s="17">
        <f>Github!F$1618+Github!G$1618</f>
        <v>310</v>
      </c>
      <c r="F1615" s="18">
        <f t="shared" si="1"/>
        <v>10.48</v>
      </c>
      <c r="G1615" s="17" t="str">
        <f>Github!H$1618</f>
        <v>Algorithms</v>
      </c>
      <c r="H1615" s="19" t="str">
        <f>SUBSTITUTE(Github!L$1618, ";", ", ")</f>
        <v>Dynamic Programming, Bit Manipulation, Tree, Enumeration, Bitmask, </v>
      </c>
      <c r="I1615" s="17" t="str">
        <f>Github!E$1618</f>
        <v>Hard</v>
      </c>
      <c r="J1615" s="17" t="str">
        <f>IF(TRIM(Github!D$1618)="TRUE","FALSE","TRUE")</f>
        <v>TRUE</v>
      </c>
      <c r="K1615" s="17" t="b">
        <f>Github!M$1618</f>
        <v>0</v>
      </c>
      <c r="L1615" s="17" t="b">
        <f>Github!N$1618</f>
        <v>0</v>
      </c>
      <c r="M1615" s="17" t="str">
        <f>ROUND(Github!O$1618, 2)&amp;"%"</f>
        <v>65.04%</v>
      </c>
      <c r="N1615" s="17">
        <f>Github!P$1618</f>
        <v>5796</v>
      </c>
      <c r="O1615" s="17">
        <f>Github!Q$1618</f>
        <v>8911</v>
      </c>
    </row>
    <row r="1616" ht="18.0" customHeight="1">
      <c r="A1616" s="17">
        <f>Github!J$2034</f>
        <v>2033</v>
      </c>
      <c r="B1616" s="27" t="str">
        <f>HYPERLINK(CONCAT("http://leetcode.com/problems/",Github!C$2034), Github!B$2034)</f>
        <v>Minimum Operations to Make a Uni-Value Grid</v>
      </c>
      <c r="C1616" s="17">
        <f>Github!F$2034</f>
        <v>285</v>
      </c>
      <c r="D1616" s="17">
        <f>Github!G$2034</f>
        <v>22</v>
      </c>
      <c r="E1616" s="17">
        <f>Github!F$2034+Github!G$2034</f>
        <v>307</v>
      </c>
      <c r="F1616" s="18">
        <f t="shared" si="1"/>
        <v>12.95</v>
      </c>
      <c r="G1616" s="17" t="str">
        <f>Github!H$2034</f>
        <v>Algorithms</v>
      </c>
      <c r="H1616" s="19" t="str">
        <f>SUBSTITUTE(Github!L$2034, ";", ", ")</f>
        <v>Array, Math, Sorting, Matrix, </v>
      </c>
      <c r="I1616" s="17" t="str">
        <f>Github!E$2034</f>
        <v>Medium</v>
      </c>
      <c r="J1616" s="17" t="str">
        <f>IF(TRIM(Github!D$2034)="TRUE","FALSE","TRUE")</f>
        <v>TRUE</v>
      </c>
      <c r="K1616" s="17" t="b">
        <f>Github!M$2034</f>
        <v>0</v>
      </c>
      <c r="L1616" s="17" t="b">
        <f>Github!N$2034</f>
        <v>0</v>
      </c>
      <c r="M1616" s="17" t="str">
        <f>ROUND(Github!O$2034, 2)&amp;"%"</f>
        <v>49.62%</v>
      </c>
      <c r="N1616" s="17">
        <f>Github!P$2034</f>
        <v>12290</v>
      </c>
      <c r="O1616" s="17">
        <f>Github!Q$2034</f>
        <v>24766</v>
      </c>
    </row>
    <row r="1617" ht="18.0" customHeight="1">
      <c r="A1617" s="17">
        <f>Github!J$2087</f>
        <v>2086</v>
      </c>
      <c r="B1617" s="27" t="str">
        <f>HYPERLINK(CONCAT("http://leetcode.com/problems/",Github!C$2087), Github!B$2087)</f>
        <v>Minimum Number of Buckets Required to Collect Rainwater from Houses</v>
      </c>
      <c r="C1617" s="17">
        <f>Github!F$2087</f>
        <v>282</v>
      </c>
      <c r="D1617" s="17">
        <f>Github!G$2087</f>
        <v>13</v>
      </c>
      <c r="E1617" s="17">
        <f>Github!F$2087+Github!G$2087</f>
        <v>295</v>
      </c>
      <c r="F1617" s="18">
        <f t="shared" si="1"/>
        <v>21.69</v>
      </c>
      <c r="G1617" s="17" t="str">
        <f>Github!H$2087</f>
        <v>Algorithms</v>
      </c>
      <c r="H1617" s="19" t="str">
        <f>SUBSTITUTE(Github!L$2087, ";", ", ")</f>
        <v>String, Dynamic Programming, Greedy, </v>
      </c>
      <c r="I1617" s="17" t="str">
        <f>Github!E$2087</f>
        <v>Medium</v>
      </c>
      <c r="J1617" s="17" t="str">
        <f>IF(TRIM(Github!D$2087)="TRUE","FALSE","TRUE")</f>
        <v>TRUE</v>
      </c>
      <c r="K1617" s="17" t="b">
        <f>Github!M$2087</f>
        <v>0</v>
      </c>
      <c r="L1617" s="17" t="b">
        <f>Github!N$2087</f>
        <v>0</v>
      </c>
      <c r="M1617" s="17" t="str">
        <f>ROUND(Github!O$2087, 2)&amp;"%"</f>
        <v>45.25%</v>
      </c>
      <c r="N1617" s="17">
        <f>Github!P$2087</f>
        <v>8927</v>
      </c>
      <c r="O1617" s="17">
        <f>Github!Q$2087</f>
        <v>19727</v>
      </c>
    </row>
    <row r="1618" ht="18.0" customHeight="1">
      <c r="A1618" s="17">
        <f>Github!J$1041</f>
        <v>1040</v>
      </c>
      <c r="B1618" s="27" t="str">
        <f>HYPERLINK(CONCAT("http://leetcode.com/problems/",Github!C$1041), Github!B$1041)</f>
        <v>Moving Stones Until Consecutive II</v>
      </c>
      <c r="C1618" s="17">
        <f>Github!F$1041</f>
        <v>281</v>
      </c>
      <c r="D1618" s="17">
        <f>Github!G$1041</f>
        <v>493</v>
      </c>
      <c r="E1618" s="17">
        <f>Github!F$1041+Github!G$1041</f>
        <v>774</v>
      </c>
      <c r="F1618" s="18">
        <f t="shared" si="1"/>
        <v>0.57</v>
      </c>
      <c r="G1618" s="17" t="str">
        <f>Github!H$1041</f>
        <v>Algorithms</v>
      </c>
      <c r="H1618" s="19" t="str">
        <f>SUBSTITUTE(Github!L$1041, ";", ", ")</f>
        <v>Array, Math, Two Pointers, Sorting, </v>
      </c>
      <c r="I1618" s="17" t="str">
        <f>Github!E$1041</f>
        <v>Medium</v>
      </c>
      <c r="J1618" s="17" t="str">
        <f>IF(TRIM(Github!D$1041)="TRUE","FALSE","TRUE")</f>
        <v>TRUE</v>
      </c>
      <c r="K1618" s="17" t="b">
        <f>Github!M$1041</f>
        <v>0</v>
      </c>
      <c r="L1618" s="17" t="b">
        <f>Github!N$1041</f>
        <v>0</v>
      </c>
      <c r="M1618" s="17" t="str">
        <f>ROUND(Github!O$1041, 2)&amp;"%"</f>
        <v>55.35%</v>
      </c>
      <c r="N1618" s="17">
        <f>Github!P$1041</f>
        <v>7512</v>
      </c>
      <c r="O1618" s="17">
        <f>Github!Q$1041</f>
        <v>13570</v>
      </c>
    </row>
    <row r="1619" ht="18.0" customHeight="1">
      <c r="A1619" s="17">
        <f>Github!J$2109</f>
        <v>2108</v>
      </c>
      <c r="B1619" s="27" t="str">
        <f>HYPERLINK(CONCAT("http://leetcode.com/problems/",Github!C$2109), Github!B$2109)</f>
        <v>Find First Palindromic String in the Array</v>
      </c>
      <c r="C1619" s="17">
        <f>Github!F$2109</f>
        <v>281</v>
      </c>
      <c r="D1619" s="17">
        <f>Github!G$2109</f>
        <v>9</v>
      </c>
      <c r="E1619" s="17">
        <f>Github!F$2109+Github!G$2109</f>
        <v>290</v>
      </c>
      <c r="F1619" s="18">
        <f t="shared" si="1"/>
        <v>31.22</v>
      </c>
      <c r="G1619" s="17" t="str">
        <f>Github!H$2109</f>
        <v>Algorithms</v>
      </c>
      <c r="H1619" s="19" t="str">
        <f>SUBSTITUTE(Github!L$2109, ";", ", ")</f>
        <v>Array, Two Pointers, String, </v>
      </c>
      <c r="I1619" s="17" t="str">
        <f>Github!E$2109</f>
        <v>Easy</v>
      </c>
      <c r="J1619" s="17" t="str">
        <f>IF(TRIM(Github!D$2109)="TRUE","FALSE","TRUE")</f>
        <v>TRUE</v>
      </c>
      <c r="K1619" s="17" t="b">
        <f>Github!M$2109</f>
        <v>0</v>
      </c>
      <c r="L1619" s="17" t="b">
        <f>Github!N$2109</f>
        <v>0</v>
      </c>
      <c r="M1619" s="17" t="str">
        <f>ROUND(Github!O$2109, 2)&amp;"%"</f>
        <v>80.01%</v>
      </c>
      <c r="N1619" s="17">
        <f>Github!P$2109</f>
        <v>34822</v>
      </c>
      <c r="O1619" s="17">
        <f>Github!Q$2109</f>
        <v>43520</v>
      </c>
    </row>
    <row r="1620" ht="18.0" customHeight="1">
      <c r="A1620" s="17">
        <f>Github!J$1271</f>
        <v>1270</v>
      </c>
      <c r="B1620" s="27" t="str">
        <f>HYPERLINK(CONCAT("http://leetcode.com/problems/",Github!C$1271), Github!B$1271)</f>
        <v>All People Report to the Given Manager</v>
      </c>
      <c r="C1620" s="17">
        <f>Github!F$1271</f>
        <v>280</v>
      </c>
      <c r="D1620" s="17">
        <f>Github!G$1271</f>
        <v>21</v>
      </c>
      <c r="E1620" s="17">
        <f>Github!F$1271+Github!G$1271</f>
        <v>301</v>
      </c>
      <c r="F1620" s="18">
        <f t="shared" si="1"/>
        <v>13.33</v>
      </c>
      <c r="G1620" s="17" t="str">
        <f>Github!H$1271</f>
        <v>Database</v>
      </c>
      <c r="H1620" s="19" t="str">
        <f>SUBSTITUTE(Github!L$1271, ";", ", ")</f>
        <v>Database, </v>
      </c>
      <c r="I1620" s="17" t="str">
        <f>Github!E$1271</f>
        <v>Medium</v>
      </c>
      <c r="J1620" s="17" t="str">
        <f>IF(TRIM(Github!D$1271)="TRUE","FALSE","TRUE")</f>
        <v>FALSE</v>
      </c>
      <c r="K1620" s="17" t="b">
        <f>Github!M$1271</f>
        <v>0</v>
      </c>
      <c r="L1620" s="17" t="b">
        <f>Github!N$1271</f>
        <v>0</v>
      </c>
      <c r="M1620" s="17" t="str">
        <f>ROUND(Github!O$1271, 2)&amp;"%"</f>
        <v>88.05%</v>
      </c>
      <c r="N1620" s="17">
        <f>Github!P$1271</f>
        <v>36337</v>
      </c>
      <c r="O1620" s="17">
        <f>Github!Q$1271</f>
        <v>41268</v>
      </c>
    </row>
    <row r="1621" ht="18.0" customHeight="1">
      <c r="A1621" s="17">
        <f>Github!J$1932</f>
        <v>1931</v>
      </c>
      <c r="B1621" s="27" t="str">
        <f>HYPERLINK(CONCAT("http://leetcode.com/problems/",Github!C$1932), Github!B$1932)</f>
        <v>Painting a Grid With Three Different Colors</v>
      </c>
      <c r="C1621" s="17">
        <f>Github!F$1932</f>
        <v>280</v>
      </c>
      <c r="D1621" s="17">
        <f>Github!G$1932</f>
        <v>13</v>
      </c>
      <c r="E1621" s="17">
        <f>Github!F$1932+Github!G$1932</f>
        <v>293</v>
      </c>
      <c r="F1621" s="18">
        <f t="shared" si="1"/>
        <v>21.54</v>
      </c>
      <c r="G1621" s="17" t="str">
        <f>Github!H$1932</f>
        <v>Algorithms</v>
      </c>
      <c r="H1621" s="19" t="str">
        <f>SUBSTITUTE(Github!L$1932, ";", ", ")</f>
        <v>Dynamic Programming, </v>
      </c>
      <c r="I1621" s="17" t="str">
        <f>Github!E$1932</f>
        <v>Hard</v>
      </c>
      <c r="J1621" s="17" t="str">
        <f>IF(TRIM(Github!D$1932)="TRUE","FALSE","TRUE")</f>
        <v>TRUE</v>
      </c>
      <c r="K1621" s="17" t="b">
        <f>Github!M$1932</f>
        <v>0</v>
      </c>
      <c r="L1621" s="17" t="b">
        <f>Github!N$1932</f>
        <v>0</v>
      </c>
      <c r="M1621" s="17" t="str">
        <f>ROUND(Github!O$1932, 2)&amp;"%"</f>
        <v>56.7%</v>
      </c>
      <c r="N1621" s="17">
        <f>Github!P$1932</f>
        <v>5689</v>
      </c>
      <c r="O1621" s="17">
        <f>Github!Q$1932</f>
        <v>10034</v>
      </c>
    </row>
    <row r="1622" ht="18.0" customHeight="1">
      <c r="A1622" s="17">
        <f>Github!J$2182</f>
        <v>2181</v>
      </c>
      <c r="B1622" s="27" t="str">
        <f>HYPERLINK(CONCAT("http://leetcode.com/problems/",Github!C$2182), Github!B$2182)</f>
        <v>Merge Nodes in Between Zeros</v>
      </c>
      <c r="C1622" s="17">
        <f>Github!F$2182</f>
        <v>282</v>
      </c>
      <c r="D1622" s="17">
        <f>Github!G$2182</f>
        <v>6</v>
      </c>
      <c r="E1622" s="17">
        <f>Github!F$2182+Github!G$2182</f>
        <v>288</v>
      </c>
      <c r="F1622" s="18">
        <f t="shared" si="1"/>
        <v>47</v>
      </c>
      <c r="G1622" s="17" t="str">
        <f>Github!H$2182</f>
        <v>Algorithms</v>
      </c>
      <c r="H1622" s="19" t="str">
        <f>SUBSTITUTE(Github!L$2182, ";", ", ")</f>
        <v>Linked List, Simulation, </v>
      </c>
      <c r="I1622" s="17" t="str">
        <f>Github!E$2182</f>
        <v>Medium</v>
      </c>
      <c r="J1622" s="17" t="str">
        <f>IF(TRIM(Github!D$2182)="TRUE","FALSE","TRUE")</f>
        <v>TRUE</v>
      </c>
      <c r="K1622" s="17" t="b">
        <f>Github!M$2182</f>
        <v>0</v>
      </c>
      <c r="L1622" s="17" t="b">
        <f>Github!N$2182</f>
        <v>0</v>
      </c>
      <c r="M1622" s="17" t="str">
        <f>ROUND(Github!O$2182, 2)&amp;"%"</f>
        <v>87.5%</v>
      </c>
      <c r="N1622" s="17">
        <f>Github!P$2182</f>
        <v>21579</v>
      </c>
      <c r="O1622" s="17">
        <f>Github!Q$2182</f>
        <v>24661</v>
      </c>
    </row>
    <row r="1623" ht="18.0" customHeight="1">
      <c r="A1623" s="17">
        <f>Github!J$1549</f>
        <v>1548</v>
      </c>
      <c r="B1623" s="27" t="str">
        <f>HYPERLINK(CONCAT("http://leetcode.com/problems/",Github!C$1549), Github!B$1549)</f>
        <v>The Most Similar Path in a Graph</v>
      </c>
      <c r="C1623" s="17">
        <f>Github!F$1549</f>
        <v>279</v>
      </c>
      <c r="D1623" s="17">
        <f>Github!G$1549</f>
        <v>134</v>
      </c>
      <c r="E1623" s="17">
        <f>Github!F$1549+Github!G$1549</f>
        <v>413</v>
      </c>
      <c r="F1623" s="18">
        <f t="shared" si="1"/>
        <v>2.08</v>
      </c>
      <c r="G1623" s="17" t="str">
        <f>Github!H$1549</f>
        <v>Algorithms</v>
      </c>
      <c r="H1623" s="19" t="str">
        <f>SUBSTITUTE(Github!L$1549, ";", ", ")</f>
        <v>Dynamic Programming, Graph, </v>
      </c>
      <c r="I1623" s="17" t="str">
        <f>Github!E$1549</f>
        <v>Hard</v>
      </c>
      <c r="J1623" s="17" t="str">
        <f>IF(TRIM(Github!D$1549)="TRUE","FALSE","TRUE")</f>
        <v>FALSE</v>
      </c>
      <c r="K1623" s="17" t="b">
        <f>Github!M$1549</f>
        <v>0</v>
      </c>
      <c r="L1623" s="17" t="b">
        <f>Github!N$1549</f>
        <v>0</v>
      </c>
      <c r="M1623" s="17" t="str">
        <f>ROUND(Github!O$1549, 2)&amp;"%"</f>
        <v>57.05%</v>
      </c>
      <c r="N1623" s="17">
        <f>Github!P$1549</f>
        <v>13122</v>
      </c>
      <c r="O1623" s="17">
        <f>Github!Q$1549</f>
        <v>23002</v>
      </c>
    </row>
    <row r="1624" ht="18.0" customHeight="1">
      <c r="A1624" s="17">
        <f>Github!J$1091</f>
        <v>1090</v>
      </c>
      <c r="B1624" s="27" t="str">
        <f>HYPERLINK(CONCAT("http://leetcode.com/problems/",Github!C$1091), Github!B$1091)</f>
        <v>Largest Values From Labels</v>
      </c>
      <c r="C1624" s="17">
        <f>Github!F$1091</f>
        <v>278</v>
      </c>
      <c r="D1624" s="17">
        <f>Github!G$1091</f>
        <v>548</v>
      </c>
      <c r="E1624" s="17">
        <f>Github!F$1091+Github!G$1091</f>
        <v>826</v>
      </c>
      <c r="F1624" s="18">
        <f t="shared" si="1"/>
        <v>0.51</v>
      </c>
      <c r="G1624" s="17" t="str">
        <f>Github!H$1091</f>
        <v>Algorithms</v>
      </c>
      <c r="H1624" s="19" t="str">
        <f>SUBSTITUTE(Github!L$1091, ";", ", ")</f>
        <v>Array, Hash Table, Greedy, Sorting, Counting, </v>
      </c>
      <c r="I1624" s="17" t="str">
        <f>Github!E$1091</f>
        <v>Medium</v>
      </c>
      <c r="J1624" s="17" t="str">
        <f>IF(TRIM(Github!D$1091)="TRUE","FALSE","TRUE")</f>
        <v>TRUE</v>
      </c>
      <c r="K1624" s="17" t="b">
        <f>Github!M$1091</f>
        <v>0</v>
      </c>
      <c r="L1624" s="17" t="b">
        <f>Github!N$1091</f>
        <v>0</v>
      </c>
      <c r="M1624" s="17" t="str">
        <f>ROUND(Github!O$1091, 2)&amp;"%"</f>
        <v>60.47%</v>
      </c>
      <c r="N1624" s="17">
        <f>Github!P$1091</f>
        <v>26729</v>
      </c>
      <c r="O1624" s="17">
        <f>Github!Q$1091</f>
        <v>44202</v>
      </c>
    </row>
    <row r="1625" ht="18.0" customHeight="1">
      <c r="A1625" s="17">
        <f>Github!J$1808</f>
        <v>1807</v>
      </c>
      <c r="B1625" s="27" t="str">
        <f>HYPERLINK(CONCAT("http://leetcode.com/problems/",Github!C$1808), Github!B$1808)</f>
        <v>Evaluate the Bracket Pairs of a String</v>
      </c>
      <c r="C1625" s="17">
        <f>Github!F$1808</f>
        <v>277</v>
      </c>
      <c r="D1625" s="17">
        <f>Github!G$1808</f>
        <v>26</v>
      </c>
      <c r="E1625" s="17">
        <f>Github!F$1808+Github!G$1808</f>
        <v>303</v>
      </c>
      <c r="F1625" s="18">
        <f t="shared" si="1"/>
        <v>10.65</v>
      </c>
      <c r="G1625" s="17" t="str">
        <f>Github!H$1808</f>
        <v>Algorithms</v>
      </c>
      <c r="H1625" s="19" t="str">
        <f>SUBSTITUTE(Github!L$1808, ";", ", ")</f>
        <v>Array, Hash Table, String, </v>
      </c>
      <c r="I1625" s="17" t="str">
        <f>Github!E$1808</f>
        <v>Medium</v>
      </c>
      <c r="J1625" s="17" t="str">
        <f>IF(TRIM(Github!D$1808)="TRUE","FALSE","TRUE")</f>
        <v>TRUE</v>
      </c>
      <c r="K1625" s="17" t="b">
        <f>Github!M$1808</f>
        <v>0</v>
      </c>
      <c r="L1625" s="17" t="b">
        <f>Github!N$1808</f>
        <v>0</v>
      </c>
      <c r="M1625" s="17" t="str">
        <f>ROUND(Github!O$1808, 2)&amp;"%"</f>
        <v>66.74%</v>
      </c>
      <c r="N1625" s="17">
        <f>Github!P$1808</f>
        <v>18063</v>
      </c>
      <c r="O1625" s="17">
        <f>Github!Q$1808</f>
        <v>27064</v>
      </c>
    </row>
    <row r="1626" ht="18.0" customHeight="1">
      <c r="A1626" s="17">
        <f>Github!J$1865</f>
        <v>1864</v>
      </c>
      <c r="B1626" s="27" t="str">
        <f>HYPERLINK(CONCAT("http://leetcode.com/problems/",Github!C$1865), Github!B$1865)</f>
        <v>Minimum Number of Swaps to Make the Binary String Alternating</v>
      </c>
      <c r="C1626" s="17">
        <f>Github!F$1865</f>
        <v>280</v>
      </c>
      <c r="D1626" s="17">
        <f>Github!G$1865</f>
        <v>22</v>
      </c>
      <c r="E1626" s="17">
        <f>Github!F$1865+Github!G$1865</f>
        <v>302</v>
      </c>
      <c r="F1626" s="18">
        <f t="shared" si="1"/>
        <v>12.73</v>
      </c>
      <c r="G1626" s="17" t="str">
        <f>Github!H$1865</f>
        <v>Algorithms</v>
      </c>
      <c r="H1626" s="19" t="str">
        <f>SUBSTITUTE(Github!L$1865, ";", ", ")</f>
        <v>String, Greedy, </v>
      </c>
      <c r="I1626" s="17" t="str">
        <f>Github!E$1865</f>
        <v>Medium</v>
      </c>
      <c r="J1626" s="17" t="str">
        <f>IF(TRIM(Github!D$1865)="TRUE","FALSE","TRUE")</f>
        <v>TRUE</v>
      </c>
      <c r="K1626" s="17" t="b">
        <f>Github!M$1865</f>
        <v>0</v>
      </c>
      <c r="L1626" s="17" t="b">
        <f>Github!N$1865</f>
        <v>0</v>
      </c>
      <c r="M1626" s="17" t="str">
        <f>ROUND(Github!O$1865, 2)&amp;"%"</f>
        <v>38.31%</v>
      </c>
      <c r="N1626" s="17">
        <f>Github!P$1865</f>
        <v>12528</v>
      </c>
      <c r="O1626" s="17">
        <f>Github!Q$1865</f>
        <v>32704</v>
      </c>
    </row>
    <row r="1627" ht="18.0" customHeight="1">
      <c r="A1627" s="17">
        <f>Github!J$2126</f>
        <v>2125</v>
      </c>
      <c r="B1627" s="27" t="str">
        <f>HYPERLINK(CONCAT("http://leetcode.com/problems/",Github!C$2126), Github!B$2126)</f>
        <v>Number of Laser Beams in a Bank</v>
      </c>
      <c r="C1627" s="17">
        <f>Github!F$2126</f>
        <v>277</v>
      </c>
      <c r="D1627" s="17">
        <f>Github!G$2126</f>
        <v>21</v>
      </c>
      <c r="E1627" s="17">
        <f>Github!F$2126+Github!G$2126</f>
        <v>298</v>
      </c>
      <c r="F1627" s="18">
        <f t="shared" si="1"/>
        <v>13.19</v>
      </c>
      <c r="G1627" s="17" t="str">
        <f>Github!H$2126</f>
        <v>Algorithms</v>
      </c>
      <c r="H1627" s="19" t="str">
        <f>SUBSTITUTE(Github!L$2126, ";", ", ")</f>
        <v>Array, Math, String, Matrix, </v>
      </c>
      <c r="I1627" s="17" t="str">
        <f>Github!E$2126</f>
        <v>Medium</v>
      </c>
      <c r="J1627" s="17" t="str">
        <f>IF(TRIM(Github!D$2126)="TRUE","FALSE","TRUE")</f>
        <v>TRUE</v>
      </c>
      <c r="K1627" s="17" t="b">
        <f>Github!M$2126</f>
        <v>0</v>
      </c>
      <c r="L1627" s="17" t="b">
        <f>Github!N$2126</f>
        <v>0</v>
      </c>
      <c r="M1627" s="17" t="str">
        <f>ROUND(Github!O$2126, 2)&amp;"%"</f>
        <v>83.37%</v>
      </c>
      <c r="N1627" s="17">
        <f>Github!P$2126</f>
        <v>21480</v>
      </c>
      <c r="O1627" s="17">
        <f>Github!Q$2126</f>
        <v>25766</v>
      </c>
    </row>
    <row r="1628" ht="18.0" customHeight="1">
      <c r="A1628" s="17">
        <f>Github!J$380</f>
        <v>379</v>
      </c>
      <c r="B1628" s="27" t="str">
        <f>HYPERLINK(CONCAT("http://leetcode.com/problems/",Github!C$380), Github!B$380)</f>
        <v>Design Phone Directory</v>
      </c>
      <c r="C1628" s="17">
        <f>Github!F$380</f>
        <v>276</v>
      </c>
      <c r="D1628" s="17">
        <f>Github!G$380</f>
        <v>384</v>
      </c>
      <c r="E1628" s="17">
        <f>Github!F$380+Github!G$380</f>
        <v>660</v>
      </c>
      <c r="F1628" s="18">
        <f t="shared" si="1"/>
        <v>0.72</v>
      </c>
      <c r="G1628" s="17" t="str">
        <f>Github!H$380</f>
        <v>Algorithms</v>
      </c>
      <c r="H1628" s="19" t="str">
        <f>SUBSTITUTE(Github!L$380, ";", ", ")</f>
        <v>Array, Hash Table, Linked List, Design, Queue, </v>
      </c>
      <c r="I1628" s="17" t="str">
        <f>Github!E$380</f>
        <v>Medium</v>
      </c>
      <c r="J1628" s="17" t="str">
        <f>IF(TRIM(Github!D$380)="TRUE","FALSE","TRUE")</f>
        <v>FALSE</v>
      </c>
      <c r="K1628" s="17" t="b">
        <f>Github!M$380</f>
        <v>0</v>
      </c>
      <c r="L1628" s="17" t="b">
        <f>Github!N$380</f>
        <v>0</v>
      </c>
      <c r="M1628" s="17" t="str">
        <f>ROUND(Github!O$380, 2)&amp;"%"</f>
        <v>50.17%</v>
      </c>
      <c r="N1628" s="17">
        <f>Github!P$380</f>
        <v>53514</v>
      </c>
      <c r="O1628" s="17">
        <f>Github!Q$380</f>
        <v>106674</v>
      </c>
    </row>
    <row r="1629" ht="18.0" customHeight="1">
      <c r="A1629" s="17">
        <f>Github!J$667</f>
        <v>666</v>
      </c>
      <c r="B1629" s="27" t="str">
        <f>HYPERLINK(CONCAT("http://leetcode.com/problems/",Github!C$667), Github!B$667)</f>
        <v>Path Sum IV</v>
      </c>
      <c r="C1629" s="17">
        <f>Github!F$667</f>
        <v>276</v>
      </c>
      <c r="D1629" s="17">
        <f>Github!G$667</f>
        <v>368</v>
      </c>
      <c r="E1629" s="17">
        <f>Github!F$667+Github!G$667</f>
        <v>644</v>
      </c>
      <c r="F1629" s="18">
        <f t="shared" si="1"/>
        <v>0.75</v>
      </c>
      <c r="G1629" s="17" t="str">
        <f>Github!H$667</f>
        <v>Algorithms</v>
      </c>
      <c r="H1629" s="19" t="str">
        <f>SUBSTITUTE(Github!L$667, ";", ", ")</f>
        <v>Array, Tree, Depth-First Search, Binary Tree, </v>
      </c>
      <c r="I1629" s="17" t="str">
        <f>Github!E$667</f>
        <v>Medium</v>
      </c>
      <c r="J1629" s="17" t="str">
        <f>IF(TRIM(Github!D$667)="TRUE","FALSE","TRUE")</f>
        <v>FALSE</v>
      </c>
      <c r="K1629" s="17" t="b">
        <f>Github!M$667</f>
        <v>1</v>
      </c>
      <c r="L1629" s="17" t="b">
        <f>Github!N$667</f>
        <v>0</v>
      </c>
      <c r="M1629" s="17" t="str">
        <f>ROUND(Github!O$667, 2)&amp;"%"</f>
        <v>58.45%</v>
      </c>
      <c r="N1629" s="17">
        <f>Github!P$667</f>
        <v>19058</v>
      </c>
      <c r="O1629" s="17">
        <f>Github!Q$667</f>
        <v>32606</v>
      </c>
    </row>
    <row r="1630" ht="18.0" customHeight="1">
      <c r="A1630" s="17">
        <f>Github!J$2041</f>
        <v>2040</v>
      </c>
      <c r="B1630" s="27" t="str">
        <f>HYPERLINK(CONCAT("http://leetcode.com/problems/",Github!C$2041), Github!B$2041)</f>
        <v>Kth Smallest Product of Two Sorted Arrays</v>
      </c>
      <c r="C1630" s="17">
        <f>Github!F$2041</f>
        <v>276</v>
      </c>
      <c r="D1630" s="17">
        <f>Github!G$2041</f>
        <v>14</v>
      </c>
      <c r="E1630" s="17">
        <f>Github!F$2041+Github!G$2041</f>
        <v>290</v>
      </c>
      <c r="F1630" s="18">
        <f t="shared" si="1"/>
        <v>19.71</v>
      </c>
      <c r="G1630" s="17" t="str">
        <f>Github!H$2041</f>
        <v>Algorithms</v>
      </c>
      <c r="H1630" s="19" t="str">
        <f>SUBSTITUTE(Github!L$2041, ";", ", ")</f>
        <v>Array, Binary Search, </v>
      </c>
      <c r="I1630" s="17" t="str">
        <f>Github!E$2041</f>
        <v>Hard</v>
      </c>
      <c r="J1630" s="17" t="str">
        <f>IF(TRIM(Github!D$2041)="TRUE","FALSE","TRUE")</f>
        <v>TRUE</v>
      </c>
      <c r="K1630" s="17" t="b">
        <f>Github!M$2041</f>
        <v>0</v>
      </c>
      <c r="L1630" s="17" t="b">
        <f>Github!N$2041</f>
        <v>0</v>
      </c>
      <c r="M1630" s="17" t="str">
        <f>ROUND(Github!O$2041, 2)&amp;"%"</f>
        <v>26.69%</v>
      </c>
      <c r="N1630" s="17">
        <f>Github!P$2041</f>
        <v>4309</v>
      </c>
      <c r="O1630" s="17">
        <f>Github!Q$2041</f>
        <v>16144</v>
      </c>
    </row>
    <row r="1631" ht="18.0" customHeight="1">
      <c r="A1631" s="17">
        <f>Github!J$735</f>
        <v>734</v>
      </c>
      <c r="B1631" s="27" t="str">
        <f>HYPERLINK(CONCAT("http://leetcode.com/problems/",Github!C$735), Github!B$735)</f>
        <v>Sentence Similarity</v>
      </c>
      <c r="C1631" s="17">
        <f>Github!F$735</f>
        <v>275</v>
      </c>
      <c r="D1631" s="17">
        <f>Github!G$735</f>
        <v>437</v>
      </c>
      <c r="E1631" s="17">
        <f>Github!F$735+Github!G$735</f>
        <v>712</v>
      </c>
      <c r="F1631" s="18">
        <f t="shared" si="1"/>
        <v>0.63</v>
      </c>
      <c r="G1631" s="17" t="str">
        <f>Github!H$735</f>
        <v>Algorithms</v>
      </c>
      <c r="H1631" s="19" t="str">
        <f>SUBSTITUTE(Github!L$735, ";", ", ")</f>
        <v>Array, Hash Table, String, </v>
      </c>
      <c r="I1631" s="17" t="str">
        <f>Github!E$735</f>
        <v>Easy</v>
      </c>
      <c r="J1631" s="17" t="str">
        <f>IF(TRIM(Github!D$735)="TRUE","FALSE","TRUE")</f>
        <v>FALSE</v>
      </c>
      <c r="K1631" s="17" t="b">
        <f>Github!M$735</f>
        <v>0</v>
      </c>
      <c r="L1631" s="17" t="b">
        <f>Github!N$735</f>
        <v>0</v>
      </c>
      <c r="M1631" s="17" t="str">
        <f>ROUND(Github!O$735, 2)&amp;"%"</f>
        <v>42.94%</v>
      </c>
      <c r="N1631" s="17">
        <f>Github!P$735</f>
        <v>49491</v>
      </c>
      <c r="O1631" s="17">
        <f>Github!Q$735</f>
        <v>115270</v>
      </c>
    </row>
    <row r="1632" ht="18.0" customHeight="1">
      <c r="A1632" s="17">
        <f>Github!J$1475</f>
        <v>1474</v>
      </c>
      <c r="B1632" s="27" t="str">
        <f>HYPERLINK(CONCAT("http://leetcode.com/problems/",Github!C$1475), Github!B$1475)</f>
        <v>Delete N Nodes After M Nodes of a Linked List</v>
      </c>
      <c r="C1632" s="17">
        <f>Github!F$1475</f>
        <v>275</v>
      </c>
      <c r="D1632" s="17">
        <f>Github!G$1475</f>
        <v>8</v>
      </c>
      <c r="E1632" s="17">
        <f>Github!F$1475+Github!G$1475</f>
        <v>283</v>
      </c>
      <c r="F1632" s="18">
        <f t="shared" si="1"/>
        <v>34.38</v>
      </c>
      <c r="G1632" s="17" t="str">
        <f>Github!H$1475</f>
        <v>Algorithms</v>
      </c>
      <c r="H1632" s="19" t="str">
        <f>SUBSTITUTE(Github!L$1475, ";", ", ")</f>
        <v>Linked List, </v>
      </c>
      <c r="I1632" s="17" t="str">
        <f>Github!E$1475</f>
        <v>Easy</v>
      </c>
      <c r="J1632" s="17" t="str">
        <f>IF(TRIM(Github!D$1475)="TRUE","FALSE","TRUE")</f>
        <v>FALSE</v>
      </c>
      <c r="K1632" s="17" t="b">
        <f>Github!M$1475</f>
        <v>1</v>
      </c>
      <c r="L1632" s="17" t="b">
        <f>Github!N$1475</f>
        <v>0</v>
      </c>
      <c r="M1632" s="17" t="str">
        <f>ROUND(Github!O$1475, 2)&amp;"%"</f>
        <v>73.57%</v>
      </c>
      <c r="N1632" s="17">
        <f>Github!P$1475</f>
        <v>18729</v>
      </c>
      <c r="O1632" s="17">
        <f>Github!Q$1475</f>
        <v>25459</v>
      </c>
    </row>
    <row r="1633" ht="18.0" customHeight="1">
      <c r="A1633" s="17">
        <f>Github!J$1863</f>
        <v>1862</v>
      </c>
      <c r="B1633" s="27" t="str">
        <f>HYPERLINK(CONCAT("http://leetcode.com/problems/",Github!C$1863), Github!B$1863)</f>
        <v>Sum of Floored Pairs</v>
      </c>
      <c r="C1633" s="17">
        <f>Github!F$1863</f>
        <v>275</v>
      </c>
      <c r="D1633" s="17">
        <f>Github!G$1863</f>
        <v>22</v>
      </c>
      <c r="E1633" s="17">
        <f>Github!F$1863+Github!G$1863</f>
        <v>297</v>
      </c>
      <c r="F1633" s="18">
        <f t="shared" si="1"/>
        <v>12.5</v>
      </c>
      <c r="G1633" s="17" t="str">
        <f>Github!H$1863</f>
        <v>Algorithms</v>
      </c>
      <c r="H1633" s="19" t="str">
        <f>SUBSTITUTE(Github!L$1863, ";", ", ")</f>
        <v>Array, Math, Binary Search, Prefix Sum, </v>
      </c>
      <c r="I1633" s="17" t="str">
        <f>Github!E$1863</f>
        <v>Hard</v>
      </c>
      <c r="J1633" s="17" t="str">
        <f>IF(TRIM(Github!D$1863)="TRUE","FALSE","TRUE")</f>
        <v>TRUE</v>
      </c>
      <c r="K1633" s="17" t="b">
        <f>Github!M$1863</f>
        <v>0</v>
      </c>
      <c r="L1633" s="17" t="b">
        <f>Github!N$1863</f>
        <v>0</v>
      </c>
      <c r="M1633" s="17" t="str">
        <f>ROUND(Github!O$1863, 2)&amp;"%"</f>
        <v>27.76%</v>
      </c>
      <c r="N1633" s="17">
        <f>Github!P$1863</f>
        <v>5662</v>
      </c>
      <c r="O1633" s="17">
        <f>Github!Q$1863</f>
        <v>20398</v>
      </c>
    </row>
    <row r="1634" ht="18.0" customHeight="1">
      <c r="A1634" s="17">
        <f>Github!J$2013</f>
        <v>2012</v>
      </c>
      <c r="B1634" s="27" t="str">
        <f>HYPERLINK(CONCAT("http://leetcode.com/problems/",Github!C$2013), Github!B$2013)</f>
        <v>Sum of Beauty in the Array</v>
      </c>
      <c r="C1634" s="17">
        <f>Github!F$2013</f>
        <v>275</v>
      </c>
      <c r="D1634" s="17">
        <f>Github!G$2013</f>
        <v>26</v>
      </c>
      <c r="E1634" s="17">
        <f>Github!F$2013+Github!G$2013</f>
        <v>301</v>
      </c>
      <c r="F1634" s="18">
        <f t="shared" si="1"/>
        <v>10.58</v>
      </c>
      <c r="G1634" s="17" t="str">
        <f>Github!H$2013</f>
        <v>Algorithms</v>
      </c>
      <c r="H1634" s="19" t="str">
        <f>SUBSTITUTE(Github!L$2013, ";", ", ")</f>
        <v>Array, </v>
      </c>
      <c r="I1634" s="17" t="str">
        <f>Github!E$2013</f>
        <v>Medium</v>
      </c>
      <c r="J1634" s="17" t="str">
        <f>IF(TRIM(Github!D$2013)="TRUE","FALSE","TRUE")</f>
        <v>TRUE</v>
      </c>
      <c r="K1634" s="17" t="b">
        <f>Github!M$2013</f>
        <v>0</v>
      </c>
      <c r="L1634" s="17" t="b">
        <f>Github!N$2013</f>
        <v>0</v>
      </c>
      <c r="M1634" s="17" t="str">
        <f>ROUND(Github!O$2013, 2)&amp;"%"</f>
        <v>45.48%</v>
      </c>
      <c r="N1634" s="17">
        <f>Github!P$2013</f>
        <v>13003</v>
      </c>
      <c r="O1634" s="17">
        <f>Github!Q$2013</f>
        <v>28589</v>
      </c>
    </row>
    <row r="1635" ht="18.0" customHeight="1">
      <c r="A1635" s="17">
        <f>Github!J$423</f>
        <v>422</v>
      </c>
      <c r="B1635" s="27" t="str">
        <f>HYPERLINK(CONCAT("http://leetcode.com/problems/",Github!C$423), Github!B$423)</f>
        <v>Valid Word Square</v>
      </c>
      <c r="C1635" s="17">
        <f>Github!F$423</f>
        <v>274</v>
      </c>
      <c r="D1635" s="17">
        <f>Github!G$423</f>
        <v>169</v>
      </c>
      <c r="E1635" s="17">
        <f>Github!F$423+Github!G$423</f>
        <v>443</v>
      </c>
      <c r="F1635" s="18">
        <f t="shared" si="1"/>
        <v>1.62</v>
      </c>
      <c r="G1635" s="17" t="str">
        <f>Github!H$423</f>
        <v>Algorithms</v>
      </c>
      <c r="H1635" s="19" t="str">
        <f>SUBSTITUTE(Github!L$423, ";", ", ")</f>
        <v>Array, Matrix, </v>
      </c>
      <c r="I1635" s="17" t="str">
        <f>Github!E$423</f>
        <v>Easy</v>
      </c>
      <c r="J1635" s="17" t="str">
        <f>IF(TRIM(Github!D$423)="TRUE","FALSE","TRUE")</f>
        <v>FALSE</v>
      </c>
      <c r="K1635" s="17" t="b">
        <f>Github!M$423</f>
        <v>0</v>
      </c>
      <c r="L1635" s="17" t="b">
        <f>Github!N$423</f>
        <v>0</v>
      </c>
      <c r="M1635" s="17" t="str">
        <f>ROUND(Github!O$423, 2)&amp;"%"</f>
        <v>38.59%</v>
      </c>
      <c r="N1635" s="17">
        <f>Github!P$423</f>
        <v>39243</v>
      </c>
      <c r="O1635" s="17">
        <f>Github!Q$423</f>
        <v>101703</v>
      </c>
    </row>
    <row r="1636" ht="18.0" customHeight="1">
      <c r="A1636" s="17">
        <f>Github!J$1900</f>
        <v>1899</v>
      </c>
      <c r="B1636" s="27" t="str">
        <f>HYPERLINK(CONCAT("http://leetcode.com/problems/",Github!C$1900), Github!B$1900)</f>
        <v>Merge Triplets to Form Target Triplet</v>
      </c>
      <c r="C1636" s="17">
        <f>Github!F$1900</f>
        <v>274</v>
      </c>
      <c r="D1636" s="17">
        <f>Github!G$1900</f>
        <v>23</v>
      </c>
      <c r="E1636" s="17">
        <f>Github!F$1900+Github!G$1900</f>
        <v>297</v>
      </c>
      <c r="F1636" s="18">
        <f t="shared" si="1"/>
        <v>11.91</v>
      </c>
      <c r="G1636" s="17" t="str">
        <f>Github!H$1900</f>
        <v>Algorithms</v>
      </c>
      <c r="H1636" s="19" t="str">
        <f>SUBSTITUTE(Github!L$1900, ";", ", ")</f>
        <v>Array, Greedy, </v>
      </c>
      <c r="I1636" s="17" t="str">
        <f>Github!E$1900</f>
        <v>Medium</v>
      </c>
      <c r="J1636" s="17" t="str">
        <f>IF(TRIM(Github!D$1900)="TRUE","FALSE","TRUE")</f>
        <v>TRUE</v>
      </c>
      <c r="K1636" s="17" t="b">
        <f>Github!M$1900</f>
        <v>0</v>
      </c>
      <c r="L1636" s="17" t="b">
        <f>Github!N$1900</f>
        <v>0</v>
      </c>
      <c r="M1636" s="17" t="str">
        <f>ROUND(Github!O$1900, 2)&amp;"%"</f>
        <v>60.84%</v>
      </c>
      <c r="N1636" s="17">
        <f>Github!P$1900</f>
        <v>12806</v>
      </c>
      <c r="O1636" s="17">
        <f>Github!Q$1900</f>
        <v>21050</v>
      </c>
    </row>
    <row r="1637" ht="18.0" customHeight="1">
      <c r="A1637" s="17">
        <f>Github!J$2134</f>
        <v>2133</v>
      </c>
      <c r="B1637" s="27" t="str">
        <f>HYPERLINK(CONCAT("http://leetcode.com/problems/",Github!C$2134), Github!B$2134)</f>
        <v>Check if Every Row and Column Contains All Numbers</v>
      </c>
      <c r="C1637" s="17">
        <f>Github!F$2134</f>
        <v>276</v>
      </c>
      <c r="D1637" s="17">
        <f>Github!G$2134</f>
        <v>14</v>
      </c>
      <c r="E1637" s="17">
        <f>Github!F$2134+Github!G$2134</f>
        <v>290</v>
      </c>
      <c r="F1637" s="18">
        <f t="shared" si="1"/>
        <v>19.71</v>
      </c>
      <c r="G1637" s="17" t="str">
        <f>Github!H$2134</f>
        <v>Algorithms</v>
      </c>
      <c r="H1637" s="19" t="str">
        <f>SUBSTITUTE(Github!L$2134, ";", ", ")</f>
        <v>Array, Hash Table, Matrix, </v>
      </c>
      <c r="I1637" s="17" t="str">
        <f>Github!E$2134</f>
        <v>Easy</v>
      </c>
      <c r="J1637" s="17" t="str">
        <f>IF(TRIM(Github!D$2134)="TRUE","FALSE","TRUE")</f>
        <v>TRUE</v>
      </c>
      <c r="K1637" s="17" t="b">
        <f>Github!M$2134</f>
        <v>0</v>
      </c>
      <c r="L1637" s="17" t="b">
        <f>Github!N$2134</f>
        <v>0</v>
      </c>
      <c r="M1637" s="17" t="str">
        <f>ROUND(Github!O$2134, 2)&amp;"%"</f>
        <v>51.93%</v>
      </c>
      <c r="N1637" s="17">
        <f>Github!P$2134</f>
        <v>23065</v>
      </c>
      <c r="O1637" s="17">
        <f>Github!Q$2134</f>
        <v>44415</v>
      </c>
    </row>
    <row r="1638" ht="18.0" customHeight="1">
      <c r="A1638" s="17">
        <f>Github!J$1612</f>
        <v>1611</v>
      </c>
      <c r="B1638" s="27" t="str">
        <f>HYPERLINK(CONCAT("http://leetcode.com/problems/",Github!C$1612), Github!B$1612)</f>
        <v>Minimum One Bit Operations to Make Integers Zero</v>
      </c>
      <c r="C1638" s="17">
        <f>Github!F$1612</f>
        <v>273</v>
      </c>
      <c r="D1638" s="17">
        <f>Github!G$1612</f>
        <v>262</v>
      </c>
      <c r="E1638" s="17">
        <f>Github!F$1612+Github!G$1612</f>
        <v>535</v>
      </c>
      <c r="F1638" s="18">
        <f t="shared" si="1"/>
        <v>1.04</v>
      </c>
      <c r="G1638" s="17" t="str">
        <f>Github!H$1612</f>
        <v>Algorithms</v>
      </c>
      <c r="H1638" s="19" t="str">
        <f>SUBSTITUTE(Github!L$1612, ";", ", ")</f>
        <v>Dynamic Programming, Bit Manipulation, Memoization, </v>
      </c>
      <c r="I1638" s="17" t="str">
        <f>Github!E$1612</f>
        <v>Hard</v>
      </c>
      <c r="J1638" s="17" t="str">
        <f>IF(TRIM(Github!D$1612)="TRUE","FALSE","TRUE")</f>
        <v>TRUE</v>
      </c>
      <c r="K1638" s="17" t="b">
        <f>Github!M$1612</f>
        <v>0</v>
      </c>
      <c r="L1638" s="17" t="b">
        <f>Github!N$1612</f>
        <v>0</v>
      </c>
      <c r="M1638" s="17" t="str">
        <f>ROUND(Github!O$1612, 2)&amp;"%"</f>
        <v>62.18%</v>
      </c>
      <c r="N1638" s="17">
        <f>Github!P$1612</f>
        <v>9627</v>
      </c>
      <c r="O1638" s="17">
        <f>Github!Q$1612</f>
        <v>15482</v>
      </c>
    </row>
    <row r="1639" ht="18.0" customHeight="1">
      <c r="A1639" s="17">
        <f>Github!J$1838</f>
        <v>1837</v>
      </c>
      <c r="B1639" s="27" t="str">
        <f>HYPERLINK(CONCAT("http://leetcode.com/problems/",Github!C$1838), Github!B$1838)</f>
        <v>Sum of Digits in Base K</v>
      </c>
      <c r="C1639" s="17">
        <f>Github!F$1838</f>
        <v>273</v>
      </c>
      <c r="D1639" s="17">
        <f>Github!G$1838</f>
        <v>22</v>
      </c>
      <c r="E1639" s="17">
        <f>Github!F$1838+Github!G$1838</f>
        <v>295</v>
      </c>
      <c r="F1639" s="18">
        <f t="shared" si="1"/>
        <v>12.41</v>
      </c>
      <c r="G1639" s="17" t="str">
        <f>Github!H$1838</f>
        <v>Algorithms</v>
      </c>
      <c r="H1639" s="19" t="str">
        <f>SUBSTITUTE(Github!L$1838, ";", ", ")</f>
        <v>Math, </v>
      </c>
      <c r="I1639" s="17" t="str">
        <f>Github!E$1838</f>
        <v>Easy</v>
      </c>
      <c r="J1639" s="17" t="str">
        <f>IF(TRIM(Github!D$1838)="TRUE","FALSE","TRUE")</f>
        <v>TRUE</v>
      </c>
      <c r="K1639" s="17" t="b">
        <f>Github!M$1838</f>
        <v>0</v>
      </c>
      <c r="L1639" s="17" t="b">
        <f>Github!N$1838</f>
        <v>0</v>
      </c>
      <c r="M1639" s="17" t="str">
        <f>ROUND(Github!O$1838, 2)&amp;"%"</f>
        <v>76.26%</v>
      </c>
      <c r="N1639" s="17">
        <f>Github!P$1838</f>
        <v>26235</v>
      </c>
      <c r="O1639" s="17">
        <f>Github!Q$1838</f>
        <v>34404</v>
      </c>
    </row>
    <row r="1640" ht="18.0" customHeight="1">
      <c r="A1640" s="17">
        <f>Github!J$2001</f>
        <v>2000</v>
      </c>
      <c r="B1640" s="27" t="str">
        <f>HYPERLINK(CONCAT("http://leetcode.com/problems/",Github!C$2001), Github!B$2001)</f>
        <v>Reverse Prefix of Word</v>
      </c>
      <c r="C1640" s="17">
        <f>Github!F$2001</f>
        <v>272</v>
      </c>
      <c r="D1640" s="17">
        <f>Github!G$2001</f>
        <v>6</v>
      </c>
      <c r="E1640" s="17">
        <f>Github!F$2001+Github!G$2001</f>
        <v>278</v>
      </c>
      <c r="F1640" s="18">
        <f t="shared" si="1"/>
        <v>45.33</v>
      </c>
      <c r="G1640" s="17" t="str">
        <f>Github!H$2001</f>
        <v>Algorithms</v>
      </c>
      <c r="H1640" s="19" t="str">
        <f>SUBSTITUTE(Github!L$2001, ";", ", ")</f>
        <v>Two Pointers, String, </v>
      </c>
      <c r="I1640" s="17" t="str">
        <f>Github!E$2001</f>
        <v>Easy</v>
      </c>
      <c r="J1640" s="17" t="str">
        <f>IF(TRIM(Github!D$2001)="TRUE","FALSE","TRUE")</f>
        <v>TRUE</v>
      </c>
      <c r="K1640" s="17" t="b">
        <f>Github!M$2001</f>
        <v>0</v>
      </c>
      <c r="L1640" s="17" t="b">
        <f>Github!N$2001</f>
        <v>0</v>
      </c>
      <c r="M1640" s="17" t="str">
        <f>ROUND(Github!O$2001, 2)&amp;"%"</f>
        <v>78.09%</v>
      </c>
      <c r="N1640" s="17">
        <f>Github!P$2001</f>
        <v>29519</v>
      </c>
      <c r="O1640" s="17">
        <f>Github!Q$2001</f>
        <v>37799</v>
      </c>
    </row>
    <row r="1641" ht="18.0" customHeight="1">
      <c r="A1641" s="17">
        <f>Github!J$2071</f>
        <v>2070</v>
      </c>
      <c r="B1641" s="27" t="str">
        <f>HYPERLINK(CONCAT("http://leetcode.com/problems/",Github!C$2071), Github!B$2071)</f>
        <v>Most Beautiful Item for Each Query</v>
      </c>
      <c r="C1641" s="17">
        <f>Github!F$2071</f>
        <v>272</v>
      </c>
      <c r="D1641" s="17">
        <f>Github!G$2071</f>
        <v>7</v>
      </c>
      <c r="E1641" s="17">
        <f>Github!F$2071+Github!G$2071</f>
        <v>279</v>
      </c>
      <c r="F1641" s="18">
        <f t="shared" si="1"/>
        <v>38.86</v>
      </c>
      <c r="G1641" s="17" t="str">
        <f>Github!H$2071</f>
        <v>Algorithms</v>
      </c>
      <c r="H1641" s="19" t="str">
        <f>SUBSTITUTE(Github!L$2071, ";", ", ")</f>
        <v>Array, Binary Search, Sorting, </v>
      </c>
      <c r="I1641" s="17" t="str">
        <f>Github!E$2071</f>
        <v>Medium</v>
      </c>
      <c r="J1641" s="17" t="str">
        <f>IF(TRIM(Github!D$2071)="TRUE","FALSE","TRUE")</f>
        <v>TRUE</v>
      </c>
      <c r="K1641" s="17" t="b">
        <f>Github!M$2071</f>
        <v>0</v>
      </c>
      <c r="L1641" s="17" t="b">
        <f>Github!N$2071</f>
        <v>0</v>
      </c>
      <c r="M1641" s="17" t="str">
        <f>ROUND(Github!O$2071, 2)&amp;"%"</f>
        <v>48.55%</v>
      </c>
      <c r="N1641" s="17">
        <f>Github!P$2071</f>
        <v>7604</v>
      </c>
      <c r="O1641" s="17">
        <f>Github!Q$2071</f>
        <v>15661</v>
      </c>
    </row>
    <row r="1642" ht="18.0" customHeight="1">
      <c r="A1642" s="17">
        <f>Github!J$1170</f>
        <v>1169</v>
      </c>
      <c r="B1642" s="27" t="str">
        <f>HYPERLINK(CONCAT("http://leetcode.com/problems/",Github!C$1170), Github!B$1170)</f>
        <v>Invalid Transactions</v>
      </c>
      <c r="C1642" s="17">
        <f>Github!F$1170</f>
        <v>271</v>
      </c>
      <c r="D1642" s="17">
        <f>Github!G$1170</f>
        <v>1394</v>
      </c>
      <c r="E1642" s="17">
        <f>Github!F$1170+Github!G$1170</f>
        <v>1665</v>
      </c>
      <c r="F1642" s="18">
        <f t="shared" si="1"/>
        <v>0.19</v>
      </c>
      <c r="G1642" s="17" t="str">
        <f>Github!H$1170</f>
        <v>Algorithms</v>
      </c>
      <c r="H1642" s="19" t="str">
        <f>SUBSTITUTE(Github!L$1170, ";", ", ")</f>
        <v>Array, Hash Table, String, Sorting, </v>
      </c>
      <c r="I1642" s="17" t="str">
        <f>Github!E$1170</f>
        <v>Medium</v>
      </c>
      <c r="J1642" s="17" t="str">
        <f>IF(TRIM(Github!D$1170)="TRUE","FALSE","TRUE")</f>
        <v>TRUE</v>
      </c>
      <c r="K1642" s="17" t="b">
        <f>Github!M$1170</f>
        <v>0</v>
      </c>
      <c r="L1642" s="17" t="b">
        <f>Github!N$1170</f>
        <v>0</v>
      </c>
      <c r="M1642" s="17" t="str">
        <f>ROUND(Github!O$1170, 2)&amp;"%"</f>
        <v>30.14%</v>
      </c>
      <c r="N1642" s="17">
        <f>Github!P$1170</f>
        <v>38622</v>
      </c>
      <c r="O1642" s="17">
        <f>Github!Q$1170</f>
        <v>128150</v>
      </c>
    </row>
    <row r="1643" ht="18.0" customHeight="1">
      <c r="A1643" s="17">
        <f>Github!J$1541</f>
        <v>1540</v>
      </c>
      <c r="B1643" s="27" t="str">
        <f>HYPERLINK(CONCAT("http://leetcode.com/problems/",Github!C$1541), Github!B$1541)</f>
        <v>Can Convert String in K Moves</v>
      </c>
      <c r="C1643" s="17">
        <f>Github!F$1541</f>
        <v>271</v>
      </c>
      <c r="D1643" s="17">
        <f>Github!G$1541</f>
        <v>224</v>
      </c>
      <c r="E1643" s="17">
        <f>Github!F$1541+Github!G$1541</f>
        <v>495</v>
      </c>
      <c r="F1643" s="18">
        <f t="shared" si="1"/>
        <v>1.21</v>
      </c>
      <c r="G1643" s="17" t="str">
        <f>Github!H$1541</f>
        <v>Algorithms</v>
      </c>
      <c r="H1643" s="19" t="str">
        <f>SUBSTITUTE(Github!L$1541, ";", ", ")</f>
        <v>Hash Table, String, </v>
      </c>
      <c r="I1643" s="17" t="str">
        <f>Github!E$1541</f>
        <v>Medium</v>
      </c>
      <c r="J1643" s="17" t="str">
        <f>IF(TRIM(Github!D$1541)="TRUE","FALSE","TRUE")</f>
        <v>TRUE</v>
      </c>
      <c r="K1643" s="17" t="b">
        <f>Github!M$1541</f>
        <v>0</v>
      </c>
      <c r="L1643" s="17" t="b">
        <f>Github!N$1541</f>
        <v>0</v>
      </c>
      <c r="M1643" s="17" t="str">
        <f>ROUND(Github!O$1541, 2)&amp;"%"</f>
        <v>32.41%</v>
      </c>
      <c r="N1643" s="17">
        <f>Github!P$1541</f>
        <v>13151</v>
      </c>
      <c r="O1643" s="17">
        <f>Github!Q$1541</f>
        <v>40582</v>
      </c>
    </row>
    <row r="1644" ht="18.0" customHeight="1">
      <c r="A1644" s="17">
        <f>Github!J$1398</f>
        <v>1397</v>
      </c>
      <c r="B1644" s="27" t="str">
        <f>HYPERLINK(CONCAT("http://leetcode.com/problems/",Github!C$1398), Github!B$1398)</f>
        <v>Find All Good Strings</v>
      </c>
      <c r="C1644" s="17">
        <f>Github!F$1398</f>
        <v>270</v>
      </c>
      <c r="D1644" s="17">
        <f>Github!G$1398</f>
        <v>100</v>
      </c>
      <c r="E1644" s="17">
        <f>Github!F$1398+Github!G$1398</f>
        <v>370</v>
      </c>
      <c r="F1644" s="18">
        <f t="shared" si="1"/>
        <v>2.7</v>
      </c>
      <c r="G1644" s="17" t="str">
        <f>Github!H$1398</f>
        <v>Algorithms</v>
      </c>
      <c r="H1644" s="19" t="str">
        <f>SUBSTITUTE(Github!L$1398, ";", ", ")</f>
        <v>String, Dynamic Programming, String Matching, </v>
      </c>
      <c r="I1644" s="17" t="str">
        <f>Github!E$1398</f>
        <v>Hard</v>
      </c>
      <c r="J1644" s="17" t="str">
        <f>IF(TRIM(Github!D$1398)="TRUE","FALSE","TRUE")</f>
        <v>TRUE</v>
      </c>
      <c r="K1644" s="17" t="b">
        <f>Github!M$1398</f>
        <v>0</v>
      </c>
      <c r="L1644" s="17" t="b">
        <f>Github!N$1398</f>
        <v>0</v>
      </c>
      <c r="M1644" s="17" t="str">
        <f>ROUND(Github!O$1398, 2)&amp;"%"</f>
        <v>40.53%</v>
      </c>
      <c r="N1644" s="17">
        <f>Github!P$1398</f>
        <v>3793</v>
      </c>
      <c r="O1644" s="17">
        <f>Github!Q$1398</f>
        <v>9358</v>
      </c>
    </row>
    <row r="1645" ht="18.0" customHeight="1">
      <c r="A1645" s="17">
        <f>Github!J$1486</f>
        <v>1485</v>
      </c>
      <c r="B1645" s="27" t="str">
        <f>HYPERLINK(CONCAT("http://leetcode.com/problems/",Github!C$1486), Github!B$1486)</f>
        <v>Clone Binary Tree With Random Pointer</v>
      </c>
      <c r="C1645" s="17">
        <f>Github!F$1486</f>
        <v>270</v>
      </c>
      <c r="D1645" s="17">
        <f>Github!G$1486</f>
        <v>43</v>
      </c>
      <c r="E1645" s="17">
        <f>Github!F$1486+Github!G$1486</f>
        <v>313</v>
      </c>
      <c r="F1645" s="18">
        <f t="shared" si="1"/>
        <v>6.28</v>
      </c>
      <c r="G1645" s="17" t="str">
        <f>Github!H$1486</f>
        <v>Algorithms</v>
      </c>
      <c r="H1645" s="19" t="str">
        <f>SUBSTITUTE(Github!L$1486, ";", ", ")</f>
        <v>Hash Table, Tree, Depth-First Search, Breadth-First Search, Binary Tree, </v>
      </c>
      <c r="I1645" s="17" t="str">
        <f>Github!E$1486</f>
        <v>Medium</v>
      </c>
      <c r="J1645" s="17" t="str">
        <f>IF(TRIM(Github!D$1486)="TRUE","FALSE","TRUE")</f>
        <v>FALSE</v>
      </c>
      <c r="K1645" s="17" t="b">
        <f>Github!M$1486</f>
        <v>1</v>
      </c>
      <c r="L1645" s="17" t="b">
        <f>Github!N$1486</f>
        <v>0</v>
      </c>
      <c r="M1645" s="17" t="str">
        <f>ROUND(Github!O$1486, 2)&amp;"%"</f>
        <v>79.84%</v>
      </c>
      <c r="N1645" s="17">
        <f>Github!P$1486</f>
        <v>15401</v>
      </c>
      <c r="O1645" s="17">
        <f>Github!Q$1486</f>
        <v>19289</v>
      </c>
    </row>
    <row r="1646" ht="18.0" customHeight="1">
      <c r="A1646" s="17">
        <f>Github!J$1976</f>
        <v>1975</v>
      </c>
      <c r="B1646" s="27" t="str">
        <f>HYPERLINK(CONCAT("http://leetcode.com/problems/",Github!C$1976), Github!B$1976)</f>
        <v>Maximum Matrix Sum</v>
      </c>
      <c r="C1646" s="17">
        <f>Github!F$1976</f>
        <v>271</v>
      </c>
      <c r="D1646" s="17">
        <f>Github!G$1976</f>
        <v>9</v>
      </c>
      <c r="E1646" s="17">
        <f>Github!F$1976+Github!G$1976</f>
        <v>280</v>
      </c>
      <c r="F1646" s="18">
        <f t="shared" si="1"/>
        <v>30.11</v>
      </c>
      <c r="G1646" s="17" t="str">
        <f>Github!H$1976</f>
        <v>Algorithms</v>
      </c>
      <c r="H1646" s="19" t="str">
        <f>SUBSTITUTE(Github!L$1976, ";", ", ")</f>
        <v>Array, Greedy, Matrix, </v>
      </c>
      <c r="I1646" s="17" t="str">
        <f>Github!E$1976</f>
        <v>Medium</v>
      </c>
      <c r="J1646" s="17" t="str">
        <f>IF(TRIM(Github!D$1976)="TRUE","FALSE","TRUE")</f>
        <v>TRUE</v>
      </c>
      <c r="K1646" s="17" t="b">
        <f>Github!M$1976</f>
        <v>0</v>
      </c>
      <c r="L1646" s="17" t="b">
        <f>Github!N$1976</f>
        <v>0</v>
      </c>
      <c r="M1646" s="17" t="str">
        <f>ROUND(Github!O$1976, 2)&amp;"%"</f>
        <v>44.32%</v>
      </c>
      <c r="N1646" s="17">
        <f>Github!P$1976</f>
        <v>9449</v>
      </c>
      <c r="O1646" s="17">
        <f>Github!Q$1976</f>
        <v>21321</v>
      </c>
    </row>
    <row r="1647" ht="18.0" customHeight="1">
      <c r="A1647" s="17">
        <f>Github!J$2189</f>
        <v>2188</v>
      </c>
      <c r="B1647" s="27" t="str">
        <f>HYPERLINK(CONCAT("http://leetcode.com/problems/",Github!C$2189), Github!B$2189)</f>
        <v>Minimum Time to Finish the Race</v>
      </c>
      <c r="C1647" s="17">
        <f>Github!F$2189</f>
        <v>270</v>
      </c>
      <c r="D1647" s="17">
        <f>Github!G$2189</f>
        <v>7</v>
      </c>
      <c r="E1647" s="17">
        <f>Github!F$2189+Github!G$2189</f>
        <v>277</v>
      </c>
      <c r="F1647" s="18">
        <f t="shared" si="1"/>
        <v>38.57</v>
      </c>
      <c r="G1647" s="17" t="str">
        <f>Github!H$2189</f>
        <v>Algorithms</v>
      </c>
      <c r="H1647" s="19" t="str">
        <f>SUBSTITUTE(Github!L$2189, ";", ", ")</f>
        <v>Array, Dynamic Programming, </v>
      </c>
      <c r="I1647" s="17" t="str">
        <f>Github!E$2189</f>
        <v>Hard</v>
      </c>
      <c r="J1647" s="17" t="str">
        <f>IF(TRIM(Github!D$2189)="TRUE","FALSE","TRUE")</f>
        <v>TRUE</v>
      </c>
      <c r="K1647" s="17" t="b">
        <f>Github!M$2189</f>
        <v>0</v>
      </c>
      <c r="L1647" s="17" t="b">
        <f>Github!N$2189</f>
        <v>0</v>
      </c>
      <c r="M1647" s="17" t="str">
        <f>ROUND(Github!O$2189, 2)&amp;"%"</f>
        <v>39.06%</v>
      </c>
      <c r="N1647" s="17">
        <f>Github!P$2189</f>
        <v>4702</v>
      </c>
      <c r="O1647" s="17">
        <f>Github!Q$2189</f>
        <v>12040</v>
      </c>
    </row>
    <row r="1648" ht="18.0" customHeight="1">
      <c r="A1648" s="17">
        <f>Github!J$1677</f>
        <v>1676</v>
      </c>
      <c r="B1648" s="27" t="str">
        <f>HYPERLINK(CONCAT("http://leetcode.com/problems/",Github!C$1677), Github!B$1677)</f>
        <v>Lowest Common Ancestor of a Binary Tree IV</v>
      </c>
      <c r="C1648" s="17">
        <f>Github!F$1677</f>
        <v>269</v>
      </c>
      <c r="D1648" s="17">
        <f>Github!G$1677</f>
        <v>9</v>
      </c>
      <c r="E1648" s="17">
        <f>Github!F$1677+Github!G$1677</f>
        <v>278</v>
      </c>
      <c r="F1648" s="18">
        <f t="shared" si="1"/>
        <v>29.89</v>
      </c>
      <c r="G1648" s="17" t="str">
        <f>Github!H$1677</f>
        <v>Algorithms</v>
      </c>
      <c r="H1648" s="19" t="str">
        <f>SUBSTITUTE(Github!L$1677, ";", ", ")</f>
        <v>Tree, Depth-First Search, Binary Tree, </v>
      </c>
      <c r="I1648" s="17" t="str">
        <f>Github!E$1677</f>
        <v>Medium</v>
      </c>
      <c r="J1648" s="17" t="str">
        <f>IF(TRIM(Github!D$1677)="TRUE","FALSE","TRUE")</f>
        <v>FALSE</v>
      </c>
      <c r="K1648" s="17" t="b">
        <f>Github!M$1677</f>
        <v>0</v>
      </c>
      <c r="L1648" s="17" t="b">
        <f>Github!N$1677</f>
        <v>0</v>
      </c>
      <c r="M1648" s="17" t="str">
        <f>ROUND(Github!O$1677, 2)&amp;"%"</f>
        <v>79.5%</v>
      </c>
      <c r="N1648" s="17">
        <f>Github!P$1677</f>
        <v>18620</v>
      </c>
      <c r="O1648" s="17">
        <f>Github!Q$1677</f>
        <v>23420</v>
      </c>
    </row>
    <row r="1649" ht="18.0" customHeight="1">
      <c r="A1649" s="17">
        <f>Github!J$1846</f>
        <v>1845</v>
      </c>
      <c r="B1649" s="27" t="str">
        <f>HYPERLINK(CONCAT("http://leetcode.com/problems/",Github!C$1846), Github!B$1846)</f>
        <v>Seat Reservation Manager</v>
      </c>
      <c r="C1649" s="17">
        <f>Github!F$1846</f>
        <v>269</v>
      </c>
      <c r="D1649" s="17">
        <f>Github!G$1846</f>
        <v>21</v>
      </c>
      <c r="E1649" s="17">
        <f>Github!F$1846+Github!G$1846</f>
        <v>290</v>
      </c>
      <c r="F1649" s="18">
        <f t="shared" si="1"/>
        <v>12.81</v>
      </c>
      <c r="G1649" s="17" t="str">
        <f>Github!H$1846</f>
        <v>Algorithms</v>
      </c>
      <c r="H1649" s="19" t="str">
        <f>SUBSTITUTE(Github!L$1846, ";", ", ")</f>
        <v>Design, Heap (Priority Queue), </v>
      </c>
      <c r="I1649" s="17" t="str">
        <f>Github!E$1846</f>
        <v>Medium</v>
      </c>
      <c r="J1649" s="17" t="str">
        <f>IF(TRIM(Github!D$1846)="TRUE","FALSE","TRUE")</f>
        <v>TRUE</v>
      </c>
      <c r="K1649" s="17" t="b">
        <f>Github!M$1846</f>
        <v>0</v>
      </c>
      <c r="L1649" s="17" t="b">
        <f>Github!N$1846</f>
        <v>0</v>
      </c>
      <c r="M1649" s="17" t="str">
        <f>ROUND(Github!O$1846, 2)&amp;"%"</f>
        <v>59.94%</v>
      </c>
      <c r="N1649" s="17">
        <f>Github!P$1846</f>
        <v>16240</v>
      </c>
      <c r="O1649" s="17">
        <f>Github!Q$1846</f>
        <v>27096</v>
      </c>
    </row>
    <row r="1650" ht="18.0" customHeight="1">
      <c r="A1650" s="17">
        <f>Github!J$1112</f>
        <v>1111</v>
      </c>
      <c r="B1650" s="27" t="str">
        <f>HYPERLINK(CONCAT("http://leetcode.com/problems/",Github!C$1112), Github!B$1112)</f>
        <v>Maximum Nesting Depth of Two Valid Parentheses Strings</v>
      </c>
      <c r="C1650" s="17">
        <f>Github!F$1112</f>
        <v>268</v>
      </c>
      <c r="D1650" s="17">
        <f>Github!G$1112</f>
        <v>1206</v>
      </c>
      <c r="E1650" s="17">
        <f>Github!F$1112+Github!G$1112</f>
        <v>1474</v>
      </c>
      <c r="F1650" s="18">
        <f t="shared" si="1"/>
        <v>0.22</v>
      </c>
      <c r="G1650" s="17" t="str">
        <f>Github!H$1112</f>
        <v>Algorithms</v>
      </c>
      <c r="H1650" s="19" t="str">
        <f>SUBSTITUTE(Github!L$1112, ";", ", ")</f>
        <v>String, Stack, </v>
      </c>
      <c r="I1650" s="17" t="str">
        <f>Github!E$1112</f>
        <v>Medium</v>
      </c>
      <c r="J1650" s="17" t="str">
        <f>IF(TRIM(Github!D$1112)="TRUE","FALSE","TRUE")</f>
        <v>TRUE</v>
      </c>
      <c r="K1650" s="17" t="b">
        <f>Github!M$1112</f>
        <v>0</v>
      </c>
      <c r="L1650" s="17" t="b">
        <f>Github!N$1112</f>
        <v>0</v>
      </c>
      <c r="M1650" s="17" t="str">
        <f>ROUND(Github!O$1112, 2)&amp;"%"</f>
        <v>72.88%</v>
      </c>
      <c r="N1650" s="17">
        <f>Github!P$1112</f>
        <v>18590</v>
      </c>
      <c r="O1650" s="17">
        <f>Github!Q$1112</f>
        <v>25506</v>
      </c>
    </row>
    <row r="1651" ht="18.0" customHeight="1">
      <c r="A1651" s="17">
        <f>Github!J$1145</f>
        <v>1144</v>
      </c>
      <c r="B1651" s="27" t="str">
        <f>HYPERLINK(CONCAT("http://leetcode.com/problems/",Github!C$1145), Github!B$1145)</f>
        <v>Decrease Elements To Make Array Zigzag</v>
      </c>
      <c r="C1651" s="17">
        <f>Github!F$1145</f>
        <v>268</v>
      </c>
      <c r="D1651" s="17">
        <f>Github!G$1145</f>
        <v>141</v>
      </c>
      <c r="E1651" s="17">
        <f>Github!F$1145+Github!G$1145</f>
        <v>409</v>
      </c>
      <c r="F1651" s="18">
        <f t="shared" si="1"/>
        <v>1.9</v>
      </c>
      <c r="G1651" s="17" t="str">
        <f>Github!H$1145</f>
        <v>Algorithms</v>
      </c>
      <c r="H1651" s="19" t="str">
        <f>SUBSTITUTE(Github!L$1145, ";", ", ")</f>
        <v>Array, Greedy, </v>
      </c>
      <c r="I1651" s="17" t="str">
        <f>Github!E$1145</f>
        <v>Medium</v>
      </c>
      <c r="J1651" s="17" t="str">
        <f>IF(TRIM(Github!D$1145)="TRUE","FALSE","TRUE")</f>
        <v>TRUE</v>
      </c>
      <c r="K1651" s="17" t="b">
        <f>Github!M$1145</f>
        <v>0</v>
      </c>
      <c r="L1651" s="17" t="b">
        <f>Github!N$1145</f>
        <v>0</v>
      </c>
      <c r="M1651" s="17" t="str">
        <f>ROUND(Github!O$1145, 2)&amp;"%"</f>
        <v>46.96%</v>
      </c>
      <c r="N1651" s="17">
        <f>Github!P$1145</f>
        <v>14243</v>
      </c>
      <c r="O1651" s="17">
        <f>Github!Q$1145</f>
        <v>30328</v>
      </c>
    </row>
    <row r="1652" ht="18.0" customHeight="1">
      <c r="A1652" s="17">
        <f>Github!J$1870</f>
        <v>1869</v>
      </c>
      <c r="B1652" s="27" t="str">
        <f>HYPERLINK(CONCAT("http://leetcode.com/problems/",Github!C$1870), Github!B$1870)</f>
        <v>Longer Contiguous Segments of Ones than Zeros</v>
      </c>
      <c r="C1652" s="17">
        <f>Github!F$1870</f>
        <v>269</v>
      </c>
      <c r="D1652" s="17">
        <f>Github!G$1870</f>
        <v>6</v>
      </c>
      <c r="E1652" s="17">
        <f>Github!F$1870+Github!G$1870</f>
        <v>275</v>
      </c>
      <c r="F1652" s="18">
        <f t="shared" si="1"/>
        <v>44.83</v>
      </c>
      <c r="G1652" s="17" t="str">
        <f>Github!H$1870</f>
        <v>Algorithms</v>
      </c>
      <c r="H1652" s="19" t="str">
        <f>SUBSTITUTE(Github!L$1870, ";", ", ")</f>
        <v>String, </v>
      </c>
      <c r="I1652" s="17" t="str">
        <f>Github!E$1870</f>
        <v>Easy</v>
      </c>
      <c r="J1652" s="17" t="str">
        <f>IF(TRIM(Github!D$1870)="TRUE","FALSE","TRUE")</f>
        <v>TRUE</v>
      </c>
      <c r="K1652" s="17" t="b">
        <f>Github!M$1870</f>
        <v>0</v>
      </c>
      <c r="L1652" s="17" t="b">
        <f>Github!N$1870</f>
        <v>0</v>
      </c>
      <c r="M1652" s="17" t="str">
        <f>ROUND(Github!O$1870, 2)&amp;"%"</f>
        <v>60.09%</v>
      </c>
      <c r="N1652" s="17">
        <f>Github!P$1870</f>
        <v>27117</v>
      </c>
      <c r="O1652" s="17">
        <f>Github!Q$1870</f>
        <v>45128</v>
      </c>
    </row>
    <row r="1653" ht="18.0" customHeight="1">
      <c r="A1653" s="17">
        <f>Github!J$2092</f>
        <v>2091</v>
      </c>
      <c r="B1653" s="27" t="str">
        <f>HYPERLINK(CONCAT("http://leetcode.com/problems/",Github!C$2092), Github!B$2092)</f>
        <v>Removing Minimum and Maximum From Array</v>
      </c>
      <c r="C1653" s="17">
        <f>Github!F$2092</f>
        <v>268</v>
      </c>
      <c r="D1653" s="17">
        <f>Github!G$2092</f>
        <v>15</v>
      </c>
      <c r="E1653" s="17">
        <f>Github!F$2092+Github!G$2092</f>
        <v>283</v>
      </c>
      <c r="F1653" s="18">
        <f t="shared" si="1"/>
        <v>17.87</v>
      </c>
      <c r="G1653" s="17" t="str">
        <f>Github!H$2092</f>
        <v>Algorithms</v>
      </c>
      <c r="H1653" s="19" t="str">
        <f>SUBSTITUTE(Github!L$2092, ";", ", ")</f>
        <v>Array, Greedy, </v>
      </c>
      <c r="I1653" s="17" t="str">
        <f>Github!E$2092</f>
        <v>Medium</v>
      </c>
      <c r="J1653" s="17" t="str">
        <f>IF(TRIM(Github!D$2092)="TRUE","FALSE","TRUE")</f>
        <v>TRUE</v>
      </c>
      <c r="K1653" s="17" t="b">
        <f>Github!M$2092</f>
        <v>0</v>
      </c>
      <c r="L1653" s="17" t="b">
        <f>Github!N$2092</f>
        <v>0</v>
      </c>
      <c r="M1653" s="17" t="str">
        <f>ROUND(Github!O$2092, 2)&amp;"%"</f>
        <v>57.93%</v>
      </c>
      <c r="N1653" s="17">
        <f>Github!P$2092</f>
        <v>14873</v>
      </c>
      <c r="O1653" s="17">
        <f>Github!Q$2092</f>
        <v>25672</v>
      </c>
    </row>
    <row r="1654" ht="18.0" customHeight="1">
      <c r="A1654" s="17">
        <f>Github!J$249</f>
        <v>248</v>
      </c>
      <c r="B1654" s="27" t="str">
        <f>HYPERLINK(CONCAT("http://leetcode.com/problems/",Github!C$249), Github!B$249)</f>
        <v>Strobogrammatic Number III</v>
      </c>
      <c r="C1654" s="17">
        <f>Github!F$249</f>
        <v>266</v>
      </c>
      <c r="D1654" s="17">
        <f>Github!G$249</f>
        <v>170</v>
      </c>
      <c r="E1654" s="17">
        <f>Github!F$249+Github!G$249</f>
        <v>436</v>
      </c>
      <c r="F1654" s="18">
        <f t="shared" si="1"/>
        <v>1.56</v>
      </c>
      <c r="G1654" s="17" t="str">
        <f>Github!H$249</f>
        <v>Algorithms</v>
      </c>
      <c r="H1654" s="19" t="str">
        <f>SUBSTITUTE(Github!L$249, ";", ", ")</f>
        <v>Array, String, Recursion, </v>
      </c>
      <c r="I1654" s="17" t="str">
        <f>Github!E$249</f>
        <v>Hard</v>
      </c>
      <c r="J1654" s="17" t="str">
        <f>IF(TRIM(Github!D$249)="TRUE","FALSE","TRUE")</f>
        <v>FALSE</v>
      </c>
      <c r="K1654" s="17" t="b">
        <f>Github!M$249</f>
        <v>0</v>
      </c>
      <c r="L1654" s="17" t="b">
        <f>Github!N$249</f>
        <v>0</v>
      </c>
      <c r="M1654" s="17" t="str">
        <f>ROUND(Github!O$249, 2)&amp;"%"</f>
        <v>41.27%</v>
      </c>
      <c r="N1654" s="17">
        <f>Github!P$249</f>
        <v>33333</v>
      </c>
      <c r="O1654" s="17">
        <f>Github!Q$249</f>
        <v>80770</v>
      </c>
    </row>
    <row r="1655" ht="18.0" customHeight="1">
      <c r="A1655" s="17">
        <f>Github!J$1247</f>
        <v>1246</v>
      </c>
      <c r="B1655" s="27" t="str">
        <f>HYPERLINK(CONCAT("http://leetcode.com/problems/",Github!C$1247), Github!B$1247)</f>
        <v>Palindrome Removal</v>
      </c>
      <c r="C1655" s="17">
        <f>Github!F$1247</f>
        <v>266</v>
      </c>
      <c r="D1655" s="17">
        <f>Github!G$1247</f>
        <v>9</v>
      </c>
      <c r="E1655" s="17">
        <f>Github!F$1247+Github!G$1247</f>
        <v>275</v>
      </c>
      <c r="F1655" s="18">
        <f t="shared" si="1"/>
        <v>29.56</v>
      </c>
      <c r="G1655" s="17" t="str">
        <f>Github!H$1247</f>
        <v>Algorithms</v>
      </c>
      <c r="H1655" s="19" t="str">
        <f>SUBSTITUTE(Github!L$1247, ";", ", ")</f>
        <v>Array, Dynamic Programming, </v>
      </c>
      <c r="I1655" s="17" t="str">
        <f>Github!E$1247</f>
        <v>Hard</v>
      </c>
      <c r="J1655" s="17" t="str">
        <f>IF(TRIM(Github!D$1247)="TRUE","FALSE","TRUE")</f>
        <v>FALSE</v>
      </c>
      <c r="K1655" s="17" t="b">
        <f>Github!M$1247</f>
        <v>0</v>
      </c>
      <c r="L1655" s="17" t="b">
        <f>Github!N$1247</f>
        <v>0</v>
      </c>
      <c r="M1655" s="17" t="str">
        <f>ROUND(Github!O$1247, 2)&amp;"%"</f>
        <v>46.13%</v>
      </c>
      <c r="N1655" s="17">
        <f>Github!P$1247</f>
        <v>8632</v>
      </c>
      <c r="O1655" s="17">
        <f>Github!Q$1247</f>
        <v>18712</v>
      </c>
    </row>
    <row r="1656" ht="18.0" customHeight="1">
      <c r="A1656" s="17">
        <f>Github!J$2086</f>
        <v>2085</v>
      </c>
      <c r="B1656" s="27" t="str">
        <f>HYPERLINK(CONCAT("http://leetcode.com/problems/",Github!C$2086), Github!B$2086)</f>
        <v>Count Common Words With One Occurrence</v>
      </c>
      <c r="C1656" s="17">
        <f>Github!F$2086</f>
        <v>266</v>
      </c>
      <c r="D1656" s="17">
        <f>Github!G$2086</f>
        <v>6</v>
      </c>
      <c r="E1656" s="17">
        <f>Github!F$2086+Github!G$2086</f>
        <v>272</v>
      </c>
      <c r="F1656" s="18">
        <f t="shared" si="1"/>
        <v>44.33</v>
      </c>
      <c r="G1656" s="17" t="str">
        <f>Github!H$2086</f>
        <v>Algorithms</v>
      </c>
      <c r="H1656" s="19" t="str">
        <f>SUBSTITUTE(Github!L$2086, ";", ", ")</f>
        <v>Array, Hash Table, String, Counting, </v>
      </c>
      <c r="I1656" s="17" t="str">
        <f>Github!E$2086</f>
        <v>Easy</v>
      </c>
      <c r="J1656" s="17" t="str">
        <f>IF(TRIM(Github!D$2086)="TRUE","FALSE","TRUE")</f>
        <v>TRUE</v>
      </c>
      <c r="K1656" s="17" t="b">
        <f>Github!M$2086</f>
        <v>0</v>
      </c>
      <c r="L1656" s="17" t="b">
        <f>Github!N$2086</f>
        <v>0</v>
      </c>
      <c r="M1656" s="17" t="str">
        <f>ROUND(Github!O$2086, 2)&amp;"%"</f>
        <v>70.99%</v>
      </c>
      <c r="N1656" s="17">
        <f>Github!P$2086</f>
        <v>19185</v>
      </c>
      <c r="O1656" s="17">
        <f>Github!Q$2086</f>
        <v>27024</v>
      </c>
    </row>
    <row r="1657" ht="18.0" customHeight="1">
      <c r="A1657" s="17">
        <f>Github!J$552</f>
        <v>551</v>
      </c>
      <c r="B1657" s="27" t="str">
        <f>HYPERLINK(CONCAT("http://leetcode.com/problems/",Github!C$552), Github!B$552)</f>
        <v>Student Attendance Record I</v>
      </c>
      <c r="C1657" s="17">
        <f>Github!F$552</f>
        <v>265</v>
      </c>
      <c r="D1657" s="17">
        <f>Github!G$552</f>
        <v>15</v>
      </c>
      <c r="E1657" s="17">
        <f>Github!F$552+Github!G$552</f>
        <v>280</v>
      </c>
      <c r="F1657" s="18">
        <f t="shared" si="1"/>
        <v>17.67</v>
      </c>
      <c r="G1657" s="17" t="str">
        <f>Github!H$552</f>
        <v>Algorithms</v>
      </c>
      <c r="H1657" s="19" t="str">
        <f>SUBSTITUTE(Github!L$552, ";", ", ")</f>
        <v>String, </v>
      </c>
      <c r="I1657" s="17" t="str">
        <f>Github!E$552</f>
        <v>Easy</v>
      </c>
      <c r="J1657" s="17" t="str">
        <f>IF(TRIM(Github!D$552)="TRUE","FALSE","TRUE")</f>
        <v>TRUE</v>
      </c>
      <c r="K1657" s="17" t="b">
        <f>Github!M$552</f>
        <v>1</v>
      </c>
      <c r="L1657" s="17" t="b">
        <f>Github!N$552</f>
        <v>0</v>
      </c>
      <c r="M1657" s="17" t="str">
        <f>ROUND(Github!O$552, 2)&amp;"%"</f>
        <v>47.43%</v>
      </c>
      <c r="N1657" s="17">
        <f>Github!P$552</f>
        <v>138048</v>
      </c>
      <c r="O1657" s="17">
        <f>Github!Q$552</f>
        <v>291040</v>
      </c>
    </row>
    <row r="1658" ht="18.0" customHeight="1">
      <c r="A1658" s="17">
        <f>Github!J$1455</f>
        <v>1454</v>
      </c>
      <c r="B1658" s="27" t="str">
        <f>HYPERLINK(CONCAT("http://leetcode.com/problems/",Github!C$1455), Github!B$1455)</f>
        <v>Active Users</v>
      </c>
      <c r="C1658" s="17">
        <f>Github!F$1455</f>
        <v>265</v>
      </c>
      <c r="D1658" s="17">
        <f>Github!G$1455</f>
        <v>26</v>
      </c>
      <c r="E1658" s="17">
        <f>Github!F$1455+Github!G$1455</f>
        <v>291</v>
      </c>
      <c r="F1658" s="18">
        <f t="shared" si="1"/>
        <v>10.19</v>
      </c>
      <c r="G1658" s="17" t="str">
        <f>Github!H$1455</f>
        <v>Database</v>
      </c>
      <c r="H1658" s="19" t="str">
        <f>SUBSTITUTE(Github!L$1455, ";", ", ")</f>
        <v>Database, </v>
      </c>
      <c r="I1658" s="17" t="str">
        <f>Github!E$1455</f>
        <v>Medium</v>
      </c>
      <c r="J1658" s="17" t="str">
        <f>IF(TRIM(Github!D$1455)="TRUE","FALSE","TRUE")</f>
        <v>FALSE</v>
      </c>
      <c r="K1658" s="17" t="b">
        <f>Github!M$1455</f>
        <v>0</v>
      </c>
      <c r="L1658" s="17" t="b">
        <f>Github!N$1455</f>
        <v>0</v>
      </c>
      <c r="M1658" s="17" t="str">
        <f>ROUND(Github!O$1455, 2)&amp;"%"</f>
        <v>38.39%</v>
      </c>
      <c r="N1658" s="17">
        <f>Github!P$1455</f>
        <v>21255</v>
      </c>
      <c r="O1658" s="17">
        <f>Github!Q$1455</f>
        <v>55373</v>
      </c>
    </row>
    <row r="1659" ht="18.0" customHeight="1">
      <c r="A1659" s="17">
        <f>Github!J$1944</f>
        <v>1943</v>
      </c>
      <c r="B1659" s="27" t="str">
        <f>HYPERLINK(CONCAT("http://leetcode.com/problems/",Github!C$1944), Github!B$1944)</f>
        <v>Describe the Painting</v>
      </c>
      <c r="C1659" s="17">
        <f>Github!F$1944</f>
        <v>264</v>
      </c>
      <c r="D1659" s="17">
        <f>Github!G$1944</f>
        <v>16</v>
      </c>
      <c r="E1659" s="17">
        <f>Github!F$1944+Github!G$1944</f>
        <v>280</v>
      </c>
      <c r="F1659" s="18">
        <f t="shared" si="1"/>
        <v>16.5</v>
      </c>
      <c r="G1659" s="17" t="str">
        <f>Github!H$1944</f>
        <v>Algorithms</v>
      </c>
      <c r="H1659" s="19" t="str">
        <f>SUBSTITUTE(Github!L$1944, ";", ", ")</f>
        <v>Array, Prefix Sum, </v>
      </c>
      <c r="I1659" s="17" t="str">
        <f>Github!E$1944</f>
        <v>Medium</v>
      </c>
      <c r="J1659" s="17" t="str">
        <f>IF(TRIM(Github!D$1944)="TRUE","FALSE","TRUE")</f>
        <v>TRUE</v>
      </c>
      <c r="K1659" s="17" t="b">
        <f>Github!M$1944</f>
        <v>0</v>
      </c>
      <c r="L1659" s="17" t="b">
        <f>Github!N$1944</f>
        <v>0</v>
      </c>
      <c r="M1659" s="17" t="str">
        <f>ROUND(Github!O$1944, 2)&amp;"%"</f>
        <v>46.11%</v>
      </c>
      <c r="N1659" s="17">
        <f>Github!P$1944</f>
        <v>6961</v>
      </c>
      <c r="O1659" s="17">
        <f>Github!Q$1944</f>
        <v>15095</v>
      </c>
    </row>
    <row r="1660" ht="18.0" customHeight="1">
      <c r="A1660" s="17">
        <f>Github!J$1167</f>
        <v>1166</v>
      </c>
      <c r="B1660" s="27" t="str">
        <f>HYPERLINK(CONCAT("http://leetcode.com/problems/",Github!C$1167), Github!B$1167)</f>
        <v>Design File System</v>
      </c>
      <c r="C1660" s="17">
        <f>Github!F$1167</f>
        <v>264</v>
      </c>
      <c r="D1660" s="17">
        <f>Github!G$1167</f>
        <v>23</v>
      </c>
      <c r="E1660" s="17">
        <f>Github!F$1167+Github!G$1167</f>
        <v>287</v>
      </c>
      <c r="F1660" s="18">
        <f t="shared" si="1"/>
        <v>11.48</v>
      </c>
      <c r="G1660" s="17" t="str">
        <f>Github!H$1167</f>
        <v>Algorithms</v>
      </c>
      <c r="H1660" s="19" t="str">
        <f>SUBSTITUTE(Github!L$1167, ";", ", ")</f>
        <v>Hash Table, String, Design, Trie, </v>
      </c>
      <c r="I1660" s="17" t="str">
        <f>Github!E$1167</f>
        <v>Medium</v>
      </c>
      <c r="J1660" s="17" t="str">
        <f>IF(TRIM(Github!D$1167)="TRUE","FALSE","TRUE")</f>
        <v>FALSE</v>
      </c>
      <c r="K1660" s="17" t="b">
        <f>Github!M$1167</f>
        <v>1</v>
      </c>
      <c r="L1660" s="17" t="b">
        <f>Github!N$1167</f>
        <v>0</v>
      </c>
      <c r="M1660" s="17" t="str">
        <f>ROUND(Github!O$1167, 2)&amp;"%"</f>
        <v>60.3%</v>
      </c>
      <c r="N1660" s="17">
        <f>Github!P$1167</f>
        <v>20584</v>
      </c>
      <c r="O1660" s="17">
        <f>Github!Q$1167</f>
        <v>34134</v>
      </c>
    </row>
    <row r="1661" ht="18.0" customHeight="1">
      <c r="A1661" s="17">
        <f>Github!J$1804</f>
        <v>1803</v>
      </c>
      <c r="B1661" s="27" t="str">
        <f>HYPERLINK(CONCAT("http://leetcode.com/problems/",Github!C$1804), Github!B$1804)</f>
        <v>Count Pairs With XOR in a Range</v>
      </c>
      <c r="C1661" s="17">
        <f>Github!F$1804</f>
        <v>263</v>
      </c>
      <c r="D1661" s="17">
        <f>Github!G$1804</f>
        <v>10</v>
      </c>
      <c r="E1661" s="17">
        <f>Github!F$1804+Github!G$1804</f>
        <v>273</v>
      </c>
      <c r="F1661" s="18">
        <f t="shared" si="1"/>
        <v>26.3</v>
      </c>
      <c r="G1661" s="17" t="str">
        <f>Github!H$1804</f>
        <v>Algorithms</v>
      </c>
      <c r="H1661" s="19" t="str">
        <f>SUBSTITUTE(Github!L$1804, ";", ", ")</f>
        <v>Array, Bit Manipulation, Trie, </v>
      </c>
      <c r="I1661" s="17" t="str">
        <f>Github!E$1804</f>
        <v>Hard</v>
      </c>
      <c r="J1661" s="17" t="str">
        <f>IF(TRIM(Github!D$1804)="TRUE","FALSE","TRUE")</f>
        <v>TRUE</v>
      </c>
      <c r="K1661" s="17" t="b">
        <f>Github!M$1804</f>
        <v>0</v>
      </c>
      <c r="L1661" s="17" t="b">
        <f>Github!N$1804</f>
        <v>0</v>
      </c>
      <c r="M1661" s="17" t="str">
        <f>ROUND(Github!O$1804, 2)&amp;"%"</f>
        <v>46.38%</v>
      </c>
      <c r="N1661" s="17">
        <f>Github!P$1804</f>
        <v>4457</v>
      </c>
      <c r="O1661" s="17">
        <f>Github!Q$1804</f>
        <v>9610</v>
      </c>
    </row>
    <row r="1662" ht="18.0" customHeight="1">
      <c r="A1662" s="17">
        <f>Github!J$2014</f>
        <v>2013</v>
      </c>
      <c r="B1662" s="27" t="str">
        <f>HYPERLINK(CONCAT("http://leetcode.com/problems/",Github!C$2014), Github!B$2014)</f>
        <v>Detect Squares</v>
      </c>
      <c r="C1662" s="17">
        <f>Github!F$2014</f>
        <v>262</v>
      </c>
      <c r="D1662" s="17">
        <f>Github!G$2014</f>
        <v>88</v>
      </c>
      <c r="E1662" s="17">
        <f>Github!F$2014+Github!G$2014</f>
        <v>350</v>
      </c>
      <c r="F1662" s="18">
        <f t="shared" si="1"/>
        <v>2.98</v>
      </c>
      <c r="G1662" s="17" t="str">
        <f>Github!H$2014</f>
        <v>Algorithms</v>
      </c>
      <c r="H1662" s="19" t="str">
        <f>SUBSTITUTE(Github!L$2014, ";", ", ")</f>
        <v>Array, Hash Table, Design, Counting, </v>
      </c>
      <c r="I1662" s="17" t="str">
        <f>Github!E$2014</f>
        <v>Medium</v>
      </c>
      <c r="J1662" s="17" t="str">
        <f>IF(TRIM(Github!D$2014)="TRUE","FALSE","TRUE")</f>
        <v>TRUE</v>
      </c>
      <c r="K1662" s="17" t="b">
        <f>Github!M$2014</f>
        <v>0</v>
      </c>
      <c r="L1662" s="17" t="b">
        <f>Github!N$2014</f>
        <v>0</v>
      </c>
      <c r="M1662" s="17" t="str">
        <f>ROUND(Github!O$2014, 2)&amp;"%"</f>
        <v>44.62%</v>
      </c>
      <c r="N1662" s="17">
        <f>Github!P$2014</f>
        <v>14973</v>
      </c>
      <c r="O1662" s="17">
        <f>Github!Q$2014</f>
        <v>33561</v>
      </c>
    </row>
    <row r="1663" ht="18.0" customHeight="1">
      <c r="A1663" s="17">
        <f>Github!J$484</f>
        <v>483</v>
      </c>
      <c r="B1663" s="27" t="str">
        <f>HYPERLINK(CONCAT("http://leetcode.com/problems/",Github!C$484), Github!B$484)</f>
        <v>Smallest Good Base</v>
      </c>
      <c r="C1663" s="17">
        <f>Github!F$484</f>
        <v>261</v>
      </c>
      <c r="D1663" s="17">
        <f>Github!G$484</f>
        <v>424</v>
      </c>
      <c r="E1663" s="17">
        <f>Github!F$484+Github!G$484</f>
        <v>685</v>
      </c>
      <c r="F1663" s="18">
        <f t="shared" si="1"/>
        <v>0.62</v>
      </c>
      <c r="G1663" s="17" t="str">
        <f>Github!H$484</f>
        <v>Algorithms</v>
      </c>
      <c r="H1663" s="19" t="str">
        <f>SUBSTITUTE(Github!L$484, ";", ", ")</f>
        <v>Math, Binary Search, </v>
      </c>
      <c r="I1663" s="17" t="str">
        <f>Github!E$484</f>
        <v>Hard</v>
      </c>
      <c r="J1663" s="17" t="str">
        <f>IF(TRIM(Github!D$484)="TRUE","FALSE","TRUE")</f>
        <v>TRUE</v>
      </c>
      <c r="K1663" s="17" t="b">
        <f>Github!M$484</f>
        <v>0</v>
      </c>
      <c r="L1663" s="17" t="b">
        <f>Github!N$484</f>
        <v>0</v>
      </c>
      <c r="M1663" s="17" t="str">
        <f>ROUND(Github!O$484, 2)&amp;"%"</f>
        <v>37.77%</v>
      </c>
      <c r="N1663" s="17">
        <f>Github!P$484</f>
        <v>16550</v>
      </c>
      <c r="O1663" s="17">
        <f>Github!Q$484</f>
        <v>43820</v>
      </c>
    </row>
    <row r="1664" ht="18.0" customHeight="1">
      <c r="A1664" s="17">
        <f>Github!J$1181</f>
        <v>1180</v>
      </c>
      <c r="B1664" s="27" t="str">
        <f>HYPERLINK(CONCAT("http://leetcode.com/problems/",Github!C$1181), Github!B$1181)</f>
        <v>Count Substrings with Only One Distinct Letter</v>
      </c>
      <c r="C1664" s="17">
        <f>Github!F$1181</f>
        <v>262</v>
      </c>
      <c r="D1664" s="17">
        <f>Github!G$1181</f>
        <v>42</v>
      </c>
      <c r="E1664" s="17">
        <f>Github!F$1181+Github!G$1181</f>
        <v>304</v>
      </c>
      <c r="F1664" s="18">
        <f t="shared" si="1"/>
        <v>6.24</v>
      </c>
      <c r="G1664" s="17" t="str">
        <f>Github!H$1181</f>
        <v>Algorithms</v>
      </c>
      <c r="H1664" s="19" t="str">
        <f>SUBSTITUTE(Github!L$1181, ";", ", ")</f>
        <v>Math, String, </v>
      </c>
      <c r="I1664" s="17" t="str">
        <f>Github!E$1181</f>
        <v>Easy</v>
      </c>
      <c r="J1664" s="17" t="str">
        <f>IF(TRIM(Github!D$1181)="TRUE","FALSE","TRUE")</f>
        <v>FALSE</v>
      </c>
      <c r="K1664" s="17" t="b">
        <f>Github!M$1181</f>
        <v>1</v>
      </c>
      <c r="L1664" s="17" t="b">
        <f>Github!N$1181</f>
        <v>0</v>
      </c>
      <c r="M1664" s="17" t="str">
        <f>ROUND(Github!O$1181, 2)&amp;"%"</f>
        <v>78.72%</v>
      </c>
      <c r="N1664" s="17">
        <f>Github!P$1181</f>
        <v>20205</v>
      </c>
      <c r="O1664" s="17">
        <f>Github!Q$1181</f>
        <v>25666</v>
      </c>
    </row>
    <row r="1665" ht="18.0" customHeight="1">
      <c r="A1665" s="17">
        <f>Github!J$1751</f>
        <v>1750</v>
      </c>
      <c r="B1665" s="27" t="str">
        <f>HYPERLINK(CONCAT("http://leetcode.com/problems/",Github!C$1751), Github!B$1751)</f>
        <v>Minimum Length of String After Deleting Similar Ends</v>
      </c>
      <c r="C1665" s="17">
        <f>Github!F$1751</f>
        <v>261</v>
      </c>
      <c r="D1665" s="17">
        <f>Github!G$1751</f>
        <v>17</v>
      </c>
      <c r="E1665" s="17">
        <f>Github!F$1751+Github!G$1751</f>
        <v>278</v>
      </c>
      <c r="F1665" s="18">
        <f t="shared" si="1"/>
        <v>15.35</v>
      </c>
      <c r="G1665" s="17" t="str">
        <f>Github!H$1751</f>
        <v>Algorithms</v>
      </c>
      <c r="H1665" s="19" t="str">
        <f>SUBSTITUTE(Github!L$1751, ";", ", ")</f>
        <v>Two Pointers, String, </v>
      </c>
      <c r="I1665" s="17" t="str">
        <f>Github!E$1751</f>
        <v>Medium</v>
      </c>
      <c r="J1665" s="17" t="str">
        <f>IF(TRIM(Github!D$1751)="TRUE","FALSE","TRUE")</f>
        <v>TRUE</v>
      </c>
      <c r="K1665" s="17" t="b">
        <f>Github!M$1751</f>
        <v>0</v>
      </c>
      <c r="L1665" s="17" t="b">
        <f>Github!N$1751</f>
        <v>0</v>
      </c>
      <c r="M1665" s="17" t="str">
        <f>ROUND(Github!O$1751, 2)&amp;"%"</f>
        <v>43.05%</v>
      </c>
      <c r="N1665" s="17">
        <f>Github!P$1751</f>
        <v>13066</v>
      </c>
      <c r="O1665" s="17">
        <f>Github!Q$1751</f>
        <v>30354</v>
      </c>
    </row>
    <row r="1666" ht="18.0" customHeight="1">
      <c r="A1666" s="17">
        <f>Github!J$1963</f>
        <v>1962</v>
      </c>
      <c r="B1666" s="27" t="str">
        <f>HYPERLINK(CONCAT("http://leetcode.com/problems/",Github!C$1963), Github!B$1963)</f>
        <v>Remove Stones to Minimize the Total</v>
      </c>
      <c r="C1666" s="17">
        <f>Github!F$1963</f>
        <v>262</v>
      </c>
      <c r="D1666" s="17">
        <f>Github!G$1963</f>
        <v>12</v>
      </c>
      <c r="E1666" s="17">
        <f>Github!F$1963+Github!G$1963</f>
        <v>274</v>
      </c>
      <c r="F1666" s="18">
        <f t="shared" si="1"/>
        <v>21.83</v>
      </c>
      <c r="G1666" s="17" t="str">
        <f>Github!H$1963</f>
        <v>Algorithms</v>
      </c>
      <c r="H1666" s="19" t="str">
        <f>SUBSTITUTE(Github!L$1963, ";", ", ")</f>
        <v>Array, Heap (Priority Queue), </v>
      </c>
      <c r="I1666" s="17" t="str">
        <f>Github!E$1963</f>
        <v>Medium</v>
      </c>
      <c r="J1666" s="17" t="str">
        <f>IF(TRIM(Github!D$1963)="TRUE","FALSE","TRUE")</f>
        <v>TRUE</v>
      </c>
      <c r="K1666" s="17" t="b">
        <f>Github!M$1963</f>
        <v>0</v>
      </c>
      <c r="L1666" s="17" t="b">
        <f>Github!N$1963</f>
        <v>0</v>
      </c>
      <c r="M1666" s="17" t="str">
        <f>ROUND(Github!O$1963, 2)&amp;"%"</f>
        <v>55.98%</v>
      </c>
      <c r="N1666" s="17">
        <f>Github!P$1963</f>
        <v>16760</v>
      </c>
      <c r="O1666" s="17">
        <f>Github!Q$1963</f>
        <v>29937</v>
      </c>
    </row>
    <row r="1667" ht="18.0" customHeight="1">
      <c r="A1667" s="17">
        <f>Github!J$2166</f>
        <v>2165</v>
      </c>
      <c r="B1667" s="27" t="str">
        <f>HYPERLINK(CONCAT("http://leetcode.com/problems/",Github!C$2166), Github!B$2166)</f>
        <v>Smallest Value of the Rearranged Number</v>
      </c>
      <c r="C1667" s="17">
        <f>Github!F$2166</f>
        <v>264</v>
      </c>
      <c r="D1667" s="17">
        <f>Github!G$2166</f>
        <v>8</v>
      </c>
      <c r="E1667" s="17">
        <f>Github!F$2166+Github!G$2166</f>
        <v>272</v>
      </c>
      <c r="F1667" s="18">
        <f t="shared" si="1"/>
        <v>33</v>
      </c>
      <c r="G1667" s="17" t="str">
        <f>Github!H$2166</f>
        <v>Algorithms</v>
      </c>
      <c r="H1667" s="19" t="str">
        <f>SUBSTITUTE(Github!L$2166, ";", ", ")</f>
        <v>Math, Sorting, </v>
      </c>
      <c r="I1667" s="17" t="str">
        <f>Github!E$2166</f>
        <v>Medium</v>
      </c>
      <c r="J1667" s="17" t="str">
        <f>IF(TRIM(Github!D$2166)="TRUE","FALSE","TRUE")</f>
        <v>TRUE</v>
      </c>
      <c r="K1667" s="17" t="b">
        <f>Github!M$2166</f>
        <v>0</v>
      </c>
      <c r="L1667" s="17" t="b">
        <f>Github!N$2166</f>
        <v>0</v>
      </c>
      <c r="M1667" s="17" t="str">
        <f>ROUND(Github!O$2166, 2)&amp;"%"</f>
        <v>50.49%</v>
      </c>
      <c r="N1667" s="17">
        <f>Github!P$2166</f>
        <v>18685</v>
      </c>
      <c r="O1667" s="17">
        <f>Github!Q$2166</f>
        <v>37005</v>
      </c>
    </row>
    <row r="1668" ht="18.0" customHeight="1">
      <c r="A1668" s="17">
        <f>Github!J$1985</f>
        <v>1984</v>
      </c>
      <c r="B1668" s="27" t="str">
        <f>HYPERLINK(CONCAT("http://leetcode.com/problems/",Github!C$1985), Github!B$1985)</f>
        <v>Minimum Difference Between Highest and Lowest of K Scores</v>
      </c>
      <c r="C1668" s="17">
        <f>Github!F$1985</f>
        <v>259</v>
      </c>
      <c r="D1668" s="17">
        <f>Github!G$1985</f>
        <v>37</v>
      </c>
      <c r="E1668" s="17">
        <f>Github!F$1985+Github!G$1985</f>
        <v>296</v>
      </c>
      <c r="F1668" s="18">
        <f t="shared" si="1"/>
        <v>7</v>
      </c>
      <c r="G1668" s="17" t="str">
        <f>Github!H$1985</f>
        <v>Algorithms</v>
      </c>
      <c r="H1668" s="19" t="str">
        <f>SUBSTITUTE(Github!L$1985, ";", ", ")</f>
        <v>Array, Sliding Window, Sorting, </v>
      </c>
      <c r="I1668" s="17" t="str">
        <f>Github!E$1985</f>
        <v>Easy</v>
      </c>
      <c r="J1668" s="17" t="str">
        <f>IF(TRIM(Github!D$1985)="TRUE","FALSE","TRUE")</f>
        <v>TRUE</v>
      </c>
      <c r="K1668" s="17" t="b">
        <f>Github!M$1985</f>
        <v>0</v>
      </c>
      <c r="L1668" s="17" t="b">
        <f>Github!N$1985</f>
        <v>0</v>
      </c>
      <c r="M1668" s="17" t="str">
        <f>ROUND(Github!O$1985, 2)&amp;"%"</f>
        <v>54.1%</v>
      </c>
      <c r="N1668" s="17">
        <f>Github!P$1985</f>
        <v>19471</v>
      </c>
      <c r="O1668" s="17">
        <f>Github!Q$1985</f>
        <v>35990</v>
      </c>
    </row>
    <row r="1669" ht="18.0" customHeight="1">
      <c r="A1669" s="17">
        <f>Github!J$1273</f>
        <v>1272</v>
      </c>
      <c r="B1669" s="27" t="str">
        <f>HYPERLINK(CONCAT("http://leetcode.com/problems/",Github!C$1273), Github!B$1273)</f>
        <v>Remove Interval</v>
      </c>
      <c r="C1669" s="17">
        <f>Github!F$1273</f>
        <v>257</v>
      </c>
      <c r="D1669" s="17">
        <f>Github!G$1273</f>
        <v>20</v>
      </c>
      <c r="E1669" s="17">
        <f>Github!F$1273+Github!G$1273</f>
        <v>277</v>
      </c>
      <c r="F1669" s="18">
        <f t="shared" si="1"/>
        <v>12.85</v>
      </c>
      <c r="G1669" s="17" t="str">
        <f>Github!H$1273</f>
        <v>Algorithms</v>
      </c>
      <c r="H1669" s="19" t="str">
        <f>SUBSTITUTE(Github!L$1273, ";", ", ")</f>
        <v>Array, </v>
      </c>
      <c r="I1669" s="17" t="str">
        <f>Github!E$1273</f>
        <v>Medium</v>
      </c>
      <c r="J1669" s="17" t="str">
        <f>IF(TRIM(Github!D$1273)="TRUE","FALSE","TRUE")</f>
        <v>FALSE</v>
      </c>
      <c r="K1669" s="17" t="b">
        <f>Github!M$1273</f>
        <v>1</v>
      </c>
      <c r="L1669" s="17" t="b">
        <f>Github!N$1273</f>
        <v>1</v>
      </c>
      <c r="M1669" s="17" t="str">
        <f>ROUND(Github!O$1273, 2)&amp;"%"</f>
        <v>60.85%</v>
      </c>
      <c r="N1669" s="17">
        <f>Github!P$1273</f>
        <v>18230</v>
      </c>
      <c r="O1669" s="17">
        <f>Github!Q$1273</f>
        <v>29961</v>
      </c>
    </row>
    <row r="1670" ht="18.0" customHeight="1">
      <c r="A1670" s="17">
        <f>Github!J$194</f>
        <v>193</v>
      </c>
      <c r="B1670" s="27" t="str">
        <f>HYPERLINK(CONCAT("http://leetcode.com/problems/",Github!C$194), Github!B$194)</f>
        <v>Valid Phone Numbers</v>
      </c>
      <c r="C1670" s="17">
        <f>Github!F$194</f>
        <v>256</v>
      </c>
      <c r="D1670" s="17">
        <f>Github!G$194</f>
        <v>687</v>
      </c>
      <c r="E1670" s="17">
        <f>Github!F$194+Github!G$194</f>
        <v>943</v>
      </c>
      <c r="F1670" s="18">
        <f t="shared" si="1"/>
        <v>0.37</v>
      </c>
      <c r="G1670" s="17" t="str">
        <f>Github!H$194</f>
        <v>Shell</v>
      </c>
      <c r="H1670" s="19" t="str">
        <f>SUBSTITUTE(Github!L$194, ";", ", ")</f>
        <v>Shell, </v>
      </c>
      <c r="I1670" s="17" t="str">
        <f>Github!E$194</f>
        <v>Easy</v>
      </c>
      <c r="J1670" s="17" t="str">
        <f>IF(TRIM(Github!D$194)="TRUE","FALSE","TRUE")</f>
        <v>TRUE</v>
      </c>
      <c r="K1670" s="17" t="b">
        <f>Github!M$194</f>
        <v>0</v>
      </c>
      <c r="L1670" s="17" t="b">
        <f>Github!N$194</f>
        <v>0</v>
      </c>
      <c r="M1670" s="17" t="str">
        <f>ROUND(Github!O$194, 2)&amp;"%"</f>
        <v>25.79%</v>
      </c>
      <c r="N1670" s="17">
        <f>Github!P$194</f>
        <v>54055</v>
      </c>
      <c r="O1670" s="17">
        <f>Github!Q$194</f>
        <v>209565</v>
      </c>
    </row>
    <row r="1671" ht="18.0" customHeight="1">
      <c r="A1671" s="17">
        <f>Github!J$2193</f>
        <v>2192</v>
      </c>
      <c r="B1671" s="27" t="str">
        <f>HYPERLINK(CONCAT("http://leetcode.com/problems/",Github!C$2193), Github!B$2193)</f>
        <v>All Ancestors of a Node in a Directed Acyclic Graph</v>
      </c>
      <c r="C1671" s="17">
        <f>Github!F$2193</f>
        <v>262</v>
      </c>
      <c r="D1671" s="17">
        <f>Github!G$2193</f>
        <v>3</v>
      </c>
      <c r="E1671" s="17">
        <f>Github!F$2193+Github!G$2193</f>
        <v>265</v>
      </c>
      <c r="F1671" s="18">
        <f t="shared" si="1"/>
        <v>87.33</v>
      </c>
      <c r="G1671" s="17" t="str">
        <f>Github!H$2193</f>
        <v>Algorithms</v>
      </c>
      <c r="H1671" s="19" t="str">
        <f>SUBSTITUTE(Github!L$2193, ";", ", ")</f>
        <v>Depth-First Search, Breadth-First Search, Graph, Topological Sort, </v>
      </c>
      <c r="I1671" s="17" t="str">
        <f>Github!E$2193</f>
        <v>Medium</v>
      </c>
      <c r="J1671" s="17" t="str">
        <f>IF(TRIM(Github!D$2193)="TRUE","FALSE","TRUE")</f>
        <v>TRUE</v>
      </c>
      <c r="K1671" s="17" t="b">
        <f>Github!M$2193</f>
        <v>0</v>
      </c>
      <c r="L1671" s="17" t="b">
        <f>Github!N$2193</f>
        <v>0</v>
      </c>
      <c r="M1671" s="17" t="str">
        <f>ROUND(Github!O$2193, 2)&amp;"%"</f>
        <v>43.23%</v>
      </c>
      <c r="N1671" s="17">
        <f>Github!P$2193</f>
        <v>6991</v>
      </c>
      <c r="O1671" s="17">
        <f>Github!Q$2193</f>
        <v>16172</v>
      </c>
    </row>
    <row r="1672" ht="18.0" customHeight="1">
      <c r="A1672" s="17">
        <f>Github!J$554</f>
        <v>553</v>
      </c>
      <c r="B1672" s="27" t="str">
        <f>HYPERLINK(CONCAT("http://leetcode.com/problems/",Github!C$554), Github!B$554)</f>
        <v>Optimal Division</v>
      </c>
      <c r="C1672" s="17">
        <f>Github!F$554</f>
        <v>255</v>
      </c>
      <c r="D1672" s="17">
        <f>Github!G$554</f>
        <v>1359</v>
      </c>
      <c r="E1672" s="17">
        <f>Github!F$554+Github!G$554</f>
        <v>1614</v>
      </c>
      <c r="F1672" s="18">
        <f t="shared" si="1"/>
        <v>0.19</v>
      </c>
      <c r="G1672" s="17" t="str">
        <f>Github!H$554</f>
        <v>Algorithms</v>
      </c>
      <c r="H1672" s="19" t="str">
        <f>SUBSTITUTE(Github!L$554, ";", ", ")</f>
        <v>Array, Math, Dynamic Programming, </v>
      </c>
      <c r="I1672" s="17" t="str">
        <f>Github!E$554</f>
        <v>Medium</v>
      </c>
      <c r="J1672" s="17" t="str">
        <f>IF(TRIM(Github!D$554)="TRUE","FALSE","TRUE")</f>
        <v>TRUE</v>
      </c>
      <c r="K1672" s="17" t="b">
        <f>Github!M$554</f>
        <v>1</v>
      </c>
      <c r="L1672" s="17" t="b">
        <f>Github!N$554</f>
        <v>0</v>
      </c>
      <c r="M1672" s="17" t="str">
        <f>ROUND(Github!O$554, 2)&amp;"%"</f>
        <v>58.78%</v>
      </c>
      <c r="N1672" s="17">
        <f>Github!P$554</f>
        <v>31095</v>
      </c>
      <c r="O1672" s="17">
        <f>Github!Q$554</f>
        <v>52904</v>
      </c>
    </row>
    <row r="1673" ht="18.0" customHeight="1">
      <c r="A1673" s="17">
        <f>Github!J$1522</f>
        <v>1521</v>
      </c>
      <c r="B1673" s="27" t="str">
        <f>HYPERLINK(CONCAT("http://leetcode.com/problems/",Github!C$1522), Github!B$1522)</f>
        <v>Find a Value of a Mysterious Function Closest to Target</v>
      </c>
      <c r="C1673" s="17">
        <f>Github!F$1522</f>
        <v>255</v>
      </c>
      <c r="D1673" s="17">
        <f>Github!G$1522</f>
        <v>10</v>
      </c>
      <c r="E1673" s="17">
        <f>Github!F$1522+Github!G$1522</f>
        <v>265</v>
      </c>
      <c r="F1673" s="18">
        <f t="shared" si="1"/>
        <v>25.5</v>
      </c>
      <c r="G1673" s="17" t="str">
        <f>Github!H$1522</f>
        <v>Algorithms</v>
      </c>
      <c r="H1673" s="19" t="str">
        <f>SUBSTITUTE(Github!L$1522, ";", ", ")</f>
        <v>Array, Binary Search, Bit Manipulation, Segment Tree, </v>
      </c>
      <c r="I1673" s="17" t="str">
        <f>Github!E$1522</f>
        <v>Hard</v>
      </c>
      <c r="J1673" s="17" t="str">
        <f>IF(TRIM(Github!D$1522)="TRUE","FALSE","TRUE")</f>
        <v>TRUE</v>
      </c>
      <c r="K1673" s="17" t="b">
        <f>Github!M$1522</f>
        <v>0</v>
      </c>
      <c r="L1673" s="17" t="b">
        <f>Github!N$1522</f>
        <v>0</v>
      </c>
      <c r="M1673" s="17" t="str">
        <f>ROUND(Github!O$1522, 2)&amp;"%"</f>
        <v>43.58%</v>
      </c>
      <c r="N1673" s="17">
        <f>Github!P$1522</f>
        <v>7263</v>
      </c>
      <c r="O1673" s="17">
        <f>Github!Q$1522</f>
        <v>16665</v>
      </c>
    </row>
    <row r="1674" ht="18.0" customHeight="1">
      <c r="A1674" s="17">
        <f>Github!J$1400</f>
        <v>1399</v>
      </c>
      <c r="B1674" s="27" t="str">
        <f>HYPERLINK(CONCAT("http://leetcode.com/problems/",Github!C$1400), Github!B$1400)</f>
        <v>Count Largest Group</v>
      </c>
      <c r="C1674" s="17">
        <f>Github!F$1400</f>
        <v>254</v>
      </c>
      <c r="D1674" s="17">
        <f>Github!G$1400</f>
        <v>637</v>
      </c>
      <c r="E1674" s="17">
        <f>Github!F$1400+Github!G$1400</f>
        <v>891</v>
      </c>
      <c r="F1674" s="18">
        <f t="shared" si="1"/>
        <v>0.4</v>
      </c>
      <c r="G1674" s="17" t="str">
        <f>Github!H$1400</f>
        <v>Algorithms</v>
      </c>
      <c r="H1674" s="19" t="str">
        <f>SUBSTITUTE(Github!L$1400, ";", ", ")</f>
        <v>Hash Table, Math, </v>
      </c>
      <c r="I1674" s="17" t="str">
        <f>Github!E$1400</f>
        <v>Easy</v>
      </c>
      <c r="J1674" s="17" t="str">
        <f>IF(TRIM(Github!D$1400)="TRUE","FALSE","TRUE")</f>
        <v>TRUE</v>
      </c>
      <c r="K1674" s="17" t="b">
        <f>Github!M$1400</f>
        <v>0</v>
      </c>
      <c r="L1674" s="17" t="b">
        <f>Github!N$1400</f>
        <v>0</v>
      </c>
      <c r="M1674" s="17" t="str">
        <f>ROUND(Github!O$1400, 2)&amp;"%"</f>
        <v>66.64%</v>
      </c>
      <c r="N1674" s="17">
        <f>Github!P$1400</f>
        <v>29670</v>
      </c>
      <c r="O1674" s="17">
        <f>Github!Q$1400</f>
        <v>44522</v>
      </c>
    </row>
    <row r="1675" ht="18.0" customHeight="1">
      <c r="A1675" s="17">
        <f>Github!J$1603</f>
        <v>1602</v>
      </c>
      <c r="B1675" s="27" t="str">
        <f>HYPERLINK(CONCAT("http://leetcode.com/problems/",Github!C$1603), Github!B$1603)</f>
        <v>Find Nearest Right Node in Binary Tree</v>
      </c>
      <c r="C1675" s="17">
        <f>Github!F$1603</f>
        <v>254</v>
      </c>
      <c r="D1675" s="17">
        <f>Github!G$1603</f>
        <v>9</v>
      </c>
      <c r="E1675" s="17">
        <f>Github!F$1603+Github!G$1603</f>
        <v>263</v>
      </c>
      <c r="F1675" s="18">
        <f t="shared" si="1"/>
        <v>28.22</v>
      </c>
      <c r="G1675" s="17" t="str">
        <f>Github!H$1603</f>
        <v>Algorithms</v>
      </c>
      <c r="H1675" s="19" t="str">
        <f>SUBSTITUTE(Github!L$1603, ";", ", ")</f>
        <v>Tree, Breadth-First Search, Binary Tree, </v>
      </c>
      <c r="I1675" s="17" t="str">
        <f>Github!E$1603</f>
        <v>Medium</v>
      </c>
      <c r="J1675" s="17" t="str">
        <f>IF(TRIM(Github!D$1603)="TRUE","FALSE","TRUE")</f>
        <v>FALSE</v>
      </c>
      <c r="K1675" s="17" t="b">
        <f>Github!M$1603</f>
        <v>1</v>
      </c>
      <c r="L1675" s="17" t="b">
        <f>Github!N$1603</f>
        <v>1</v>
      </c>
      <c r="M1675" s="17" t="str">
        <f>ROUND(Github!O$1603, 2)&amp;"%"</f>
        <v>75.28%</v>
      </c>
      <c r="N1675" s="17">
        <f>Github!P$1603</f>
        <v>17699</v>
      </c>
      <c r="O1675" s="17">
        <f>Github!Q$1603</f>
        <v>23511</v>
      </c>
    </row>
    <row r="1676" ht="18.0" customHeight="1">
      <c r="A1676" s="17">
        <f>Github!J$1924</f>
        <v>1923</v>
      </c>
      <c r="B1676" s="27" t="str">
        <f>HYPERLINK(CONCAT("http://leetcode.com/problems/",Github!C$1924), Github!B$1924)</f>
        <v>Longest Common Subpath</v>
      </c>
      <c r="C1676" s="17">
        <f>Github!F$1924</f>
        <v>254</v>
      </c>
      <c r="D1676" s="17">
        <f>Github!G$1924</f>
        <v>23</v>
      </c>
      <c r="E1676" s="17">
        <f>Github!F$1924+Github!G$1924</f>
        <v>277</v>
      </c>
      <c r="F1676" s="18">
        <f t="shared" si="1"/>
        <v>11.04</v>
      </c>
      <c r="G1676" s="17" t="str">
        <f>Github!H$1924</f>
        <v>Algorithms</v>
      </c>
      <c r="H1676" s="19" t="str">
        <f>SUBSTITUTE(Github!L$1924, ";", ", ")</f>
        <v>Array, Binary Search, Rolling Hash, Suffix Array, Hash Function, </v>
      </c>
      <c r="I1676" s="17" t="str">
        <f>Github!E$1924</f>
        <v>Hard</v>
      </c>
      <c r="J1676" s="17" t="str">
        <f>IF(TRIM(Github!D$1924)="TRUE","FALSE","TRUE")</f>
        <v>TRUE</v>
      </c>
      <c r="K1676" s="17" t="b">
        <f>Github!M$1924</f>
        <v>0</v>
      </c>
      <c r="L1676" s="17" t="b">
        <f>Github!N$1924</f>
        <v>0</v>
      </c>
      <c r="M1676" s="17" t="str">
        <f>ROUND(Github!O$1924, 2)&amp;"%"</f>
        <v>27.97%</v>
      </c>
      <c r="N1676" s="17">
        <f>Github!P$1924</f>
        <v>4400</v>
      </c>
      <c r="O1676" s="17">
        <f>Github!Q$1924</f>
        <v>15733</v>
      </c>
    </row>
    <row r="1677" ht="18.0" customHeight="1">
      <c r="A1677" s="17">
        <f>Github!J$1968</f>
        <v>1967</v>
      </c>
      <c r="B1677" s="27" t="str">
        <f>HYPERLINK(CONCAT("http://leetcode.com/problems/",Github!C$1968), Github!B$1968)</f>
        <v>Number of Strings That Appear as Substrings in Word</v>
      </c>
      <c r="C1677" s="17">
        <f>Github!F$1968</f>
        <v>254</v>
      </c>
      <c r="D1677" s="17">
        <f>Github!G$1968</f>
        <v>10</v>
      </c>
      <c r="E1677" s="17">
        <f>Github!F$1968+Github!G$1968</f>
        <v>264</v>
      </c>
      <c r="F1677" s="18">
        <f t="shared" si="1"/>
        <v>25.4</v>
      </c>
      <c r="G1677" s="17" t="str">
        <f>Github!H$1968</f>
        <v>Algorithms</v>
      </c>
      <c r="H1677" s="19" t="str">
        <f>SUBSTITUTE(Github!L$1968, ";", ", ")</f>
        <v>String, </v>
      </c>
      <c r="I1677" s="17" t="str">
        <f>Github!E$1968</f>
        <v>Easy</v>
      </c>
      <c r="J1677" s="17" t="str">
        <f>IF(TRIM(Github!D$1968)="TRUE","FALSE","TRUE")</f>
        <v>TRUE</v>
      </c>
      <c r="K1677" s="17" t="b">
        <f>Github!M$1968</f>
        <v>0</v>
      </c>
      <c r="L1677" s="17" t="b">
        <f>Github!N$1968</f>
        <v>0</v>
      </c>
      <c r="M1677" s="17" t="str">
        <f>ROUND(Github!O$1968, 2)&amp;"%"</f>
        <v>79.35%</v>
      </c>
      <c r="N1677" s="17">
        <f>Github!P$1968</f>
        <v>25740</v>
      </c>
      <c r="O1677" s="17">
        <f>Github!Q$1968</f>
        <v>32439</v>
      </c>
    </row>
    <row r="1678" ht="18.0" customHeight="1">
      <c r="A1678" s="17">
        <f>Github!J$2004</f>
        <v>2003</v>
      </c>
      <c r="B1678" s="27" t="str">
        <f>HYPERLINK(CONCAT("http://leetcode.com/problems/",Github!C$2004), Github!B$2004)</f>
        <v>Smallest Missing Genetic Value in Each Subtree</v>
      </c>
      <c r="C1678" s="17">
        <f>Github!F$2004</f>
        <v>254</v>
      </c>
      <c r="D1678" s="17">
        <f>Github!G$2004</f>
        <v>16</v>
      </c>
      <c r="E1678" s="17">
        <f>Github!F$2004+Github!G$2004</f>
        <v>270</v>
      </c>
      <c r="F1678" s="18">
        <f t="shared" si="1"/>
        <v>15.88</v>
      </c>
      <c r="G1678" s="17" t="str">
        <f>Github!H$2004</f>
        <v>Algorithms</v>
      </c>
      <c r="H1678" s="19" t="str">
        <f>SUBSTITUTE(Github!L$2004, ";", ", ")</f>
        <v>Dynamic Programming, Tree, Depth-First Search, Union Find, </v>
      </c>
      <c r="I1678" s="17" t="str">
        <f>Github!E$2004</f>
        <v>Hard</v>
      </c>
      <c r="J1678" s="17" t="str">
        <f>IF(TRIM(Github!D$2004)="TRUE","FALSE","TRUE")</f>
        <v>TRUE</v>
      </c>
      <c r="K1678" s="17" t="b">
        <f>Github!M$2004</f>
        <v>0</v>
      </c>
      <c r="L1678" s="17" t="b">
        <f>Github!N$2004</f>
        <v>0</v>
      </c>
      <c r="M1678" s="17" t="str">
        <f>ROUND(Github!O$2004, 2)&amp;"%"</f>
        <v>42.1%</v>
      </c>
      <c r="N1678" s="17">
        <f>Github!P$2004</f>
        <v>4601</v>
      </c>
      <c r="O1678" s="17">
        <f>Github!Q$2004</f>
        <v>10928</v>
      </c>
    </row>
    <row r="1679" ht="18.0" customHeight="1">
      <c r="A1679" s="17">
        <f>Github!J$2023</f>
        <v>2022</v>
      </c>
      <c r="B1679" s="27" t="str">
        <f>HYPERLINK(CONCAT("http://leetcode.com/problems/",Github!C$2023), Github!B$2023)</f>
        <v>Convert 1D Array Into 2D Array</v>
      </c>
      <c r="C1679" s="17">
        <f>Github!F$2023</f>
        <v>255</v>
      </c>
      <c r="D1679" s="17">
        <f>Github!G$2023</f>
        <v>18</v>
      </c>
      <c r="E1679" s="17">
        <f>Github!F$2023+Github!G$2023</f>
        <v>273</v>
      </c>
      <c r="F1679" s="18">
        <f t="shared" si="1"/>
        <v>14.17</v>
      </c>
      <c r="G1679" s="17" t="str">
        <f>Github!H$2023</f>
        <v>Algorithms</v>
      </c>
      <c r="H1679" s="19" t="str">
        <f>SUBSTITUTE(Github!L$2023, ";", ", ")</f>
        <v>Array, Matrix, Simulation, </v>
      </c>
      <c r="I1679" s="17" t="str">
        <f>Github!E$2023</f>
        <v>Easy</v>
      </c>
      <c r="J1679" s="17" t="str">
        <f>IF(TRIM(Github!D$2023)="TRUE","FALSE","TRUE")</f>
        <v>TRUE</v>
      </c>
      <c r="K1679" s="17" t="b">
        <f>Github!M$2023</f>
        <v>0</v>
      </c>
      <c r="L1679" s="17" t="b">
        <f>Github!N$2023</f>
        <v>0</v>
      </c>
      <c r="M1679" s="17" t="str">
        <f>ROUND(Github!O$2023, 2)&amp;"%"</f>
        <v>59.86%</v>
      </c>
      <c r="N1679" s="17">
        <f>Github!P$2023</f>
        <v>25376</v>
      </c>
      <c r="O1679" s="17">
        <f>Github!Q$2023</f>
        <v>42395</v>
      </c>
    </row>
    <row r="1680" ht="18.0" customHeight="1">
      <c r="A1680" s="17">
        <f>Github!J$2026</f>
        <v>2025</v>
      </c>
      <c r="B1680" s="27" t="str">
        <f>HYPERLINK(CONCAT("http://leetcode.com/problems/",Github!C$2026), Github!B$2026)</f>
        <v>Maximum Number of Ways to Partition an Array</v>
      </c>
      <c r="C1680" s="17">
        <f>Github!F$2026</f>
        <v>254</v>
      </c>
      <c r="D1680" s="17">
        <f>Github!G$2026</f>
        <v>20</v>
      </c>
      <c r="E1680" s="17">
        <f>Github!F$2026+Github!G$2026</f>
        <v>274</v>
      </c>
      <c r="F1680" s="18">
        <f t="shared" si="1"/>
        <v>12.7</v>
      </c>
      <c r="G1680" s="17" t="str">
        <f>Github!H$2026</f>
        <v>Algorithms</v>
      </c>
      <c r="H1680" s="19" t="str">
        <f>SUBSTITUTE(Github!L$2026, ";", ", ")</f>
        <v>Array, Hash Table, Counting, Enumeration, Prefix Sum, </v>
      </c>
      <c r="I1680" s="17" t="str">
        <f>Github!E$2026</f>
        <v>Hard</v>
      </c>
      <c r="J1680" s="17" t="str">
        <f>IF(TRIM(Github!D$2026)="TRUE","FALSE","TRUE")</f>
        <v>TRUE</v>
      </c>
      <c r="K1680" s="17" t="b">
        <f>Github!M$2026</f>
        <v>0</v>
      </c>
      <c r="L1680" s="17" t="b">
        <f>Github!N$2026</f>
        <v>0</v>
      </c>
      <c r="M1680" s="17" t="str">
        <f>ROUND(Github!O$2026, 2)&amp;"%"</f>
        <v>30.77%</v>
      </c>
      <c r="N1680" s="17">
        <f>Github!P$2026</f>
        <v>4504</v>
      </c>
      <c r="O1680" s="17">
        <f>Github!Q$2026</f>
        <v>14640</v>
      </c>
    </row>
    <row r="1681" ht="18.0" customHeight="1">
      <c r="A1681" s="17">
        <f>Github!J$2033</f>
        <v>2032</v>
      </c>
      <c r="B1681" s="27" t="str">
        <f>HYPERLINK(CONCAT("http://leetcode.com/problems/",Github!C$2033), Github!B$2033)</f>
        <v>Two Out of Three</v>
      </c>
      <c r="C1681" s="17">
        <f>Github!F$2033</f>
        <v>255</v>
      </c>
      <c r="D1681" s="17">
        <f>Github!G$2033</f>
        <v>24</v>
      </c>
      <c r="E1681" s="17">
        <f>Github!F$2033+Github!G$2033</f>
        <v>279</v>
      </c>
      <c r="F1681" s="18">
        <f t="shared" si="1"/>
        <v>10.63</v>
      </c>
      <c r="G1681" s="17" t="str">
        <f>Github!H$2033</f>
        <v>Algorithms</v>
      </c>
      <c r="H1681" s="19" t="str">
        <f>SUBSTITUTE(Github!L$2033, ";", ", ")</f>
        <v>Array, Hash Table, </v>
      </c>
      <c r="I1681" s="17" t="str">
        <f>Github!E$2033</f>
        <v>Easy</v>
      </c>
      <c r="J1681" s="17" t="str">
        <f>IF(TRIM(Github!D$2033)="TRUE","FALSE","TRUE")</f>
        <v>TRUE</v>
      </c>
      <c r="K1681" s="17" t="b">
        <f>Github!M$2033</f>
        <v>0</v>
      </c>
      <c r="L1681" s="17" t="b">
        <f>Github!N$2033</f>
        <v>0</v>
      </c>
      <c r="M1681" s="17" t="str">
        <f>ROUND(Github!O$2033, 2)&amp;"%"</f>
        <v>72.83%</v>
      </c>
      <c r="N1681" s="17">
        <f>Github!P$2033</f>
        <v>23360</v>
      </c>
      <c r="O1681" s="17">
        <f>Github!Q$2033</f>
        <v>32075</v>
      </c>
    </row>
    <row r="1682" ht="18.0" customHeight="1">
      <c r="A1682" s="17">
        <f>Github!J$535</f>
        <v>534</v>
      </c>
      <c r="B1682" s="27" t="str">
        <f>HYPERLINK(CONCAT("http://leetcode.com/problems/",Github!C$535), Github!B$535)</f>
        <v>Game Play Analysis III</v>
      </c>
      <c r="C1682" s="17">
        <f>Github!F$535</f>
        <v>253</v>
      </c>
      <c r="D1682" s="17">
        <f>Github!G$535</f>
        <v>10</v>
      </c>
      <c r="E1682" s="17">
        <f>Github!F$535+Github!G$535</f>
        <v>263</v>
      </c>
      <c r="F1682" s="18">
        <f t="shared" si="1"/>
        <v>25.3</v>
      </c>
      <c r="G1682" s="17" t="str">
        <f>Github!H$535</f>
        <v>Database</v>
      </c>
      <c r="H1682" s="19" t="str">
        <f>SUBSTITUTE(Github!L$535, ";", ", ")</f>
        <v>Database, </v>
      </c>
      <c r="I1682" s="17" t="str">
        <f>Github!E$535</f>
        <v>Medium</v>
      </c>
      <c r="J1682" s="17" t="str">
        <f>IF(TRIM(Github!D$535)="TRUE","FALSE","TRUE")</f>
        <v>FALSE</v>
      </c>
      <c r="K1682" s="17" t="b">
        <f>Github!M$535</f>
        <v>0</v>
      </c>
      <c r="L1682" s="17" t="b">
        <f>Github!N$535</f>
        <v>0</v>
      </c>
      <c r="M1682" s="17" t="str">
        <f>ROUND(Github!O$535, 2)&amp;"%"</f>
        <v>81.68%</v>
      </c>
      <c r="N1682" s="17">
        <f>Github!P$535</f>
        <v>44118</v>
      </c>
      <c r="O1682" s="17">
        <f>Github!Q$535</f>
        <v>54015</v>
      </c>
    </row>
    <row r="1683" ht="18.0" customHeight="1">
      <c r="A1683" s="17">
        <f>Github!J$756</f>
        <v>755</v>
      </c>
      <c r="B1683" s="27" t="str">
        <f>HYPERLINK(CONCAT("http://leetcode.com/problems/",Github!C$756), Github!B$756)</f>
        <v>Pour Water</v>
      </c>
      <c r="C1683" s="17">
        <f>Github!F$756</f>
        <v>253</v>
      </c>
      <c r="D1683" s="17">
        <f>Github!G$756</f>
        <v>590</v>
      </c>
      <c r="E1683" s="17">
        <f>Github!F$756+Github!G$756</f>
        <v>843</v>
      </c>
      <c r="F1683" s="18">
        <f t="shared" si="1"/>
        <v>0.43</v>
      </c>
      <c r="G1683" s="17" t="str">
        <f>Github!H$756</f>
        <v>Algorithms</v>
      </c>
      <c r="H1683" s="19" t="str">
        <f>SUBSTITUTE(Github!L$756, ";", ", ")</f>
        <v>Array, Simulation, </v>
      </c>
      <c r="I1683" s="17" t="str">
        <f>Github!E$756</f>
        <v>Medium</v>
      </c>
      <c r="J1683" s="17" t="str">
        <f>IF(TRIM(Github!D$756)="TRUE","FALSE","TRUE")</f>
        <v>FALSE</v>
      </c>
      <c r="K1683" s="17" t="b">
        <f>Github!M$756</f>
        <v>0</v>
      </c>
      <c r="L1683" s="17" t="b">
        <f>Github!N$756</f>
        <v>0</v>
      </c>
      <c r="M1683" s="17" t="str">
        <f>ROUND(Github!O$756, 2)&amp;"%"</f>
        <v>45.4%</v>
      </c>
      <c r="N1683" s="17">
        <f>Github!P$756</f>
        <v>29334</v>
      </c>
      <c r="O1683" s="17">
        <f>Github!Q$756</f>
        <v>64619</v>
      </c>
    </row>
    <row r="1684" ht="18.0" customHeight="1">
      <c r="A1684" s="17">
        <f>Github!J$1936</f>
        <v>1935</v>
      </c>
      <c r="B1684" s="27" t="str">
        <f>HYPERLINK(CONCAT("http://leetcode.com/problems/",Github!C$1936), Github!B$1936)</f>
        <v>Maximum Number of Words You Can Type</v>
      </c>
      <c r="C1684" s="17">
        <f>Github!F$1936</f>
        <v>253</v>
      </c>
      <c r="D1684" s="17">
        <f>Github!G$1936</f>
        <v>11</v>
      </c>
      <c r="E1684" s="17">
        <f>Github!F$1936+Github!G$1936</f>
        <v>264</v>
      </c>
      <c r="F1684" s="18">
        <f t="shared" si="1"/>
        <v>23</v>
      </c>
      <c r="G1684" s="17" t="str">
        <f>Github!H$1936</f>
        <v>Algorithms</v>
      </c>
      <c r="H1684" s="19" t="str">
        <f>SUBSTITUTE(Github!L$1936, ";", ", ")</f>
        <v>Hash Table, String, </v>
      </c>
      <c r="I1684" s="17" t="str">
        <f>Github!E$1936</f>
        <v>Easy</v>
      </c>
      <c r="J1684" s="17" t="str">
        <f>IF(TRIM(Github!D$1936)="TRUE","FALSE","TRUE")</f>
        <v>TRUE</v>
      </c>
      <c r="K1684" s="17" t="b">
        <f>Github!M$1936</f>
        <v>0</v>
      </c>
      <c r="L1684" s="17" t="b">
        <f>Github!N$1936</f>
        <v>0</v>
      </c>
      <c r="M1684" s="17" t="str">
        <f>ROUND(Github!O$1936, 2)&amp;"%"</f>
        <v>71.61%</v>
      </c>
      <c r="N1684" s="17">
        <f>Github!P$1936</f>
        <v>26963</v>
      </c>
      <c r="O1684" s="17">
        <f>Github!Q$1936</f>
        <v>37653</v>
      </c>
    </row>
    <row r="1685" ht="18.0" customHeight="1">
      <c r="A1685" s="17">
        <f>Github!J$2054</f>
        <v>2053</v>
      </c>
      <c r="B1685" s="27" t="str">
        <f>HYPERLINK(CONCAT("http://leetcode.com/problems/",Github!C$2054), Github!B$2054)</f>
        <v>Kth Distinct String in an Array</v>
      </c>
      <c r="C1685" s="17">
        <f>Github!F$2054</f>
        <v>253</v>
      </c>
      <c r="D1685" s="17">
        <f>Github!G$2054</f>
        <v>6</v>
      </c>
      <c r="E1685" s="17">
        <f>Github!F$2054+Github!G$2054</f>
        <v>259</v>
      </c>
      <c r="F1685" s="18">
        <f t="shared" si="1"/>
        <v>42.17</v>
      </c>
      <c r="G1685" s="17" t="str">
        <f>Github!H$2054</f>
        <v>Algorithms</v>
      </c>
      <c r="H1685" s="19" t="str">
        <f>SUBSTITUTE(Github!L$2054, ";", ", ")</f>
        <v>Array, Hash Table, String, Counting, </v>
      </c>
      <c r="I1685" s="17" t="str">
        <f>Github!E$2054</f>
        <v>Easy</v>
      </c>
      <c r="J1685" s="17" t="str">
        <f>IF(TRIM(Github!D$2054)="TRUE","FALSE","TRUE")</f>
        <v>TRUE</v>
      </c>
      <c r="K1685" s="17" t="b">
        <f>Github!M$2054</f>
        <v>0</v>
      </c>
      <c r="L1685" s="17" t="b">
        <f>Github!N$2054</f>
        <v>0</v>
      </c>
      <c r="M1685" s="17" t="str">
        <f>ROUND(Github!O$2054, 2)&amp;"%"</f>
        <v>73.11%</v>
      </c>
      <c r="N1685" s="17">
        <f>Github!P$2054</f>
        <v>19476</v>
      </c>
      <c r="O1685" s="17">
        <f>Github!Q$2054</f>
        <v>26638</v>
      </c>
    </row>
    <row r="1686" ht="18.0" customHeight="1">
      <c r="A1686" s="17">
        <f>Github!J$965</f>
        <v>964</v>
      </c>
      <c r="B1686" s="27" t="str">
        <f>HYPERLINK(CONCAT("http://leetcode.com/problems/",Github!C$965), Github!B$965)</f>
        <v>Least Operators to Express Number</v>
      </c>
      <c r="C1686" s="17">
        <f>Github!F$965</f>
        <v>252</v>
      </c>
      <c r="D1686" s="17">
        <f>Github!G$965</f>
        <v>64</v>
      </c>
      <c r="E1686" s="17">
        <f>Github!F$965+Github!G$965</f>
        <v>316</v>
      </c>
      <c r="F1686" s="18">
        <f t="shared" si="1"/>
        <v>3.94</v>
      </c>
      <c r="G1686" s="17" t="str">
        <f>Github!H$965</f>
        <v>Algorithms</v>
      </c>
      <c r="H1686" s="19" t="str">
        <f>SUBSTITUTE(Github!L$965, ";", ", ")</f>
        <v>Math, Dynamic Programming, </v>
      </c>
      <c r="I1686" s="17" t="str">
        <f>Github!E$965</f>
        <v>Hard</v>
      </c>
      <c r="J1686" s="17" t="str">
        <f>IF(TRIM(Github!D$965)="TRUE","FALSE","TRUE")</f>
        <v>TRUE</v>
      </c>
      <c r="K1686" s="17" t="b">
        <f>Github!M$965</f>
        <v>0</v>
      </c>
      <c r="L1686" s="17" t="b">
        <f>Github!N$965</f>
        <v>0</v>
      </c>
      <c r="M1686" s="17" t="str">
        <f>ROUND(Github!O$965, 2)&amp;"%"</f>
        <v>47%</v>
      </c>
      <c r="N1686" s="17">
        <f>Github!P$965</f>
        <v>7760</v>
      </c>
      <c r="O1686" s="17">
        <f>Github!Q$965</f>
        <v>16510</v>
      </c>
    </row>
    <row r="1687" ht="18.0" customHeight="1">
      <c r="A1687" s="17">
        <f>Github!J$1120</f>
        <v>1119</v>
      </c>
      <c r="B1687" s="27" t="str">
        <f>HYPERLINK(CONCAT("http://leetcode.com/problems/",Github!C$1120), Github!B$1120)</f>
        <v>Remove Vowels from a String</v>
      </c>
      <c r="C1687" s="17">
        <f>Github!F$1120</f>
        <v>252</v>
      </c>
      <c r="D1687" s="17">
        <f>Github!G$1120</f>
        <v>102</v>
      </c>
      <c r="E1687" s="17">
        <f>Github!F$1120+Github!G$1120</f>
        <v>354</v>
      </c>
      <c r="F1687" s="18">
        <f t="shared" si="1"/>
        <v>2.47</v>
      </c>
      <c r="G1687" s="17" t="str">
        <f>Github!H$1120</f>
        <v>Algorithms</v>
      </c>
      <c r="H1687" s="19" t="str">
        <f>SUBSTITUTE(Github!L$1120, ";", ", ")</f>
        <v>String, </v>
      </c>
      <c r="I1687" s="17" t="str">
        <f>Github!E$1120</f>
        <v>Easy</v>
      </c>
      <c r="J1687" s="17" t="str">
        <f>IF(TRIM(Github!D$1120)="TRUE","FALSE","TRUE")</f>
        <v>FALSE</v>
      </c>
      <c r="K1687" s="17" t="b">
        <f>Github!M$1120</f>
        <v>0</v>
      </c>
      <c r="L1687" s="17" t="b">
        <f>Github!N$1120</f>
        <v>0</v>
      </c>
      <c r="M1687" s="17" t="str">
        <f>ROUND(Github!O$1120, 2)&amp;"%"</f>
        <v>90.68%</v>
      </c>
      <c r="N1687" s="17">
        <f>Github!P$1120</f>
        <v>80414</v>
      </c>
      <c r="O1687" s="17">
        <f>Github!Q$1120</f>
        <v>88681</v>
      </c>
    </row>
    <row r="1688" ht="18.0" customHeight="1">
      <c r="A1688" s="17">
        <f>Github!J$1593</f>
        <v>1592</v>
      </c>
      <c r="B1688" s="27" t="str">
        <f>HYPERLINK(CONCAT("http://leetcode.com/problems/",Github!C$1593), Github!B$1593)</f>
        <v>Rearrange Spaces Between Words</v>
      </c>
      <c r="C1688" s="17">
        <f>Github!F$1593</f>
        <v>252</v>
      </c>
      <c r="D1688" s="17">
        <f>Github!G$1593</f>
        <v>222</v>
      </c>
      <c r="E1688" s="17">
        <f>Github!F$1593+Github!G$1593</f>
        <v>474</v>
      </c>
      <c r="F1688" s="18">
        <f t="shared" si="1"/>
        <v>1.14</v>
      </c>
      <c r="G1688" s="17" t="str">
        <f>Github!H$1593</f>
        <v>Algorithms</v>
      </c>
      <c r="H1688" s="19" t="str">
        <f>SUBSTITUTE(Github!L$1593, ";", ", ")</f>
        <v>String, </v>
      </c>
      <c r="I1688" s="17" t="str">
        <f>Github!E$1593</f>
        <v>Easy</v>
      </c>
      <c r="J1688" s="17" t="str">
        <f>IF(TRIM(Github!D$1593)="TRUE","FALSE","TRUE")</f>
        <v>TRUE</v>
      </c>
      <c r="K1688" s="17" t="b">
        <f>Github!M$1593</f>
        <v>0</v>
      </c>
      <c r="L1688" s="17" t="b">
        <f>Github!N$1593</f>
        <v>0</v>
      </c>
      <c r="M1688" s="17" t="str">
        <f>ROUND(Github!O$1593, 2)&amp;"%"</f>
        <v>43.95%</v>
      </c>
      <c r="N1688" s="17">
        <f>Github!P$1593</f>
        <v>32995</v>
      </c>
      <c r="O1688" s="17">
        <f>Github!Q$1593</f>
        <v>75074</v>
      </c>
    </row>
    <row r="1689" ht="18.0" customHeight="1">
      <c r="A1689" s="17">
        <f>Github!J$1620</f>
        <v>1619</v>
      </c>
      <c r="B1689" s="27" t="str">
        <f>HYPERLINK(CONCAT("http://leetcode.com/problems/",Github!C$1620), Github!B$1620)</f>
        <v>Mean of Array After Removing Some Elements</v>
      </c>
      <c r="C1689" s="17">
        <f>Github!F$1620</f>
        <v>252</v>
      </c>
      <c r="D1689" s="17">
        <f>Github!G$1620</f>
        <v>73</v>
      </c>
      <c r="E1689" s="17">
        <f>Github!F$1620+Github!G$1620</f>
        <v>325</v>
      </c>
      <c r="F1689" s="18">
        <f t="shared" si="1"/>
        <v>3.45</v>
      </c>
      <c r="G1689" s="17" t="str">
        <f>Github!H$1620</f>
        <v>Algorithms</v>
      </c>
      <c r="H1689" s="19" t="str">
        <f>SUBSTITUTE(Github!L$1620, ";", ", ")</f>
        <v>Array, Sorting, </v>
      </c>
      <c r="I1689" s="17" t="str">
        <f>Github!E$1620</f>
        <v>Easy</v>
      </c>
      <c r="J1689" s="17" t="str">
        <f>IF(TRIM(Github!D$1620)="TRUE","FALSE","TRUE")</f>
        <v>TRUE</v>
      </c>
      <c r="K1689" s="17" t="b">
        <f>Github!M$1620</f>
        <v>0</v>
      </c>
      <c r="L1689" s="17" t="b">
        <f>Github!N$1620</f>
        <v>0</v>
      </c>
      <c r="M1689" s="17" t="str">
        <f>ROUND(Github!O$1620, 2)&amp;"%"</f>
        <v>64.65%</v>
      </c>
      <c r="N1689" s="17">
        <f>Github!P$1620</f>
        <v>30230</v>
      </c>
      <c r="O1689" s="17">
        <f>Github!Q$1620</f>
        <v>46760</v>
      </c>
    </row>
    <row r="1690" ht="18.0" customHeight="1">
      <c r="A1690" s="17">
        <f>Github!J$1873</f>
        <v>1872</v>
      </c>
      <c r="B1690" s="27" t="str">
        <f>HYPERLINK(CONCAT("http://leetcode.com/problems/",Github!C$1873), Github!B$1873)</f>
        <v>Stone Game VIII</v>
      </c>
      <c r="C1690" s="17">
        <f>Github!F$1873</f>
        <v>252</v>
      </c>
      <c r="D1690" s="17">
        <f>Github!G$1873</f>
        <v>11</v>
      </c>
      <c r="E1690" s="17">
        <f>Github!F$1873+Github!G$1873</f>
        <v>263</v>
      </c>
      <c r="F1690" s="18">
        <f t="shared" si="1"/>
        <v>22.91</v>
      </c>
      <c r="G1690" s="17" t="str">
        <f>Github!H$1873</f>
        <v>Algorithms</v>
      </c>
      <c r="H1690" s="19" t="str">
        <f>SUBSTITUTE(Github!L$1873, ";", ", ")</f>
        <v>Array, Math, Dynamic Programming, Prefix Sum, Game Theory, </v>
      </c>
      <c r="I1690" s="17" t="str">
        <f>Github!E$1873</f>
        <v>Hard</v>
      </c>
      <c r="J1690" s="17" t="str">
        <f>IF(TRIM(Github!D$1873)="TRUE","FALSE","TRUE")</f>
        <v>TRUE</v>
      </c>
      <c r="K1690" s="17" t="b">
        <f>Github!M$1873</f>
        <v>0</v>
      </c>
      <c r="L1690" s="17" t="b">
        <f>Github!N$1873</f>
        <v>0</v>
      </c>
      <c r="M1690" s="17" t="str">
        <f>ROUND(Github!O$1873, 2)&amp;"%"</f>
        <v>52.46%</v>
      </c>
      <c r="N1690" s="17">
        <f>Github!P$1873</f>
        <v>5278</v>
      </c>
      <c r="O1690" s="17">
        <f>Github!Q$1873</f>
        <v>10061</v>
      </c>
    </row>
    <row r="1691" ht="18.0" customHeight="1">
      <c r="A1691" s="17">
        <f>Github!J$2088</f>
        <v>2087</v>
      </c>
      <c r="B1691" s="27" t="str">
        <f>HYPERLINK(CONCAT("http://leetcode.com/problems/",Github!C$2088), Github!B$2088)</f>
        <v>Minimum Cost Homecoming of a Robot in a Grid</v>
      </c>
      <c r="C1691" s="17">
        <f>Github!F$2088</f>
        <v>252</v>
      </c>
      <c r="D1691" s="17">
        <f>Github!G$2088</f>
        <v>48</v>
      </c>
      <c r="E1691" s="17">
        <f>Github!F$2088+Github!G$2088</f>
        <v>300</v>
      </c>
      <c r="F1691" s="18">
        <f t="shared" si="1"/>
        <v>5.25</v>
      </c>
      <c r="G1691" s="17" t="str">
        <f>Github!H$2088</f>
        <v>Algorithms</v>
      </c>
      <c r="H1691" s="19" t="str">
        <f>SUBSTITUTE(Github!L$2088, ";", ", ")</f>
        <v>Array, Greedy, Matrix, </v>
      </c>
      <c r="I1691" s="17" t="str">
        <f>Github!E$2088</f>
        <v>Medium</v>
      </c>
      <c r="J1691" s="17" t="str">
        <f>IF(TRIM(Github!D$2088)="TRUE","FALSE","TRUE")</f>
        <v>TRUE</v>
      </c>
      <c r="K1691" s="17" t="b">
        <f>Github!M$2088</f>
        <v>0</v>
      </c>
      <c r="L1691" s="17" t="b">
        <f>Github!N$2088</f>
        <v>0</v>
      </c>
      <c r="M1691" s="17" t="str">
        <f>ROUND(Github!O$2088, 2)&amp;"%"</f>
        <v>49.64%</v>
      </c>
      <c r="N1691" s="17">
        <f>Github!P$2088</f>
        <v>7400</v>
      </c>
      <c r="O1691" s="17">
        <f>Github!Q$2088</f>
        <v>14906</v>
      </c>
    </row>
    <row r="1692" ht="18.0" customHeight="1">
      <c r="A1692" s="17">
        <f>Github!J$1788</f>
        <v>1787</v>
      </c>
      <c r="B1692" s="27" t="str">
        <f>HYPERLINK(CONCAT("http://leetcode.com/problems/",Github!C$1788), Github!B$1788)</f>
        <v>Make the XOR of All Segments Equal to Zero</v>
      </c>
      <c r="C1692" s="17">
        <f>Github!F$1788</f>
        <v>251</v>
      </c>
      <c r="D1692" s="17">
        <f>Github!G$1788</f>
        <v>12</v>
      </c>
      <c r="E1692" s="17">
        <f>Github!F$1788+Github!G$1788</f>
        <v>263</v>
      </c>
      <c r="F1692" s="18">
        <f t="shared" si="1"/>
        <v>20.92</v>
      </c>
      <c r="G1692" s="17" t="str">
        <f>Github!H$1788</f>
        <v>Algorithms</v>
      </c>
      <c r="H1692" s="19" t="str">
        <f>SUBSTITUTE(Github!L$1788, ";", ", ")</f>
        <v>Array, Dynamic Programming, Bit Manipulation, </v>
      </c>
      <c r="I1692" s="17" t="str">
        <f>Github!E$1788</f>
        <v>Hard</v>
      </c>
      <c r="J1692" s="17" t="str">
        <f>IF(TRIM(Github!D$1788)="TRUE","FALSE","TRUE")</f>
        <v>TRUE</v>
      </c>
      <c r="K1692" s="17" t="b">
        <f>Github!M$1788</f>
        <v>0</v>
      </c>
      <c r="L1692" s="17" t="b">
        <f>Github!N$1788</f>
        <v>0</v>
      </c>
      <c r="M1692" s="17" t="str">
        <f>ROUND(Github!O$1788, 2)&amp;"%"</f>
        <v>39.21%</v>
      </c>
      <c r="N1692" s="17">
        <f>Github!P$1788</f>
        <v>3457</v>
      </c>
      <c r="O1692" s="17">
        <f>Github!Q$1788</f>
        <v>8817</v>
      </c>
    </row>
    <row r="1693" ht="18.0" customHeight="1">
      <c r="A1693" s="17">
        <f>Github!J$196</f>
        <v>195</v>
      </c>
      <c r="B1693" s="27" t="str">
        <f>HYPERLINK(CONCAT("http://leetcode.com/problems/",Github!C$196), Github!B$196)</f>
        <v>Tenth Line</v>
      </c>
      <c r="C1693" s="17">
        <f>Github!F$196</f>
        <v>250</v>
      </c>
      <c r="D1693" s="17">
        <f>Github!G$196</f>
        <v>326</v>
      </c>
      <c r="E1693" s="17">
        <f>Github!F$196+Github!G$196</f>
        <v>576</v>
      </c>
      <c r="F1693" s="18">
        <f t="shared" si="1"/>
        <v>0.77</v>
      </c>
      <c r="G1693" s="17" t="str">
        <f>Github!H$196</f>
        <v>Shell</v>
      </c>
      <c r="H1693" s="19" t="str">
        <f>SUBSTITUTE(Github!L$196, ";", ", ")</f>
        <v>Shell, </v>
      </c>
      <c r="I1693" s="17" t="str">
        <f>Github!E$196</f>
        <v>Easy</v>
      </c>
      <c r="J1693" s="17" t="str">
        <f>IF(TRIM(Github!D$196)="TRUE","FALSE","TRUE")</f>
        <v>TRUE</v>
      </c>
      <c r="K1693" s="17" t="b">
        <f>Github!M$196</f>
        <v>0</v>
      </c>
      <c r="L1693" s="17" t="b">
        <f>Github!N$196</f>
        <v>0</v>
      </c>
      <c r="M1693" s="17" t="str">
        <f>ROUND(Github!O$196, 2)&amp;"%"</f>
        <v>32.84%</v>
      </c>
      <c r="N1693" s="17">
        <f>Github!P$196</f>
        <v>71302</v>
      </c>
      <c r="O1693" s="17">
        <f>Github!Q$196</f>
        <v>217109</v>
      </c>
    </row>
    <row r="1694" ht="18.0" customHeight="1">
      <c r="A1694" s="17">
        <f>Github!J$413</f>
        <v>412</v>
      </c>
      <c r="B1694" s="27" t="str">
        <f>HYPERLINK(CONCAT("http://leetcode.com/problems/",Github!C$413), Github!B$413)</f>
        <v>Fizz Buzz</v>
      </c>
      <c r="C1694" s="17">
        <f>Github!F$413</f>
        <v>253</v>
      </c>
      <c r="D1694" s="17">
        <f>Github!G$413</f>
        <v>44</v>
      </c>
      <c r="E1694" s="17">
        <f>Github!F$413+Github!G$413</f>
        <v>297</v>
      </c>
      <c r="F1694" s="18">
        <f t="shared" si="1"/>
        <v>5.75</v>
      </c>
      <c r="G1694" s="17" t="str">
        <f>Github!H$413</f>
        <v>Algorithms</v>
      </c>
      <c r="H1694" s="19" t="str">
        <f>SUBSTITUTE(Github!L$413, ";", ", ")</f>
        <v>Math, String, Simulation, </v>
      </c>
      <c r="I1694" s="17" t="str">
        <f>Github!E$413</f>
        <v>Easy</v>
      </c>
      <c r="J1694" s="17" t="str">
        <f>IF(TRIM(Github!D$413)="TRUE","FALSE","TRUE")</f>
        <v>TRUE</v>
      </c>
      <c r="K1694" s="17" t="b">
        <f>Github!M$413</f>
        <v>1</v>
      </c>
      <c r="L1694" s="17" t="b">
        <f>Github!N$413</f>
        <v>0</v>
      </c>
      <c r="M1694" s="17" t="str">
        <f>ROUND(Github!O$413, 2)&amp;"%"</f>
        <v>66.23%</v>
      </c>
      <c r="N1694" s="17">
        <f>Github!P$413</f>
        <v>587929</v>
      </c>
      <c r="O1694" s="17">
        <f>Github!Q$413</f>
        <v>887675</v>
      </c>
    </row>
    <row r="1695" ht="18.0" customHeight="1">
      <c r="A1695" s="17">
        <f>Github!J$2038</f>
        <v>2037</v>
      </c>
      <c r="B1695" s="27" t="str">
        <f>HYPERLINK(CONCAT("http://leetcode.com/problems/",Github!C$2038), Github!B$2038)</f>
        <v>Minimum Number of Moves to Seat Everyone</v>
      </c>
      <c r="C1695" s="17">
        <f>Github!F$2038</f>
        <v>250</v>
      </c>
      <c r="D1695" s="17">
        <f>Github!G$2038</f>
        <v>45</v>
      </c>
      <c r="E1695" s="17">
        <f>Github!F$2038+Github!G$2038</f>
        <v>295</v>
      </c>
      <c r="F1695" s="18">
        <f t="shared" si="1"/>
        <v>5.56</v>
      </c>
      <c r="G1695" s="17" t="str">
        <f>Github!H$2038</f>
        <v>Algorithms</v>
      </c>
      <c r="H1695" s="19" t="str">
        <f>SUBSTITUTE(Github!L$2038, ";", ", ")</f>
        <v>Array, Sorting, </v>
      </c>
      <c r="I1695" s="17" t="str">
        <f>Github!E$2038</f>
        <v>Easy</v>
      </c>
      <c r="J1695" s="17" t="str">
        <f>IF(TRIM(Github!D$2038)="TRUE","FALSE","TRUE")</f>
        <v>TRUE</v>
      </c>
      <c r="K1695" s="17" t="b">
        <f>Github!M$2038</f>
        <v>0</v>
      </c>
      <c r="L1695" s="17" t="b">
        <f>Github!N$2038</f>
        <v>0</v>
      </c>
      <c r="M1695" s="17" t="str">
        <f>ROUND(Github!O$2038, 2)&amp;"%"</f>
        <v>82.82%</v>
      </c>
      <c r="N1695" s="17">
        <f>Github!P$2038</f>
        <v>20120</v>
      </c>
      <c r="O1695" s="17">
        <f>Github!Q$2038</f>
        <v>24294</v>
      </c>
    </row>
    <row r="1696" ht="18.0" customHeight="1">
      <c r="A1696" s="17">
        <f>Github!J$2125</f>
        <v>2124</v>
      </c>
      <c r="B1696" s="27" t="str">
        <f>HYPERLINK(CONCAT("http://leetcode.com/problems/",Github!C$2125), Github!B$2125)</f>
        <v>Check if All A's Appears Before All B's</v>
      </c>
      <c r="C1696" s="17">
        <f>Github!F$2125</f>
        <v>252</v>
      </c>
      <c r="D1696" s="17">
        <f>Github!G$2125</f>
        <v>2</v>
      </c>
      <c r="E1696" s="17">
        <f>Github!F$2125+Github!G$2125</f>
        <v>254</v>
      </c>
      <c r="F1696" s="18">
        <f t="shared" si="1"/>
        <v>126</v>
      </c>
      <c r="G1696" s="17" t="str">
        <f>Github!H$2125</f>
        <v>Algorithms</v>
      </c>
      <c r="H1696" s="19" t="str">
        <f>SUBSTITUTE(Github!L$2125, ";", ", ")</f>
        <v>String, </v>
      </c>
      <c r="I1696" s="17" t="str">
        <f>Github!E$2125</f>
        <v>Easy</v>
      </c>
      <c r="J1696" s="17" t="str">
        <f>IF(TRIM(Github!D$2125)="TRUE","FALSE","TRUE")</f>
        <v>TRUE</v>
      </c>
      <c r="K1696" s="17" t="b">
        <f>Github!M$2125</f>
        <v>0</v>
      </c>
      <c r="L1696" s="17" t="b">
        <f>Github!N$2125</f>
        <v>0</v>
      </c>
      <c r="M1696" s="17" t="str">
        <f>ROUND(Github!O$2125, 2)&amp;"%"</f>
        <v>72.7%</v>
      </c>
      <c r="N1696" s="17">
        <f>Github!P$2125</f>
        <v>25211</v>
      </c>
      <c r="O1696" s="17">
        <f>Github!Q$2125</f>
        <v>34676</v>
      </c>
    </row>
    <row r="1697" ht="18.0" customHeight="1">
      <c r="A1697" s="17">
        <f>Github!J$1318</f>
        <v>1317</v>
      </c>
      <c r="B1697" s="27" t="str">
        <f>HYPERLINK(CONCAT("http://leetcode.com/problems/",Github!C$1318), Github!B$1318)</f>
        <v>Convert Integer to the Sum of Two No-Zero Integers</v>
      </c>
      <c r="C1697" s="17">
        <f>Github!F$1318</f>
        <v>249</v>
      </c>
      <c r="D1697" s="17">
        <f>Github!G$1318</f>
        <v>210</v>
      </c>
      <c r="E1697" s="17">
        <f>Github!F$1318+Github!G$1318</f>
        <v>459</v>
      </c>
      <c r="F1697" s="18">
        <f t="shared" si="1"/>
        <v>1.19</v>
      </c>
      <c r="G1697" s="17" t="str">
        <f>Github!H$1318</f>
        <v>Algorithms</v>
      </c>
      <c r="H1697" s="19" t="str">
        <f>SUBSTITUTE(Github!L$1318, ";", ", ")</f>
        <v>Math, </v>
      </c>
      <c r="I1697" s="17" t="str">
        <f>Github!E$1318</f>
        <v>Easy</v>
      </c>
      <c r="J1697" s="17" t="str">
        <f>IF(TRIM(Github!D$1318)="TRUE","FALSE","TRUE")</f>
        <v>TRUE</v>
      </c>
      <c r="K1697" s="17" t="b">
        <f>Github!M$1318</f>
        <v>0</v>
      </c>
      <c r="L1697" s="17" t="b">
        <f>Github!N$1318</f>
        <v>0</v>
      </c>
      <c r="M1697" s="17" t="str">
        <f>ROUND(Github!O$1318, 2)&amp;"%"</f>
        <v>57.11%</v>
      </c>
      <c r="N1697" s="17">
        <f>Github!P$1318</f>
        <v>29010</v>
      </c>
      <c r="O1697" s="17">
        <f>Github!Q$1318</f>
        <v>50799</v>
      </c>
    </row>
    <row r="1698" ht="18.0" customHeight="1">
      <c r="A1698" s="17">
        <f>Github!J$809</f>
        <v>808</v>
      </c>
      <c r="B1698" s="27" t="str">
        <f>HYPERLINK(CONCAT("http://leetcode.com/problems/",Github!C$809), Github!B$809)</f>
        <v>Soup Servings</v>
      </c>
      <c r="C1698" s="17">
        <f>Github!F$809</f>
        <v>248</v>
      </c>
      <c r="D1698" s="17">
        <f>Github!G$809</f>
        <v>735</v>
      </c>
      <c r="E1698" s="17">
        <f>Github!F$809+Github!G$809</f>
        <v>983</v>
      </c>
      <c r="F1698" s="18">
        <f t="shared" si="1"/>
        <v>0.34</v>
      </c>
      <c r="G1698" s="17" t="str">
        <f>Github!H$809</f>
        <v>Algorithms</v>
      </c>
      <c r="H1698" s="19" t="str">
        <f>SUBSTITUTE(Github!L$809, ";", ", ")</f>
        <v>Math, Dynamic Programming, Probability and Statistics, </v>
      </c>
      <c r="I1698" s="17" t="str">
        <f>Github!E$809</f>
        <v>Medium</v>
      </c>
      <c r="J1698" s="17" t="str">
        <f>IF(TRIM(Github!D$809)="TRUE","FALSE","TRUE")</f>
        <v>TRUE</v>
      </c>
      <c r="K1698" s="17" t="b">
        <f>Github!M$809</f>
        <v>0</v>
      </c>
      <c r="L1698" s="17" t="b">
        <f>Github!N$809</f>
        <v>0</v>
      </c>
      <c r="M1698" s="17" t="str">
        <f>ROUND(Github!O$809, 2)&amp;"%"</f>
        <v>42.24%</v>
      </c>
      <c r="N1698" s="17">
        <f>Github!P$809</f>
        <v>14393</v>
      </c>
      <c r="O1698" s="17">
        <f>Github!Q$809</f>
        <v>34078</v>
      </c>
    </row>
    <row r="1699" ht="18.0" customHeight="1">
      <c r="A1699" s="17">
        <f>Github!J$817</f>
        <v>816</v>
      </c>
      <c r="B1699" s="27" t="str">
        <f>HYPERLINK(CONCAT("http://leetcode.com/problems/",Github!C$817), Github!B$817)</f>
        <v>Ambiguous Coordinates</v>
      </c>
      <c r="C1699" s="17">
        <f>Github!F$817</f>
        <v>248</v>
      </c>
      <c r="D1699" s="17">
        <f>Github!G$817</f>
        <v>583</v>
      </c>
      <c r="E1699" s="17">
        <f>Github!F$817+Github!G$817</f>
        <v>831</v>
      </c>
      <c r="F1699" s="18">
        <f t="shared" si="1"/>
        <v>0.43</v>
      </c>
      <c r="G1699" s="17" t="str">
        <f>Github!H$817</f>
        <v>Algorithms</v>
      </c>
      <c r="H1699" s="19" t="str">
        <f>SUBSTITUTE(Github!L$817, ";", ", ")</f>
        <v>String, Backtracking, </v>
      </c>
      <c r="I1699" s="17" t="str">
        <f>Github!E$817</f>
        <v>Medium</v>
      </c>
      <c r="J1699" s="17" t="str">
        <f>IF(TRIM(Github!D$817)="TRUE","FALSE","TRUE")</f>
        <v>TRUE</v>
      </c>
      <c r="K1699" s="17" t="b">
        <f>Github!M$817</f>
        <v>1</v>
      </c>
      <c r="L1699" s="17" t="b">
        <f>Github!N$817</f>
        <v>0</v>
      </c>
      <c r="M1699" s="17" t="str">
        <f>ROUND(Github!O$817, 2)&amp;"%"</f>
        <v>55.93%</v>
      </c>
      <c r="N1699" s="17">
        <f>Github!P$817</f>
        <v>25260</v>
      </c>
      <c r="O1699" s="17">
        <f>Github!Q$817</f>
        <v>45168</v>
      </c>
    </row>
    <row r="1700" ht="18.0" customHeight="1">
      <c r="A1700" s="17">
        <f>Github!J$1946</f>
        <v>1945</v>
      </c>
      <c r="B1700" s="27" t="str">
        <f>HYPERLINK(CONCAT("http://leetcode.com/problems/",Github!C$1946), Github!B$1946)</f>
        <v>Sum of Digits of String After Convert</v>
      </c>
      <c r="C1700" s="17">
        <f>Github!F$1946</f>
        <v>248</v>
      </c>
      <c r="D1700" s="17">
        <f>Github!G$1946</f>
        <v>29</v>
      </c>
      <c r="E1700" s="17">
        <f>Github!F$1946+Github!G$1946</f>
        <v>277</v>
      </c>
      <c r="F1700" s="18">
        <f t="shared" si="1"/>
        <v>8.55</v>
      </c>
      <c r="G1700" s="17" t="str">
        <f>Github!H$1946</f>
        <v>Algorithms</v>
      </c>
      <c r="H1700" s="19" t="str">
        <f>SUBSTITUTE(Github!L$1946, ";", ", ")</f>
        <v>String, Simulation, </v>
      </c>
      <c r="I1700" s="17" t="str">
        <f>Github!E$1946</f>
        <v>Easy</v>
      </c>
      <c r="J1700" s="17" t="str">
        <f>IF(TRIM(Github!D$1946)="TRUE","FALSE","TRUE")</f>
        <v>TRUE</v>
      </c>
      <c r="K1700" s="17" t="b">
        <f>Github!M$1946</f>
        <v>0</v>
      </c>
      <c r="L1700" s="17" t="b">
        <f>Github!N$1946</f>
        <v>0</v>
      </c>
      <c r="M1700" s="17" t="str">
        <f>ROUND(Github!O$1946, 2)&amp;"%"</f>
        <v>61.47%</v>
      </c>
      <c r="N1700" s="17">
        <f>Github!P$1946</f>
        <v>23741</v>
      </c>
      <c r="O1700" s="17">
        <f>Github!Q$1946</f>
        <v>38622</v>
      </c>
    </row>
    <row r="1701" ht="18.0" customHeight="1">
      <c r="A1701" s="17">
        <f>Github!J$1969</f>
        <v>1968</v>
      </c>
      <c r="B1701" s="27" t="str">
        <f>HYPERLINK(CONCAT("http://leetcode.com/problems/",Github!C$1969), Github!B$1969)</f>
        <v>Array With Elements Not Equal to Average of Neighbors</v>
      </c>
      <c r="C1701" s="17">
        <f>Github!F$1969</f>
        <v>246</v>
      </c>
      <c r="D1701" s="17">
        <f>Github!G$1969</f>
        <v>16</v>
      </c>
      <c r="E1701" s="17">
        <f>Github!F$1969+Github!G$1969</f>
        <v>262</v>
      </c>
      <c r="F1701" s="18">
        <f t="shared" si="1"/>
        <v>15.38</v>
      </c>
      <c r="G1701" s="17" t="str">
        <f>Github!H$1969</f>
        <v>Algorithms</v>
      </c>
      <c r="H1701" s="19" t="str">
        <f>SUBSTITUTE(Github!L$1969, ";", ", ")</f>
        <v>Array, Greedy, Sorting, </v>
      </c>
      <c r="I1701" s="17" t="str">
        <f>Github!E$1969</f>
        <v>Medium</v>
      </c>
      <c r="J1701" s="17" t="str">
        <f>IF(TRIM(Github!D$1969)="TRUE","FALSE","TRUE")</f>
        <v>TRUE</v>
      </c>
      <c r="K1701" s="17" t="b">
        <f>Github!M$1969</f>
        <v>0</v>
      </c>
      <c r="L1701" s="17" t="b">
        <f>Github!N$1969</f>
        <v>0</v>
      </c>
      <c r="M1701" s="17" t="str">
        <f>ROUND(Github!O$1969, 2)&amp;"%"</f>
        <v>48.22%</v>
      </c>
      <c r="N1701" s="17">
        <f>Github!P$1969</f>
        <v>15665</v>
      </c>
      <c r="O1701" s="17">
        <f>Github!Q$1969</f>
        <v>32486</v>
      </c>
    </row>
    <row r="1702" ht="18.0" customHeight="1">
      <c r="A1702" s="17">
        <f>Github!J$1898</f>
        <v>1897</v>
      </c>
      <c r="B1702" s="27" t="str">
        <f>HYPERLINK(CONCAT("http://leetcode.com/problems/",Github!C$1898), Github!B$1898)</f>
        <v>Redistribute Characters to Make All Strings Equal</v>
      </c>
      <c r="C1702" s="17">
        <f>Github!F$1898</f>
        <v>244</v>
      </c>
      <c r="D1702" s="17">
        <f>Github!G$1898</f>
        <v>31</v>
      </c>
      <c r="E1702" s="17">
        <f>Github!F$1898+Github!G$1898</f>
        <v>275</v>
      </c>
      <c r="F1702" s="18">
        <f t="shared" si="1"/>
        <v>7.87</v>
      </c>
      <c r="G1702" s="17" t="str">
        <f>Github!H$1898</f>
        <v>Algorithms</v>
      </c>
      <c r="H1702" s="19" t="str">
        <f>SUBSTITUTE(Github!L$1898, ";", ", ")</f>
        <v>Hash Table, String, Counting, </v>
      </c>
      <c r="I1702" s="17" t="str">
        <f>Github!E$1898</f>
        <v>Easy</v>
      </c>
      <c r="J1702" s="17" t="str">
        <f>IF(TRIM(Github!D$1898)="TRUE","FALSE","TRUE")</f>
        <v>TRUE</v>
      </c>
      <c r="K1702" s="17" t="b">
        <f>Github!M$1898</f>
        <v>0</v>
      </c>
      <c r="L1702" s="17" t="b">
        <f>Github!N$1898</f>
        <v>0</v>
      </c>
      <c r="M1702" s="17" t="str">
        <f>ROUND(Github!O$1898, 2)&amp;"%"</f>
        <v>60%</v>
      </c>
      <c r="N1702" s="17">
        <f>Github!P$1898</f>
        <v>20858</v>
      </c>
      <c r="O1702" s="17">
        <f>Github!Q$1898</f>
        <v>34762</v>
      </c>
    </row>
    <row r="1703" ht="18.0" customHeight="1">
      <c r="A1703" s="17">
        <f>Github!J$336</f>
        <v>335</v>
      </c>
      <c r="B1703" s="27" t="str">
        <f>HYPERLINK(CONCAT("http://leetcode.com/problems/",Github!C$336), Github!B$336)</f>
        <v>Self Crossing</v>
      </c>
      <c r="C1703" s="17">
        <f>Github!F$336</f>
        <v>242</v>
      </c>
      <c r="D1703" s="17">
        <f>Github!G$336</f>
        <v>439</v>
      </c>
      <c r="E1703" s="17">
        <f>Github!F$336+Github!G$336</f>
        <v>681</v>
      </c>
      <c r="F1703" s="18">
        <f t="shared" si="1"/>
        <v>0.55</v>
      </c>
      <c r="G1703" s="17" t="str">
        <f>Github!H$336</f>
        <v>Algorithms</v>
      </c>
      <c r="H1703" s="19" t="str">
        <f>SUBSTITUTE(Github!L$336, ";", ", ")</f>
        <v>Array, Math, Geometry, </v>
      </c>
      <c r="I1703" s="17" t="str">
        <f>Github!E$336</f>
        <v>Hard</v>
      </c>
      <c r="J1703" s="17" t="str">
        <f>IF(TRIM(Github!D$336)="TRUE","FALSE","TRUE")</f>
        <v>TRUE</v>
      </c>
      <c r="K1703" s="17" t="b">
        <f>Github!M$336</f>
        <v>0</v>
      </c>
      <c r="L1703" s="17" t="b">
        <f>Github!N$336</f>
        <v>0</v>
      </c>
      <c r="M1703" s="17" t="str">
        <f>ROUND(Github!O$336, 2)&amp;"%"</f>
        <v>29.08%</v>
      </c>
      <c r="N1703" s="17">
        <f>Github!P$336</f>
        <v>27294</v>
      </c>
      <c r="O1703" s="17">
        <f>Github!Q$336</f>
        <v>93849</v>
      </c>
    </row>
    <row r="1704" ht="18.0" customHeight="1">
      <c r="A1704" s="17">
        <f>Github!J$603</f>
        <v>602</v>
      </c>
      <c r="B1704" s="27" t="str">
        <f>HYPERLINK(CONCAT("http://leetcode.com/problems/",Github!C$603), Github!B$603)</f>
        <v>Friend Requests II: Who Has the Most Friends</v>
      </c>
      <c r="C1704" s="17">
        <f>Github!F$603</f>
        <v>242</v>
      </c>
      <c r="D1704" s="17">
        <f>Github!G$603</f>
        <v>70</v>
      </c>
      <c r="E1704" s="17">
        <f>Github!F$603+Github!G$603</f>
        <v>312</v>
      </c>
      <c r="F1704" s="18">
        <f t="shared" si="1"/>
        <v>3.46</v>
      </c>
      <c r="G1704" s="17" t="str">
        <f>Github!H$603</f>
        <v>Database</v>
      </c>
      <c r="H1704" s="19" t="str">
        <f>SUBSTITUTE(Github!L$603, ";", ", ")</f>
        <v>Database, </v>
      </c>
      <c r="I1704" s="17" t="str">
        <f>Github!E$603</f>
        <v>Medium</v>
      </c>
      <c r="J1704" s="17" t="str">
        <f>IF(TRIM(Github!D$603)="TRUE","FALSE","TRUE")</f>
        <v>FALSE</v>
      </c>
      <c r="K1704" s="17" t="b">
        <f>Github!M$603</f>
        <v>0</v>
      </c>
      <c r="L1704" s="17" t="b">
        <f>Github!N$603</f>
        <v>0</v>
      </c>
      <c r="M1704" s="17" t="str">
        <f>ROUND(Github!O$603, 2)&amp;"%"</f>
        <v>60.51%</v>
      </c>
      <c r="N1704" s="17">
        <f>Github!P$603</f>
        <v>46999</v>
      </c>
      <c r="O1704" s="17">
        <f>Github!Q$603</f>
        <v>77667</v>
      </c>
    </row>
    <row r="1705" ht="18.0" customHeight="1">
      <c r="A1705" s="17">
        <f>Github!J$1820</f>
        <v>1819</v>
      </c>
      <c r="B1705" s="27" t="str">
        <f>HYPERLINK(CONCAT("http://leetcode.com/problems/",Github!C$1820), Github!B$1820)</f>
        <v>Number of Different Subsequences GCDs</v>
      </c>
      <c r="C1705" s="17">
        <f>Github!F$1820</f>
        <v>243</v>
      </c>
      <c r="D1705" s="17">
        <f>Github!G$1820</f>
        <v>33</v>
      </c>
      <c r="E1705" s="17">
        <f>Github!F$1820+Github!G$1820</f>
        <v>276</v>
      </c>
      <c r="F1705" s="18">
        <f t="shared" si="1"/>
        <v>7.36</v>
      </c>
      <c r="G1705" s="17" t="str">
        <f>Github!H$1820</f>
        <v>Algorithms</v>
      </c>
      <c r="H1705" s="19" t="str">
        <f>SUBSTITUTE(Github!L$1820, ";", ", ")</f>
        <v>Array, Math, Counting, Number Theory, </v>
      </c>
      <c r="I1705" s="17" t="str">
        <f>Github!E$1820</f>
        <v>Hard</v>
      </c>
      <c r="J1705" s="17" t="str">
        <f>IF(TRIM(Github!D$1820)="TRUE","FALSE","TRUE")</f>
        <v>TRUE</v>
      </c>
      <c r="K1705" s="17" t="b">
        <f>Github!M$1820</f>
        <v>0</v>
      </c>
      <c r="L1705" s="17" t="b">
        <f>Github!N$1820</f>
        <v>0</v>
      </c>
      <c r="M1705" s="17" t="str">
        <f>ROUND(Github!O$1820, 2)&amp;"%"</f>
        <v>36.87%</v>
      </c>
      <c r="N1705" s="17">
        <f>Github!P$1820</f>
        <v>5460</v>
      </c>
      <c r="O1705" s="17">
        <f>Github!Q$1820</f>
        <v>14807</v>
      </c>
    </row>
    <row r="1706" ht="18.0" customHeight="1">
      <c r="A1706" s="17">
        <f>Github!J$1841</f>
        <v>1840</v>
      </c>
      <c r="B1706" s="27" t="str">
        <f>HYPERLINK(CONCAT("http://leetcode.com/problems/",Github!C$1841), Github!B$1841)</f>
        <v>Maximum Building Height</v>
      </c>
      <c r="C1706" s="17">
        <f>Github!F$1841</f>
        <v>242</v>
      </c>
      <c r="D1706" s="17">
        <f>Github!G$1841</f>
        <v>9</v>
      </c>
      <c r="E1706" s="17">
        <f>Github!F$1841+Github!G$1841</f>
        <v>251</v>
      </c>
      <c r="F1706" s="18">
        <f t="shared" si="1"/>
        <v>26.89</v>
      </c>
      <c r="G1706" s="17" t="str">
        <f>Github!H$1841</f>
        <v>Algorithms</v>
      </c>
      <c r="H1706" s="19" t="str">
        <f>SUBSTITUTE(Github!L$1841, ";", ", ")</f>
        <v>Array, Math, </v>
      </c>
      <c r="I1706" s="17" t="str">
        <f>Github!E$1841</f>
        <v>Hard</v>
      </c>
      <c r="J1706" s="17" t="str">
        <f>IF(TRIM(Github!D$1841)="TRUE","FALSE","TRUE")</f>
        <v>TRUE</v>
      </c>
      <c r="K1706" s="17" t="b">
        <f>Github!M$1841</f>
        <v>0</v>
      </c>
      <c r="L1706" s="17" t="b">
        <f>Github!N$1841</f>
        <v>0</v>
      </c>
      <c r="M1706" s="17" t="str">
        <f>ROUND(Github!O$1841, 2)&amp;"%"</f>
        <v>34.83%</v>
      </c>
      <c r="N1706" s="17">
        <f>Github!P$1841</f>
        <v>4721</v>
      </c>
      <c r="O1706" s="17">
        <f>Github!Q$1841</f>
        <v>13554</v>
      </c>
    </row>
    <row r="1707" ht="18.0" customHeight="1">
      <c r="A1707" s="17">
        <f>Github!J$841</f>
        <v>840</v>
      </c>
      <c r="B1707" s="27" t="str">
        <f>HYPERLINK(CONCAT("http://leetcode.com/problems/",Github!C$841), Github!B$841)</f>
        <v>Magic Squares In Grid</v>
      </c>
      <c r="C1707" s="17">
        <f>Github!F$841</f>
        <v>242</v>
      </c>
      <c r="D1707" s="17">
        <f>Github!G$841</f>
        <v>1439</v>
      </c>
      <c r="E1707" s="17">
        <f>Github!F$841+Github!G$841</f>
        <v>1681</v>
      </c>
      <c r="F1707" s="18">
        <f t="shared" si="1"/>
        <v>0.17</v>
      </c>
      <c r="G1707" s="17" t="str">
        <f>Github!H$841</f>
        <v>Algorithms</v>
      </c>
      <c r="H1707" s="19" t="str">
        <f>SUBSTITUTE(Github!L$841, ";", ", ")</f>
        <v>Array, Math, Matrix, </v>
      </c>
      <c r="I1707" s="17" t="str">
        <f>Github!E$841</f>
        <v>Medium</v>
      </c>
      <c r="J1707" s="17" t="str">
        <f>IF(TRIM(Github!D$841)="TRUE","FALSE","TRUE")</f>
        <v>TRUE</v>
      </c>
      <c r="K1707" s="17" t="b">
        <f>Github!M$841</f>
        <v>0</v>
      </c>
      <c r="L1707" s="17" t="b">
        <f>Github!N$841</f>
        <v>0</v>
      </c>
      <c r="M1707" s="17" t="str">
        <f>ROUND(Github!O$841, 2)&amp;"%"</f>
        <v>38.32%</v>
      </c>
      <c r="N1707" s="17">
        <f>Github!P$841</f>
        <v>31657</v>
      </c>
      <c r="O1707" s="17">
        <f>Github!Q$841</f>
        <v>82613</v>
      </c>
    </row>
    <row r="1708" ht="18.0" customHeight="1">
      <c r="A1708" s="17">
        <f>Github!J$1453</f>
        <v>1452</v>
      </c>
      <c r="B1708" s="27" t="str">
        <f>HYPERLINK(CONCAT("http://leetcode.com/problems/",Github!C$1453), Github!B$1453)</f>
        <v>People Whose List of Favorite Companies Is Not a Subset of Another List</v>
      </c>
      <c r="C1708" s="17">
        <f>Github!F$1453</f>
        <v>241</v>
      </c>
      <c r="D1708" s="17">
        <f>Github!G$1453</f>
        <v>190</v>
      </c>
      <c r="E1708" s="17">
        <f>Github!F$1453+Github!G$1453</f>
        <v>431</v>
      </c>
      <c r="F1708" s="18">
        <f t="shared" si="1"/>
        <v>1.27</v>
      </c>
      <c r="G1708" s="17" t="str">
        <f>Github!H$1453</f>
        <v>Algorithms</v>
      </c>
      <c r="H1708" s="19" t="str">
        <f>SUBSTITUTE(Github!L$1453, ";", ", ")</f>
        <v>Array, Hash Table, String, </v>
      </c>
      <c r="I1708" s="17" t="str">
        <f>Github!E$1453</f>
        <v>Medium</v>
      </c>
      <c r="J1708" s="17" t="str">
        <f>IF(TRIM(Github!D$1453)="TRUE","FALSE","TRUE")</f>
        <v>TRUE</v>
      </c>
      <c r="K1708" s="17" t="b">
        <f>Github!M$1453</f>
        <v>0</v>
      </c>
      <c r="L1708" s="17" t="b">
        <f>Github!N$1453</f>
        <v>0</v>
      </c>
      <c r="M1708" s="17" t="str">
        <f>ROUND(Github!O$1453, 2)&amp;"%"</f>
        <v>56.52%</v>
      </c>
      <c r="N1708" s="17">
        <f>Github!P$1453</f>
        <v>18303</v>
      </c>
      <c r="O1708" s="17">
        <f>Github!Q$1453</f>
        <v>32383</v>
      </c>
    </row>
    <row r="1709" ht="18.0" customHeight="1">
      <c r="A1709" s="17">
        <f>Github!J$2024</f>
        <v>2023</v>
      </c>
      <c r="B1709" s="27" t="str">
        <f>HYPERLINK(CONCAT("http://leetcode.com/problems/",Github!C$2024), Github!B$2024)</f>
        <v>Number of Pairs of Strings With Concatenation Equal to Target</v>
      </c>
      <c r="C1709" s="17">
        <f>Github!F$2024</f>
        <v>241</v>
      </c>
      <c r="D1709" s="17">
        <f>Github!G$2024</f>
        <v>23</v>
      </c>
      <c r="E1709" s="17">
        <f>Github!F$2024+Github!G$2024</f>
        <v>264</v>
      </c>
      <c r="F1709" s="18">
        <f t="shared" si="1"/>
        <v>10.48</v>
      </c>
      <c r="G1709" s="17" t="str">
        <f>Github!H$2024</f>
        <v>Algorithms</v>
      </c>
      <c r="H1709" s="19" t="str">
        <f>SUBSTITUTE(Github!L$2024, ";", ", ")</f>
        <v>Array, String, </v>
      </c>
      <c r="I1709" s="17" t="str">
        <f>Github!E$2024</f>
        <v>Medium</v>
      </c>
      <c r="J1709" s="17" t="str">
        <f>IF(TRIM(Github!D$2024)="TRUE","FALSE","TRUE")</f>
        <v>TRUE</v>
      </c>
      <c r="K1709" s="17" t="b">
        <f>Github!M$2024</f>
        <v>0</v>
      </c>
      <c r="L1709" s="17" t="b">
        <f>Github!N$2024</f>
        <v>0</v>
      </c>
      <c r="M1709" s="17" t="str">
        <f>ROUND(Github!O$2024, 2)&amp;"%"</f>
        <v>73.16%</v>
      </c>
      <c r="N1709" s="17">
        <f>Github!P$2024</f>
        <v>15810</v>
      </c>
      <c r="O1709" s="17">
        <f>Github!Q$2024</f>
        <v>21610</v>
      </c>
    </row>
    <row r="1710" ht="18.0" customHeight="1">
      <c r="A1710" s="17">
        <f>Github!J$2107</f>
        <v>2106</v>
      </c>
      <c r="B1710" s="27" t="str">
        <f>HYPERLINK(CONCAT("http://leetcode.com/problems/",Github!C$2107), Github!B$2107)</f>
        <v>Maximum Fruits Harvested After at Most K Steps</v>
      </c>
      <c r="C1710" s="17">
        <f>Github!F$2107</f>
        <v>241</v>
      </c>
      <c r="D1710" s="17">
        <f>Github!G$2107</f>
        <v>14</v>
      </c>
      <c r="E1710" s="17">
        <f>Github!F$2107+Github!G$2107</f>
        <v>255</v>
      </c>
      <c r="F1710" s="18">
        <f t="shared" si="1"/>
        <v>17.21</v>
      </c>
      <c r="G1710" s="17" t="str">
        <f>Github!H$2107</f>
        <v>Algorithms</v>
      </c>
      <c r="H1710" s="19" t="str">
        <f>SUBSTITUTE(Github!L$2107, ";", ", ")</f>
        <v>Array, Binary Search, Sliding Window, Prefix Sum, </v>
      </c>
      <c r="I1710" s="17" t="str">
        <f>Github!E$2107</f>
        <v>Hard</v>
      </c>
      <c r="J1710" s="17" t="str">
        <f>IF(TRIM(Github!D$2107)="TRUE","FALSE","TRUE")</f>
        <v>TRUE</v>
      </c>
      <c r="K1710" s="17" t="b">
        <f>Github!M$2107</f>
        <v>0</v>
      </c>
      <c r="L1710" s="17" t="b">
        <f>Github!N$2107</f>
        <v>0</v>
      </c>
      <c r="M1710" s="17" t="str">
        <f>ROUND(Github!O$2107, 2)&amp;"%"</f>
        <v>35.05%</v>
      </c>
      <c r="N1710" s="17">
        <f>Github!P$2107</f>
        <v>5891</v>
      </c>
      <c r="O1710" s="17">
        <f>Github!Q$2107</f>
        <v>16808</v>
      </c>
    </row>
    <row r="1711" ht="18.0" customHeight="1">
      <c r="A1711" s="17">
        <f>Github!J$614</f>
        <v>613</v>
      </c>
      <c r="B1711" s="27" t="str">
        <f>HYPERLINK(CONCAT("http://leetcode.com/problems/",Github!C$614), Github!B$614)</f>
        <v>Shortest Distance in a Line</v>
      </c>
      <c r="C1711" s="17">
        <f>Github!F$614</f>
        <v>240</v>
      </c>
      <c r="D1711" s="17">
        <f>Github!G$614</f>
        <v>33</v>
      </c>
      <c r="E1711" s="17">
        <f>Github!F$614+Github!G$614</f>
        <v>273</v>
      </c>
      <c r="F1711" s="18">
        <f t="shared" si="1"/>
        <v>7.27</v>
      </c>
      <c r="G1711" s="17" t="str">
        <f>Github!H$614</f>
        <v>Database</v>
      </c>
      <c r="H1711" s="19" t="str">
        <f>SUBSTITUTE(Github!L$614, ";", ", ")</f>
        <v>Database, </v>
      </c>
      <c r="I1711" s="17" t="str">
        <f>Github!E$614</f>
        <v>Easy</v>
      </c>
      <c r="J1711" s="17" t="str">
        <f>IF(TRIM(Github!D$614)="TRUE","FALSE","TRUE")</f>
        <v>FALSE</v>
      </c>
      <c r="K1711" s="17" t="b">
        <f>Github!M$614</f>
        <v>1</v>
      </c>
      <c r="L1711" s="17" t="b">
        <f>Github!N$614</f>
        <v>0</v>
      </c>
      <c r="M1711" s="17" t="str">
        <f>ROUND(Github!O$614, 2)&amp;"%"</f>
        <v>81.01%</v>
      </c>
      <c r="N1711" s="17">
        <f>Github!P$614</f>
        <v>48499</v>
      </c>
      <c r="O1711" s="17">
        <f>Github!Q$614</f>
        <v>59869</v>
      </c>
    </row>
    <row r="1712" ht="18.0" customHeight="1">
      <c r="A1712" s="17">
        <f>Github!J$1999</f>
        <v>1998</v>
      </c>
      <c r="B1712" s="27" t="str">
        <f>HYPERLINK(CONCAT("http://leetcode.com/problems/",Github!C$1999), Github!B$1999)</f>
        <v>GCD Sort of an Array</v>
      </c>
      <c r="C1712" s="17">
        <f>Github!F$1999</f>
        <v>240</v>
      </c>
      <c r="D1712" s="17">
        <f>Github!G$1999</f>
        <v>4</v>
      </c>
      <c r="E1712" s="17">
        <f>Github!F$1999+Github!G$1999</f>
        <v>244</v>
      </c>
      <c r="F1712" s="18">
        <f t="shared" si="1"/>
        <v>60</v>
      </c>
      <c r="G1712" s="17" t="str">
        <f>Github!H$1999</f>
        <v>Algorithms</v>
      </c>
      <c r="H1712" s="19" t="str">
        <f>SUBSTITUTE(Github!L$1999, ";", ", ")</f>
        <v>Array, Math, Union Find, Sorting, </v>
      </c>
      <c r="I1712" s="17" t="str">
        <f>Github!E$1999</f>
        <v>Hard</v>
      </c>
      <c r="J1712" s="17" t="str">
        <f>IF(TRIM(Github!D$1999)="TRUE","FALSE","TRUE")</f>
        <v>TRUE</v>
      </c>
      <c r="K1712" s="17" t="b">
        <f>Github!M$1999</f>
        <v>0</v>
      </c>
      <c r="L1712" s="17" t="b">
        <f>Github!N$1999</f>
        <v>0</v>
      </c>
      <c r="M1712" s="17" t="str">
        <f>ROUND(Github!O$1999, 2)&amp;"%"</f>
        <v>45.69%</v>
      </c>
      <c r="N1712" s="17">
        <f>Github!P$1999</f>
        <v>4431</v>
      </c>
      <c r="O1712" s="17">
        <f>Github!Q$1999</f>
        <v>9699</v>
      </c>
    </row>
    <row r="1713" ht="18.0" customHeight="1">
      <c r="A1713" s="17">
        <f>Github!J$2196</f>
        <v>2195</v>
      </c>
      <c r="B1713" s="27" t="str">
        <f>HYPERLINK(CONCAT("http://leetcode.com/problems/",Github!C$2196), Github!B$2196)</f>
        <v>Append K Integers With Minimal Sum</v>
      </c>
      <c r="C1713" s="17">
        <f>Github!F$2196</f>
        <v>242</v>
      </c>
      <c r="D1713" s="17">
        <f>Github!G$2196</f>
        <v>202</v>
      </c>
      <c r="E1713" s="17">
        <f>Github!F$2196+Github!G$2196</f>
        <v>444</v>
      </c>
      <c r="F1713" s="18">
        <f t="shared" si="1"/>
        <v>1.2</v>
      </c>
      <c r="G1713" s="17" t="str">
        <f>Github!H$2196</f>
        <v>Algorithms</v>
      </c>
      <c r="H1713" s="19" t="str">
        <f>SUBSTITUTE(Github!L$2196, ";", ", ")</f>
        <v>Array, Math, Greedy, Sorting, </v>
      </c>
      <c r="I1713" s="17" t="str">
        <f>Github!E$2196</f>
        <v>Medium</v>
      </c>
      <c r="J1713" s="17" t="str">
        <f>IF(TRIM(Github!D$2196)="TRUE","FALSE","TRUE")</f>
        <v>TRUE</v>
      </c>
      <c r="K1713" s="17" t="b">
        <f>Github!M$2196</f>
        <v>0</v>
      </c>
      <c r="L1713" s="17" t="b">
        <f>Github!N$2196</f>
        <v>0</v>
      </c>
      <c r="M1713" s="17" t="str">
        <f>ROUND(Github!O$2196, 2)&amp;"%"</f>
        <v>22.09%</v>
      </c>
      <c r="N1713" s="17">
        <f>Github!P$2196</f>
        <v>12566</v>
      </c>
      <c r="O1713" s="17">
        <f>Github!Q$2196</f>
        <v>56885</v>
      </c>
    </row>
    <row r="1714" ht="18.0" customHeight="1">
      <c r="A1714" s="17">
        <f>Github!J$1894</f>
        <v>1893</v>
      </c>
      <c r="B1714" s="27" t="str">
        <f>HYPERLINK(CONCAT("http://leetcode.com/problems/",Github!C$1894), Github!B$1894)</f>
        <v>Check if All the Integers in a Range Are Covered</v>
      </c>
      <c r="C1714" s="17">
        <f>Github!F$1894</f>
        <v>240</v>
      </c>
      <c r="D1714" s="17">
        <f>Github!G$1894</f>
        <v>51</v>
      </c>
      <c r="E1714" s="17">
        <f>Github!F$1894+Github!G$1894</f>
        <v>291</v>
      </c>
      <c r="F1714" s="18">
        <f t="shared" si="1"/>
        <v>4.71</v>
      </c>
      <c r="G1714" s="17" t="str">
        <f>Github!H$1894</f>
        <v>Algorithms</v>
      </c>
      <c r="H1714" s="19" t="str">
        <f>SUBSTITUTE(Github!L$1894, ";", ", ")</f>
        <v>Array, Hash Table, Prefix Sum, </v>
      </c>
      <c r="I1714" s="17" t="str">
        <f>Github!E$1894</f>
        <v>Easy</v>
      </c>
      <c r="J1714" s="17" t="str">
        <f>IF(TRIM(Github!D$1894)="TRUE","FALSE","TRUE")</f>
        <v>TRUE</v>
      </c>
      <c r="K1714" s="17" t="b">
        <f>Github!M$1894</f>
        <v>0</v>
      </c>
      <c r="L1714" s="17" t="b">
        <f>Github!N$1894</f>
        <v>0</v>
      </c>
      <c r="M1714" s="17" t="str">
        <f>ROUND(Github!O$1894, 2)&amp;"%"</f>
        <v>50.82%</v>
      </c>
      <c r="N1714" s="17">
        <f>Github!P$1894</f>
        <v>19697</v>
      </c>
      <c r="O1714" s="17">
        <f>Github!Q$1894</f>
        <v>38757</v>
      </c>
    </row>
    <row r="1715" ht="18.0" customHeight="1">
      <c r="A1715" s="17">
        <f>Github!J$1229</f>
        <v>1228</v>
      </c>
      <c r="B1715" s="27" t="str">
        <f>HYPERLINK(CONCAT("http://leetcode.com/problems/",Github!C$1229), Github!B$1229)</f>
        <v>Missing Number In Arithmetic Progression</v>
      </c>
      <c r="C1715" s="17">
        <f>Github!F$1229</f>
        <v>238</v>
      </c>
      <c r="D1715" s="17">
        <f>Github!G$1229</f>
        <v>30</v>
      </c>
      <c r="E1715" s="17">
        <f>Github!F$1229+Github!G$1229</f>
        <v>268</v>
      </c>
      <c r="F1715" s="18">
        <f t="shared" si="1"/>
        <v>7.93</v>
      </c>
      <c r="G1715" s="17" t="str">
        <f>Github!H$1229</f>
        <v>Algorithms</v>
      </c>
      <c r="H1715" s="19" t="str">
        <f>SUBSTITUTE(Github!L$1229, ";", ", ")</f>
        <v>Array, Math, </v>
      </c>
      <c r="I1715" s="17" t="str">
        <f>Github!E$1229</f>
        <v>Easy</v>
      </c>
      <c r="J1715" s="17" t="str">
        <f>IF(TRIM(Github!D$1229)="TRUE","FALSE","TRUE")</f>
        <v>FALSE</v>
      </c>
      <c r="K1715" s="17" t="b">
        <f>Github!M$1229</f>
        <v>1</v>
      </c>
      <c r="L1715" s="17" t="b">
        <f>Github!N$1229</f>
        <v>1</v>
      </c>
      <c r="M1715" s="17" t="str">
        <f>ROUND(Github!O$1229, 2)&amp;"%"</f>
        <v>51.12%</v>
      </c>
      <c r="N1715" s="17">
        <f>Github!P$1229</f>
        <v>20071</v>
      </c>
      <c r="O1715" s="17">
        <f>Github!Q$1229</f>
        <v>39264</v>
      </c>
    </row>
    <row r="1716" ht="18.0" customHeight="1">
      <c r="A1716" s="17">
        <f>Github!J$1917</f>
        <v>1916</v>
      </c>
      <c r="B1716" s="27" t="str">
        <f>HYPERLINK(CONCAT("http://leetcode.com/problems/",Github!C$1917), Github!B$1917)</f>
        <v>Count Ways to Build Rooms in an Ant Colony</v>
      </c>
      <c r="C1716" s="17">
        <f>Github!F$1917</f>
        <v>238</v>
      </c>
      <c r="D1716" s="17">
        <f>Github!G$1917</f>
        <v>30</v>
      </c>
      <c r="E1716" s="17">
        <f>Github!F$1917+Github!G$1917</f>
        <v>268</v>
      </c>
      <c r="F1716" s="18">
        <f t="shared" si="1"/>
        <v>7.93</v>
      </c>
      <c r="G1716" s="17" t="str">
        <f>Github!H$1917</f>
        <v>Algorithms</v>
      </c>
      <c r="H1716" s="19" t="str">
        <f>SUBSTITUTE(Github!L$1917, ";", ", ")</f>
        <v>Math, Dynamic Programming, Tree, Graph, Topological Sort, Combinatorics, </v>
      </c>
      <c r="I1716" s="17" t="str">
        <f>Github!E$1917</f>
        <v>Hard</v>
      </c>
      <c r="J1716" s="17" t="str">
        <f>IF(TRIM(Github!D$1917)="TRUE","FALSE","TRUE")</f>
        <v>TRUE</v>
      </c>
      <c r="K1716" s="17" t="b">
        <f>Github!M$1917</f>
        <v>0</v>
      </c>
      <c r="L1716" s="17" t="b">
        <f>Github!N$1917</f>
        <v>0</v>
      </c>
      <c r="M1716" s="17" t="str">
        <f>ROUND(Github!O$1917, 2)&amp;"%"</f>
        <v>48.3%</v>
      </c>
      <c r="N1716" s="17">
        <f>Github!P$1917</f>
        <v>3463</v>
      </c>
      <c r="O1716" s="17">
        <f>Github!Q$1917</f>
        <v>7170</v>
      </c>
    </row>
    <row r="1717" ht="18.0" customHeight="1">
      <c r="A1717" s="17">
        <f>Github!J$1017</f>
        <v>1016</v>
      </c>
      <c r="B1717" s="27" t="str">
        <f>HYPERLINK(CONCAT("http://leetcode.com/problems/",Github!C$1017), Github!B$1017)</f>
        <v>Binary String With Substrings Representing 1 To N</v>
      </c>
      <c r="C1717" s="17">
        <f>Github!F$1017</f>
        <v>237</v>
      </c>
      <c r="D1717" s="17">
        <f>Github!G$1017</f>
        <v>448</v>
      </c>
      <c r="E1717" s="17">
        <f>Github!F$1017+Github!G$1017</f>
        <v>685</v>
      </c>
      <c r="F1717" s="18">
        <f t="shared" si="1"/>
        <v>0.53</v>
      </c>
      <c r="G1717" s="17" t="str">
        <f>Github!H$1017</f>
        <v>Algorithms</v>
      </c>
      <c r="H1717" s="19" t="str">
        <f>SUBSTITUTE(Github!L$1017, ";", ", ")</f>
        <v>String, </v>
      </c>
      <c r="I1717" s="17" t="str">
        <f>Github!E$1017</f>
        <v>Medium</v>
      </c>
      <c r="J1717" s="17" t="str">
        <f>IF(TRIM(Github!D$1017)="TRUE","FALSE","TRUE")</f>
        <v>TRUE</v>
      </c>
      <c r="K1717" s="17" t="b">
        <f>Github!M$1017</f>
        <v>0</v>
      </c>
      <c r="L1717" s="17" t="b">
        <f>Github!N$1017</f>
        <v>0</v>
      </c>
      <c r="M1717" s="17" t="str">
        <f>ROUND(Github!O$1017, 2)&amp;"%"</f>
        <v>57.95%</v>
      </c>
      <c r="N1717" s="17">
        <f>Github!P$1017</f>
        <v>27763</v>
      </c>
      <c r="O1717" s="17">
        <f>Github!Q$1017</f>
        <v>47907</v>
      </c>
    </row>
    <row r="1718" ht="18.0" customHeight="1">
      <c r="A1718" s="17">
        <f>Github!J$1251</f>
        <v>1250</v>
      </c>
      <c r="B1718" s="27" t="str">
        <f>HYPERLINK(CONCAT("http://leetcode.com/problems/",Github!C$1251), Github!B$1251)</f>
        <v>Check If It Is a Good Array</v>
      </c>
      <c r="C1718" s="17">
        <f>Github!F$1251</f>
        <v>235</v>
      </c>
      <c r="D1718" s="17">
        <f>Github!G$1251</f>
        <v>265</v>
      </c>
      <c r="E1718" s="17">
        <f>Github!F$1251+Github!G$1251</f>
        <v>500</v>
      </c>
      <c r="F1718" s="18">
        <f t="shared" si="1"/>
        <v>0.89</v>
      </c>
      <c r="G1718" s="17" t="str">
        <f>Github!H$1251</f>
        <v>Algorithms</v>
      </c>
      <c r="H1718" s="19" t="str">
        <f>SUBSTITUTE(Github!L$1251, ";", ", ")</f>
        <v>Array, Math, Number Theory, </v>
      </c>
      <c r="I1718" s="17" t="str">
        <f>Github!E$1251</f>
        <v>Hard</v>
      </c>
      <c r="J1718" s="17" t="str">
        <f>IF(TRIM(Github!D$1251)="TRUE","FALSE","TRUE")</f>
        <v>TRUE</v>
      </c>
      <c r="K1718" s="17" t="b">
        <f>Github!M$1251</f>
        <v>0</v>
      </c>
      <c r="L1718" s="17" t="b">
        <f>Github!N$1251</f>
        <v>0</v>
      </c>
      <c r="M1718" s="17" t="str">
        <f>ROUND(Github!O$1251, 2)&amp;"%"</f>
        <v>57.75%</v>
      </c>
      <c r="N1718" s="17">
        <f>Github!P$1251</f>
        <v>12704</v>
      </c>
      <c r="O1718" s="17">
        <f>Github!Q$1251</f>
        <v>21997</v>
      </c>
    </row>
    <row r="1719" ht="18.0" customHeight="1">
      <c r="A1719" s="17">
        <f>Github!J$1996</f>
        <v>1995</v>
      </c>
      <c r="B1719" s="27" t="str">
        <f>HYPERLINK(CONCAT("http://leetcode.com/problems/",Github!C$1996), Github!B$1996)</f>
        <v>Count Special Quadruplets</v>
      </c>
      <c r="C1719" s="17">
        <f>Github!F$1996</f>
        <v>235</v>
      </c>
      <c r="D1719" s="17">
        <f>Github!G$1996</f>
        <v>121</v>
      </c>
      <c r="E1719" s="17">
        <f>Github!F$1996+Github!G$1996</f>
        <v>356</v>
      </c>
      <c r="F1719" s="18">
        <f t="shared" si="1"/>
        <v>1.94</v>
      </c>
      <c r="G1719" s="17" t="str">
        <f>Github!H$1996</f>
        <v>Algorithms</v>
      </c>
      <c r="H1719" s="19" t="str">
        <f>SUBSTITUTE(Github!L$1996, ";", ", ")</f>
        <v>Array, Enumeration, </v>
      </c>
      <c r="I1719" s="17" t="str">
        <f>Github!E$1996</f>
        <v>Easy</v>
      </c>
      <c r="J1719" s="17" t="str">
        <f>IF(TRIM(Github!D$1996)="TRUE","FALSE","TRUE")</f>
        <v>TRUE</v>
      </c>
      <c r="K1719" s="17" t="b">
        <f>Github!M$1996</f>
        <v>0</v>
      </c>
      <c r="L1719" s="17" t="b">
        <f>Github!N$1996</f>
        <v>0</v>
      </c>
      <c r="M1719" s="17" t="str">
        <f>ROUND(Github!O$1996, 2)&amp;"%"</f>
        <v>57.73%</v>
      </c>
      <c r="N1719" s="17">
        <f>Github!P$1996</f>
        <v>17924</v>
      </c>
      <c r="O1719" s="17">
        <f>Github!Q$1996</f>
        <v>31049</v>
      </c>
    </row>
    <row r="1720" ht="18.0" customHeight="1">
      <c r="A1720" s="17">
        <f>Github!J$2161</f>
        <v>2160</v>
      </c>
      <c r="B1720" s="27" t="str">
        <f>HYPERLINK(CONCAT("http://leetcode.com/problems/",Github!C$2161), Github!B$2161)</f>
        <v>Minimum Sum of Four Digit Number After Splitting Digits</v>
      </c>
      <c r="C1720" s="17">
        <f>Github!F$2161</f>
        <v>238</v>
      </c>
      <c r="D1720" s="17">
        <f>Github!G$2161</f>
        <v>24</v>
      </c>
      <c r="E1720" s="17">
        <f>Github!F$2161+Github!G$2161</f>
        <v>262</v>
      </c>
      <c r="F1720" s="18">
        <f t="shared" si="1"/>
        <v>9.92</v>
      </c>
      <c r="G1720" s="17" t="str">
        <f>Github!H$2161</f>
        <v>Algorithms</v>
      </c>
      <c r="H1720" s="19" t="str">
        <f>SUBSTITUTE(Github!L$2161, ";", ", ")</f>
        <v>Math, Greedy, Sorting, </v>
      </c>
      <c r="I1720" s="17" t="str">
        <f>Github!E$2161</f>
        <v>Easy</v>
      </c>
      <c r="J1720" s="17" t="str">
        <f>IF(TRIM(Github!D$2161)="TRUE","FALSE","TRUE")</f>
        <v>TRUE</v>
      </c>
      <c r="K1720" s="17" t="b">
        <f>Github!M$2161</f>
        <v>0</v>
      </c>
      <c r="L1720" s="17" t="b">
        <f>Github!N$2161</f>
        <v>0</v>
      </c>
      <c r="M1720" s="17" t="str">
        <f>ROUND(Github!O$2161, 2)&amp;"%"</f>
        <v>87.75%</v>
      </c>
      <c r="N1720" s="17">
        <f>Github!P$2161</f>
        <v>21183</v>
      </c>
      <c r="O1720" s="17">
        <f>Github!Q$2161</f>
        <v>24141</v>
      </c>
    </row>
    <row r="1721" ht="18.0" customHeight="1">
      <c r="A1721" s="17">
        <f>Github!J$2197</f>
        <v>2196</v>
      </c>
      <c r="B1721" s="27" t="str">
        <f>HYPERLINK(CONCAT("http://leetcode.com/problems/",Github!C$2197), Github!B$2197)</f>
        <v>Create Binary Tree From Descriptions</v>
      </c>
      <c r="C1721" s="17">
        <f>Github!F$2197</f>
        <v>240</v>
      </c>
      <c r="D1721" s="17">
        <f>Github!G$2197</f>
        <v>7</v>
      </c>
      <c r="E1721" s="17">
        <f>Github!F$2197+Github!G$2197</f>
        <v>247</v>
      </c>
      <c r="F1721" s="18">
        <f t="shared" si="1"/>
        <v>34.29</v>
      </c>
      <c r="G1721" s="17" t="str">
        <f>Github!H$2197</f>
        <v>Algorithms</v>
      </c>
      <c r="H1721" s="19" t="str">
        <f>SUBSTITUTE(Github!L$2197, ";", ", ")</f>
        <v>Array, Hash Table, Tree, Depth-First Search, Breadth-First Search, Binary Tree, </v>
      </c>
      <c r="I1721" s="17" t="str">
        <f>Github!E$2197</f>
        <v>Medium</v>
      </c>
      <c r="J1721" s="17" t="str">
        <f>IF(TRIM(Github!D$2197)="TRUE","FALSE","TRUE")</f>
        <v>TRUE</v>
      </c>
      <c r="K1721" s="17" t="b">
        <f>Github!M$2197</f>
        <v>0</v>
      </c>
      <c r="L1721" s="17" t="b">
        <f>Github!N$2197</f>
        <v>0</v>
      </c>
      <c r="M1721" s="17" t="str">
        <f>ROUND(Github!O$2197, 2)&amp;"%"</f>
        <v>69.44%</v>
      </c>
      <c r="N1721" s="17">
        <f>Github!P$2197</f>
        <v>10768</v>
      </c>
      <c r="O1721" s="17">
        <f>Github!Q$2197</f>
        <v>15509</v>
      </c>
    </row>
    <row r="1722" ht="18.0" customHeight="1">
      <c r="A1722" s="17">
        <f>Github!J$1176</f>
        <v>1175</v>
      </c>
      <c r="B1722" s="27" t="str">
        <f>HYPERLINK(CONCAT("http://leetcode.com/problems/",Github!C$1176), Github!B$1176)</f>
        <v>Prime Arrangements</v>
      </c>
      <c r="C1722" s="17">
        <f>Github!F$1176</f>
        <v>234</v>
      </c>
      <c r="D1722" s="17">
        <f>Github!G$1176</f>
        <v>343</v>
      </c>
      <c r="E1722" s="17">
        <f>Github!F$1176+Github!G$1176</f>
        <v>577</v>
      </c>
      <c r="F1722" s="18">
        <f t="shared" si="1"/>
        <v>0.68</v>
      </c>
      <c r="G1722" s="17" t="str">
        <f>Github!H$1176</f>
        <v>Algorithms</v>
      </c>
      <c r="H1722" s="19" t="str">
        <f>SUBSTITUTE(Github!L$1176, ";", ", ")</f>
        <v>Math, </v>
      </c>
      <c r="I1722" s="17" t="str">
        <f>Github!E$1176</f>
        <v>Easy</v>
      </c>
      <c r="J1722" s="17" t="str">
        <f>IF(TRIM(Github!D$1176)="TRUE","FALSE","TRUE")</f>
        <v>TRUE</v>
      </c>
      <c r="K1722" s="17" t="b">
        <f>Github!M$1176</f>
        <v>0</v>
      </c>
      <c r="L1722" s="17" t="b">
        <f>Github!N$1176</f>
        <v>0</v>
      </c>
      <c r="M1722" s="17" t="str">
        <f>ROUND(Github!O$1176, 2)&amp;"%"</f>
        <v>52.67%</v>
      </c>
      <c r="N1722" s="17">
        <f>Github!P$1176</f>
        <v>19475</v>
      </c>
      <c r="O1722" s="17">
        <f>Github!Q$1176</f>
        <v>36973</v>
      </c>
    </row>
    <row r="1723" ht="18.0" customHeight="1">
      <c r="A1723" s="17">
        <f>Github!J$1508</f>
        <v>1507</v>
      </c>
      <c r="B1723" s="27" t="str">
        <f>HYPERLINK(CONCAT("http://leetcode.com/problems/",Github!C$1508), Github!B$1508)</f>
        <v>Reformat Date</v>
      </c>
      <c r="C1723" s="17">
        <f>Github!F$1508</f>
        <v>234</v>
      </c>
      <c r="D1723" s="17">
        <f>Github!G$1508</f>
        <v>313</v>
      </c>
      <c r="E1723" s="17">
        <f>Github!F$1508+Github!G$1508</f>
        <v>547</v>
      </c>
      <c r="F1723" s="18">
        <f t="shared" si="1"/>
        <v>0.75</v>
      </c>
      <c r="G1723" s="17" t="str">
        <f>Github!H$1508</f>
        <v>Algorithms</v>
      </c>
      <c r="H1723" s="19" t="str">
        <f>SUBSTITUTE(Github!L$1508, ";", ", ")</f>
        <v>String, </v>
      </c>
      <c r="I1723" s="17" t="str">
        <f>Github!E$1508</f>
        <v>Easy</v>
      </c>
      <c r="J1723" s="17" t="str">
        <f>IF(TRIM(Github!D$1508)="TRUE","FALSE","TRUE")</f>
        <v>TRUE</v>
      </c>
      <c r="K1723" s="17" t="b">
        <f>Github!M$1508</f>
        <v>0</v>
      </c>
      <c r="L1723" s="17" t="b">
        <f>Github!N$1508</f>
        <v>0</v>
      </c>
      <c r="M1723" s="17" t="str">
        <f>ROUND(Github!O$1508, 2)&amp;"%"</f>
        <v>61.62%</v>
      </c>
      <c r="N1723" s="17">
        <f>Github!P$1508</f>
        <v>36426</v>
      </c>
      <c r="O1723" s="17">
        <f>Github!Q$1508</f>
        <v>59113</v>
      </c>
    </row>
    <row r="1724" ht="18.0" customHeight="1">
      <c r="A1724" s="17">
        <f>Github!J$1623</f>
        <v>1622</v>
      </c>
      <c r="B1724" s="27" t="str">
        <f>HYPERLINK(CONCAT("http://leetcode.com/problems/",Github!C$1623), Github!B$1623)</f>
        <v>Fancy Sequence</v>
      </c>
      <c r="C1724" s="17">
        <f>Github!F$1623</f>
        <v>235</v>
      </c>
      <c r="D1724" s="17">
        <f>Github!G$1623</f>
        <v>86</v>
      </c>
      <c r="E1724" s="17">
        <f>Github!F$1623+Github!G$1623</f>
        <v>321</v>
      </c>
      <c r="F1724" s="18">
        <f t="shared" si="1"/>
        <v>2.73</v>
      </c>
      <c r="G1724" s="17" t="str">
        <f>Github!H$1623</f>
        <v>Algorithms</v>
      </c>
      <c r="H1724" s="19" t="str">
        <f>SUBSTITUTE(Github!L$1623, ";", ", ")</f>
        <v>Math, Design, Segment Tree, </v>
      </c>
      <c r="I1724" s="17" t="str">
        <f>Github!E$1623</f>
        <v>Hard</v>
      </c>
      <c r="J1724" s="17" t="str">
        <f>IF(TRIM(Github!D$1623)="TRUE","FALSE","TRUE")</f>
        <v>TRUE</v>
      </c>
      <c r="K1724" s="17" t="b">
        <f>Github!M$1623</f>
        <v>0</v>
      </c>
      <c r="L1724" s="17" t="b">
        <f>Github!N$1623</f>
        <v>0</v>
      </c>
      <c r="M1724" s="17" t="str">
        <f>ROUND(Github!O$1623, 2)&amp;"%"</f>
        <v>15.34%</v>
      </c>
      <c r="N1724" s="17">
        <f>Github!P$1623</f>
        <v>6673</v>
      </c>
      <c r="O1724" s="17">
        <f>Github!Q$1623</f>
        <v>43499</v>
      </c>
    </row>
    <row r="1725" ht="18.0" customHeight="1">
      <c r="A1725" s="17">
        <f>Github!J$1797</f>
        <v>1796</v>
      </c>
      <c r="B1725" s="27" t="str">
        <f>HYPERLINK(CONCAT("http://leetcode.com/problems/",Github!C$1797), Github!B$1797)</f>
        <v>Second Largest Digit in a String</v>
      </c>
      <c r="C1725" s="17">
        <f>Github!F$1797</f>
        <v>234</v>
      </c>
      <c r="D1725" s="17">
        <f>Github!G$1797</f>
        <v>69</v>
      </c>
      <c r="E1725" s="17">
        <f>Github!F$1797+Github!G$1797</f>
        <v>303</v>
      </c>
      <c r="F1725" s="18">
        <f t="shared" si="1"/>
        <v>3.39</v>
      </c>
      <c r="G1725" s="17" t="str">
        <f>Github!H$1797</f>
        <v>Algorithms</v>
      </c>
      <c r="H1725" s="19" t="str">
        <f>SUBSTITUTE(Github!L$1797, ";", ", ")</f>
        <v>Hash Table, String, </v>
      </c>
      <c r="I1725" s="17" t="str">
        <f>Github!E$1797</f>
        <v>Easy</v>
      </c>
      <c r="J1725" s="17" t="str">
        <f>IF(TRIM(Github!D$1797)="TRUE","FALSE","TRUE")</f>
        <v>TRUE</v>
      </c>
      <c r="K1725" s="17" t="b">
        <f>Github!M$1797</f>
        <v>0</v>
      </c>
      <c r="L1725" s="17" t="b">
        <f>Github!N$1797</f>
        <v>0</v>
      </c>
      <c r="M1725" s="17" t="str">
        <f>ROUND(Github!O$1797, 2)&amp;"%"</f>
        <v>49.01%</v>
      </c>
      <c r="N1725" s="17">
        <f>Github!P$1797</f>
        <v>23625</v>
      </c>
      <c r="O1725" s="17">
        <f>Github!Q$1797</f>
        <v>48206</v>
      </c>
    </row>
    <row r="1726" ht="18.0" customHeight="1">
      <c r="A1726" s="17">
        <f>Github!J$1890</f>
        <v>1889</v>
      </c>
      <c r="B1726" s="27" t="str">
        <f>HYPERLINK(CONCAT("http://leetcode.com/problems/",Github!C$1890), Github!B$1890)</f>
        <v>Minimum Space Wasted From Packaging</v>
      </c>
      <c r="C1726" s="17">
        <f>Github!F$1890</f>
        <v>234</v>
      </c>
      <c r="D1726" s="17">
        <f>Github!G$1890</f>
        <v>27</v>
      </c>
      <c r="E1726" s="17">
        <f>Github!F$1890+Github!G$1890</f>
        <v>261</v>
      </c>
      <c r="F1726" s="18">
        <f t="shared" si="1"/>
        <v>8.67</v>
      </c>
      <c r="G1726" s="17" t="str">
        <f>Github!H$1890</f>
        <v>Algorithms</v>
      </c>
      <c r="H1726" s="19" t="str">
        <f>SUBSTITUTE(Github!L$1890, ";", ", ")</f>
        <v>Array, Binary Search, Sorting, Prefix Sum, </v>
      </c>
      <c r="I1726" s="17" t="str">
        <f>Github!E$1890</f>
        <v>Hard</v>
      </c>
      <c r="J1726" s="17" t="str">
        <f>IF(TRIM(Github!D$1890)="TRUE","FALSE","TRUE")</f>
        <v>TRUE</v>
      </c>
      <c r="K1726" s="17" t="b">
        <f>Github!M$1890</f>
        <v>0</v>
      </c>
      <c r="L1726" s="17" t="b">
        <f>Github!N$1890</f>
        <v>0</v>
      </c>
      <c r="M1726" s="17" t="str">
        <f>ROUND(Github!O$1890, 2)&amp;"%"</f>
        <v>29.92%</v>
      </c>
      <c r="N1726" s="17">
        <f>Github!P$1890</f>
        <v>7353</v>
      </c>
      <c r="O1726" s="17">
        <f>Github!Q$1890</f>
        <v>24575</v>
      </c>
    </row>
    <row r="1727" ht="18.0" customHeight="1">
      <c r="A1727" s="17">
        <f>Github!J$2091</f>
        <v>2090</v>
      </c>
      <c r="B1727" s="27" t="str">
        <f>HYPERLINK(CONCAT("http://leetcode.com/problems/",Github!C$2091), Github!B$2091)</f>
        <v>K Radius Subarray Averages</v>
      </c>
      <c r="C1727" s="17">
        <f>Github!F$2091</f>
        <v>235</v>
      </c>
      <c r="D1727" s="17">
        <f>Github!G$2091</f>
        <v>10</v>
      </c>
      <c r="E1727" s="17">
        <f>Github!F$2091+Github!G$2091</f>
        <v>245</v>
      </c>
      <c r="F1727" s="18">
        <f t="shared" si="1"/>
        <v>23.5</v>
      </c>
      <c r="G1727" s="17" t="str">
        <f>Github!H$2091</f>
        <v>Algorithms</v>
      </c>
      <c r="H1727" s="19" t="str">
        <f>SUBSTITUTE(Github!L$2091, ";", ", ")</f>
        <v>Array, Sliding Window, </v>
      </c>
      <c r="I1727" s="17" t="str">
        <f>Github!E$2091</f>
        <v>Medium</v>
      </c>
      <c r="J1727" s="17" t="str">
        <f>IF(TRIM(Github!D$2091)="TRUE","FALSE","TRUE")</f>
        <v>TRUE</v>
      </c>
      <c r="K1727" s="17" t="b">
        <f>Github!M$2091</f>
        <v>0</v>
      </c>
      <c r="L1727" s="17" t="b">
        <f>Github!N$2091</f>
        <v>0</v>
      </c>
      <c r="M1727" s="17" t="str">
        <f>ROUND(Github!O$2091, 2)&amp;"%"</f>
        <v>40.49%</v>
      </c>
      <c r="N1727" s="17">
        <f>Github!P$2091</f>
        <v>13066</v>
      </c>
      <c r="O1727" s="17">
        <f>Github!Q$2091</f>
        <v>32272</v>
      </c>
    </row>
    <row r="1728" ht="18.0" customHeight="1">
      <c r="A1728" s="17">
        <f>Github!J$2040</f>
        <v>2039</v>
      </c>
      <c r="B1728" s="27" t="str">
        <f>HYPERLINK(CONCAT("http://leetcode.com/problems/",Github!C$2040), Github!B$2040)</f>
        <v>The Time When the Network Becomes Idle</v>
      </c>
      <c r="C1728" s="17">
        <f>Github!F$2040</f>
        <v>233</v>
      </c>
      <c r="D1728" s="17">
        <f>Github!G$2040</f>
        <v>16</v>
      </c>
      <c r="E1728" s="17">
        <f>Github!F$2040+Github!G$2040</f>
        <v>249</v>
      </c>
      <c r="F1728" s="18">
        <f t="shared" si="1"/>
        <v>14.56</v>
      </c>
      <c r="G1728" s="17" t="str">
        <f>Github!H$2040</f>
        <v>Algorithms</v>
      </c>
      <c r="H1728" s="19" t="str">
        <f>SUBSTITUTE(Github!L$2040, ";", ", ")</f>
        <v>Array, Breadth-First Search, Graph, </v>
      </c>
      <c r="I1728" s="17" t="str">
        <f>Github!E$2040</f>
        <v>Medium</v>
      </c>
      <c r="J1728" s="17" t="str">
        <f>IF(TRIM(Github!D$2040)="TRUE","FALSE","TRUE")</f>
        <v>TRUE</v>
      </c>
      <c r="K1728" s="17" t="b">
        <f>Github!M$2040</f>
        <v>0</v>
      </c>
      <c r="L1728" s="17" t="b">
        <f>Github!N$2040</f>
        <v>0</v>
      </c>
      <c r="M1728" s="17" t="str">
        <f>ROUND(Github!O$2040, 2)&amp;"%"</f>
        <v>48.67%</v>
      </c>
      <c r="N1728" s="17">
        <f>Github!P$2040</f>
        <v>5890</v>
      </c>
      <c r="O1728" s="17">
        <f>Github!Q$2040</f>
        <v>12101</v>
      </c>
    </row>
    <row r="1729" ht="18.0" customHeight="1">
      <c r="A1729" s="17">
        <f>Github!J$1322</f>
        <v>1321</v>
      </c>
      <c r="B1729" s="27" t="str">
        <f>HYPERLINK(CONCAT("http://leetcode.com/problems/",Github!C$1322), Github!B$1322)</f>
        <v>Restaurant Growth</v>
      </c>
      <c r="C1729" s="17">
        <f>Github!F$1322</f>
        <v>232</v>
      </c>
      <c r="D1729" s="17">
        <f>Github!G$1322</f>
        <v>35</v>
      </c>
      <c r="E1729" s="17">
        <f>Github!F$1322+Github!G$1322</f>
        <v>267</v>
      </c>
      <c r="F1729" s="18">
        <f t="shared" si="1"/>
        <v>6.63</v>
      </c>
      <c r="G1729" s="17" t="str">
        <f>Github!H$1322</f>
        <v>Database</v>
      </c>
      <c r="H1729" s="19" t="str">
        <f>SUBSTITUTE(Github!L$1322, ";", ", ")</f>
        <v>Database, </v>
      </c>
      <c r="I1729" s="17" t="str">
        <f>Github!E$1322</f>
        <v>Medium</v>
      </c>
      <c r="J1729" s="17" t="str">
        <f>IF(TRIM(Github!D$1322)="TRUE","FALSE","TRUE")</f>
        <v>FALSE</v>
      </c>
      <c r="K1729" s="17" t="b">
        <f>Github!M$1322</f>
        <v>0</v>
      </c>
      <c r="L1729" s="17" t="b">
        <f>Github!N$1322</f>
        <v>0</v>
      </c>
      <c r="M1729" s="17" t="str">
        <f>ROUND(Github!O$1322, 2)&amp;"%"</f>
        <v>72.51%</v>
      </c>
      <c r="N1729" s="17">
        <f>Github!P$1322</f>
        <v>19504</v>
      </c>
      <c r="O1729" s="17">
        <f>Github!Q$1322</f>
        <v>26898</v>
      </c>
    </row>
    <row r="1730" ht="18.0" customHeight="1">
      <c r="A1730" s="17">
        <f>Github!J$1983</f>
        <v>1982</v>
      </c>
      <c r="B1730" s="27" t="str">
        <f>HYPERLINK(CONCAT("http://leetcode.com/problems/",Github!C$1983), Github!B$1983)</f>
        <v>Find Array Given Subset Sums</v>
      </c>
      <c r="C1730" s="17">
        <f>Github!F$1983</f>
        <v>232</v>
      </c>
      <c r="D1730" s="17">
        <f>Github!G$1983</f>
        <v>18</v>
      </c>
      <c r="E1730" s="17">
        <f>Github!F$1983+Github!G$1983</f>
        <v>250</v>
      </c>
      <c r="F1730" s="18">
        <f t="shared" si="1"/>
        <v>12.89</v>
      </c>
      <c r="G1730" s="17" t="str">
        <f>Github!H$1983</f>
        <v>Algorithms</v>
      </c>
      <c r="H1730" s="19" t="str">
        <f>SUBSTITUTE(Github!L$1983, ";", ", ")</f>
        <v>Array, Divide and Conquer, </v>
      </c>
      <c r="I1730" s="17" t="str">
        <f>Github!E$1983</f>
        <v>Hard</v>
      </c>
      <c r="J1730" s="17" t="str">
        <f>IF(TRIM(Github!D$1983)="TRUE","FALSE","TRUE")</f>
        <v>TRUE</v>
      </c>
      <c r="K1730" s="17" t="b">
        <f>Github!M$1983</f>
        <v>0</v>
      </c>
      <c r="L1730" s="17" t="b">
        <f>Github!N$1983</f>
        <v>0</v>
      </c>
      <c r="M1730" s="17" t="str">
        <f>ROUND(Github!O$1983, 2)&amp;"%"</f>
        <v>48.4%</v>
      </c>
      <c r="N1730" s="17">
        <f>Github!P$1983</f>
        <v>2882</v>
      </c>
      <c r="O1730" s="17">
        <f>Github!Q$1983</f>
        <v>5955</v>
      </c>
    </row>
    <row r="1731" ht="18.0" customHeight="1">
      <c r="A1731" s="17">
        <f>Github!J$608</f>
        <v>607</v>
      </c>
      <c r="B1731" s="27" t="str">
        <f>HYPERLINK(CONCAT("http://leetcode.com/problems/",Github!C$608), Github!B$608)</f>
        <v>Sales Person</v>
      </c>
      <c r="C1731" s="17">
        <f>Github!F$608</f>
        <v>232</v>
      </c>
      <c r="D1731" s="17">
        <f>Github!G$608</f>
        <v>45</v>
      </c>
      <c r="E1731" s="17">
        <f>Github!F$608+Github!G$608</f>
        <v>277</v>
      </c>
      <c r="F1731" s="18">
        <f t="shared" si="1"/>
        <v>5.16</v>
      </c>
      <c r="G1731" s="17" t="str">
        <f>Github!H$608</f>
        <v>Database</v>
      </c>
      <c r="H1731" s="19" t="str">
        <f>SUBSTITUTE(Github!L$608, ";", ", ")</f>
        <v>Database, </v>
      </c>
      <c r="I1731" s="17" t="str">
        <f>Github!E$608</f>
        <v>Easy</v>
      </c>
      <c r="J1731" s="17" t="str">
        <f>IF(TRIM(Github!D$608)="TRUE","FALSE","TRUE")</f>
        <v>FALSE</v>
      </c>
      <c r="K1731" s="17" t="b">
        <f>Github!M$608</f>
        <v>1</v>
      </c>
      <c r="L1731" s="17" t="b">
        <f>Github!N$608</f>
        <v>0</v>
      </c>
      <c r="M1731" s="17" t="str">
        <f>ROUND(Github!O$608, 2)&amp;"%"</f>
        <v>67.97%</v>
      </c>
      <c r="N1731" s="17">
        <f>Github!P$608</f>
        <v>47360</v>
      </c>
      <c r="O1731" s="17">
        <f>Github!Q$608</f>
        <v>69675</v>
      </c>
    </row>
    <row r="1732" ht="18.0" customHeight="1">
      <c r="A1732" s="17">
        <f>Github!J$759</f>
        <v>758</v>
      </c>
      <c r="B1732" s="27" t="str">
        <f>HYPERLINK(CONCAT("http://leetcode.com/problems/",Github!C$759), Github!B$759)</f>
        <v>Bold Words in String</v>
      </c>
      <c r="C1732" s="17">
        <f>Github!F$759</f>
        <v>231</v>
      </c>
      <c r="D1732" s="17">
        <f>Github!G$759</f>
        <v>114</v>
      </c>
      <c r="E1732" s="17">
        <f>Github!F$759+Github!G$759</f>
        <v>345</v>
      </c>
      <c r="F1732" s="18">
        <f t="shared" si="1"/>
        <v>2.03</v>
      </c>
      <c r="G1732" s="17" t="str">
        <f>Github!H$759</f>
        <v>Algorithms</v>
      </c>
      <c r="H1732" s="19" t="str">
        <f>SUBSTITUTE(Github!L$759, ";", ", ")</f>
        <v>Array, Hash Table, String, Trie, String Matching, </v>
      </c>
      <c r="I1732" s="17" t="str">
        <f>Github!E$759</f>
        <v>Medium</v>
      </c>
      <c r="J1732" s="17" t="str">
        <f>IF(TRIM(Github!D$759)="TRUE","FALSE","TRUE")</f>
        <v>FALSE</v>
      </c>
      <c r="K1732" s="17" t="b">
        <f>Github!M$759</f>
        <v>0</v>
      </c>
      <c r="L1732" s="17" t="b">
        <f>Github!N$759</f>
        <v>0</v>
      </c>
      <c r="M1732" s="17" t="str">
        <f>ROUND(Github!O$759, 2)&amp;"%"</f>
        <v>50%</v>
      </c>
      <c r="N1732" s="17">
        <f>Github!P$759</f>
        <v>16210</v>
      </c>
      <c r="O1732" s="17">
        <f>Github!Q$759</f>
        <v>32418</v>
      </c>
    </row>
    <row r="1733" ht="18.0" customHeight="1">
      <c r="A1733" s="17">
        <f>Github!J$1281</f>
        <v>1280</v>
      </c>
      <c r="B1733" s="27" t="str">
        <f>HYPERLINK(CONCAT("http://leetcode.com/problems/",Github!C$1281), Github!B$1281)</f>
        <v>Students and Examinations</v>
      </c>
      <c r="C1733" s="17">
        <f>Github!F$1281</f>
        <v>231</v>
      </c>
      <c r="D1733" s="17">
        <f>Github!G$1281</f>
        <v>31</v>
      </c>
      <c r="E1733" s="17">
        <f>Github!F$1281+Github!G$1281</f>
        <v>262</v>
      </c>
      <c r="F1733" s="18">
        <f t="shared" si="1"/>
        <v>7.45</v>
      </c>
      <c r="G1733" s="17" t="str">
        <f>Github!H$1281</f>
        <v>Database</v>
      </c>
      <c r="H1733" s="19" t="str">
        <f>SUBSTITUTE(Github!L$1281, ";", ", ")</f>
        <v>Database, </v>
      </c>
      <c r="I1733" s="17" t="str">
        <f>Github!E$1281</f>
        <v>Easy</v>
      </c>
      <c r="J1733" s="17" t="str">
        <f>IF(TRIM(Github!D$1281)="TRUE","FALSE","TRUE")</f>
        <v>FALSE</v>
      </c>
      <c r="K1733" s="17" t="b">
        <f>Github!M$1281</f>
        <v>0</v>
      </c>
      <c r="L1733" s="17" t="b">
        <f>Github!N$1281</f>
        <v>0</v>
      </c>
      <c r="M1733" s="17" t="str">
        <f>ROUND(Github!O$1281, 2)&amp;"%"</f>
        <v>74.54%</v>
      </c>
      <c r="N1733" s="17">
        <f>Github!P$1281</f>
        <v>22363</v>
      </c>
      <c r="O1733" s="17">
        <f>Github!Q$1281</f>
        <v>30002</v>
      </c>
    </row>
    <row r="1734" ht="18.0" customHeight="1">
      <c r="A1734" s="17">
        <f>Github!J$2180</f>
        <v>2179</v>
      </c>
      <c r="B1734" s="27" t="str">
        <f>HYPERLINK(CONCAT("http://leetcode.com/problems/",Github!C$2180), Github!B$2180)</f>
        <v>Count Good Triplets in an Array</v>
      </c>
      <c r="C1734" s="17">
        <f>Github!F$2180</f>
        <v>232</v>
      </c>
      <c r="D1734" s="17">
        <f>Github!G$2180</f>
        <v>10</v>
      </c>
      <c r="E1734" s="17">
        <f>Github!F$2180+Github!G$2180</f>
        <v>242</v>
      </c>
      <c r="F1734" s="18">
        <f t="shared" si="1"/>
        <v>23.2</v>
      </c>
      <c r="G1734" s="17" t="str">
        <f>Github!H$2180</f>
        <v>Algorithms</v>
      </c>
      <c r="H1734" s="19" t="str">
        <f>SUBSTITUTE(Github!L$2180, ";", ", ")</f>
        <v>Array, Binary Search, Divide and Conquer, Binary Indexed Tree, Segment Tree, Merge Sort, Ordered Set, </v>
      </c>
      <c r="I1734" s="17" t="str">
        <f>Github!E$2180</f>
        <v>Hard</v>
      </c>
      <c r="J1734" s="17" t="str">
        <f>IF(TRIM(Github!D$2180)="TRUE","FALSE","TRUE")</f>
        <v>TRUE</v>
      </c>
      <c r="K1734" s="17" t="b">
        <f>Github!M$2180</f>
        <v>0</v>
      </c>
      <c r="L1734" s="17" t="b">
        <f>Github!N$2180</f>
        <v>0</v>
      </c>
      <c r="M1734" s="17" t="str">
        <f>ROUND(Github!O$2180, 2)&amp;"%"</f>
        <v>33.34%</v>
      </c>
      <c r="N1734" s="17">
        <f>Github!P$2180</f>
        <v>3094</v>
      </c>
      <c r="O1734" s="17">
        <f>Github!Q$2180</f>
        <v>9279</v>
      </c>
    </row>
    <row r="1735" ht="18.0" customHeight="1">
      <c r="A1735" s="17">
        <f>Github!J$1155</f>
        <v>1154</v>
      </c>
      <c r="B1735" s="27" t="str">
        <f>HYPERLINK(CONCAT("http://leetcode.com/problems/",Github!C$1155), Github!B$1155)</f>
        <v>Day of the Year</v>
      </c>
      <c r="C1735" s="17">
        <f>Github!F$1155</f>
        <v>232</v>
      </c>
      <c r="D1735" s="17">
        <f>Github!G$1155</f>
        <v>298</v>
      </c>
      <c r="E1735" s="17">
        <f>Github!F$1155+Github!G$1155</f>
        <v>530</v>
      </c>
      <c r="F1735" s="18">
        <f t="shared" si="1"/>
        <v>0.78</v>
      </c>
      <c r="G1735" s="17" t="str">
        <f>Github!H$1155</f>
        <v>Algorithms</v>
      </c>
      <c r="H1735" s="19" t="str">
        <f>SUBSTITUTE(Github!L$1155, ";", ", ")</f>
        <v>Math, String, </v>
      </c>
      <c r="I1735" s="17" t="str">
        <f>Github!E$1155</f>
        <v>Easy</v>
      </c>
      <c r="J1735" s="17" t="str">
        <f>IF(TRIM(Github!D$1155)="TRUE","FALSE","TRUE")</f>
        <v>TRUE</v>
      </c>
      <c r="K1735" s="17" t="b">
        <f>Github!M$1155</f>
        <v>0</v>
      </c>
      <c r="L1735" s="17" t="b">
        <f>Github!N$1155</f>
        <v>0</v>
      </c>
      <c r="M1735" s="17" t="str">
        <f>ROUND(Github!O$1155, 2)&amp;"%"</f>
        <v>51%</v>
      </c>
      <c r="N1735" s="17">
        <f>Github!P$1155</f>
        <v>31647</v>
      </c>
      <c r="O1735" s="17">
        <f>Github!Q$1155</f>
        <v>62053</v>
      </c>
    </row>
    <row r="1736" ht="18.0" customHeight="1">
      <c r="A1736" s="17">
        <f>Github!J$1239</f>
        <v>1238</v>
      </c>
      <c r="B1736" s="27" t="str">
        <f>HYPERLINK(CONCAT("http://leetcode.com/problems/",Github!C$1239), Github!B$1239)</f>
        <v>Circular Permutation in Binary Representation</v>
      </c>
      <c r="C1736" s="17">
        <f>Github!F$1239</f>
        <v>230</v>
      </c>
      <c r="D1736" s="17">
        <f>Github!G$1239</f>
        <v>152</v>
      </c>
      <c r="E1736" s="17">
        <f>Github!F$1239+Github!G$1239</f>
        <v>382</v>
      </c>
      <c r="F1736" s="18">
        <f t="shared" si="1"/>
        <v>1.51</v>
      </c>
      <c r="G1736" s="17" t="str">
        <f>Github!H$1239</f>
        <v>Algorithms</v>
      </c>
      <c r="H1736" s="19" t="str">
        <f>SUBSTITUTE(Github!L$1239, ";", ", ")</f>
        <v>Math, Backtracking, Bit Manipulation, </v>
      </c>
      <c r="I1736" s="17" t="str">
        <f>Github!E$1239</f>
        <v>Medium</v>
      </c>
      <c r="J1736" s="17" t="str">
        <f>IF(TRIM(Github!D$1239)="TRUE","FALSE","TRUE")</f>
        <v>TRUE</v>
      </c>
      <c r="K1736" s="17" t="b">
        <f>Github!M$1239</f>
        <v>0</v>
      </c>
      <c r="L1736" s="17" t="b">
        <f>Github!N$1239</f>
        <v>0</v>
      </c>
      <c r="M1736" s="17" t="str">
        <f>ROUND(Github!O$1239, 2)&amp;"%"</f>
        <v>67.77%</v>
      </c>
      <c r="N1736" s="17">
        <f>Github!P$1239</f>
        <v>11778</v>
      </c>
      <c r="O1736" s="17">
        <f>Github!Q$1239</f>
        <v>17380</v>
      </c>
    </row>
    <row r="1737" ht="18.0" customHeight="1">
      <c r="A1737" s="17">
        <f>Github!J$1640</f>
        <v>1639</v>
      </c>
      <c r="B1737" s="27" t="str">
        <f>HYPERLINK(CONCAT("http://leetcode.com/problems/",Github!C$1640), Github!B$1640)</f>
        <v>Number of Ways to Form a Target String Given a Dictionary</v>
      </c>
      <c r="C1737" s="17">
        <f>Github!F$1640</f>
        <v>230</v>
      </c>
      <c r="D1737" s="17">
        <f>Github!G$1640</f>
        <v>12</v>
      </c>
      <c r="E1737" s="17">
        <f>Github!F$1640+Github!G$1640</f>
        <v>242</v>
      </c>
      <c r="F1737" s="18">
        <f t="shared" si="1"/>
        <v>19.17</v>
      </c>
      <c r="G1737" s="17" t="str">
        <f>Github!H$1640</f>
        <v>Algorithms</v>
      </c>
      <c r="H1737" s="19" t="str">
        <f>SUBSTITUTE(Github!L$1640, ";", ", ")</f>
        <v>Array, String, Dynamic Programming, </v>
      </c>
      <c r="I1737" s="17" t="str">
        <f>Github!E$1640</f>
        <v>Hard</v>
      </c>
      <c r="J1737" s="17" t="str">
        <f>IF(TRIM(Github!D$1640)="TRUE","FALSE","TRUE")</f>
        <v>TRUE</v>
      </c>
      <c r="K1737" s="17" t="b">
        <f>Github!M$1640</f>
        <v>0</v>
      </c>
      <c r="L1737" s="17" t="b">
        <f>Github!N$1640</f>
        <v>0</v>
      </c>
      <c r="M1737" s="17" t="str">
        <f>ROUND(Github!O$1640, 2)&amp;"%"</f>
        <v>42.29%</v>
      </c>
      <c r="N1737" s="17">
        <f>Github!P$1640</f>
        <v>6179</v>
      </c>
      <c r="O1737" s="17">
        <f>Github!Q$1640</f>
        <v>14611</v>
      </c>
    </row>
    <row r="1738" ht="18.0" customHeight="1">
      <c r="A1738" s="17">
        <f>Github!J$1165</f>
        <v>1164</v>
      </c>
      <c r="B1738" s="27" t="str">
        <f>HYPERLINK(CONCAT("http://leetcode.com/problems/",Github!C$1165), Github!B$1165)</f>
        <v>Product Price at a Given Date</v>
      </c>
      <c r="C1738" s="17">
        <f>Github!F$1165</f>
        <v>229</v>
      </c>
      <c r="D1738" s="17">
        <f>Github!G$1165</f>
        <v>65</v>
      </c>
      <c r="E1738" s="17">
        <f>Github!F$1165+Github!G$1165</f>
        <v>294</v>
      </c>
      <c r="F1738" s="18">
        <f t="shared" si="1"/>
        <v>3.52</v>
      </c>
      <c r="G1738" s="17" t="str">
        <f>Github!H$1165</f>
        <v>Database</v>
      </c>
      <c r="H1738" s="19" t="str">
        <f>SUBSTITUTE(Github!L$1165, ";", ", ")</f>
        <v>Database, </v>
      </c>
      <c r="I1738" s="17" t="str">
        <f>Github!E$1165</f>
        <v>Medium</v>
      </c>
      <c r="J1738" s="17" t="str">
        <f>IF(TRIM(Github!D$1165)="TRUE","FALSE","TRUE")</f>
        <v>FALSE</v>
      </c>
      <c r="K1738" s="17" t="b">
        <f>Github!M$1165</f>
        <v>0</v>
      </c>
      <c r="L1738" s="17" t="b">
        <f>Github!N$1165</f>
        <v>0</v>
      </c>
      <c r="M1738" s="17" t="str">
        <f>ROUND(Github!O$1165, 2)&amp;"%"</f>
        <v>68.32%</v>
      </c>
      <c r="N1738" s="17">
        <f>Github!P$1165</f>
        <v>27997</v>
      </c>
      <c r="O1738" s="17">
        <f>Github!Q$1165</f>
        <v>40982</v>
      </c>
    </row>
    <row r="1739" ht="18.0" customHeight="1">
      <c r="A1739" s="17">
        <f>Github!J$1738</f>
        <v>1737</v>
      </c>
      <c r="B1739" s="27" t="str">
        <f>HYPERLINK(CONCAT("http://leetcode.com/problems/",Github!C$1738), Github!B$1738)</f>
        <v>Change Minimum Characters to Satisfy One of Three Conditions</v>
      </c>
      <c r="C1739" s="17">
        <f>Github!F$1738</f>
        <v>229</v>
      </c>
      <c r="D1739" s="17">
        <f>Github!G$1738</f>
        <v>247</v>
      </c>
      <c r="E1739" s="17">
        <f>Github!F$1738+Github!G$1738</f>
        <v>476</v>
      </c>
      <c r="F1739" s="18">
        <f t="shared" si="1"/>
        <v>0.93</v>
      </c>
      <c r="G1739" s="17" t="str">
        <f>Github!H$1738</f>
        <v>Algorithms</v>
      </c>
      <c r="H1739" s="19" t="str">
        <f>SUBSTITUTE(Github!L$1738, ";", ", ")</f>
        <v>Hash Table, String, Counting, Prefix Sum, </v>
      </c>
      <c r="I1739" s="17" t="str">
        <f>Github!E$1738</f>
        <v>Medium</v>
      </c>
      <c r="J1739" s="17" t="str">
        <f>IF(TRIM(Github!D$1738)="TRUE","FALSE","TRUE")</f>
        <v>TRUE</v>
      </c>
      <c r="K1739" s="17" t="b">
        <f>Github!M$1738</f>
        <v>0</v>
      </c>
      <c r="L1739" s="17" t="b">
        <f>Github!N$1738</f>
        <v>0</v>
      </c>
      <c r="M1739" s="17" t="str">
        <f>ROUND(Github!O$1738, 2)&amp;"%"</f>
        <v>33.62%</v>
      </c>
      <c r="N1739" s="17">
        <f>Github!P$1738</f>
        <v>8846</v>
      </c>
      <c r="O1739" s="17">
        <f>Github!Q$1738</f>
        <v>26311</v>
      </c>
    </row>
    <row r="1740" ht="18.0" customHeight="1">
      <c r="A1740" s="17">
        <f>Github!J$2098</f>
        <v>2097</v>
      </c>
      <c r="B1740" s="27" t="str">
        <f>HYPERLINK(CONCAT("http://leetcode.com/problems/",Github!C$2098), Github!B$2098)</f>
        <v>Valid Arrangement of Pairs</v>
      </c>
      <c r="C1740" s="17">
        <f>Github!F$2098</f>
        <v>229</v>
      </c>
      <c r="D1740" s="17">
        <f>Github!G$2098</f>
        <v>10</v>
      </c>
      <c r="E1740" s="17">
        <f>Github!F$2098+Github!G$2098</f>
        <v>239</v>
      </c>
      <c r="F1740" s="18">
        <f t="shared" si="1"/>
        <v>22.9</v>
      </c>
      <c r="G1740" s="17" t="str">
        <f>Github!H$2098</f>
        <v>Algorithms</v>
      </c>
      <c r="H1740" s="19" t="str">
        <f>SUBSTITUTE(Github!L$2098, ";", ", ")</f>
        <v>Depth-First Search, Graph, Eulerian Circuit, </v>
      </c>
      <c r="I1740" s="17" t="str">
        <f>Github!E$2098</f>
        <v>Hard</v>
      </c>
      <c r="J1740" s="17" t="str">
        <f>IF(TRIM(Github!D$2098)="TRUE","FALSE","TRUE")</f>
        <v>TRUE</v>
      </c>
      <c r="K1740" s="17" t="b">
        <f>Github!M$2098</f>
        <v>0</v>
      </c>
      <c r="L1740" s="17" t="b">
        <f>Github!N$2098</f>
        <v>0</v>
      </c>
      <c r="M1740" s="17" t="str">
        <f>ROUND(Github!O$2098, 2)&amp;"%"</f>
        <v>39.97%</v>
      </c>
      <c r="N1740" s="17">
        <f>Github!P$2098</f>
        <v>4200</v>
      </c>
      <c r="O1740" s="17">
        <f>Github!Q$2098</f>
        <v>10507</v>
      </c>
    </row>
    <row r="1741" ht="18.0" customHeight="1">
      <c r="A1741" s="17">
        <f>Github!J$598</f>
        <v>597</v>
      </c>
      <c r="B1741" s="27" t="str">
        <f>HYPERLINK(CONCAT("http://leetcode.com/problems/",Github!C$598), Github!B$598)</f>
        <v>Friend Requests I: Overall Acceptance Rate</v>
      </c>
      <c r="C1741" s="17">
        <f>Github!F$598</f>
        <v>228</v>
      </c>
      <c r="D1741" s="17">
        <f>Github!G$598</f>
        <v>563</v>
      </c>
      <c r="E1741" s="17">
        <f>Github!F$598+Github!G$598</f>
        <v>791</v>
      </c>
      <c r="F1741" s="18">
        <f t="shared" si="1"/>
        <v>0.4</v>
      </c>
      <c r="G1741" s="17" t="str">
        <f>Github!H$598</f>
        <v>Database</v>
      </c>
      <c r="H1741" s="19" t="str">
        <f>SUBSTITUTE(Github!L$598, ";", ", ")</f>
        <v>Database, </v>
      </c>
      <c r="I1741" s="17" t="str">
        <f>Github!E$598</f>
        <v>Easy</v>
      </c>
      <c r="J1741" s="17" t="str">
        <f>IF(TRIM(Github!D$598)="TRUE","FALSE","TRUE")</f>
        <v>FALSE</v>
      </c>
      <c r="K1741" s="17" t="b">
        <f>Github!M$598</f>
        <v>1</v>
      </c>
      <c r="L1741" s="17" t="b">
        <f>Github!N$598</f>
        <v>0</v>
      </c>
      <c r="M1741" s="17" t="str">
        <f>ROUND(Github!O$598, 2)&amp;"%"</f>
        <v>42.61%</v>
      </c>
      <c r="N1741" s="17">
        <f>Github!P$598</f>
        <v>55221</v>
      </c>
      <c r="O1741" s="17">
        <f>Github!Q$598</f>
        <v>129593</v>
      </c>
    </row>
    <row r="1742" ht="18.0" customHeight="1">
      <c r="A1742" s="17">
        <f>Github!J$2066</f>
        <v>2065</v>
      </c>
      <c r="B1742" s="27" t="str">
        <f>HYPERLINK(CONCAT("http://leetcode.com/problems/",Github!C$2066), Github!B$2066)</f>
        <v>Maximum Path Quality of a Graph</v>
      </c>
      <c r="C1742" s="17">
        <f>Github!F$2066</f>
        <v>228</v>
      </c>
      <c r="D1742" s="17">
        <f>Github!G$2066</f>
        <v>23</v>
      </c>
      <c r="E1742" s="17">
        <f>Github!F$2066+Github!G$2066</f>
        <v>251</v>
      </c>
      <c r="F1742" s="18">
        <f t="shared" si="1"/>
        <v>9.91</v>
      </c>
      <c r="G1742" s="17" t="str">
        <f>Github!H$2066</f>
        <v>Algorithms</v>
      </c>
      <c r="H1742" s="19" t="str">
        <f>SUBSTITUTE(Github!L$2066, ";", ", ")</f>
        <v>Array, Backtracking, Graph, </v>
      </c>
      <c r="I1742" s="17" t="str">
        <f>Github!E$2066</f>
        <v>Hard</v>
      </c>
      <c r="J1742" s="17" t="str">
        <f>IF(TRIM(Github!D$2066)="TRUE","FALSE","TRUE")</f>
        <v>TRUE</v>
      </c>
      <c r="K1742" s="17" t="b">
        <f>Github!M$2066</f>
        <v>0</v>
      </c>
      <c r="L1742" s="17" t="b">
        <f>Github!N$2066</f>
        <v>0</v>
      </c>
      <c r="M1742" s="17" t="str">
        <f>ROUND(Github!O$2066, 2)&amp;"%"</f>
        <v>57.72%</v>
      </c>
      <c r="N1742" s="17">
        <f>Github!P$2066</f>
        <v>7260</v>
      </c>
      <c r="O1742" s="17">
        <f>Github!Q$2066</f>
        <v>12578</v>
      </c>
    </row>
    <row r="1743" ht="18.0" customHeight="1">
      <c r="A1743" s="17">
        <f>Github!J$983</f>
        <v>982</v>
      </c>
      <c r="B1743" s="27" t="str">
        <f>HYPERLINK(CONCAT("http://leetcode.com/problems/",Github!C$983), Github!B$983)</f>
        <v>Triples with Bitwise AND Equal To Zero</v>
      </c>
      <c r="C1743" s="17">
        <f>Github!F$983</f>
        <v>228</v>
      </c>
      <c r="D1743" s="17">
        <f>Github!G$983</f>
        <v>180</v>
      </c>
      <c r="E1743" s="17">
        <f>Github!F$983+Github!G$983</f>
        <v>408</v>
      </c>
      <c r="F1743" s="18">
        <f t="shared" si="1"/>
        <v>1.27</v>
      </c>
      <c r="G1743" s="17" t="str">
        <f>Github!H$983</f>
        <v>Algorithms</v>
      </c>
      <c r="H1743" s="19" t="str">
        <f>SUBSTITUTE(Github!L$983, ";", ", ")</f>
        <v>Array, Hash Table, Bit Manipulation, </v>
      </c>
      <c r="I1743" s="17" t="str">
        <f>Github!E$983</f>
        <v>Hard</v>
      </c>
      <c r="J1743" s="17" t="str">
        <f>IF(TRIM(Github!D$983)="TRUE","FALSE","TRUE")</f>
        <v>TRUE</v>
      </c>
      <c r="K1743" s="17" t="b">
        <f>Github!M$983</f>
        <v>0</v>
      </c>
      <c r="L1743" s="17" t="b">
        <f>Github!N$983</f>
        <v>0</v>
      </c>
      <c r="M1743" s="17" t="str">
        <f>ROUND(Github!O$983, 2)&amp;"%"</f>
        <v>57.42%</v>
      </c>
      <c r="N1743" s="17">
        <f>Github!P$983</f>
        <v>11904</v>
      </c>
      <c r="O1743" s="17">
        <f>Github!Q$983</f>
        <v>20731</v>
      </c>
    </row>
    <row r="1744" ht="18.0" customHeight="1">
      <c r="A1744" s="17">
        <f>Github!J$1688</f>
        <v>1687</v>
      </c>
      <c r="B1744" s="27" t="str">
        <f>HYPERLINK(CONCAT("http://leetcode.com/problems/",Github!C$1688), Github!B$1688)</f>
        <v>Delivering Boxes from Storage to Ports</v>
      </c>
      <c r="C1744" s="17">
        <f>Github!F$1688</f>
        <v>227</v>
      </c>
      <c r="D1744" s="17">
        <f>Github!G$1688</f>
        <v>14</v>
      </c>
      <c r="E1744" s="17">
        <f>Github!F$1688+Github!G$1688</f>
        <v>241</v>
      </c>
      <c r="F1744" s="18">
        <f t="shared" si="1"/>
        <v>16.21</v>
      </c>
      <c r="G1744" s="17" t="str">
        <f>Github!H$1688</f>
        <v>Algorithms</v>
      </c>
      <c r="H1744" s="19" t="str">
        <f>SUBSTITUTE(Github!L$1688, ";", ", ")</f>
        <v>Array, Dynamic Programming, Segment Tree, Queue, Heap (Priority Queue), Monotonic Queue, </v>
      </c>
      <c r="I1744" s="17" t="str">
        <f>Github!E$1688</f>
        <v>Hard</v>
      </c>
      <c r="J1744" s="17" t="str">
        <f>IF(TRIM(Github!D$1688)="TRUE","FALSE","TRUE")</f>
        <v>TRUE</v>
      </c>
      <c r="K1744" s="17" t="b">
        <f>Github!M$1688</f>
        <v>0</v>
      </c>
      <c r="L1744" s="17" t="b">
        <f>Github!N$1688</f>
        <v>0</v>
      </c>
      <c r="M1744" s="17" t="str">
        <f>ROUND(Github!O$1688, 2)&amp;"%"</f>
        <v>36.87%</v>
      </c>
      <c r="N1744" s="17">
        <f>Github!P$1688</f>
        <v>3433</v>
      </c>
      <c r="O1744" s="17">
        <f>Github!Q$1688</f>
        <v>9311</v>
      </c>
    </row>
    <row r="1745" ht="18.0" customHeight="1">
      <c r="A1745" s="17">
        <f>Github!J$2147</f>
        <v>2146</v>
      </c>
      <c r="B1745" s="27" t="str">
        <f>HYPERLINK(CONCAT("http://leetcode.com/problems/",Github!C$2147), Github!B$2147)</f>
        <v>K Highest Ranked Items Within a Price Range</v>
      </c>
      <c r="C1745" s="17">
        <f>Github!F$2147</f>
        <v>228</v>
      </c>
      <c r="D1745" s="17">
        <f>Github!G$2147</f>
        <v>101</v>
      </c>
      <c r="E1745" s="17">
        <f>Github!F$2147+Github!G$2147</f>
        <v>329</v>
      </c>
      <c r="F1745" s="18">
        <f t="shared" si="1"/>
        <v>2.26</v>
      </c>
      <c r="G1745" s="17" t="str">
        <f>Github!H$2147</f>
        <v>Algorithms</v>
      </c>
      <c r="H1745" s="19" t="str">
        <f>SUBSTITUTE(Github!L$2147, ";", ", ")</f>
        <v>Array, Breadth-First Search, Sorting, Heap (Priority Queue), Matrix, </v>
      </c>
      <c r="I1745" s="17" t="str">
        <f>Github!E$2147</f>
        <v>Medium</v>
      </c>
      <c r="J1745" s="17" t="str">
        <f>IF(TRIM(Github!D$2147)="TRUE","FALSE","TRUE")</f>
        <v>TRUE</v>
      </c>
      <c r="K1745" s="17" t="b">
        <f>Github!M$2147</f>
        <v>0</v>
      </c>
      <c r="L1745" s="17" t="b">
        <f>Github!N$2147</f>
        <v>0</v>
      </c>
      <c r="M1745" s="17" t="str">
        <f>ROUND(Github!O$2147, 2)&amp;"%"</f>
        <v>40.01%</v>
      </c>
      <c r="N1745" s="17">
        <f>Github!P$2147</f>
        <v>7661</v>
      </c>
      <c r="O1745" s="17">
        <f>Github!Q$2147</f>
        <v>19158</v>
      </c>
    </row>
    <row r="1746" ht="18.0" customHeight="1">
      <c r="A1746" s="17">
        <f>Github!J$1448</f>
        <v>1447</v>
      </c>
      <c r="B1746" s="27" t="str">
        <f>HYPERLINK(CONCAT("http://leetcode.com/problems/",Github!C$1448), Github!B$1448)</f>
        <v>Simplified Fractions</v>
      </c>
      <c r="C1746" s="17">
        <f>Github!F$1448</f>
        <v>226</v>
      </c>
      <c r="D1746" s="17">
        <f>Github!G$1448</f>
        <v>31</v>
      </c>
      <c r="E1746" s="17">
        <f>Github!F$1448+Github!G$1448</f>
        <v>257</v>
      </c>
      <c r="F1746" s="18">
        <f t="shared" si="1"/>
        <v>7.29</v>
      </c>
      <c r="G1746" s="17" t="str">
        <f>Github!H$1448</f>
        <v>Algorithms</v>
      </c>
      <c r="H1746" s="19" t="str">
        <f>SUBSTITUTE(Github!L$1448, ";", ", ")</f>
        <v>Math, String, Number Theory, </v>
      </c>
      <c r="I1746" s="17" t="str">
        <f>Github!E$1448</f>
        <v>Medium</v>
      </c>
      <c r="J1746" s="17" t="str">
        <f>IF(TRIM(Github!D$1448)="TRUE","FALSE","TRUE")</f>
        <v>TRUE</v>
      </c>
      <c r="K1746" s="17" t="b">
        <f>Github!M$1448</f>
        <v>0</v>
      </c>
      <c r="L1746" s="17" t="b">
        <f>Github!N$1448</f>
        <v>0</v>
      </c>
      <c r="M1746" s="17" t="str">
        <f>ROUND(Github!O$1448, 2)&amp;"%"</f>
        <v>63.78%</v>
      </c>
      <c r="N1746" s="17">
        <f>Github!P$1448</f>
        <v>19900</v>
      </c>
      <c r="O1746" s="17">
        <f>Github!Q$1448</f>
        <v>31200</v>
      </c>
    </row>
    <row r="1747" ht="18.0" customHeight="1">
      <c r="A1747" s="17">
        <f>Github!J$2110</f>
        <v>2109</v>
      </c>
      <c r="B1747" s="27" t="str">
        <f>HYPERLINK(CONCAT("http://leetcode.com/problems/",Github!C$2110), Github!B$2110)</f>
        <v>Adding Spaces to a String</v>
      </c>
      <c r="C1747" s="17">
        <f>Github!F$2110</f>
        <v>226</v>
      </c>
      <c r="D1747" s="17">
        <f>Github!G$2110</f>
        <v>22</v>
      </c>
      <c r="E1747" s="17">
        <f>Github!F$2110+Github!G$2110</f>
        <v>248</v>
      </c>
      <c r="F1747" s="18">
        <f t="shared" si="1"/>
        <v>10.27</v>
      </c>
      <c r="G1747" s="17" t="str">
        <f>Github!H$2110</f>
        <v>Algorithms</v>
      </c>
      <c r="H1747" s="19" t="str">
        <f>SUBSTITUTE(Github!L$2110, ";", ", ")</f>
        <v>Array, String, Simulation, </v>
      </c>
      <c r="I1747" s="17" t="str">
        <f>Github!E$2110</f>
        <v>Medium</v>
      </c>
      <c r="J1747" s="17" t="str">
        <f>IF(TRIM(Github!D$2110)="TRUE","FALSE","TRUE")</f>
        <v>TRUE</v>
      </c>
      <c r="K1747" s="17" t="b">
        <f>Github!M$2110</f>
        <v>0</v>
      </c>
      <c r="L1747" s="17" t="b">
        <f>Github!N$2110</f>
        <v>0</v>
      </c>
      <c r="M1747" s="17" t="str">
        <f>ROUND(Github!O$2110, 2)&amp;"%"</f>
        <v>55.85%</v>
      </c>
      <c r="N1747" s="17">
        <f>Github!P$2110</f>
        <v>19672</v>
      </c>
      <c r="O1747" s="17">
        <f>Github!Q$2110</f>
        <v>35221</v>
      </c>
    </row>
    <row r="1748" ht="18.0" customHeight="1">
      <c r="A1748" s="17">
        <f>Github!J$2130</f>
        <v>2129</v>
      </c>
      <c r="B1748" s="27" t="str">
        <f>HYPERLINK(CONCAT("http://leetcode.com/problems/",Github!C$2130), Github!B$2130)</f>
        <v>Capitalize the Title</v>
      </c>
      <c r="C1748" s="17">
        <f>Github!F$2130</f>
        <v>227</v>
      </c>
      <c r="D1748" s="17">
        <f>Github!G$2130</f>
        <v>24</v>
      </c>
      <c r="E1748" s="17">
        <f>Github!F$2130+Github!G$2130</f>
        <v>251</v>
      </c>
      <c r="F1748" s="18">
        <f t="shared" si="1"/>
        <v>9.46</v>
      </c>
      <c r="G1748" s="17" t="str">
        <f>Github!H$2130</f>
        <v>Algorithms</v>
      </c>
      <c r="H1748" s="19" t="str">
        <f>SUBSTITUTE(Github!L$2130, ";", ", ")</f>
        <v>String, </v>
      </c>
      <c r="I1748" s="17" t="str">
        <f>Github!E$2130</f>
        <v>Easy</v>
      </c>
      <c r="J1748" s="17" t="str">
        <f>IF(TRIM(Github!D$2130)="TRUE","FALSE","TRUE")</f>
        <v>TRUE</v>
      </c>
      <c r="K1748" s="17" t="b">
        <f>Github!M$2130</f>
        <v>0</v>
      </c>
      <c r="L1748" s="17" t="b">
        <f>Github!N$2130</f>
        <v>0</v>
      </c>
      <c r="M1748" s="17" t="str">
        <f>ROUND(Github!O$2130, 2)&amp;"%"</f>
        <v>59.45%</v>
      </c>
      <c r="N1748" s="17">
        <f>Github!P$2130</f>
        <v>19858</v>
      </c>
      <c r="O1748" s="17">
        <f>Github!Q$2130</f>
        <v>33405</v>
      </c>
    </row>
    <row r="1749" ht="18.0" customHeight="1">
      <c r="A1749" s="17">
        <f>Github!J$971</f>
        <v>970</v>
      </c>
      <c r="B1749" s="27" t="str">
        <f>HYPERLINK(CONCAT("http://leetcode.com/problems/",Github!C$971), Github!B$971)</f>
        <v>Powerful Integers</v>
      </c>
      <c r="C1749" s="17">
        <f>Github!F$971</f>
        <v>225</v>
      </c>
      <c r="D1749" s="17">
        <f>Github!G$971</f>
        <v>60</v>
      </c>
      <c r="E1749" s="17">
        <f>Github!F$971+Github!G$971</f>
        <v>285</v>
      </c>
      <c r="F1749" s="18">
        <f t="shared" si="1"/>
        <v>3.75</v>
      </c>
      <c r="G1749" s="17" t="str">
        <f>Github!H$971</f>
        <v>Algorithms</v>
      </c>
      <c r="H1749" s="19" t="str">
        <f>SUBSTITUTE(Github!L$971, ";", ", ")</f>
        <v>Hash Table, Math, </v>
      </c>
      <c r="I1749" s="17" t="str">
        <f>Github!E$971</f>
        <v>Medium</v>
      </c>
      <c r="J1749" s="17" t="str">
        <f>IF(TRIM(Github!D$971)="TRUE","FALSE","TRUE")</f>
        <v>TRUE</v>
      </c>
      <c r="K1749" s="17" t="b">
        <f>Github!M$971</f>
        <v>1</v>
      </c>
      <c r="L1749" s="17" t="b">
        <f>Github!N$971</f>
        <v>0</v>
      </c>
      <c r="M1749" s="17" t="str">
        <f>ROUND(Github!O$971, 2)&amp;"%"</f>
        <v>43.49%</v>
      </c>
      <c r="N1749" s="17">
        <f>Github!P$971</f>
        <v>45622</v>
      </c>
      <c r="O1749" s="17">
        <f>Github!Q$971</f>
        <v>104913</v>
      </c>
    </row>
    <row r="1750" ht="18.0" customHeight="1">
      <c r="A1750" s="17">
        <f>Github!J$357</f>
        <v>356</v>
      </c>
      <c r="B1750" s="27" t="str">
        <f>HYPERLINK(CONCAT("http://leetcode.com/problems/",Github!C$357), Github!B$357)</f>
        <v>Line Reflection</v>
      </c>
      <c r="C1750" s="17">
        <f>Github!F$357</f>
        <v>224</v>
      </c>
      <c r="D1750" s="17">
        <f>Github!G$357</f>
        <v>475</v>
      </c>
      <c r="E1750" s="17">
        <f>Github!F$357+Github!G$357</f>
        <v>699</v>
      </c>
      <c r="F1750" s="18">
        <f t="shared" si="1"/>
        <v>0.47</v>
      </c>
      <c r="G1750" s="17" t="str">
        <f>Github!H$357</f>
        <v>Algorithms</v>
      </c>
      <c r="H1750" s="19" t="str">
        <f>SUBSTITUTE(Github!L$357, ";", ", ")</f>
        <v>Array, Hash Table, Math, </v>
      </c>
      <c r="I1750" s="17" t="str">
        <f>Github!E$357</f>
        <v>Medium</v>
      </c>
      <c r="J1750" s="17" t="str">
        <f>IF(TRIM(Github!D$357)="TRUE","FALSE","TRUE")</f>
        <v>FALSE</v>
      </c>
      <c r="K1750" s="17" t="b">
        <f>Github!M$357</f>
        <v>0</v>
      </c>
      <c r="L1750" s="17" t="b">
        <f>Github!N$357</f>
        <v>0</v>
      </c>
      <c r="M1750" s="17" t="str">
        <f>ROUND(Github!O$357, 2)&amp;"%"</f>
        <v>34.27%</v>
      </c>
      <c r="N1750" s="17">
        <f>Github!P$357</f>
        <v>31448</v>
      </c>
      <c r="O1750" s="17">
        <f>Github!Q$357</f>
        <v>91769</v>
      </c>
    </row>
    <row r="1751" ht="18.0" customHeight="1">
      <c r="A1751" s="17">
        <f>Github!J$1134</f>
        <v>1133</v>
      </c>
      <c r="B1751" s="27" t="str">
        <f>HYPERLINK(CONCAT("http://leetcode.com/problems/",Github!C$1134), Github!B$1134)</f>
        <v>Largest Unique Number</v>
      </c>
      <c r="C1751" s="17">
        <f>Github!F$1134</f>
        <v>224</v>
      </c>
      <c r="D1751" s="17">
        <f>Github!G$1134</f>
        <v>16</v>
      </c>
      <c r="E1751" s="17">
        <f>Github!F$1134+Github!G$1134</f>
        <v>240</v>
      </c>
      <c r="F1751" s="18">
        <f t="shared" si="1"/>
        <v>14</v>
      </c>
      <c r="G1751" s="17" t="str">
        <f>Github!H$1134</f>
        <v>Algorithms</v>
      </c>
      <c r="H1751" s="19" t="str">
        <f>SUBSTITUTE(Github!L$1134, ";", ", ")</f>
        <v>Array, Hash Table, Sorting, </v>
      </c>
      <c r="I1751" s="17" t="str">
        <f>Github!E$1134</f>
        <v>Easy</v>
      </c>
      <c r="J1751" s="17" t="str">
        <f>IF(TRIM(Github!D$1134)="TRUE","FALSE","TRUE")</f>
        <v>FALSE</v>
      </c>
      <c r="K1751" s="17" t="b">
        <f>Github!M$1134</f>
        <v>1</v>
      </c>
      <c r="L1751" s="17" t="b">
        <f>Github!N$1134</f>
        <v>0</v>
      </c>
      <c r="M1751" s="17" t="str">
        <f>ROUND(Github!O$1134, 2)&amp;"%"</f>
        <v>67.38%</v>
      </c>
      <c r="N1751" s="17">
        <f>Github!P$1134</f>
        <v>28710</v>
      </c>
      <c r="O1751" s="17">
        <f>Github!Q$1134</f>
        <v>42612</v>
      </c>
    </row>
    <row r="1752" ht="18.0" customHeight="1">
      <c r="A1752" s="17">
        <f>Github!J$1578</f>
        <v>1577</v>
      </c>
      <c r="B1752" s="27" t="str">
        <f>HYPERLINK(CONCAT("http://leetcode.com/problems/",Github!C$1578), Github!B$1578)</f>
        <v>Number of Ways Where Square of Number Is Equal to Product of Two Numbers</v>
      </c>
      <c r="C1752" s="17">
        <f>Github!F$1578</f>
        <v>224</v>
      </c>
      <c r="D1752" s="17">
        <f>Github!G$1578</f>
        <v>44</v>
      </c>
      <c r="E1752" s="17">
        <f>Github!F$1578+Github!G$1578</f>
        <v>268</v>
      </c>
      <c r="F1752" s="18">
        <f t="shared" si="1"/>
        <v>5.09</v>
      </c>
      <c r="G1752" s="17" t="str">
        <f>Github!H$1578</f>
        <v>Algorithms</v>
      </c>
      <c r="H1752" s="19" t="str">
        <f>SUBSTITUTE(Github!L$1578, ";", ", ")</f>
        <v>Array, Hash Table, Math, Two Pointers, </v>
      </c>
      <c r="I1752" s="17" t="str">
        <f>Github!E$1578</f>
        <v>Medium</v>
      </c>
      <c r="J1752" s="17" t="str">
        <f>IF(TRIM(Github!D$1578)="TRUE","FALSE","TRUE")</f>
        <v>TRUE</v>
      </c>
      <c r="K1752" s="17" t="b">
        <f>Github!M$1578</f>
        <v>0</v>
      </c>
      <c r="L1752" s="17" t="b">
        <f>Github!N$1578</f>
        <v>0</v>
      </c>
      <c r="M1752" s="17" t="str">
        <f>ROUND(Github!O$1578, 2)&amp;"%"</f>
        <v>39.06%</v>
      </c>
      <c r="N1752" s="17">
        <f>Github!P$1578</f>
        <v>14896</v>
      </c>
      <c r="O1752" s="17">
        <f>Github!Q$1578</f>
        <v>38136</v>
      </c>
    </row>
    <row r="1753" ht="18.0" customHeight="1">
      <c r="A1753" s="17">
        <f>Github!J$1882</f>
        <v>1881</v>
      </c>
      <c r="B1753" s="27" t="str">
        <f>HYPERLINK(CONCAT("http://leetcode.com/problems/",Github!C$1882), Github!B$1882)</f>
        <v>Maximum Value after Insertion</v>
      </c>
      <c r="C1753" s="17">
        <f>Github!F$1882</f>
        <v>226</v>
      </c>
      <c r="D1753" s="17">
        <f>Github!G$1882</f>
        <v>40</v>
      </c>
      <c r="E1753" s="17">
        <f>Github!F$1882+Github!G$1882</f>
        <v>266</v>
      </c>
      <c r="F1753" s="18">
        <f t="shared" si="1"/>
        <v>5.65</v>
      </c>
      <c r="G1753" s="17" t="str">
        <f>Github!H$1882</f>
        <v>Algorithms</v>
      </c>
      <c r="H1753" s="19" t="str">
        <f>SUBSTITUTE(Github!L$1882, ";", ", ")</f>
        <v>String, Greedy, </v>
      </c>
      <c r="I1753" s="17" t="str">
        <f>Github!E$1882</f>
        <v>Medium</v>
      </c>
      <c r="J1753" s="17" t="str">
        <f>IF(TRIM(Github!D$1882)="TRUE","FALSE","TRUE")</f>
        <v>TRUE</v>
      </c>
      <c r="K1753" s="17" t="b">
        <f>Github!M$1882</f>
        <v>0</v>
      </c>
      <c r="L1753" s="17" t="b">
        <f>Github!N$1882</f>
        <v>0</v>
      </c>
      <c r="M1753" s="17" t="str">
        <f>ROUND(Github!O$1882, 2)&amp;"%"</f>
        <v>35.55%</v>
      </c>
      <c r="N1753" s="17">
        <f>Github!P$1882</f>
        <v>16921</v>
      </c>
      <c r="O1753" s="17">
        <f>Github!Q$1882</f>
        <v>47592</v>
      </c>
    </row>
    <row r="1754" ht="18.0" customHeight="1">
      <c r="A1754" s="17">
        <f>Github!J$1213</f>
        <v>1212</v>
      </c>
      <c r="B1754" s="27" t="str">
        <f>HYPERLINK(CONCAT("http://leetcode.com/problems/",Github!C$1213), Github!B$1213)</f>
        <v>Team Scores in Football Tournament</v>
      </c>
      <c r="C1754" s="17">
        <f>Github!F$1213</f>
        <v>223</v>
      </c>
      <c r="D1754" s="17">
        <f>Github!G$1213</f>
        <v>19</v>
      </c>
      <c r="E1754" s="17">
        <f>Github!F$1213+Github!G$1213</f>
        <v>242</v>
      </c>
      <c r="F1754" s="18">
        <f t="shared" si="1"/>
        <v>11.74</v>
      </c>
      <c r="G1754" s="17" t="str">
        <f>Github!H$1213</f>
        <v>Database</v>
      </c>
      <c r="H1754" s="19" t="str">
        <f>SUBSTITUTE(Github!L$1213, ";", ", ")</f>
        <v>Database, </v>
      </c>
      <c r="I1754" s="17" t="str">
        <f>Github!E$1213</f>
        <v>Medium</v>
      </c>
      <c r="J1754" s="17" t="str">
        <f>IF(TRIM(Github!D$1213)="TRUE","FALSE","TRUE")</f>
        <v>FALSE</v>
      </c>
      <c r="K1754" s="17" t="b">
        <f>Github!M$1213</f>
        <v>0</v>
      </c>
      <c r="L1754" s="17" t="b">
        <f>Github!N$1213</f>
        <v>0</v>
      </c>
      <c r="M1754" s="17" t="str">
        <f>ROUND(Github!O$1213, 2)&amp;"%"</f>
        <v>57.23%</v>
      </c>
      <c r="N1754" s="17">
        <f>Github!P$1213</f>
        <v>23740</v>
      </c>
      <c r="O1754" s="17">
        <f>Github!Q$1213</f>
        <v>41485</v>
      </c>
    </row>
    <row r="1755" ht="18.0" customHeight="1">
      <c r="A1755" s="17">
        <f>Github!J$2121</f>
        <v>2120</v>
      </c>
      <c r="B1755" s="27" t="str">
        <f>HYPERLINK(CONCAT("http://leetcode.com/problems/",Github!C$2121), Github!B$2121)</f>
        <v>Execution of All Suffix Instructions Staying in a Grid</v>
      </c>
      <c r="C1755" s="17">
        <f>Github!F$2121</f>
        <v>224</v>
      </c>
      <c r="D1755" s="17">
        <f>Github!G$2121</f>
        <v>22</v>
      </c>
      <c r="E1755" s="17">
        <f>Github!F$2121+Github!G$2121</f>
        <v>246</v>
      </c>
      <c r="F1755" s="18">
        <f t="shared" si="1"/>
        <v>10.18</v>
      </c>
      <c r="G1755" s="17" t="str">
        <f>Github!H$2121</f>
        <v>Algorithms</v>
      </c>
      <c r="H1755" s="19" t="str">
        <f>SUBSTITUTE(Github!L$2121, ";", ", ")</f>
        <v>String, Simulation, </v>
      </c>
      <c r="I1755" s="17" t="str">
        <f>Github!E$2121</f>
        <v>Medium</v>
      </c>
      <c r="J1755" s="17" t="str">
        <f>IF(TRIM(Github!D$2121)="TRUE","FALSE","TRUE")</f>
        <v>TRUE</v>
      </c>
      <c r="K1755" s="17" t="b">
        <f>Github!M$2121</f>
        <v>0</v>
      </c>
      <c r="L1755" s="17" t="b">
        <f>Github!N$2121</f>
        <v>0</v>
      </c>
      <c r="M1755" s="17" t="str">
        <f>ROUND(Github!O$2121, 2)&amp;"%"</f>
        <v>82.92%</v>
      </c>
      <c r="N1755" s="17">
        <f>Github!P$2121</f>
        <v>13645</v>
      </c>
      <c r="O1755" s="17">
        <f>Github!Q$2121</f>
        <v>16456</v>
      </c>
    </row>
    <row r="1756" ht="18.0" customHeight="1">
      <c r="A1756" s="17">
        <f>Github!J$2158</f>
        <v>2157</v>
      </c>
      <c r="B1756" s="27" t="str">
        <f>HYPERLINK(CONCAT("http://leetcode.com/problems/",Github!C$2158), Github!B$2158)</f>
        <v>Groups of Strings</v>
      </c>
      <c r="C1756" s="17">
        <f>Github!F$2158</f>
        <v>223</v>
      </c>
      <c r="D1756" s="17">
        <f>Github!G$2158</f>
        <v>35</v>
      </c>
      <c r="E1756" s="17">
        <f>Github!F$2158+Github!G$2158</f>
        <v>258</v>
      </c>
      <c r="F1756" s="18">
        <f t="shared" si="1"/>
        <v>6.37</v>
      </c>
      <c r="G1756" s="17" t="str">
        <f>Github!H$2158</f>
        <v>Algorithms</v>
      </c>
      <c r="H1756" s="19" t="str">
        <f>SUBSTITUTE(Github!L$2158, ";", ", ")</f>
        <v>String, Bit Manipulation, Union Find, </v>
      </c>
      <c r="I1756" s="17" t="str">
        <f>Github!E$2158</f>
        <v>Hard</v>
      </c>
      <c r="J1756" s="17" t="str">
        <f>IF(TRIM(Github!D$2158)="TRUE","FALSE","TRUE")</f>
        <v>TRUE</v>
      </c>
      <c r="K1756" s="17" t="b">
        <f>Github!M$2158</f>
        <v>0</v>
      </c>
      <c r="L1756" s="17" t="b">
        <f>Github!N$2158</f>
        <v>0</v>
      </c>
      <c r="M1756" s="17" t="str">
        <f>ROUND(Github!O$2158, 2)&amp;"%"</f>
        <v>23.82%</v>
      </c>
      <c r="N1756" s="17">
        <f>Github!P$2158</f>
        <v>4882</v>
      </c>
      <c r="O1756" s="17">
        <f>Github!Q$2158</f>
        <v>20496</v>
      </c>
    </row>
    <row r="1757" ht="18.0" customHeight="1">
      <c r="A1757" s="17">
        <f>Github!J$1186</f>
        <v>1185</v>
      </c>
      <c r="B1757" s="27" t="str">
        <f>HYPERLINK(CONCAT("http://leetcode.com/problems/",Github!C$1186), Github!B$1186)</f>
        <v>Day of the Week</v>
      </c>
      <c r="C1757" s="17">
        <f>Github!F$1186</f>
        <v>222</v>
      </c>
      <c r="D1757" s="17">
        <f>Github!G$1186</f>
        <v>1839</v>
      </c>
      <c r="E1757" s="17">
        <f>Github!F$1186+Github!G$1186</f>
        <v>2061</v>
      </c>
      <c r="F1757" s="18">
        <f t="shared" si="1"/>
        <v>0.12</v>
      </c>
      <c r="G1757" s="17" t="str">
        <f>Github!H$1186</f>
        <v>Algorithms</v>
      </c>
      <c r="H1757" s="19" t="str">
        <f>SUBSTITUTE(Github!L$1186, ";", ", ")</f>
        <v>Math, </v>
      </c>
      <c r="I1757" s="17" t="str">
        <f>Github!E$1186</f>
        <v>Easy</v>
      </c>
      <c r="J1757" s="17" t="str">
        <f>IF(TRIM(Github!D$1186)="TRUE","FALSE","TRUE")</f>
        <v>TRUE</v>
      </c>
      <c r="K1757" s="17" t="b">
        <f>Github!M$1186</f>
        <v>0</v>
      </c>
      <c r="L1757" s="17" t="b">
        <f>Github!N$1186</f>
        <v>0</v>
      </c>
      <c r="M1757" s="17" t="str">
        <f>ROUND(Github!O$1186, 2)&amp;"%"</f>
        <v>58.69%</v>
      </c>
      <c r="N1757" s="17">
        <f>Github!P$1186</f>
        <v>41710</v>
      </c>
      <c r="O1757" s="17">
        <f>Github!Q$1186</f>
        <v>71065</v>
      </c>
    </row>
    <row r="1758" ht="18.0" customHeight="1">
      <c r="A1758" s="17">
        <f>Github!J$1565</f>
        <v>1564</v>
      </c>
      <c r="B1758" s="27" t="str">
        <f>HYPERLINK(CONCAT("http://leetcode.com/problems/",Github!C$1565), Github!B$1565)</f>
        <v>Put Boxes Into the Warehouse I</v>
      </c>
      <c r="C1758" s="17">
        <f>Github!F$1565</f>
        <v>222</v>
      </c>
      <c r="D1758" s="17">
        <f>Github!G$1565</f>
        <v>20</v>
      </c>
      <c r="E1758" s="17">
        <f>Github!F$1565+Github!G$1565</f>
        <v>242</v>
      </c>
      <c r="F1758" s="18">
        <f t="shared" si="1"/>
        <v>11.1</v>
      </c>
      <c r="G1758" s="17" t="str">
        <f>Github!H$1565</f>
        <v>Algorithms</v>
      </c>
      <c r="H1758" s="19" t="str">
        <f>SUBSTITUTE(Github!L$1565, ";", ", ")</f>
        <v>Array, Greedy, Sorting, </v>
      </c>
      <c r="I1758" s="17" t="str">
        <f>Github!E$1565</f>
        <v>Medium</v>
      </c>
      <c r="J1758" s="17" t="str">
        <f>IF(TRIM(Github!D$1565)="TRUE","FALSE","TRUE")</f>
        <v>FALSE</v>
      </c>
      <c r="K1758" s="17" t="b">
        <f>Github!M$1565</f>
        <v>1</v>
      </c>
      <c r="L1758" s="17" t="b">
        <f>Github!N$1565</f>
        <v>0</v>
      </c>
      <c r="M1758" s="17" t="str">
        <f>ROUND(Github!O$1565, 2)&amp;"%"</f>
        <v>64.48%</v>
      </c>
      <c r="N1758" s="17">
        <f>Github!P$1565</f>
        <v>10074</v>
      </c>
      <c r="O1758" s="17">
        <f>Github!Q$1565</f>
        <v>15623</v>
      </c>
    </row>
    <row r="1759" ht="18.0" customHeight="1">
      <c r="A1759" s="17">
        <f>Github!J$2045</f>
        <v>2044</v>
      </c>
      <c r="B1759" s="27" t="str">
        <f>HYPERLINK(CONCAT("http://leetcode.com/problems/",Github!C$2045), Github!B$2045)</f>
        <v>Count Number of Maximum Bitwise-OR Subsets</v>
      </c>
      <c r="C1759" s="17">
        <f>Github!F$2045</f>
        <v>222</v>
      </c>
      <c r="D1759" s="17">
        <f>Github!G$2045</f>
        <v>13</v>
      </c>
      <c r="E1759" s="17">
        <f>Github!F$2045+Github!G$2045</f>
        <v>235</v>
      </c>
      <c r="F1759" s="18">
        <f t="shared" si="1"/>
        <v>17.08</v>
      </c>
      <c r="G1759" s="17" t="str">
        <f>Github!H$2045</f>
        <v>Algorithms</v>
      </c>
      <c r="H1759" s="19" t="str">
        <f>SUBSTITUTE(Github!L$2045, ";", ", ")</f>
        <v>Array, Backtracking, Bit Manipulation, </v>
      </c>
      <c r="I1759" s="17" t="str">
        <f>Github!E$2045</f>
        <v>Medium</v>
      </c>
      <c r="J1759" s="17" t="str">
        <f>IF(TRIM(Github!D$2045)="TRUE","FALSE","TRUE")</f>
        <v>TRUE</v>
      </c>
      <c r="K1759" s="17" t="b">
        <f>Github!M$2045</f>
        <v>0</v>
      </c>
      <c r="L1759" s="17" t="b">
        <f>Github!N$2045</f>
        <v>0</v>
      </c>
      <c r="M1759" s="17" t="str">
        <f>ROUND(Github!O$2045, 2)&amp;"%"</f>
        <v>74.88%</v>
      </c>
      <c r="N1759" s="17">
        <f>Github!P$2045</f>
        <v>12126</v>
      </c>
      <c r="O1759" s="17">
        <f>Github!Q$2045</f>
        <v>16195</v>
      </c>
    </row>
    <row r="1760" ht="18.0" customHeight="1">
      <c r="A1760" s="17">
        <f>Github!J$1231</f>
        <v>1230</v>
      </c>
      <c r="B1760" s="27" t="str">
        <f>HYPERLINK(CONCAT("http://leetcode.com/problems/",Github!C$1231), Github!B$1231)</f>
        <v>Toss Strange Coins</v>
      </c>
      <c r="C1760" s="17">
        <f>Github!F$1231</f>
        <v>221</v>
      </c>
      <c r="D1760" s="17">
        <f>Github!G$1231</f>
        <v>19</v>
      </c>
      <c r="E1760" s="17">
        <f>Github!F$1231+Github!G$1231</f>
        <v>240</v>
      </c>
      <c r="F1760" s="18">
        <f t="shared" si="1"/>
        <v>11.63</v>
      </c>
      <c r="G1760" s="17" t="str">
        <f>Github!H$1231</f>
        <v>Algorithms</v>
      </c>
      <c r="H1760" s="19" t="str">
        <f>SUBSTITUTE(Github!L$1231, ";", ", ")</f>
        <v>Math, Dynamic Programming, Probability and Statistics, </v>
      </c>
      <c r="I1760" s="17" t="str">
        <f>Github!E$1231</f>
        <v>Medium</v>
      </c>
      <c r="J1760" s="17" t="str">
        <f>IF(TRIM(Github!D$1231)="TRUE","FALSE","TRUE")</f>
        <v>FALSE</v>
      </c>
      <c r="K1760" s="17" t="b">
        <f>Github!M$1231</f>
        <v>0</v>
      </c>
      <c r="L1760" s="17" t="b">
        <f>Github!N$1231</f>
        <v>0</v>
      </c>
      <c r="M1760" s="17" t="str">
        <f>ROUND(Github!O$1231, 2)&amp;"%"</f>
        <v>52.32%</v>
      </c>
      <c r="N1760" s="17">
        <f>Github!P$1231</f>
        <v>9594</v>
      </c>
      <c r="O1760" s="17">
        <f>Github!Q$1231</f>
        <v>18337</v>
      </c>
    </row>
    <row r="1761" ht="18.0" customHeight="1">
      <c r="A1761" s="17">
        <f>Github!J$2137</f>
        <v>2136</v>
      </c>
      <c r="B1761" s="27" t="str">
        <f>HYPERLINK(CONCAT("http://leetcode.com/problems/",Github!C$2137), Github!B$2137)</f>
        <v>Earliest Possible Day of Full Bloom</v>
      </c>
      <c r="C1761" s="17">
        <f>Github!F$2137</f>
        <v>221</v>
      </c>
      <c r="D1761" s="17">
        <f>Github!G$2137</f>
        <v>11</v>
      </c>
      <c r="E1761" s="17">
        <f>Github!F$2137+Github!G$2137</f>
        <v>232</v>
      </c>
      <c r="F1761" s="18">
        <f t="shared" si="1"/>
        <v>20.09</v>
      </c>
      <c r="G1761" s="17" t="str">
        <f>Github!H$2137</f>
        <v>Algorithms</v>
      </c>
      <c r="H1761" s="19" t="str">
        <f>SUBSTITUTE(Github!L$2137, ";", ", ")</f>
        <v>Array, Greedy, Sorting, </v>
      </c>
      <c r="I1761" s="17" t="str">
        <f>Github!E$2137</f>
        <v>Hard</v>
      </c>
      <c r="J1761" s="17" t="str">
        <f>IF(TRIM(Github!D$2137)="TRUE","FALSE","TRUE")</f>
        <v>TRUE</v>
      </c>
      <c r="K1761" s="17" t="b">
        <f>Github!M$2137</f>
        <v>0</v>
      </c>
      <c r="L1761" s="17" t="b">
        <f>Github!N$2137</f>
        <v>0</v>
      </c>
      <c r="M1761" s="17" t="str">
        <f>ROUND(Github!O$2137, 2)&amp;"%"</f>
        <v>67.54%</v>
      </c>
      <c r="N1761" s="17">
        <f>Github!P$2137</f>
        <v>6371</v>
      </c>
      <c r="O1761" s="17">
        <f>Github!Q$2137</f>
        <v>9433</v>
      </c>
    </row>
    <row r="1762" ht="18.0" customHeight="1">
      <c r="A1762" s="17">
        <f>Github!J$2155</f>
        <v>2154</v>
      </c>
      <c r="B1762" s="27" t="str">
        <f>HYPERLINK(CONCAT("http://leetcode.com/problems/",Github!C$2155), Github!B$2155)</f>
        <v>Keep Multiplying Found Values by Two</v>
      </c>
      <c r="C1762" s="17">
        <f>Github!F$2155</f>
        <v>222</v>
      </c>
      <c r="D1762" s="17">
        <f>Github!G$2155</f>
        <v>8</v>
      </c>
      <c r="E1762" s="17">
        <f>Github!F$2155+Github!G$2155</f>
        <v>230</v>
      </c>
      <c r="F1762" s="18">
        <f t="shared" si="1"/>
        <v>27.75</v>
      </c>
      <c r="G1762" s="17" t="str">
        <f>Github!H$2155</f>
        <v>Algorithms</v>
      </c>
      <c r="H1762" s="19" t="str">
        <f>SUBSTITUTE(Github!L$2155, ";", ", ")</f>
        <v>Array, Hash Table, Sorting, Simulation, </v>
      </c>
      <c r="I1762" s="17" t="str">
        <f>Github!E$2155</f>
        <v>Easy</v>
      </c>
      <c r="J1762" s="17" t="str">
        <f>IF(TRIM(Github!D$2155)="TRUE","FALSE","TRUE")</f>
        <v>TRUE</v>
      </c>
      <c r="K1762" s="17" t="b">
        <f>Github!M$2155</f>
        <v>0</v>
      </c>
      <c r="L1762" s="17" t="b">
        <f>Github!N$2155</f>
        <v>0</v>
      </c>
      <c r="M1762" s="17" t="str">
        <f>ROUND(Github!O$2155, 2)&amp;"%"</f>
        <v>73.62%</v>
      </c>
      <c r="N1762" s="17">
        <f>Github!P$2155</f>
        <v>29141</v>
      </c>
      <c r="O1762" s="17">
        <f>Github!Q$2155</f>
        <v>39582</v>
      </c>
    </row>
    <row r="1763" ht="18.0" customHeight="1">
      <c r="A1763" s="17">
        <f>Github!J$1626</f>
        <v>1625</v>
      </c>
      <c r="B1763" s="27" t="str">
        <f>HYPERLINK(CONCAT("http://leetcode.com/problems/",Github!C$1626), Github!B$1626)</f>
        <v>Lexicographically Smallest String After Applying Operations</v>
      </c>
      <c r="C1763" s="17">
        <f>Github!F$1626</f>
        <v>220</v>
      </c>
      <c r="D1763" s="17">
        <f>Github!G$1626</f>
        <v>221</v>
      </c>
      <c r="E1763" s="17">
        <f>Github!F$1626+Github!G$1626</f>
        <v>441</v>
      </c>
      <c r="F1763" s="18">
        <f t="shared" si="1"/>
        <v>1</v>
      </c>
      <c r="G1763" s="17" t="str">
        <f>Github!H$1626</f>
        <v>Algorithms</v>
      </c>
      <c r="H1763" s="19" t="str">
        <f>SUBSTITUTE(Github!L$1626, ";", ", ")</f>
        <v>String, Breadth-First Search, </v>
      </c>
      <c r="I1763" s="17" t="str">
        <f>Github!E$1626</f>
        <v>Medium</v>
      </c>
      <c r="J1763" s="17" t="str">
        <f>IF(TRIM(Github!D$1626)="TRUE","FALSE","TRUE")</f>
        <v>TRUE</v>
      </c>
      <c r="K1763" s="17" t="b">
        <f>Github!M$1626</f>
        <v>0</v>
      </c>
      <c r="L1763" s="17" t="b">
        <f>Github!N$1626</f>
        <v>0</v>
      </c>
      <c r="M1763" s="17" t="str">
        <f>ROUND(Github!O$1626, 2)&amp;"%"</f>
        <v>66.13%</v>
      </c>
      <c r="N1763" s="17">
        <f>Github!P$1626</f>
        <v>10090</v>
      </c>
      <c r="O1763" s="17">
        <f>Github!Q$1626</f>
        <v>15257</v>
      </c>
    </row>
    <row r="1764" ht="18.0" customHeight="1">
      <c r="A1764" s="17">
        <f>Github!J$1767</f>
        <v>1766</v>
      </c>
      <c r="B1764" s="27" t="str">
        <f>HYPERLINK(CONCAT("http://leetcode.com/problems/",Github!C$1767), Github!B$1767)</f>
        <v>Tree of Coprimes</v>
      </c>
      <c r="C1764" s="17">
        <f>Github!F$1767</f>
        <v>220</v>
      </c>
      <c r="D1764" s="17">
        <f>Github!G$1767</f>
        <v>17</v>
      </c>
      <c r="E1764" s="17">
        <f>Github!F$1767+Github!G$1767</f>
        <v>237</v>
      </c>
      <c r="F1764" s="18">
        <f t="shared" si="1"/>
        <v>12.94</v>
      </c>
      <c r="G1764" s="17" t="str">
        <f>Github!H$1767</f>
        <v>Algorithms</v>
      </c>
      <c r="H1764" s="19" t="str">
        <f>SUBSTITUTE(Github!L$1767, ";", ", ")</f>
        <v>Math, Tree, Depth-First Search, Breadth-First Search, </v>
      </c>
      <c r="I1764" s="17" t="str">
        <f>Github!E$1767</f>
        <v>Hard</v>
      </c>
      <c r="J1764" s="17" t="str">
        <f>IF(TRIM(Github!D$1767)="TRUE","FALSE","TRUE")</f>
        <v>TRUE</v>
      </c>
      <c r="K1764" s="17" t="b">
        <f>Github!M$1767</f>
        <v>0</v>
      </c>
      <c r="L1764" s="17" t="b">
        <f>Github!N$1767</f>
        <v>0</v>
      </c>
      <c r="M1764" s="17" t="str">
        <f>ROUND(Github!O$1767, 2)&amp;"%"</f>
        <v>38%</v>
      </c>
      <c r="N1764" s="17">
        <f>Github!P$1767</f>
        <v>5212</v>
      </c>
      <c r="O1764" s="17">
        <f>Github!Q$1767</f>
        <v>13715</v>
      </c>
    </row>
    <row r="1765" ht="18.0" customHeight="1">
      <c r="A1765" s="17">
        <f>Github!J$2059</f>
        <v>2058</v>
      </c>
      <c r="B1765" s="27" t="str">
        <f>HYPERLINK(CONCAT("http://leetcode.com/problems/",Github!C$2059), Github!B$2059)</f>
        <v>Find the Minimum and Maximum Number of Nodes Between Critical Points</v>
      </c>
      <c r="C1765" s="17">
        <f>Github!F$2059</f>
        <v>220</v>
      </c>
      <c r="D1765" s="17">
        <f>Github!G$2059</f>
        <v>11</v>
      </c>
      <c r="E1765" s="17">
        <f>Github!F$2059+Github!G$2059</f>
        <v>231</v>
      </c>
      <c r="F1765" s="18">
        <f t="shared" si="1"/>
        <v>20</v>
      </c>
      <c r="G1765" s="17" t="str">
        <f>Github!H$2059</f>
        <v>Algorithms</v>
      </c>
      <c r="H1765" s="19" t="str">
        <f>SUBSTITUTE(Github!L$2059, ";", ", ")</f>
        <v>Linked List, </v>
      </c>
      <c r="I1765" s="17" t="str">
        <f>Github!E$2059</f>
        <v>Medium</v>
      </c>
      <c r="J1765" s="17" t="str">
        <f>IF(TRIM(Github!D$2059)="TRUE","FALSE","TRUE")</f>
        <v>TRUE</v>
      </c>
      <c r="K1765" s="17" t="b">
        <f>Github!M$2059</f>
        <v>0</v>
      </c>
      <c r="L1765" s="17" t="b">
        <f>Github!N$2059</f>
        <v>0</v>
      </c>
      <c r="M1765" s="17" t="str">
        <f>ROUND(Github!O$2059, 2)&amp;"%"</f>
        <v>57.85%</v>
      </c>
      <c r="N1765" s="17">
        <f>Github!P$2059</f>
        <v>14024</v>
      </c>
      <c r="O1765" s="17">
        <f>Github!Q$2059</f>
        <v>24243</v>
      </c>
    </row>
    <row r="1766" ht="18.0" customHeight="1">
      <c r="A1766" s="17">
        <f>Github!J$570</f>
        <v>569</v>
      </c>
      <c r="B1766" s="27" t="str">
        <f>HYPERLINK(CONCAT("http://leetcode.com/problems/",Github!C$570), Github!B$570)</f>
        <v>Median Employee Salary</v>
      </c>
      <c r="C1766" s="17">
        <f>Github!F$570</f>
        <v>219</v>
      </c>
      <c r="D1766" s="17">
        <f>Github!G$570</f>
        <v>119</v>
      </c>
      <c r="E1766" s="17">
        <f>Github!F$570+Github!G$570</f>
        <v>338</v>
      </c>
      <c r="F1766" s="18">
        <f t="shared" si="1"/>
        <v>1.84</v>
      </c>
      <c r="G1766" s="17" t="str">
        <f>Github!H$570</f>
        <v>Database</v>
      </c>
      <c r="H1766" s="19" t="str">
        <f>SUBSTITUTE(Github!L$570, ";", ", ")</f>
        <v>Database, </v>
      </c>
      <c r="I1766" s="17" t="str">
        <f>Github!E$570</f>
        <v>Hard</v>
      </c>
      <c r="J1766" s="17" t="str">
        <f>IF(TRIM(Github!D$570)="TRUE","FALSE","TRUE")</f>
        <v>FALSE</v>
      </c>
      <c r="K1766" s="17" t="b">
        <f>Github!M$570</f>
        <v>0</v>
      </c>
      <c r="L1766" s="17" t="b">
        <f>Github!N$570</f>
        <v>0</v>
      </c>
      <c r="M1766" s="17" t="str">
        <f>ROUND(Github!O$570, 2)&amp;"%"</f>
        <v>66.61%</v>
      </c>
      <c r="N1766" s="17">
        <f>Github!P$570</f>
        <v>25753</v>
      </c>
      <c r="O1766" s="17">
        <f>Github!Q$570</f>
        <v>38665</v>
      </c>
    </row>
    <row r="1767" ht="18.0" customHeight="1">
      <c r="A1767" s="17">
        <f>Github!J$750</f>
        <v>749</v>
      </c>
      <c r="B1767" s="27" t="str">
        <f>HYPERLINK(CONCAT("http://leetcode.com/problems/",Github!C$750), Github!B$750)</f>
        <v>Contain Virus</v>
      </c>
      <c r="C1767" s="17">
        <f>Github!F$750</f>
        <v>219</v>
      </c>
      <c r="D1767" s="17">
        <f>Github!G$750</f>
        <v>362</v>
      </c>
      <c r="E1767" s="17">
        <f>Github!F$750+Github!G$750</f>
        <v>581</v>
      </c>
      <c r="F1767" s="18">
        <f t="shared" si="1"/>
        <v>0.6</v>
      </c>
      <c r="G1767" s="17" t="str">
        <f>Github!H$750</f>
        <v>Algorithms</v>
      </c>
      <c r="H1767" s="19" t="str">
        <f>SUBSTITUTE(Github!L$750, ";", ", ")</f>
        <v>Array, Depth-First Search, Breadth-First Search, Matrix, Simulation, </v>
      </c>
      <c r="I1767" s="17" t="str">
        <f>Github!E$750</f>
        <v>Hard</v>
      </c>
      <c r="J1767" s="17" t="str">
        <f>IF(TRIM(Github!D$750)="TRUE","FALSE","TRUE")</f>
        <v>TRUE</v>
      </c>
      <c r="K1767" s="17" t="b">
        <f>Github!M$750</f>
        <v>0</v>
      </c>
      <c r="L1767" s="17" t="b">
        <f>Github!N$750</f>
        <v>0</v>
      </c>
      <c r="M1767" s="17" t="str">
        <f>ROUND(Github!O$750, 2)&amp;"%"</f>
        <v>49.87%</v>
      </c>
      <c r="N1767" s="17">
        <f>Github!P$750</f>
        <v>8008</v>
      </c>
      <c r="O1767" s="17">
        <f>Github!Q$750</f>
        <v>16058</v>
      </c>
    </row>
    <row r="1768" ht="18.0" customHeight="1">
      <c r="A1768" s="17">
        <f>Github!J$2043</f>
        <v>2042</v>
      </c>
      <c r="B1768" s="27" t="str">
        <f>HYPERLINK(CONCAT("http://leetcode.com/problems/",Github!C$2043), Github!B$2043)</f>
        <v>Check if Numbers Are Ascending in a Sentence</v>
      </c>
      <c r="C1768" s="17">
        <f>Github!F$2043</f>
        <v>219</v>
      </c>
      <c r="D1768" s="17">
        <f>Github!G$2043</f>
        <v>10</v>
      </c>
      <c r="E1768" s="17">
        <f>Github!F$2043+Github!G$2043</f>
        <v>229</v>
      </c>
      <c r="F1768" s="18">
        <f t="shared" si="1"/>
        <v>21.9</v>
      </c>
      <c r="G1768" s="17" t="str">
        <f>Github!H$2043</f>
        <v>Algorithms</v>
      </c>
      <c r="H1768" s="19" t="str">
        <f>SUBSTITUTE(Github!L$2043, ";", ", ")</f>
        <v>String, </v>
      </c>
      <c r="I1768" s="17" t="str">
        <f>Github!E$2043</f>
        <v>Easy</v>
      </c>
      <c r="J1768" s="17" t="str">
        <f>IF(TRIM(Github!D$2043)="TRUE","FALSE","TRUE")</f>
        <v>TRUE</v>
      </c>
      <c r="K1768" s="17" t="b">
        <f>Github!M$2043</f>
        <v>0</v>
      </c>
      <c r="L1768" s="17" t="b">
        <f>Github!N$2043</f>
        <v>0</v>
      </c>
      <c r="M1768" s="17" t="str">
        <f>ROUND(Github!O$2043, 2)&amp;"%"</f>
        <v>68.38%</v>
      </c>
      <c r="N1768" s="17">
        <f>Github!P$2043</f>
        <v>20912</v>
      </c>
      <c r="O1768" s="17">
        <f>Github!Q$2043</f>
        <v>30580</v>
      </c>
    </row>
    <row r="1769" ht="18.0" customHeight="1">
      <c r="A1769" s="17">
        <f>Github!J$2139</f>
        <v>2138</v>
      </c>
      <c r="B1769" s="27" t="str">
        <f>HYPERLINK(CONCAT("http://leetcode.com/problems/",Github!C$2139), Github!B$2139)</f>
        <v>Divide a String Into Groups of Size k</v>
      </c>
      <c r="C1769" s="17">
        <f>Github!F$2139</f>
        <v>220</v>
      </c>
      <c r="D1769" s="17">
        <f>Github!G$2139</f>
        <v>9</v>
      </c>
      <c r="E1769" s="17">
        <f>Github!F$2139+Github!G$2139</f>
        <v>229</v>
      </c>
      <c r="F1769" s="18">
        <f t="shared" si="1"/>
        <v>24.44</v>
      </c>
      <c r="G1769" s="17" t="str">
        <f>Github!H$2139</f>
        <v>Algorithms</v>
      </c>
      <c r="H1769" s="19" t="str">
        <f>SUBSTITUTE(Github!L$2139, ";", ", ")</f>
        <v>String, Simulation, </v>
      </c>
      <c r="I1769" s="17" t="str">
        <f>Github!E$2139</f>
        <v>Easy</v>
      </c>
      <c r="J1769" s="17" t="str">
        <f>IF(TRIM(Github!D$2139)="TRUE","FALSE","TRUE")</f>
        <v>TRUE</v>
      </c>
      <c r="K1769" s="17" t="b">
        <f>Github!M$2139</f>
        <v>0</v>
      </c>
      <c r="L1769" s="17" t="b">
        <f>Github!N$2139</f>
        <v>0</v>
      </c>
      <c r="M1769" s="17" t="str">
        <f>ROUND(Github!O$2139, 2)&amp;"%"</f>
        <v>65.66%</v>
      </c>
      <c r="N1769" s="17">
        <f>Github!P$2139</f>
        <v>22639</v>
      </c>
      <c r="O1769" s="17">
        <f>Github!Q$2139</f>
        <v>34480</v>
      </c>
    </row>
    <row r="1770" ht="18.0" customHeight="1">
      <c r="A1770" s="17">
        <f>Github!J$1402</f>
        <v>1401</v>
      </c>
      <c r="B1770" s="27" t="str">
        <f>HYPERLINK(CONCAT("http://leetcode.com/problems/",Github!C$1402), Github!B$1402)</f>
        <v>Circle and Rectangle Overlapping</v>
      </c>
      <c r="C1770" s="17">
        <f>Github!F$1402</f>
        <v>217</v>
      </c>
      <c r="D1770" s="17">
        <f>Github!G$1402</f>
        <v>55</v>
      </c>
      <c r="E1770" s="17">
        <f>Github!F$1402+Github!G$1402</f>
        <v>272</v>
      </c>
      <c r="F1770" s="18">
        <f t="shared" si="1"/>
        <v>3.95</v>
      </c>
      <c r="G1770" s="17" t="str">
        <f>Github!H$1402</f>
        <v>Algorithms</v>
      </c>
      <c r="H1770" s="19" t="str">
        <f>SUBSTITUTE(Github!L$1402, ";", ", ")</f>
        <v>Math, Geometry, </v>
      </c>
      <c r="I1770" s="17" t="str">
        <f>Github!E$1402</f>
        <v>Medium</v>
      </c>
      <c r="J1770" s="17" t="str">
        <f>IF(TRIM(Github!D$1402)="TRUE","FALSE","TRUE")</f>
        <v>TRUE</v>
      </c>
      <c r="K1770" s="17" t="b">
        <f>Github!M$1402</f>
        <v>0</v>
      </c>
      <c r="L1770" s="17" t="b">
        <f>Github!N$1402</f>
        <v>0</v>
      </c>
      <c r="M1770" s="17" t="str">
        <f>ROUND(Github!O$1402, 2)&amp;"%"</f>
        <v>43.63%</v>
      </c>
      <c r="N1770" s="17">
        <f>Github!P$1402</f>
        <v>9491</v>
      </c>
      <c r="O1770" s="17">
        <f>Github!Q$1402</f>
        <v>21751</v>
      </c>
    </row>
    <row r="1771" ht="18.0" customHeight="1">
      <c r="A1771" s="17">
        <f>Github!J$657</f>
        <v>656</v>
      </c>
      <c r="B1771" s="27" t="str">
        <f>HYPERLINK(CONCAT("http://leetcode.com/problems/",Github!C$657), Github!B$657)</f>
        <v>Coin Path</v>
      </c>
      <c r="C1771" s="17">
        <f>Github!F$657</f>
        <v>216</v>
      </c>
      <c r="D1771" s="17">
        <f>Github!G$657</f>
        <v>96</v>
      </c>
      <c r="E1771" s="17">
        <f>Github!F$657+Github!G$657</f>
        <v>312</v>
      </c>
      <c r="F1771" s="18">
        <f t="shared" si="1"/>
        <v>2.25</v>
      </c>
      <c r="G1771" s="17" t="str">
        <f>Github!H$657</f>
        <v>Algorithms</v>
      </c>
      <c r="H1771" s="19" t="str">
        <f>SUBSTITUTE(Github!L$657, ";", ", ")</f>
        <v>Array, Dynamic Programming, </v>
      </c>
      <c r="I1771" s="17" t="str">
        <f>Github!E$657</f>
        <v>Hard</v>
      </c>
      <c r="J1771" s="17" t="str">
        <f>IF(TRIM(Github!D$657)="TRUE","FALSE","TRUE")</f>
        <v>FALSE</v>
      </c>
      <c r="K1771" s="17" t="b">
        <f>Github!M$657</f>
        <v>1</v>
      </c>
      <c r="L1771" s="17" t="b">
        <f>Github!N$657</f>
        <v>0</v>
      </c>
      <c r="M1771" s="17" t="str">
        <f>ROUND(Github!O$657, 2)&amp;"%"</f>
        <v>31.18%</v>
      </c>
      <c r="N1771" s="17">
        <f>Github!P$657</f>
        <v>12285</v>
      </c>
      <c r="O1771" s="17">
        <f>Github!Q$657</f>
        <v>39401</v>
      </c>
    </row>
    <row r="1772" ht="18.0" customHeight="1">
      <c r="A1772" s="17">
        <f>Github!J$1038</f>
        <v>1037</v>
      </c>
      <c r="B1772" s="27" t="str">
        <f>HYPERLINK(CONCAT("http://leetcode.com/problems/",Github!C$1038), Github!B$1038)</f>
        <v>Valid Boomerang</v>
      </c>
      <c r="C1772" s="17">
        <f>Github!F$1038</f>
        <v>216</v>
      </c>
      <c r="D1772" s="17">
        <f>Github!G$1038</f>
        <v>341</v>
      </c>
      <c r="E1772" s="17">
        <f>Github!F$1038+Github!G$1038</f>
        <v>557</v>
      </c>
      <c r="F1772" s="18">
        <f t="shared" si="1"/>
        <v>0.63</v>
      </c>
      <c r="G1772" s="17" t="str">
        <f>Github!H$1038</f>
        <v>Algorithms</v>
      </c>
      <c r="H1772" s="19" t="str">
        <f>SUBSTITUTE(Github!L$1038, ";", ", ")</f>
        <v>Math, Geometry, </v>
      </c>
      <c r="I1772" s="17" t="str">
        <f>Github!E$1038</f>
        <v>Easy</v>
      </c>
      <c r="J1772" s="17" t="str">
        <f>IF(TRIM(Github!D$1038)="TRUE","FALSE","TRUE")</f>
        <v>TRUE</v>
      </c>
      <c r="K1772" s="17" t="b">
        <f>Github!M$1038</f>
        <v>0</v>
      </c>
      <c r="L1772" s="17" t="b">
        <f>Github!N$1038</f>
        <v>0</v>
      </c>
      <c r="M1772" s="17" t="str">
        <f>ROUND(Github!O$1038, 2)&amp;"%"</f>
        <v>37.42%</v>
      </c>
      <c r="N1772" s="17">
        <f>Github!P$1038</f>
        <v>30227</v>
      </c>
      <c r="O1772" s="17">
        <f>Github!Q$1038</f>
        <v>80778</v>
      </c>
    </row>
    <row r="1773" ht="18.0" customHeight="1">
      <c r="A1773" s="17">
        <f>Github!J$1066</f>
        <v>1065</v>
      </c>
      <c r="B1773" s="27" t="str">
        <f>HYPERLINK(CONCAT("http://leetcode.com/problems/",Github!C$1066), Github!B$1066)</f>
        <v>Index Pairs of a String</v>
      </c>
      <c r="C1773" s="17">
        <f>Github!F$1066</f>
        <v>215</v>
      </c>
      <c r="D1773" s="17">
        <f>Github!G$1066</f>
        <v>75</v>
      </c>
      <c r="E1773" s="17">
        <f>Github!F$1066+Github!G$1066</f>
        <v>290</v>
      </c>
      <c r="F1773" s="18">
        <f t="shared" si="1"/>
        <v>2.87</v>
      </c>
      <c r="G1773" s="17" t="str">
        <f>Github!H$1066</f>
        <v>Algorithms</v>
      </c>
      <c r="H1773" s="19" t="str">
        <f>SUBSTITUTE(Github!L$1066, ";", ", ")</f>
        <v>Array, String, Trie, Sorting, </v>
      </c>
      <c r="I1773" s="17" t="str">
        <f>Github!E$1066</f>
        <v>Easy</v>
      </c>
      <c r="J1773" s="17" t="str">
        <f>IF(TRIM(Github!D$1066)="TRUE","FALSE","TRUE")</f>
        <v>FALSE</v>
      </c>
      <c r="K1773" s="17" t="b">
        <f>Github!M$1066</f>
        <v>0</v>
      </c>
      <c r="L1773" s="17" t="b">
        <f>Github!N$1066</f>
        <v>0</v>
      </c>
      <c r="M1773" s="17" t="str">
        <f>ROUND(Github!O$1066, 2)&amp;"%"</f>
        <v>62%</v>
      </c>
      <c r="N1773" s="17">
        <f>Github!P$1066</f>
        <v>16005</v>
      </c>
      <c r="O1773" s="17">
        <f>Github!Q$1066</f>
        <v>25813</v>
      </c>
    </row>
    <row r="1774" ht="18.0" customHeight="1">
      <c r="A1774" s="17">
        <f>Github!J$1741</f>
        <v>1740</v>
      </c>
      <c r="B1774" s="27" t="str">
        <f>HYPERLINK(CONCAT("http://leetcode.com/problems/",Github!C$1741), Github!B$1741)</f>
        <v>Find Distance in a Binary Tree</v>
      </c>
      <c r="C1774" s="17">
        <f>Github!F$1741</f>
        <v>215</v>
      </c>
      <c r="D1774" s="17">
        <f>Github!G$1741</f>
        <v>9</v>
      </c>
      <c r="E1774" s="17">
        <f>Github!F$1741+Github!G$1741</f>
        <v>224</v>
      </c>
      <c r="F1774" s="18">
        <f t="shared" si="1"/>
        <v>23.89</v>
      </c>
      <c r="G1774" s="17" t="str">
        <f>Github!H$1741</f>
        <v>Algorithms</v>
      </c>
      <c r="H1774" s="19" t="str">
        <f>SUBSTITUTE(Github!L$1741, ";", ", ")</f>
        <v>Hash Table, Tree, Depth-First Search, Breadth-First Search, Binary Tree, </v>
      </c>
      <c r="I1774" s="17" t="str">
        <f>Github!E$1741</f>
        <v>Medium</v>
      </c>
      <c r="J1774" s="17" t="str">
        <f>IF(TRIM(Github!D$1741)="TRUE","FALSE","TRUE")</f>
        <v>FALSE</v>
      </c>
      <c r="K1774" s="17" t="b">
        <f>Github!M$1741</f>
        <v>0</v>
      </c>
      <c r="L1774" s="17" t="b">
        <f>Github!N$1741</f>
        <v>0</v>
      </c>
      <c r="M1774" s="17" t="str">
        <f>ROUND(Github!O$1741, 2)&amp;"%"</f>
        <v>68.25%</v>
      </c>
      <c r="N1774" s="17">
        <f>Github!P$1741</f>
        <v>9890</v>
      </c>
      <c r="O1774" s="17">
        <f>Github!Q$1741</f>
        <v>14490</v>
      </c>
    </row>
    <row r="1775" ht="18.0" customHeight="1">
      <c r="A1775" s="17">
        <f>Github!J$1226</f>
        <v>1225</v>
      </c>
      <c r="B1775" s="27" t="str">
        <f>HYPERLINK(CONCAT("http://leetcode.com/problems/",Github!C$1226), Github!B$1226)</f>
        <v>Report Contiguous Dates</v>
      </c>
      <c r="C1775" s="17">
        <f>Github!F$1226</f>
        <v>214</v>
      </c>
      <c r="D1775" s="17">
        <f>Github!G$1226</f>
        <v>17</v>
      </c>
      <c r="E1775" s="17">
        <f>Github!F$1226+Github!G$1226</f>
        <v>231</v>
      </c>
      <c r="F1775" s="18">
        <f t="shared" si="1"/>
        <v>12.59</v>
      </c>
      <c r="G1775" s="17" t="str">
        <f>Github!H$1226</f>
        <v>Database</v>
      </c>
      <c r="H1775" s="19" t="str">
        <f>SUBSTITUTE(Github!L$1226, ";", ", ")</f>
        <v>Database, </v>
      </c>
      <c r="I1775" s="17" t="str">
        <f>Github!E$1226</f>
        <v>Hard</v>
      </c>
      <c r="J1775" s="17" t="str">
        <f>IF(TRIM(Github!D$1226)="TRUE","FALSE","TRUE")</f>
        <v>FALSE</v>
      </c>
      <c r="K1775" s="17" t="b">
        <f>Github!M$1226</f>
        <v>0</v>
      </c>
      <c r="L1775" s="17" t="b">
        <f>Github!N$1226</f>
        <v>0</v>
      </c>
      <c r="M1775" s="17" t="str">
        <f>ROUND(Github!O$1226, 2)&amp;"%"</f>
        <v>63.15%</v>
      </c>
      <c r="N1775" s="17">
        <f>Github!P$1226</f>
        <v>13058</v>
      </c>
      <c r="O1775" s="17">
        <f>Github!Q$1226</f>
        <v>20677</v>
      </c>
    </row>
    <row r="1776" ht="18.0" customHeight="1">
      <c r="A1776" s="17">
        <f>Github!J$1512</f>
        <v>1511</v>
      </c>
      <c r="B1776" s="27" t="str">
        <f>HYPERLINK(CONCAT("http://leetcode.com/problems/",Github!C$1512), Github!B$1512)</f>
        <v>Customer Order Frequency</v>
      </c>
      <c r="C1776" s="17">
        <f>Github!F$1512</f>
        <v>214</v>
      </c>
      <c r="D1776" s="17">
        <f>Github!G$1512</f>
        <v>40</v>
      </c>
      <c r="E1776" s="17">
        <f>Github!F$1512+Github!G$1512</f>
        <v>254</v>
      </c>
      <c r="F1776" s="18">
        <f t="shared" si="1"/>
        <v>5.35</v>
      </c>
      <c r="G1776" s="17" t="str">
        <f>Github!H$1512</f>
        <v>Database</v>
      </c>
      <c r="H1776" s="19" t="str">
        <f>SUBSTITUTE(Github!L$1512, ";", ", ")</f>
        <v>Database, </v>
      </c>
      <c r="I1776" s="17" t="str">
        <f>Github!E$1512</f>
        <v>Easy</v>
      </c>
      <c r="J1776" s="17" t="str">
        <f>IF(TRIM(Github!D$1512)="TRUE","FALSE","TRUE")</f>
        <v>FALSE</v>
      </c>
      <c r="K1776" s="17" t="b">
        <f>Github!M$1512</f>
        <v>0</v>
      </c>
      <c r="L1776" s="17" t="b">
        <f>Github!N$1512</f>
        <v>0</v>
      </c>
      <c r="M1776" s="17" t="str">
        <f>ROUND(Github!O$1512, 2)&amp;"%"</f>
        <v>73.43%</v>
      </c>
      <c r="N1776" s="17">
        <f>Github!P$1512</f>
        <v>25635</v>
      </c>
      <c r="O1776" s="17">
        <f>Github!Q$1512</f>
        <v>34911</v>
      </c>
    </row>
    <row r="1777" ht="18.0" customHeight="1">
      <c r="A1777" s="17">
        <f>Github!J$2165</f>
        <v>2164</v>
      </c>
      <c r="B1777" s="27" t="str">
        <f>HYPERLINK(CONCAT("http://leetcode.com/problems/",Github!C$2165), Github!B$2165)</f>
        <v>Sort Even and Odd Indices Independently</v>
      </c>
      <c r="C1777" s="17">
        <f>Github!F$2165</f>
        <v>214</v>
      </c>
      <c r="D1777" s="17">
        <f>Github!G$2165</f>
        <v>10</v>
      </c>
      <c r="E1777" s="17">
        <f>Github!F$2165+Github!G$2165</f>
        <v>224</v>
      </c>
      <c r="F1777" s="18">
        <f t="shared" si="1"/>
        <v>21.4</v>
      </c>
      <c r="G1777" s="17" t="str">
        <f>Github!H$2165</f>
        <v>Algorithms</v>
      </c>
      <c r="H1777" s="19" t="str">
        <f>SUBSTITUTE(Github!L$2165, ";", ", ")</f>
        <v>Array, Sorting, </v>
      </c>
      <c r="I1777" s="17" t="str">
        <f>Github!E$2165</f>
        <v>Easy</v>
      </c>
      <c r="J1777" s="17" t="str">
        <f>IF(TRIM(Github!D$2165)="TRUE","FALSE","TRUE")</f>
        <v>TRUE</v>
      </c>
      <c r="K1777" s="17" t="b">
        <f>Github!M$2165</f>
        <v>0</v>
      </c>
      <c r="L1777" s="17" t="b">
        <f>Github!N$2165</f>
        <v>0</v>
      </c>
      <c r="M1777" s="17" t="str">
        <f>ROUND(Github!O$2165, 2)&amp;"%"</f>
        <v>67.76%</v>
      </c>
      <c r="N1777" s="17">
        <f>Github!P$2165</f>
        <v>21915</v>
      </c>
      <c r="O1777" s="17">
        <f>Github!Q$2165</f>
        <v>32342</v>
      </c>
    </row>
    <row r="1778" ht="18.0" customHeight="1">
      <c r="A1778" s="17">
        <f>Github!J$1939</f>
        <v>1938</v>
      </c>
      <c r="B1778" s="27" t="str">
        <f>HYPERLINK(CONCAT("http://leetcode.com/problems/",Github!C$1939), Github!B$1939)</f>
        <v>Maximum Genetic Difference Query</v>
      </c>
      <c r="C1778" s="17">
        <f>Github!F$1939</f>
        <v>213</v>
      </c>
      <c r="D1778" s="17">
        <f>Github!G$1939</f>
        <v>10</v>
      </c>
      <c r="E1778" s="17">
        <f>Github!F$1939+Github!G$1939</f>
        <v>223</v>
      </c>
      <c r="F1778" s="18">
        <f t="shared" si="1"/>
        <v>21.3</v>
      </c>
      <c r="G1778" s="17" t="str">
        <f>Github!H$1939</f>
        <v>Algorithms</v>
      </c>
      <c r="H1778" s="19" t="str">
        <f>SUBSTITUTE(Github!L$1939, ";", ", ")</f>
        <v>Array, Bit Manipulation, Trie, </v>
      </c>
      <c r="I1778" s="17" t="str">
        <f>Github!E$1939</f>
        <v>Hard</v>
      </c>
      <c r="J1778" s="17" t="str">
        <f>IF(TRIM(Github!D$1939)="TRUE","FALSE","TRUE")</f>
        <v>TRUE</v>
      </c>
      <c r="K1778" s="17" t="b">
        <f>Github!M$1939</f>
        <v>0</v>
      </c>
      <c r="L1778" s="17" t="b">
        <f>Github!N$1939</f>
        <v>0</v>
      </c>
      <c r="M1778" s="17" t="str">
        <f>ROUND(Github!O$1939, 2)&amp;"%"</f>
        <v>39.25%</v>
      </c>
      <c r="N1778" s="17">
        <f>Github!P$1939</f>
        <v>3169</v>
      </c>
      <c r="O1778" s="17">
        <f>Github!Q$1939</f>
        <v>8074</v>
      </c>
    </row>
    <row r="1779" ht="18.0" customHeight="1">
      <c r="A1779" s="17">
        <f>Github!J$1602</f>
        <v>1601</v>
      </c>
      <c r="B1779" s="27" t="str">
        <f>HYPERLINK(CONCAT("http://leetcode.com/problems/",Github!C$1602), Github!B$1602)</f>
        <v>Maximum Number of Achievable Transfer Requests</v>
      </c>
      <c r="C1779" s="17">
        <f>Github!F$1602</f>
        <v>212</v>
      </c>
      <c r="D1779" s="17">
        <f>Github!G$1602</f>
        <v>26</v>
      </c>
      <c r="E1779" s="17">
        <f>Github!F$1602+Github!G$1602</f>
        <v>238</v>
      </c>
      <c r="F1779" s="18">
        <f t="shared" si="1"/>
        <v>8.15</v>
      </c>
      <c r="G1779" s="17" t="str">
        <f>Github!H$1602</f>
        <v>Algorithms</v>
      </c>
      <c r="H1779" s="19" t="str">
        <f>SUBSTITUTE(Github!L$1602, ";", ", ")</f>
        <v>Array, Backtracking, Bit Manipulation, Enumeration, </v>
      </c>
      <c r="I1779" s="17" t="str">
        <f>Github!E$1602</f>
        <v>Hard</v>
      </c>
      <c r="J1779" s="17" t="str">
        <f>IF(TRIM(Github!D$1602)="TRUE","FALSE","TRUE")</f>
        <v>TRUE</v>
      </c>
      <c r="K1779" s="17" t="b">
        <f>Github!M$1602</f>
        <v>0</v>
      </c>
      <c r="L1779" s="17" t="b">
        <f>Github!N$1602</f>
        <v>0</v>
      </c>
      <c r="M1779" s="17" t="str">
        <f>ROUND(Github!O$1602, 2)&amp;"%"</f>
        <v>50.65%</v>
      </c>
      <c r="N1779" s="17">
        <f>Github!P$1602</f>
        <v>7706</v>
      </c>
      <c r="O1779" s="17">
        <f>Github!Q$1602</f>
        <v>15213</v>
      </c>
    </row>
    <row r="1780" ht="18.0" customHeight="1">
      <c r="A1780" s="17">
        <f>Github!J$1660</f>
        <v>1659</v>
      </c>
      <c r="B1780" s="27" t="str">
        <f>HYPERLINK(CONCAT("http://leetcode.com/problems/",Github!C$1660), Github!B$1660)</f>
        <v>Maximize Grid Happiness</v>
      </c>
      <c r="C1780" s="17">
        <f>Github!F$1660</f>
        <v>212</v>
      </c>
      <c r="D1780" s="17">
        <f>Github!G$1660</f>
        <v>46</v>
      </c>
      <c r="E1780" s="17">
        <f>Github!F$1660+Github!G$1660</f>
        <v>258</v>
      </c>
      <c r="F1780" s="18">
        <f t="shared" si="1"/>
        <v>4.61</v>
      </c>
      <c r="G1780" s="17" t="str">
        <f>Github!H$1660</f>
        <v>Algorithms</v>
      </c>
      <c r="H1780" s="19" t="str">
        <f>SUBSTITUTE(Github!L$1660, ";", ", ")</f>
        <v>Dynamic Programming, Bit Manipulation, Memoization, Bitmask, </v>
      </c>
      <c r="I1780" s="17" t="str">
        <f>Github!E$1660</f>
        <v>Hard</v>
      </c>
      <c r="J1780" s="17" t="str">
        <f>IF(TRIM(Github!D$1660)="TRUE","FALSE","TRUE")</f>
        <v>TRUE</v>
      </c>
      <c r="K1780" s="17" t="b">
        <f>Github!M$1660</f>
        <v>0</v>
      </c>
      <c r="L1780" s="17" t="b">
        <f>Github!N$1660</f>
        <v>0</v>
      </c>
      <c r="M1780" s="17" t="str">
        <f>ROUND(Github!O$1660, 2)&amp;"%"</f>
        <v>37.44%</v>
      </c>
      <c r="N1780" s="17">
        <f>Github!P$1660</f>
        <v>3544</v>
      </c>
      <c r="O1780" s="17">
        <f>Github!Q$1660</f>
        <v>9466</v>
      </c>
    </row>
    <row r="1781" ht="18.0" customHeight="1">
      <c r="A1781" s="17">
        <f>Github!J$1816</f>
        <v>1815</v>
      </c>
      <c r="B1781" s="27" t="str">
        <f>HYPERLINK(CONCAT("http://leetcode.com/problems/",Github!C$1816), Github!B$1816)</f>
        <v>Maximum Number of Groups Getting Fresh Donuts</v>
      </c>
      <c r="C1781" s="17">
        <f>Github!F$1816</f>
        <v>212</v>
      </c>
      <c r="D1781" s="17">
        <f>Github!G$1816</f>
        <v>13</v>
      </c>
      <c r="E1781" s="17">
        <f>Github!F$1816+Github!G$1816</f>
        <v>225</v>
      </c>
      <c r="F1781" s="18">
        <f t="shared" si="1"/>
        <v>16.31</v>
      </c>
      <c r="G1781" s="17" t="str">
        <f>Github!H$1816</f>
        <v>Algorithms</v>
      </c>
      <c r="H1781" s="19" t="str">
        <f>SUBSTITUTE(Github!L$1816, ";", ", ")</f>
        <v>Array, Dynamic Programming, Bit Manipulation, Memoization, Bitmask, </v>
      </c>
      <c r="I1781" s="17" t="str">
        <f>Github!E$1816</f>
        <v>Hard</v>
      </c>
      <c r="J1781" s="17" t="str">
        <f>IF(TRIM(Github!D$1816)="TRUE","FALSE","TRUE")</f>
        <v>TRUE</v>
      </c>
      <c r="K1781" s="17" t="b">
        <f>Github!M$1816</f>
        <v>0</v>
      </c>
      <c r="L1781" s="17" t="b">
        <f>Github!N$1816</f>
        <v>0</v>
      </c>
      <c r="M1781" s="17" t="str">
        <f>ROUND(Github!O$1816, 2)&amp;"%"</f>
        <v>39.91%</v>
      </c>
      <c r="N1781" s="17">
        <f>Github!P$1816</f>
        <v>4051</v>
      </c>
      <c r="O1781" s="17">
        <f>Github!Q$1816</f>
        <v>10150</v>
      </c>
    </row>
    <row r="1782" ht="18.0" customHeight="1">
      <c r="A1782" s="17">
        <f>Github!J$1933</f>
        <v>1932</v>
      </c>
      <c r="B1782" s="27" t="str">
        <f>HYPERLINK(CONCAT("http://leetcode.com/problems/",Github!C$1933), Github!B$1933)</f>
        <v>Merge BSTs to Create Single BST</v>
      </c>
      <c r="C1782" s="17">
        <f>Github!F$1933</f>
        <v>212</v>
      </c>
      <c r="D1782" s="17">
        <f>Github!G$1933</f>
        <v>22</v>
      </c>
      <c r="E1782" s="17">
        <f>Github!F$1933+Github!G$1933</f>
        <v>234</v>
      </c>
      <c r="F1782" s="18">
        <f t="shared" si="1"/>
        <v>9.64</v>
      </c>
      <c r="G1782" s="17" t="str">
        <f>Github!H$1933</f>
        <v>Algorithms</v>
      </c>
      <c r="H1782" s="19" t="str">
        <f>SUBSTITUTE(Github!L$1933, ";", ", ")</f>
        <v>Hash Table, Binary Search, Tree, Depth-First Search, Binary Tree, </v>
      </c>
      <c r="I1782" s="17" t="str">
        <f>Github!E$1933</f>
        <v>Hard</v>
      </c>
      <c r="J1782" s="17" t="str">
        <f>IF(TRIM(Github!D$1933)="TRUE","FALSE","TRUE")</f>
        <v>TRUE</v>
      </c>
      <c r="K1782" s="17" t="b">
        <f>Github!M$1933</f>
        <v>0</v>
      </c>
      <c r="L1782" s="17" t="b">
        <f>Github!N$1933</f>
        <v>0</v>
      </c>
      <c r="M1782" s="17" t="str">
        <f>ROUND(Github!O$1933, 2)&amp;"%"</f>
        <v>34.95%</v>
      </c>
      <c r="N1782" s="17">
        <f>Github!P$1933</f>
        <v>4009</v>
      </c>
      <c r="O1782" s="17">
        <f>Github!Q$1933</f>
        <v>11470</v>
      </c>
    </row>
    <row r="1783" ht="18.0" customHeight="1">
      <c r="A1783" s="17">
        <f>Github!J$1937</f>
        <v>1936</v>
      </c>
      <c r="B1783" s="27" t="str">
        <f>HYPERLINK(CONCAT("http://leetcode.com/problems/",Github!C$1937), Github!B$1937)</f>
        <v>Add Minimum Number of Rungs</v>
      </c>
      <c r="C1783" s="17">
        <f>Github!F$1937</f>
        <v>212</v>
      </c>
      <c r="D1783" s="17">
        <f>Github!G$1937</f>
        <v>17</v>
      </c>
      <c r="E1783" s="17">
        <f>Github!F$1937+Github!G$1937</f>
        <v>229</v>
      </c>
      <c r="F1783" s="18">
        <f t="shared" si="1"/>
        <v>12.47</v>
      </c>
      <c r="G1783" s="17" t="str">
        <f>Github!H$1937</f>
        <v>Algorithms</v>
      </c>
      <c r="H1783" s="19" t="str">
        <f>SUBSTITUTE(Github!L$1937, ";", ", ")</f>
        <v>Array, Greedy, </v>
      </c>
      <c r="I1783" s="17" t="str">
        <f>Github!E$1937</f>
        <v>Medium</v>
      </c>
      <c r="J1783" s="17" t="str">
        <f>IF(TRIM(Github!D$1937)="TRUE","FALSE","TRUE")</f>
        <v>TRUE</v>
      </c>
      <c r="K1783" s="17" t="b">
        <f>Github!M$1937</f>
        <v>0</v>
      </c>
      <c r="L1783" s="17" t="b">
        <f>Github!N$1937</f>
        <v>0</v>
      </c>
      <c r="M1783" s="17" t="str">
        <f>ROUND(Github!O$1937, 2)&amp;"%"</f>
        <v>42.24%</v>
      </c>
      <c r="N1783" s="17">
        <f>Github!P$1937</f>
        <v>17891</v>
      </c>
      <c r="O1783" s="17">
        <f>Github!Q$1937</f>
        <v>42355</v>
      </c>
    </row>
    <row r="1784" ht="18.0" customHeight="1">
      <c r="A1784" s="17">
        <f>Github!J$2072</f>
        <v>2071</v>
      </c>
      <c r="B1784" s="27" t="str">
        <f>HYPERLINK(CONCAT("http://leetcode.com/problems/",Github!C$2072), Github!B$2072)</f>
        <v>Maximum Number of Tasks You Can Assign</v>
      </c>
      <c r="C1784" s="17">
        <f>Github!F$2072</f>
        <v>213</v>
      </c>
      <c r="D1784" s="17">
        <f>Github!G$2072</f>
        <v>10</v>
      </c>
      <c r="E1784" s="17">
        <f>Github!F$2072+Github!G$2072</f>
        <v>223</v>
      </c>
      <c r="F1784" s="18">
        <f t="shared" si="1"/>
        <v>21.3</v>
      </c>
      <c r="G1784" s="17" t="str">
        <f>Github!H$2072</f>
        <v>Algorithms</v>
      </c>
      <c r="H1784" s="19" t="str">
        <f>SUBSTITUTE(Github!L$2072, ";", ", ")</f>
        <v>Array, Binary Search, Greedy, Queue, Sorting, Monotonic Queue, </v>
      </c>
      <c r="I1784" s="17" t="str">
        <f>Github!E$2072</f>
        <v>Hard</v>
      </c>
      <c r="J1784" s="17" t="str">
        <f>IF(TRIM(Github!D$2072)="TRUE","FALSE","TRUE")</f>
        <v>TRUE</v>
      </c>
      <c r="K1784" s="17" t="b">
        <f>Github!M$2072</f>
        <v>0</v>
      </c>
      <c r="L1784" s="17" t="b">
        <f>Github!N$2072</f>
        <v>0</v>
      </c>
      <c r="M1784" s="17" t="str">
        <f>ROUND(Github!O$2072, 2)&amp;"%"</f>
        <v>37.09%</v>
      </c>
      <c r="N1784" s="17">
        <f>Github!P$2072</f>
        <v>3992</v>
      </c>
      <c r="O1784" s="17">
        <f>Github!Q$2072</f>
        <v>10763</v>
      </c>
    </row>
    <row r="1785" ht="18.0" customHeight="1">
      <c r="A1785" s="17">
        <f>Github!J$2149</f>
        <v>2148</v>
      </c>
      <c r="B1785" s="27" t="str">
        <f>HYPERLINK(CONCAT("http://leetcode.com/problems/",Github!C$2149), Github!B$2149)</f>
        <v>Count Elements With Strictly Smaller and Greater Elements </v>
      </c>
      <c r="C1785" s="17">
        <f>Github!F$2149</f>
        <v>212</v>
      </c>
      <c r="D1785" s="17">
        <f>Github!G$2149</f>
        <v>7</v>
      </c>
      <c r="E1785" s="17">
        <f>Github!F$2149+Github!G$2149</f>
        <v>219</v>
      </c>
      <c r="F1785" s="18">
        <f t="shared" si="1"/>
        <v>30.29</v>
      </c>
      <c r="G1785" s="17" t="str">
        <f>Github!H$2149</f>
        <v>Algorithms</v>
      </c>
      <c r="H1785" s="19" t="str">
        <f>SUBSTITUTE(Github!L$2149, ";", ", ")</f>
        <v>Array, Sorting, </v>
      </c>
      <c r="I1785" s="17" t="str">
        <f>Github!E$2149</f>
        <v>Easy</v>
      </c>
      <c r="J1785" s="17" t="str">
        <f>IF(TRIM(Github!D$2149)="TRUE","FALSE","TRUE")</f>
        <v>TRUE</v>
      </c>
      <c r="K1785" s="17" t="b">
        <f>Github!M$2149</f>
        <v>0</v>
      </c>
      <c r="L1785" s="17" t="b">
        <f>Github!N$2149</f>
        <v>0</v>
      </c>
      <c r="M1785" s="17" t="str">
        <f>ROUND(Github!O$2149, 2)&amp;"%"</f>
        <v>60.51%</v>
      </c>
      <c r="N1785" s="17">
        <f>Github!P$2149</f>
        <v>23711</v>
      </c>
      <c r="O1785" s="17">
        <f>Github!Q$2149</f>
        <v>39187</v>
      </c>
    </row>
    <row r="1786" ht="18.0" customHeight="1">
      <c r="A1786" s="17">
        <f>Github!J$1252</f>
        <v>1251</v>
      </c>
      <c r="B1786" s="27" t="str">
        <f>HYPERLINK(CONCAT("http://leetcode.com/problems/",Github!C$1252), Github!B$1252)</f>
        <v>Average Selling Price</v>
      </c>
      <c r="C1786" s="17">
        <f>Github!F$1252</f>
        <v>211</v>
      </c>
      <c r="D1786" s="17">
        <f>Github!G$1252</f>
        <v>20</v>
      </c>
      <c r="E1786" s="17">
        <f>Github!F$1252+Github!G$1252</f>
        <v>231</v>
      </c>
      <c r="F1786" s="18">
        <f t="shared" si="1"/>
        <v>10.55</v>
      </c>
      <c r="G1786" s="17" t="str">
        <f>Github!H$1252</f>
        <v>Database</v>
      </c>
      <c r="H1786" s="19" t="str">
        <f>SUBSTITUTE(Github!L$1252, ";", ", ")</f>
        <v>Database, </v>
      </c>
      <c r="I1786" s="17" t="str">
        <f>Github!E$1252</f>
        <v>Easy</v>
      </c>
      <c r="J1786" s="17" t="str">
        <f>IF(TRIM(Github!D$1252)="TRUE","FALSE","TRUE")</f>
        <v>FALSE</v>
      </c>
      <c r="K1786" s="17" t="b">
        <f>Github!M$1252</f>
        <v>0</v>
      </c>
      <c r="L1786" s="17" t="b">
        <f>Github!N$1252</f>
        <v>0</v>
      </c>
      <c r="M1786" s="17" t="str">
        <f>ROUND(Github!O$1252, 2)&amp;"%"</f>
        <v>83.34%</v>
      </c>
      <c r="N1786" s="17">
        <f>Github!P$1252</f>
        <v>31954</v>
      </c>
      <c r="O1786" s="17">
        <f>Github!Q$1252</f>
        <v>38341</v>
      </c>
    </row>
    <row r="1787" ht="18.0" customHeight="1">
      <c r="A1787" s="17">
        <f>Github!J$1259</f>
        <v>1258</v>
      </c>
      <c r="B1787" s="27" t="str">
        <f>HYPERLINK(CONCAT("http://leetcode.com/problems/",Github!C$1259), Github!B$1259)</f>
        <v>Synonymous Sentences</v>
      </c>
      <c r="C1787" s="17">
        <f>Github!F$1259</f>
        <v>211</v>
      </c>
      <c r="D1787" s="17">
        <f>Github!G$1259</f>
        <v>81</v>
      </c>
      <c r="E1787" s="17">
        <f>Github!F$1259+Github!G$1259</f>
        <v>292</v>
      </c>
      <c r="F1787" s="18">
        <f t="shared" si="1"/>
        <v>2.6</v>
      </c>
      <c r="G1787" s="17" t="str">
        <f>Github!H$1259</f>
        <v>Algorithms</v>
      </c>
      <c r="H1787" s="19" t="str">
        <f>SUBSTITUTE(Github!L$1259, ";", ", ")</f>
        <v>Array, Hash Table, String, Backtracking, Union Find, </v>
      </c>
      <c r="I1787" s="17" t="str">
        <f>Github!E$1259</f>
        <v>Medium</v>
      </c>
      <c r="J1787" s="17" t="str">
        <f>IF(TRIM(Github!D$1259)="TRUE","FALSE","TRUE")</f>
        <v>FALSE</v>
      </c>
      <c r="K1787" s="17" t="b">
        <f>Github!M$1259</f>
        <v>0</v>
      </c>
      <c r="L1787" s="17" t="b">
        <f>Github!N$1259</f>
        <v>0</v>
      </c>
      <c r="M1787" s="17" t="str">
        <f>ROUND(Github!O$1259, 2)&amp;"%"</f>
        <v>56.26%</v>
      </c>
      <c r="N1787" s="17">
        <f>Github!P$1259</f>
        <v>12275</v>
      </c>
      <c r="O1787" s="17">
        <f>Github!Q$1259</f>
        <v>21818</v>
      </c>
    </row>
    <row r="1788" ht="18.0" customHeight="1">
      <c r="A1788" s="17">
        <f>Github!J$1277</f>
        <v>1276</v>
      </c>
      <c r="B1788" s="27" t="str">
        <f>HYPERLINK(CONCAT("http://leetcode.com/problems/",Github!C$1277), Github!B$1277)</f>
        <v>Number of Burgers with No Waste of Ingredients</v>
      </c>
      <c r="C1788" s="17">
        <f>Github!F$1277</f>
        <v>211</v>
      </c>
      <c r="D1788" s="17">
        <f>Github!G$1277</f>
        <v>183</v>
      </c>
      <c r="E1788" s="17">
        <f>Github!F$1277+Github!G$1277</f>
        <v>394</v>
      </c>
      <c r="F1788" s="18">
        <f t="shared" si="1"/>
        <v>1.15</v>
      </c>
      <c r="G1788" s="17" t="str">
        <f>Github!H$1277</f>
        <v>Algorithms</v>
      </c>
      <c r="H1788" s="19" t="str">
        <f>SUBSTITUTE(Github!L$1277, ";", ", ")</f>
        <v>Math, </v>
      </c>
      <c r="I1788" s="17" t="str">
        <f>Github!E$1277</f>
        <v>Medium</v>
      </c>
      <c r="J1788" s="17" t="str">
        <f>IF(TRIM(Github!D$1277)="TRUE","FALSE","TRUE")</f>
        <v>TRUE</v>
      </c>
      <c r="K1788" s="17" t="b">
        <f>Github!M$1277</f>
        <v>0</v>
      </c>
      <c r="L1788" s="17" t="b">
        <f>Github!N$1277</f>
        <v>0</v>
      </c>
      <c r="M1788" s="17" t="str">
        <f>ROUND(Github!O$1277, 2)&amp;"%"</f>
        <v>50.63%</v>
      </c>
      <c r="N1788" s="17">
        <f>Github!P$1277</f>
        <v>17461</v>
      </c>
      <c r="O1788" s="17">
        <f>Github!Q$1277</f>
        <v>34490</v>
      </c>
    </row>
    <row r="1789" ht="18.0" customHeight="1">
      <c r="A1789" s="17">
        <f>Github!J$1978</f>
        <v>1977</v>
      </c>
      <c r="B1789" s="27" t="str">
        <f>HYPERLINK(CONCAT("http://leetcode.com/problems/",Github!C$1978), Github!B$1978)</f>
        <v>Number of Ways to Separate Numbers</v>
      </c>
      <c r="C1789" s="17">
        <f>Github!F$1978</f>
        <v>211</v>
      </c>
      <c r="D1789" s="17">
        <f>Github!G$1978</f>
        <v>26</v>
      </c>
      <c r="E1789" s="17">
        <f>Github!F$1978+Github!G$1978</f>
        <v>237</v>
      </c>
      <c r="F1789" s="18">
        <f t="shared" si="1"/>
        <v>8.12</v>
      </c>
      <c r="G1789" s="17" t="str">
        <f>Github!H$1978</f>
        <v>Algorithms</v>
      </c>
      <c r="H1789" s="19" t="str">
        <f>SUBSTITUTE(Github!L$1978, ";", ", ")</f>
        <v>String, Dynamic Programming, Suffix Array, </v>
      </c>
      <c r="I1789" s="17" t="str">
        <f>Github!E$1978</f>
        <v>Hard</v>
      </c>
      <c r="J1789" s="17" t="str">
        <f>IF(TRIM(Github!D$1978)="TRUE","FALSE","TRUE")</f>
        <v>TRUE</v>
      </c>
      <c r="K1789" s="17" t="b">
        <f>Github!M$1978</f>
        <v>0</v>
      </c>
      <c r="L1789" s="17" t="b">
        <f>Github!N$1978</f>
        <v>0</v>
      </c>
      <c r="M1789" s="17" t="str">
        <f>ROUND(Github!O$1978, 2)&amp;"%"</f>
        <v>22.64%</v>
      </c>
      <c r="N1789" s="17">
        <f>Github!P$1978</f>
        <v>2594</v>
      </c>
      <c r="O1789" s="17">
        <f>Github!Q$1978</f>
        <v>11458</v>
      </c>
    </row>
    <row r="1790" ht="18.0" customHeight="1">
      <c r="A1790" s="17">
        <f>Github!J$572</f>
        <v>571</v>
      </c>
      <c r="B1790" s="27" t="str">
        <f>HYPERLINK(CONCAT("http://leetcode.com/problems/",Github!C$572), Github!B$572)</f>
        <v>Find Median Given Frequency of Numbers</v>
      </c>
      <c r="C1790" s="17">
        <f>Github!F$572</f>
        <v>210</v>
      </c>
      <c r="D1790" s="17">
        <f>Github!G$572</f>
        <v>62</v>
      </c>
      <c r="E1790" s="17">
        <f>Github!F$572+Github!G$572</f>
        <v>272</v>
      </c>
      <c r="F1790" s="18">
        <f t="shared" si="1"/>
        <v>3.39</v>
      </c>
      <c r="G1790" s="17" t="str">
        <f>Github!H$572</f>
        <v>Database</v>
      </c>
      <c r="H1790" s="19" t="str">
        <f>SUBSTITUTE(Github!L$572, ";", ", ")</f>
        <v>Database, </v>
      </c>
      <c r="I1790" s="17" t="str">
        <f>Github!E$572</f>
        <v>Hard</v>
      </c>
      <c r="J1790" s="17" t="str">
        <f>IF(TRIM(Github!D$572)="TRUE","FALSE","TRUE")</f>
        <v>FALSE</v>
      </c>
      <c r="K1790" s="17" t="b">
        <f>Github!M$572</f>
        <v>0</v>
      </c>
      <c r="L1790" s="17" t="b">
        <f>Github!N$572</f>
        <v>0</v>
      </c>
      <c r="M1790" s="17" t="str">
        <f>ROUND(Github!O$572, 2)&amp;"%"</f>
        <v>44.73%</v>
      </c>
      <c r="N1790" s="17">
        <f>Github!P$572</f>
        <v>17946</v>
      </c>
      <c r="O1790" s="17">
        <f>Github!Q$572</f>
        <v>40123</v>
      </c>
    </row>
    <row r="1791" ht="18.0" customHeight="1">
      <c r="A1791" s="17">
        <f>Github!J$1074</f>
        <v>1073</v>
      </c>
      <c r="B1791" s="27" t="str">
        <f>HYPERLINK(CONCAT("http://leetcode.com/problems/",Github!C$1074), Github!B$1074)</f>
        <v>Adding Two Negabinary Numbers</v>
      </c>
      <c r="C1791" s="17">
        <f>Github!F$1074</f>
        <v>210</v>
      </c>
      <c r="D1791" s="17">
        <f>Github!G$1074</f>
        <v>87</v>
      </c>
      <c r="E1791" s="17">
        <f>Github!F$1074+Github!G$1074</f>
        <v>297</v>
      </c>
      <c r="F1791" s="18">
        <f t="shared" si="1"/>
        <v>2.41</v>
      </c>
      <c r="G1791" s="17" t="str">
        <f>Github!H$1074</f>
        <v>Algorithms</v>
      </c>
      <c r="H1791" s="19" t="str">
        <f>SUBSTITUTE(Github!L$1074, ";", ", ")</f>
        <v>Array, Math, </v>
      </c>
      <c r="I1791" s="17" t="str">
        <f>Github!E$1074</f>
        <v>Medium</v>
      </c>
      <c r="J1791" s="17" t="str">
        <f>IF(TRIM(Github!D$1074)="TRUE","FALSE","TRUE")</f>
        <v>TRUE</v>
      </c>
      <c r="K1791" s="17" t="b">
        <f>Github!M$1074</f>
        <v>0</v>
      </c>
      <c r="L1791" s="17" t="b">
        <f>Github!N$1074</f>
        <v>0</v>
      </c>
      <c r="M1791" s="17" t="str">
        <f>ROUND(Github!O$1074, 2)&amp;"%"</f>
        <v>35.64%</v>
      </c>
      <c r="N1791" s="17">
        <f>Github!P$1074</f>
        <v>11373</v>
      </c>
      <c r="O1791" s="17">
        <f>Github!Q$1074</f>
        <v>31913</v>
      </c>
    </row>
    <row r="1792" ht="18.0" customHeight="1">
      <c r="A1792" s="17">
        <f>Github!J$2031</f>
        <v>2030</v>
      </c>
      <c r="B1792" s="27" t="str">
        <f>HYPERLINK(CONCAT("http://leetcode.com/problems/",Github!C$2031), Github!B$2031)</f>
        <v>Smallest K-Length Subsequence With Occurrences of a Letter</v>
      </c>
      <c r="C1792" s="17">
        <f>Github!F$2031</f>
        <v>210</v>
      </c>
      <c r="D1792" s="17">
        <f>Github!G$2031</f>
        <v>6</v>
      </c>
      <c r="E1792" s="17">
        <f>Github!F$2031+Github!G$2031</f>
        <v>216</v>
      </c>
      <c r="F1792" s="18">
        <f t="shared" si="1"/>
        <v>35</v>
      </c>
      <c r="G1792" s="17" t="str">
        <f>Github!H$2031</f>
        <v>Algorithms</v>
      </c>
      <c r="H1792" s="19" t="str">
        <f>SUBSTITUTE(Github!L$2031, ";", ", ")</f>
        <v>String, Stack, Greedy, Monotonic Stack, </v>
      </c>
      <c r="I1792" s="17" t="str">
        <f>Github!E$2031</f>
        <v>Hard</v>
      </c>
      <c r="J1792" s="17" t="str">
        <f>IF(TRIM(Github!D$2031)="TRUE","FALSE","TRUE")</f>
        <v>TRUE</v>
      </c>
      <c r="K1792" s="17" t="b">
        <f>Github!M$2031</f>
        <v>0</v>
      </c>
      <c r="L1792" s="17" t="b">
        <f>Github!N$2031</f>
        <v>0</v>
      </c>
      <c r="M1792" s="17" t="str">
        <f>ROUND(Github!O$2031, 2)&amp;"%"</f>
        <v>38.93%</v>
      </c>
      <c r="N1792" s="17">
        <f>Github!P$2031</f>
        <v>3844</v>
      </c>
      <c r="O1792" s="17">
        <f>Github!Q$2031</f>
        <v>9875</v>
      </c>
    </row>
    <row r="1793" ht="18.0" customHeight="1">
      <c r="A1793" s="17">
        <f>Github!J$2123</f>
        <v>2122</v>
      </c>
      <c r="B1793" s="27" t="str">
        <f>HYPERLINK(CONCAT("http://leetcode.com/problems/",Github!C$2123), Github!B$2123)</f>
        <v>Recover the Original Array</v>
      </c>
      <c r="C1793" s="17">
        <f>Github!F$2123</f>
        <v>210</v>
      </c>
      <c r="D1793" s="17">
        <f>Github!G$2123</f>
        <v>26</v>
      </c>
      <c r="E1793" s="17">
        <f>Github!F$2123+Github!G$2123</f>
        <v>236</v>
      </c>
      <c r="F1793" s="18">
        <f t="shared" si="1"/>
        <v>8.08</v>
      </c>
      <c r="G1793" s="17" t="str">
        <f>Github!H$2123</f>
        <v>Algorithms</v>
      </c>
      <c r="H1793" s="19" t="str">
        <f>SUBSTITUTE(Github!L$2123, ";", ", ")</f>
        <v>Array, Hash Table, Sorting, Enumeration, </v>
      </c>
      <c r="I1793" s="17" t="str">
        <f>Github!E$2123</f>
        <v>Hard</v>
      </c>
      <c r="J1793" s="17" t="str">
        <f>IF(TRIM(Github!D$2123)="TRUE","FALSE","TRUE")</f>
        <v>TRUE</v>
      </c>
      <c r="K1793" s="17" t="b">
        <f>Github!M$2123</f>
        <v>0</v>
      </c>
      <c r="L1793" s="17" t="b">
        <f>Github!N$2123</f>
        <v>0</v>
      </c>
      <c r="M1793" s="17" t="str">
        <f>ROUND(Github!O$2123, 2)&amp;"%"</f>
        <v>37.53%</v>
      </c>
      <c r="N1793" s="17">
        <f>Github!P$2123</f>
        <v>6084</v>
      </c>
      <c r="O1793" s="17">
        <f>Github!Q$2123</f>
        <v>16211</v>
      </c>
    </row>
    <row r="1794" ht="18.0" customHeight="1">
      <c r="A1794" s="17">
        <f>Github!J$571</f>
        <v>570</v>
      </c>
      <c r="B1794" s="27" t="str">
        <f>HYPERLINK(CONCAT("http://leetcode.com/problems/",Github!C$571), Github!B$571)</f>
        <v>Managers with at Least 5 Direct Reports</v>
      </c>
      <c r="C1794" s="17">
        <f>Github!F$571</f>
        <v>208</v>
      </c>
      <c r="D1794" s="17">
        <f>Github!G$571</f>
        <v>29</v>
      </c>
      <c r="E1794" s="17">
        <f>Github!F$571+Github!G$571</f>
        <v>237</v>
      </c>
      <c r="F1794" s="18">
        <f t="shared" si="1"/>
        <v>7.17</v>
      </c>
      <c r="G1794" s="17" t="str">
        <f>Github!H$571</f>
        <v>Database</v>
      </c>
      <c r="H1794" s="19" t="str">
        <f>SUBSTITUTE(Github!L$571, ";", ", ")</f>
        <v>Database, </v>
      </c>
      <c r="I1794" s="17" t="str">
        <f>Github!E$571</f>
        <v>Medium</v>
      </c>
      <c r="J1794" s="17" t="str">
        <f>IF(TRIM(Github!D$571)="TRUE","FALSE","TRUE")</f>
        <v>FALSE</v>
      </c>
      <c r="K1794" s="17" t="b">
        <f>Github!M$571</f>
        <v>1</v>
      </c>
      <c r="L1794" s="17" t="b">
        <f>Github!N$571</f>
        <v>0</v>
      </c>
      <c r="M1794" s="17" t="str">
        <f>ROUND(Github!O$571, 2)&amp;"%"</f>
        <v>66.98%</v>
      </c>
      <c r="N1794" s="17">
        <f>Github!P$571</f>
        <v>54692</v>
      </c>
      <c r="O1794" s="17">
        <f>Github!Q$571</f>
        <v>81655</v>
      </c>
    </row>
    <row r="1795" ht="18.0" customHeight="1">
      <c r="A1795" s="17">
        <f>Github!J$712</f>
        <v>711</v>
      </c>
      <c r="B1795" s="27" t="str">
        <f>HYPERLINK(CONCAT("http://leetcode.com/problems/",Github!C$712), Github!B$712)</f>
        <v>Number of Distinct Islands II</v>
      </c>
      <c r="C1795" s="17">
        <f>Github!F$712</f>
        <v>208</v>
      </c>
      <c r="D1795" s="17">
        <f>Github!G$712</f>
        <v>214</v>
      </c>
      <c r="E1795" s="17">
        <f>Github!F$712+Github!G$712</f>
        <v>422</v>
      </c>
      <c r="F1795" s="18">
        <f t="shared" si="1"/>
        <v>0.97</v>
      </c>
      <c r="G1795" s="17" t="str">
        <f>Github!H$712</f>
        <v>Algorithms</v>
      </c>
      <c r="H1795" s="19" t="str">
        <f>SUBSTITUTE(Github!L$712, ";", ", ")</f>
        <v>Hash Table, Depth-First Search, Breadth-First Search, Union Find, Hash Function, </v>
      </c>
      <c r="I1795" s="17" t="str">
        <f>Github!E$712</f>
        <v>Hard</v>
      </c>
      <c r="J1795" s="17" t="str">
        <f>IF(TRIM(Github!D$712)="TRUE","FALSE","TRUE")</f>
        <v>FALSE</v>
      </c>
      <c r="K1795" s="17" t="b">
        <f>Github!M$712</f>
        <v>0</v>
      </c>
      <c r="L1795" s="17" t="b">
        <f>Github!N$712</f>
        <v>0</v>
      </c>
      <c r="M1795" s="17" t="str">
        <f>ROUND(Github!O$712, 2)&amp;"%"</f>
        <v>50.88%</v>
      </c>
      <c r="N1795" s="17">
        <f>Github!P$712</f>
        <v>8059</v>
      </c>
      <c r="O1795" s="17">
        <f>Github!Q$712</f>
        <v>15840</v>
      </c>
    </row>
    <row r="1796" ht="18.0" customHeight="1">
      <c r="A1796" s="17">
        <f>Github!J$1814</f>
        <v>1813</v>
      </c>
      <c r="B1796" s="27" t="str">
        <f>HYPERLINK(CONCAT("http://leetcode.com/problems/",Github!C$1814), Github!B$1814)</f>
        <v>Sentence Similarity III</v>
      </c>
      <c r="C1796" s="17">
        <f>Github!F$1814</f>
        <v>207</v>
      </c>
      <c r="D1796" s="17">
        <f>Github!G$1814</f>
        <v>38</v>
      </c>
      <c r="E1796" s="17">
        <f>Github!F$1814+Github!G$1814</f>
        <v>245</v>
      </c>
      <c r="F1796" s="18">
        <f t="shared" si="1"/>
        <v>5.45</v>
      </c>
      <c r="G1796" s="17" t="str">
        <f>Github!H$1814</f>
        <v>Algorithms</v>
      </c>
      <c r="H1796" s="19" t="str">
        <f>SUBSTITUTE(Github!L$1814, ";", ", ")</f>
        <v>Array, Two Pointers, String, </v>
      </c>
      <c r="I1796" s="17" t="str">
        <f>Github!E$1814</f>
        <v>Medium</v>
      </c>
      <c r="J1796" s="17" t="str">
        <f>IF(TRIM(Github!D$1814)="TRUE","FALSE","TRUE")</f>
        <v>TRUE</v>
      </c>
      <c r="K1796" s="17" t="b">
        <f>Github!M$1814</f>
        <v>0</v>
      </c>
      <c r="L1796" s="17" t="b">
        <f>Github!N$1814</f>
        <v>0</v>
      </c>
      <c r="M1796" s="17" t="str">
        <f>ROUND(Github!O$1814, 2)&amp;"%"</f>
        <v>32.24%</v>
      </c>
      <c r="N1796" s="17">
        <f>Github!P$1814</f>
        <v>9139</v>
      </c>
      <c r="O1796" s="17">
        <f>Github!Q$1814</f>
        <v>28351</v>
      </c>
    </row>
    <row r="1797" ht="18.0" customHeight="1">
      <c r="A1797" s="17">
        <f>Github!J$1953</f>
        <v>1952</v>
      </c>
      <c r="B1797" s="27" t="str">
        <f>HYPERLINK(CONCAT("http://leetcode.com/problems/",Github!C$1953), Github!B$1953)</f>
        <v>Three Divisors</v>
      </c>
      <c r="C1797" s="17">
        <f>Github!F$1953</f>
        <v>206</v>
      </c>
      <c r="D1797" s="17">
        <f>Github!G$1953</f>
        <v>15</v>
      </c>
      <c r="E1797" s="17">
        <f>Github!F$1953+Github!G$1953</f>
        <v>221</v>
      </c>
      <c r="F1797" s="18">
        <f t="shared" si="1"/>
        <v>13.73</v>
      </c>
      <c r="G1797" s="17" t="str">
        <f>Github!H$1953</f>
        <v>Algorithms</v>
      </c>
      <c r="H1797" s="19" t="str">
        <f>SUBSTITUTE(Github!L$1953, ";", ", ")</f>
        <v>Math, </v>
      </c>
      <c r="I1797" s="17" t="str">
        <f>Github!E$1953</f>
        <v>Easy</v>
      </c>
      <c r="J1797" s="17" t="str">
        <f>IF(TRIM(Github!D$1953)="TRUE","FALSE","TRUE")</f>
        <v>TRUE</v>
      </c>
      <c r="K1797" s="17" t="b">
        <f>Github!M$1953</f>
        <v>0</v>
      </c>
      <c r="L1797" s="17" t="b">
        <f>Github!N$1953</f>
        <v>0</v>
      </c>
      <c r="M1797" s="17" t="str">
        <f>ROUND(Github!O$1953, 2)&amp;"%"</f>
        <v>56.5%</v>
      </c>
      <c r="N1797" s="17">
        <f>Github!P$1953</f>
        <v>24310</v>
      </c>
      <c r="O1797" s="17">
        <f>Github!Q$1953</f>
        <v>43024</v>
      </c>
    </row>
    <row r="1798" ht="18.0" customHeight="1">
      <c r="A1798" s="17">
        <f>Github!J$611</f>
        <v>610</v>
      </c>
      <c r="B1798" s="27" t="str">
        <f>HYPERLINK(CONCAT("http://leetcode.com/problems/",Github!C$611), Github!B$611)</f>
        <v>Triangle Judgement</v>
      </c>
      <c r="C1798" s="17">
        <f>Github!F$611</f>
        <v>205</v>
      </c>
      <c r="D1798" s="17">
        <f>Github!G$611</f>
        <v>46</v>
      </c>
      <c r="E1798" s="17">
        <f>Github!F$611+Github!G$611</f>
        <v>251</v>
      </c>
      <c r="F1798" s="18">
        <f t="shared" si="1"/>
        <v>4.46</v>
      </c>
      <c r="G1798" s="17" t="str">
        <f>Github!H$611</f>
        <v>Database</v>
      </c>
      <c r="H1798" s="19" t="str">
        <f>SUBSTITUTE(Github!L$611, ";", ", ")</f>
        <v>Database, </v>
      </c>
      <c r="I1798" s="17" t="str">
        <f>Github!E$611</f>
        <v>Easy</v>
      </c>
      <c r="J1798" s="17" t="str">
        <f>IF(TRIM(Github!D$611)="TRUE","FALSE","TRUE")</f>
        <v>FALSE</v>
      </c>
      <c r="K1798" s="17" t="b">
        <f>Github!M$611</f>
        <v>1</v>
      </c>
      <c r="L1798" s="17" t="b">
        <f>Github!N$611</f>
        <v>0</v>
      </c>
      <c r="M1798" s="17" t="str">
        <f>ROUND(Github!O$611, 2)&amp;"%"</f>
        <v>70.7%</v>
      </c>
      <c r="N1798" s="17">
        <f>Github!P$611</f>
        <v>47857</v>
      </c>
      <c r="O1798" s="17">
        <f>Github!Q$611</f>
        <v>67689</v>
      </c>
    </row>
    <row r="1799" ht="18.0" customHeight="1">
      <c r="A1799" s="17">
        <f>Github!J$2173</f>
        <v>2172</v>
      </c>
      <c r="B1799" s="27" t="str">
        <f>HYPERLINK(CONCAT("http://leetcode.com/problems/",Github!C$2173), Github!B$2173)</f>
        <v>Maximum AND Sum of Array</v>
      </c>
      <c r="C1799" s="17">
        <f>Github!F$2173</f>
        <v>205</v>
      </c>
      <c r="D1799" s="17">
        <f>Github!G$2173</f>
        <v>9</v>
      </c>
      <c r="E1799" s="17">
        <f>Github!F$2173+Github!G$2173</f>
        <v>214</v>
      </c>
      <c r="F1799" s="18">
        <f t="shared" si="1"/>
        <v>22.78</v>
      </c>
      <c r="G1799" s="17" t="str">
        <f>Github!H$2173</f>
        <v>Algorithms</v>
      </c>
      <c r="H1799" s="19" t="str">
        <f>SUBSTITUTE(Github!L$2173, ";", ", ")</f>
        <v>Array, Dynamic Programming, Bit Manipulation, Bitmask, </v>
      </c>
      <c r="I1799" s="17" t="str">
        <f>Github!E$2173</f>
        <v>Hard</v>
      </c>
      <c r="J1799" s="17" t="str">
        <f>IF(TRIM(Github!D$2173)="TRUE","FALSE","TRUE")</f>
        <v>TRUE</v>
      </c>
      <c r="K1799" s="17" t="b">
        <f>Github!M$2173</f>
        <v>0</v>
      </c>
      <c r="L1799" s="17" t="b">
        <f>Github!N$2173</f>
        <v>0</v>
      </c>
      <c r="M1799" s="17" t="str">
        <f>ROUND(Github!O$2173, 2)&amp;"%"</f>
        <v>42.85%</v>
      </c>
      <c r="N1799" s="17">
        <f>Github!P$2173</f>
        <v>4901</v>
      </c>
      <c r="O1799" s="17">
        <f>Github!Q$2173</f>
        <v>11437</v>
      </c>
    </row>
    <row r="1800" ht="18.0" customHeight="1">
      <c r="A1800" s="17">
        <f>Github!J$1304</f>
        <v>1303</v>
      </c>
      <c r="B1800" s="27" t="str">
        <f>HYPERLINK(CONCAT("http://leetcode.com/problems/",Github!C$1304), Github!B$1304)</f>
        <v>Find the Team Size</v>
      </c>
      <c r="C1800" s="17">
        <f>Github!F$1304</f>
        <v>204</v>
      </c>
      <c r="D1800" s="17">
        <f>Github!G$1304</f>
        <v>12</v>
      </c>
      <c r="E1800" s="17">
        <f>Github!F$1304+Github!G$1304</f>
        <v>216</v>
      </c>
      <c r="F1800" s="18">
        <f t="shared" si="1"/>
        <v>17</v>
      </c>
      <c r="G1800" s="17" t="str">
        <f>Github!H$1304</f>
        <v>Database</v>
      </c>
      <c r="H1800" s="19" t="str">
        <f>SUBSTITUTE(Github!L$1304, ";", ", ")</f>
        <v>Database, </v>
      </c>
      <c r="I1800" s="17" t="str">
        <f>Github!E$1304</f>
        <v>Easy</v>
      </c>
      <c r="J1800" s="17" t="str">
        <f>IF(TRIM(Github!D$1304)="TRUE","FALSE","TRUE")</f>
        <v>FALSE</v>
      </c>
      <c r="K1800" s="17" t="b">
        <f>Github!M$1304</f>
        <v>0</v>
      </c>
      <c r="L1800" s="17" t="b">
        <f>Github!N$1304</f>
        <v>0</v>
      </c>
      <c r="M1800" s="17" t="str">
        <f>ROUND(Github!O$1304, 2)&amp;"%"</f>
        <v>90.64%</v>
      </c>
      <c r="N1800" s="17">
        <f>Github!P$1304</f>
        <v>38277</v>
      </c>
      <c r="O1800" s="17">
        <f>Github!Q$1304</f>
        <v>42229</v>
      </c>
    </row>
    <row r="1801" ht="18.0" customHeight="1">
      <c r="A1801" s="17">
        <f>Github!J$1895</f>
        <v>1894</v>
      </c>
      <c r="B1801" s="27" t="str">
        <f>HYPERLINK(CONCAT("http://leetcode.com/problems/",Github!C$1895), Github!B$1895)</f>
        <v>Find the Student that Will Replace the Chalk</v>
      </c>
      <c r="C1801" s="17">
        <f>Github!F$1895</f>
        <v>204</v>
      </c>
      <c r="D1801" s="17">
        <f>Github!G$1895</f>
        <v>34</v>
      </c>
      <c r="E1801" s="17">
        <f>Github!F$1895+Github!G$1895</f>
        <v>238</v>
      </c>
      <c r="F1801" s="18">
        <f t="shared" si="1"/>
        <v>6</v>
      </c>
      <c r="G1801" s="17" t="str">
        <f>Github!H$1895</f>
        <v>Algorithms</v>
      </c>
      <c r="H1801" s="19" t="str">
        <f>SUBSTITUTE(Github!L$1895, ";", ", ")</f>
        <v>Array, Binary Search, Simulation, Prefix Sum, </v>
      </c>
      <c r="I1801" s="17" t="str">
        <f>Github!E$1895</f>
        <v>Medium</v>
      </c>
      <c r="J1801" s="17" t="str">
        <f>IF(TRIM(Github!D$1895)="TRUE","FALSE","TRUE")</f>
        <v>TRUE</v>
      </c>
      <c r="K1801" s="17" t="b">
        <f>Github!M$1895</f>
        <v>0</v>
      </c>
      <c r="L1801" s="17" t="b">
        <f>Github!N$1895</f>
        <v>0</v>
      </c>
      <c r="M1801" s="17" t="str">
        <f>ROUND(Github!O$1895, 2)&amp;"%"</f>
        <v>40.46%</v>
      </c>
      <c r="N1801" s="17">
        <f>Github!P$1895</f>
        <v>15202</v>
      </c>
      <c r="O1801" s="17">
        <f>Github!Q$1895</f>
        <v>37572</v>
      </c>
    </row>
    <row r="1802" ht="18.0" customHeight="1">
      <c r="A1802" s="17">
        <f>Github!J$1958</f>
        <v>1957</v>
      </c>
      <c r="B1802" s="27" t="str">
        <f>HYPERLINK(CONCAT("http://leetcode.com/problems/",Github!C$1958), Github!B$1958)</f>
        <v>Delete Characters to Make Fancy String</v>
      </c>
      <c r="C1802" s="17">
        <f>Github!F$1958</f>
        <v>204</v>
      </c>
      <c r="D1802" s="17">
        <f>Github!G$1958</f>
        <v>10</v>
      </c>
      <c r="E1802" s="17">
        <f>Github!F$1958+Github!G$1958</f>
        <v>214</v>
      </c>
      <c r="F1802" s="18">
        <f t="shared" si="1"/>
        <v>20.4</v>
      </c>
      <c r="G1802" s="17" t="str">
        <f>Github!H$1958</f>
        <v>Algorithms</v>
      </c>
      <c r="H1802" s="19" t="str">
        <f>SUBSTITUTE(Github!L$1958, ";", ", ")</f>
        <v>String, </v>
      </c>
      <c r="I1802" s="17" t="str">
        <f>Github!E$1958</f>
        <v>Easy</v>
      </c>
      <c r="J1802" s="17" t="str">
        <f>IF(TRIM(Github!D$1958)="TRUE","FALSE","TRUE")</f>
        <v>TRUE</v>
      </c>
      <c r="K1802" s="17" t="b">
        <f>Github!M$1958</f>
        <v>0</v>
      </c>
      <c r="L1802" s="17" t="b">
        <f>Github!N$1958</f>
        <v>0</v>
      </c>
      <c r="M1802" s="17" t="str">
        <f>ROUND(Github!O$1958, 2)&amp;"%"</f>
        <v>56.52%</v>
      </c>
      <c r="N1802" s="17">
        <f>Github!P$1958</f>
        <v>17640</v>
      </c>
      <c r="O1802" s="17">
        <f>Github!Q$1958</f>
        <v>31212</v>
      </c>
    </row>
    <row r="1803" ht="18.0" customHeight="1">
      <c r="A1803" s="17">
        <f>Github!J$551</f>
        <v>550</v>
      </c>
      <c r="B1803" s="27" t="str">
        <f>HYPERLINK(CONCAT("http://leetcode.com/problems/",Github!C$551), Github!B$551)</f>
        <v>Game Play Analysis IV</v>
      </c>
      <c r="C1803" s="17">
        <f>Github!F$551</f>
        <v>203</v>
      </c>
      <c r="D1803" s="17">
        <f>Github!G$551</f>
        <v>59</v>
      </c>
      <c r="E1803" s="17">
        <f>Github!F$551+Github!G$551</f>
        <v>262</v>
      </c>
      <c r="F1803" s="18">
        <f t="shared" si="1"/>
        <v>3.44</v>
      </c>
      <c r="G1803" s="17" t="str">
        <f>Github!H$551</f>
        <v>Database</v>
      </c>
      <c r="H1803" s="19" t="str">
        <f>SUBSTITUTE(Github!L$551, ";", ", ")</f>
        <v>Database, </v>
      </c>
      <c r="I1803" s="17" t="str">
        <f>Github!E$551</f>
        <v>Medium</v>
      </c>
      <c r="J1803" s="17" t="str">
        <f>IF(TRIM(Github!D$551)="TRUE","FALSE","TRUE")</f>
        <v>FALSE</v>
      </c>
      <c r="K1803" s="17" t="b">
        <f>Github!M$551</f>
        <v>0</v>
      </c>
      <c r="L1803" s="17" t="b">
        <f>Github!N$551</f>
        <v>0</v>
      </c>
      <c r="M1803" s="17" t="str">
        <f>ROUND(Github!O$551, 2)&amp;"%"</f>
        <v>44.18%</v>
      </c>
      <c r="N1803" s="17">
        <f>Github!P$551</f>
        <v>36794</v>
      </c>
      <c r="O1803" s="17">
        <f>Github!Q$551</f>
        <v>83285</v>
      </c>
    </row>
    <row r="1804" ht="18.0" customHeight="1">
      <c r="A1804" s="17">
        <f>Github!J$2002</f>
        <v>2001</v>
      </c>
      <c r="B1804" s="27" t="str">
        <f>HYPERLINK(CONCAT("http://leetcode.com/problems/",Github!C$2002), Github!B$2002)</f>
        <v>Number of Pairs of Interchangeable Rectangles</v>
      </c>
      <c r="C1804" s="17">
        <f>Github!F$2002</f>
        <v>206</v>
      </c>
      <c r="D1804" s="17">
        <f>Github!G$2002</f>
        <v>20</v>
      </c>
      <c r="E1804" s="17">
        <f>Github!F$2002+Github!G$2002</f>
        <v>226</v>
      </c>
      <c r="F1804" s="18">
        <f t="shared" si="1"/>
        <v>10.3</v>
      </c>
      <c r="G1804" s="17" t="str">
        <f>Github!H$2002</f>
        <v>Algorithms</v>
      </c>
      <c r="H1804" s="19" t="str">
        <f>SUBSTITUTE(Github!L$2002, ";", ", ")</f>
        <v>Array, Hash Table, Math, Counting, Number Theory, </v>
      </c>
      <c r="I1804" s="17" t="str">
        <f>Github!E$2002</f>
        <v>Medium</v>
      </c>
      <c r="J1804" s="17" t="str">
        <f>IF(TRIM(Github!D$2002)="TRUE","FALSE","TRUE")</f>
        <v>TRUE</v>
      </c>
      <c r="K1804" s="17" t="b">
        <f>Github!M$2002</f>
        <v>0</v>
      </c>
      <c r="L1804" s="17" t="b">
        <f>Github!N$2002</f>
        <v>0</v>
      </c>
      <c r="M1804" s="17" t="str">
        <f>ROUND(Github!O$2002, 2)&amp;"%"</f>
        <v>42.52%</v>
      </c>
      <c r="N1804" s="17">
        <f>Github!P$2002</f>
        <v>14877</v>
      </c>
      <c r="O1804" s="17">
        <f>Github!Q$2002</f>
        <v>34989</v>
      </c>
    </row>
    <row r="1805" ht="18.0" customHeight="1">
      <c r="A1805" s="17">
        <f>Github!J$1485</f>
        <v>1484</v>
      </c>
      <c r="B1805" s="27" t="str">
        <f>HYPERLINK(CONCAT("http://leetcode.com/problems/",Github!C$1485), Github!B$1485)</f>
        <v>Group Sold Products By The Date</v>
      </c>
      <c r="C1805" s="17">
        <f>Github!F$1485</f>
        <v>202</v>
      </c>
      <c r="D1805" s="17">
        <f>Github!G$1485</f>
        <v>13</v>
      </c>
      <c r="E1805" s="17">
        <f>Github!F$1485+Github!G$1485</f>
        <v>215</v>
      </c>
      <c r="F1805" s="18">
        <f t="shared" si="1"/>
        <v>15.54</v>
      </c>
      <c r="G1805" s="17" t="str">
        <f>Github!H$1485</f>
        <v>Database</v>
      </c>
      <c r="H1805" s="19" t="str">
        <f>SUBSTITUTE(Github!L$1485, ";", ", ")</f>
        <v>Database, </v>
      </c>
      <c r="I1805" s="17" t="str">
        <f>Github!E$1485</f>
        <v>Easy</v>
      </c>
      <c r="J1805" s="17" t="str">
        <f>IF(TRIM(Github!D$1485)="TRUE","FALSE","TRUE")</f>
        <v>FALSE</v>
      </c>
      <c r="K1805" s="17" t="b">
        <f>Github!M$1485</f>
        <v>0</v>
      </c>
      <c r="L1805" s="17" t="b">
        <f>Github!N$1485</f>
        <v>0</v>
      </c>
      <c r="M1805" s="17" t="str">
        <f>ROUND(Github!O$1485, 2)&amp;"%"</f>
        <v>84.98%</v>
      </c>
      <c r="N1805" s="17">
        <f>Github!P$1485</f>
        <v>19280</v>
      </c>
      <c r="O1805" s="17">
        <f>Github!Q$1485</f>
        <v>22687</v>
      </c>
    </row>
    <row r="1806" ht="18.0" customHeight="1">
      <c r="A1806" s="17">
        <f>Github!J$1312</f>
        <v>1311</v>
      </c>
      <c r="B1806" s="27" t="str">
        <f>HYPERLINK(CONCAT("http://leetcode.com/problems/",Github!C$1312), Github!B$1312)</f>
        <v>Get Watched Videos by Your Friends</v>
      </c>
      <c r="C1806" s="17">
        <f>Github!F$1312</f>
        <v>201</v>
      </c>
      <c r="D1806" s="17">
        <f>Github!G$1312</f>
        <v>285</v>
      </c>
      <c r="E1806" s="17">
        <f>Github!F$1312+Github!G$1312</f>
        <v>486</v>
      </c>
      <c r="F1806" s="18">
        <f t="shared" si="1"/>
        <v>0.71</v>
      </c>
      <c r="G1806" s="17" t="str">
        <f>Github!H$1312</f>
        <v>Algorithms</v>
      </c>
      <c r="H1806" s="19" t="str">
        <f>SUBSTITUTE(Github!L$1312, ";", ", ")</f>
        <v>Array, Hash Table, Breadth-First Search, Sorting, </v>
      </c>
      <c r="I1806" s="17" t="str">
        <f>Github!E$1312</f>
        <v>Medium</v>
      </c>
      <c r="J1806" s="17" t="str">
        <f>IF(TRIM(Github!D$1312)="TRUE","FALSE","TRUE")</f>
        <v>TRUE</v>
      </c>
      <c r="K1806" s="17" t="b">
        <f>Github!M$1312</f>
        <v>0</v>
      </c>
      <c r="L1806" s="17" t="b">
        <f>Github!N$1312</f>
        <v>0</v>
      </c>
      <c r="M1806" s="17" t="str">
        <f>ROUND(Github!O$1312, 2)&amp;"%"</f>
        <v>45.09%</v>
      </c>
      <c r="N1806" s="17">
        <f>Github!P$1312</f>
        <v>14684</v>
      </c>
      <c r="O1806" s="17">
        <f>Github!Q$1312</f>
        <v>32569</v>
      </c>
    </row>
    <row r="1807" ht="18.0" customHeight="1">
      <c r="A1807" s="17">
        <f>Github!J$1334</f>
        <v>1333</v>
      </c>
      <c r="B1807" s="27" t="str">
        <f>HYPERLINK(CONCAT("http://leetcode.com/problems/",Github!C$1334), Github!B$1334)</f>
        <v>Filter Restaurants by Vegan-Friendly, Price and Distance</v>
      </c>
      <c r="C1807" s="17">
        <f>Github!F$1334</f>
        <v>200</v>
      </c>
      <c r="D1807" s="17">
        <f>Github!G$1334</f>
        <v>171</v>
      </c>
      <c r="E1807" s="17">
        <f>Github!F$1334+Github!G$1334</f>
        <v>371</v>
      </c>
      <c r="F1807" s="18">
        <f t="shared" si="1"/>
        <v>1.17</v>
      </c>
      <c r="G1807" s="17" t="str">
        <f>Github!H$1334</f>
        <v>Algorithms</v>
      </c>
      <c r="H1807" s="19" t="str">
        <f>SUBSTITUTE(Github!L$1334, ";", ", ")</f>
        <v>Array, Sorting, </v>
      </c>
      <c r="I1807" s="17" t="str">
        <f>Github!E$1334</f>
        <v>Medium</v>
      </c>
      <c r="J1807" s="17" t="str">
        <f>IF(TRIM(Github!D$1334)="TRUE","FALSE","TRUE")</f>
        <v>TRUE</v>
      </c>
      <c r="K1807" s="17" t="b">
        <f>Github!M$1334</f>
        <v>0</v>
      </c>
      <c r="L1807" s="17" t="b">
        <f>Github!N$1334</f>
        <v>0</v>
      </c>
      <c r="M1807" s="17" t="str">
        <f>ROUND(Github!O$1334, 2)&amp;"%"</f>
        <v>58.62%</v>
      </c>
      <c r="N1807" s="17">
        <f>Github!P$1334</f>
        <v>21241</v>
      </c>
      <c r="O1807" s="17">
        <f>Github!Q$1334</f>
        <v>36233</v>
      </c>
    </row>
    <row r="1808" ht="18.0" customHeight="1">
      <c r="A1808" s="17">
        <f>Github!J$1884</f>
        <v>1883</v>
      </c>
      <c r="B1808" s="27" t="str">
        <f>HYPERLINK(CONCAT("http://leetcode.com/problems/",Github!C$1884), Github!B$1884)</f>
        <v>Minimum Skips to Arrive at Meeting On Time</v>
      </c>
      <c r="C1808" s="17">
        <f>Github!F$1884</f>
        <v>200</v>
      </c>
      <c r="D1808" s="17">
        <f>Github!G$1884</f>
        <v>39</v>
      </c>
      <c r="E1808" s="17">
        <f>Github!F$1884+Github!G$1884</f>
        <v>239</v>
      </c>
      <c r="F1808" s="18">
        <f t="shared" si="1"/>
        <v>5.13</v>
      </c>
      <c r="G1808" s="17" t="str">
        <f>Github!H$1884</f>
        <v>Algorithms</v>
      </c>
      <c r="H1808" s="19" t="str">
        <f>SUBSTITUTE(Github!L$1884, ";", ", ")</f>
        <v>Array, Dynamic Programming, </v>
      </c>
      <c r="I1808" s="17" t="str">
        <f>Github!E$1884</f>
        <v>Hard</v>
      </c>
      <c r="J1808" s="17" t="str">
        <f>IF(TRIM(Github!D$1884)="TRUE","FALSE","TRUE")</f>
        <v>TRUE</v>
      </c>
      <c r="K1808" s="17" t="b">
        <f>Github!M$1884</f>
        <v>0</v>
      </c>
      <c r="L1808" s="17" t="b">
        <f>Github!N$1884</f>
        <v>0</v>
      </c>
      <c r="M1808" s="17" t="str">
        <f>ROUND(Github!O$1884, 2)&amp;"%"</f>
        <v>38.68%</v>
      </c>
      <c r="N1808" s="17">
        <f>Github!P$1884</f>
        <v>4402</v>
      </c>
      <c r="O1808" s="17">
        <f>Github!Q$1884</f>
        <v>11381</v>
      </c>
    </row>
    <row r="1809" ht="18.0" customHeight="1">
      <c r="A1809" s="17">
        <f>Github!J$1656</f>
        <v>1655</v>
      </c>
      <c r="B1809" s="27" t="str">
        <f>HYPERLINK(CONCAT("http://leetcode.com/problems/",Github!C$1656), Github!B$1656)</f>
        <v>Distribute Repeating Integers</v>
      </c>
      <c r="C1809" s="17">
        <f>Github!F$1656</f>
        <v>199</v>
      </c>
      <c r="D1809" s="17">
        <f>Github!G$1656</f>
        <v>14</v>
      </c>
      <c r="E1809" s="17">
        <f>Github!F$1656+Github!G$1656</f>
        <v>213</v>
      </c>
      <c r="F1809" s="18">
        <f t="shared" si="1"/>
        <v>14.21</v>
      </c>
      <c r="G1809" s="17" t="str">
        <f>Github!H$1656</f>
        <v>Algorithms</v>
      </c>
      <c r="H1809" s="19" t="str">
        <f>SUBSTITUTE(Github!L$1656, ";", ", ")</f>
        <v>Array, Dynamic Programming, Backtracking, Bit Manipulation, Bitmask, </v>
      </c>
      <c r="I1809" s="17" t="str">
        <f>Github!E$1656</f>
        <v>Hard</v>
      </c>
      <c r="J1809" s="17" t="str">
        <f>IF(TRIM(Github!D$1656)="TRUE","FALSE","TRUE")</f>
        <v>TRUE</v>
      </c>
      <c r="K1809" s="17" t="b">
        <f>Github!M$1656</f>
        <v>0</v>
      </c>
      <c r="L1809" s="17" t="b">
        <f>Github!N$1656</f>
        <v>0</v>
      </c>
      <c r="M1809" s="17" t="str">
        <f>ROUND(Github!O$1656, 2)&amp;"%"</f>
        <v>40.26%</v>
      </c>
      <c r="N1809" s="17">
        <f>Github!P$1656</f>
        <v>7563</v>
      </c>
      <c r="O1809" s="17">
        <f>Github!Q$1656</f>
        <v>18786</v>
      </c>
    </row>
    <row r="1810" ht="18.0" customHeight="1">
      <c r="A1810" s="17">
        <f>Github!J$587</f>
        <v>586</v>
      </c>
      <c r="B1810" s="27" t="str">
        <f>HYPERLINK(CONCAT("http://leetcode.com/problems/",Github!C$587), Github!B$587)</f>
        <v>Customer Placing the Largest Number of Orders</v>
      </c>
      <c r="C1810" s="17">
        <f>Github!F$587</f>
        <v>198</v>
      </c>
      <c r="D1810" s="17">
        <f>Github!G$587</f>
        <v>16</v>
      </c>
      <c r="E1810" s="17">
        <f>Github!F$587+Github!G$587</f>
        <v>214</v>
      </c>
      <c r="F1810" s="18">
        <f t="shared" si="1"/>
        <v>12.38</v>
      </c>
      <c r="G1810" s="17" t="str">
        <f>Github!H$587</f>
        <v>Database</v>
      </c>
      <c r="H1810" s="19" t="str">
        <f>SUBSTITUTE(Github!L$587, ";", ", ")</f>
        <v>Database, </v>
      </c>
      <c r="I1810" s="17" t="str">
        <f>Github!E$587</f>
        <v>Easy</v>
      </c>
      <c r="J1810" s="17" t="str">
        <f>IF(TRIM(Github!D$587)="TRUE","FALSE","TRUE")</f>
        <v>FALSE</v>
      </c>
      <c r="K1810" s="17" t="b">
        <f>Github!M$587</f>
        <v>1</v>
      </c>
      <c r="L1810" s="17" t="b">
        <f>Github!N$587</f>
        <v>0</v>
      </c>
      <c r="M1810" s="17" t="str">
        <f>ROUND(Github!O$587, 2)&amp;"%"</f>
        <v>74.92%</v>
      </c>
      <c r="N1810" s="17">
        <f>Github!P$587</f>
        <v>62350</v>
      </c>
      <c r="O1810" s="17">
        <f>Github!Q$587</f>
        <v>83221</v>
      </c>
    </row>
    <row r="1811" ht="18.0" customHeight="1">
      <c r="A1811" s="17">
        <f>Github!J$1962</f>
        <v>1961</v>
      </c>
      <c r="B1811" s="27" t="str">
        <f>HYPERLINK(CONCAT("http://leetcode.com/problems/",Github!C$1962), Github!B$1962)</f>
        <v>Check If String Is a Prefix of Array</v>
      </c>
      <c r="C1811" s="17">
        <f>Github!F$1962</f>
        <v>198</v>
      </c>
      <c r="D1811" s="17">
        <f>Github!G$1962</f>
        <v>29</v>
      </c>
      <c r="E1811" s="17">
        <f>Github!F$1962+Github!G$1962</f>
        <v>227</v>
      </c>
      <c r="F1811" s="18">
        <f t="shared" si="1"/>
        <v>6.83</v>
      </c>
      <c r="G1811" s="17" t="str">
        <f>Github!H$1962</f>
        <v>Algorithms</v>
      </c>
      <c r="H1811" s="19" t="str">
        <f>SUBSTITUTE(Github!L$1962, ";", ", ")</f>
        <v>Array, String, </v>
      </c>
      <c r="I1811" s="17" t="str">
        <f>Github!E$1962</f>
        <v>Easy</v>
      </c>
      <c r="J1811" s="17" t="str">
        <f>IF(TRIM(Github!D$1962)="TRUE","FALSE","TRUE")</f>
        <v>TRUE</v>
      </c>
      <c r="K1811" s="17" t="b">
        <f>Github!M$1962</f>
        <v>0</v>
      </c>
      <c r="L1811" s="17" t="b">
        <f>Github!N$1962</f>
        <v>0</v>
      </c>
      <c r="M1811" s="17" t="str">
        <f>ROUND(Github!O$1962, 2)&amp;"%"</f>
        <v>54.73%</v>
      </c>
      <c r="N1811" s="17">
        <f>Github!P$1962</f>
        <v>23409</v>
      </c>
      <c r="O1811" s="17">
        <f>Github!Q$1962</f>
        <v>42775</v>
      </c>
    </row>
    <row r="1812" ht="18.0" customHeight="1">
      <c r="A1812" s="17">
        <f>Github!J$1995</f>
        <v>1994</v>
      </c>
      <c r="B1812" s="27" t="str">
        <f>HYPERLINK(CONCAT("http://leetcode.com/problems/",Github!C$1995), Github!B$1995)</f>
        <v>The Number of Good Subsets</v>
      </c>
      <c r="C1812" s="17">
        <f>Github!F$1995</f>
        <v>199</v>
      </c>
      <c r="D1812" s="17">
        <f>Github!G$1995</f>
        <v>4</v>
      </c>
      <c r="E1812" s="17">
        <f>Github!F$1995+Github!G$1995</f>
        <v>203</v>
      </c>
      <c r="F1812" s="18">
        <f t="shared" si="1"/>
        <v>49.75</v>
      </c>
      <c r="G1812" s="17" t="str">
        <f>Github!H$1995</f>
        <v>Algorithms</v>
      </c>
      <c r="H1812" s="19" t="str">
        <f>SUBSTITUTE(Github!L$1995, ";", ", ")</f>
        <v>Array, Math, Dynamic Programming, Bit Manipulation, Bitmask, </v>
      </c>
      <c r="I1812" s="17" t="str">
        <f>Github!E$1995</f>
        <v>Hard</v>
      </c>
      <c r="J1812" s="17" t="str">
        <f>IF(TRIM(Github!D$1995)="TRUE","FALSE","TRUE")</f>
        <v>TRUE</v>
      </c>
      <c r="K1812" s="17" t="b">
        <f>Github!M$1995</f>
        <v>0</v>
      </c>
      <c r="L1812" s="17" t="b">
        <f>Github!N$1995</f>
        <v>0</v>
      </c>
      <c r="M1812" s="17" t="str">
        <f>ROUND(Github!O$1995, 2)&amp;"%"</f>
        <v>33.98%</v>
      </c>
      <c r="N1812" s="17">
        <f>Github!P$1995</f>
        <v>3451</v>
      </c>
      <c r="O1812" s="17">
        <f>Github!Q$1995</f>
        <v>10156</v>
      </c>
    </row>
    <row r="1813" ht="18.0" customHeight="1">
      <c r="A1813" s="17">
        <f>Github!J$2029</f>
        <v>2028</v>
      </c>
      <c r="B1813" s="27" t="str">
        <f>HYPERLINK(CONCAT("http://leetcode.com/problems/",Github!C$2029), Github!B$2029)</f>
        <v>Find Missing Observations</v>
      </c>
      <c r="C1813" s="17">
        <f>Github!F$2029</f>
        <v>198</v>
      </c>
      <c r="D1813" s="17">
        <f>Github!G$2029</f>
        <v>9</v>
      </c>
      <c r="E1813" s="17">
        <f>Github!F$2029+Github!G$2029</f>
        <v>207</v>
      </c>
      <c r="F1813" s="18">
        <f t="shared" si="1"/>
        <v>22</v>
      </c>
      <c r="G1813" s="17" t="str">
        <f>Github!H$2029</f>
        <v>Algorithms</v>
      </c>
      <c r="H1813" s="19" t="str">
        <f>SUBSTITUTE(Github!L$2029, ";", ", ")</f>
        <v>Array, Math, Simulation, </v>
      </c>
      <c r="I1813" s="17" t="str">
        <f>Github!E$2029</f>
        <v>Medium</v>
      </c>
      <c r="J1813" s="17" t="str">
        <f>IF(TRIM(Github!D$2029)="TRUE","FALSE","TRUE")</f>
        <v>TRUE</v>
      </c>
      <c r="K1813" s="17" t="b">
        <f>Github!M$2029</f>
        <v>0</v>
      </c>
      <c r="L1813" s="17" t="b">
        <f>Github!N$2029</f>
        <v>0</v>
      </c>
      <c r="M1813" s="17" t="str">
        <f>ROUND(Github!O$2029, 2)&amp;"%"</f>
        <v>41.56%</v>
      </c>
      <c r="N1813" s="17">
        <f>Github!P$2029</f>
        <v>12231</v>
      </c>
      <c r="O1813" s="17">
        <f>Github!Q$2029</f>
        <v>29432</v>
      </c>
    </row>
    <row r="1814" ht="18.0" customHeight="1">
      <c r="A1814" s="17">
        <f>Github!J$2133</f>
        <v>2132</v>
      </c>
      <c r="B1814" s="27" t="str">
        <f>HYPERLINK(CONCAT("http://leetcode.com/problems/",Github!C$2133), Github!B$2133)</f>
        <v>Stamping the Grid</v>
      </c>
      <c r="C1814" s="17">
        <f>Github!F$2133</f>
        <v>199</v>
      </c>
      <c r="D1814" s="17">
        <f>Github!G$2133</f>
        <v>17</v>
      </c>
      <c r="E1814" s="17">
        <f>Github!F$2133+Github!G$2133</f>
        <v>216</v>
      </c>
      <c r="F1814" s="18">
        <f t="shared" si="1"/>
        <v>11.71</v>
      </c>
      <c r="G1814" s="17" t="str">
        <f>Github!H$2133</f>
        <v>Algorithms</v>
      </c>
      <c r="H1814" s="19" t="str">
        <f>SUBSTITUTE(Github!L$2133, ";", ", ")</f>
        <v>Array, Greedy, Matrix, Prefix Sum, </v>
      </c>
      <c r="I1814" s="17" t="str">
        <f>Github!E$2133</f>
        <v>Hard</v>
      </c>
      <c r="J1814" s="17" t="str">
        <f>IF(TRIM(Github!D$2133)="TRUE","FALSE","TRUE")</f>
        <v>TRUE</v>
      </c>
      <c r="K1814" s="17" t="b">
        <f>Github!M$2133</f>
        <v>0</v>
      </c>
      <c r="L1814" s="17" t="b">
        <f>Github!N$2133</f>
        <v>0</v>
      </c>
      <c r="M1814" s="17" t="str">
        <f>ROUND(Github!O$2133, 2)&amp;"%"</f>
        <v>27.71%</v>
      </c>
      <c r="N1814" s="17">
        <f>Github!P$2133</f>
        <v>3133</v>
      </c>
      <c r="O1814" s="17">
        <f>Github!Q$2133</f>
        <v>11306</v>
      </c>
    </row>
    <row r="1815" ht="18.0" customHeight="1">
      <c r="A1815" s="17">
        <f>Github!J$1054</f>
        <v>1053</v>
      </c>
      <c r="B1815" s="27" t="str">
        <f>HYPERLINK(CONCAT("http://leetcode.com/problems/",Github!C$1054), Github!B$1054)</f>
        <v>Previous Permutation With One Swap</v>
      </c>
      <c r="C1815" s="17">
        <f>Github!F$1054</f>
        <v>197</v>
      </c>
      <c r="D1815" s="17">
        <f>Github!G$1054</f>
        <v>22</v>
      </c>
      <c r="E1815" s="17">
        <f>Github!F$1054+Github!G$1054</f>
        <v>219</v>
      </c>
      <c r="F1815" s="18">
        <f t="shared" si="1"/>
        <v>8.95</v>
      </c>
      <c r="G1815" s="17" t="str">
        <f>Github!H$1054</f>
        <v>Algorithms</v>
      </c>
      <c r="H1815" s="19" t="str">
        <f>SUBSTITUTE(Github!L$1054, ";", ", ")</f>
        <v>Array, Greedy, </v>
      </c>
      <c r="I1815" s="17" t="str">
        <f>Github!E$1054</f>
        <v>Medium</v>
      </c>
      <c r="J1815" s="17" t="str">
        <f>IF(TRIM(Github!D$1054)="TRUE","FALSE","TRUE")</f>
        <v>TRUE</v>
      </c>
      <c r="K1815" s="17" t="b">
        <f>Github!M$1054</f>
        <v>0</v>
      </c>
      <c r="L1815" s="17" t="b">
        <f>Github!N$1054</f>
        <v>0</v>
      </c>
      <c r="M1815" s="17" t="str">
        <f>ROUND(Github!O$1054, 2)&amp;"%"</f>
        <v>51.92%</v>
      </c>
      <c r="N1815" s="17">
        <f>Github!P$1054</f>
        <v>29574</v>
      </c>
      <c r="O1815" s="17">
        <f>Github!Q$1054</f>
        <v>56958</v>
      </c>
    </row>
    <row r="1816" ht="18.0" customHeight="1">
      <c r="A1816" s="17">
        <f>Github!J$1955</f>
        <v>1954</v>
      </c>
      <c r="B1816" s="27" t="str">
        <f>HYPERLINK(CONCAT("http://leetcode.com/problems/",Github!C$1955), Github!B$1955)</f>
        <v>Minimum Garden Perimeter to Collect Enough Apples</v>
      </c>
      <c r="C1816" s="17">
        <f>Github!F$1955</f>
        <v>197</v>
      </c>
      <c r="D1816" s="17">
        <f>Github!G$1955</f>
        <v>64</v>
      </c>
      <c r="E1816" s="17">
        <f>Github!F$1955+Github!G$1955</f>
        <v>261</v>
      </c>
      <c r="F1816" s="18">
        <f t="shared" si="1"/>
        <v>3.08</v>
      </c>
      <c r="G1816" s="17" t="str">
        <f>Github!H$1955</f>
        <v>Algorithms</v>
      </c>
      <c r="H1816" s="19" t="str">
        <f>SUBSTITUTE(Github!L$1955, ";", ", ")</f>
        <v>Math, Binary Search, </v>
      </c>
      <c r="I1816" s="17" t="str">
        <f>Github!E$1955</f>
        <v>Medium</v>
      </c>
      <c r="J1816" s="17" t="str">
        <f>IF(TRIM(Github!D$1955)="TRUE","FALSE","TRUE")</f>
        <v>TRUE</v>
      </c>
      <c r="K1816" s="17" t="b">
        <f>Github!M$1955</f>
        <v>0</v>
      </c>
      <c r="L1816" s="17" t="b">
        <f>Github!N$1955</f>
        <v>0</v>
      </c>
      <c r="M1816" s="17" t="str">
        <f>ROUND(Github!O$1955, 2)&amp;"%"</f>
        <v>52.42%</v>
      </c>
      <c r="N1816" s="17">
        <f>Github!P$1955</f>
        <v>10537</v>
      </c>
      <c r="O1816" s="17">
        <f>Github!Q$1955</f>
        <v>20101</v>
      </c>
    </row>
    <row r="1817" ht="18.0" customHeight="1">
      <c r="A1817" s="17">
        <f>Github!J$2120</f>
        <v>2119</v>
      </c>
      <c r="B1817" s="27" t="str">
        <f>HYPERLINK(CONCAT("http://leetcode.com/problems/",Github!C$2120), Github!B$2120)</f>
        <v>A Number After a Double Reversal</v>
      </c>
      <c r="C1817" s="17">
        <f>Github!F$2120</f>
        <v>197</v>
      </c>
      <c r="D1817" s="17">
        <f>Github!G$2120</f>
        <v>14</v>
      </c>
      <c r="E1817" s="17">
        <f>Github!F$2120+Github!G$2120</f>
        <v>211</v>
      </c>
      <c r="F1817" s="18">
        <f t="shared" si="1"/>
        <v>14.07</v>
      </c>
      <c r="G1817" s="17" t="str">
        <f>Github!H$2120</f>
        <v>Algorithms</v>
      </c>
      <c r="H1817" s="19" t="str">
        <f>SUBSTITUTE(Github!L$2120, ";", ", ")</f>
        <v>Math, </v>
      </c>
      <c r="I1817" s="17" t="str">
        <f>Github!E$2120</f>
        <v>Easy</v>
      </c>
      <c r="J1817" s="17" t="str">
        <f>IF(TRIM(Github!D$2120)="TRUE","FALSE","TRUE")</f>
        <v>TRUE</v>
      </c>
      <c r="K1817" s="17" t="b">
        <f>Github!M$2120</f>
        <v>0</v>
      </c>
      <c r="L1817" s="17" t="b">
        <f>Github!N$2120</f>
        <v>0</v>
      </c>
      <c r="M1817" s="17" t="str">
        <f>ROUND(Github!O$2120, 2)&amp;"%"</f>
        <v>77.16%</v>
      </c>
      <c r="N1817" s="17">
        <f>Github!P$2120</f>
        <v>24022</v>
      </c>
      <c r="O1817" s="17">
        <f>Github!Q$2120</f>
        <v>31131</v>
      </c>
    </row>
    <row r="1818" ht="18.0" customHeight="1">
      <c r="A1818" s="17">
        <f>Github!J$1391</f>
        <v>1390</v>
      </c>
      <c r="B1818" s="27" t="str">
        <f>HYPERLINK(CONCAT("http://leetcode.com/problems/",Github!C$1391), Github!B$1391)</f>
        <v>Four Divisors</v>
      </c>
      <c r="C1818" s="17">
        <f>Github!F$1391</f>
        <v>196</v>
      </c>
      <c r="D1818" s="17">
        <f>Github!G$1391</f>
        <v>143</v>
      </c>
      <c r="E1818" s="17">
        <f>Github!F$1391+Github!G$1391</f>
        <v>339</v>
      </c>
      <c r="F1818" s="18">
        <f t="shared" si="1"/>
        <v>1.37</v>
      </c>
      <c r="G1818" s="17" t="str">
        <f>Github!H$1391</f>
        <v>Algorithms</v>
      </c>
      <c r="H1818" s="19" t="str">
        <f>SUBSTITUTE(Github!L$1391, ";", ", ")</f>
        <v>Array, Math, </v>
      </c>
      <c r="I1818" s="17" t="str">
        <f>Github!E$1391</f>
        <v>Medium</v>
      </c>
      <c r="J1818" s="17" t="str">
        <f>IF(TRIM(Github!D$1391)="TRUE","FALSE","TRUE")</f>
        <v>TRUE</v>
      </c>
      <c r="K1818" s="17" t="b">
        <f>Github!M$1391</f>
        <v>0</v>
      </c>
      <c r="L1818" s="17" t="b">
        <f>Github!N$1391</f>
        <v>0</v>
      </c>
      <c r="M1818" s="17" t="str">
        <f>ROUND(Github!O$1391, 2)&amp;"%"</f>
        <v>40.65%</v>
      </c>
      <c r="N1818" s="17">
        <f>Github!P$1391</f>
        <v>19574</v>
      </c>
      <c r="O1818" s="17">
        <f>Github!Q$1391</f>
        <v>48149</v>
      </c>
    </row>
    <row r="1819" ht="18.0" customHeight="1">
      <c r="A1819" s="17">
        <f>Github!J$1561</f>
        <v>1560</v>
      </c>
      <c r="B1819" s="27" t="str">
        <f>HYPERLINK(CONCAT("http://leetcode.com/problems/",Github!C$1561), Github!B$1561)</f>
        <v>Most Visited Sector in  a Circular Track</v>
      </c>
      <c r="C1819" s="17">
        <f>Github!F$1561</f>
        <v>196</v>
      </c>
      <c r="D1819" s="17">
        <f>Github!G$1561</f>
        <v>414</v>
      </c>
      <c r="E1819" s="17">
        <f>Github!F$1561+Github!G$1561</f>
        <v>610</v>
      </c>
      <c r="F1819" s="18">
        <f t="shared" si="1"/>
        <v>0.47</v>
      </c>
      <c r="G1819" s="17" t="str">
        <f>Github!H$1561</f>
        <v>Algorithms</v>
      </c>
      <c r="H1819" s="19" t="str">
        <f>SUBSTITUTE(Github!L$1561, ";", ", ")</f>
        <v>Array, Simulation, </v>
      </c>
      <c r="I1819" s="17" t="str">
        <f>Github!E$1561</f>
        <v>Easy</v>
      </c>
      <c r="J1819" s="17" t="str">
        <f>IF(TRIM(Github!D$1561)="TRUE","FALSE","TRUE")</f>
        <v>TRUE</v>
      </c>
      <c r="K1819" s="17" t="b">
        <f>Github!M$1561</f>
        <v>0</v>
      </c>
      <c r="L1819" s="17" t="b">
        <f>Github!N$1561</f>
        <v>0</v>
      </c>
      <c r="M1819" s="17" t="str">
        <f>ROUND(Github!O$1561, 2)&amp;"%"</f>
        <v>58%</v>
      </c>
      <c r="N1819" s="17">
        <f>Github!P$1561</f>
        <v>20600</v>
      </c>
      <c r="O1819" s="17">
        <f>Github!Q$1561</f>
        <v>35515</v>
      </c>
    </row>
    <row r="1820" ht="18.0" customHeight="1">
      <c r="A1820" s="17">
        <f>Github!J$1695</f>
        <v>1694</v>
      </c>
      <c r="B1820" s="27" t="str">
        <f>HYPERLINK(CONCAT("http://leetcode.com/problems/",Github!C$1695), Github!B$1695)</f>
        <v>Reformat Phone Number</v>
      </c>
      <c r="C1820" s="17">
        <f>Github!F$1695</f>
        <v>195</v>
      </c>
      <c r="D1820" s="17">
        <f>Github!G$1695</f>
        <v>153</v>
      </c>
      <c r="E1820" s="17">
        <f>Github!F$1695+Github!G$1695</f>
        <v>348</v>
      </c>
      <c r="F1820" s="18">
        <f t="shared" si="1"/>
        <v>1.27</v>
      </c>
      <c r="G1820" s="17" t="str">
        <f>Github!H$1695</f>
        <v>Algorithms</v>
      </c>
      <c r="H1820" s="19" t="str">
        <f>SUBSTITUTE(Github!L$1695, ";", ", ")</f>
        <v>String, </v>
      </c>
      <c r="I1820" s="17" t="str">
        <f>Github!E$1695</f>
        <v>Easy</v>
      </c>
      <c r="J1820" s="17" t="str">
        <f>IF(TRIM(Github!D$1695)="TRUE","FALSE","TRUE")</f>
        <v>TRUE</v>
      </c>
      <c r="K1820" s="17" t="b">
        <f>Github!M$1695</f>
        <v>0</v>
      </c>
      <c r="L1820" s="17" t="b">
        <f>Github!N$1695</f>
        <v>0</v>
      </c>
      <c r="M1820" s="17" t="str">
        <f>ROUND(Github!O$1695, 2)&amp;"%"</f>
        <v>65.16%</v>
      </c>
      <c r="N1820" s="17">
        <f>Github!P$1695</f>
        <v>23473</v>
      </c>
      <c r="O1820" s="17">
        <f>Github!Q$1695</f>
        <v>36025</v>
      </c>
    </row>
    <row r="1821" ht="18.0" customHeight="1">
      <c r="A1821" s="17">
        <f>Github!J$1869</f>
        <v>1868</v>
      </c>
      <c r="B1821" s="27" t="str">
        <f>HYPERLINK(CONCAT("http://leetcode.com/problems/",Github!C$1869), Github!B$1869)</f>
        <v>Product of Two Run-Length Encoded Arrays</v>
      </c>
      <c r="C1821" s="17">
        <f>Github!F$1869</f>
        <v>195</v>
      </c>
      <c r="D1821" s="17">
        <f>Github!G$1869</f>
        <v>26</v>
      </c>
      <c r="E1821" s="17">
        <f>Github!F$1869+Github!G$1869</f>
        <v>221</v>
      </c>
      <c r="F1821" s="18">
        <f t="shared" si="1"/>
        <v>7.5</v>
      </c>
      <c r="G1821" s="17" t="str">
        <f>Github!H$1869</f>
        <v>Algorithms</v>
      </c>
      <c r="H1821" s="19" t="str">
        <f>SUBSTITUTE(Github!L$1869, ";", ", ")</f>
        <v>Array, Two Pointers, </v>
      </c>
      <c r="I1821" s="17" t="str">
        <f>Github!E$1869</f>
        <v>Medium</v>
      </c>
      <c r="J1821" s="17" t="str">
        <f>IF(TRIM(Github!D$1869)="TRUE","FALSE","TRUE")</f>
        <v>FALSE</v>
      </c>
      <c r="K1821" s="17" t="b">
        <f>Github!M$1869</f>
        <v>0</v>
      </c>
      <c r="L1821" s="17" t="b">
        <f>Github!N$1869</f>
        <v>0</v>
      </c>
      <c r="M1821" s="17" t="str">
        <f>ROUND(Github!O$1869, 2)&amp;"%"</f>
        <v>58.39%</v>
      </c>
      <c r="N1821" s="17">
        <f>Github!P$1869</f>
        <v>15958</v>
      </c>
      <c r="O1821" s="17">
        <f>Github!Q$1869</f>
        <v>27332</v>
      </c>
    </row>
    <row r="1822" ht="18.0" customHeight="1">
      <c r="A1822" s="17">
        <f>Github!J$1994</f>
        <v>1993</v>
      </c>
      <c r="B1822" s="27" t="str">
        <f>HYPERLINK(CONCAT("http://leetcode.com/problems/",Github!C$1994), Github!B$1994)</f>
        <v>Operations on Tree</v>
      </c>
      <c r="C1822" s="17">
        <f>Github!F$1994</f>
        <v>195</v>
      </c>
      <c r="D1822" s="17">
        <f>Github!G$1994</f>
        <v>35</v>
      </c>
      <c r="E1822" s="17">
        <f>Github!F$1994+Github!G$1994</f>
        <v>230</v>
      </c>
      <c r="F1822" s="18">
        <f t="shared" si="1"/>
        <v>5.57</v>
      </c>
      <c r="G1822" s="17" t="str">
        <f>Github!H$1994</f>
        <v>Algorithms</v>
      </c>
      <c r="H1822" s="19" t="str">
        <f>SUBSTITUTE(Github!L$1994, ";", ", ")</f>
        <v>Hash Table, Tree, Breadth-First Search, Design, </v>
      </c>
      <c r="I1822" s="17" t="str">
        <f>Github!E$1994</f>
        <v>Medium</v>
      </c>
      <c r="J1822" s="17" t="str">
        <f>IF(TRIM(Github!D$1994)="TRUE","FALSE","TRUE")</f>
        <v>TRUE</v>
      </c>
      <c r="K1822" s="17" t="b">
        <f>Github!M$1994</f>
        <v>0</v>
      </c>
      <c r="L1822" s="17" t="b">
        <f>Github!N$1994</f>
        <v>0</v>
      </c>
      <c r="M1822" s="17" t="str">
        <f>ROUND(Github!O$1994, 2)&amp;"%"</f>
        <v>41.86%</v>
      </c>
      <c r="N1822" s="17">
        <f>Github!P$1994</f>
        <v>6302</v>
      </c>
      <c r="O1822" s="17">
        <f>Github!Q$1994</f>
        <v>15054</v>
      </c>
    </row>
    <row r="1823" ht="18.0" customHeight="1">
      <c r="A1823" s="17">
        <f>Github!J$2095</f>
        <v>2094</v>
      </c>
      <c r="B1823" s="27" t="str">
        <f>HYPERLINK(CONCAT("http://leetcode.com/problems/",Github!C$2095), Github!B$2095)</f>
        <v>Finding 3-Digit Even Numbers</v>
      </c>
      <c r="C1823" s="17">
        <f>Github!F$2095</f>
        <v>196</v>
      </c>
      <c r="D1823" s="17">
        <f>Github!G$2095</f>
        <v>164</v>
      </c>
      <c r="E1823" s="17">
        <f>Github!F$2095+Github!G$2095</f>
        <v>360</v>
      </c>
      <c r="F1823" s="18">
        <f t="shared" si="1"/>
        <v>1.2</v>
      </c>
      <c r="G1823" s="17" t="str">
        <f>Github!H$2095</f>
        <v>Algorithms</v>
      </c>
      <c r="H1823" s="19" t="str">
        <f>SUBSTITUTE(Github!L$2095, ";", ", ")</f>
        <v>Array, Hash Table, Sorting, Enumeration, </v>
      </c>
      <c r="I1823" s="17" t="str">
        <f>Github!E$2095</f>
        <v>Easy</v>
      </c>
      <c r="J1823" s="17" t="str">
        <f>IF(TRIM(Github!D$2095)="TRUE","FALSE","TRUE")</f>
        <v>TRUE</v>
      </c>
      <c r="K1823" s="17" t="b">
        <f>Github!M$2095</f>
        <v>0</v>
      </c>
      <c r="L1823" s="17" t="b">
        <f>Github!N$2095</f>
        <v>0</v>
      </c>
      <c r="M1823" s="17" t="str">
        <f>ROUND(Github!O$2095, 2)&amp;"%"</f>
        <v>55.95%</v>
      </c>
      <c r="N1823" s="17">
        <f>Github!P$2095</f>
        <v>14043</v>
      </c>
      <c r="O1823" s="17">
        <f>Github!Q$2095</f>
        <v>25100</v>
      </c>
    </row>
    <row r="1824" ht="18.0" customHeight="1">
      <c r="A1824" s="17">
        <f>Github!J$1807</f>
        <v>1806</v>
      </c>
      <c r="B1824" s="27" t="str">
        <f>HYPERLINK(CONCAT("http://leetcode.com/problems/",Github!C$1807), Github!B$1807)</f>
        <v>Minimum Number of Operations to Reinitialize a Permutation</v>
      </c>
      <c r="C1824" s="17">
        <f>Github!F$1807</f>
        <v>194</v>
      </c>
      <c r="D1824" s="17">
        <f>Github!G$1807</f>
        <v>107</v>
      </c>
      <c r="E1824" s="17">
        <f>Github!F$1807+Github!G$1807</f>
        <v>301</v>
      </c>
      <c r="F1824" s="18">
        <f t="shared" si="1"/>
        <v>1.81</v>
      </c>
      <c r="G1824" s="17" t="str">
        <f>Github!H$1807</f>
        <v>Algorithms</v>
      </c>
      <c r="H1824" s="19" t="str">
        <f>SUBSTITUTE(Github!L$1807, ";", ", ")</f>
        <v>Array, Math, Simulation, </v>
      </c>
      <c r="I1824" s="17" t="str">
        <f>Github!E$1807</f>
        <v>Medium</v>
      </c>
      <c r="J1824" s="17" t="str">
        <f>IF(TRIM(Github!D$1807)="TRUE","FALSE","TRUE")</f>
        <v>TRUE</v>
      </c>
      <c r="K1824" s="17" t="b">
        <f>Github!M$1807</f>
        <v>0</v>
      </c>
      <c r="L1824" s="17" t="b">
        <f>Github!N$1807</f>
        <v>0</v>
      </c>
      <c r="M1824" s="17" t="str">
        <f>ROUND(Github!O$1807, 2)&amp;"%"</f>
        <v>70.87%</v>
      </c>
      <c r="N1824" s="17">
        <f>Github!P$1807</f>
        <v>12620</v>
      </c>
      <c r="O1824" s="17">
        <f>Github!Q$1807</f>
        <v>17807</v>
      </c>
    </row>
    <row r="1825" ht="18.0" customHeight="1">
      <c r="A1825" s="17">
        <f>Github!J$1765</f>
        <v>1764</v>
      </c>
      <c r="B1825" s="27" t="str">
        <f>HYPERLINK(CONCAT("http://leetcode.com/problems/",Github!C$1765), Github!B$1765)</f>
        <v>Form Array by Concatenating Subarrays of Another Array</v>
      </c>
      <c r="C1825" s="17">
        <f>Github!F$1765</f>
        <v>193</v>
      </c>
      <c r="D1825" s="17">
        <f>Github!G$1765</f>
        <v>21</v>
      </c>
      <c r="E1825" s="17">
        <f>Github!F$1765+Github!G$1765</f>
        <v>214</v>
      </c>
      <c r="F1825" s="18">
        <f t="shared" si="1"/>
        <v>9.19</v>
      </c>
      <c r="G1825" s="17" t="str">
        <f>Github!H$1765</f>
        <v>Algorithms</v>
      </c>
      <c r="H1825" s="19" t="str">
        <f>SUBSTITUTE(Github!L$1765, ";", ", ")</f>
        <v>Array, Greedy, String Matching, </v>
      </c>
      <c r="I1825" s="17" t="str">
        <f>Github!E$1765</f>
        <v>Medium</v>
      </c>
      <c r="J1825" s="17" t="str">
        <f>IF(TRIM(Github!D$1765)="TRUE","FALSE","TRUE")</f>
        <v>TRUE</v>
      </c>
      <c r="K1825" s="17" t="b">
        <f>Github!M$1765</f>
        <v>0</v>
      </c>
      <c r="L1825" s="17" t="b">
        <f>Github!N$1765</f>
        <v>0</v>
      </c>
      <c r="M1825" s="17" t="str">
        <f>ROUND(Github!O$1765, 2)&amp;"%"</f>
        <v>52.93%</v>
      </c>
      <c r="N1825" s="17">
        <f>Github!P$1765</f>
        <v>9989</v>
      </c>
      <c r="O1825" s="17">
        <f>Github!Q$1765</f>
        <v>18871</v>
      </c>
    </row>
    <row r="1826" ht="18.0" customHeight="1">
      <c r="A1826" s="17">
        <f>Github!J$2145</f>
        <v>2144</v>
      </c>
      <c r="B1826" s="27" t="str">
        <f>HYPERLINK(CONCAT("http://leetcode.com/problems/",Github!C$2145), Github!B$2145)</f>
        <v>Minimum Cost of Buying Candies With Discount</v>
      </c>
      <c r="C1826" s="17">
        <f>Github!F$2145</f>
        <v>193</v>
      </c>
      <c r="D1826" s="17">
        <f>Github!G$2145</f>
        <v>8</v>
      </c>
      <c r="E1826" s="17">
        <f>Github!F$2145+Github!G$2145</f>
        <v>201</v>
      </c>
      <c r="F1826" s="18">
        <f t="shared" si="1"/>
        <v>24.13</v>
      </c>
      <c r="G1826" s="17" t="str">
        <f>Github!H$2145</f>
        <v>Algorithms</v>
      </c>
      <c r="H1826" s="19" t="str">
        <f>SUBSTITUTE(Github!L$2145, ";", ", ")</f>
        <v>Array, Greedy, Sorting, </v>
      </c>
      <c r="I1826" s="17" t="str">
        <f>Github!E$2145</f>
        <v>Easy</v>
      </c>
      <c r="J1826" s="17" t="str">
        <f>IF(TRIM(Github!D$2145)="TRUE","FALSE","TRUE")</f>
        <v>TRUE</v>
      </c>
      <c r="K1826" s="17" t="b">
        <f>Github!M$2145</f>
        <v>0</v>
      </c>
      <c r="L1826" s="17" t="b">
        <f>Github!N$2145</f>
        <v>0</v>
      </c>
      <c r="M1826" s="17" t="str">
        <f>ROUND(Github!O$2145, 2)&amp;"%"</f>
        <v>60.52%</v>
      </c>
      <c r="N1826" s="17">
        <f>Github!P$2145</f>
        <v>19038</v>
      </c>
      <c r="O1826" s="17">
        <f>Github!Q$2145</f>
        <v>31458</v>
      </c>
    </row>
    <row r="1827" ht="18.0" customHeight="1">
      <c r="A1827" s="17">
        <f>Github!J$1211</f>
        <v>1210</v>
      </c>
      <c r="B1827" s="27" t="str">
        <f>HYPERLINK(CONCAT("http://leetcode.com/problems/",Github!C$1211), Github!B$1211)</f>
        <v>Minimum Moves to Reach Target with Rotations</v>
      </c>
      <c r="C1827" s="17">
        <f>Github!F$1211</f>
        <v>192</v>
      </c>
      <c r="D1827" s="17">
        <f>Github!G$1211</f>
        <v>56</v>
      </c>
      <c r="E1827" s="17">
        <f>Github!F$1211+Github!G$1211</f>
        <v>248</v>
      </c>
      <c r="F1827" s="18">
        <f t="shared" si="1"/>
        <v>3.43</v>
      </c>
      <c r="G1827" s="17" t="str">
        <f>Github!H$1211</f>
        <v>Algorithms</v>
      </c>
      <c r="H1827" s="19" t="str">
        <f>SUBSTITUTE(Github!L$1211, ";", ", ")</f>
        <v>Array, Breadth-First Search, Matrix, </v>
      </c>
      <c r="I1827" s="17" t="str">
        <f>Github!E$1211</f>
        <v>Hard</v>
      </c>
      <c r="J1827" s="17" t="str">
        <f>IF(TRIM(Github!D$1211)="TRUE","FALSE","TRUE")</f>
        <v>TRUE</v>
      </c>
      <c r="K1827" s="17" t="b">
        <f>Github!M$1211</f>
        <v>0</v>
      </c>
      <c r="L1827" s="17" t="b">
        <f>Github!N$1211</f>
        <v>0</v>
      </c>
      <c r="M1827" s="17" t="str">
        <f>ROUND(Github!O$1211, 2)&amp;"%"</f>
        <v>47.93%</v>
      </c>
      <c r="N1827" s="17">
        <f>Github!P$1211</f>
        <v>7078</v>
      </c>
      <c r="O1827" s="17">
        <f>Github!Q$1211</f>
        <v>14767</v>
      </c>
    </row>
    <row r="1828" ht="18.0" customHeight="1">
      <c r="A1828" s="17">
        <f>Github!J$1740</f>
        <v>1739</v>
      </c>
      <c r="B1828" s="27" t="str">
        <f>HYPERLINK(CONCAT("http://leetcode.com/problems/",Github!C$1740), Github!B$1740)</f>
        <v>Building Boxes</v>
      </c>
      <c r="C1828" s="17">
        <f>Github!F$1740</f>
        <v>192</v>
      </c>
      <c r="D1828" s="17">
        <f>Github!G$1740</f>
        <v>33</v>
      </c>
      <c r="E1828" s="17">
        <f>Github!F$1740+Github!G$1740</f>
        <v>225</v>
      </c>
      <c r="F1828" s="18">
        <f t="shared" si="1"/>
        <v>5.82</v>
      </c>
      <c r="G1828" s="17" t="str">
        <f>Github!H$1740</f>
        <v>Algorithms</v>
      </c>
      <c r="H1828" s="19" t="str">
        <f>SUBSTITUTE(Github!L$1740, ";", ", ")</f>
        <v>Math, Binary Search, Greedy, </v>
      </c>
      <c r="I1828" s="17" t="str">
        <f>Github!E$1740</f>
        <v>Hard</v>
      </c>
      <c r="J1828" s="17" t="str">
        <f>IF(TRIM(Github!D$1740)="TRUE","FALSE","TRUE")</f>
        <v>TRUE</v>
      </c>
      <c r="K1828" s="17" t="b">
        <f>Github!M$1740</f>
        <v>0</v>
      </c>
      <c r="L1828" s="17" t="b">
        <f>Github!N$1740</f>
        <v>0</v>
      </c>
      <c r="M1828" s="17" t="str">
        <f>ROUND(Github!O$1740, 2)&amp;"%"</f>
        <v>50.67%</v>
      </c>
      <c r="N1828" s="17">
        <f>Github!P$1740</f>
        <v>4708</v>
      </c>
      <c r="O1828" s="17">
        <f>Github!Q$1740</f>
        <v>9292</v>
      </c>
    </row>
    <row r="1829" ht="18.0" customHeight="1">
      <c r="A1829" s="17">
        <f>Github!J$1783</f>
        <v>1782</v>
      </c>
      <c r="B1829" s="27" t="str">
        <f>HYPERLINK(CONCAT("http://leetcode.com/problems/",Github!C$1783), Github!B$1783)</f>
        <v>Count Pairs Of Nodes</v>
      </c>
      <c r="C1829" s="17">
        <f>Github!F$1783</f>
        <v>192</v>
      </c>
      <c r="D1829" s="17">
        <f>Github!G$1783</f>
        <v>122</v>
      </c>
      <c r="E1829" s="17">
        <f>Github!F$1783+Github!G$1783</f>
        <v>314</v>
      </c>
      <c r="F1829" s="18">
        <f t="shared" si="1"/>
        <v>1.57</v>
      </c>
      <c r="G1829" s="17" t="str">
        <f>Github!H$1783</f>
        <v>Algorithms</v>
      </c>
      <c r="H1829" s="19" t="str">
        <f>SUBSTITUTE(Github!L$1783, ";", ", ")</f>
        <v>Two Pointers, Binary Search, Graph, </v>
      </c>
      <c r="I1829" s="17" t="str">
        <f>Github!E$1783</f>
        <v>Hard</v>
      </c>
      <c r="J1829" s="17" t="str">
        <f>IF(TRIM(Github!D$1783)="TRUE","FALSE","TRUE")</f>
        <v>TRUE</v>
      </c>
      <c r="K1829" s="17" t="b">
        <f>Github!M$1783</f>
        <v>0</v>
      </c>
      <c r="L1829" s="17" t="b">
        <f>Github!N$1783</f>
        <v>0</v>
      </c>
      <c r="M1829" s="17" t="str">
        <f>ROUND(Github!O$1783, 2)&amp;"%"</f>
        <v>37.1%</v>
      </c>
      <c r="N1829" s="17">
        <f>Github!P$1783</f>
        <v>4197</v>
      </c>
      <c r="O1829" s="17">
        <f>Github!Q$1783</f>
        <v>11313</v>
      </c>
    </row>
    <row r="1830" ht="18.0" customHeight="1">
      <c r="A1830" s="17">
        <f>Github!J$1468</f>
        <v>1467</v>
      </c>
      <c r="B1830" s="27" t="str">
        <f>HYPERLINK(CONCAT("http://leetcode.com/problems/",Github!C$1468), Github!B$1468)</f>
        <v>Probability of a Two Boxes Having The Same Number of Distinct Balls</v>
      </c>
      <c r="C1830" s="17">
        <f>Github!F$1468</f>
        <v>191</v>
      </c>
      <c r="D1830" s="17">
        <f>Github!G$1468</f>
        <v>140</v>
      </c>
      <c r="E1830" s="17">
        <f>Github!F$1468+Github!G$1468</f>
        <v>331</v>
      </c>
      <c r="F1830" s="18">
        <f t="shared" si="1"/>
        <v>1.36</v>
      </c>
      <c r="G1830" s="17" t="str">
        <f>Github!H$1468</f>
        <v>Algorithms</v>
      </c>
      <c r="H1830" s="19" t="str">
        <f>SUBSTITUTE(Github!L$1468, ";", ", ")</f>
        <v>Math, Dynamic Programming, Backtracking, Combinatorics, Probability and Statistics, </v>
      </c>
      <c r="I1830" s="17" t="str">
        <f>Github!E$1468</f>
        <v>Hard</v>
      </c>
      <c r="J1830" s="17" t="str">
        <f>IF(TRIM(Github!D$1468)="TRUE","FALSE","TRUE")</f>
        <v>TRUE</v>
      </c>
      <c r="K1830" s="17" t="b">
        <f>Github!M$1468</f>
        <v>0</v>
      </c>
      <c r="L1830" s="17" t="b">
        <f>Github!N$1468</f>
        <v>0</v>
      </c>
      <c r="M1830" s="17" t="str">
        <f>ROUND(Github!O$1468, 2)&amp;"%"</f>
        <v>60.78%</v>
      </c>
      <c r="N1830" s="17">
        <f>Github!P$1468</f>
        <v>5832</v>
      </c>
      <c r="O1830" s="17">
        <f>Github!Q$1468</f>
        <v>9596</v>
      </c>
    </row>
    <row r="1831" ht="18.0" customHeight="1">
      <c r="A1831" s="17">
        <f>Github!J$1737</f>
        <v>1736</v>
      </c>
      <c r="B1831" s="27" t="str">
        <f>HYPERLINK(CONCAT("http://leetcode.com/problems/",Github!C$1737), Github!B$1737)</f>
        <v>Latest Time by Replacing Hidden Digits</v>
      </c>
      <c r="C1831" s="17">
        <f>Github!F$1737</f>
        <v>191</v>
      </c>
      <c r="D1831" s="17">
        <f>Github!G$1737</f>
        <v>112</v>
      </c>
      <c r="E1831" s="17">
        <f>Github!F$1737+Github!G$1737</f>
        <v>303</v>
      </c>
      <c r="F1831" s="18">
        <f t="shared" si="1"/>
        <v>1.71</v>
      </c>
      <c r="G1831" s="17" t="str">
        <f>Github!H$1737</f>
        <v>Algorithms</v>
      </c>
      <c r="H1831" s="19" t="str">
        <f>SUBSTITUTE(Github!L$1737, ";", ", ")</f>
        <v>String, Greedy, </v>
      </c>
      <c r="I1831" s="17" t="str">
        <f>Github!E$1737</f>
        <v>Easy</v>
      </c>
      <c r="J1831" s="17" t="str">
        <f>IF(TRIM(Github!D$1737)="TRUE","FALSE","TRUE")</f>
        <v>TRUE</v>
      </c>
      <c r="K1831" s="17" t="b">
        <f>Github!M$1737</f>
        <v>0</v>
      </c>
      <c r="L1831" s="17" t="b">
        <f>Github!N$1737</f>
        <v>0</v>
      </c>
      <c r="M1831" s="17" t="str">
        <f>ROUND(Github!O$1737, 2)&amp;"%"</f>
        <v>41.94%</v>
      </c>
      <c r="N1831" s="17">
        <f>Github!P$1737</f>
        <v>21320</v>
      </c>
      <c r="O1831" s="17">
        <f>Github!Q$1737</f>
        <v>50837</v>
      </c>
    </row>
    <row r="1832" ht="18.0" customHeight="1">
      <c r="A1832" s="17">
        <f>Github!J$1847</f>
        <v>1846</v>
      </c>
      <c r="B1832" s="27" t="str">
        <f>HYPERLINK(CONCAT("http://leetcode.com/problems/",Github!C$1847), Github!B$1847)</f>
        <v>Maximum Element After Decreasing and Rearranging</v>
      </c>
      <c r="C1832" s="17">
        <f>Github!F$1847</f>
        <v>191</v>
      </c>
      <c r="D1832" s="17">
        <f>Github!G$1847</f>
        <v>43</v>
      </c>
      <c r="E1832" s="17">
        <f>Github!F$1847+Github!G$1847</f>
        <v>234</v>
      </c>
      <c r="F1832" s="18">
        <f t="shared" si="1"/>
        <v>4.44</v>
      </c>
      <c r="G1832" s="17" t="str">
        <f>Github!H$1847</f>
        <v>Algorithms</v>
      </c>
      <c r="H1832" s="19" t="str">
        <f>SUBSTITUTE(Github!L$1847, ";", ", ")</f>
        <v>Array, Greedy, Sorting, </v>
      </c>
      <c r="I1832" s="17" t="str">
        <f>Github!E$1847</f>
        <v>Medium</v>
      </c>
      <c r="J1832" s="17" t="str">
        <f>IF(TRIM(Github!D$1847)="TRUE","FALSE","TRUE")</f>
        <v>TRUE</v>
      </c>
      <c r="K1832" s="17" t="b">
        <f>Github!M$1847</f>
        <v>0</v>
      </c>
      <c r="L1832" s="17" t="b">
        <f>Github!N$1847</f>
        <v>0</v>
      </c>
      <c r="M1832" s="17" t="str">
        <f>ROUND(Github!O$1847, 2)&amp;"%"</f>
        <v>57.42%</v>
      </c>
      <c r="N1832" s="17">
        <f>Github!P$1847</f>
        <v>12998</v>
      </c>
      <c r="O1832" s="17">
        <f>Github!Q$1847</f>
        <v>22635</v>
      </c>
    </row>
    <row r="1833" ht="18.0" customHeight="1">
      <c r="A1833" s="17">
        <f>Github!J$2178</f>
        <v>2177</v>
      </c>
      <c r="B1833" s="27" t="str">
        <f>HYPERLINK(CONCAT("http://leetcode.com/problems/",Github!C$2178), Github!B$2178)</f>
        <v>Find Three Consecutive Integers That Sum to a Given Number</v>
      </c>
      <c r="C1833" s="17">
        <f>Github!F$2178</f>
        <v>193</v>
      </c>
      <c r="D1833" s="17">
        <f>Github!G$2178</f>
        <v>41</v>
      </c>
      <c r="E1833" s="17">
        <f>Github!F$2178+Github!G$2178</f>
        <v>234</v>
      </c>
      <c r="F1833" s="18">
        <f t="shared" si="1"/>
        <v>4.71</v>
      </c>
      <c r="G1833" s="17" t="str">
        <f>Github!H$2178</f>
        <v>Algorithms</v>
      </c>
      <c r="H1833" s="19" t="str">
        <f>SUBSTITUTE(Github!L$2178, ";", ", ")</f>
        <v>Math, Simulation, </v>
      </c>
      <c r="I1833" s="17" t="str">
        <f>Github!E$2178</f>
        <v>Medium</v>
      </c>
      <c r="J1833" s="17" t="str">
        <f>IF(TRIM(Github!D$2178)="TRUE","FALSE","TRUE")</f>
        <v>TRUE</v>
      </c>
      <c r="K1833" s="17" t="b">
        <f>Github!M$2178</f>
        <v>0</v>
      </c>
      <c r="L1833" s="17" t="b">
        <f>Github!N$2178</f>
        <v>0</v>
      </c>
      <c r="M1833" s="17" t="str">
        <f>ROUND(Github!O$2178, 2)&amp;"%"</f>
        <v>59.61%</v>
      </c>
      <c r="N1833" s="17">
        <f>Github!P$2178</f>
        <v>16696</v>
      </c>
      <c r="O1833" s="17">
        <f>Github!Q$2178</f>
        <v>28008</v>
      </c>
    </row>
    <row r="1834" ht="18.0" customHeight="1">
      <c r="A1834" s="17">
        <f>Github!J$1826</f>
        <v>1825</v>
      </c>
      <c r="B1834" s="27" t="str">
        <f>HYPERLINK(CONCAT("http://leetcode.com/problems/",Github!C$1826), Github!B$1826)</f>
        <v>Finding MK Average</v>
      </c>
      <c r="C1834" s="17">
        <f>Github!F$1826</f>
        <v>190</v>
      </c>
      <c r="D1834" s="17">
        <f>Github!G$1826</f>
        <v>79</v>
      </c>
      <c r="E1834" s="17">
        <f>Github!F$1826+Github!G$1826</f>
        <v>269</v>
      </c>
      <c r="F1834" s="18">
        <f t="shared" si="1"/>
        <v>2.41</v>
      </c>
      <c r="G1834" s="17" t="str">
        <f>Github!H$1826</f>
        <v>Algorithms</v>
      </c>
      <c r="H1834" s="19" t="str">
        <f>SUBSTITUTE(Github!L$1826, ";", ", ")</f>
        <v>Design, Queue, Heap (Priority Queue), Ordered Set, </v>
      </c>
      <c r="I1834" s="17" t="str">
        <f>Github!E$1826</f>
        <v>Hard</v>
      </c>
      <c r="J1834" s="17" t="str">
        <f>IF(TRIM(Github!D$1826)="TRUE","FALSE","TRUE")</f>
        <v>TRUE</v>
      </c>
      <c r="K1834" s="17" t="b">
        <f>Github!M$1826</f>
        <v>0</v>
      </c>
      <c r="L1834" s="17" t="b">
        <f>Github!N$1826</f>
        <v>0</v>
      </c>
      <c r="M1834" s="17" t="str">
        <f>ROUND(Github!O$1826, 2)&amp;"%"</f>
        <v>32.9%</v>
      </c>
      <c r="N1834" s="17">
        <f>Github!P$1826</f>
        <v>6489</v>
      </c>
      <c r="O1834" s="17">
        <f>Github!Q$1826</f>
        <v>19724</v>
      </c>
    </row>
    <row r="1835" ht="18.0" customHeight="1">
      <c r="A1835" s="17">
        <f>Github!J$2039</f>
        <v>2038</v>
      </c>
      <c r="B1835" s="27" t="str">
        <f>HYPERLINK(CONCAT("http://leetcode.com/problems/",Github!C$2039), Github!B$2039)</f>
        <v>Remove Colored Pieces if Both Neighbors are the Same Color</v>
      </c>
      <c r="C1835" s="17">
        <f>Github!F$2039</f>
        <v>190</v>
      </c>
      <c r="D1835" s="17">
        <f>Github!G$2039</f>
        <v>16</v>
      </c>
      <c r="E1835" s="17">
        <f>Github!F$2039+Github!G$2039</f>
        <v>206</v>
      </c>
      <c r="F1835" s="18">
        <f t="shared" si="1"/>
        <v>11.88</v>
      </c>
      <c r="G1835" s="17" t="str">
        <f>Github!H$2039</f>
        <v>Algorithms</v>
      </c>
      <c r="H1835" s="19" t="str">
        <f>SUBSTITUTE(Github!L$2039, ";", ", ")</f>
        <v>Math, String, Greedy, Game Theory, </v>
      </c>
      <c r="I1835" s="17" t="str">
        <f>Github!E$2039</f>
        <v>Medium</v>
      </c>
      <c r="J1835" s="17" t="str">
        <f>IF(TRIM(Github!D$2039)="TRUE","FALSE","TRUE")</f>
        <v>TRUE</v>
      </c>
      <c r="K1835" s="17" t="b">
        <f>Github!M$2039</f>
        <v>0</v>
      </c>
      <c r="L1835" s="17" t="b">
        <f>Github!N$2039</f>
        <v>0</v>
      </c>
      <c r="M1835" s="17" t="str">
        <f>ROUND(Github!O$2039, 2)&amp;"%"</f>
        <v>55.21%</v>
      </c>
      <c r="N1835" s="17">
        <f>Github!P$2039</f>
        <v>10027</v>
      </c>
      <c r="O1835" s="17">
        <f>Github!Q$2039</f>
        <v>18162</v>
      </c>
    </row>
    <row r="1836" ht="18.0" customHeight="1">
      <c r="A1836" s="17">
        <f>Github!J$586</f>
        <v>585</v>
      </c>
      <c r="B1836" s="27" t="str">
        <f>HYPERLINK(CONCAT("http://leetcode.com/problems/",Github!C$586), Github!B$586)</f>
        <v>Investments in 2016</v>
      </c>
      <c r="C1836" s="17">
        <f>Github!F$586</f>
        <v>188</v>
      </c>
      <c r="D1836" s="17">
        <f>Github!G$586</f>
        <v>189</v>
      </c>
      <c r="E1836" s="17">
        <f>Github!F$586+Github!G$586</f>
        <v>377</v>
      </c>
      <c r="F1836" s="18">
        <f t="shared" si="1"/>
        <v>0.99</v>
      </c>
      <c r="G1836" s="17" t="str">
        <f>Github!H$586</f>
        <v>Database</v>
      </c>
      <c r="H1836" s="19" t="str">
        <f>SUBSTITUTE(Github!L$586, ";", ", ")</f>
        <v>Database, </v>
      </c>
      <c r="I1836" s="17" t="str">
        <f>Github!E$586</f>
        <v>Medium</v>
      </c>
      <c r="J1836" s="17" t="str">
        <f>IF(TRIM(Github!D$586)="TRUE","FALSE","TRUE")</f>
        <v>FALSE</v>
      </c>
      <c r="K1836" s="17" t="b">
        <f>Github!M$586</f>
        <v>1</v>
      </c>
      <c r="L1836" s="17" t="b">
        <f>Github!N$586</f>
        <v>0</v>
      </c>
      <c r="M1836" s="17" t="str">
        <f>ROUND(Github!O$586, 2)&amp;"%"</f>
        <v>55.47%</v>
      </c>
      <c r="N1836" s="17">
        <f>Github!P$586</f>
        <v>31082</v>
      </c>
      <c r="O1836" s="17">
        <f>Github!Q$586</f>
        <v>56038</v>
      </c>
    </row>
    <row r="1837" ht="18.0" customHeight="1">
      <c r="A1837" s="17">
        <f>Github!J$1205</f>
        <v>1204</v>
      </c>
      <c r="B1837" s="27" t="str">
        <f>HYPERLINK(CONCAT("http://leetcode.com/problems/",Github!C$1205), Github!B$1205)</f>
        <v>Last Person to Fit in the Bus</v>
      </c>
      <c r="C1837" s="17">
        <f>Github!F$1205</f>
        <v>188</v>
      </c>
      <c r="D1837" s="17">
        <f>Github!G$1205</f>
        <v>16</v>
      </c>
      <c r="E1837" s="17">
        <f>Github!F$1205+Github!G$1205</f>
        <v>204</v>
      </c>
      <c r="F1837" s="18">
        <f t="shared" si="1"/>
        <v>11.75</v>
      </c>
      <c r="G1837" s="17" t="str">
        <f>Github!H$1205</f>
        <v>Database</v>
      </c>
      <c r="H1837" s="19" t="str">
        <f>SUBSTITUTE(Github!L$1205, ";", ", ")</f>
        <v>Database, </v>
      </c>
      <c r="I1837" s="17" t="str">
        <f>Github!E$1205</f>
        <v>Medium</v>
      </c>
      <c r="J1837" s="17" t="str">
        <f>IF(TRIM(Github!D$1205)="TRUE","FALSE","TRUE")</f>
        <v>FALSE</v>
      </c>
      <c r="K1837" s="17" t="b">
        <f>Github!M$1205</f>
        <v>0</v>
      </c>
      <c r="L1837" s="17" t="b">
        <f>Github!N$1205</f>
        <v>0</v>
      </c>
      <c r="M1837" s="17" t="str">
        <f>ROUND(Github!O$1205, 2)&amp;"%"</f>
        <v>73.55%</v>
      </c>
      <c r="N1837" s="17">
        <f>Github!P$1205</f>
        <v>27410</v>
      </c>
      <c r="O1837" s="17">
        <f>Github!Q$1205</f>
        <v>37267</v>
      </c>
    </row>
    <row r="1838" ht="18.0" customHeight="1">
      <c r="A1838" s="17">
        <f>Github!J$1419</f>
        <v>1418</v>
      </c>
      <c r="B1838" s="27" t="str">
        <f>HYPERLINK(CONCAT("http://leetcode.com/problems/",Github!C$1419), Github!B$1419)</f>
        <v>Display Table of Food Orders in a Restaurant</v>
      </c>
      <c r="C1838" s="17">
        <f>Github!F$1419</f>
        <v>188</v>
      </c>
      <c r="D1838" s="17">
        <f>Github!G$1419</f>
        <v>327</v>
      </c>
      <c r="E1838" s="17">
        <f>Github!F$1419+Github!G$1419</f>
        <v>515</v>
      </c>
      <c r="F1838" s="18">
        <f t="shared" si="1"/>
        <v>0.57</v>
      </c>
      <c r="G1838" s="17" t="str">
        <f>Github!H$1419</f>
        <v>Algorithms</v>
      </c>
      <c r="H1838" s="19" t="str">
        <f>SUBSTITUTE(Github!L$1419, ";", ", ")</f>
        <v>Array, Hash Table, String, Sorting, Ordered Set, </v>
      </c>
      <c r="I1838" s="17" t="str">
        <f>Github!E$1419</f>
        <v>Medium</v>
      </c>
      <c r="J1838" s="17" t="str">
        <f>IF(TRIM(Github!D$1419)="TRUE","FALSE","TRUE")</f>
        <v>TRUE</v>
      </c>
      <c r="K1838" s="17" t="b">
        <f>Github!M$1419</f>
        <v>0</v>
      </c>
      <c r="L1838" s="17" t="b">
        <f>Github!N$1419</f>
        <v>0</v>
      </c>
      <c r="M1838" s="17" t="str">
        <f>ROUND(Github!O$1419, 2)&amp;"%"</f>
        <v>72.1%</v>
      </c>
      <c r="N1838" s="17">
        <f>Github!P$1419</f>
        <v>18210</v>
      </c>
      <c r="O1838" s="17">
        <f>Github!Q$1419</f>
        <v>25258</v>
      </c>
    </row>
    <row r="1839" ht="18.0" customHeight="1">
      <c r="A1839" s="17">
        <f>Github!J$1657</f>
        <v>1656</v>
      </c>
      <c r="B1839" s="27" t="str">
        <f>HYPERLINK(CONCAT("http://leetcode.com/problems/",Github!C$1657), Github!B$1657)</f>
        <v>Design an Ordered Stream</v>
      </c>
      <c r="C1839" s="17">
        <f>Github!F$1657</f>
        <v>188</v>
      </c>
      <c r="D1839" s="17">
        <f>Github!G$1657</f>
        <v>1610</v>
      </c>
      <c r="E1839" s="17">
        <f>Github!F$1657+Github!G$1657</f>
        <v>1798</v>
      </c>
      <c r="F1839" s="18">
        <f t="shared" si="1"/>
        <v>0.12</v>
      </c>
      <c r="G1839" s="17" t="str">
        <f>Github!H$1657</f>
        <v>Algorithms</v>
      </c>
      <c r="H1839" s="19" t="str">
        <f>SUBSTITUTE(Github!L$1657, ";", ", ")</f>
        <v>Array, Hash Table, Design, Data Stream, </v>
      </c>
      <c r="I1839" s="17" t="str">
        <f>Github!E$1657</f>
        <v>Easy</v>
      </c>
      <c r="J1839" s="17" t="str">
        <f>IF(TRIM(Github!D$1657)="TRUE","FALSE","TRUE")</f>
        <v>TRUE</v>
      </c>
      <c r="K1839" s="17" t="b">
        <f>Github!M$1657</f>
        <v>0</v>
      </c>
      <c r="L1839" s="17" t="b">
        <f>Github!N$1657</f>
        <v>0</v>
      </c>
      <c r="M1839" s="17" t="str">
        <f>ROUND(Github!O$1657, 2)&amp;"%"</f>
        <v>83.45%</v>
      </c>
      <c r="N1839" s="17">
        <f>Github!P$1657</f>
        <v>33564</v>
      </c>
      <c r="O1839" s="17">
        <f>Github!Q$1657</f>
        <v>40219</v>
      </c>
    </row>
    <row r="1840" ht="18.0" customHeight="1">
      <c r="A1840" s="17">
        <f>Github!J$2127</f>
        <v>2126</v>
      </c>
      <c r="B1840" s="27" t="str">
        <f>HYPERLINK(CONCAT("http://leetcode.com/problems/",Github!C$2127), Github!B$2127)</f>
        <v>Destroying Asteroids</v>
      </c>
      <c r="C1840" s="17">
        <f>Github!F$2127</f>
        <v>188</v>
      </c>
      <c r="D1840" s="17">
        <f>Github!G$2127</f>
        <v>96</v>
      </c>
      <c r="E1840" s="17">
        <f>Github!F$2127+Github!G$2127</f>
        <v>284</v>
      </c>
      <c r="F1840" s="18">
        <f t="shared" si="1"/>
        <v>1.96</v>
      </c>
      <c r="G1840" s="17" t="str">
        <f>Github!H$2127</f>
        <v>Algorithms</v>
      </c>
      <c r="H1840" s="19" t="str">
        <f>SUBSTITUTE(Github!L$2127, ";", ", ")</f>
        <v>Array, Greedy, Sorting, </v>
      </c>
      <c r="I1840" s="17" t="str">
        <f>Github!E$2127</f>
        <v>Medium</v>
      </c>
      <c r="J1840" s="17" t="str">
        <f>IF(TRIM(Github!D$2127)="TRUE","FALSE","TRUE")</f>
        <v>TRUE</v>
      </c>
      <c r="K1840" s="17" t="b">
        <f>Github!M$2127</f>
        <v>0</v>
      </c>
      <c r="L1840" s="17" t="b">
        <f>Github!N$2127</f>
        <v>0</v>
      </c>
      <c r="M1840" s="17" t="str">
        <f>ROUND(Github!O$2127, 2)&amp;"%"</f>
        <v>48.15%</v>
      </c>
      <c r="N1840" s="17">
        <f>Github!P$2127</f>
        <v>17330</v>
      </c>
      <c r="O1840" s="17">
        <f>Github!Q$2127</f>
        <v>35992</v>
      </c>
    </row>
    <row r="1841" ht="18.0" customHeight="1">
      <c r="A1841" s="17">
        <f>Github!J$2151</f>
        <v>2150</v>
      </c>
      <c r="B1841" s="27" t="str">
        <f>HYPERLINK(CONCAT("http://leetcode.com/problems/",Github!C$2151), Github!B$2151)</f>
        <v>Find All Lonely Numbers in the Array</v>
      </c>
      <c r="C1841" s="17">
        <f>Github!F$2151</f>
        <v>189</v>
      </c>
      <c r="D1841" s="17">
        <f>Github!G$2151</f>
        <v>27</v>
      </c>
      <c r="E1841" s="17">
        <f>Github!F$2151+Github!G$2151</f>
        <v>216</v>
      </c>
      <c r="F1841" s="18">
        <f t="shared" si="1"/>
        <v>7</v>
      </c>
      <c r="G1841" s="17" t="str">
        <f>Github!H$2151</f>
        <v>Algorithms</v>
      </c>
      <c r="H1841" s="19" t="str">
        <f>SUBSTITUTE(Github!L$2151, ";", ", ")</f>
        <v>Array, Hash Table, Counting, </v>
      </c>
      <c r="I1841" s="17" t="str">
        <f>Github!E$2151</f>
        <v>Medium</v>
      </c>
      <c r="J1841" s="17" t="str">
        <f>IF(TRIM(Github!D$2151)="TRUE","FALSE","TRUE")</f>
        <v>TRUE</v>
      </c>
      <c r="K1841" s="17" t="b">
        <f>Github!M$2151</f>
        <v>0</v>
      </c>
      <c r="L1841" s="17" t="b">
        <f>Github!N$2151</f>
        <v>0</v>
      </c>
      <c r="M1841" s="17" t="str">
        <f>ROUND(Github!O$2151, 2)&amp;"%"</f>
        <v>60.36%</v>
      </c>
      <c r="N1841" s="17">
        <f>Github!P$2151</f>
        <v>21377</v>
      </c>
      <c r="O1841" s="17">
        <f>Github!Q$2151</f>
        <v>35414</v>
      </c>
    </row>
    <row r="1842" ht="18.0" customHeight="1">
      <c r="A1842" s="17">
        <f>Github!J$1555</f>
        <v>1554</v>
      </c>
      <c r="B1842" s="27" t="str">
        <f>HYPERLINK(CONCAT("http://leetcode.com/problems/",Github!C$1555), Github!B$1555)</f>
        <v>Strings Differ by One Character</v>
      </c>
      <c r="C1842" s="17">
        <f>Github!F$1555</f>
        <v>191</v>
      </c>
      <c r="D1842" s="17">
        <f>Github!G$1555</f>
        <v>5</v>
      </c>
      <c r="E1842" s="17">
        <f>Github!F$1555+Github!G$1555</f>
        <v>196</v>
      </c>
      <c r="F1842" s="18">
        <f t="shared" si="1"/>
        <v>38.2</v>
      </c>
      <c r="G1842" s="17" t="str">
        <f>Github!H$1555</f>
        <v>Algorithms</v>
      </c>
      <c r="H1842" s="19" t="str">
        <f>SUBSTITUTE(Github!L$1555, ";", ", ")</f>
        <v>Hash Table, String, Rolling Hash, Hash Function, </v>
      </c>
      <c r="I1842" s="17" t="str">
        <f>Github!E$1555</f>
        <v>Medium</v>
      </c>
      <c r="J1842" s="17" t="str">
        <f>IF(TRIM(Github!D$1555)="TRUE","FALSE","TRUE")</f>
        <v>FALSE</v>
      </c>
      <c r="K1842" s="17" t="b">
        <f>Github!M$1555</f>
        <v>0</v>
      </c>
      <c r="L1842" s="17" t="b">
        <f>Github!N$1555</f>
        <v>0</v>
      </c>
      <c r="M1842" s="17" t="str">
        <f>ROUND(Github!O$1555, 2)&amp;"%"</f>
        <v>65.39%</v>
      </c>
      <c r="N1842" s="17">
        <f>Github!P$1555</f>
        <v>10460</v>
      </c>
      <c r="O1842" s="17">
        <f>Github!Q$1555</f>
        <v>15996</v>
      </c>
    </row>
    <row r="1843" ht="18.0" customHeight="1">
      <c r="A1843" s="17">
        <f>Github!J$2187</f>
        <v>2186</v>
      </c>
      <c r="B1843" s="27" t="str">
        <f>HYPERLINK(CONCAT("http://leetcode.com/problems/",Github!C$2187), Github!B$2187)</f>
        <v>Minimum Number of Steps to Make Two Strings Anagram II</v>
      </c>
      <c r="C1843" s="17">
        <f>Github!F$2187</f>
        <v>188</v>
      </c>
      <c r="D1843" s="17">
        <f>Github!G$2187</f>
        <v>4</v>
      </c>
      <c r="E1843" s="17">
        <f>Github!F$2187+Github!G$2187</f>
        <v>192</v>
      </c>
      <c r="F1843" s="18">
        <f t="shared" si="1"/>
        <v>47</v>
      </c>
      <c r="G1843" s="17" t="str">
        <f>Github!H$2187</f>
        <v>Algorithms</v>
      </c>
      <c r="H1843" s="19" t="str">
        <f>SUBSTITUTE(Github!L$2187, ";", ", ")</f>
        <v>Hash Table, String, Counting, </v>
      </c>
      <c r="I1843" s="17" t="str">
        <f>Github!E$2187</f>
        <v>Medium</v>
      </c>
      <c r="J1843" s="17" t="str">
        <f>IF(TRIM(Github!D$2187)="TRUE","FALSE","TRUE")</f>
        <v>TRUE</v>
      </c>
      <c r="K1843" s="17" t="b">
        <f>Github!M$2187</f>
        <v>0</v>
      </c>
      <c r="L1843" s="17" t="b">
        <f>Github!N$2187</f>
        <v>0</v>
      </c>
      <c r="M1843" s="17" t="str">
        <f>ROUND(Github!O$2187, 2)&amp;"%"</f>
        <v>69.68%</v>
      </c>
      <c r="N1843" s="17">
        <f>Github!P$2187</f>
        <v>19072</v>
      </c>
      <c r="O1843" s="17">
        <f>Github!Q$2187</f>
        <v>27370</v>
      </c>
    </row>
    <row r="1844" ht="18.0" customHeight="1">
      <c r="A1844" s="17">
        <f>Github!J$1274</f>
        <v>1273</v>
      </c>
      <c r="B1844" s="27" t="str">
        <f>HYPERLINK(CONCAT("http://leetcode.com/problems/",Github!C$1274), Github!B$1274)</f>
        <v>Delete Tree Nodes</v>
      </c>
      <c r="C1844" s="17">
        <f>Github!F$1274</f>
        <v>185</v>
      </c>
      <c r="D1844" s="17">
        <f>Github!G$1274</f>
        <v>58</v>
      </c>
      <c r="E1844" s="17">
        <f>Github!F$1274+Github!G$1274</f>
        <v>243</v>
      </c>
      <c r="F1844" s="18">
        <f t="shared" si="1"/>
        <v>3.19</v>
      </c>
      <c r="G1844" s="17" t="str">
        <f>Github!H$1274</f>
        <v>Algorithms</v>
      </c>
      <c r="H1844" s="19" t="str">
        <f>SUBSTITUTE(Github!L$1274, ";", ", ")</f>
        <v>Tree, Depth-First Search, Breadth-First Search, </v>
      </c>
      <c r="I1844" s="17" t="str">
        <f>Github!E$1274</f>
        <v>Medium</v>
      </c>
      <c r="J1844" s="17" t="str">
        <f>IF(TRIM(Github!D$1274)="TRUE","FALSE","TRUE")</f>
        <v>FALSE</v>
      </c>
      <c r="K1844" s="17" t="b">
        <f>Github!M$1274</f>
        <v>0</v>
      </c>
      <c r="L1844" s="17" t="b">
        <f>Github!N$1274</f>
        <v>0</v>
      </c>
      <c r="M1844" s="17" t="str">
        <f>ROUND(Github!O$1274, 2)&amp;"%"</f>
        <v>61.22%</v>
      </c>
      <c r="N1844" s="17">
        <f>Github!P$1274</f>
        <v>8178</v>
      </c>
      <c r="O1844" s="17">
        <f>Github!Q$1274</f>
        <v>13358</v>
      </c>
    </row>
    <row r="1845" ht="18.0" customHeight="1">
      <c r="A1845" s="17">
        <f>Github!J$2181</f>
        <v>2180</v>
      </c>
      <c r="B1845" s="27" t="str">
        <f>HYPERLINK(CONCAT("http://leetcode.com/problems/",Github!C$2181), Github!B$2181)</f>
        <v>Count Integers With Even Digit Sum</v>
      </c>
      <c r="C1845" s="17">
        <f>Github!F$2181</f>
        <v>183</v>
      </c>
      <c r="D1845" s="17">
        <f>Github!G$2181</f>
        <v>12</v>
      </c>
      <c r="E1845" s="17">
        <f>Github!F$2181+Github!G$2181</f>
        <v>195</v>
      </c>
      <c r="F1845" s="18">
        <f t="shared" si="1"/>
        <v>15.25</v>
      </c>
      <c r="G1845" s="17" t="str">
        <f>Github!H$2181</f>
        <v>Algorithms</v>
      </c>
      <c r="H1845" s="19" t="str">
        <f>SUBSTITUTE(Github!L$2181, ";", ", ")</f>
        <v>Math, Simulation, </v>
      </c>
      <c r="I1845" s="17" t="str">
        <f>Github!E$2181</f>
        <v>Easy</v>
      </c>
      <c r="J1845" s="17" t="str">
        <f>IF(TRIM(Github!D$2181)="TRUE","FALSE","TRUE")</f>
        <v>TRUE</v>
      </c>
      <c r="K1845" s="17" t="b">
        <f>Github!M$2181</f>
        <v>0</v>
      </c>
      <c r="L1845" s="17" t="b">
        <f>Github!N$2181</f>
        <v>0</v>
      </c>
      <c r="M1845" s="17" t="str">
        <f>ROUND(Github!O$2181, 2)&amp;"%"</f>
        <v>64.89%</v>
      </c>
      <c r="N1845" s="17">
        <f>Github!P$2181</f>
        <v>21313</v>
      </c>
      <c r="O1845" s="17">
        <f>Github!Q$2181</f>
        <v>32843</v>
      </c>
    </row>
    <row r="1846" ht="18.0" customHeight="1">
      <c r="A1846" s="17">
        <f>Github!J$1747</f>
        <v>1746</v>
      </c>
      <c r="B1846" s="27" t="str">
        <f>HYPERLINK(CONCAT("http://leetcode.com/problems/",Github!C$1747), Github!B$1747)</f>
        <v>Maximum Subarray Sum After One Operation</v>
      </c>
      <c r="C1846" s="17">
        <f>Github!F$1747</f>
        <v>181</v>
      </c>
      <c r="D1846" s="17">
        <f>Github!G$1747</f>
        <v>3</v>
      </c>
      <c r="E1846" s="17">
        <f>Github!F$1747+Github!G$1747</f>
        <v>184</v>
      </c>
      <c r="F1846" s="18">
        <f t="shared" si="1"/>
        <v>60.33</v>
      </c>
      <c r="G1846" s="17" t="str">
        <f>Github!H$1747</f>
        <v>Algorithms</v>
      </c>
      <c r="H1846" s="19" t="str">
        <f>SUBSTITUTE(Github!L$1747, ";", ", ")</f>
        <v>Array, Dynamic Programming, </v>
      </c>
      <c r="I1846" s="17" t="str">
        <f>Github!E$1747</f>
        <v>Medium</v>
      </c>
      <c r="J1846" s="17" t="str">
        <f>IF(TRIM(Github!D$1747)="TRUE","FALSE","TRUE")</f>
        <v>FALSE</v>
      </c>
      <c r="K1846" s="17" t="b">
        <f>Github!M$1747</f>
        <v>0</v>
      </c>
      <c r="L1846" s="17" t="b">
        <f>Github!N$1747</f>
        <v>0</v>
      </c>
      <c r="M1846" s="17" t="str">
        <f>ROUND(Github!O$1747, 2)&amp;"%"</f>
        <v>62.05%</v>
      </c>
      <c r="N1846" s="17">
        <f>Github!P$1747</f>
        <v>5019</v>
      </c>
      <c r="O1846" s="17">
        <f>Github!Q$1747</f>
        <v>8091</v>
      </c>
    </row>
    <row r="1847" ht="18.0" customHeight="1">
      <c r="A1847" s="17">
        <f>Github!J$1762</f>
        <v>1761</v>
      </c>
      <c r="B1847" s="27" t="str">
        <f>HYPERLINK(CONCAT("http://leetcode.com/problems/",Github!C$1762), Github!B$1762)</f>
        <v>Minimum Degree of a Connected Trio in a Graph</v>
      </c>
      <c r="C1847" s="17">
        <f>Github!F$1762</f>
        <v>181</v>
      </c>
      <c r="D1847" s="17">
        <f>Github!G$1762</f>
        <v>199</v>
      </c>
      <c r="E1847" s="17">
        <f>Github!F$1762+Github!G$1762</f>
        <v>380</v>
      </c>
      <c r="F1847" s="18">
        <f t="shared" si="1"/>
        <v>0.91</v>
      </c>
      <c r="G1847" s="17" t="str">
        <f>Github!H$1762</f>
        <v>Algorithms</v>
      </c>
      <c r="H1847" s="19" t="str">
        <f>SUBSTITUTE(Github!L$1762, ";", ", ")</f>
        <v>Graph, </v>
      </c>
      <c r="I1847" s="17" t="str">
        <f>Github!E$1762</f>
        <v>Hard</v>
      </c>
      <c r="J1847" s="17" t="str">
        <f>IF(TRIM(Github!D$1762)="TRUE","FALSE","TRUE")</f>
        <v>TRUE</v>
      </c>
      <c r="K1847" s="17" t="b">
        <f>Github!M$1762</f>
        <v>0</v>
      </c>
      <c r="L1847" s="17" t="b">
        <f>Github!N$1762</f>
        <v>0</v>
      </c>
      <c r="M1847" s="17" t="str">
        <f>ROUND(Github!O$1762, 2)&amp;"%"</f>
        <v>41.4%</v>
      </c>
      <c r="N1847" s="17">
        <f>Github!P$1762</f>
        <v>14204</v>
      </c>
      <c r="O1847" s="17">
        <f>Github!Q$1762</f>
        <v>34311</v>
      </c>
    </row>
    <row r="1848" ht="18.0" customHeight="1">
      <c r="A1848" s="17">
        <f>Github!J$2028</f>
        <v>2027</v>
      </c>
      <c r="B1848" s="27" t="str">
        <f>HYPERLINK(CONCAT("http://leetcode.com/problems/",Github!C$2028), Github!B$2028)</f>
        <v>Minimum Moves to Convert String</v>
      </c>
      <c r="C1848" s="17">
        <f>Github!F$2028</f>
        <v>181</v>
      </c>
      <c r="D1848" s="17">
        <f>Github!G$2028</f>
        <v>47</v>
      </c>
      <c r="E1848" s="17">
        <f>Github!F$2028+Github!G$2028</f>
        <v>228</v>
      </c>
      <c r="F1848" s="18">
        <f t="shared" si="1"/>
        <v>3.85</v>
      </c>
      <c r="G1848" s="17" t="str">
        <f>Github!H$2028</f>
        <v>Algorithms</v>
      </c>
      <c r="H1848" s="19" t="str">
        <f>SUBSTITUTE(Github!L$2028, ";", ", ")</f>
        <v>String, Greedy, </v>
      </c>
      <c r="I1848" s="17" t="str">
        <f>Github!E$2028</f>
        <v>Easy</v>
      </c>
      <c r="J1848" s="17" t="str">
        <f>IF(TRIM(Github!D$2028)="TRUE","FALSE","TRUE")</f>
        <v>TRUE</v>
      </c>
      <c r="K1848" s="17" t="b">
        <f>Github!M$2028</f>
        <v>0</v>
      </c>
      <c r="L1848" s="17" t="b">
        <f>Github!N$2028</f>
        <v>0</v>
      </c>
      <c r="M1848" s="17" t="str">
        <f>ROUND(Github!O$2028, 2)&amp;"%"</f>
        <v>53.2%</v>
      </c>
      <c r="N1848" s="17">
        <f>Github!P$2028</f>
        <v>16925</v>
      </c>
      <c r="O1848" s="17">
        <f>Github!Q$2028</f>
        <v>31813</v>
      </c>
    </row>
    <row r="1849" ht="18.0" customHeight="1">
      <c r="A1849" s="17">
        <f>Github!J$2192</f>
        <v>2191</v>
      </c>
      <c r="B1849" s="27" t="str">
        <f>HYPERLINK(CONCAT("http://leetcode.com/problems/",Github!C$2192), Github!B$2192)</f>
        <v>Sort the Jumbled Numbers</v>
      </c>
      <c r="C1849" s="17">
        <f>Github!F$2192</f>
        <v>182</v>
      </c>
      <c r="D1849" s="17">
        <f>Github!G$2192</f>
        <v>19</v>
      </c>
      <c r="E1849" s="17">
        <f>Github!F$2192+Github!G$2192</f>
        <v>201</v>
      </c>
      <c r="F1849" s="18">
        <f t="shared" si="1"/>
        <v>9.58</v>
      </c>
      <c r="G1849" s="17" t="str">
        <f>Github!H$2192</f>
        <v>Algorithms</v>
      </c>
      <c r="H1849" s="19" t="str">
        <f>SUBSTITUTE(Github!L$2192, ";", ", ")</f>
        <v>Array, Sorting, </v>
      </c>
      <c r="I1849" s="17" t="str">
        <f>Github!E$2192</f>
        <v>Medium</v>
      </c>
      <c r="J1849" s="17" t="str">
        <f>IF(TRIM(Github!D$2192)="TRUE","FALSE","TRUE")</f>
        <v>TRUE</v>
      </c>
      <c r="K1849" s="17" t="b">
        <f>Github!M$2192</f>
        <v>0</v>
      </c>
      <c r="L1849" s="17" t="b">
        <f>Github!N$2192</f>
        <v>0</v>
      </c>
      <c r="M1849" s="17" t="str">
        <f>ROUND(Github!O$2192, 2)&amp;"%"</f>
        <v>41.91%</v>
      </c>
      <c r="N1849" s="17">
        <f>Github!P$2192</f>
        <v>10101</v>
      </c>
      <c r="O1849" s="17">
        <f>Github!Q$2192</f>
        <v>24105</v>
      </c>
    </row>
    <row r="1850" ht="18.0" customHeight="1">
      <c r="A1850" s="17">
        <f>Github!J$1837</f>
        <v>1836</v>
      </c>
      <c r="B1850" s="27" t="str">
        <f>HYPERLINK(CONCAT("http://leetcode.com/problems/",Github!C$1837), Github!B$1837)</f>
        <v>Remove Duplicates From an Unsorted Linked List</v>
      </c>
      <c r="C1850" s="17">
        <f>Github!F$1837</f>
        <v>180</v>
      </c>
      <c r="D1850" s="17">
        <f>Github!G$1837</f>
        <v>5</v>
      </c>
      <c r="E1850" s="17">
        <f>Github!F$1837+Github!G$1837</f>
        <v>185</v>
      </c>
      <c r="F1850" s="18">
        <f t="shared" si="1"/>
        <v>36</v>
      </c>
      <c r="G1850" s="17" t="str">
        <f>Github!H$1837</f>
        <v>Algorithms</v>
      </c>
      <c r="H1850" s="19" t="str">
        <f>SUBSTITUTE(Github!L$1837, ";", ", ")</f>
        <v>Hash Table, Linked List, </v>
      </c>
      <c r="I1850" s="17" t="str">
        <f>Github!E$1837</f>
        <v>Medium</v>
      </c>
      <c r="J1850" s="17" t="str">
        <f>IF(TRIM(Github!D$1837)="TRUE","FALSE","TRUE")</f>
        <v>FALSE</v>
      </c>
      <c r="K1850" s="17" t="b">
        <f>Github!M$1837</f>
        <v>0</v>
      </c>
      <c r="L1850" s="17" t="b">
        <f>Github!N$1837</f>
        <v>0</v>
      </c>
      <c r="M1850" s="17" t="str">
        <f>ROUND(Github!O$1837, 2)&amp;"%"</f>
        <v>69.83%</v>
      </c>
      <c r="N1850" s="17">
        <f>Github!P$1837</f>
        <v>11081</v>
      </c>
      <c r="O1850" s="17">
        <f>Github!Q$1837</f>
        <v>15868</v>
      </c>
    </row>
    <row r="1851" ht="18.0" customHeight="1">
      <c r="A1851" s="17">
        <f>Github!J$1113</f>
        <v>1112</v>
      </c>
      <c r="B1851" s="27" t="str">
        <f>HYPERLINK(CONCAT("http://leetcode.com/problems/",Github!C$1113), Github!B$1113)</f>
        <v>Highest Grade For Each Student</v>
      </c>
      <c r="C1851" s="17">
        <f>Github!F$1113</f>
        <v>178</v>
      </c>
      <c r="D1851" s="17">
        <f>Github!G$1113</f>
        <v>7</v>
      </c>
      <c r="E1851" s="17">
        <f>Github!F$1113+Github!G$1113</f>
        <v>185</v>
      </c>
      <c r="F1851" s="18">
        <f t="shared" si="1"/>
        <v>25.43</v>
      </c>
      <c r="G1851" s="17" t="str">
        <f>Github!H$1113</f>
        <v>Database</v>
      </c>
      <c r="H1851" s="19" t="str">
        <f>SUBSTITUTE(Github!L$1113, ";", ", ")</f>
        <v>Database, </v>
      </c>
      <c r="I1851" s="17" t="str">
        <f>Github!E$1113</f>
        <v>Medium</v>
      </c>
      <c r="J1851" s="17" t="str">
        <f>IF(TRIM(Github!D$1113)="TRUE","FALSE","TRUE")</f>
        <v>FALSE</v>
      </c>
      <c r="K1851" s="17" t="b">
        <f>Github!M$1113</f>
        <v>0</v>
      </c>
      <c r="L1851" s="17" t="b">
        <f>Github!N$1113</f>
        <v>0</v>
      </c>
      <c r="M1851" s="17" t="str">
        <f>ROUND(Github!O$1113, 2)&amp;"%"</f>
        <v>73.27%</v>
      </c>
      <c r="N1851" s="17">
        <f>Github!P$1113</f>
        <v>31797</v>
      </c>
      <c r="O1851" s="17">
        <f>Github!Q$1113</f>
        <v>43399</v>
      </c>
    </row>
    <row r="1852" ht="18.0" customHeight="1">
      <c r="A1852" s="17">
        <f>Github!J$1237</f>
        <v>1236</v>
      </c>
      <c r="B1852" s="27" t="str">
        <f>HYPERLINK(CONCAT("http://leetcode.com/problems/",Github!C$1237), Github!B$1237)</f>
        <v>Web Crawler</v>
      </c>
      <c r="C1852" s="17">
        <f>Github!F$1237</f>
        <v>178</v>
      </c>
      <c r="D1852" s="17">
        <f>Github!G$1237</f>
        <v>195</v>
      </c>
      <c r="E1852" s="17">
        <f>Github!F$1237+Github!G$1237</f>
        <v>373</v>
      </c>
      <c r="F1852" s="18">
        <f t="shared" si="1"/>
        <v>0.91</v>
      </c>
      <c r="G1852" s="17" t="str">
        <f>Github!H$1237</f>
        <v>Algorithms</v>
      </c>
      <c r="H1852" s="19" t="str">
        <f>SUBSTITUTE(Github!L$1237, ";", ", ")</f>
        <v>String, Depth-First Search, Breadth-First Search, Interactive, </v>
      </c>
      <c r="I1852" s="17" t="str">
        <f>Github!E$1237</f>
        <v>Medium</v>
      </c>
      <c r="J1852" s="17" t="str">
        <f>IF(TRIM(Github!D$1237)="TRUE","FALSE","TRUE")</f>
        <v>FALSE</v>
      </c>
      <c r="K1852" s="17" t="b">
        <f>Github!M$1237</f>
        <v>0</v>
      </c>
      <c r="L1852" s="17" t="b">
        <f>Github!N$1237</f>
        <v>0</v>
      </c>
      <c r="M1852" s="17" t="str">
        <f>ROUND(Github!O$1237, 2)&amp;"%"</f>
        <v>65.5%</v>
      </c>
      <c r="N1852" s="17">
        <f>Github!P$1237</f>
        <v>21373</v>
      </c>
      <c r="O1852" s="17">
        <f>Github!Q$1237</f>
        <v>32629</v>
      </c>
    </row>
    <row r="1853" ht="18.0" customHeight="1">
      <c r="A1853" s="17">
        <f>Github!J$1333</f>
        <v>1332</v>
      </c>
      <c r="B1853" s="27" t="str">
        <f>HYPERLINK(CONCAT("http://leetcode.com/problems/",Github!C$1333), Github!B$1333)</f>
        <v>Remove Palindromic Subsequences</v>
      </c>
      <c r="C1853" s="17">
        <f>Github!F$1333</f>
        <v>178</v>
      </c>
      <c r="D1853" s="17">
        <f>Github!G$1333</f>
        <v>280</v>
      </c>
      <c r="E1853" s="17">
        <f>Github!F$1333+Github!G$1333</f>
        <v>458</v>
      </c>
      <c r="F1853" s="18">
        <f t="shared" si="1"/>
        <v>0.64</v>
      </c>
      <c r="G1853" s="17" t="str">
        <f>Github!H$1333</f>
        <v>Algorithms</v>
      </c>
      <c r="H1853" s="19" t="str">
        <f>SUBSTITUTE(Github!L$1333, ";", ", ")</f>
        <v>Two Pointers, String, </v>
      </c>
      <c r="I1853" s="17" t="str">
        <f>Github!E$1333</f>
        <v>Easy</v>
      </c>
      <c r="J1853" s="17" t="str">
        <f>IF(TRIM(Github!D$1333)="TRUE","FALSE","TRUE")</f>
        <v>TRUE</v>
      </c>
      <c r="K1853" s="17" t="b">
        <f>Github!M$1333</f>
        <v>1</v>
      </c>
      <c r="L1853" s="17" t="b">
        <f>Github!N$1333</f>
        <v>0</v>
      </c>
      <c r="M1853" s="17" t="str">
        <f>ROUND(Github!O$1333, 2)&amp;"%"</f>
        <v>69.46%</v>
      </c>
      <c r="N1853" s="17">
        <f>Github!P$1333</f>
        <v>53006</v>
      </c>
      <c r="O1853" s="17">
        <f>Github!Q$1333</f>
        <v>76307</v>
      </c>
    </row>
    <row r="1854" ht="18.0" customHeight="1">
      <c r="A1854" s="17">
        <f>Github!J$2069</f>
        <v>2068</v>
      </c>
      <c r="B1854" s="27" t="str">
        <f>HYPERLINK(CONCAT("http://leetcode.com/problems/",Github!C$2069), Github!B$2069)</f>
        <v>Check Whether Two Strings are Almost Equivalent</v>
      </c>
      <c r="C1854" s="17">
        <f>Github!F$2069</f>
        <v>179</v>
      </c>
      <c r="D1854" s="17">
        <f>Github!G$2069</f>
        <v>6</v>
      </c>
      <c r="E1854" s="17">
        <f>Github!F$2069+Github!G$2069</f>
        <v>185</v>
      </c>
      <c r="F1854" s="18">
        <f t="shared" si="1"/>
        <v>29.83</v>
      </c>
      <c r="G1854" s="17" t="str">
        <f>Github!H$2069</f>
        <v>Algorithms</v>
      </c>
      <c r="H1854" s="19" t="str">
        <f>SUBSTITUTE(Github!L$2069, ";", ", ")</f>
        <v>Hash Table, String, Counting, </v>
      </c>
      <c r="I1854" s="17" t="str">
        <f>Github!E$2069</f>
        <v>Easy</v>
      </c>
      <c r="J1854" s="17" t="str">
        <f>IF(TRIM(Github!D$2069)="TRUE","FALSE","TRUE")</f>
        <v>TRUE</v>
      </c>
      <c r="K1854" s="17" t="b">
        <f>Github!M$2069</f>
        <v>0</v>
      </c>
      <c r="L1854" s="17" t="b">
        <f>Github!N$2069</f>
        <v>0</v>
      </c>
      <c r="M1854" s="17" t="str">
        <f>ROUND(Github!O$2069, 2)&amp;"%"</f>
        <v>66.59%</v>
      </c>
      <c r="N1854" s="17">
        <f>Github!P$2069</f>
        <v>15112</v>
      </c>
      <c r="O1854" s="17">
        <f>Github!Q$2069</f>
        <v>22693</v>
      </c>
    </row>
    <row r="1855" ht="18.0" customHeight="1">
      <c r="A1855" s="17">
        <f>Github!J$2170</f>
        <v>2169</v>
      </c>
      <c r="B1855" s="27" t="str">
        <f>HYPERLINK(CONCAT("http://leetcode.com/problems/",Github!C$2170), Github!B$2170)</f>
        <v>Count Operations to Obtain Zero</v>
      </c>
      <c r="C1855" s="17">
        <f>Github!F$2170</f>
        <v>178</v>
      </c>
      <c r="D1855" s="17">
        <f>Github!G$2170</f>
        <v>4</v>
      </c>
      <c r="E1855" s="17">
        <f>Github!F$2170+Github!G$2170</f>
        <v>182</v>
      </c>
      <c r="F1855" s="18">
        <f t="shared" si="1"/>
        <v>44.5</v>
      </c>
      <c r="G1855" s="17" t="str">
        <f>Github!H$2170</f>
        <v>Algorithms</v>
      </c>
      <c r="H1855" s="19" t="str">
        <f>SUBSTITUTE(Github!L$2170, ";", ", ")</f>
        <v>Math, Simulation, </v>
      </c>
      <c r="I1855" s="17" t="str">
        <f>Github!E$2170</f>
        <v>Easy</v>
      </c>
      <c r="J1855" s="17" t="str">
        <f>IF(TRIM(Github!D$2170)="TRUE","FALSE","TRUE")</f>
        <v>TRUE</v>
      </c>
      <c r="K1855" s="17" t="b">
        <f>Github!M$2170</f>
        <v>0</v>
      </c>
      <c r="L1855" s="17" t="b">
        <f>Github!N$2170</f>
        <v>0</v>
      </c>
      <c r="M1855" s="17" t="str">
        <f>ROUND(Github!O$2170, 2)&amp;"%"</f>
        <v>75.11%</v>
      </c>
      <c r="N1855" s="17">
        <f>Github!P$2170</f>
        <v>24538</v>
      </c>
      <c r="O1855" s="17">
        <f>Github!Q$2170</f>
        <v>32668</v>
      </c>
    </row>
    <row r="1856" ht="18.0" customHeight="1">
      <c r="A1856" s="17">
        <f>Github!J$581</f>
        <v>580</v>
      </c>
      <c r="B1856" s="27" t="str">
        <f>HYPERLINK(CONCAT("http://leetcode.com/problems/",Github!C$581), Github!B$581)</f>
        <v>Count Student Number in Departments</v>
      </c>
      <c r="C1856" s="17">
        <f>Github!F$581</f>
        <v>177</v>
      </c>
      <c r="D1856" s="17">
        <f>Github!G$581</f>
        <v>29</v>
      </c>
      <c r="E1856" s="17">
        <f>Github!F$581+Github!G$581</f>
        <v>206</v>
      </c>
      <c r="F1856" s="18">
        <f t="shared" si="1"/>
        <v>6.1</v>
      </c>
      <c r="G1856" s="17" t="str">
        <f>Github!H$581</f>
        <v>Database</v>
      </c>
      <c r="H1856" s="19" t="str">
        <f>SUBSTITUTE(Github!L$581, ";", ", ")</f>
        <v>Database, </v>
      </c>
      <c r="I1856" s="17" t="str">
        <f>Github!E$581</f>
        <v>Medium</v>
      </c>
      <c r="J1856" s="17" t="str">
        <f>IF(TRIM(Github!D$581)="TRUE","FALSE","TRUE")</f>
        <v>FALSE</v>
      </c>
      <c r="K1856" s="17" t="b">
        <f>Github!M$581</f>
        <v>1</v>
      </c>
      <c r="L1856" s="17" t="b">
        <f>Github!N$581</f>
        <v>0</v>
      </c>
      <c r="M1856" s="17" t="str">
        <f>ROUND(Github!O$581, 2)&amp;"%"</f>
        <v>56.2%</v>
      </c>
      <c r="N1856" s="17">
        <f>Github!P$581</f>
        <v>42053</v>
      </c>
      <c r="O1856" s="17">
        <f>Github!Q$581</f>
        <v>74827</v>
      </c>
    </row>
    <row r="1857" ht="18.0" customHeight="1">
      <c r="A1857" s="17">
        <f>Github!J$1007</f>
        <v>1006</v>
      </c>
      <c r="B1857" s="27" t="str">
        <f>HYPERLINK(CONCAT("http://leetcode.com/problems/",Github!C$1007), Github!B$1007)</f>
        <v>Clumsy Factorial</v>
      </c>
      <c r="C1857" s="17">
        <f>Github!F$1007</f>
        <v>178</v>
      </c>
      <c r="D1857" s="17">
        <f>Github!G$1007</f>
        <v>222</v>
      </c>
      <c r="E1857" s="17">
        <f>Github!F$1007+Github!G$1007</f>
        <v>400</v>
      </c>
      <c r="F1857" s="18">
        <f t="shared" si="1"/>
        <v>0.8</v>
      </c>
      <c r="G1857" s="17" t="str">
        <f>Github!H$1007</f>
        <v>Algorithms</v>
      </c>
      <c r="H1857" s="19" t="str">
        <f>SUBSTITUTE(Github!L$1007, ";", ", ")</f>
        <v>Math, Stack, Simulation, </v>
      </c>
      <c r="I1857" s="17" t="str">
        <f>Github!E$1007</f>
        <v>Medium</v>
      </c>
      <c r="J1857" s="17" t="str">
        <f>IF(TRIM(Github!D$1007)="TRUE","FALSE","TRUE")</f>
        <v>TRUE</v>
      </c>
      <c r="K1857" s="17" t="b">
        <f>Github!M$1007</f>
        <v>0</v>
      </c>
      <c r="L1857" s="17" t="b">
        <f>Github!N$1007</f>
        <v>0</v>
      </c>
      <c r="M1857" s="17" t="str">
        <f>ROUND(Github!O$1007, 2)&amp;"%"</f>
        <v>54.54%</v>
      </c>
      <c r="N1857" s="17">
        <f>Github!P$1007</f>
        <v>19429</v>
      </c>
      <c r="O1857" s="17">
        <f>Github!Q$1007</f>
        <v>35625</v>
      </c>
    </row>
    <row r="1858" ht="18.0" customHeight="1">
      <c r="A1858" s="17">
        <f>Github!J$1062</f>
        <v>1061</v>
      </c>
      <c r="B1858" s="27" t="str">
        <f>HYPERLINK(CONCAT("http://leetcode.com/problems/",Github!C$1062), Github!B$1062)</f>
        <v>Lexicographically Smallest Equivalent String</v>
      </c>
      <c r="C1858" s="17">
        <f>Github!F$1062</f>
        <v>177</v>
      </c>
      <c r="D1858" s="17">
        <f>Github!G$1062</f>
        <v>9</v>
      </c>
      <c r="E1858" s="17">
        <f>Github!F$1062+Github!G$1062</f>
        <v>186</v>
      </c>
      <c r="F1858" s="18">
        <f t="shared" si="1"/>
        <v>19.67</v>
      </c>
      <c r="G1858" s="17" t="str">
        <f>Github!H$1062</f>
        <v>Algorithms</v>
      </c>
      <c r="H1858" s="19" t="str">
        <f>SUBSTITUTE(Github!L$1062, ";", ", ")</f>
        <v>String, Union Find, </v>
      </c>
      <c r="I1858" s="17" t="str">
        <f>Github!E$1062</f>
        <v>Medium</v>
      </c>
      <c r="J1858" s="17" t="str">
        <f>IF(TRIM(Github!D$1062)="TRUE","FALSE","TRUE")</f>
        <v>FALSE</v>
      </c>
      <c r="K1858" s="17" t="b">
        <f>Github!M$1062</f>
        <v>0</v>
      </c>
      <c r="L1858" s="17" t="b">
        <f>Github!N$1062</f>
        <v>0</v>
      </c>
      <c r="M1858" s="17" t="str">
        <f>ROUND(Github!O$1062, 2)&amp;"%"</f>
        <v>68.38%</v>
      </c>
      <c r="N1858" s="17">
        <f>Github!P$1062</f>
        <v>6987</v>
      </c>
      <c r="O1858" s="17">
        <f>Github!Q$1062</f>
        <v>10218</v>
      </c>
    </row>
    <row r="1859" ht="18.0" customHeight="1">
      <c r="A1859" s="17">
        <f>Github!J$1323</f>
        <v>1322</v>
      </c>
      <c r="B1859" s="27" t="str">
        <f>HYPERLINK(CONCAT("http://leetcode.com/problems/",Github!C$1323), Github!B$1323)</f>
        <v>Ads Performance</v>
      </c>
      <c r="C1859" s="17">
        <f>Github!F$1323</f>
        <v>176</v>
      </c>
      <c r="D1859" s="17">
        <f>Github!G$1323</f>
        <v>42</v>
      </c>
      <c r="E1859" s="17">
        <f>Github!F$1323+Github!G$1323</f>
        <v>218</v>
      </c>
      <c r="F1859" s="18">
        <f t="shared" si="1"/>
        <v>4.19</v>
      </c>
      <c r="G1859" s="17" t="str">
        <f>Github!H$1323</f>
        <v>Database</v>
      </c>
      <c r="H1859" s="19" t="str">
        <f>SUBSTITUTE(Github!L$1323, ";", ", ")</f>
        <v>Database, </v>
      </c>
      <c r="I1859" s="17" t="str">
        <f>Github!E$1323</f>
        <v>Easy</v>
      </c>
      <c r="J1859" s="17" t="str">
        <f>IF(TRIM(Github!D$1323)="TRUE","FALSE","TRUE")</f>
        <v>FALSE</v>
      </c>
      <c r="K1859" s="17" t="b">
        <f>Github!M$1323</f>
        <v>0</v>
      </c>
      <c r="L1859" s="17" t="b">
        <f>Github!N$1323</f>
        <v>0</v>
      </c>
      <c r="M1859" s="17" t="str">
        <f>ROUND(Github!O$1323, 2)&amp;"%"</f>
        <v>59.99%</v>
      </c>
      <c r="N1859" s="17">
        <f>Github!P$1323</f>
        <v>26801</v>
      </c>
      <c r="O1859" s="17">
        <f>Github!Q$1323</f>
        <v>44675</v>
      </c>
    </row>
    <row r="1860" ht="18.0" customHeight="1">
      <c r="A1860" s="17">
        <f>Github!J$1361</f>
        <v>1360</v>
      </c>
      <c r="B1860" s="27" t="str">
        <f>HYPERLINK(CONCAT("http://leetcode.com/problems/",Github!C$1361), Github!B$1361)</f>
        <v>Number of Days Between Two Dates</v>
      </c>
      <c r="C1860" s="17">
        <f>Github!F$1361</f>
        <v>178</v>
      </c>
      <c r="D1860" s="17">
        <f>Github!G$1361</f>
        <v>770</v>
      </c>
      <c r="E1860" s="17">
        <f>Github!F$1361+Github!G$1361</f>
        <v>948</v>
      </c>
      <c r="F1860" s="18">
        <f t="shared" si="1"/>
        <v>0.23</v>
      </c>
      <c r="G1860" s="17" t="str">
        <f>Github!H$1361</f>
        <v>Algorithms</v>
      </c>
      <c r="H1860" s="19" t="str">
        <f>SUBSTITUTE(Github!L$1361, ";", ", ")</f>
        <v>Math, String, </v>
      </c>
      <c r="I1860" s="17" t="str">
        <f>Github!E$1361</f>
        <v>Easy</v>
      </c>
      <c r="J1860" s="17" t="str">
        <f>IF(TRIM(Github!D$1361)="TRUE","FALSE","TRUE")</f>
        <v>TRUE</v>
      </c>
      <c r="K1860" s="17" t="b">
        <f>Github!M$1361</f>
        <v>0</v>
      </c>
      <c r="L1860" s="17" t="b">
        <f>Github!N$1361</f>
        <v>0</v>
      </c>
      <c r="M1860" s="17" t="str">
        <f>ROUND(Github!O$1361, 2)&amp;"%"</f>
        <v>46.7%</v>
      </c>
      <c r="N1860" s="17">
        <f>Github!P$1361</f>
        <v>27641</v>
      </c>
      <c r="O1860" s="17">
        <f>Github!Q$1361</f>
        <v>59187</v>
      </c>
    </row>
    <row r="1861" ht="18.0" customHeight="1">
      <c r="A1861" s="17">
        <f>Github!J$1896</f>
        <v>1895</v>
      </c>
      <c r="B1861" s="27" t="str">
        <f>HYPERLINK(CONCAT("http://leetcode.com/problems/",Github!C$1896), Github!B$1896)</f>
        <v>Largest Magic Square</v>
      </c>
      <c r="C1861" s="17">
        <f>Github!F$1896</f>
        <v>176</v>
      </c>
      <c r="D1861" s="17">
        <f>Github!G$1896</f>
        <v>195</v>
      </c>
      <c r="E1861" s="17">
        <f>Github!F$1896+Github!G$1896</f>
        <v>371</v>
      </c>
      <c r="F1861" s="18">
        <f t="shared" si="1"/>
        <v>0.9</v>
      </c>
      <c r="G1861" s="17" t="str">
        <f>Github!H$1896</f>
        <v>Algorithms</v>
      </c>
      <c r="H1861" s="19" t="str">
        <f>SUBSTITUTE(Github!L$1896, ";", ", ")</f>
        <v>Array, Matrix, Prefix Sum, </v>
      </c>
      <c r="I1861" s="17" t="str">
        <f>Github!E$1896</f>
        <v>Medium</v>
      </c>
      <c r="J1861" s="17" t="str">
        <f>IF(TRIM(Github!D$1896)="TRUE","FALSE","TRUE")</f>
        <v>TRUE</v>
      </c>
      <c r="K1861" s="17" t="b">
        <f>Github!M$1896</f>
        <v>0</v>
      </c>
      <c r="L1861" s="17" t="b">
        <f>Github!N$1896</f>
        <v>0</v>
      </c>
      <c r="M1861" s="17" t="str">
        <f>ROUND(Github!O$1896, 2)&amp;"%"</f>
        <v>51.12%</v>
      </c>
      <c r="N1861" s="17">
        <f>Github!P$1896</f>
        <v>7224</v>
      </c>
      <c r="O1861" s="17">
        <f>Github!Q$1896</f>
        <v>14132</v>
      </c>
    </row>
    <row r="1862" ht="18.0" customHeight="1">
      <c r="A1862" s="17">
        <f>Github!J$754</f>
        <v>753</v>
      </c>
      <c r="B1862" s="27" t="str">
        <f>HYPERLINK(CONCAT("http://leetcode.com/problems/",Github!C$754), Github!B$754)</f>
        <v>Cracking the Safe</v>
      </c>
      <c r="C1862" s="17">
        <f>Github!F$754</f>
        <v>175</v>
      </c>
      <c r="D1862" s="17">
        <f>Github!G$754</f>
        <v>27</v>
      </c>
      <c r="E1862" s="17">
        <f>Github!F$754+Github!G$754</f>
        <v>202</v>
      </c>
      <c r="F1862" s="18">
        <f t="shared" si="1"/>
        <v>6.48</v>
      </c>
      <c r="G1862" s="17" t="str">
        <f>Github!H$754</f>
        <v>Algorithms</v>
      </c>
      <c r="H1862" s="19" t="str">
        <f>SUBSTITUTE(Github!L$754, ";", ", ")</f>
        <v>Depth-First Search, Graph, Eulerian Circuit, </v>
      </c>
      <c r="I1862" s="17" t="str">
        <f>Github!E$754</f>
        <v>Hard</v>
      </c>
      <c r="J1862" s="17" t="str">
        <f>IF(TRIM(Github!D$754)="TRUE","FALSE","TRUE")</f>
        <v>TRUE</v>
      </c>
      <c r="K1862" s="17" t="b">
        <f>Github!M$754</f>
        <v>0</v>
      </c>
      <c r="L1862" s="17" t="b">
        <f>Github!N$754</f>
        <v>0</v>
      </c>
      <c r="M1862" s="17" t="str">
        <f>ROUND(Github!O$754, 2)&amp;"%"</f>
        <v>54.44%</v>
      </c>
      <c r="N1862" s="17">
        <f>Github!P$754</f>
        <v>44814</v>
      </c>
      <c r="O1862" s="17">
        <f>Github!Q$754</f>
        <v>82311</v>
      </c>
    </row>
    <row r="1863" ht="18.0" customHeight="1">
      <c r="A1863" s="17">
        <f>Github!J$1084</f>
        <v>1083</v>
      </c>
      <c r="B1863" s="27" t="str">
        <f>HYPERLINK(CONCAT("http://leetcode.com/problems/",Github!C$1084), Github!B$1084)</f>
        <v>Sales Analysis II</v>
      </c>
      <c r="C1863" s="17">
        <f>Github!F$1084</f>
        <v>175</v>
      </c>
      <c r="D1863" s="17">
        <f>Github!G$1084</f>
        <v>34</v>
      </c>
      <c r="E1863" s="17">
        <f>Github!F$1084+Github!G$1084</f>
        <v>209</v>
      </c>
      <c r="F1863" s="18">
        <f t="shared" si="1"/>
        <v>5.15</v>
      </c>
      <c r="G1863" s="17" t="str">
        <f>Github!H$1084</f>
        <v>Database</v>
      </c>
      <c r="H1863" s="19" t="str">
        <f>SUBSTITUTE(Github!L$1084, ";", ", ")</f>
        <v>Database, </v>
      </c>
      <c r="I1863" s="17" t="str">
        <f>Github!E$1084</f>
        <v>Easy</v>
      </c>
      <c r="J1863" s="17" t="str">
        <f>IF(TRIM(Github!D$1084)="TRUE","FALSE","TRUE")</f>
        <v>FALSE</v>
      </c>
      <c r="K1863" s="17" t="b">
        <f>Github!M$1084</f>
        <v>0</v>
      </c>
      <c r="L1863" s="17" t="b">
        <f>Github!N$1084</f>
        <v>0</v>
      </c>
      <c r="M1863" s="17" t="str">
        <f>ROUND(Github!O$1084, 2)&amp;"%"</f>
        <v>50.52%</v>
      </c>
      <c r="N1863" s="17">
        <f>Github!P$1084</f>
        <v>38897</v>
      </c>
      <c r="O1863" s="17">
        <f>Github!Q$1084</f>
        <v>76988</v>
      </c>
    </row>
    <row r="1864" ht="18.0" customHeight="1">
      <c r="A1864" s="17">
        <f>Github!J$482</f>
        <v>481</v>
      </c>
      <c r="B1864" s="27" t="str">
        <f>HYPERLINK(CONCAT("http://leetcode.com/problems/",Github!C$482), Github!B$482)</f>
        <v>Magical String</v>
      </c>
      <c r="C1864" s="17">
        <f>Github!F$482</f>
        <v>174</v>
      </c>
      <c r="D1864" s="17">
        <f>Github!G$482</f>
        <v>910</v>
      </c>
      <c r="E1864" s="17">
        <f>Github!F$482+Github!G$482</f>
        <v>1084</v>
      </c>
      <c r="F1864" s="18">
        <f t="shared" si="1"/>
        <v>0.19</v>
      </c>
      <c r="G1864" s="17" t="str">
        <f>Github!H$482</f>
        <v>Algorithms</v>
      </c>
      <c r="H1864" s="19" t="str">
        <f>SUBSTITUTE(Github!L$482, ";", ", ")</f>
        <v>Two Pointers, String, </v>
      </c>
      <c r="I1864" s="17" t="str">
        <f>Github!E$482</f>
        <v>Medium</v>
      </c>
      <c r="J1864" s="17" t="str">
        <f>IF(TRIM(Github!D$482)="TRUE","FALSE","TRUE")</f>
        <v>TRUE</v>
      </c>
      <c r="K1864" s="17" t="b">
        <f>Github!M$482</f>
        <v>0</v>
      </c>
      <c r="L1864" s="17" t="b">
        <f>Github!N$482</f>
        <v>0</v>
      </c>
      <c r="M1864" s="17" t="str">
        <f>ROUND(Github!O$482, 2)&amp;"%"</f>
        <v>49.49%</v>
      </c>
      <c r="N1864" s="17">
        <f>Github!P$482</f>
        <v>27251</v>
      </c>
      <c r="O1864" s="17">
        <f>Github!Q$482</f>
        <v>55067</v>
      </c>
    </row>
    <row r="1865" ht="18.0" customHeight="1">
      <c r="A1865" s="17">
        <f>Github!J$1127</f>
        <v>1126</v>
      </c>
      <c r="B1865" s="27" t="str">
        <f>HYPERLINK(CONCAT("http://leetcode.com/problems/",Github!C$1127), Github!B$1127)</f>
        <v>Active Businesses</v>
      </c>
      <c r="C1865" s="17">
        <f>Github!F$1127</f>
        <v>174</v>
      </c>
      <c r="D1865" s="17">
        <f>Github!G$1127</f>
        <v>19</v>
      </c>
      <c r="E1865" s="17">
        <f>Github!F$1127+Github!G$1127</f>
        <v>193</v>
      </c>
      <c r="F1865" s="18">
        <f t="shared" si="1"/>
        <v>9.16</v>
      </c>
      <c r="G1865" s="17" t="str">
        <f>Github!H$1127</f>
        <v>Database</v>
      </c>
      <c r="H1865" s="19" t="str">
        <f>SUBSTITUTE(Github!L$1127, ";", ", ")</f>
        <v>Database, </v>
      </c>
      <c r="I1865" s="17" t="str">
        <f>Github!E$1127</f>
        <v>Medium</v>
      </c>
      <c r="J1865" s="17" t="str">
        <f>IF(TRIM(Github!D$1127)="TRUE","FALSE","TRUE")</f>
        <v>FALSE</v>
      </c>
      <c r="K1865" s="17" t="b">
        <f>Github!M$1127</f>
        <v>0</v>
      </c>
      <c r="L1865" s="17" t="b">
        <f>Github!N$1127</f>
        <v>0</v>
      </c>
      <c r="M1865" s="17" t="str">
        <f>ROUND(Github!O$1127, 2)&amp;"%"</f>
        <v>67.88%</v>
      </c>
      <c r="N1865" s="17">
        <f>Github!P$1127</f>
        <v>28177</v>
      </c>
      <c r="O1865" s="17">
        <f>Github!Q$1127</f>
        <v>41510</v>
      </c>
    </row>
    <row r="1866" ht="18.0" customHeight="1">
      <c r="A1866" s="17">
        <f>Github!J$1363</f>
        <v>1362</v>
      </c>
      <c r="B1866" s="27" t="str">
        <f>HYPERLINK(CONCAT("http://leetcode.com/problems/",Github!C$1363), Github!B$1363)</f>
        <v>Closest Divisors</v>
      </c>
      <c r="C1866" s="17">
        <f>Github!F$1363</f>
        <v>175</v>
      </c>
      <c r="D1866" s="17">
        <f>Github!G$1363</f>
        <v>80</v>
      </c>
      <c r="E1866" s="17">
        <f>Github!F$1363+Github!G$1363</f>
        <v>255</v>
      </c>
      <c r="F1866" s="18">
        <f t="shared" si="1"/>
        <v>2.19</v>
      </c>
      <c r="G1866" s="17" t="str">
        <f>Github!H$1363</f>
        <v>Algorithms</v>
      </c>
      <c r="H1866" s="19" t="str">
        <f>SUBSTITUTE(Github!L$1363, ";", ", ")</f>
        <v>Math, </v>
      </c>
      <c r="I1866" s="17" t="str">
        <f>Github!E$1363</f>
        <v>Medium</v>
      </c>
      <c r="J1866" s="17" t="str">
        <f>IF(TRIM(Github!D$1363)="TRUE","FALSE","TRUE")</f>
        <v>TRUE</v>
      </c>
      <c r="K1866" s="17" t="b">
        <f>Github!M$1363</f>
        <v>0</v>
      </c>
      <c r="L1866" s="17" t="b">
        <f>Github!N$1363</f>
        <v>0</v>
      </c>
      <c r="M1866" s="17" t="str">
        <f>ROUND(Github!O$1363, 2)&amp;"%"</f>
        <v>59.1%</v>
      </c>
      <c r="N1866" s="17">
        <f>Github!P$1363</f>
        <v>15160</v>
      </c>
      <c r="O1866" s="17">
        <f>Github!Q$1363</f>
        <v>25650</v>
      </c>
    </row>
    <row r="1867" ht="18.0" customHeight="1">
      <c r="A1867" s="17">
        <f>Github!J$2162</f>
        <v>2161</v>
      </c>
      <c r="B1867" s="27" t="str">
        <f>HYPERLINK(CONCAT("http://leetcode.com/problems/",Github!C$2162), Github!B$2162)</f>
        <v>Partition Array According to Given Pivot</v>
      </c>
      <c r="C1867" s="17">
        <f>Github!F$2162</f>
        <v>176</v>
      </c>
      <c r="D1867" s="17">
        <f>Github!G$2162</f>
        <v>15</v>
      </c>
      <c r="E1867" s="17">
        <f>Github!F$2162+Github!G$2162</f>
        <v>191</v>
      </c>
      <c r="F1867" s="18">
        <f t="shared" si="1"/>
        <v>11.73</v>
      </c>
      <c r="G1867" s="17" t="str">
        <f>Github!H$2162</f>
        <v>Algorithms</v>
      </c>
      <c r="H1867" s="19" t="str">
        <f>SUBSTITUTE(Github!L$2162, ";", ", ")</f>
        <v>Array, Two Pointers, Simulation, </v>
      </c>
      <c r="I1867" s="17" t="str">
        <f>Github!E$2162</f>
        <v>Medium</v>
      </c>
      <c r="J1867" s="17" t="str">
        <f>IF(TRIM(Github!D$2162)="TRUE","FALSE","TRUE")</f>
        <v>TRUE</v>
      </c>
      <c r="K1867" s="17" t="b">
        <f>Github!M$2162</f>
        <v>0</v>
      </c>
      <c r="L1867" s="17" t="b">
        <f>Github!N$2162</f>
        <v>0</v>
      </c>
      <c r="M1867" s="17" t="str">
        <f>ROUND(Github!O$2162, 2)&amp;"%"</f>
        <v>81.84%</v>
      </c>
      <c r="N1867" s="17">
        <f>Github!P$2162</f>
        <v>16072</v>
      </c>
      <c r="O1867" s="17">
        <f>Github!Q$2162</f>
        <v>19638</v>
      </c>
    </row>
    <row r="1868" ht="18.0" customHeight="1">
      <c r="A1868" s="17">
        <f>Github!J$1299</f>
        <v>1298</v>
      </c>
      <c r="B1868" s="27" t="str">
        <f>HYPERLINK(CONCAT("http://leetcode.com/problems/",Github!C$1299), Github!B$1299)</f>
        <v>Maximum Candies You Can Get from Boxes</v>
      </c>
      <c r="C1868" s="17">
        <f>Github!F$1299</f>
        <v>173</v>
      </c>
      <c r="D1868" s="17">
        <f>Github!G$1299</f>
        <v>112</v>
      </c>
      <c r="E1868" s="17">
        <f>Github!F$1299+Github!G$1299</f>
        <v>285</v>
      </c>
      <c r="F1868" s="18">
        <f t="shared" si="1"/>
        <v>1.54</v>
      </c>
      <c r="G1868" s="17" t="str">
        <f>Github!H$1299</f>
        <v>Algorithms</v>
      </c>
      <c r="H1868" s="19" t="str">
        <f>SUBSTITUTE(Github!L$1299, ";", ", ")</f>
        <v>Array, Breadth-First Search, </v>
      </c>
      <c r="I1868" s="17" t="str">
        <f>Github!E$1299</f>
        <v>Hard</v>
      </c>
      <c r="J1868" s="17" t="str">
        <f>IF(TRIM(Github!D$1299)="TRUE","FALSE","TRUE")</f>
        <v>TRUE</v>
      </c>
      <c r="K1868" s="17" t="b">
        <f>Github!M$1299</f>
        <v>0</v>
      </c>
      <c r="L1868" s="17" t="b">
        <f>Github!N$1299</f>
        <v>0</v>
      </c>
      <c r="M1868" s="17" t="str">
        <f>ROUND(Github!O$1299, 2)&amp;"%"</f>
        <v>60.86%</v>
      </c>
      <c r="N1868" s="17">
        <f>Github!P$1299</f>
        <v>9874</v>
      </c>
      <c r="O1868" s="17">
        <f>Github!Q$1299</f>
        <v>16224</v>
      </c>
    </row>
    <row r="1869" ht="18.0" customHeight="1">
      <c r="A1869" s="17">
        <f>Github!J$1682</f>
        <v>1681</v>
      </c>
      <c r="B1869" s="27" t="str">
        <f>HYPERLINK(CONCAT("http://leetcode.com/problems/",Github!C$1682), Github!B$1682)</f>
        <v>Minimum Incompatibility</v>
      </c>
      <c r="C1869" s="17">
        <f>Github!F$1682</f>
        <v>173</v>
      </c>
      <c r="D1869" s="17">
        <f>Github!G$1682</f>
        <v>81</v>
      </c>
      <c r="E1869" s="17">
        <f>Github!F$1682+Github!G$1682</f>
        <v>254</v>
      </c>
      <c r="F1869" s="18">
        <f t="shared" si="1"/>
        <v>2.14</v>
      </c>
      <c r="G1869" s="17" t="str">
        <f>Github!H$1682</f>
        <v>Algorithms</v>
      </c>
      <c r="H1869" s="19" t="str">
        <f>SUBSTITUTE(Github!L$1682, ";", ", ")</f>
        <v>Array, Dynamic Programming, Bit Manipulation, Bitmask, </v>
      </c>
      <c r="I1869" s="17" t="str">
        <f>Github!E$1682</f>
        <v>Hard</v>
      </c>
      <c r="J1869" s="17" t="str">
        <f>IF(TRIM(Github!D$1682)="TRUE","FALSE","TRUE")</f>
        <v>TRUE</v>
      </c>
      <c r="K1869" s="17" t="b">
        <f>Github!M$1682</f>
        <v>0</v>
      </c>
      <c r="L1869" s="17" t="b">
        <f>Github!N$1682</f>
        <v>0</v>
      </c>
      <c r="M1869" s="17" t="str">
        <f>ROUND(Github!O$1682, 2)&amp;"%"</f>
        <v>37.03%</v>
      </c>
      <c r="N1869" s="17">
        <f>Github!P$1682</f>
        <v>5678</v>
      </c>
      <c r="O1869" s="17">
        <f>Github!Q$1682</f>
        <v>15332</v>
      </c>
    </row>
    <row r="1870" ht="18.0" customHeight="1">
      <c r="A1870" s="17">
        <f>Github!J$1227</f>
        <v>1226</v>
      </c>
      <c r="B1870" s="27" t="str">
        <f>HYPERLINK(CONCAT("http://leetcode.com/problems/",Github!C$1227), Github!B$1227)</f>
        <v>The Dining Philosophers</v>
      </c>
      <c r="C1870" s="17">
        <f>Github!F$1227</f>
        <v>172</v>
      </c>
      <c r="D1870" s="17">
        <f>Github!G$1227</f>
        <v>194</v>
      </c>
      <c r="E1870" s="17">
        <f>Github!F$1227+Github!G$1227</f>
        <v>366</v>
      </c>
      <c r="F1870" s="18">
        <f t="shared" si="1"/>
        <v>0.89</v>
      </c>
      <c r="G1870" s="17" t="str">
        <f>Github!H$1227</f>
        <v>Concurrency</v>
      </c>
      <c r="H1870" s="19" t="str">
        <f>SUBSTITUTE(Github!L$1227, ";", ", ")</f>
        <v>Concurrency, </v>
      </c>
      <c r="I1870" s="17" t="str">
        <f>Github!E$1227</f>
        <v>Medium</v>
      </c>
      <c r="J1870" s="17" t="str">
        <f>IF(TRIM(Github!D$1227)="TRUE","FALSE","TRUE")</f>
        <v>TRUE</v>
      </c>
      <c r="K1870" s="17" t="b">
        <f>Github!M$1227</f>
        <v>0</v>
      </c>
      <c r="L1870" s="17" t="b">
        <f>Github!N$1227</f>
        <v>0</v>
      </c>
      <c r="M1870" s="17" t="str">
        <f>ROUND(Github!O$1227, 2)&amp;"%"</f>
        <v>58.64%</v>
      </c>
      <c r="N1870" s="17">
        <f>Github!P$1227</f>
        <v>18058</v>
      </c>
      <c r="O1870" s="17">
        <f>Github!Q$1227</f>
        <v>30790</v>
      </c>
    </row>
    <row r="1871" ht="18.0" customHeight="1">
      <c r="A1871" s="17">
        <f>Github!J$1601</f>
        <v>1600</v>
      </c>
      <c r="B1871" s="27" t="str">
        <f>HYPERLINK(CONCAT("http://leetcode.com/problems/",Github!C$1601), Github!B$1601)</f>
        <v>Throne Inheritance</v>
      </c>
      <c r="C1871" s="17">
        <f>Github!F$1601</f>
        <v>172</v>
      </c>
      <c r="D1871" s="17">
        <f>Github!G$1601</f>
        <v>227</v>
      </c>
      <c r="E1871" s="17">
        <f>Github!F$1601+Github!G$1601</f>
        <v>399</v>
      </c>
      <c r="F1871" s="18">
        <f t="shared" si="1"/>
        <v>0.76</v>
      </c>
      <c r="G1871" s="17" t="str">
        <f>Github!H$1601</f>
        <v>Algorithms</v>
      </c>
      <c r="H1871" s="19" t="str">
        <f>SUBSTITUTE(Github!L$1601, ";", ", ")</f>
        <v>Hash Table, Tree, Depth-First Search, Design, </v>
      </c>
      <c r="I1871" s="17" t="str">
        <f>Github!E$1601</f>
        <v>Medium</v>
      </c>
      <c r="J1871" s="17" t="str">
        <f>IF(TRIM(Github!D$1601)="TRUE","FALSE","TRUE")</f>
        <v>TRUE</v>
      </c>
      <c r="K1871" s="17" t="b">
        <f>Github!M$1601</f>
        <v>0</v>
      </c>
      <c r="L1871" s="17" t="b">
        <f>Github!N$1601</f>
        <v>0</v>
      </c>
      <c r="M1871" s="17" t="str">
        <f>ROUND(Github!O$1601, 2)&amp;"%"</f>
        <v>62.91%</v>
      </c>
      <c r="N1871" s="17">
        <f>Github!P$1601</f>
        <v>11212</v>
      </c>
      <c r="O1871" s="17">
        <f>Github!Q$1601</f>
        <v>17823</v>
      </c>
    </row>
    <row r="1872" ht="18.0" customHeight="1">
      <c r="A1872" s="17">
        <f>Github!J$1317</f>
        <v>1316</v>
      </c>
      <c r="B1872" s="27" t="str">
        <f>HYPERLINK(CONCAT("http://leetcode.com/problems/",Github!C$1317), Github!B$1317)</f>
        <v>Distinct Echo Substrings</v>
      </c>
      <c r="C1872" s="17">
        <f>Github!F$1317</f>
        <v>172</v>
      </c>
      <c r="D1872" s="17">
        <f>Github!G$1317</f>
        <v>164</v>
      </c>
      <c r="E1872" s="17">
        <f>Github!F$1317+Github!G$1317</f>
        <v>336</v>
      </c>
      <c r="F1872" s="18">
        <f t="shared" si="1"/>
        <v>1.05</v>
      </c>
      <c r="G1872" s="17" t="str">
        <f>Github!H$1317</f>
        <v>Algorithms</v>
      </c>
      <c r="H1872" s="19" t="str">
        <f>SUBSTITUTE(Github!L$1317, ";", ", ")</f>
        <v>String, Dynamic Programming, Trie, Sliding Window, Rolling Hash, Hash Function, </v>
      </c>
      <c r="I1872" s="17" t="str">
        <f>Github!E$1317</f>
        <v>Hard</v>
      </c>
      <c r="J1872" s="17" t="str">
        <f>IF(TRIM(Github!D$1317)="TRUE","FALSE","TRUE")</f>
        <v>TRUE</v>
      </c>
      <c r="K1872" s="17" t="b">
        <f>Github!M$1317</f>
        <v>0</v>
      </c>
      <c r="L1872" s="17" t="b">
        <f>Github!N$1317</f>
        <v>0</v>
      </c>
      <c r="M1872" s="17" t="str">
        <f>ROUND(Github!O$1317, 2)&amp;"%"</f>
        <v>50.13%</v>
      </c>
      <c r="N1872" s="17">
        <f>Github!P$1317</f>
        <v>11210</v>
      </c>
      <c r="O1872" s="17">
        <f>Github!Q$1317</f>
        <v>22360</v>
      </c>
    </row>
    <row r="1873" ht="18.0" customHeight="1">
      <c r="A1873" s="17">
        <f>Github!J$2015</f>
        <v>2014</v>
      </c>
      <c r="B1873" s="27" t="str">
        <f>HYPERLINK(CONCAT("http://leetcode.com/problems/",Github!C$2015), Github!B$2015)</f>
        <v>Longest Subsequence Repeated k Times</v>
      </c>
      <c r="C1873" s="17">
        <f>Github!F$2015</f>
        <v>170</v>
      </c>
      <c r="D1873" s="17">
        <f>Github!G$2015</f>
        <v>50</v>
      </c>
      <c r="E1873" s="17">
        <f>Github!F$2015+Github!G$2015</f>
        <v>220</v>
      </c>
      <c r="F1873" s="18">
        <f t="shared" si="1"/>
        <v>3.4</v>
      </c>
      <c r="G1873" s="17" t="str">
        <f>Github!H$2015</f>
        <v>Algorithms</v>
      </c>
      <c r="H1873" s="19" t="str">
        <f>SUBSTITUTE(Github!L$2015, ";", ", ")</f>
        <v>String, Backtracking, Greedy, Counting, Enumeration, </v>
      </c>
      <c r="I1873" s="17" t="str">
        <f>Github!E$2015</f>
        <v>Hard</v>
      </c>
      <c r="J1873" s="17" t="str">
        <f>IF(TRIM(Github!D$2015)="TRUE","FALSE","TRUE")</f>
        <v>TRUE</v>
      </c>
      <c r="K1873" s="17" t="b">
        <f>Github!M$2015</f>
        <v>0</v>
      </c>
      <c r="L1873" s="17" t="b">
        <f>Github!N$2015</f>
        <v>0</v>
      </c>
      <c r="M1873" s="17" t="str">
        <f>ROUND(Github!O$2015, 2)&amp;"%"</f>
        <v>54.66%</v>
      </c>
      <c r="N1873" s="17">
        <f>Github!P$2015</f>
        <v>3824</v>
      </c>
      <c r="O1873" s="17">
        <f>Github!Q$2015</f>
        <v>6996</v>
      </c>
    </row>
    <row r="1874" ht="18.0" customHeight="1">
      <c r="A1874" s="17">
        <f>Github!J$580</f>
        <v>579</v>
      </c>
      <c r="B1874" s="27" t="str">
        <f>HYPERLINK(CONCAT("http://leetcode.com/problems/",Github!C$580), Github!B$580)</f>
        <v>Find Cumulative Salary of an Employee</v>
      </c>
      <c r="C1874" s="17">
        <f>Github!F$580</f>
        <v>170</v>
      </c>
      <c r="D1874" s="17">
        <f>Github!G$580</f>
        <v>371</v>
      </c>
      <c r="E1874" s="17">
        <f>Github!F$580+Github!G$580</f>
        <v>541</v>
      </c>
      <c r="F1874" s="18">
        <f t="shared" si="1"/>
        <v>0.46</v>
      </c>
      <c r="G1874" s="17" t="str">
        <f>Github!H$580</f>
        <v>Database</v>
      </c>
      <c r="H1874" s="19" t="str">
        <f>SUBSTITUTE(Github!L$580, ";", ", ")</f>
        <v>Database, </v>
      </c>
      <c r="I1874" s="17" t="str">
        <f>Github!E$580</f>
        <v>Hard</v>
      </c>
      <c r="J1874" s="17" t="str">
        <f>IF(TRIM(Github!D$580)="TRUE","FALSE","TRUE")</f>
        <v>FALSE</v>
      </c>
      <c r="K1874" s="17" t="b">
        <f>Github!M$580</f>
        <v>1</v>
      </c>
      <c r="L1874" s="17" t="b">
        <f>Github!N$580</f>
        <v>0</v>
      </c>
      <c r="M1874" s="17" t="str">
        <f>ROUND(Github!O$580, 2)&amp;"%"</f>
        <v>42.22%</v>
      </c>
      <c r="N1874" s="17">
        <f>Github!P$580</f>
        <v>24868</v>
      </c>
      <c r="O1874" s="17">
        <f>Github!Q$580</f>
        <v>58904</v>
      </c>
    </row>
    <row r="1875" ht="18.0" customHeight="1">
      <c r="A1875" s="17">
        <f>Github!J$632</f>
        <v>631</v>
      </c>
      <c r="B1875" s="27" t="str">
        <f>HYPERLINK(CONCAT("http://leetcode.com/problems/",Github!C$632), Github!B$632)</f>
        <v>Design Excel Sum Formula</v>
      </c>
      <c r="C1875" s="17">
        <f>Github!F$632</f>
        <v>169</v>
      </c>
      <c r="D1875" s="17">
        <f>Github!G$632</f>
        <v>208</v>
      </c>
      <c r="E1875" s="17">
        <f>Github!F$632+Github!G$632</f>
        <v>377</v>
      </c>
      <c r="F1875" s="18">
        <f t="shared" si="1"/>
        <v>0.81</v>
      </c>
      <c r="G1875" s="17" t="str">
        <f>Github!H$632</f>
        <v>Algorithms</v>
      </c>
      <c r="H1875" s="19" t="str">
        <f>SUBSTITUTE(Github!L$632, ";", ", ")</f>
        <v>Graph, Design, Topological Sort, </v>
      </c>
      <c r="I1875" s="17" t="str">
        <f>Github!E$632</f>
        <v>Hard</v>
      </c>
      <c r="J1875" s="17" t="str">
        <f>IF(TRIM(Github!D$632)="TRUE","FALSE","TRUE")</f>
        <v>FALSE</v>
      </c>
      <c r="K1875" s="17" t="b">
        <f>Github!M$632</f>
        <v>1</v>
      </c>
      <c r="L1875" s="17" t="b">
        <f>Github!N$632</f>
        <v>0</v>
      </c>
      <c r="M1875" s="17" t="str">
        <f>ROUND(Github!O$632, 2)&amp;"%"</f>
        <v>40.61%</v>
      </c>
      <c r="N1875" s="17">
        <f>Github!P$632</f>
        <v>10128</v>
      </c>
      <c r="O1875" s="17">
        <f>Github!Q$632</f>
        <v>24937</v>
      </c>
    </row>
    <row r="1876" ht="18.0" customHeight="1">
      <c r="A1876" s="17">
        <f>Github!J$2129</f>
        <v>2128</v>
      </c>
      <c r="B1876" s="27" t="str">
        <f>HYPERLINK(CONCAT("http://leetcode.com/problems/",Github!C$2129), Github!B$2129)</f>
        <v>Remove All Ones With Row and Column Flips</v>
      </c>
      <c r="C1876" s="17">
        <f>Github!F$2129</f>
        <v>170</v>
      </c>
      <c r="D1876" s="17">
        <f>Github!G$2129</f>
        <v>33</v>
      </c>
      <c r="E1876" s="17">
        <f>Github!F$2129+Github!G$2129</f>
        <v>203</v>
      </c>
      <c r="F1876" s="18">
        <f t="shared" si="1"/>
        <v>5.15</v>
      </c>
      <c r="G1876" s="17" t="str">
        <f>Github!H$2129</f>
        <v>Algorithms</v>
      </c>
      <c r="H1876" s="19" t="str">
        <f>SUBSTITUTE(Github!L$2129, ";", ", ")</f>
        <v>Array, Math, Bit Manipulation, Matrix, </v>
      </c>
      <c r="I1876" s="17" t="str">
        <f>Github!E$2129</f>
        <v>Medium</v>
      </c>
      <c r="J1876" s="17" t="str">
        <f>IF(TRIM(Github!D$2129)="TRUE","FALSE","TRUE")</f>
        <v>FALSE</v>
      </c>
      <c r="K1876" s="17" t="b">
        <f>Github!M$2129</f>
        <v>0</v>
      </c>
      <c r="L1876" s="17" t="b">
        <f>Github!N$2129</f>
        <v>0</v>
      </c>
      <c r="M1876" s="17" t="str">
        <f>ROUND(Github!O$2129, 2)&amp;"%"</f>
        <v>76.28%</v>
      </c>
      <c r="N1876" s="17">
        <f>Github!P$2129</f>
        <v>7157</v>
      </c>
      <c r="O1876" s="17">
        <f>Github!Q$2129</f>
        <v>9382</v>
      </c>
    </row>
    <row r="1877" ht="18.0" customHeight="1">
      <c r="A1877" s="17">
        <f>Github!J$616</f>
        <v>615</v>
      </c>
      <c r="B1877" s="27" t="str">
        <f>HYPERLINK(CONCAT("http://leetcode.com/problems/",Github!C$616), Github!B$616)</f>
        <v>Average Salary: Departments VS Company</v>
      </c>
      <c r="C1877" s="17">
        <f>Github!F$616</f>
        <v>168</v>
      </c>
      <c r="D1877" s="17">
        <f>Github!G$616</f>
        <v>58</v>
      </c>
      <c r="E1877" s="17">
        <f>Github!F$616+Github!G$616</f>
        <v>226</v>
      </c>
      <c r="F1877" s="18">
        <f t="shared" si="1"/>
        <v>2.9</v>
      </c>
      <c r="G1877" s="17" t="str">
        <f>Github!H$616</f>
        <v>Database</v>
      </c>
      <c r="H1877" s="19" t="str">
        <f>SUBSTITUTE(Github!L$616, ";", ", ")</f>
        <v>Database, </v>
      </c>
      <c r="I1877" s="17" t="str">
        <f>Github!E$616</f>
        <v>Hard</v>
      </c>
      <c r="J1877" s="17" t="str">
        <f>IF(TRIM(Github!D$616)="TRUE","FALSE","TRUE")</f>
        <v>FALSE</v>
      </c>
      <c r="K1877" s="17" t="b">
        <f>Github!M$616</f>
        <v>1</v>
      </c>
      <c r="L1877" s="17" t="b">
        <f>Github!N$616</f>
        <v>0</v>
      </c>
      <c r="M1877" s="17" t="str">
        <f>ROUND(Github!O$616, 2)&amp;"%"</f>
        <v>55.98%</v>
      </c>
      <c r="N1877" s="17">
        <f>Github!P$616</f>
        <v>24811</v>
      </c>
      <c r="O1877" s="17">
        <f>Github!Q$616</f>
        <v>44322</v>
      </c>
    </row>
    <row r="1878" ht="18.0" customHeight="1">
      <c r="A1878" s="17">
        <f>Github!J$1078</f>
        <v>1077</v>
      </c>
      <c r="B1878" s="27" t="str">
        <f>HYPERLINK(CONCAT("http://leetcode.com/problems/",Github!C$1078), Github!B$1078)</f>
        <v>Project Employees III</v>
      </c>
      <c r="C1878" s="17">
        <f>Github!F$1078</f>
        <v>168</v>
      </c>
      <c r="D1878" s="17">
        <f>Github!G$1078</f>
        <v>4</v>
      </c>
      <c r="E1878" s="17">
        <f>Github!F$1078+Github!G$1078</f>
        <v>172</v>
      </c>
      <c r="F1878" s="18">
        <f t="shared" si="1"/>
        <v>42</v>
      </c>
      <c r="G1878" s="17" t="str">
        <f>Github!H$1078</f>
        <v>Database</v>
      </c>
      <c r="H1878" s="19" t="str">
        <f>SUBSTITUTE(Github!L$1078, ";", ", ")</f>
        <v>Database, </v>
      </c>
      <c r="I1878" s="17" t="str">
        <f>Github!E$1078</f>
        <v>Medium</v>
      </c>
      <c r="J1878" s="17" t="str">
        <f>IF(TRIM(Github!D$1078)="TRUE","FALSE","TRUE")</f>
        <v>FALSE</v>
      </c>
      <c r="K1878" s="17" t="b">
        <f>Github!M$1078</f>
        <v>0</v>
      </c>
      <c r="L1878" s="17" t="b">
        <f>Github!N$1078</f>
        <v>0</v>
      </c>
      <c r="M1878" s="17" t="str">
        <f>ROUND(Github!O$1078, 2)&amp;"%"</f>
        <v>78.6%</v>
      </c>
      <c r="N1878" s="17">
        <f>Github!P$1078</f>
        <v>32668</v>
      </c>
      <c r="O1878" s="17">
        <f>Github!Q$1078</f>
        <v>41564</v>
      </c>
    </row>
    <row r="1879" ht="18.0" customHeight="1">
      <c r="A1879" s="17">
        <f>Github!J$1926</f>
        <v>1925</v>
      </c>
      <c r="B1879" s="27" t="str">
        <f>HYPERLINK(CONCAT("http://leetcode.com/problems/",Github!C$1926), Github!B$1926)</f>
        <v>Count Square Sum Triples</v>
      </c>
      <c r="C1879" s="17">
        <f>Github!F$1926</f>
        <v>167</v>
      </c>
      <c r="D1879" s="17">
        <f>Github!G$1926</f>
        <v>18</v>
      </c>
      <c r="E1879" s="17">
        <f>Github!F$1926+Github!G$1926</f>
        <v>185</v>
      </c>
      <c r="F1879" s="18">
        <f t="shared" si="1"/>
        <v>9.28</v>
      </c>
      <c r="G1879" s="17" t="str">
        <f>Github!H$1926</f>
        <v>Algorithms</v>
      </c>
      <c r="H1879" s="19" t="str">
        <f>SUBSTITUTE(Github!L$1926, ";", ", ")</f>
        <v>Math, Enumeration, </v>
      </c>
      <c r="I1879" s="17" t="str">
        <f>Github!E$1926</f>
        <v>Easy</v>
      </c>
      <c r="J1879" s="17" t="str">
        <f>IF(TRIM(Github!D$1926)="TRUE","FALSE","TRUE")</f>
        <v>TRUE</v>
      </c>
      <c r="K1879" s="17" t="b">
        <f>Github!M$1926</f>
        <v>0</v>
      </c>
      <c r="L1879" s="17" t="b">
        <f>Github!N$1926</f>
        <v>0</v>
      </c>
      <c r="M1879" s="17" t="str">
        <f>ROUND(Github!O$1926, 2)&amp;"%"</f>
        <v>67.13%</v>
      </c>
      <c r="N1879" s="17">
        <f>Github!P$1926</f>
        <v>19455</v>
      </c>
      <c r="O1879" s="17">
        <f>Github!Q$1926</f>
        <v>28981</v>
      </c>
    </row>
    <row r="1880" ht="18.0" customHeight="1">
      <c r="A1880" s="17">
        <f>Github!J$1046</f>
        <v>1045</v>
      </c>
      <c r="B1880" s="27" t="str">
        <f>HYPERLINK(CONCAT("http://leetcode.com/problems/",Github!C$1046), Github!B$1046)</f>
        <v>Customers Who Bought All Products</v>
      </c>
      <c r="C1880" s="17">
        <f>Github!F$1046</f>
        <v>166</v>
      </c>
      <c r="D1880" s="17">
        <f>Github!G$1046</f>
        <v>35</v>
      </c>
      <c r="E1880" s="17">
        <f>Github!F$1046+Github!G$1046</f>
        <v>201</v>
      </c>
      <c r="F1880" s="18">
        <f t="shared" si="1"/>
        <v>4.74</v>
      </c>
      <c r="G1880" s="17" t="str">
        <f>Github!H$1046</f>
        <v>Database</v>
      </c>
      <c r="H1880" s="19" t="str">
        <f>SUBSTITUTE(Github!L$1046, ";", ", ")</f>
        <v>Database, </v>
      </c>
      <c r="I1880" s="17" t="str">
        <f>Github!E$1046</f>
        <v>Medium</v>
      </c>
      <c r="J1880" s="17" t="str">
        <f>IF(TRIM(Github!D$1046)="TRUE","FALSE","TRUE")</f>
        <v>FALSE</v>
      </c>
      <c r="K1880" s="17" t="b">
        <f>Github!M$1046</f>
        <v>0</v>
      </c>
      <c r="L1880" s="17" t="b">
        <f>Github!N$1046</f>
        <v>0</v>
      </c>
      <c r="M1880" s="17" t="str">
        <f>ROUND(Github!O$1046, 2)&amp;"%"</f>
        <v>67.36%</v>
      </c>
      <c r="N1880" s="17">
        <f>Github!P$1046</f>
        <v>34123</v>
      </c>
      <c r="O1880" s="17">
        <f>Github!Q$1046</f>
        <v>50655</v>
      </c>
    </row>
    <row r="1881" ht="18.0" customHeight="1">
      <c r="A1881" s="17">
        <f>Github!J$1064</f>
        <v>1063</v>
      </c>
      <c r="B1881" s="27" t="str">
        <f>HYPERLINK(CONCAT("http://leetcode.com/problems/",Github!C$1064), Github!B$1064)</f>
        <v>Number of Valid Subarrays</v>
      </c>
      <c r="C1881" s="17">
        <f>Github!F$1064</f>
        <v>166</v>
      </c>
      <c r="D1881" s="17">
        <f>Github!G$1064</f>
        <v>8</v>
      </c>
      <c r="E1881" s="17">
        <f>Github!F$1064+Github!G$1064</f>
        <v>174</v>
      </c>
      <c r="F1881" s="18">
        <f t="shared" si="1"/>
        <v>20.75</v>
      </c>
      <c r="G1881" s="17" t="str">
        <f>Github!H$1064</f>
        <v>Algorithms</v>
      </c>
      <c r="H1881" s="19" t="str">
        <f>SUBSTITUTE(Github!L$1064, ";", ", ")</f>
        <v>Array, Stack, Monotonic Stack, </v>
      </c>
      <c r="I1881" s="17" t="str">
        <f>Github!E$1064</f>
        <v>Hard</v>
      </c>
      <c r="J1881" s="17" t="str">
        <f>IF(TRIM(Github!D$1064)="TRUE","FALSE","TRUE")</f>
        <v>FALSE</v>
      </c>
      <c r="K1881" s="17" t="b">
        <f>Github!M$1064</f>
        <v>0</v>
      </c>
      <c r="L1881" s="17" t="b">
        <f>Github!N$1064</f>
        <v>0</v>
      </c>
      <c r="M1881" s="17" t="str">
        <f>ROUND(Github!O$1064, 2)&amp;"%"</f>
        <v>73.43%</v>
      </c>
      <c r="N1881" s="17">
        <f>Github!P$1064</f>
        <v>5975</v>
      </c>
      <c r="O1881" s="17">
        <f>Github!Q$1064</f>
        <v>8137</v>
      </c>
    </row>
    <row r="1882" ht="18.0" customHeight="1">
      <c r="A1882" s="17">
        <f>Github!J$2148</f>
        <v>2147</v>
      </c>
      <c r="B1882" s="27" t="str">
        <f>HYPERLINK(CONCAT("http://leetcode.com/problems/",Github!C$2148), Github!B$2148)</f>
        <v>Number of Ways to Divide a Long Corridor</v>
      </c>
      <c r="C1882" s="17">
        <f>Github!F$2148</f>
        <v>165</v>
      </c>
      <c r="D1882" s="17">
        <f>Github!G$2148</f>
        <v>14</v>
      </c>
      <c r="E1882" s="17">
        <f>Github!F$2148+Github!G$2148</f>
        <v>179</v>
      </c>
      <c r="F1882" s="18">
        <f t="shared" si="1"/>
        <v>11.79</v>
      </c>
      <c r="G1882" s="17" t="str">
        <f>Github!H$2148</f>
        <v>Algorithms</v>
      </c>
      <c r="H1882" s="19" t="str">
        <f>SUBSTITUTE(Github!L$2148, ";", ", ")</f>
        <v>Math, String, Dynamic Programming, </v>
      </c>
      <c r="I1882" s="17" t="str">
        <f>Github!E$2148</f>
        <v>Hard</v>
      </c>
      <c r="J1882" s="17" t="str">
        <f>IF(TRIM(Github!D$2148)="TRUE","FALSE","TRUE")</f>
        <v>TRUE</v>
      </c>
      <c r="K1882" s="17" t="b">
        <f>Github!M$2148</f>
        <v>0</v>
      </c>
      <c r="L1882" s="17" t="b">
        <f>Github!N$2148</f>
        <v>0</v>
      </c>
      <c r="M1882" s="17" t="str">
        <f>ROUND(Github!O$2148, 2)&amp;"%"</f>
        <v>39.92%</v>
      </c>
      <c r="N1882" s="17">
        <f>Github!P$2148</f>
        <v>6109</v>
      </c>
      <c r="O1882" s="17">
        <f>Github!Q$2148</f>
        <v>15302</v>
      </c>
    </row>
    <row r="1883" ht="18.0" customHeight="1">
      <c r="A1883" s="17">
        <f>Github!J$2198</f>
        <v>2197</v>
      </c>
      <c r="B1883" s="27" t="str">
        <f>HYPERLINK(CONCAT("http://leetcode.com/problems/",Github!C$2198), Github!B$2198)</f>
        <v>Replace Non-Coprime Numbers in Array</v>
      </c>
      <c r="C1883" s="17">
        <f>Github!F$2198</f>
        <v>169</v>
      </c>
      <c r="D1883" s="17">
        <f>Github!G$2198</f>
        <v>5</v>
      </c>
      <c r="E1883" s="17">
        <f>Github!F$2198+Github!G$2198</f>
        <v>174</v>
      </c>
      <c r="F1883" s="18">
        <f t="shared" si="1"/>
        <v>33.8</v>
      </c>
      <c r="G1883" s="17" t="str">
        <f>Github!H$2198</f>
        <v>Algorithms</v>
      </c>
      <c r="H1883" s="19" t="str">
        <f>SUBSTITUTE(Github!L$2198, ";", ", ")</f>
        <v>Array, Math, Stack, Number Theory, </v>
      </c>
      <c r="I1883" s="17" t="str">
        <f>Github!E$2198</f>
        <v>Hard</v>
      </c>
      <c r="J1883" s="17" t="str">
        <f>IF(TRIM(Github!D$2198)="TRUE","FALSE","TRUE")</f>
        <v>TRUE</v>
      </c>
      <c r="K1883" s="17" t="b">
        <f>Github!M$2198</f>
        <v>0</v>
      </c>
      <c r="L1883" s="17" t="b">
        <f>Github!N$2198</f>
        <v>0</v>
      </c>
      <c r="M1883" s="17" t="str">
        <f>ROUND(Github!O$2198, 2)&amp;"%"</f>
        <v>33.26%</v>
      </c>
      <c r="N1883" s="17">
        <f>Github!P$2198</f>
        <v>5655</v>
      </c>
      <c r="O1883" s="17">
        <f>Github!Q$2198</f>
        <v>17014</v>
      </c>
    </row>
    <row r="1884" ht="18.0" customHeight="1">
      <c r="A1884" s="17">
        <f>Github!J$1915</f>
        <v>1914</v>
      </c>
      <c r="B1884" s="27" t="str">
        <f>HYPERLINK(CONCAT("http://leetcode.com/problems/",Github!C$1915), Github!B$1915)</f>
        <v>Cyclically Rotating a Grid</v>
      </c>
      <c r="C1884" s="17">
        <f>Github!F$1915</f>
        <v>164</v>
      </c>
      <c r="D1884" s="17">
        <f>Github!G$1915</f>
        <v>222</v>
      </c>
      <c r="E1884" s="17">
        <f>Github!F$1915+Github!G$1915</f>
        <v>386</v>
      </c>
      <c r="F1884" s="18">
        <f t="shared" si="1"/>
        <v>0.74</v>
      </c>
      <c r="G1884" s="17" t="str">
        <f>Github!H$1915</f>
        <v>Algorithms</v>
      </c>
      <c r="H1884" s="19" t="str">
        <f>SUBSTITUTE(Github!L$1915, ";", ", ")</f>
        <v>Array, Matrix, Simulation, </v>
      </c>
      <c r="I1884" s="17" t="str">
        <f>Github!E$1915</f>
        <v>Medium</v>
      </c>
      <c r="J1884" s="17" t="str">
        <f>IF(TRIM(Github!D$1915)="TRUE","FALSE","TRUE")</f>
        <v>TRUE</v>
      </c>
      <c r="K1884" s="17" t="b">
        <f>Github!M$1915</f>
        <v>0</v>
      </c>
      <c r="L1884" s="17" t="b">
        <f>Github!N$1915</f>
        <v>0</v>
      </c>
      <c r="M1884" s="17" t="str">
        <f>ROUND(Github!O$1915, 2)&amp;"%"</f>
        <v>46.51%</v>
      </c>
      <c r="N1884" s="17">
        <f>Github!P$1915</f>
        <v>8862</v>
      </c>
      <c r="O1884" s="17">
        <f>Github!Q$1915</f>
        <v>19052</v>
      </c>
    </row>
    <row r="1885" ht="18.0" customHeight="1">
      <c r="A1885" s="17">
        <f>Github!J$412</f>
        <v>411</v>
      </c>
      <c r="B1885" s="27" t="str">
        <f>HYPERLINK(CONCAT("http://leetcode.com/problems/",Github!C$412), Github!B$412)</f>
        <v>Minimum Unique Word Abbreviation</v>
      </c>
      <c r="C1885" s="17">
        <f>Github!F$412</f>
        <v>163</v>
      </c>
      <c r="D1885" s="17">
        <f>Github!G$412</f>
        <v>135</v>
      </c>
      <c r="E1885" s="17">
        <f>Github!F$412+Github!G$412</f>
        <v>298</v>
      </c>
      <c r="F1885" s="18">
        <f t="shared" si="1"/>
        <v>1.21</v>
      </c>
      <c r="G1885" s="17" t="str">
        <f>Github!H$412</f>
        <v>Algorithms</v>
      </c>
      <c r="H1885" s="19" t="str">
        <f>SUBSTITUTE(Github!L$412, ";", ", ")</f>
        <v>String, Backtracking, Bit Manipulation, </v>
      </c>
      <c r="I1885" s="17" t="str">
        <f>Github!E$412</f>
        <v>Hard</v>
      </c>
      <c r="J1885" s="17" t="str">
        <f>IF(TRIM(Github!D$412)="TRUE","FALSE","TRUE")</f>
        <v>FALSE</v>
      </c>
      <c r="K1885" s="17" t="b">
        <f>Github!M$412</f>
        <v>0</v>
      </c>
      <c r="L1885" s="17" t="b">
        <f>Github!N$412</f>
        <v>0</v>
      </c>
      <c r="M1885" s="17" t="str">
        <f>ROUND(Github!O$412, 2)&amp;"%"</f>
        <v>38.36%</v>
      </c>
      <c r="N1885" s="17">
        <f>Github!P$412</f>
        <v>13180</v>
      </c>
      <c r="O1885" s="17">
        <f>Github!Q$412</f>
        <v>34359</v>
      </c>
    </row>
    <row r="1886" ht="18.0" customHeight="1">
      <c r="A1886" s="17">
        <f>Github!J$1605</f>
        <v>1604</v>
      </c>
      <c r="B1886" s="27" t="str">
        <f>HYPERLINK(CONCAT("http://leetcode.com/problems/",Github!C$1605), Github!B$1605)</f>
        <v>Alert Using Same Key-Card Three or More Times in a One Hour Period</v>
      </c>
      <c r="C1886" s="17">
        <f>Github!F$1605</f>
        <v>163</v>
      </c>
      <c r="D1886" s="17">
        <f>Github!G$1605</f>
        <v>257</v>
      </c>
      <c r="E1886" s="17">
        <f>Github!F$1605+Github!G$1605</f>
        <v>420</v>
      </c>
      <c r="F1886" s="18">
        <f t="shared" si="1"/>
        <v>0.63</v>
      </c>
      <c r="G1886" s="17" t="str">
        <f>Github!H$1605</f>
        <v>Algorithms</v>
      </c>
      <c r="H1886" s="19" t="str">
        <f>SUBSTITUTE(Github!L$1605, ";", ", ")</f>
        <v>Array, Hash Table, String, Sorting, </v>
      </c>
      <c r="I1886" s="17" t="str">
        <f>Github!E$1605</f>
        <v>Medium</v>
      </c>
      <c r="J1886" s="17" t="str">
        <f>IF(TRIM(Github!D$1605)="TRUE","FALSE","TRUE")</f>
        <v>TRUE</v>
      </c>
      <c r="K1886" s="17" t="b">
        <f>Github!M$1605</f>
        <v>0</v>
      </c>
      <c r="L1886" s="17" t="b">
        <f>Github!N$1605</f>
        <v>0</v>
      </c>
      <c r="M1886" s="17" t="str">
        <f>ROUND(Github!O$1605, 2)&amp;"%"</f>
        <v>47.12%</v>
      </c>
      <c r="N1886" s="17">
        <f>Github!P$1605</f>
        <v>17900</v>
      </c>
      <c r="O1886" s="17">
        <f>Github!Q$1605</f>
        <v>37991</v>
      </c>
    </row>
    <row r="1887" ht="18.0" customHeight="1">
      <c r="A1887" s="17">
        <f>Github!J$635</f>
        <v>634</v>
      </c>
      <c r="B1887" s="27" t="str">
        <f>HYPERLINK(CONCAT("http://leetcode.com/problems/",Github!C$635), Github!B$635)</f>
        <v>Find the Derangement of An Array</v>
      </c>
      <c r="C1887" s="17">
        <f>Github!F$635</f>
        <v>162</v>
      </c>
      <c r="D1887" s="17">
        <f>Github!G$635</f>
        <v>132</v>
      </c>
      <c r="E1887" s="17">
        <f>Github!F$635+Github!G$635</f>
        <v>294</v>
      </c>
      <c r="F1887" s="18">
        <f t="shared" si="1"/>
        <v>1.23</v>
      </c>
      <c r="G1887" s="17" t="str">
        <f>Github!H$635</f>
        <v>Algorithms</v>
      </c>
      <c r="H1887" s="19" t="str">
        <f>SUBSTITUTE(Github!L$635, ";", ", ")</f>
        <v>Math, Dynamic Programming, </v>
      </c>
      <c r="I1887" s="17" t="str">
        <f>Github!E$635</f>
        <v>Medium</v>
      </c>
      <c r="J1887" s="17" t="str">
        <f>IF(TRIM(Github!D$635)="TRUE","FALSE","TRUE")</f>
        <v>FALSE</v>
      </c>
      <c r="K1887" s="17" t="b">
        <f>Github!M$635</f>
        <v>1</v>
      </c>
      <c r="L1887" s="17" t="b">
        <f>Github!N$635</f>
        <v>0</v>
      </c>
      <c r="M1887" s="17" t="str">
        <f>ROUND(Github!O$635, 2)&amp;"%"</f>
        <v>41.15%</v>
      </c>
      <c r="N1887" s="17">
        <f>Github!P$635</f>
        <v>8246</v>
      </c>
      <c r="O1887" s="17">
        <f>Github!Q$635</f>
        <v>20041</v>
      </c>
    </row>
    <row r="1888" ht="18.0" customHeight="1">
      <c r="A1888" s="17">
        <f>Github!J$1802</f>
        <v>1801</v>
      </c>
      <c r="B1888" s="27" t="str">
        <f>HYPERLINK(CONCAT("http://leetcode.com/problems/",Github!C$1802), Github!B$1802)</f>
        <v>Number of Orders in the Backlog</v>
      </c>
      <c r="C1888" s="17">
        <f>Github!F$1802</f>
        <v>162</v>
      </c>
      <c r="D1888" s="17">
        <f>Github!G$1802</f>
        <v>174</v>
      </c>
      <c r="E1888" s="17">
        <f>Github!F$1802+Github!G$1802</f>
        <v>336</v>
      </c>
      <c r="F1888" s="18">
        <f t="shared" si="1"/>
        <v>0.93</v>
      </c>
      <c r="G1888" s="17" t="str">
        <f>Github!H$1802</f>
        <v>Algorithms</v>
      </c>
      <c r="H1888" s="19" t="str">
        <f>SUBSTITUTE(Github!L$1802, ";", ", ")</f>
        <v>Array, Heap (Priority Queue), Simulation, </v>
      </c>
      <c r="I1888" s="17" t="str">
        <f>Github!E$1802</f>
        <v>Medium</v>
      </c>
      <c r="J1888" s="17" t="str">
        <f>IF(TRIM(Github!D$1802)="TRUE","FALSE","TRUE")</f>
        <v>TRUE</v>
      </c>
      <c r="K1888" s="17" t="b">
        <f>Github!M$1802</f>
        <v>0</v>
      </c>
      <c r="L1888" s="17" t="b">
        <f>Github!N$1802</f>
        <v>0</v>
      </c>
      <c r="M1888" s="17" t="str">
        <f>ROUND(Github!O$1802, 2)&amp;"%"</f>
        <v>45.72%</v>
      </c>
      <c r="N1888" s="17">
        <f>Github!P$1802</f>
        <v>11182</v>
      </c>
      <c r="O1888" s="17">
        <f>Github!Q$1802</f>
        <v>24459</v>
      </c>
    </row>
    <row r="1889" ht="18.0" customHeight="1">
      <c r="A1889" s="17">
        <f>Github!J$613</f>
        <v>612</v>
      </c>
      <c r="B1889" s="27" t="str">
        <f>HYPERLINK(CONCAT("http://leetcode.com/problems/",Github!C$613), Github!B$613)</f>
        <v>Shortest Distance in a Plane</v>
      </c>
      <c r="C1889" s="17">
        <f>Github!F$613</f>
        <v>161</v>
      </c>
      <c r="D1889" s="17">
        <f>Github!G$613</f>
        <v>61</v>
      </c>
      <c r="E1889" s="17">
        <f>Github!F$613+Github!G$613</f>
        <v>222</v>
      </c>
      <c r="F1889" s="18">
        <f t="shared" si="1"/>
        <v>2.64</v>
      </c>
      <c r="G1889" s="17" t="str">
        <f>Github!H$613</f>
        <v>Database</v>
      </c>
      <c r="H1889" s="19" t="str">
        <f>SUBSTITUTE(Github!L$613, ";", ", ")</f>
        <v>Database, </v>
      </c>
      <c r="I1889" s="17" t="str">
        <f>Github!E$613</f>
        <v>Medium</v>
      </c>
      <c r="J1889" s="17" t="str">
        <f>IF(TRIM(Github!D$613)="TRUE","FALSE","TRUE")</f>
        <v>FALSE</v>
      </c>
      <c r="K1889" s="17" t="b">
        <f>Github!M$613</f>
        <v>1</v>
      </c>
      <c r="L1889" s="17" t="b">
        <f>Github!N$613</f>
        <v>0</v>
      </c>
      <c r="M1889" s="17" t="str">
        <f>ROUND(Github!O$613, 2)&amp;"%"</f>
        <v>63.02%</v>
      </c>
      <c r="N1889" s="17">
        <f>Github!P$613</f>
        <v>28682</v>
      </c>
      <c r="O1889" s="17">
        <f>Github!Q$613</f>
        <v>45513</v>
      </c>
    </row>
    <row r="1890" ht="18.0" customHeight="1">
      <c r="A1890" s="17">
        <f>Github!J$1516</f>
        <v>1515</v>
      </c>
      <c r="B1890" s="27" t="str">
        <f>HYPERLINK(CONCAT("http://leetcode.com/problems/",Github!C$1516), Github!B$1516)</f>
        <v>Best Position for a Service Centre</v>
      </c>
      <c r="C1890" s="17">
        <f>Github!F$1516</f>
        <v>161</v>
      </c>
      <c r="D1890" s="17">
        <f>Github!G$1516</f>
        <v>192</v>
      </c>
      <c r="E1890" s="17">
        <f>Github!F$1516+Github!G$1516</f>
        <v>353</v>
      </c>
      <c r="F1890" s="18">
        <f t="shared" si="1"/>
        <v>0.84</v>
      </c>
      <c r="G1890" s="17" t="str">
        <f>Github!H$1516</f>
        <v>Algorithms</v>
      </c>
      <c r="H1890" s="19" t="str">
        <f>SUBSTITUTE(Github!L$1516, ";", ", ")</f>
        <v>Math, Geometry, Randomized, </v>
      </c>
      <c r="I1890" s="17" t="str">
        <f>Github!E$1516</f>
        <v>Hard</v>
      </c>
      <c r="J1890" s="17" t="str">
        <f>IF(TRIM(Github!D$1516)="TRUE","FALSE","TRUE")</f>
        <v>TRUE</v>
      </c>
      <c r="K1890" s="17" t="b">
        <f>Github!M$1516</f>
        <v>0</v>
      </c>
      <c r="L1890" s="17" t="b">
        <f>Github!N$1516</f>
        <v>0</v>
      </c>
      <c r="M1890" s="17" t="str">
        <f>ROUND(Github!O$1516, 2)&amp;"%"</f>
        <v>38.88%</v>
      </c>
      <c r="N1890" s="17">
        <f>Github!P$1516</f>
        <v>9063</v>
      </c>
      <c r="O1890" s="17">
        <f>Github!Q$1516</f>
        <v>23309</v>
      </c>
    </row>
    <row r="1891" ht="18.0" customHeight="1">
      <c r="A1891" s="17">
        <f>Github!J$1638</f>
        <v>1637</v>
      </c>
      <c r="B1891" s="27" t="str">
        <f>HYPERLINK(CONCAT("http://leetcode.com/problems/",Github!C$1638), Github!B$1638)</f>
        <v>Widest Vertical Area Between Two Points Containing No Points</v>
      </c>
      <c r="C1891" s="17">
        <f>Github!F$1638</f>
        <v>161</v>
      </c>
      <c r="D1891" s="17">
        <f>Github!G$1638</f>
        <v>475</v>
      </c>
      <c r="E1891" s="17">
        <f>Github!F$1638+Github!G$1638</f>
        <v>636</v>
      </c>
      <c r="F1891" s="18">
        <f t="shared" si="1"/>
        <v>0.34</v>
      </c>
      <c r="G1891" s="17" t="str">
        <f>Github!H$1638</f>
        <v>Algorithms</v>
      </c>
      <c r="H1891" s="19" t="str">
        <f>SUBSTITUTE(Github!L$1638, ";", ", ")</f>
        <v>Array, Sorting, </v>
      </c>
      <c r="I1891" s="17" t="str">
        <f>Github!E$1638</f>
        <v>Medium</v>
      </c>
      <c r="J1891" s="17" t="str">
        <f>IF(TRIM(Github!D$1638)="TRUE","FALSE","TRUE")</f>
        <v>TRUE</v>
      </c>
      <c r="K1891" s="17" t="b">
        <f>Github!M$1638</f>
        <v>0</v>
      </c>
      <c r="L1891" s="17" t="b">
        <f>Github!N$1638</f>
        <v>0</v>
      </c>
      <c r="M1891" s="17" t="str">
        <f>ROUND(Github!O$1638, 2)&amp;"%"</f>
        <v>83.97%</v>
      </c>
      <c r="N1891" s="17">
        <f>Github!P$1638</f>
        <v>27230</v>
      </c>
      <c r="O1891" s="17">
        <f>Github!Q$1638</f>
        <v>32429</v>
      </c>
    </row>
    <row r="1892" ht="18.0" customHeight="1">
      <c r="A1892" s="17">
        <f>Github!J$513</f>
        <v>512</v>
      </c>
      <c r="B1892" s="27" t="str">
        <f>HYPERLINK(CONCAT("http://leetcode.com/problems/",Github!C$513), Github!B$513)</f>
        <v>Game Play Analysis II</v>
      </c>
      <c r="C1892" s="17">
        <f>Github!F$513</f>
        <v>160</v>
      </c>
      <c r="D1892" s="17">
        <f>Github!G$513</f>
        <v>26</v>
      </c>
      <c r="E1892" s="17">
        <f>Github!F$513+Github!G$513</f>
        <v>186</v>
      </c>
      <c r="F1892" s="18">
        <f t="shared" si="1"/>
        <v>6.15</v>
      </c>
      <c r="G1892" s="17" t="str">
        <f>Github!H$513</f>
        <v>Database</v>
      </c>
      <c r="H1892" s="19" t="str">
        <f>SUBSTITUTE(Github!L$513, ";", ", ")</f>
        <v>Database, </v>
      </c>
      <c r="I1892" s="17" t="str">
        <f>Github!E$513</f>
        <v>Easy</v>
      </c>
      <c r="J1892" s="17" t="str">
        <f>IF(TRIM(Github!D$513)="TRUE","FALSE","TRUE")</f>
        <v>FALSE</v>
      </c>
      <c r="K1892" s="17" t="b">
        <f>Github!M$513</f>
        <v>0</v>
      </c>
      <c r="L1892" s="17" t="b">
        <f>Github!N$513</f>
        <v>0</v>
      </c>
      <c r="M1892" s="17" t="str">
        <f>ROUND(Github!O$513, 2)&amp;"%"</f>
        <v>54.46%</v>
      </c>
      <c r="N1892" s="17">
        <f>Github!P$513</f>
        <v>50783</v>
      </c>
      <c r="O1892" s="17">
        <f>Github!Q$513</f>
        <v>93250</v>
      </c>
    </row>
    <row r="1893" ht="18.0" customHeight="1">
      <c r="A1893" s="17">
        <f>Github!J$656</f>
        <v>655</v>
      </c>
      <c r="B1893" s="27" t="str">
        <f>HYPERLINK(CONCAT("http://leetcode.com/problems/",Github!C$656), Github!B$656)</f>
        <v>Print Binary Tree</v>
      </c>
      <c r="C1893" s="17">
        <f>Github!F$656</f>
        <v>160</v>
      </c>
      <c r="D1893" s="17">
        <f>Github!G$656</f>
        <v>183</v>
      </c>
      <c r="E1893" s="17">
        <f>Github!F$656+Github!G$656</f>
        <v>343</v>
      </c>
      <c r="F1893" s="18">
        <f t="shared" si="1"/>
        <v>0.87</v>
      </c>
      <c r="G1893" s="17" t="str">
        <f>Github!H$656</f>
        <v>Algorithms</v>
      </c>
      <c r="H1893" s="19" t="str">
        <f>SUBSTITUTE(Github!L$656, ";", ", ")</f>
        <v>Tree, Depth-First Search, Breadth-First Search, Binary Tree, </v>
      </c>
      <c r="I1893" s="17" t="str">
        <f>Github!E$656</f>
        <v>Medium</v>
      </c>
      <c r="J1893" s="17" t="str">
        <f>IF(TRIM(Github!D$656)="TRUE","FALSE","TRUE")</f>
        <v>TRUE</v>
      </c>
      <c r="K1893" s="17" t="b">
        <f>Github!M$656</f>
        <v>0</v>
      </c>
      <c r="L1893" s="17" t="b">
        <f>Github!N$656</f>
        <v>0</v>
      </c>
      <c r="M1893" s="17" t="str">
        <f>ROUND(Github!O$656, 2)&amp;"%"</f>
        <v>59.27%</v>
      </c>
      <c r="N1893" s="17">
        <f>Github!P$656</f>
        <v>48965</v>
      </c>
      <c r="O1893" s="17">
        <f>Github!Q$656</f>
        <v>82607</v>
      </c>
    </row>
    <row r="1894" ht="18.0" customHeight="1">
      <c r="A1894" s="17">
        <f>Github!J$1849</f>
        <v>1848</v>
      </c>
      <c r="B1894" s="27" t="str">
        <f>HYPERLINK(CONCAT("http://leetcode.com/problems/",Github!C$1849), Github!B$1849)</f>
        <v>Minimum Distance to the Target Element</v>
      </c>
      <c r="C1894" s="17">
        <f>Github!F$1849</f>
        <v>160</v>
      </c>
      <c r="D1894" s="17">
        <f>Github!G$1849</f>
        <v>37</v>
      </c>
      <c r="E1894" s="17">
        <f>Github!F$1849+Github!G$1849</f>
        <v>197</v>
      </c>
      <c r="F1894" s="18">
        <f t="shared" si="1"/>
        <v>4.32</v>
      </c>
      <c r="G1894" s="17" t="str">
        <f>Github!H$1849</f>
        <v>Algorithms</v>
      </c>
      <c r="H1894" s="19" t="str">
        <f>SUBSTITUTE(Github!L$1849, ";", ", ")</f>
        <v>Array, </v>
      </c>
      <c r="I1894" s="17" t="str">
        <f>Github!E$1849</f>
        <v>Easy</v>
      </c>
      <c r="J1894" s="17" t="str">
        <f>IF(TRIM(Github!D$1849)="TRUE","FALSE","TRUE")</f>
        <v>TRUE</v>
      </c>
      <c r="K1894" s="17" t="b">
        <f>Github!M$1849</f>
        <v>0</v>
      </c>
      <c r="L1894" s="17" t="b">
        <f>Github!N$1849</f>
        <v>0</v>
      </c>
      <c r="M1894" s="17" t="str">
        <f>ROUND(Github!O$1849, 2)&amp;"%"</f>
        <v>59.81%</v>
      </c>
      <c r="N1894" s="17">
        <f>Github!P$1849</f>
        <v>23753</v>
      </c>
      <c r="O1894" s="17">
        <f>Github!Q$1849</f>
        <v>39714</v>
      </c>
    </row>
    <row r="1895" ht="18.0" customHeight="1">
      <c r="A1895" s="17">
        <f>Github!J$2089</f>
        <v>2088</v>
      </c>
      <c r="B1895" s="27" t="str">
        <f>HYPERLINK(CONCAT("http://leetcode.com/problems/",Github!C$2089), Github!B$2089)</f>
        <v>Count Fertile Pyramids in a Land</v>
      </c>
      <c r="C1895" s="17">
        <f>Github!F$2089</f>
        <v>159</v>
      </c>
      <c r="D1895" s="17">
        <f>Github!G$2089</f>
        <v>6</v>
      </c>
      <c r="E1895" s="17">
        <f>Github!F$2089+Github!G$2089</f>
        <v>165</v>
      </c>
      <c r="F1895" s="18">
        <f t="shared" si="1"/>
        <v>26.5</v>
      </c>
      <c r="G1895" s="17" t="str">
        <f>Github!H$2089</f>
        <v>Algorithms</v>
      </c>
      <c r="H1895" s="19" t="str">
        <f>SUBSTITUTE(Github!L$2089, ";", ", ")</f>
        <v>Array, Dynamic Programming, Matrix, </v>
      </c>
      <c r="I1895" s="17" t="str">
        <f>Github!E$2089</f>
        <v>Hard</v>
      </c>
      <c r="J1895" s="17" t="str">
        <f>IF(TRIM(Github!D$2089)="TRUE","FALSE","TRUE")</f>
        <v>TRUE</v>
      </c>
      <c r="K1895" s="17" t="b">
        <f>Github!M$2089</f>
        <v>0</v>
      </c>
      <c r="L1895" s="17" t="b">
        <f>Github!N$2089</f>
        <v>0</v>
      </c>
      <c r="M1895" s="17" t="str">
        <f>ROUND(Github!O$2089, 2)&amp;"%"</f>
        <v>62.6%</v>
      </c>
      <c r="N1895" s="17">
        <f>Github!P$2089</f>
        <v>3517</v>
      </c>
      <c r="O1895" s="17">
        <f>Github!Q$2089</f>
        <v>5618</v>
      </c>
    </row>
    <row r="1896" ht="18.0" customHeight="1">
      <c r="A1896" s="17">
        <f>Github!J$1057</f>
        <v>1056</v>
      </c>
      <c r="B1896" s="27" t="str">
        <f>HYPERLINK(CONCAT("http://leetcode.com/problems/",Github!C$1057), Github!B$1057)</f>
        <v>Confusing Number</v>
      </c>
      <c r="C1896" s="17">
        <f>Github!F$1057</f>
        <v>158</v>
      </c>
      <c r="D1896" s="17">
        <f>Github!G$1057</f>
        <v>89</v>
      </c>
      <c r="E1896" s="17">
        <f>Github!F$1057+Github!G$1057</f>
        <v>247</v>
      </c>
      <c r="F1896" s="18">
        <f t="shared" si="1"/>
        <v>1.78</v>
      </c>
      <c r="G1896" s="17" t="str">
        <f>Github!H$1057</f>
        <v>Algorithms</v>
      </c>
      <c r="H1896" s="19" t="str">
        <f>SUBSTITUTE(Github!L$1057, ";", ", ")</f>
        <v>Math, </v>
      </c>
      <c r="I1896" s="17" t="str">
        <f>Github!E$1057</f>
        <v>Easy</v>
      </c>
      <c r="J1896" s="17" t="str">
        <f>IF(TRIM(Github!D$1057)="TRUE","FALSE","TRUE")</f>
        <v>FALSE</v>
      </c>
      <c r="K1896" s="17" t="b">
        <f>Github!M$1057</f>
        <v>0</v>
      </c>
      <c r="L1896" s="17" t="b">
        <f>Github!N$1057</f>
        <v>0</v>
      </c>
      <c r="M1896" s="17" t="str">
        <f>ROUND(Github!O$1057, 2)&amp;"%"</f>
        <v>46.12%</v>
      </c>
      <c r="N1896" s="17">
        <f>Github!P$1057</f>
        <v>24408</v>
      </c>
      <c r="O1896" s="17">
        <f>Github!Q$1057</f>
        <v>52921</v>
      </c>
    </row>
    <row r="1897" ht="18.0" customHeight="1">
      <c r="A1897" s="17">
        <f>Github!J$1661</f>
        <v>1660</v>
      </c>
      <c r="B1897" s="27" t="str">
        <f>HYPERLINK(CONCAT("http://leetcode.com/problems/",Github!C$1661), Github!B$1661)</f>
        <v>Correct a Binary Tree</v>
      </c>
      <c r="C1897" s="17">
        <f>Github!F$1661</f>
        <v>158</v>
      </c>
      <c r="D1897" s="17">
        <f>Github!G$1661</f>
        <v>22</v>
      </c>
      <c r="E1897" s="17">
        <f>Github!F$1661+Github!G$1661</f>
        <v>180</v>
      </c>
      <c r="F1897" s="18">
        <f t="shared" si="1"/>
        <v>7.18</v>
      </c>
      <c r="G1897" s="17" t="str">
        <f>Github!H$1661</f>
        <v>Algorithms</v>
      </c>
      <c r="H1897" s="19" t="str">
        <f>SUBSTITUTE(Github!L$1661, ";", ", ")</f>
        <v>Hash Table, Tree, Depth-First Search, Breadth-First Search, Binary Tree, </v>
      </c>
      <c r="I1897" s="17" t="str">
        <f>Github!E$1661</f>
        <v>Medium</v>
      </c>
      <c r="J1897" s="17" t="str">
        <f>IF(TRIM(Github!D$1661)="TRUE","FALSE","TRUE")</f>
        <v>FALSE</v>
      </c>
      <c r="K1897" s="17" t="b">
        <f>Github!M$1661</f>
        <v>0</v>
      </c>
      <c r="L1897" s="17" t="b">
        <f>Github!N$1661</f>
        <v>0</v>
      </c>
      <c r="M1897" s="17" t="str">
        <f>ROUND(Github!O$1661, 2)&amp;"%"</f>
        <v>72.62%</v>
      </c>
      <c r="N1897" s="17">
        <f>Github!P$1661</f>
        <v>9915</v>
      </c>
      <c r="O1897" s="17">
        <f>Github!Q$1661</f>
        <v>13653</v>
      </c>
    </row>
    <row r="1898" ht="18.0" customHeight="1">
      <c r="A1898" s="17">
        <f>Github!J$289</f>
        <v>288</v>
      </c>
      <c r="B1898" s="27" t="str">
        <f>HYPERLINK(CONCAT("http://leetcode.com/problems/",Github!C$289), Github!B$289)</f>
        <v>Unique Word Abbreviation</v>
      </c>
      <c r="C1898" s="17">
        <f>Github!F$289</f>
        <v>157</v>
      </c>
      <c r="D1898" s="17">
        <f>Github!G$289</f>
        <v>1625</v>
      </c>
      <c r="E1898" s="17">
        <f>Github!F$289+Github!G$289</f>
        <v>1782</v>
      </c>
      <c r="F1898" s="18">
        <f t="shared" si="1"/>
        <v>0.1</v>
      </c>
      <c r="G1898" s="17" t="str">
        <f>Github!H$289</f>
        <v>Algorithms</v>
      </c>
      <c r="H1898" s="19" t="str">
        <f>SUBSTITUTE(Github!L$289, ";", ", ")</f>
        <v>Array, Hash Table, String, Design, </v>
      </c>
      <c r="I1898" s="17" t="str">
        <f>Github!E$289</f>
        <v>Medium</v>
      </c>
      <c r="J1898" s="17" t="str">
        <f>IF(TRIM(Github!D$289)="TRUE","FALSE","TRUE")</f>
        <v>FALSE</v>
      </c>
      <c r="K1898" s="17" t="b">
        <f>Github!M$289</f>
        <v>0</v>
      </c>
      <c r="L1898" s="17" t="b">
        <f>Github!N$289</f>
        <v>0</v>
      </c>
      <c r="M1898" s="17" t="str">
        <f>ROUND(Github!O$289, 2)&amp;"%"</f>
        <v>24.59%</v>
      </c>
      <c r="N1898" s="17">
        <f>Github!P$289</f>
        <v>63654</v>
      </c>
      <c r="O1898" s="17">
        <f>Github!Q$289</f>
        <v>258860</v>
      </c>
    </row>
    <row r="1899" ht="18.0" customHeight="1">
      <c r="A1899" s="17">
        <f>Github!J$294</f>
        <v>293</v>
      </c>
      <c r="B1899" s="27" t="str">
        <f>HYPERLINK(CONCAT("http://leetcode.com/problems/",Github!C$294), Github!B$294)</f>
        <v>Flip Game</v>
      </c>
      <c r="C1899" s="17">
        <f>Github!F$294</f>
        <v>157</v>
      </c>
      <c r="D1899" s="17">
        <f>Github!G$294</f>
        <v>374</v>
      </c>
      <c r="E1899" s="17">
        <f>Github!F$294+Github!G$294</f>
        <v>531</v>
      </c>
      <c r="F1899" s="18">
        <f t="shared" si="1"/>
        <v>0.42</v>
      </c>
      <c r="G1899" s="17" t="str">
        <f>Github!H$294</f>
        <v>Algorithms</v>
      </c>
      <c r="H1899" s="19" t="str">
        <f>SUBSTITUTE(Github!L$294, ";", ", ")</f>
        <v>String, </v>
      </c>
      <c r="I1899" s="17" t="str">
        <f>Github!E$294</f>
        <v>Easy</v>
      </c>
      <c r="J1899" s="17" t="str">
        <f>IF(TRIM(Github!D$294)="TRUE","FALSE","TRUE")</f>
        <v>FALSE</v>
      </c>
      <c r="K1899" s="17" t="b">
        <f>Github!M$294</f>
        <v>0</v>
      </c>
      <c r="L1899" s="17" t="b">
        <f>Github!N$294</f>
        <v>0</v>
      </c>
      <c r="M1899" s="17" t="str">
        <f>ROUND(Github!O$294, 2)&amp;"%"</f>
        <v>62.42%</v>
      </c>
      <c r="N1899" s="17">
        <f>Github!P$294</f>
        <v>58582</v>
      </c>
      <c r="O1899" s="17">
        <f>Github!Q$294</f>
        <v>93858</v>
      </c>
    </row>
    <row r="1900" ht="18.0" customHeight="1">
      <c r="A1900" s="17">
        <f>Github!J$1901</f>
        <v>1900</v>
      </c>
      <c r="B1900" s="27" t="str">
        <f>HYPERLINK(CONCAT("http://leetcode.com/problems/",Github!C$1901), Github!B$1901)</f>
        <v>The Earliest and Latest Rounds Where Players Compete</v>
      </c>
      <c r="C1900" s="17">
        <f>Github!F$1901</f>
        <v>157</v>
      </c>
      <c r="D1900" s="17">
        <f>Github!G$1901</f>
        <v>13</v>
      </c>
      <c r="E1900" s="17">
        <f>Github!F$1901+Github!G$1901</f>
        <v>170</v>
      </c>
      <c r="F1900" s="18">
        <f t="shared" si="1"/>
        <v>12.08</v>
      </c>
      <c r="G1900" s="17" t="str">
        <f>Github!H$1901</f>
        <v>Algorithms</v>
      </c>
      <c r="H1900" s="19" t="str">
        <f>SUBSTITUTE(Github!L$1901, ";", ", ")</f>
        <v>Dynamic Programming, Memoization, </v>
      </c>
      <c r="I1900" s="17" t="str">
        <f>Github!E$1901</f>
        <v>Hard</v>
      </c>
      <c r="J1900" s="17" t="str">
        <f>IF(TRIM(Github!D$1901)="TRUE","FALSE","TRUE")</f>
        <v>TRUE</v>
      </c>
      <c r="K1900" s="17" t="b">
        <f>Github!M$1901</f>
        <v>0</v>
      </c>
      <c r="L1900" s="17" t="b">
        <f>Github!N$1901</f>
        <v>0</v>
      </c>
      <c r="M1900" s="17" t="str">
        <f>ROUND(Github!O$1901, 2)&amp;"%"</f>
        <v>51.39%</v>
      </c>
      <c r="N1900" s="17">
        <f>Github!P$1901</f>
        <v>3764</v>
      </c>
      <c r="O1900" s="17">
        <f>Github!Q$1901</f>
        <v>7325</v>
      </c>
    </row>
    <row r="1901" ht="18.0" customHeight="1">
      <c r="A1901" s="17">
        <f>Github!J$1949</f>
        <v>1948</v>
      </c>
      <c r="B1901" s="27" t="str">
        <f>HYPERLINK(CONCAT("http://leetcode.com/problems/",Github!C$1949), Github!B$1949)</f>
        <v>Delete Duplicate Folders in System</v>
      </c>
      <c r="C1901" s="17">
        <f>Github!F$1949</f>
        <v>157</v>
      </c>
      <c r="D1901" s="17">
        <f>Github!G$1949</f>
        <v>46</v>
      </c>
      <c r="E1901" s="17">
        <f>Github!F$1949+Github!G$1949</f>
        <v>203</v>
      </c>
      <c r="F1901" s="18">
        <f t="shared" si="1"/>
        <v>3.41</v>
      </c>
      <c r="G1901" s="17" t="str">
        <f>Github!H$1949</f>
        <v>Algorithms</v>
      </c>
      <c r="H1901" s="19" t="str">
        <f>SUBSTITUTE(Github!L$1949, ";", ", ")</f>
        <v>Array, Hash Table, String, Trie, Hash Function, </v>
      </c>
      <c r="I1901" s="17" t="str">
        <f>Github!E$1949</f>
        <v>Hard</v>
      </c>
      <c r="J1901" s="17" t="str">
        <f>IF(TRIM(Github!D$1949)="TRUE","FALSE","TRUE")</f>
        <v>TRUE</v>
      </c>
      <c r="K1901" s="17" t="b">
        <f>Github!M$1949</f>
        <v>0</v>
      </c>
      <c r="L1901" s="17" t="b">
        <f>Github!N$1949</f>
        <v>0</v>
      </c>
      <c r="M1901" s="17" t="str">
        <f>ROUND(Github!O$1949, 2)&amp;"%"</f>
        <v>58.92%</v>
      </c>
      <c r="N1901" s="17">
        <f>Github!P$1949</f>
        <v>4165</v>
      </c>
      <c r="O1901" s="17">
        <f>Github!Q$1949</f>
        <v>7069</v>
      </c>
    </row>
    <row r="1902" ht="18.0" customHeight="1">
      <c r="A1902" s="17">
        <f>Github!J$1216</f>
        <v>1215</v>
      </c>
      <c r="B1902" s="27" t="str">
        <f>HYPERLINK(CONCAT("http://leetcode.com/problems/",Github!C$1216), Github!B$1216)</f>
        <v>Stepping Numbers</v>
      </c>
      <c r="C1902" s="17">
        <f>Github!F$1216</f>
        <v>156</v>
      </c>
      <c r="D1902" s="17">
        <f>Github!G$1216</f>
        <v>16</v>
      </c>
      <c r="E1902" s="17">
        <f>Github!F$1216+Github!G$1216</f>
        <v>172</v>
      </c>
      <c r="F1902" s="18">
        <f t="shared" si="1"/>
        <v>9.75</v>
      </c>
      <c r="G1902" s="17" t="str">
        <f>Github!H$1216</f>
        <v>Algorithms</v>
      </c>
      <c r="H1902" s="19" t="str">
        <f>SUBSTITUTE(Github!L$1216, ";", ", ")</f>
        <v>Backtracking, Breadth-First Search, </v>
      </c>
      <c r="I1902" s="17" t="str">
        <f>Github!E$1216</f>
        <v>Medium</v>
      </c>
      <c r="J1902" s="17" t="str">
        <f>IF(TRIM(Github!D$1216)="TRUE","FALSE","TRUE")</f>
        <v>FALSE</v>
      </c>
      <c r="K1902" s="17" t="b">
        <f>Github!M$1216</f>
        <v>0</v>
      </c>
      <c r="L1902" s="17" t="b">
        <f>Github!N$1216</f>
        <v>0</v>
      </c>
      <c r="M1902" s="17" t="str">
        <f>ROUND(Github!O$1216, 2)&amp;"%"</f>
        <v>45.31%</v>
      </c>
      <c r="N1902" s="17">
        <f>Github!P$1216</f>
        <v>7392</v>
      </c>
      <c r="O1902" s="17">
        <f>Github!Q$1216</f>
        <v>16315</v>
      </c>
    </row>
    <row r="1903" ht="18.0" customHeight="1">
      <c r="A1903" s="17">
        <f>Github!J$1785</f>
        <v>1784</v>
      </c>
      <c r="B1903" s="27" t="str">
        <f>HYPERLINK(CONCAT("http://leetcode.com/problems/",Github!C$1785), Github!B$1785)</f>
        <v>Check if Binary String Has at Most One Segment of Ones</v>
      </c>
      <c r="C1903" s="17">
        <f>Github!F$1785</f>
        <v>155</v>
      </c>
      <c r="D1903" s="17">
        <f>Github!G$1785</f>
        <v>488</v>
      </c>
      <c r="E1903" s="17">
        <f>Github!F$1785+Github!G$1785</f>
        <v>643</v>
      </c>
      <c r="F1903" s="18">
        <f t="shared" si="1"/>
        <v>0.32</v>
      </c>
      <c r="G1903" s="17" t="str">
        <f>Github!H$1785</f>
        <v>Algorithms</v>
      </c>
      <c r="H1903" s="19" t="str">
        <f>SUBSTITUTE(Github!L$1785, ";", ", ")</f>
        <v>String, </v>
      </c>
      <c r="I1903" s="17" t="str">
        <f>Github!E$1785</f>
        <v>Easy</v>
      </c>
      <c r="J1903" s="17" t="str">
        <f>IF(TRIM(Github!D$1785)="TRUE","FALSE","TRUE")</f>
        <v>TRUE</v>
      </c>
      <c r="K1903" s="17" t="b">
        <f>Github!M$1785</f>
        <v>0</v>
      </c>
      <c r="L1903" s="17" t="b">
        <f>Github!N$1785</f>
        <v>0</v>
      </c>
      <c r="M1903" s="17" t="str">
        <f>ROUND(Github!O$1785, 2)&amp;"%"</f>
        <v>40.96%</v>
      </c>
      <c r="N1903" s="17">
        <f>Github!P$1785</f>
        <v>22734</v>
      </c>
      <c r="O1903" s="17">
        <f>Github!Q$1785</f>
        <v>55503</v>
      </c>
    </row>
    <row r="1904" ht="18.0" customHeight="1">
      <c r="A1904" s="17">
        <f>Github!J$2075</f>
        <v>2074</v>
      </c>
      <c r="B1904" s="27" t="str">
        <f>HYPERLINK(CONCAT("http://leetcode.com/problems/",Github!C$2075), Github!B$2075)</f>
        <v>Reverse Nodes in Even Length Groups</v>
      </c>
      <c r="C1904" s="17">
        <f>Github!F$2075</f>
        <v>155</v>
      </c>
      <c r="D1904" s="17">
        <f>Github!G$2075</f>
        <v>179</v>
      </c>
      <c r="E1904" s="17">
        <f>Github!F$2075+Github!G$2075</f>
        <v>334</v>
      </c>
      <c r="F1904" s="18">
        <f t="shared" si="1"/>
        <v>0.87</v>
      </c>
      <c r="G1904" s="17" t="str">
        <f>Github!H$2075</f>
        <v>Algorithms</v>
      </c>
      <c r="H1904" s="19" t="str">
        <f>SUBSTITUTE(Github!L$2075, ";", ", ")</f>
        <v>Linked List, </v>
      </c>
      <c r="I1904" s="17" t="str">
        <f>Github!E$2075</f>
        <v>Medium</v>
      </c>
      <c r="J1904" s="17" t="str">
        <f>IF(TRIM(Github!D$2075)="TRUE","FALSE","TRUE")</f>
        <v>TRUE</v>
      </c>
      <c r="K1904" s="17" t="b">
        <f>Github!M$2075</f>
        <v>0</v>
      </c>
      <c r="L1904" s="17" t="b">
        <f>Github!N$2075</f>
        <v>0</v>
      </c>
      <c r="M1904" s="17" t="str">
        <f>ROUND(Github!O$2075, 2)&amp;"%"</f>
        <v>49.71%</v>
      </c>
      <c r="N1904" s="17">
        <f>Github!P$2075</f>
        <v>8768</v>
      </c>
      <c r="O1904" s="17">
        <f>Github!Q$2075</f>
        <v>17637</v>
      </c>
    </row>
    <row r="1905" ht="18.0" customHeight="1">
      <c r="A1905" s="17">
        <f>Github!J$1399</f>
        <v>1398</v>
      </c>
      <c r="B1905" s="27" t="str">
        <f>HYPERLINK(CONCAT("http://leetcode.com/problems/",Github!C$1399), Github!B$1399)</f>
        <v>Customers Who Bought Products A and B but Not C</v>
      </c>
      <c r="C1905" s="17">
        <f>Github!F$1399</f>
        <v>153</v>
      </c>
      <c r="D1905" s="17">
        <f>Github!G$1399</f>
        <v>7</v>
      </c>
      <c r="E1905" s="17">
        <f>Github!F$1399+Github!G$1399</f>
        <v>160</v>
      </c>
      <c r="F1905" s="18">
        <f t="shared" si="1"/>
        <v>21.86</v>
      </c>
      <c r="G1905" s="17" t="str">
        <f>Github!H$1399</f>
        <v>Database</v>
      </c>
      <c r="H1905" s="19" t="str">
        <f>SUBSTITUTE(Github!L$1399, ";", ", ")</f>
        <v>Database, </v>
      </c>
      <c r="I1905" s="17" t="str">
        <f>Github!E$1399</f>
        <v>Medium</v>
      </c>
      <c r="J1905" s="17" t="str">
        <f>IF(TRIM(Github!D$1399)="TRUE","FALSE","TRUE")</f>
        <v>FALSE</v>
      </c>
      <c r="K1905" s="17" t="b">
        <f>Github!M$1399</f>
        <v>0</v>
      </c>
      <c r="L1905" s="17" t="b">
        <f>Github!N$1399</f>
        <v>0</v>
      </c>
      <c r="M1905" s="17" t="str">
        <f>ROUND(Github!O$1399, 2)&amp;"%"</f>
        <v>79.03%</v>
      </c>
      <c r="N1905" s="17">
        <f>Github!P$1399</f>
        <v>26306</v>
      </c>
      <c r="O1905" s="17">
        <f>Github!Q$1399</f>
        <v>33284</v>
      </c>
    </row>
    <row r="1906" ht="18.0" customHeight="1">
      <c r="A1906" s="17">
        <f>Github!J$578</f>
        <v>577</v>
      </c>
      <c r="B1906" s="27" t="str">
        <f>HYPERLINK(CONCAT("http://leetcode.com/problems/",Github!C$578), Github!B$578)</f>
        <v>Employee Bonus</v>
      </c>
      <c r="C1906" s="17">
        <f>Github!F$578</f>
        <v>152</v>
      </c>
      <c r="D1906" s="17">
        <f>Github!G$578</f>
        <v>87</v>
      </c>
      <c r="E1906" s="17">
        <f>Github!F$578+Github!G$578</f>
        <v>239</v>
      </c>
      <c r="F1906" s="18">
        <f t="shared" si="1"/>
        <v>1.75</v>
      </c>
      <c r="G1906" s="17" t="str">
        <f>Github!H$578</f>
        <v>Database</v>
      </c>
      <c r="H1906" s="19" t="str">
        <f>SUBSTITUTE(Github!L$578, ";", ", ")</f>
        <v>Database, </v>
      </c>
      <c r="I1906" s="17" t="str">
        <f>Github!E$578</f>
        <v>Easy</v>
      </c>
      <c r="J1906" s="17" t="str">
        <f>IF(TRIM(Github!D$578)="TRUE","FALSE","TRUE")</f>
        <v>FALSE</v>
      </c>
      <c r="K1906" s="17" t="b">
        <f>Github!M$578</f>
        <v>1</v>
      </c>
      <c r="L1906" s="17" t="b">
        <f>Github!N$578</f>
        <v>0</v>
      </c>
      <c r="M1906" s="17" t="str">
        <f>ROUND(Github!O$578, 2)&amp;"%"</f>
        <v>74.74%</v>
      </c>
      <c r="N1906" s="17">
        <f>Github!P$578</f>
        <v>55933</v>
      </c>
      <c r="O1906" s="17">
        <f>Github!Q$578</f>
        <v>74840</v>
      </c>
    </row>
    <row r="1907" ht="18.0" customHeight="1">
      <c r="A1907" s="17">
        <f>Github!J$1085</f>
        <v>1084</v>
      </c>
      <c r="B1907" s="27" t="str">
        <f>HYPERLINK(CONCAT("http://leetcode.com/problems/",Github!C$1085), Github!B$1085)</f>
        <v>Sales Analysis III</v>
      </c>
      <c r="C1907" s="17">
        <f>Github!F$1085</f>
        <v>151</v>
      </c>
      <c r="D1907" s="17">
        <f>Github!G$1085</f>
        <v>52</v>
      </c>
      <c r="E1907" s="17">
        <f>Github!F$1085+Github!G$1085</f>
        <v>203</v>
      </c>
      <c r="F1907" s="18">
        <f t="shared" si="1"/>
        <v>2.9</v>
      </c>
      <c r="G1907" s="17" t="str">
        <f>Github!H$1085</f>
        <v>Database</v>
      </c>
      <c r="H1907" s="19" t="str">
        <f>SUBSTITUTE(Github!L$1085, ";", ", ")</f>
        <v>Database, </v>
      </c>
      <c r="I1907" s="17" t="str">
        <f>Github!E$1085</f>
        <v>Easy</v>
      </c>
      <c r="J1907" s="17" t="str">
        <f>IF(TRIM(Github!D$1085)="TRUE","FALSE","TRUE")</f>
        <v>FALSE</v>
      </c>
      <c r="K1907" s="17" t="b">
        <f>Github!M$1085</f>
        <v>0</v>
      </c>
      <c r="L1907" s="17" t="b">
        <f>Github!N$1085</f>
        <v>0</v>
      </c>
      <c r="M1907" s="17" t="str">
        <f>ROUND(Github!O$1085, 2)&amp;"%"</f>
        <v>53.65%</v>
      </c>
      <c r="N1907" s="17">
        <f>Github!P$1085</f>
        <v>37608</v>
      </c>
      <c r="O1907" s="17">
        <f>Github!Q$1085</f>
        <v>70101</v>
      </c>
    </row>
    <row r="1908" ht="18.0" customHeight="1">
      <c r="A1908" s="17">
        <f>Github!J$1135</f>
        <v>1134</v>
      </c>
      <c r="B1908" s="27" t="str">
        <f>HYPERLINK(CONCAT("http://leetcode.com/problems/",Github!C$1135), Github!B$1135)</f>
        <v>Armstrong Number</v>
      </c>
      <c r="C1908" s="17">
        <f>Github!F$1135</f>
        <v>149</v>
      </c>
      <c r="D1908" s="17">
        <f>Github!G$1135</f>
        <v>17</v>
      </c>
      <c r="E1908" s="17">
        <f>Github!F$1135+Github!G$1135</f>
        <v>166</v>
      </c>
      <c r="F1908" s="18">
        <f t="shared" si="1"/>
        <v>8.76</v>
      </c>
      <c r="G1908" s="17" t="str">
        <f>Github!H$1135</f>
        <v>Algorithms</v>
      </c>
      <c r="H1908" s="19" t="str">
        <f>SUBSTITUTE(Github!L$1135, ";", ", ")</f>
        <v>Math, </v>
      </c>
      <c r="I1908" s="17" t="str">
        <f>Github!E$1135</f>
        <v>Easy</v>
      </c>
      <c r="J1908" s="17" t="str">
        <f>IF(TRIM(Github!D$1135)="TRUE","FALSE","TRUE")</f>
        <v>FALSE</v>
      </c>
      <c r="K1908" s="17" t="b">
        <f>Github!M$1135</f>
        <v>1</v>
      </c>
      <c r="L1908" s="17" t="b">
        <f>Github!N$1135</f>
        <v>0</v>
      </c>
      <c r="M1908" s="17" t="str">
        <f>ROUND(Github!O$1135, 2)&amp;"%"</f>
        <v>78.33%</v>
      </c>
      <c r="N1908" s="17">
        <f>Github!P$1135</f>
        <v>27258</v>
      </c>
      <c r="O1908" s="17">
        <f>Github!Q$1135</f>
        <v>34797</v>
      </c>
    </row>
    <row r="1909" ht="18.0" customHeight="1">
      <c r="A1909" s="17">
        <f>Github!J$1897</f>
        <v>1896</v>
      </c>
      <c r="B1909" s="27" t="str">
        <f>HYPERLINK(CONCAT("http://leetcode.com/problems/",Github!C$1897), Github!B$1897)</f>
        <v>Minimum Cost to Change the Final Value of Expression</v>
      </c>
      <c r="C1909" s="17">
        <f>Github!F$1897</f>
        <v>149</v>
      </c>
      <c r="D1909" s="17">
        <f>Github!G$1897</f>
        <v>33</v>
      </c>
      <c r="E1909" s="17">
        <f>Github!F$1897+Github!G$1897</f>
        <v>182</v>
      </c>
      <c r="F1909" s="18">
        <f t="shared" si="1"/>
        <v>4.52</v>
      </c>
      <c r="G1909" s="17" t="str">
        <f>Github!H$1897</f>
        <v>Algorithms</v>
      </c>
      <c r="H1909" s="19" t="str">
        <f>SUBSTITUTE(Github!L$1897, ";", ", ")</f>
        <v>Math, String, Dynamic Programming, Stack, </v>
      </c>
      <c r="I1909" s="17" t="str">
        <f>Github!E$1897</f>
        <v>Hard</v>
      </c>
      <c r="J1909" s="17" t="str">
        <f>IF(TRIM(Github!D$1897)="TRUE","FALSE","TRUE")</f>
        <v>TRUE</v>
      </c>
      <c r="K1909" s="17" t="b">
        <f>Github!M$1897</f>
        <v>0</v>
      </c>
      <c r="L1909" s="17" t="b">
        <f>Github!N$1897</f>
        <v>0</v>
      </c>
      <c r="M1909" s="17" t="str">
        <f>ROUND(Github!O$1897, 2)&amp;"%"</f>
        <v>53.33%</v>
      </c>
      <c r="N1909" s="17">
        <f>Github!P$1897</f>
        <v>2423</v>
      </c>
      <c r="O1909" s="17">
        <f>Github!Q$1897</f>
        <v>4543</v>
      </c>
    </row>
    <row r="1910" ht="18.0" customHeight="1">
      <c r="A1910" s="17">
        <f>Github!J$2186</f>
        <v>2185</v>
      </c>
      <c r="B1910" s="27" t="str">
        <f>HYPERLINK(CONCAT("http://leetcode.com/problems/",Github!C$2186), Github!B$2186)</f>
        <v>Counting Words With a Given Prefix</v>
      </c>
      <c r="C1910" s="17">
        <f>Github!F$2186</f>
        <v>153</v>
      </c>
      <c r="D1910" s="17">
        <f>Github!G$2186</f>
        <v>2</v>
      </c>
      <c r="E1910" s="17">
        <f>Github!F$2186+Github!G$2186</f>
        <v>155</v>
      </c>
      <c r="F1910" s="18">
        <f t="shared" si="1"/>
        <v>76.5</v>
      </c>
      <c r="G1910" s="17" t="str">
        <f>Github!H$2186</f>
        <v>Algorithms</v>
      </c>
      <c r="H1910" s="19" t="str">
        <f>SUBSTITUTE(Github!L$2186, ";", ", ")</f>
        <v>Array, String, </v>
      </c>
      <c r="I1910" s="17" t="str">
        <f>Github!E$2186</f>
        <v>Easy</v>
      </c>
      <c r="J1910" s="17" t="str">
        <f>IF(TRIM(Github!D$2186)="TRUE","FALSE","TRUE")</f>
        <v>TRUE</v>
      </c>
      <c r="K1910" s="17" t="b">
        <f>Github!M$2186</f>
        <v>0</v>
      </c>
      <c r="L1910" s="17" t="b">
        <f>Github!N$2186</f>
        <v>0</v>
      </c>
      <c r="M1910" s="17" t="str">
        <f>ROUND(Github!O$2186, 2)&amp;"%"</f>
        <v>77.68%</v>
      </c>
      <c r="N1910" s="17">
        <f>Github!P$2186</f>
        <v>22962</v>
      </c>
      <c r="O1910" s="17">
        <f>Github!Q$2186</f>
        <v>29560</v>
      </c>
    </row>
    <row r="1911" ht="18.0" customHeight="1">
      <c r="A1911" s="17">
        <f>Github!J$1174</f>
        <v>1173</v>
      </c>
      <c r="B1911" s="27" t="str">
        <f>HYPERLINK(CONCAT("http://leetcode.com/problems/",Github!C$1174), Github!B$1174)</f>
        <v>Immediate Food Delivery I</v>
      </c>
      <c r="C1911" s="17">
        <f>Github!F$1174</f>
        <v>148</v>
      </c>
      <c r="D1911" s="17">
        <f>Github!G$1174</f>
        <v>8</v>
      </c>
      <c r="E1911" s="17">
        <f>Github!F$1174+Github!G$1174</f>
        <v>156</v>
      </c>
      <c r="F1911" s="18">
        <f t="shared" si="1"/>
        <v>18.5</v>
      </c>
      <c r="G1911" s="17" t="str">
        <f>Github!H$1174</f>
        <v>Database</v>
      </c>
      <c r="H1911" s="19" t="str">
        <f>SUBSTITUTE(Github!L$1174, ";", ", ")</f>
        <v>Database, </v>
      </c>
      <c r="I1911" s="17" t="str">
        <f>Github!E$1174</f>
        <v>Easy</v>
      </c>
      <c r="J1911" s="17" t="str">
        <f>IF(TRIM(Github!D$1174)="TRUE","FALSE","TRUE")</f>
        <v>FALSE</v>
      </c>
      <c r="K1911" s="17" t="b">
        <f>Github!M$1174</f>
        <v>0</v>
      </c>
      <c r="L1911" s="17" t="b">
        <f>Github!N$1174</f>
        <v>0</v>
      </c>
      <c r="M1911" s="17" t="str">
        <f>ROUND(Github!O$1174, 2)&amp;"%"</f>
        <v>83.19%</v>
      </c>
      <c r="N1911" s="17">
        <f>Github!P$1174</f>
        <v>35763</v>
      </c>
      <c r="O1911" s="17">
        <f>Github!Q$1174</f>
        <v>42987</v>
      </c>
    </row>
    <row r="1912" ht="18.0" customHeight="1">
      <c r="A1912" s="17">
        <f>Github!J$1584</f>
        <v>1583</v>
      </c>
      <c r="B1912" s="27" t="str">
        <f>HYPERLINK(CONCAT("http://leetcode.com/problems/",Github!C$1584), Github!B$1584)</f>
        <v>Count Unhappy Friends</v>
      </c>
      <c r="C1912" s="17">
        <f>Github!F$1584</f>
        <v>149</v>
      </c>
      <c r="D1912" s="17">
        <f>Github!G$1584</f>
        <v>548</v>
      </c>
      <c r="E1912" s="17">
        <f>Github!F$1584+Github!G$1584</f>
        <v>697</v>
      </c>
      <c r="F1912" s="18">
        <f t="shared" si="1"/>
        <v>0.27</v>
      </c>
      <c r="G1912" s="17" t="str">
        <f>Github!H$1584</f>
        <v>Algorithms</v>
      </c>
      <c r="H1912" s="19" t="str">
        <f>SUBSTITUTE(Github!L$1584, ";", ", ")</f>
        <v>Array, Simulation, </v>
      </c>
      <c r="I1912" s="17" t="str">
        <f>Github!E$1584</f>
        <v>Medium</v>
      </c>
      <c r="J1912" s="17" t="str">
        <f>IF(TRIM(Github!D$1584)="TRUE","FALSE","TRUE")</f>
        <v>TRUE</v>
      </c>
      <c r="K1912" s="17" t="b">
        <f>Github!M$1584</f>
        <v>0</v>
      </c>
      <c r="L1912" s="17" t="b">
        <f>Github!N$1584</f>
        <v>0</v>
      </c>
      <c r="M1912" s="17" t="str">
        <f>ROUND(Github!O$1584, 2)&amp;"%"</f>
        <v>57.49%</v>
      </c>
      <c r="N1912" s="17">
        <f>Github!P$1584</f>
        <v>15450</v>
      </c>
      <c r="O1912" s="17">
        <f>Github!Q$1584</f>
        <v>26875</v>
      </c>
    </row>
    <row r="1913" ht="18.0" customHeight="1">
      <c r="A1913" s="17">
        <f>Github!J$1502</f>
        <v>1501</v>
      </c>
      <c r="B1913" s="27" t="str">
        <f>HYPERLINK(CONCAT("http://leetcode.com/problems/",Github!C$1502), Github!B$1502)</f>
        <v>Countries You Can Safely Invest In</v>
      </c>
      <c r="C1913" s="17">
        <f>Github!F$1502</f>
        <v>147</v>
      </c>
      <c r="D1913" s="17">
        <f>Github!G$1502</f>
        <v>19</v>
      </c>
      <c r="E1913" s="17">
        <f>Github!F$1502+Github!G$1502</f>
        <v>166</v>
      </c>
      <c r="F1913" s="18">
        <f t="shared" si="1"/>
        <v>7.74</v>
      </c>
      <c r="G1913" s="17" t="str">
        <f>Github!H$1502</f>
        <v>Database</v>
      </c>
      <c r="H1913" s="19" t="str">
        <f>SUBSTITUTE(Github!L$1502, ";", ", ")</f>
        <v>Database, </v>
      </c>
      <c r="I1913" s="17" t="str">
        <f>Github!E$1502</f>
        <v>Medium</v>
      </c>
      <c r="J1913" s="17" t="str">
        <f>IF(TRIM(Github!D$1502)="TRUE","FALSE","TRUE")</f>
        <v>FALSE</v>
      </c>
      <c r="K1913" s="17" t="b">
        <f>Github!M$1502</f>
        <v>0</v>
      </c>
      <c r="L1913" s="17" t="b">
        <f>Github!N$1502</f>
        <v>0</v>
      </c>
      <c r="M1913" s="17" t="str">
        <f>ROUND(Github!O$1502, 2)&amp;"%"</f>
        <v>58.27%</v>
      </c>
      <c r="N1913" s="17">
        <f>Github!P$1502</f>
        <v>14762</v>
      </c>
      <c r="O1913" s="17">
        <f>Github!Q$1502</f>
        <v>25333</v>
      </c>
    </row>
    <row r="1914" ht="18.0" customHeight="1">
      <c r="A1914" s="17">
        <f>Github!J$1597</f>
        <v>1596</v>
      </c>
      <c r="B1914" s="27" t="str">
        <f>HYPERLINK(CONCAT("http://leetcode.com/problems/",Github!C$1597), Github!B$1597)</f>
        <v>The Most Frequently Ordered Products for Each Customer</v>
      </c>
      <c r="C1914" s="17">
        <f>Github!F$1597</f>
        <v>147</v>
      </c>
      <c r="D1914" s="17">
        <f>Github!G$1597</f>
        <v>12</v>
      </c>
      <c r="E1914" s="17">
        <f>Github!F$1597+Github!G$1597</f>
        <v>159</v>
      </c>
      <c r="F1914" s="18">
        <f t="shared" si="1"/>
        <v>12.25</v>
      </c>
      <c r="G1914" s="17" t="str">
        <f>Github!H$1597</f>
        <v>Database</v>
      </c>
      <c r="H1914" s="19" t="str">
        <f>SUBSTITUTE(Github!L$1597, ";", ", ")</f>
        <v>Database, </v>
      </c>
      <c r="I1914" s="17" t="str">
        <f>Github!E$1597</f>
        <v>Medium</v>
      </c>
      <c r="J1914" s="17" t="str">
        <f>IF(TRIM(Github!D$1597)="TRUE","FALSE","TRUE")</f>
        <v>FALSE</v>
      </c>
      <c r="K1914" s="17" t="b">
        <f>Github!M$1597</f>
        <v>0</v>
      </c>
      <c r="L1914" s="17" t="b">
        <f>Github!N$1597</f>
        <v>0</v>
      </c>
      <c r="M1914" s="17" t="str">
        <f>ROUND(Github!O$1597, 2)&amp;"%"</f>
        <v>84.77%</v>
      </c>
      <c r="N1914" s="17">
        <f>Github!P$1597</f>
        <v>17421</v>
      </c>
      <c r="O1914" s="17">
        <f>Github!Q$1597</f>
        <v>20550</v>
      </c>
    </row>
    <row r="1915" ht="18.0" customHeight="1">
      <c r="A1915" s="17">
        <f>Github!J$1736</f>
        <v>1735</v>
      </c>
      <c r="B1915" s="27" t="str">
        <f>HYPERLINK(CONCAT("http://leetcode.com/problems/",Github!C$1736), Github!B$1736)</f>
        <v>Count Ways to Make Array With Product</v>
      </c>
      <c r="C1915" s="17">
        <f>Github!F$1736</f>
        <v>147</v>
      </c>
      <c r="D1915" s="17">
        <f>Github!G$1736</f>
        <v>24</v>
      </c>
      <c r="E1915" s="17">
        <f>Github!F$1736+Github!G$1736</f>
        <v>171</v>
      </c>
      <c r="F1915" s="18">
        <f t="shared" si="1"/>
        <v>6.13</v>
      </c>
      <c r="G1915" s="17" t="str">
        <f>Github!H$1736</f>
        <v>Algorithms</v>
      </c>
      <c r="H1915" s="19" t="str">
        <f>SUBSTITUTE(Github!L$1736, ";", ", ")</f>
        <v>Array, Math, Dynamic Programming, </v>
      </c>
      <c r="I1915" s="17" t="str">
        <f>Github!E$1736</f>
        <v>Hard</v>
      </c>
      <c r="J1915" s="17" t="str">
        <f>IF(TRIM(Github!D$1736)="TRUE","FALSE","TRUE")</f>
        <v>TRUE</v>
      </c>
      <c r="K1915" s="17" t="b">
        <f>Github!M$1736</f>
        <v>0</v>
      </c>
      <c r="L1915" s="17" t="b">
        <f>Github!N$1736</f>
        <v>0</v>
      </c>
      <c r="M1915" s="17" t="str">
        <f>ROUND(Github!O$1736, 2)&amp;"%"</f>
        <v>49.49%</v>
      </c>
      <c r="N1915" s="17">
        <f>Github!P$1736</f>
        <v>3104</v>
      </c>
      <c r="O1915" s="17">
        <f>Github!Q$1736</f>
        <v>6272</v>
      </c>
    </row>
    <row r="1916" ht="18.0" customHeight="1">
      <c r="A1916" s="17">
        <f>Github!J$2019</f>
        <v>2018</v>
      </c>
      <c r="B1916" s="27" t="str">
        <f>HYPERLINK(CONCAT("http://leetcode.com/problems/",Github!C$2019), Github!B$2019)</f>
        <v>Check if Word Can Be Placed In Crossword</v>
      </c>
      <c r="C1916" s="17">
        <f>Github!F$2019</f>
        <v>146</v>
      </c>
      <c r="D1916" s="17">
        <f>Github!G$2019</f>
        <v>147</v>
      </c>
      <c r="E1916" s="17">
        <f>Github!F$2019+Github!G$2019</f>
        <v>293</v>
      </c>
      <c r="F1916" s="18">
        <f t="shared" si="1"/>
        <v>0.99</v>
      </c>
      <c r="G1916" s="17" t="str">
        <f>Github!H$2019</f>
        <v>Algorithms</v>
      </c>
      <c r="H1916" s="19" t="str">
        <f>SUBSTITUTE(Github!L$2019, ";", ", ")</f>
        <v>Array, Matrix, Enumeration, </v>
      </c>
      <c r="I1916" s="17" t="str">
        <f>Github!E$2019</f>
        <v>Medium</v>
      </c>
      <c r="J1916" s="17" t="str">
        <f>IF(TRIM(Github!D$2019)="TRUE","FALSE","TRUE")</f>
        <v>TRUE</v>
      </c>
      <c r="K1916" s="17" t="b">
        <f>Github!M$2019</f>
        <v>0</v>
      </c>
      <c r="L1916" s="17" t="b">
        <f>Github!N$2019</f>
        <v>0</v>
      </c>
      <c r="M1916" s="17" t="str">
        <f>ROUND(Github!O$2019, 2)&amp;"%"</f>
        <v>47.73%</v>
      </c>
      <c r="N1916" s="17">
        <f>Github!P$2019</f>
        <v>7520</v>
      </c>
      <c r="O1916" s="17">
        <f>Github!Q$2019</f>
        <v>15756</v>
      </c>
    </row>
    <row r="1917" ht="18.0" customHeight="1">
      <c r="A1917" s="17">
        <f>Github!J$1034</f>
        <v>1033</v>
      </c>
      <c r="B1917" s="27" t="str">
        <f>HYPERLINK(CONCAT("http://leetcode.com/problems/",Github!C$1034), Github!B$1034)</f>
        <v>Moving Stones Until Consecutive</v>
      </c>
      <c r="C1917" s="17">
        <f>Github!F$1034</f>
        <v>145</v>
      </c>
      <c r="D1917" s="17">
        <f>Github!G$1034</f>
        <v>575</v>
      </c>
      <c r="E1917" s="17">
        <f>Github!F$1034+Github!G$1034</f>
        <v>720</v>
      </c>
      <c r="F1917" s="18">
        <f t="shared" si="1"/>
        <v>0.25</v>
      </c>
      <c r="G1917" s="17" t="str">
        <f>Github!H$1034</f>
        <v>Algorithms</v>
      </c>
      <c r="H1917" s="19" t="str">
        <f>SUBSTITUTE(Github!L$1034, ";", ", ")</f>
        <v>Math, Brainteaser, </v>
      </c>
      <c r="I1917" s="17" t="str">
        <f>Github!E$1034</f>
        <v>Medium</v>
      </c>
      <c r="J1917" s="17" t="str">
        <f>IF(TRIM(Github!D$1034)="TRUE","FALSE","TRUE")</f>
        <v>TRUE</v>
      </c>
      <c r="K1917" s="17" t="b">
        <f>Github!M$1034</f>
        <v>0</v>
      </c>
      <c r="L1917" s="17" t="b">
        <f>Github!N$1034</f>
        <v>0</v>
      </c>
      <c r="M1917" s="17" t="str">
        <f>ROUND(Github!O$1034, 2)&amp;"%"</f>
        <v>44.81%</v>
      </c>
      <c r="N1917" s="17">
        <f>Github!P$1034</f>
        <v>19254</v>
      </c>
      <c r="O1917" s="17">
        <f>Github!Q$1034</f>
        <v>42966</v>
      </c>
    </row>
    <row r="1918" ht="18.0" customHeight="1">
      <c r="A1918" s="17">
        <f>Github!J$1197</f>
        <v>1196</v>
      </c>
      <c r="B1918" s="27" t="str">
        <f>HYPERLINK(CONCAT("http://leetcode.com/problems/",Github!C$1197), Github!B$1197)</f>
        <v>How Many Apples Can You Put into the Basket</v>
      </c>
      <c r="C1918" s="17">
        <f>Github!F$1197</f>
        <v>145</v>
      </c>
      <c r="D1918" s="17">
        <f>Github!G$1197</f>
        <v>13</v>
      </c>
      <c r="E1918" s="17">
        <f>Github!F$1197+Github!G$1197</f>
        <v>158</v>
      </c>
      <c r="F1918" s="18">
        <f t="shared" si="1"/>
        <v>11.15</v>
      </c>
      <c r="G1918" s="17" t="str">
        <f>Github!H$1197</f>
        <v>Algorithms</v>
      </c>
      <c r="H1918" s="19" t="str">
        <f>SUBSTITUTE(Github!L$1197, ";", ", ")</f>
        <v>Array, Greedy, Sorting, </v>
      </c>
      <c r="I1918" s="17" t="str">
        <f>Github!E$1197</f>
        <v>Easy</v>
      </c>
      <c r="J1918" s="17" t="str">
        <f>IF(TRIM(Github!D$1197)="TRUE","FALSE","TRUE")</f>
        <v>FALSE</v>
      </c>
      <c r="K1918" s="17" t="b">
        <f>Github!M$1197</f>
        <v>1</v>
      </c>
      <c r="L1918" s="17" t="b">
        <f>Github!N$1197</f>
        <v>0</v>
      </c>
      <c r="M1918" s="17" t="str">
        <f>ROUND(Github!O$1197, 2)&amp;"%"</f>
        <v>67.55%</v>
      </c>
      <c r="N1918" s="17">
        <f>Github!P$1197</f>
        <v>18407</v>
      </c>
      <c r="O1918" s="17">
        <f>Github!Q$1197</f>
        <v>27251</v>
      </c>
    </row>
    <row r="1919" ht="18.0" customHeight="1">
      <c r="A1919" s="17">
        <f>Github!J$1729</f>
        <v>1728</v>
      </c>
      <c r="B1919" s="27" t="str">
        <f>HYPERLINK(CONCAT("http://leetcode.com/problems/",Github!C$1729), Github!B$1729)</f>
        <v>Cat and Mouse II</v>
      </c>
      <c r="C1919" s="17">
        <f>Github!F$1729</f>
        <v>144</v>
      </c>
      <c r="D1919" s="17">
        <f>Github!G$1729</f>
        <v>24</v>
      </c>
      <c r="E1919" s="17">
        <f>Github!F$1729+Github!G$1729</f>
        <v>168</v>
      </c>
      <c r="F1919" s="18">
        <f t="shared" si="1"/>
        <v>6</v>
      </c>
      <c r="G1919" s="17" t="str">
        <f>Github!H$1729</f>
        <v>Algorithms</v>
      </c>
      <c r="H1919" s="19" t="str">
        <f>SUBSTITUTE(Github!L$1729, ";", ", ")</f>
        <v>Math, Dynamic Programming, Breadth-First Search, Graph, Memoization, Game Theory, </v>
      </c>
      <c r="I1919" s="17" t="str">
        <f>Github!E$1729</f>
        <v>Hard</v>
      </c>
      <c r="J1919" s="17" t="str">
        <f>IF(TRIM(Github!D$1729)="TRUE","FALSE","TRUE")</f>
        <v>TRUE</v>
      </c>
      <c r="K1919" s="17" t="b">
        <f>Github!M$1729</f>
        <v>0</v>
      </c>
      <c r="L1919" s="17" t="b">
        <f>Github!N$1729</f>
        <v>0</v>
      </c>
      <c r="M1919" s="17" t="str">
        <f>ROUND(Github!O$1729, 2)&amp;"%"</f>
        <v>40.31%</v>
      </c>
      <c r="N1919" s="17">
        <f>Github!P$1729</f>
        <v>4297</v>
      </c>
      <c r="O1919" s="17">
        <f>Github!Q$1729</f>
        <v>10659</v>
      </c>
    </row>
    <row r="1920" ht="18.0" customHeight="1">
      <c r="A1920" s="17">
        <f>Github!J$1786</f>
        <v>1785</v>
      </c>
      <c r="B1920" s="27" t="str">
        <f>HYPERLINK(CONCAT("http://leetcode.com/problems/",Github!C$1786), Github!B$1786)</f>
        <v>Minimum Elements to Add to Form a Given Sum</v>
      </c>
      <c r="C1920" s="17">
        <f>Github!F$1786</f>
        <v>144</v>
      </c>
      <c r="D1920" s="17">
        <f>Github!G$1786</f>
        <v>140</v>
      </c>
      <c r="E1920" s="17">
        <f>Github!F$1786+Github!G$1786</f>
        <v>284</v>
      </c>
      <c r="F1920" s="18">
        <f t="shared" si="1"/>
        <v>1.03</v>
      </c>
      <c r="G1920" s="17" t="str">
        <f>Github!H$1786</f>
        <v>Algorithms</v>
      </c>
      <c r="H1920" s="19" t="str">
        <f>SUBSTITUTE(Github!L$1786, ";", ", ")</f>
        <v>Array, Greedy, </v>
      </c>
      <c r="I1920" s="17" t="str">
        <f>Github!E$1786</f>
        <v>Medium</v>
      </c>
      <c r="J1920" s="17" t="str">
        <f>IF(TRIM(Github!D$1786)="TRUE","FALSE","TRUE")</f>
        <v>TRUE</v>
      </c>
      <c r="K1920" s="17" t="b">
        <f>Github!M$1786</f>
        <v>0</v>
      </c>
      <c r="L1920" s="17" t="b">
        <f>Github!N$1786</f>
        <v>0</v>
      </c>
      <c r="M1920" s="17" t="str">
        <f>ROUND(Github!O$1786, 2)&amp;"%"</f>
        <v>41.42%</v>
      </c>
      <c r="N1920" s="17">
        <f>Github!P$1786</f>
        <v>13694</v>
      </c>
      <c r="O1920" s="17">
        <f>Github!Q$1786</f>
        <v>33062</v>
      </c>
    </row>
    <row r="1921" ht="18.0" customHeight="1">
      <c r="A1921" s="17">
        <f>Github!J$1905</f>
        <v>1904</v>
      </c>
      <c r="B1921" s="27" t="str">
        <f>HYPERLINK(CONCAT("http://leetcode.com/problems/",Github!C$1905), Github!B$1905)</f>
        <v>The Number of Full Rounds You Have Played</v>
      </c>
      <c r="C1921" s="17">
        <f>Github!F$1905</f>
        <v>144</v>
      </c>
      <c r="D1921" s="17">
        <f>Github!G$1905</f>
        <v>201</v>
      </c>
      <c r="E1921" s="17">
        <f>Github!F$1905+Github!G$1905</f>
        <v>345</v>
      </c>
      <c r="F1921" s="18">
        <f t="shared" si="1"/>
        <v>0.72</v>
      </c>
      <c r="G1921" s="17" t="str">
        <f>Github!H$1905</f>
        <v>Algorithms</v>
      </c>
      <c r="H1921" s="19" t="str">
        <f>SUBSTITUTE(Github!L$1905, ";", ", ")</f>
        <v>Math, String, </v>
      </c>
      <c r="I1921" s="17" t="str">
        <f>Github!E$1905</f>
        <v>Medium</v>
      </c>
      <c r="J1921" s="17" t="str">
        <f>IF(TRIM(Github!D$1905)="TRUE","FALSE","TRUE")</f>
        <v>TRUE</v>
      </c>
      <c r="K1921" s="17" t="b">
        <f>Github!M$1905</f>
        <v>0</v>
      </c>
      <c r="L1921" s="17" t="b">
        <f>Github!N$1905</f>
        <v>0</v>
      </c>
      <c r="M1921" s="17" t="str">
        <f>ROUND(Github!O$1905, 2)&amp;"%"</f>
        <v>47.39%</v>
      </c>
      <c r="N1921" s="17">
        <f>Github!P$1905</f>
        <v>15383</v>
      </c>
      <c r="O1921" s="17">
        <f>Github!Q$1905</f>
        <v>32460</v>
      </c>
    </row>
    <row r="1922" ht="18.0" customHeight="1">
      <c r="A1922" s="17">
        <f>Github!J$1083</f>
        <v>1082</v>
      </c>
      <c r="B1922" s="27" t="str">
        <f>HYPERLINK(CONCAT("http://leetcode.com/problems/",Github!C$1083), Github!B$1083)</f>
        <v>Sales Analysis I</v>
      </c>
      <c r="C1922" s="17">
        <f>Github!F$1083</f>
        <v>143</v>
      </c>
      <c r="D1922" s="17">
        <f>Github!G$1083</f>
        <v>50</v>
      </c>
      <c r="E1922" s="17">
        <f>Github!F$1083+Github!G$1083</f>
        <v>193</v>
      </c>
      <c r="F1922" s="18">
        <f t="shared" si="1"/>
        <v>2.86</v>
      </c>
      <c r="G1922" s="17" t="str">
        <f>Github!H$1083</f>
        <v>Database</v>
      </c>
      <c r="H1922" s="19" t="str">
        <f>SUBSTITUTE(Github!L$1083, ";", ", ")</f>
        <v>Database, </v>
      </c>
      <c r="I1922" s="17" t="str">
        <f>Github!E$1083</f>
        <v>Easy</v>
      </c>
      <c r="J1922" s="17" t="str">
        <f>IF(TRIM(Github!D$1083)="TRUE","FALSE","TRUE")</f>
        <v>FALSE</v>
      </c>
      <c r="K1922" s="17" t="b">
        <f>Github!M$1083</f>
        <v>0</v>
      </c>
      <c r="L1922" s="17" t="b">
        <f>Github!N$1083</f>
        <v>0</v>
      </c>
      <c r="M1922" s="17" t="str">
        <f>ROUND(Github!O$1083, 2)&amp;"%"</f>
        <v>75.17%</v>
      </c>
      <c r="N1922" s="17">
        <f>Github!P$1083</f>
        <v>38689</v>
      </c>
      <c r="O1922" s="17">
        <f>Github!Q$1083</f>
        <v>51471</v>
      </c>
    </row>
    <row r="1923" ht="18.0" customHeight="1">
      <c r="A1923" s="17">
        <f>Github!J$1587</f>
        <v>1586</v>
      </c>
      <c r="B1923" s="27" t="str">
        <f>HYPERLINK(CONCAT("http://leetcode.com/problems/",Github!C$1587), Github!B$1587)</f>
        <v>Binary Search Tree Iterator II</v>
      </c>
      <c r="C1923" s="17">
        <f>Github!F$1587</f>
        <v>142</v>
      </c>
      <c r="D1923" s="17">
        <f>Github!G$1587</f>
        <v>20</v>
      </c>
      <c r="E1923" s="17">
        <f>Github!F$1587+Github!G$1587</f>
        <v>162</v>
      </c>
      <c r="F1923" s="18">
        <f t="shared" si="1"/>
        <v>7.1</v>
      </c>
      <c r="G1923" s="17" t="str">
        <f>Github!H$1587</f>
        <v>Algorithms</v>
      </c>
      <c r="H1923" s="19" t="str">
        <f>SUBSTITUTE(Github!L$1587, ";", ", ")</f>
        <v>Stack, Tree, Design, Binary Search Tree, Binary Tree, Iterator, </v>
      </c>
      <c r="I1923" s="17" t="str">
        <f>Github!E$1587</f>
        <v>Medium</v>
      </c>
      <c r="J1923" s="17" t="str">
        <f>IF(TRIM(Github!D$1587)="TRUE","FALSE","TRUE")</f>
        <v>FALSE</v>
      </c>
      <c r="K1923" s="17" t="b">
        <f>Github!M$1587</f>
        <v>1</v>
      </c>
      <c r="L1923" s="17" t="b">
        <f>Github!N$1587</f>
        <v>0</v>
      </c>
      <c r="M1923" s="17" t="str">
        <f>ROUND(Github!O$1587, 2)&amp;"%"</f>
        <v>67.34%</v>
      </c>
      <c r="N1923" s="17">
        <f>Github!P$1587</f>
        <v>6288</v>
      </c>
      <c r="O1923" s="17">
        <f>Github!Q$1587</f>
        <v>9337</v>
      </c>
    </row>
    <row r="1924" ht="18.0" customHeight="1">
      <c r="A1924" s="17">
        <f>Github!J$1757</f>
        <v>1756</v>
      </c>
      <c r="B1924" s="27" t="str">
        <f>HYPERLINK(CONCAT("http://leetcode.com/problems/",Github!C$1757), Github!B$1757)</f>
        <v>Design Most Recently Used Queue</v>
      </c>
      <c r="C1924" s="17">
        <f>Github!F$1757</f>
        <v>142</v>
      </c>
      <c r="D1924" s="17">
        <f>Github!G$1757</f>
        <v>12</v>
      </c>
      <c r="E1924" s="17">
        <f>Github!F$1757+Github!G$1757</f>
        <v>154</v>
      </c>
      <c r="F1924" s="18">
        <f t="shared" si="1"/>
        <v>11.83</v>
      </c>
      <c r="G1924" s="17" t="str">
        <f>Github!H$1757</f>
        <v>Algorithms</v>
      </c>
      <c r="H1924" s="19" t="str">
        <f>SUBSTITUTE(Github!L$1757, ";", ", ")</f>
        <v>Array, Hash Table, Stack, Design, Binary Indexed Tree, Ordered Set, </v>
      </c>
      <c r="I1924" s="17" t="str">
        <f>Github!E$1757</f>
        <v>Medium</v>
      </c>
      <c r="J1924" s="17" t="str">
        <f>IF(TRIM(Github!D$1757)="TRUE","FALSE","TRUE")</f>
        <v>FALSE</v>
      </c>
      <c r="K1924" s="17" t="b">
        <f>Github!M$1757</f>
        <v>0</v>
      </c>
      <c r="L1924" s="17" t="b">
        <f>Github!N$1757</f>
        <v>0</v>
      </c>
      <c r="M1924" s="17" t="str">
        <f>ROUND(Github!O$1757, 2)&amp;"%"</f>
        <v>78.99%</v>
      </c>
      <c r="N1924" s="17">
        <f>Github!P$1757</f>
        <v>5183</v>
      </c>
      <c r="O1924" s="17">
        <f>Github!Q$1757</f>
        <v>6562</v>
      </c>
    </row>
    <row r="1925" ht="18.0" customHeight="1">
      <c r="A1925" s="17">
        <f>Github!J$1805</f>
        <v>1804</v>
      </c>
      <c r="B1925" s="27" t="str">
        <f>HYPERLINK(CONCAT("http://leetcode.com/problems/",Github!C$1805), Github!B$1805)</f>
        <v>Implement Trie II (Prefix Tree)</v>
      </c>
      <c r="C1925" s="17">
        <f>Github!F$1805</f>
        <v>142</v>
      </c>
      <c r="D1925" s="17">
        <f>Github!G$1805</f>
        <v>7</v>
      </c>
      <c r="E1925" s="17">
        <f>Github!F$1805+Github!G$1805</f>
        <v>149</v>
      </c>
      <c r="F1925" s="18">
        <f t="shared" si="1"/>
        <v>20.29</v>
      </c>
      <c r="G1925" s="17" t="str">
        <f>Github!H$1805</f>
        <v>Algorithms</v>
      </c>
      <c r="H1925" s="19" t="str">
        <f>SUBSTITUTE(Github!L$1805, ";", ", ")</f>
        <v>Hash Table, String, Design, Trie, </v>
      </c>
      <c r="I1925" s="17" t="str">
        <f>Github!E$1805</f>
        <v>Medium</v>
      </c>
      <c r="J1925" s="17" t="str">
        <f>IF(TRIM(Github!D$1805)="TRUE","FALSE","TRUE")</f>
        <v>FALSE</v>
      </c>
      <c r="K1925" s="17" t="b">
        <f>Github!M$1805</f>
        <v>0</v>
      </c>
      <c r="L1925" s="17" t="b">
        <f>Github!N$1805</f>
        <v>0</v>
      </c>
      <c r="M1925" s="17" t="str">
        <f>ROUND(Github!O$1805, 2)&amp;"%"</f>
        <v>58.79%</v>
      </c>
      <c r="N1925" s="17">
        <f>Github!P$1805</f>
        <v>6520</v>
      </c>
      <c r="O1925" s="17">
        <f>Github!Q$1805</f>
        <v>11090</v>
      </c>
    </row>
    <row r="1926" ht="18.0" customHeight="1">
      <c r="A1926" s="17">
        <f>Github!J$1413</f>
        <v>1412</v>
      </c>
      <c r="B1926" s="27" t="str">
        <f>HYPERLINK(CONCAT("http://leetcode.com/problems/",Github!C$1413), Github!B$1413)</f>
        <v>Find the Quiet Students in All Exams</v>
      </c>
      <c r="C1926" s="17">
        <f>Github!F$1413</f>
        <v>141</v>
      </c>
      <c r="D1926" s="17">
        <f>Github!G$1413</f>
        <v>11</v>
      </c>
      <c r="E1926" s="17">
        <f>Github!F$1413+Github!G$1413</f>
        <v>152</v>
      </c>
      <c r="F1926" s="18">
        <f t="shared" si="1"/>
        <v>12.82</v>
      </c>
      <c r="G1926" s="17" t="str">
        <f>Github!H$1413</f>
        <v>Database</v>
      </c>
      <c r="H1926" s="19" t="str">
        <f>SUBSTITUTE(Github!L$1413, ";", ", ")</f>
        <v>Database, </v>
      </c>
      <c r="I1926" s="17" t="str">
        <f>Github!E$1413</f>
        <v>Hard</v>
      </c>
      <c r="J1926" s="17" t="str">
        <f>IF(TRIM(Github!D$1413)="TRUE","FALSE","TRUE")</f>
        <v>FALSE</v>
      </c>
      <c r="K1926" s="17" t="b">
        <f>Github!M$1413</f>
        <v>0</v>
      </c>
      <c r="L1926" s="17" t="b">
        <f>Github!N$1413</f>
        <v>0</v>
      </c>
      <c r="M1926" s="17" t="str">
        <f>ROUND(Github!O$1413, 2)&amp;"%"</f>
        <v>62.64%</v>
      </c>
      <c r="N1926" s="17">
        <f>Github!P$1413</f>
        <v>15869</v>
      </c>
      <c r="O1926" s="17">
        <f>Github!Q$1413</f>
        <v>25336</v>
      </c>
    </row>
    <row r="1927" ht="18.0" customHeight="1">
      <c r="A1927" s="17">
        <f>Github!J$1431</f>
        <v>1430</v>
      </c>
      <c r="B1927" s="27" t="str">
        <f>HYPERLINK(CONCAT("http://leetcode.com/problems/",Github!C$1431), Github!B$1431)</f>
        <v>Check If a String Is a Valid Sequence from Root to Leaves Path in a Binary Tree</v>
      </c>
      <c r="C1927" s="17">
        <f>Github!F$1431</f>
        <v>140</v>
      </c>
      <c r="D1927" s="17">
        <f>Github!G$1431</f>
        <v>9</v>
      </c>
      <c r="E1927" s="17">
        <f>Github!F$1431+Github!G$1431</f>
        <v>149</v>
      </c>
      <c r="F1927" s="18">
        <f t="shared" si="1"/>
        <v>15.56</v>
      </c>
      <c r="G1927" s="17" t="str">
        <f>Github!H$1431</f>
        <v>Algorithms</v>
      </c>
      <c r="H1927" s="19" t="str">
        <f>SUBSTITUTE(Github!L$1431, ";", ", ")</f>
        <v>Tree, Depth-First Search, Breadth-First Search, Binary Tree, </v>
      </c>
      <c r="I1927" s="17" t="str">
        <f>Github!E$1431</f>
        <v>Medium</v>
      </c>
      <c r="J1927" s="17" t="str">
        <f>IF(TRIM(Github!D$1431)="TRUE","FALSE","TRUE")</f>
        <v>FALSE</v>
      </c>
      <c r="K1927" s="17" t="b">
        <f>Github!M$1431</f>
        <v>0</v>
      </c>
      <c r="L1927" s="17" t="b">
        <f>Github!N$1431</f>
        <v>0</v>
      </c>
      <c r="M1927" s="17" t="str">
        <f>ROUND(Github!O$1431, 2)&amp;"%"</f>
        <v>45.65%</v>
      </c>
      <c r="N1927" s="17">
        <f>Github!P$1431</f>
        <v>39073</v>
      </c>
      <c r="O1927" s="17">
        <f>Github!Q$1431</f>
        <v>85598</v>
      </c>
    </row>
    <row r="1928" ht="18.0" customHeight="1">
      <c r="A1928" s="17">
        <f>Github!J$1099</f>
        <v>1098</v>
      </c>
      <c r="B1928" s="27" t="str">
        <f>HYPERLINK(CONCAT("http://leetcode.com/problems/",Github!C$1099), Github!B$1099)</f>
        <v>Unpopular Books</v>
      </c>
      <c r="C1928" s="17">
        <f>Github!F$1099</f>
        <v>139</v>
      </c>
      <c r="D1928" s="17">
        <f>Github!G$1099</f>
        <v>384</v>
      </c>
      <c r="E1928" s="17">
        <f>Github!F$1099+Github!G$1099</f>
        <v>523</v>
      </c>
      <c r="F1928" s="18">
        <f t="shared" si="1"/>
        <v>0.36</v>
      </c>
      <c r="G1928" s="17" t="str">
        <f>Github!H$1099</f>
        <v>Database</v>
      </c>
      <c r="H1928" s="19" t="str">
        <f>SUBSTITUTE(Github!L$1099, ";", ", ")</f>
        <v>Database, </v>
      </c>
      <c r="I1928" s="17" t="str">
        <f>Github!E$1099</f>
        <v>Medium</v>
      </c>
      <c r="J1928" s="17" t="str">
        <f>IF(TRIM(Github!D$1099)="TRUE","FALSE","TRUE")</f>
        <v>FALSE</v>
      </c>
      <c r="K1928" s="17" t="b">
        <f>Github!M$1099</f>
        <v>0</v>
      </c>
      <c r="L1928" s="17" t="b">
        <f>Github!N$1099</f>
        <v>0</v>
      </c>
      <c r="M1928" s="17" t="str">
        <f>ROUND(Github!O$1099, 2)&amp;"%"</f>
        <v>45.3%</v>
      </c>
      <c r="N1928" s="17">
        <f>Github!P$1099</f>
        <v>25581</v>
      </c>
      <c r="O1928" s="17">
        <f>Github!Q$1099</f>
        <v>56468</v>
      </c>
    </row>
    <row r="1929" ht="18.0" customHeight="1">
      <c r="A1929" s="17">
        <f>Github!J$1200</f>
        <v>1199</v>
      </c>
      <c r="B1929" s="27" t="str">
        <f>HYPERLINK(CONCAT("http://leetcode.com/problems/",Github!C$1200), Github!B$1200)</f>
        <v>Minimum Time to Build Blocks</v>
      </c>
      <c r="C1929" s="17">
        <f>Github!F$1200</f>
        <v>139</v>
      </c>
      <c r="D1929" s="17">
        <f>Github!G$1200</f>
        <v>18</v>
      </c>
      <c r="E1929" s="17">
        <f>Github!F$1200+Github!G$1200</f>
        <v>157</v>
      </c>
      <c r="F1929" s="18">
        <f t="shared" si="1"/>
        <v>7.72</v>
      </c>
      <c r="G1929" s="17" t="str">
        <f>Github!H$1200</f>
        <v>Algorithms</v>
      </c>
      <c r="H1929" s="19" t="str">
        <f>SUBSTITUTE(Github!L$1200, ";", ", ")</f>
        <v>Math, Greedy, Heap (Priority Queue), </v>
      </c>
      <c r="I1929" s="17" t="str">
        <f>Github!E$1200</f>
        <v>Hard</v>
      </c>
      <c r="J1929" s="17" t="str">
        <f>IF(TRIM(Github!D$1200)="TRUE","FALSE","TRUE")</f>
        <v>FALSE</v>
      </c>
      <c r="K1929" s="17" t="b">
        <f>Github!M$1200</f>
        <v>0</v>
      </c>
      <c r="L1929" s="17" t="b">
        <f>Github!N$1200</f>
        <v>0</v>
      </c>
      <c r="M1929" s="17" t="str">
        <f>ROUND(Github!O$1200, 2)&amp;"%"</f>
        <v>40.16%</v>
      </c>
      <c r="N1929" s="17">
        <f>Github!P$1200</f>
        <v>3333</v>
      </c>
      <c r="O1929" s="17">
        <f>Github!Q$1200</f>
        <v>8300</v>
      </c>
    </row>
    <row r="1930" ht="18.0" customHeight="1">
      <c r="A1930" s="17">
        <f>Github!J$585</f>
        <v>584</v>
      </c>
      <c r="B1930" s="27" t="str">
        <f>HYPERLINK(CONCAT("http://leetcode.com/problems/",Github!C$585), Github!B$585)</f>
        <v>Find Customer Referee</v>
      </c>
      <c r="C1930" s="17">
        <f>Github!F$585</f>
        <v>138</v>
      </c>
      <c r="D1930" s="17">
        <f>Github!G$585</f>
        <v>80</v>
      </c>
      <c r="E1930" s="17">
        <f>Github!F$585+Github!G$585</f>
        <v>218</v>
      </c>
      <c r="F1930" s="18">
        <f t="shared" si="1"/>
        <v>1.73</v>
      </c>
      <c r="G1930" s="17" t="str">
        <f>Github!H$585</f>
        <v>Database</v>
      </c>
      <c r="H1930" s="19" t="str">
        <f>SUBSTITUTE(Github!L$585, ";", ", ")</f>
        <v>Database, </v>
      </c>
      <c r="I1930" s="17" t="str">
        <f>Github!E$585</f>
        <v>Easy</v>
      </c>
      <c r="J1930" s="17" t="str">
        <f>IF(TRIM(Github!D$585)="TRUE","FALSE","TRUE")</f>
        <v>FALSE</v>
      </c>
      <c r="K1930" s="17" t="b">
        <f>Github!M$585</f>
        <v>1</v>
      </c>
      <c r="L1930" s="17" t="b">
        <f>Github!N$585</f>
        <v>0</v>
      </c>
      <c r="M1930" s="17" t="str">
        <f>ROUND(Github!O$585, 2)&amp;"%"</f>
        <v>76.36%</v>
      </c>
      <c r="N1930" s="17">
        <f>Github!P$585</f>
        <v>49961</v>
      </c>
      <c r="O1930" s="17">
        <f>Github!Q$585</f>
        <v>65425</v>
      </c>
    </row>
    <row r="1931" ht="18.0" customHeight="1">
      <c r="A1931" s="17">
        <f>Github!J$1077</f>
        <v>1076</v>
      </c>
      <c r="B1931" s="27" t="str">
        <f>HYPERLINK(CONCAT("http://leetcode.com/problems/",Github!C$1077), Github!B$1077)</f>
        <v>Project Employees II</v>
      </c>
      <c r="C1931" s="17">
        <f>Github!F$1077</f>
        <v>138</v>
      </c>
      <c r="D1931" s="17">
        <f>Github!G$1077</f>
        <v>44</v>
      </c>
      <c r="E1931" s="17">
        <f>Github!F$1077+Github!G$1077</f>
        <v>182</v>
      </c>
      <c r="F1931" s="18">
        <f t="shared" si="1"/>
        <v>3.14</v>
      </c>
      <c r="G1931" s="17" t="str">
        <f>Github!H$1077</f>
        <v>Database</v>
      </c>
      <c r="H1931" s="19" t="str">
        <f>SUBSTITUTE(Github!L$1077, ";", ", ")</f>
        <v>Database, </v>
      </c>
      <c r="I1931" s="17" t="str">
        <f>Github!E$1077</f>
        <v>Easy</v>
      </c>
      <c r="J1931" s="17" t="str">
        <f>IF(TRIM(Github!D$1077)="TRUE","FALSE","TRUE")</f>
        <v>FALSE</v>
      </c>
      <c r="K1931" s="17" t="b">
        <f>Github!M$1077</f>
        <v>0</v>
      </c>
      <c r="L1931" s="17" t="b">
        <f>Github!N$1077</f>
        <v>0</v>
      </c>
      <c r="M1931" s="17" t="str">
        <f>ROUND(Github!O$1077, 2)&amp;"%"</f>
        <v>51.4%</v>
      </c>
      <c r="N1931" s="17">
        <f>Github!P$1077</f>
        <v>37300</v>
      </c>
      <c r="O1931" s="17">
        <f>Github!Q$1077</f>
        <v>72562</v>
      </c>
    </row>
    <row r="1932" ht="18.0" customHeight="1">
      <c r="A1932" s="17">
        <f>Github!J$1428</f>
        <v>1427</v>
      </c>
      <c r="B1932" s="27" t="str">
        <f>HYPERLINK(CONCAT("http://leetcode.com/problems/",Github!C$1428), Github!B$1428)</f>
        <v>Perform String Shifts</v>
      </c>
      <c r="C1932" s="17">
        <f>Github!F$1428</f>
        <v>138</v>
      </c>
      <c r="D1932" s="17">
        <f>Github!G$1428</f>
        <v>2</v>
      </c>
      <c r="E1932" s="17">
        <f>Github!F$1428+Github!G$1428</f>
        <v>140</v>
      </c>
      <c r="F1932" s="18">
        <f t="shared" si="1"/>
        <v>69</v>
      </c>
      <c r="G1932" s="17" t="str">
        <f>Github!H$1428</f>
        <v>Algorithms</v>
      </c>
      <c r="H1932" s="19" t="str">
        <f>SUBSTITUTE(Github!L$1428, ";", ", ")</f>
        <v>Array, Math, String, </v>
      </c>
      <c r="I1932" s="17" t="str">
        <f>Github!E$1428</f>
        <v>Easy</v>
      </c>
      <c r="J1932" s="17" t="str">
        <f>IF(TRIM(Github!D$1428)="TRUE","FALSE","TRUE")</f>
        <v>FALSE</v>
      </c>
      <c r="K1932" s="17" t="b">
        <f>Github!M$1428</f>
        <v>1</v>
      </c>
      <c r="L1932" s="17" t="b">
        <f>Github!N$1428</f>
        <v>0</v>
      </c>
      <c r="M1932" s="17" t="str">
        <f>ROUND(Github!O$1428, 2)&amp;"%"</f>
        <v>53.98%</v>
      </c>
      <c r="N1932" s="17">
        <f>Github!P$1428</f>
        <v>69270</v>
      </c>
      <c r="O1932" s="17">
        <f>Github!Q$1428</f>
        <v>128331</v>
      </c>
    </row>
    <row r="1933" ht="18.0" customHeight="1">
      <c r="A1933" s="17">
        <f>Github!J$1913</f>
        <v>1912</v>
      </c>
      <c r="B1933" s="27" t="str">
        <f>HYPERLINK(CONCAT("http://leetcode.com/problems/",Github!C$1913), Github!B$1913)</f>
        <v>Design Movie Rental System</v>
      </c>
      <c r="C1933" s="17">
        <f>Github!F$1913</f>
        <v>138</v>
      </c>
      <c r="D1933" s="17">
        <f>Github!G$1913</f>
        <v>27</v>
      </c>
      <c r="E1933" s="17">
        <f>Github!F$1913+Github!G$1913</f>
        <v>165</v>
      </c>
      <c r="F1933" s="18">
        <f t="shared" si="1"/>
        <v>5.11</v>
      </c>
      <c r="G1933" s="17" t="str">
        <f>Github!H$1913</f>
        <v>Algorithms</v>
      </c>
      <c r="H1933" s="19" t="str">
        <f>SUBSTITUTE(Github!L$1913, ";", ", ")</f>
        <v>Array, Hash Table, Design, Heap (Priority Queue), Ordered Set, </v>
      </c>
      <c r="I1933" s="17" t="str">
        <f>Github!E$1913</f>
        <v>Hard</v>
      </c>
      <c r="J1933" s="17" t="str">
        <f>IF(TRIM(Github!D$1913)="TRUE","FALSE","TRUE")</f>
        <v>TRUE</v>
      </c>
      <c r="K1933" s="17" t="b">
        <f>Github!M$1913</f>
        <v>0</v>
      </c>
      <c r="L1933" s="17" t="b">
        <f>Github!N$1913</f>
        <v>0</v>
      </c>
      <c r="M1933" s="17" t="str">
        <f>ROUND(Github!O$1913, 2)&amp;"%"</f>
        <v>42.73%</v>
      </c>
      <c r="N1933" s="17">
        <f>Github!P$1913</f>
        <v>3738</v>
      </c>
      <c r="O1933" s="17">
        <f>Github!Q$1913</f>
        <v>8748</v>
      </c>
    </row>
    <row r="1934" ht="18.0" customHeight="1">
      <c r="A1934" s="17">
        <f>Github!J$1798</f>
        <v>1797</v>
      </c>
      <c r="B1934" s="27" t="str">
        <f>HYPERLINK(CONCAT("http://leetcode.com/problems/",Github!C$1798), Github!B$1798)</f>
        <v>Design Authentication Manager</v>
      </c>
      <c r="C1934" s="17">
        <f>Github!F$1798</f>
        <v>137</v>
      </c>
      <c r="D1934" s="17">
        <f>Github!G$1798</f>
        <v>25</v>
      </c>
      <c r="E1934" s="17">
        <f>Github!F$1798+Github!G$1798</f>
        <v>162</v>
      </c>
      <c r="F1934" s="18">
        <f t="shared" si="1"/>
        <v>5.48</v>
      </c>
      <c r="G1934" s="17" t="str">
        <f>Github!H$1798</f>
        <v>Algorithms</v>
      </c>
      <c r="H1934" s="19" t="str">
        <f>SUBSTITUTE(Github!L$1798, ";", ", ")</f>
        <v>Hash Table, Design, </v>
      </c>
      <c r="I1934" s="17" t="str">
        <f>Github!E$1798</f>
        <v>Medium</v>
      </c>
      <c r="J1934" s="17" t="str">
        <f>IF(TRIM(Github!D$1798)="TRUE","FALSE","TRUE")</f>
        <v>TRUE</v>
      </c>
      <c r="K1934" s="17" t="b">
        <f>Github!M$1798</f>
        <v>0</v>
      </c>
      <c r="L1934" s="17" t="b">
        <f>Github!N$1798</f>
        <v>0</v>
      </c>
      <c r="M1934" s="17" t="str">
        <f>ROUND(Github!O$1798, 2)&amp;"%"</f>
        <v>52.62%</v>
      </c>
      <c r="N1934" s="17">
        <f>Github!P$1798</f>
        <v>9313</v>
      </c>
      <c r="O1934" s="17">
        <f>Github!Q$1798</f>
        <v>17697</v>
      </c>
    </row>
    <row r="1935" ht="18.0" customHeight="1">
      <c r="A1935" s="17">
        <f>Github!J$1265</f>
        <v>1264</v>
      </c>
      <c r="B1935" s="27" t="str">
        <f>HYPERLINK(CONCAT("http://leetcode.com/problems/",Github!C$1265), Github!B$1265)</f>
        <v>Page Recommendations</v>
      </c>
      <c r="C1935" s="17">
        <f>Github!F$1265</f>
        <v>136</v>
      </c>
      <c r="D1935" s="17">
        <f>Github!G$1265</f>
        <v>10</v>
      </c>
      <c r="E1935" s="17">
        <f>Github!F$1265+Github!G$1265</f>
        <v>146</v>
      </c>
      <c r="F1935" s="18">
        <f t="shared" si="1"/>
        <v>13.6</v>
      </c>
      <c r="G1935" s="17" t="str">
        <f>Github!H$1265</f>
        <v>Database</v>
      </c>
      <c r="H1935" s="19" t="str">
        <f>SUBSTITUTE(Github!L$1265, ";", ", ")</f>
        <v>Database, </v>
      </c>
      <c r="I1935" s="17" t="str">
        <f>Github!E$1265</f>
        <v>Medium</v>
      </c>
      <c r="J1935" s="17" t="str">
        <f>IF(TRIM(Github!D$1265)="TRUE","FALSE","TRUE")</f>
        <v>FALSE</v>
      </c>
      <c r="K1935" s="17" t="b">
        <f>Github!M$1265</f>
        <v>0</v>
      </c>
      <c r="L1935" s="17" t="b">
        <f>Github!N$1265</f>
        <v>0</v>
      </c>
      <c r="M1935" s="17" t="str">
        <f>ROUND(Github!O$1265, 2)&amp;"%"</f>
        <v>67.59%</v>
      </c>
      <c r="N1935" s="17">
        <f>Github!P$1265</f>
        <v>21413</v>
      </c>
      <c r="O1935" s="17">
        <f>Github!Q$1265</f>
        <v>31681</v>
      </c>
    </row>
    <row r="1936" ht="18.0" customHeight="1">
      <c r="A1936" s="17">
        <f>Github!J$1433</f>
        <v>1432</v>
      </c>
      <c r="B1936" s="27" t="str">
        <f>HYPERLINK(CONCAT("http://leetcode.com/problems/",Github!C$1433), Github!B$1433)</f>
        <v>Max Difference You Can Get From Changing an Integer</v>
      </c>
      <c r="C1936" s="17">
        <f>Github!F$1433</f>
        <v>136</v>
      </c>
      <c r="D1936" s="17">
        <f>Github!G$1433</f>
        <v>183</v>
      </c>
      <c r="E1936" s="17">
        <f>Github!F$1433+Github!G$1433</f>
        <v>319</v>
      </c>
      <c r="F1936" s="18">
        <f t="shared" si="1"/>
        <v>0.74</v>
      </c>
      <c r="G1936" s="17" t="str">
        <f>Github!H$1433</f>
        <v>Algorithms</v>
      </c>
      <c r="H1936" s="19" t="str">
        <f>SUBSTITUTE(Github!L$1433, ";", ", ")</f>
        <v>Math, Greedy, </v>
      </c>
      <c r="I1936" s="17" t="str">
        <f>Github!E$1433</f>
        <v>Medium</v>
      </c>
      <c r="J1936" s="17" t="str">
        <f>IF(TRIM(Github!D$1433)="TRUE","FALSE","TRUE")</f>
        <v>TRUE</v>
      </c>
      <c r="K1936" s="17" t="b">
        <f>Github!M$1433</f>
        <v>0</v>
      </c>
      <c r="L1936" s="17" t="b">
        <f>Github!N$1433</f>
        <v>0</v>
      </c>
      <c r="M1936" s="17" t="str">
        <f>ROUND(Github!O$1433, 2)&amp;"%"</f>
        <v>43.32%</v>
      </c>
      <c r="N1936" s="17">
        <f>Github!P$1433</f>
        <v>12044</v>
      </c>
      <c r="O1936" s="17">
        <f>Github!Q$1433</f>
        <v>27800</v>
      </c>
    </row>
    <row r="1937" ht="18.0" customHeight="1">
      <c r="A1937" s="17">
        <f>Github!J$1809</f>
        <v>1808</v>
      </c>
      <c r="B1937" s="27" t="str">
        <f>HYPERLINK(CONCAT("http://leetcode.com/problems/",Github!C$1809), Github!B$1809)</f>
        <v>Maximize Number of Nice Divisors</v>
      </c>
      <c r="C1937" s="17">
        <f>Github!F$1809</f>
        <v>136</v>
      </c>
      <c r="D1937" s="17">
        <f>Github!G$1809</f>
        <v>133</v>
      </c>
      <c r="E1937" s="17">
        <f>Github!F$1809+Github!G$1809</f>
        <v>269</v>
      </c>
      <c r="F1937" s="18">
        <f t="shared" si="1"/>
        <v>1.02</v>
      </c>
      <c r="G1937" s="17" t="str">
        <f>Github!H$1809</f>
        <v>Algorithms</v>
      </c>
      <c r="H1937" s="19" t="str">
        <f>SUBSTITUTE(Github!L$1809, ";", ", ")</f>
        <v>Math, Recursion, </v>
      </c>
      <c r="I1937" s="17" t="str">
        <f>Github!E$1809</f>
        <v>Hard</v>
      </c>
      <c r="J1937" s="17" t="str">
        <f>IF(TRIM(Github!D$1809)="TRUE","FALSE","TRUE")</f>
        <v>TRUE</v>
      </c>
      <c r="K1937" s="17" t="b">
        <f>Github!M$1809</f>
        <v>0</v>
      </c>
      <c r="L1937" s="17" t="b">
        <f>Github!N$1809</f>
        <v>0</v>
      </c>
      <c r="M1937" s="17" t="str">
        <f>ROUND(Github!O$1809, 2)&amp;"%"</f>
        <v>30.07%</v>
      </c>
      <c r="N1937" s="17">
        <f>Github!P$1809</f>
        <v>4504</v>
      </c>
      <c r="O1937" s="17">
        <f>Github!Q$1809</f>
        <v>14979</v>
      </c>
    </row>
    <row r="1938" ht="18.0" customHeight="1">
      <c r="A1938" s="17">
        <f>Github!J$2076</f>
        <v>2075</v>
      </c>
      <c r="B1938" s="27" t="str">
        <f>HYPERLINK(CONCAT("http://leetcode.com/problems/",Github!C$2076), Github!B$2076)</f>
        <v>Decode the Slanted Ciphertext</v>
      </c>
      <c r="C1938" s="17">
        <f>Github!F$2076</f>
        <v>137</v>
      </c>
      <c r="D1938" s="17">
        <f>Github!G$2076</f>
        <v>29</v>
      </c>
      <c r="E1938" s="17">
        <f>Github!F$2076+Github!G$2076</f>
        <v>166</v>
      </c>
      <c r="F1938" s="18">
        <f t="shared" si="1"/>
        <v>4.72</v>
      </c>
      <c r="G1938" s="17" t="str">
        <f>Github!H$2076</f>
        <v>Algorithms</v>
      </c>
      <c r="H1938" s="19" t="str">
        <f>SUBSTITUTE(Github!L$2076, ";", ", ")</f>
        <v>String, Simulation, </v>
      </c>
      <c r="I1938" s="17" t="str">
        <f>Github!E$2076</f>
        <v>Medium</v>
      </c>
      <c r="J1938" s="17" t="str">
        <f>IF(TRIM(Github!D$2076)="TRUE","FALSE","TRUE")</f>
        <v>TRUE</v>
      </c>
      <c r="K1938" s="17" t="b">
        <f>Github!M$2076</f>
        <v>0</v>
      </c>
      <c r="L1938" s="17" t="b">
        <f>Github!N$2076</f>
        <v>0</v>
      </c>
      <c r="M1938" s="17" t="str">
        <f>ROUND(Github!O$2076, 2)&amp;"%"</f>
        <v>49.91%</v>
      </c>
      <c r="N1938" s="17">
        <f>Github!P$2076</f>
        <v>7487</v>
      </c>
      <c r="O1938" s="17">
        <f>Github!Q$2076</f>
        <v>15000</v>
      </c>
    </row>
    <row r="1939" ht="18.0" customHeight="1">
      <c r="A1939" s="17">
        <f>Github!J$661</f>
        <v>660</v>
      </c>
      <c r="B1939" s="27" t="str">
        <f>HYPERLINK(CONCAT("http://leetcode.com/problems/",Github!C$661), Github!B$661)</f>
        <v>Remove 9</v>
      </c>
      <c r="C1939" s="17">
        <f>Github!F$661</f>
        <v>133</v>
      </c>
      <c r="D1939" s="17">
        <f>Github!G$661</f>
        <v>165</v>
      </c>
      <c r="E1939" s="17">
        <f>Github!F$661+Github!G$661</f>
        <v>298</v>
      </c>
      <c r="F1939" s="18">
        <f t="shared" si="1"/>
        <v>0.81</v>
      </c>
      <c r="G1939" s="17" t="str">
        <f>Github!H$661</f>
        <v>Algorithms</v>
      </c>
      <c r="H1939" s="19" t="str">
        <f>SUBSTITUTE(Github!L$661, ";", ", ")</f>
        <v>Math, </v>
      </c>
      <c r="I1939" s="17" t="str">
        <f>Github!E$661</f>
        <v>Hard</v>
      </c>
      <c r="J1939" s="17" t="str">
        <f>IF(TRIM(Github!D$661)="TRUE","FALSE","TRUE")</f>
        <v>FALSE</v>
      </c>
      <c r="K1939" s="17" t="b">
        <f>Github!M$661</f>
        <v>1</v>
      </c>
      <c r="L1939" s="17" t="b">
        <f>Github!N$661</f>
        <v>0</v>
      </c>
      <c r="M1939" s="17" t="str">
        <f>ROUND(Github!O$661, 2)&amp;"%"</f>
        <v>55.45%</v>
      </c>
      <c r="N1939" s="17">
        <f>Github!P$661</f>
        <v>8662</v>
      </c>
      <c r="O1939" s="17">
        <f>Github!Q$661</f>
        <v>15622</v>
      </c>
    </row>
    <row r="1940" ht="18.0" customHeight="1">
      <c r="A1940" s="17">
        <f>Github!J$1598</f>
        <v>1597</v>
      </c>
      <c r="B1940" s="27" t="str">
        <f>HYPERLINK(CONCAT("http://leetcode.com/problems/",Github!C$1598), Github!B$1598)</f>
        <v>Build Binary Expression Tree From Infix Expression</v>
      </c>
      <c r="C1940" s="17">
        <f>Github!F$1598</f>
        <v>133</v>
      </c>
      <c r="D1940" s="17">
        <f>Github!G$1598</f>
        <v>26</v>
      </c>
      <c r="E1940" s="17">
        <f>Github!F$1598+Github!G$1598</f>
        <v>159</v>
      </c>
      <c r="F1940" s="18">
        <f t="shared" si="1"/>
        <v>5.12</v>
      </c>
      <c r="G1940" s="17" t="str">
        <f>Github!H$1598</f>
        <v>Algorithms</v>
      </c>
      <c r="H1940" s="19" t="str">
        <f>SUBSTITUTE(Github!L$1598, ";", ", ")</f>
        <v>String, Stack, Tree, Binary Tree, </v>
      </c>
      <c r="I1940" s="17" t="str">
        <f>Github!E$1598</f>
        <v>Hard</v>
      </c>
      <c r="J1940" s="17" t="str">
        <f>IF(TRIM(Github!D$1598)="TRUE","FALSE","TRUE")</f>
        <v>FALSE</v>
      </c>
      <c r="K1940" s="17" t="b">
        <f>Github!M$1598</f>
        <v>0</v>
      </c>
      <c r="L1940" s="17" t="b">
        <f>Github!N$1598</f>
        <v>0</v>
      </c>
      <c r="M1940" s="17" t="str">
        <f>ROUND(Github!O$1598, 2)&amp;"%"</f>
        <v>59.54%</v>
      </c>
      <c r="N1940" s="17">
        <f>Github!P$1598</f>
        <v>6082</v>
      </c>
      <c r="O1940" s="17">
        <f>Github!Q$1598</f>
        <v>10215</v>
      </c>
    </row>
    <row r="1941" ht="18.0" customHeight="1">
      <c r="A1941" s="17">
        <f>Github!J$2061</f>
        <v>2060</v>
      </c>
      <c r="B1941" s="27" t="str">
        <f>HYPERLINK(CONCAT("http://leetcode.com/problems/",Github!C$2061), Github!B$2061)</f>
        <v>Check if an Original String Exists Given Two Encoded Strings</v>
      </c>
      <c r="C1941" s="17">
        <f>Github!F$2061</f>
        <v>133</v>
      </c>
      <c r="D1941" s="17">
        <f>Github!G$2061</f>
        <v>62</v>
      </c>
      <c r="E1941" s="17">
        <f>Github!F$2061+Github!G$2061</f>
        <v>195</v>
      </c>
      <c r="F1941" s="18">
        <f t="shared" si="1"/>
        <v>2.15</v>
      </c>
      <c r="G1941" s="17" t="str">
        <f>Github!H$2061</f>
        <v>Algorithms</v>
      </c>
      <c r="H1941" s="19" t="str">
        <f>SUBSTITUTE(Github!L$2061, ";", ", ")</f>
        <v>String, Dynamic Programming, </v>
      </c>
      <c r="I1941" s="17" t="str">
        <f>Github!E$2061</f>
        <v>Hard</v>
      </c>
      <c r="J1941" s="17" t="str">
        <f>IF(TRIM(Github!D$2061)="TRUE","FALSE","TRUE")</f>
        <v>TRUE</v>
      </c>
      <c r="K1941" s="17" t="b">
        <f>Github!M$2061</f>
        <v>0</v>
      </c>
      <c r="L1941" s="17" t="b">
        <f>Github!N$2061</f>
        <v>0</v>
      </c>
      <c r="M1941" s="17" t="str">
        <f>ROUND(Github!O$2061, 2)&amp;"%"</f>
        <v>39.42%</v>
      </c>
      <c r="N1941" s="17">
        <f>Github!P$2061</f>
        <v>4065</v>
      </c>
      <c r="O1941" s="17">
        <f>Github!Q$2061</f>
        <v>10311</v>
      </c>
    </row>
    <row r="1942" ht="18.0" customHeight="1">
      <c r="A1942" s="17">
        <f>Github!J$2177</f>
        <v>2176</v>
      </c>
      <c r="B1942" s="27" t="str">
        <f>HYPERLINK(CONCAT("http://leetcode.com/problems/",Github!C$2177), Github!B$2177)</f>
        <v>Count Equal and Divisible Pairs in an Array</v>
      </c>
      <c r="C1942" s="17">
        <f>Github!F$2177</f>
        <v>135</v>
      </c>
      <c r="D1942" s="17">
        <f>Github!G$2177</f>
        <v>3</v>
      </c>
      <c r="E1942" s="17">
        <f>Github!F$2177+Github!G$2177</f>
        <v>138</v>
      </c>
      <c r="F1942" s="18">
        <f t="shared" si="1"/>
        <v>45</v>
      </c>
      <c r="G1942" s="17" t="str">
        <f>Github!H$2177</f>
        <v>Algorithms</v>
      </c>
      <c r="H1942" s="19" t="str">
        <f>SUBSTITUTE(Github!L$2177, ";", ", ")</f>
        <v>Array, </v>
      </c>
      <c r="I1942" s="17" t="str">
        <f>Github!E$2177</f>
        <v>Easy</v>
      </c>
      <c r="J1942" s="17" t="str">
        <f>IF(TRIM(Github!D$2177)="TRUE","FALSE","TRUE")</f>
        <v>TRUE</v>
      </c>
      <c r="K1942" s="17" t="b">
        <f>Github!M$2177</f>
        <v>0</v>
      </c>
      <c r="L1942" s="17" t="b">
        <f>Github!N$2177</f>
        <v>0</v>
      </c>
      <c r="M1942" s="17" t="str">
        <f>ROUND(Github!O$2177, 2)&amp;"%"</f>
        <v>79.93%</v>
      </c>
      <c r="N1942" s="17">
        <f>Github!P$2177</f>
        <v>18363</v>
      </c>
      <c r="O1942" s="17">
        <f>Github!Q$2177</f>
        <v>22974</v>
      </c>
    </row>
    <row r="1943" ht="18.0" customHeight="1">
      <c r="A1943" s="17">
        <f>Github!J$1128</f>
        <v>1127</v>
      </c>
      <c r="B1943" s="27" t="str">
        <f>HYPERLINK(CONCAT("http://leetcode.com/problems/",Github!C$1128), Github!B$1128)</f>
        <v>User Purchase Platform</v>
      </c>
      <c r="C1943" s="17">
        <f>Github!F$1128</f>
        <v>132</v>
      </c>
      <c r="D1943" s="17">
        <f>Github!G$1128</f>
        <v>97</v>
      </c>
      <c r="E1943" s="17">
        <f>Github!F$1128+Github!G$1128</f>
        <v>229</v>
      </c>
      <c r="F1943" s="18">
        <f t="shared" si="1"/>
        <v>1.36</v>
      </c>
      <c r="G1943" s="17" t="str">
        <f>Github!H$1128</f>
        <v>Database</v>
      </c>
      <c r="H1943" s="19" t="str">
        <f>SUBSTITUTE(Github!L$1128, ";", ", ")</f>
        <v>Database, </v>
      </c>
      <c r="I1943" s="17" t="str">
        <f>Github!E$1128</f>
        <v>Hard</v>
      </c>
      <c r="J1943" s="17" t="str">
        <f>IF(TRIM(Github!D$1128)="TRUE","FALSE","TRUE")</f>
        <v>FALSE</v>
      </c>
      <c r="K1943" s="17" t="b">
        <f>Github!M$1128</f>
        <v>0</v>
      </c>
      <c r="L1943" s="17" t="b">
        <f>Github!N$1128</f>
        <v>0</v>
      </c>
      <c r="M1943" s="17" t="str">
        <f>ROUND(Github!O$1128, 2)&amp;"%"</f>
        <v>51.22%</v>
      </c>
      <c r="N1943" s="17">
        <f>Github!P$1128</f>
        <v>10632</v>
      </c>
      <c r="O1943" s="17">
        <f>Github!Q$1128</f>
        <v>20759</v>
      </c>
    </row>
    <row r="1944" ht="18.0" customHeight="1">
      <c r="A1944" s="17">
        <f>Github!J$1385</f>
        <v>1384</v>
      </c>
      <c r="B1944" s="27" t="str">
        <f>HYPERLINK(CONCAT("http://leetcode.com/problems/",Github!C$1385), Github!B$1385)</f>
        <v>Total Sales Amount by Year</v>
      </c>
      <c r="C1944" s="17">
        <f>Github!F$1385</f>
        <v>132</v>
      </c>
      <c r="D1944" s="17">
        <f>Github!G$1385</f>
        <v>64</v>
      </c>
      <c r="E1944" s="17">
        <f>Github!F$1385+Github!G$1385</f>
        <v>196</v>
      </c>
      <c r="F1944" s="18">
        <f t="shared" si="1"/>
        <v>2.06</v>
      </c>
      <c r="G1944" s="17" t="str">
        <f>Github!H$1385</f>
        <v>Database</v>
      </c>
      <c r="H1944" s="19" t="str">
        <f>SUBSTITUTE(Github!L$1385, ";", ", ")</f>
        <v>Database, </v>
      </c>
      <c r="I1944" s="17" t="str">
        <f>Github!E$1385</f>
        <v>Hard</v>
      </c>
      <c r="J1944" s="17" t="str">
        <f>IF(TRIM(Github!D$1385)="TRUE","FALSE","TRUE")</f>
        <v>FALSE</v>
      </c>
      <c r="K1944" s="17" t="b">
        <f>Github!M$1385</f>
        <v>0</v>
      </c>
      <c r="L1944" s="17" t="b">
        <f>Github!N$1385</f>
        <v>0</v>
      </c>
      <c r="M1944" s="17" t="str">
        <f>ROUND(Github!O$1385, 2)&amp;"%"</f>
        <v>65.89%</v>
      </c>
      <c r="N1944" s="17">
        <f>Github!P$1385</f>
        <v>8944</v>
      </c>
      <c r="O1944" s="17">
        <f>Github!Q$1385</f>
        <v>13574</v>
      </c>
    </row>
    <row r="1945" ht="18.0" customHeight="1">
      <c r="A1945" s="17">
        <f>Github!J$1581</f>
        <v>1580</v>
      </c>
      <c r="B1945" s="27" t="str">
        <f>HYPERLINK(CONCAT("http://leetcode.com/problems/",Github!C$1581), Github!B$1581)</f>
        <v>Put Boxes Into the Warehouse II</v>
      </c>
      <c r="C1945" s="17">
        <f>Github!F$1581</f>
        <v>132</v>
      </c>
      <c r="D1945" s="17">
        <f>Github!G$1581</f>
        <v>2</v>
      </c>
      <c r="E1945" s="17">
        <f>Github!F$1581+Github!G$1581</f>
        <v>134</v>
      </c>
      <c r="F1945" s="18">
        <f t="shared" si="1"/>
        <v>66</v>
      </c>
      <c r="G1945" s="17" t="str">
        <f>Github!H$1581</f>
        <v>Algorithms</v>
      </c>
      <c r="H1945" s="19" t="str">
        <f>SUBSTITUTE(Github!L$1581, ";", ", ")</f>
        <v>Array, Greedy, Sorting, </v>
      </c>
      <c r="I1945" s="17" t="str">
        <f>Github!E$1581</f>
        <v>Medium</v>
      </c>
      <c r="J1945" s="17" t="str">
        <f>IF(TRIM(Github!D$1581)="TRUE","FALSE","TRUE")</f>
        <v>FALSE</v>
      </c>
      <c r="K1945" s="17" t="b">
        <f>Github!M$1581</f>
        <v>0</v>
      </c>
      <c r="L1945" s="17" t="b">
        <f>Github!N$1581</f>
        <v>0</v>
      </c>
      <c r="M1945" s="17" t="str">
        <f>ROUND(Github!O$1581, 2)&amp;"%"</f>
        <v>63.62%</v>
      </c>
      <c r="N1945" s="17">
        <f>Github!P$1581</f>
        <v>3002</v>
      </c>
      <c r="O1945" s="17">
        <f>Github!Q$1581</f>
        <v>4719</v>
      </c>
    </row>
    <row r="1946" ht="18.0" customHeight="1">
      <c r="A1946" s="17">
        <f>Github!J$1309</f>
        <v>1308</v>
      </c>
      <c r="B1946" s="27" t="str">
        <f>HYPERLINK(CONCAT("http://leetcode.com/problems/",Github!C$1309), Github!B$1309)</f>
        <v>Running Total for Different Genders</v>
      </c>
      <c r="C1946" s="17">
        <f>Github!F$1309</f>
        <v>131</v>
      </c>
      <c r="D1946" s="17">
        <f>Github!G$1309</f>
        <v>31</v>
      </c>
      <c r="E1946" s="17">
        <f>Github!F$1309+Github!G$1309</f>
        <v>162</v>
      </c>
      <c r="F1946" s="18">
        <f t="shared" si="1"/>
        <v>4.23</v>
      </c>
      <c r="G1946" s="17" t="str">
        <f>Github!H$1309</f>
        <v>Database</v>
      </c>
      <c r="H1946" s="19" t="str">
        <f>SUBSTITUTE(Github!L$1309, ";", ", ")</f>
        <v>Database, </v>
      </c>
      <c r="I1946" s="17" t="str">
        <f>Github!E$1309</f>
        <v>Medium</v>
      </c>
      <c r="J1946" s="17" t="str">
        <f>IF(TRIM(Github!D$1309)="TRUE","FALSE","TRUE")</f>
        <v>FALSE</v>
      </c>
      <c r="K1946" s="17" t="b">
        <f>Github!M$1309</f>
        <v>0</v>
      </c>
      <c r="L1946" s="17" t="b">
        <f>Github!N$1309</f>
        <v>0</v>
      </c>
      <c r="M1946" s="17" t="str">
        <f>ROUND(Github!O$1309, 2)&amp;"%"</f>
        <v>88.24%</v>
      </c>
      <c r="N1946" s="17">
        <f>Github!P$1309</f>
        <v>22245</v>
      </c>
      <c r="O1946" s="17">
        <f>Github!Q$1309</f>
        <v>25210</v>
      </c>
    </row>
    <row r="1947" ht="18.0" customHeight="1">
      <c r="A1947" s="17">
        <f>Github!J$1947</f>
        <v>1946</v>
      </c>
      <c r="B1947" s="27" t="str">
        <f>HYPERLINK(CONCAT("http://leetcode.com/problems/",Github!C$1947), Github!B$1947)</f>
        <v>Largest Number After Mutating Substring</v>
      </c>
      <c r="C1947" s="17">
        <f>Github!F$1947</f>
        <v>131</v>
      </c>
      <c r="D1947" s="17">
        <f>Github!G$1947</f>
        <v>159</v>
      </c>
      <c r="E1947" s="17">
        <f>Github!F$1947+Github!G$1947</f>
        <v>290</v>
      </c>
      <c r="F1947" s="18">
        <f t="shared" si="1"/>
        <v>0.82</v>
      </c>
      <c r="G1947" s="17" t="str">
        <f>Github!H$1947</f>
        <v>Algorithms</v>
      </c>
      <c r="H1947" s="19" t="str">
        <f>SUBSTITUTE(Github!L$1947, ";", ", ")</f>
        <v>Array, String, Greedy, </v>
      </c>
      <c r="I1947" s="17" t="str">
        <f>Github!E$1947</f>
        <v>Medium</v>
      </c>
      <c r="J1947" s="17" t="str">
        <f>IF(TRIM(Github!D$1947)="TRUE","FALSE","TRUE")</f>
        <v>TRUE</v>
      </c>
      <c r="K1947" s="17" t="b">
        <f>Github!M$1947</f>
        <v>0</v>
      </c>
      <c r="L1947" s="17" t="b">
        <f>Github!N$1947</f>
        <v>0</v>
      </c>
      <c r="M1947" s="17" t="str">
        <f>ROUND(Github!O$1947, 2)&amp;"%"</f>
        <v>33.76%</v>
      </c>
      <c r="N1947" s="17">
        <f>Github!P$1947</f>
        <v>13774</v>
      </c>
      <c r="O1947" s="17">
        <f>Github!Q$1947</f>
        <v>40795</v>
      </c>
    </row>
    <row r="1948" ht="18.0" customHeight="1">
      <c r="A1948" s="17">
        <f>Github!J$2020</f>
        <v>2019</v>
      </c>
      <c r="B1948" s="27" t="str">
        <f>HYPERLINK(CONCAT("http://leetcode.com/problems/",Github!C$2020), Github!B$2020)</f>
        <v>The Score of Students Solving Math Expression</v>
      </c>
      <c r="C1948" s="17">
        <f>Github!F$2020</f>
        <v>131</v>
      </c>
      <c r="D1948" s="17">
        <f>Github!G$2020</f>
        <v>58</v>
      </c>
      <c r="E1948" s="17">
        <f>Github!F$2020+Github!G$2020</f>
        <v>189</v>
      </c>
      <c r="F1948" s="18">
        <f t="shared" si="1"/>
        <v>2.26</v>
      </c>
      <c r="G1948" s="17" t="str">
        <f>Github!H$2020</f>
        <v>Algorithms</v>
      </c>
      <c r="H1948" s="19" t="str">
        <f>SUBSTITUTE(Github!L$2020, ";", ", ")</f>
        <v>Array, Math, String, Dynamic Programming, Stack, Memoization, </v>
      </c>
      <c r="I1948" s="17" t="str">
        <f>Github!E$2020</f>
        <v>Hard</v>
      </c>
      <c r="J1948" s="17" t="str">
        <f>IF(TRIM(Github!D$2020)="TRUE","FALSE","TRUE")</f>
        <v>TRUE</v>
      </c>
      <c r="K1948" s="17" t="b">
        <f>Github!M$2020</f>
        <v>0</v>
      </c>
      <c r="L1948" s="17" t="b">
        <f>Github!N$2020</f>
        <v>0</v>
      </c>
      <c r="M1948" s="17" t="str">
        <f>ROUND(Github!O$2020, 2)&amp;"%"</f>
        <v>33.46%</v>
      </c>
      <c r="N1948" s="17">
        <f>Github!P$2020</f>
        <v>3855</v>
      </c>
      <c r="O1948" s="17">
        <f>Github!Q$2020</f>
        <v>11524</v>
      </c>
    </row>
    <row r="1949" ht="18.0" customHeight="1">
      <c r="A1949" s="17">
        <f>Github!J$2030</f>
        <v>2029</v>
      </c>
      <c r="B1949" s="27" t="str">
        <f>HYPERLINK(CONCAT("http://leetcode.com/problems/",Github!C$2030), Github!B$2030)</f>
        <v>Stone Game IX</v>
      </c>
      <c r="C1949" s="17">
        <f>Github!F$2030</f>
        <v>131</v>
      </c>
      <c r="D1949" s="17">
        <f>Github!G$2030</f>
        <v>188</v>
      </c>
      <c r="E1949" s="17">
        <f>Github!F$2030+Github!G$2030</f>
        <v>319</v>
      </c>
      <c r="F1949" s="18">
        <f t="shared" si="1"/>
        <v>0.7</v>
      </c>
      <c r="G1949" s="17" t="str">
        <f>Github!H$2030</f>
        <v>Algorithms</v>
      </c>
      <c r="H1949" s="19" t="str">
        <f>SUBSTITUTE(Github!L$2030, ";", ", ")</f>
        <v>Array, Math, Greedy, Counting, Game Theory, </v>
      </c>
      <c r="I1949" s="17" t="str">
        <f>Github!E$2030</f>
        <v>Medium</v>
      </c>
      <c r="J1949" s="17" t="str">
        <f>IF(TRIM(Github!D$2030)="TRUE","FALSE","TRUE")</f>
        <v>TRUE</v>
      </c>
      <c r="K1949" s="17" t="b">
        <f>Github!M$2030</f>
        <v>0</v>
      </c>
      <c r="L1949" s="17" t="b">
        <f>Github!N$2030</f>
        <v>0</v>
      </c>
      <c r="M1949" s="17" t="str">
        <f>ROUND(Github!O$2030, 2)&amp;"%"</f>
        <v>24.49%</v>
      </c>
      <c r="N1949" s="17">
        <f>Github!P$2030</f>
        <v>4581</v>
      </c>
      <c r="O1949" s="17">
        <f>Github!Q$2030</f>
        <v>18708</v>
      </c>
    </row>
    <row r="1950" ht="18.0" customHeight="1">
      <c r="A1950" s="17">
        <f>Github!J$592</f>
        <v>591</v>
      </c>
      <c r="B1950" s="27" t="str">
        <f>HYPERLINK(CONCAT("http://leetcode.com/problems/",Github!C$592), Github!B$592)</f>
        <v>Tag Validator</v>
      </c>
      <c r="C1950" s="17">
        <f>Github!F$592</f>
        <v>130</v>
      </c>
      <c r="D1950" s="17">
        <f>Github!G$592</f>
        <v>551</v>
      </c>
      <c r="E1950" s="17">
        <f>Github!F$592+Github!G$592</f>
        <v>681</v>
      </c>
      <c r="F1950" s="18">
        <f t="shared" si="1"/>
        <v>0.24</v>
      </c>
      <c r="G1950" s="17" t="str">
        <f>Github!H$592</f>
        <v>Algorithms</v>
      </c>
      <c r="H1950" s="19" t="str">
        <f>SUBSTITUTE(Github!L$592, ";", ", ")</f>
        <v>String, Stack, </v>
      </c>
      <c r="I1950" s="17" t="str">
        <f>Github!E$592</f>
        <v>Hard</v>
      </c>
      <c r="J1950" s="17" t="str">
        <f>IF(TRIM(Github!D$592)="TRUE","FALSE","TRUE")</f>
        <v>TRUE</v>
      </c>
      <c r="K1950" s="17" t="b">
        <f>Github!M$592</f>
        <v>1</v>
      </c>
      <c r="L1950" s="17" t="b">
        <f>Github!N$592</f>
        <v>0</v>
      </c>
      <c r="M1950" s="17" t="str">
        <f>ROUND(Github!O$592, 2)&amp;"%"</f>
        <v>36.18%</v>
      </c>
      <c r="N1950" s="17">
        <f>Github!P$592</f>
        <v>10839</v>
      </c>
      <c r="O1950" s="17">
        <f>Github!Q$592</f>
        <v>29957</v>
      </c>
    </row>
    <row r="1951" ht="18.0" customHeight="1">
      <c r="A1951" s="17">
        <f>Github!J$1411</f>
        <v>1410</v>
      </c>
      <c r="B1951" s="27" t="str">
        <f>HYPERLINK(CONCAT("http://leetcode.com/problems/",Github!C$1411), Github!B$1411)</f>
        <v>HTML Entity Parser</v>
      </c>
      <c r="C1951" s="17">
        <f>Github!F$1411</f>
        <v>130</v>
      </c>
      <c r="D1951" s="17">
        <f>Github!G$1411</f>
        <v>251</v>
      </c>
      <c r="E1951" s="17">
        <f>Github!F$1411+Github!G$1411</f>
        <v>381</v>
      </c>
      <c r="F1951" s="18">
        <f t="shared" si="1"/>
        <v>0.52</v>
      </c>
      <c r="G1951" s="17" t="str">
        <f>Github!H$1411</f>
        <v>Algorithms</v>
      </c>
      <c r="H1951" s="19" t="str">
        <f>SUBSTITUTE(Github!L$1411, ";", ", ")</f>
        <v>Hash Table, String, </v>
      </c>
      <c r="I1951" s="17" t="str">
        <f>Github!E$1411</f>
        <v>Medium</v>
      </c>
      <c r="J1951" s="17" t="str">
        <f>IF(TRIM(Github!D$1411)="TRUE","FALSE","TRUE")</f>
        <v>TRUE</v>
      </c>
      <c r="K1951" s="17" t="b">
        <f>Github!M$1411</f>
        <v>0</v>
      </c>
      <c r="L1951" s="17" t="b">
        <f>Github!N$1411</f>
        <v>0</v>
      </c>
      <c r="M1951" s="17" t="str">
        <f>ROUND(Github!O$1411, 2)&amp;"%"</f>
        <v>52.74%</v>
      </c>
      <c r="N1951" s="17">
        <f>Github!P$1411</f>
        <v>18535</v>
      </c>
      <c r="O1951" s="17">
        <f>Github!Q$1411</f>
        <v>35147</v>
      </c>
    </row>
    <row r="1952" ht="18.0" customHeight="1">
      <c r="A1952" s="17">
        <f>Github!J$1734</f>
        <v>1733</v>
      </c>
      <c r="B1952" s="27" t="str">
        <f>HYPERLINK(CONCAT("http://leetcode.com/problems/",Github!C$1734), Github!B$1734)</f>
        <v>Minimum Number of People to Teach</v>
      </c>
      <c r="C1952" s="17">
        <f>Github!F$1734</f>
        <v>130</v>
      </c>
      <c r="D1952" s="17">
        <f>Github!G$1734</f>
        <v>293</v>
      </c>
      <c r="E1952" s="17">
        <f>Github!F$1734+Github!G$1734</f>
        <v>423</v>
      </c>
      <c r="F1952" s="18">
        <f t="shared" si="1"/>
        <v>0.44</v>
      </c>
      <c r="G1952" s="17" t="str">
        <f>Github!H$1734</f>
        <v>Algorithms</v>
      </c>
      <c r="H1952" s="19" t="str">
        <f>SUBSTITUTE(Github!L$1734, ";", ", ")</f>
        <v>Array, Greedy, </v>
      </c>
      <c r="I1952" s="17" t="str">
        <f>Github!E$1734</f>
        <v>Medium</v>
      </c>
      <c r="J1952" s="17" t="str">
        <f>IF(TRIM(Github!D$1734)="TRUE","FALSE","TRUE")</f>
        <v>TRUE</v>
      </c>
      <c r="K1952" s="17" t="b">
        <f>Github!M$1734</f>
        <v>0</v>
      </c>
      <c r="L1952" s="17" t="b">
        <f>Github!N$1734</f>
        <v>0</v>
      </c>
      <c r="M1952" s="17" t="str">
        <f>ROUND(Github!O$1734, 2)&amp;"%"</f>
        <v>40.56%</v>
      </c>
      <c r="N1952" s="17">
        <f>Github!P$1734</f>
        <v>5874</v>
      </c>
      <c r="O1952" s="17">
        <f>Github!Q$1734</f>
        <v>14482</v>
      </c>
    </row>
    <row r="1953" ht="18.0" customHeight="1">
      <c r="A1953" s="17">
        <f>Github!J$1861</f>
        <v>1860</v>
      </c>
      <c r="B1953" s="27" t="str">
        <f>HYPERLINK(CONCAT("http://leetcode.com/problems/",Github!C$1861), Github!B$1861)</f>
        <v>Incremental Memory Leak</v>
      </c>
      <c r="C1953" s="17">
        <f>Github!F$1861</f>
        <v>128</v>
      </c>
      <c r="D1953" s="17">
        <f>Github!G$1861</f>
        <v>56</v>
      </c>
      <c r="E1953" s="17">
        <f>Github!F$1861+Github!G$1861</f>
        <v>184</v>
      </c>
      <c r="F1953" s="18">
        <f t="shared" si="1"/>
        <v>2.29</v>
      </c>
      <c r="G1953" s="17" t="str">
        <f>Github!H$1861</f>
        <v>Algorithms</v>
      </c>
      <c r="H1953" s="19" t="str">
        <f>SUBSTITUTE(Github!L$1861, ";", ", ")</f>
        <v>Simulation, </v>
      </c>
      <c r="I1953" s="17" t="str">
        <f>Github!E$1861</f>
        <v>Medium</v>
      </c>
      <c r="J1953" s="17" t="str">
        <f>IF(TRIM(Github!D$1861)="TRUE","FALSE","TRUE")</f>
        <v>TRUE</v>
      </c>
      <c r="K1953" s="17" t="b">
        <f>Github!M$1861</f>
        <v>0</v>
      </c>
      <c r="L1953" s="17" t="b">
        <f>Github!N$1861</f>
        <v>0</v>
      </c>
      <c r="M1953" s="17" t="str">
        <f>ROUND(Github!O$1861, 2)&amp;"%"</f>
        <v>70.82%</v>
      </c>
      <c r="N1953" s="17">
        <f>Github!P$1861</f>
        <v>11850</v>
      </c>
      <c r="O1953" s="17">
        <f>Github!Q$1861</f>
        <v>16732</v>
      </c>
    </row>
    <row r="1954" ht="18.0" customHeight="1">
      <c r="A1954" s="17">
        <f>Github!J$2058</f>
        <v>2057</v>
      </c>
      <c r="B1954" s="27" t="str">
        <f>HYPERLINK(CONCAT("http://leetcode.com/problems/",Github!C$2058), Github!B$2058)</f>
        <v>Smallest Index With Equal Value</v>
      </c>
      <c r="C1954" s="17">
        <f>Github!F$2058</f>
        <v>129</v>
      </c>
      <c r="D1954" s="17">
        <f>Github!G$2058</f>
        <v>62</v>
      </c>
      <c r="E1954" s="17">
        <f>Github!F$2058+Github!G$2058</f>
        <v>191</v>
      </c>
      <c r="F1954" s="18">
        <f t="shared" si="1"/>
        <v>2.08</v>
      </c>
      <c r="G1954" s="17" t="str">
        <f>Github!H$2058</f>
        <v>Algorithms</v>
      </c>
      <c r="H1954" s="19" t="str">
        <f>SUBSTITUTE(Github!L$2058, ";", ", ")</f>
        <v>Array, </v>
      </c>
      <c r="I1954" s="17" t="str">
        <f>Github!E$2058</f>
        <v>Easy</v>
      </c>
      <c r="J1954" s="17" t="str">
        <f>IF(TRIM(Github!D$2058)="TRUE","FALSE","TRUE")</f>
        <v>TRUE</v>
      </c>
      <c r="K1954" s="17" t="b">
        <f>Github!M$2058</f>
        <v>0</v>
      </c>
      <c r="L1954" s="17" t="b">
        <f>Github!N$2058</f>
        <v>0</v>
      </c>
      <c r="M1954" s="17" t="str">
        <f>ROUND(Github!O$2058, 2)&amp;"%"</f>
        <v>73.59%</v>
      </c>
      <c r="N1954" s="17">
        <f>Github!P$2058</f>
        <v>21604</v>
      </c>
      <c r="O1954" s="17">
        <f>Github!Q$2058</f>
        <v>29352</v>
      </c>
    </row>
    <row r="1955" ht="18.0" customHeight="1">
      <c r="A1955" s="17">
        <f>Github!J$1059</f>
        <v>1058</v>
      </c>
      <c r="B1955" s="27" t="str">
        <f>HYPERLINK(CONCAT("http://leetcode.com/problems/",Github!C$1059), Github!B$1059)</f>
        <v>Minimize Rounding Error to Meet Target</v>
      </c>
      <c r="C1955" s="17">
        <f>Github!F$1059</f>
        <v>127</v>
      </c>
      <c r="D1955" s="17">
        <f>Github!G$1059</f>
        <v>122</v>
      </c>
      <c r="E1955" s="17">
        <f>Github!F$1059+Github!G$1059</f>
        <v>249</v>
      </c>
      <c r="F1955" s="18">
        <f t="shared" si="1"/>
        <v>1.04</v>
      </c>
      <c r="G1955" s="17" t="str">
        <f>Github!H$1059</f>
        <v>Algorithms</v>
      </c>
      <c r="H1955" s="19" t="str">
        <f>SUBSTITUTE(Github!L$1059, ";", ", ")</f>
        <v>Array, Math, String, Greedy, </v>
      </c>
      <c r="I1955" s="17" t="str">
        <f>Github!E$1059</f>
        <v>Medium</v>
      </c>
      <c r="J1955" s="17" t="str">
        <f>IF(TRIM(Github!D$1059)="TRUE","FALSE","TRUE")</f>
        <v>FALSE</v>
      </c>
      <c r="K1955" s="17" t="b">
        <f>Github!M$1059</f>
        <v>0</v>
      </c>
      <c r="L1955" s="17" t="b">
        <f>Github!N$1059</f>
        <v>0</v>
      </c>
      <c r="M1955" s="17" t="str">
        <f>ROUND(Github!O$1059, 2)&amp;"%"</f>
        <v>44.48%</v>
      </c>
      <c r="N1955" s="17">
        <f>Github!P$1059</f>
        <v>7234</v>
      </c>
      <c r="O1955" s="17">
        <f>Github!Q$1059</f>
        <v>16264</v>
      </c>
    </row>
    <row r="1956" ht="18.0" customHeight="1">
      <c r="A1956" s="17">
        <f>Github!J$1351</f>
        <v>1350</v>
      </c>
      <c r="B1956" s="27" t="str">
        <f>HYPERLINK(CONCAT("http://leetcode.com/problems/",Github!C$1351), Github!B$1351)</f>
        <v>Students With Invalid Departments</v>
      </c>
      <c r="C1956" s="17">
        <f>Github!F$1351</f>
        <v>126</v>
      </c>
      <c r="D1956" s="17">
        <f>Github!G$1351</f>
        <v>7</v>
      </c>
      <c r="E1956" s="17">
        <f>Github!F$1351+Github!G$1351</f>
        <v>133</v>
      </c>
      <c r="F1956" s="18">
        <f t="shared" si="1"/>
        <v>18</v>
      </c>
      <c r="G1956" s="17" t="str">
        <f>Github!H$1351</f>
        <v>Database</v>
      </c>
      <c r="H1956" s="19" t="str">
        <f>SUBSTITUTE(Github!L$1351, ";", ", ")</f>
        <v>Database, </v>
      </c>
      <c r="I1956" s="17" t="str">
        <f>Github!E$1351</f>
        <v>Easy</v>
      </c>
      <c r="J1956" s="17" t="str">
        <f>IF(TRIM(Github!D$1351)="TRUE","FALSE","TRUE")</f>
        <v>FALSE</v>
      </c>
      <c r="K1956" s="17" t="b">
        <f>Github!M$1351</f>
        <v>0</v>
      </c>
      <c r="L1956" s="17" t="b">
        <f>Github!N$1351</f>
        <v>0</v>
      </c>
      <c r="M1956" s="17" t="str">
        <f>ROUND(Github!O$1351, 2)&amp;"%"</f>
        <v>90.46%</v>
      </c>
      <c r="N1956" s="17">
        <f>Github!P$1351</f>
        <v>37775</v>
      </c>
      <c r="O1956" s="17">
        <f>Github!Q$1351</f>
        <v>41758</v>
      </c>
    </row>
    <row r="1957" ht="18.0" customHeight="1">
      <c r="A1957" s="17">
        <f>Github!J$559</f>
        <v>558</v>
      </c>
      <c r="B1957" s="27" t="str">
        <f>HYPERLINK(CONCAT("http://leetcode.com/problems/",Github!C$559), Github!B$559)</f>
        <v>Logical OR of Two Binary Grids Represented as Quad-Trees</v>
      </c>
      <c r="C1957" s="17">
        <f>Github!F$559</f>
        <v>125</v>
      </c>
      <c r="D1957" s="17">
        <f>Github!G$559</f>
        <v>403</v>
      </c>
      <c r="E1957" s="17">
        <f>Github!F$559+Github!G$559</f>
        <v>528</v>
      </c>
      <c r="F1957" s="18">
        <f t="shared" si="1"/>
        <v>0.31</v>
      </c>
      <c r="G1957" s="17" t="str">
        <f>Github!H$559</f>
        <v>Algorithms</v>
      </c>
      <c r="H1957" s="19" t="str">
        <f>SUBSTITUTE(Github!L$559, ";", ", ")</f>
        <v>Divide and Conquer, Tree, </v>
      </c>
      <c r="I1957" s="17" t="str">
        <f>Github!E$559</f>
        <v>Medium</v>
      </c>
      <c r="J1957" s="17" t="str">
        <f>IF(TRIM(Github!D$559)="TRUE","FALSE","TRUE")</f>
        <v>TRUE</v>
      </c>
      <c r="K1957" s="17" t="b">
        <f>Github!M$559</f>
        <v>0</v>
      </c>
      <c r="L1957" s="17" t="b">
        <f>Github!N$559</f>
        <v>0</v>
      </c>
      <c r="M1957" s="17" t="str">
        <f>ROUND(Github!O$559, 2)&amp;"%"</f>
        <v>47.08%</v>
      </c>
      <c r="N1957" s="17">
        <f>Github!P$559</f>
        <v>10966</v>
      </c>
      <c r="O1957" s="17">
        <f>Github!Q$559</f>
        <v>23294</v>
      </c>
    </row>
    <row r="1958" ht="18.0" customHeight="1">
      <c r="A1958" s="17">
        <f>Github!J$2163</f>
        <v>2162</v>
      </c>
      <c r="B1958" s="27" t="str">
        <f>HYPERLINK(CONCAT("http://leetcode.com/problems/",Github!C$2163), Github!B$2163)</f>
        <v>Minimum Cost to Set Cooking Time</v>
      </c>
      <c r="C1958" s="17">
        <f>Github!F$2163</f>
        <v>125</v>
      </c>
      <c r="D1958" s="17">
        <f>Github!G$2163</f>
        <v>387</v>
      </c>
      <c r="E1958" s="17">
        <f>Github!F$2163+Github!G$2163</f>
        <v>512</v>
      </c>
      <c r="F1958" s="18">
        <f t="shared" si="1"/>
        <v>0.32</v>
      </c>
      <c r="G1958" s="17" t="str">
        <f>Github!H$2163</f>
        <v>Algorithms</v>
      </c>
      <c r="H1958" s="19" t="str">
        <f>SUBSTITUTE(Github!L$2163, ";", ", ")</f>
        <v>Math, Enumeration, </v>
      </c>
      <c r="I1958" s="17" t="str">
        <f>Github!E$2163</f>
        <v>Medium</v>
      </c>
      <c r="J1958" s="17" t="str">
        <f>IF(TRIM(Github!D$2163)="TRUE","FALSE","TRUE")</f>
        <v>TRUE</v>
      </c>
      <c r="K1958" s="17" t="b">
        <f>Github!M$2163</f>
        <v>0</v>
      </c>
      <c r="L1958" s="17" t="b">
        <f>Github!N$2163</f>
        <v>0</v>
      </c>
      <c r="M1958" s="17" t="str">
        <f>ROUND(Github!O$2163, 2)&amp;"%"</f>
        <v>33.28%</v>
      </c>
      <c r="N1958" s="17">
        <f>Github!P$2163</f>
        <v>6439</v>
      </c>
      <c r="O1958" s="17">
        <f>Github!Q$2163</f>
        <v>19349</v>
      </c>
    </row>
    <row r="1959" ht="18.0" customHeight="1">
      <c r="A1959" s="17">
        <f>Github!J$2194</f>
        <v>2193</v>
      </c>
      <c r="B1959" s="27" t="str">
        <f>HYPERLINK(CONCAT("http://leetcode.com/problems/",Github!C$2194), Github!B$2194)</f>
        <v>Minimum Number of Moves to Make Palindrome</v>
      </c>
      <c r="C1959" s="17">
        <f>Github!F$2194</f>
        <v>127</v>
      </c>
      <c r="D1959" s="17">
        <f>Github!G$2194</f>
        <v>47</v>
      </c>
      <c r="E1959" s="17">
        <f>Github!F$2194+Github!G$2194</f>
        <v>174</v>
      </c>
      <c r="F1959" s="18">
        <f t="shared" si="1"/>
        <v>2.7</v>
      </c>
      <c r="G1959" s="17" t="str">
        <f>Github!H$2194</f>
        <v>Algorithms</v>
      </c>
      <c r="H1959" s="19" t="str">
        <f>SUBSTITUTE(Github!L$2194, ";", ", ")</f>
        <v>Two Pointers, String, Greedy, Binary Indexed Tree, </v>
      </c>
      <c r="I1959" s="17" t="str">
        <f>Github!E$2194</f>
        <v>Hard</v>
      </c>
      <c r="J1959" s="17" t="str">
        <f>IF(TRIM(Github!D$2194)="TRUE","FALSE","TRUE")</f>
        <v>TRUE</v>
      </c>
      <c r="K1959" s="17" t="b">
        <f>Github!M$2194</f>
        <v>0</v>
      </c>
      <c r="L1959" s="17" t="b">
        <f>Github!N$2194</f>
        <v>0</v>
      </c>
      <c r="M1959" s="17" t="str">
        <f>ROUND(Github!O$2194, 2)&amp;"%"</f>
        <v>39%</v>
      </c>
      <c r="N1959" s="17">
        <f>Github!P$2194</f>
        <v>3641</v>
      </c>
      <c r="O1959" s="17">
        <f>Github!Q$2194</f>
        <v>9341</v>
      </c>
    </row>
    <row r="1960" ht="18.0" customHeight="1">
      <c r="A1960" s="17">
        <f>Github!J$1879</f>
        <v>1878</v>
      </c>
      <c r="B1960" s="27" t="str">
        <f>HYPERLINK(CONCAT("http://leetcode.com/problems/",Github!C$1879), Github!B$1879)</f>
        <v>Get Biggest Three Rhombus Sums in a Grid</v>
      </c>
      <c r="C1960" s="17">
        <f>Github!F$1879</f>
        <v>124</v>
      </c>
      <c r="D1960" s="17">
        <f>Github!G$1879</f>
        <v>323</v>
      </c>
      <c r="E1960" s="17">
        <f>Github!F$1879+Github!G$1879</f>
        <v>447</v>
      </c>
      <c r="F1960" s="18">
        <f t="shared" si="1"/>
        <v>0.38</v>
      </c>
      <c r="G1960" s="17" t="str">
        <f>Github!H$1879</f>
        <v>Algorithms</v>
      </c>
      <c r="H1960" s="19" t="str">
        <f>SUBSTITUTE(Github!L$1879, ";", ", ")</f>
        <v>Array, Math, Sorting, Heap (Priority Queue), Matrix, Prefix Sum, </v>
      </c>
      <c r="I1960" s="17" t="str">
        <f>Github!E$1879</f>
        <v>Medium</v>
      </c>
      <c r="J1960" s="17" t="str">
        <f>IF(TRIM(Github!D$1879)="TRUE","FALSE","TRUE")</f>
        <v>TRUE</v>
      </c>
      <c r="K1960" s="17" t="b">
        <f>Github!M$1879</f>
        <v>0</v>
      </c>
      <c r="L1960" s="17" t="b">
        <f>Github!N$1879</f>
        <v>0</v>
      </c>
      <c r="M1960" s="17" t="str">
        <f>ROUND(Github!O$1879, 2)&amp;"%"</f>
        <v>44.71%</v>
      </c>
      <c r="N1960" s="17">
        <f>Github!P$1879</f>
        <v>8476</v>
      </c>
      <c r="O1960" s="17">
        <f>Github!Q$1879</f>
        <v>18960</v>
      </c>
    </row>
    <row r="1961" ht="18.0" customHeight="1">
      <c r="A1961" s="17">
        <f>Github!J$512</f>
        <v>511</v>
      </c>
      <c r="B1961" s="27" t="str">
        <f>HYPERLINK(CONCAT("http://leetcode.com/problems/",Github!C$512), Github!B$512)</f>
        <v>Game Play Analysis I</v>
      </c>
      <c r="C1961" s="17">
        <f>Github!F$512</f>
        <v>123</v>
      </c>
      <c r="D1961" s="17">
        <f>Github!G$512</f>
        <v>8</v>
      </c>
      <c r="E1961" s="17">
        <f>Github!F$512+Github!G$512</f>
        <v>131</v>
      </c>
      <c r="F1961" s="18">
        <f t="shared" si="1"/>
        <v>15.38</v>
      </c>
      <c r="G1961" s="17" t="str">
        <f>Github!H$512</f>
        <v>Database</v>
      </c>
      <c r="H1961" s="19" t="str">
        <f>SUBSTITUTE(Github!L$512, ";", ", ")</f>
        <v>Database, </v>
      </c>
      <c r="I1961" s="17" t="str">
        <f>Github!E$512</f>
        <v>Easy</v>
      </c>
      <c r="J1961" s="17" t="str">
        <f>IF(TRIM(Github!D$512)="TRUE","FALSE","TRUE")</f>
        <v>FALSE</v>
      </c>
      <c r="K1961" s="17" t="b">
        <f>Github!M$512</f>
        <v>0</v>
      </c>
      <c r="L1961" s="17" t="b">
        <f>Github!N$512</f>
        <v>0</v>
      </c>
      <c r="M1961" s="17" t="str">
        <f>ROUND(Github!O$512, 2)&amp;"%"</f>
        <v>80.87%</v>
      </c>
      <c r="N1961" s="17">
        <f>Github!P$512</f>
        <v>54285</v>
      </c>
      <c r="O1961" s="17">
        <f>Github!Q$512</f>
        <v>67129</v>
      </c>
    </row>
    <row r="1962" ht="18.0" customHeight="1">
      <c r="A1962" s="17">
        <f>Github!J$575</f>
        <v>574</v>
      </c>
      <c r="B1962" s="27" t="str">
        <f>HYPERLINK(CONCAT("http://leetcode.com/problems/",Github!C$575), Github!B$575)</f>
        <v>Winning Candidate</v>
      </c>
      <c r="C1962" s="17">
        <f>Github!F$575</f>
        <v>123</v>
      </c>
      <c r="D1962" s="17">
        <f>Github!G$575</f>
        <v>378</v>
      </c>
      <c r="E1962" s="17">
        <f>Github!F$575+Github!G$575</f>
        <v>501</v>
      </c>
      <c r="F1962" s="18">
        <f t="shared" si="1"/>
        <v>0.33</v>
      </c>
      <c r="G1962" s="17" t="str">
        <f>Github!H$575</f>
        <v>Database</v>
      </c>
      <c r="H1962" s="19" t="str">
        <f>SUBSTITUTE(Github!L$575, ";", ", ")</f>
        <v>Database, </v>
      </c>
      <c r="I1962" s="17" t="str">
        <f>Github!E$575</f>
        <v>Medium</v>
      </c>
      <c r="J1962" s="17" t="str">
        <f>IF(TRIM(Github!D$575)="TRUE","FALSE","TRUE")</f>
        <v>FALSE</v>
      </c>
      <c r="K1962" s="17" t="b">
        <f>Github!M$575</f>
        <v>1</v>
      </c>
      <c r="L1962" s="17" t="b">
        <f>Github!N$575</f>
        <v>0</v>
      </c>
      <c r="M1962" s="17" t="str">
        <f>ROUND(Github!O$575, 2)&amp;"%"</f>
        <v>57.69%</v>
      </c>
      <c r="N1962" s="17">
        <f>Github!P$575</f>
        <v>43947</v>
      </c>
      <c r="O1962" s="17">
        <f>Github!Q$575</f>
        <v>76174</v>
      </c>
    </row>
    <row r="1963" ht="18.0" customHeight="1">
      <c r="A1963" s="17">
        <f>Github!J$1446</f>
        <v>1445</v>
      </c>
      <c r="B1963" s="27" t="str">
        <f>HYPERLINK(CONCAT("http://leetcode.com/problems/",Github!C$1446), Github!B$1446)</f>
        <v>Apples &amp; Oranges</v>
      </c>
      <c r="C1963" s="17">
        <f>Github!F$1446</f>
        <v>123</v>
      </c>
      <c r="D1963" s="17">
        <f>Github!G$1446</f>
        <v>17</v>
      </c>
      <c r="E1963" s="17">
        <f>Github!F$1446+Github!G$1446</f>
        <v>140</v>
      </c>
      <c r="F1963" s="18">
        <f t="shared" si="1"/>
        <v>7.24</v>
      </c>
      <c r="G1963" s="17" t="str">
        <f>Github!H$1446</f>
        <v>Database</v>
      </c>
      <c r="H1963" s="19" t="str">
        <f>SUBSTITUTE(Github!L$1446, ";", ", ")</f>
        <v>Database, </v>
      </c>
      <c r="I1963" s="17" t="str">
        <f>Github!E$1446</f>
        <v>Medium</v>
      </c>
      <c r="J1963" s="17" t="str">
        <f>IF(TRIM(Github!D$1446)="TRUE","FALSE","TRUE")</f>
        <v>FALSE</v>
      </c>
      <c r="K1963" s="17" t="b">
        <f>Github!M$1446</f>
        <v>0</v>
      </c>
      <c r="L1963" s="17" t="b">
        <f>Github!N$1446</f>
        <v>0</v>
      </c>
      <c r="M1963" s="17" t="str">
        <f>ROUND(Github!O$1446, 2)&amp;"%"</f>
        <v>91.5%</v>
      </c>
      <c r="N1963" s="17">
        <f>Github!P$1446</f>
        <v>24003</v>
      </c>
      <c r="O1963" s="17">
        <f>Github!Q$1446</f>
        <v>26232</v>
      </c>
    </row>
    <row r="1964" ht="18.0" customHeight="1">
      <c r="A1964" s="17">
        <f>Github!J$480</f>
        <v>479</v>
      </c>
      <c r="B1964" s="27" t="str">
        <f>HYPERLINK(CONCAT("http://leetcode.com/problems/",Github!C$480), Github!B$480)</f>
        <v>Largest Palindrome Product</v>
      </c>
      <c r="C1964" s="17">
        <f>Github!F$480</f>
        <v>121</v>
      </c>
      <c r="D1964" s="17">
        <f>Github!G$480</f>
        <v>1437</v>
      </c>
      <c r="E1964" s="17">
        <f>Github!F$480+Github!G$480</f>
        <v>1558</v>
      </c>
      <c r="F1964" s="18">
        <f t="shared" si="1"/>
        <v>0.08</v>
      </c>
      <c r="G1964" s="17" t="str">
        <f>Github!H$480</f>
        <v>Algorithms</v>
      </c>
      <c r="H1964" s="19" t="str">
        <f>SUBSTITUTE(Github!L$480, ";", ", ")</f>
        <v>Math, </v>
      </c>
      <c r="I1964" s="17" t="str">
        <f>Github!E$480</f>
        <v>Hard</v>
      </c>
      <c r="J1964" s="17" t="str">
        <f>IF(TRIM(Github!D$480)="TRUE","FALSE","TRUE")</f>
        <v>TRUE</v>
      </c>
      <c r="K1964" s="17" t="b">
        <f>Github!M$480</f>
        <v>0</v>
      </c>
      <c r="L1964" s="17" t="b">
        <f>Github!N$480</f>
        <v>0</v>
      </c>
      <c r="M1964" s="17" t="str">
        <f>ROUND(Github!O$480, 2)&amp;"%"</f>
        <v>30.82%</v>
      </c>
      <c r="N1964" s="17">
        <f>Github!P$480</f>
        <v>19830</v>
      </c>
      <c r="O1964" s="17">
        <f>Github!Q$480</f>
        <v>64334</v>
      </c>
    </row>
    <row r="1965" ht="18.0" customHeight="1">
      <c r="A1965" s="17">
        <f>Github!J$811</f>
        <v>810</v>
      </c>
      <c r="B1965" s="27" t="str">
        <f>HYPERLINK(CONCAT("http://leetcode.com/problems/",Github!C$811), Github!B$811)</f>
        <v>Chalkboard XOR Game</v>
      </c>
      <c r="C1965" s="17">
        <f>Github!F$811</f>
        <v>121</v>
      </c>
      <c r="D1965" s="17">
        <f>Github!G$811</f>
        <v>232</v>
      </c>
      <c r="E1965" s="17">
        <f>Github!F$811+Github!G$811</f>
        <v>353</v>
      </c>
      <c r="F1965" s="18">
        <f t="shared" si="1"/>
        <v>0.52</v>
      </c>
      <c r="G1965" s="17" t="str">
        <f>Github!H$811</f>
        <v>Algorithms</v>
      </c>
      <c r="H1965" s="19" t="str">
        <f>SUBSTITUTE(Github!L$811, ";", ", ")</f>
        <v>Array, Math, Bit Manipulation, Brainteaser, Game Theory, </v>
      </c>
      <c r="I1965" s="17" t="str">
        <f>Github!E$811</f>
        <v>Hard</v>
      </c>
      <c r="J1965" s="17" t="str">
        <f>IF(TRIM(Github!D$811)="TRUE","FALSE","TRUE")</f>
        <v>TRUE</v>
      </c>
      <c r="K1965" s="17" t="b">
        <f>Github!M$811</f>
        <v>1</v>
      </c>
      <c r="L1965" s="17" t="b">
        <f>Github!N$811</f>
        <v>0</v>
      </c>
      <c r="M1965" s="17" t="str">
        <f>ROUND(Github!O$811, 2)&amp;"%"</f>
        <v>52.95%</v>
      </c>
      <c r="N1965" s="17">
        <f>Github!P$811</f>
        <v>6299</v>
      </c>
      <c r="O1965" s="17">
        <f>Github!Q$811</f>
        <v>11897</v>
      </c>
    </row>
    <row r="1966" ht="18.0" customHeight="1">
      <c r="A1966" s="17">
        <f>Github!J$1394</f>
        <v>1393</v>
      </c>
      <c r="B1966" s="27" t="str">
        <f>HYPERLINK(CONCAT("http://leetcode.com/problems/",Github!C$1394), Github!B$1394)</f>
        <v>Capital Gain/Loss</v>
      </c>
      <c r="C1966" s="17">
        <f>Github!F$1394</f>
        <v>121</v>
      </c>
      <c r="D1966" s="17">
        <f>Github!G$1394</f>
        <v>19</v>
      </c>
      <c r="E1966" s="17">
        <f>Github!F$1394+Github!G$1394</f>
        <v>140</v>
      </c>
      <c r="F1966" s="18">
        <f t="shared" si="1"/>
        <v>6.37</v>
      </c>
      <c r="G1966" s="17" t="str">
        <f>Github!H$1394</f>
        <v>Database</v>
      </c>
      <c r="H1966" s="19" t="str">
        <f>SUBSTITUTE(Github!L$1394, ";", ", ")</f>
        <v>Database, </v>
      </c>
      <c r="I1966" s="17" t="str">
        <f>Github!E$1394</f>
        <v>Medium</v>
      </c>
      <c r="J1966" s="17" t="str">
        <f>IF(TRIM(Github!D$1394)="TRUE","FALSE","TRUE")</f>
        <v>FALSE</v>
      </c>
      <c r="K1966" s="17" t="b">
        <f>Github!M$1394</f>
        <v>0</v>
      </c>
      <c r="L1966" s="17" t="b">
        <f>Github!N$1394</f>
        <v>0</v>
      </c>
      <c r="M1966" s="17" t="str">
        <f>ROUND(Github!O$1394, 2)&amp;"%"</f>
        <v>91.36%</v>
      </c>
      <c r="N1966" s="17">
        <f>Github!P$1394</f>
        <v>21352</v>
      </c>
      <c r="O1966" s="17">
        <f>Github!Q$1394</f>
        <v>23372</v>
      </c>
    </row>
    <row r="1967" ht="18.0" customHeight="1">
      <c r="A1967" s="17">
        <f>Github!J$1614</f>
        <v>1613</v>
      </c>
      <c r="B1967" s="27" t="str">
        <f>HYPERLINK(CONCAT("http://leetcode.com/problems/",Github!C$1614), Github!B$1614)</f>
        <v>Find the Missing IDs</v>
      </c>
      <c r="C1967" s="17">
        <f>Github!F$1614</f>
        <v>121</v>
      </c>
      <c r="D1967" s="17">
        <f>Github!G$1614</f>
        <v>19</v>
      </c>
      <c r="E1967" s="17">
        <f>Github!F$1614+Github!G$1614</f>
        <v>140</v>
      </c>
      <c r="F1967" s="18">
        <f t="shared" si="1"/>
        <v>6.37</v>
      </c>
      <c r="G1967" s="17" t="str">
        <f>Github!H$1614</f>
        <v>Database</v>
      </c>
      <c r="H1967" s="19" t="str">
        <f>SUBSTITUTE(Github!L$1614, ";", ", ")</f>
        <v>Database, </v>
      </c>
      <c r="I1967" s="17" t="str">
        <f>Github!E$1614</f>
        <v>Medium</v>
      </c>
      <c r="J1967" s="17" t="str">
        <f>IF(TRIM(Github!D$1614)="TRUE","FALSE","TRUE")</f>
        <v>FALSE</v>
      </c>
      <c r="K1967" s="17" t="b">
        <f>Github!M$1614</f>
        <v>0</v>
      </c>
      <c r="L1967" s="17" t="b">
        <f>Github!N$1614</f>
        <v>0</v>
      </c>
      <c r="M1967" s="17" t="str">
        <f>ROUND(Github!O$1614, 2)&amp;"%"</f>
        <v>75.92%</v>
      </c>
      <c r="N1967" s="17">
        <f>Github!P$1614</f>
        <v>9529</v>
      </c>
      <c r="O1967" s="17">
        <f>Github!Q$1614</f>
        <v>12551</v>
      </c>
    </row>
    <row r="1968" ht="18.0" customHeight="1">
      <c r="A1968" s="17">
        <f>Github!J$1242</f>
        <v>1241</v>
      </c>
      <c r="B1968" s="27" t="str">
        <f>HYPERLINK(CONCAT("http://leetcode.com/problems/",Github!C$1242), Github!B$1242)</f>
        <v>Number of Comments per Post</v>
      </c>
      <c r="C1968" s="17">
        <f>Github!F$1242</f>
        <v>120</v>
      </c>
      <c r="D1968" s="17">
        <f>Github!G$1242</f>
        <v>372</v>
      </c>
      <c r="E1968" s="17">
        <f>Github!F$1242+Github!G$1242</f>
        <v>492</v>
      </c>
      <c r="F1968" s="18">
        <f t="shared" si="1"/>
        <v>0.32</v>
      </c>
      <c r="G1968" s="17" t="str">
        <f>Github!H$1242</f>
        <v>Database</v>
      </c>
      <c r="H1968" s="19" t="str">
        <f>SUBSTITUTE(Github!L$1242, ";", ", ")</f>
        <v>Database, </v>
      </c>
      <c r="I1968" s="17" t="str">
        <f>Github!E$1242</f>
        <v>Easy</v>
      </c>
      <c r="J1968" s="17" t="str">
        <f>IF(TRIM(Github!D$1242)="TRUE","FALSE","TRUE")</f>
        <v>FALSE</v>
      </c>
      <c r="K1968" s="17" t="b">
        <f>Github!M$1242</f>
        <v>0</v>
      </c>
      <c r="L1968" s="17" t="b">
        <f>Github!N$1242</f>
        <v>0</v>
      </c>
      <c r="M1968" s="17" t="str">
        <f>ROUND(Github!O$1242, 2)&amp;"%"</f>
        <v>67.84%</v>
      </c>
      <c r="N1968" s="17">
        <f>Github!P$1242</f>
        <v>24714</v>
      </c>
      <c r="O1968" s="17">
        <f>Github!Q$1242</f>
        <v>36432</v>
      </c>
    </row>
    <row r="1969" ht="18.0" customHeight="1">
      <c r="A1969" s="17">
        <f>Github!J$626</f>
        <v>625</v>
      </c>
      <c r="B1969" s="27" t="str">
        <f>HYPERLINK(CONCAT("http://leetcode.com/problems/",Github!C$626), Github!B$626)</f>
        <v>Minimum Factorization</v>
      </c>
      <c r="C1969" s="17">
        <f>Github!F$626</f>
        <v>118</v>
      </c>
      <c r="D1969" s="17">
        <f>Github!G$626</f>
        <v>98</v>
      </c>
      <c r="E1969" s="17">
        <f>Github!F$626+Github!G$626</f>
        <v>216</v>
      </c>
      <c r="F1969" s="18">
        <f t="shared" si="1"/>
        <v>1.2</v>
      </c>
      <c r="G1969" s="17" t="str">
        <f>Github!H$626</f>
        <v>Algorithms</v>
      </c>
      <c r="H1969" s="19" t="str">
        <f>SUBSTITUTE(Github!L$626, ";", ", ")</f>
        <v>Math, Greedy, </v>
      </c>
      <c r="I1969" s="17" t="str">
        <f>Github!E$626</f>
        <v>Medium</v>
      </c>
      <c r="J1969" s="17" t="str">
        <f>IF(TRIM(Github!D$626)="TRUE","FALSE","TRUE")</f>
        <v>FALSE</v>
      </c>
      <c r="K1969" s="17" t="b">
        <f>Github!M$626</f>
        <v>1</v>
      </c>
      <c r="L1969" s="17" t="b">
        <f>Github!N$626</f>
        <v>0</v>
      </c>
      <c r="M1969" s="17" t="str">
        <f>ROUND(Github!O$626, 2)&amp;"%"</f>
        <v>33.24%</v>
      </c>
      <c r="N1969" s="17">
        <f>Github!P$626</f>
        <v>10035</v>
      </c>
      <c r="O1969" s="17">
        <f>Github!Q$626</f>
        <v>30194</v>
      </c>
    </row>
    <row r="1970" ht="18.0" customHeight="1">
      <c r="A1970" s="17">
        <f>Github!J$1051</f>
        <v>1050</v>
      </c>
      <c r="B1970" s="27" t="str">
        <f>HYPERLINK(CONCAT("http://leetcode.com/problems/",Github!C$1051), Github!B$1051)</f>
        <v>Actors and Directors Who Cooperated At Least Three Times</v>
      </c>
      <c r="C1970" s="17">
        <f>Github!F$1051</f>
        <v>117</v>
      </c>
      <c r="D1970" s="17">
        <f>Github!G$1051</f>
        <v>22</v>
      </c>
      <c r="E1970" s="17">
        <f>Github!F$1051+Github!G$1051</f>
        <v>139</v>
      </c>
      <c r="F1970" s="18">
        <f t="shared" si="1"/>
        <v>5.32</v>
      </c>
      <c r="G1970" s="17" t="str">
        <f>Github!H$1051</f>
        <v>Database</v>
      </c>
      <c r="H1970" s="19" t="str">
        <f>SUBSTITUTE(Github!L$1051, ";", ", ")</f>
        <v>Database, </v>
      </c>
      <c r="I1970" s="17" t="str">
        <f>Github!E$1051</f>
        <v>Easy</v>
      </c>
      <c r="J1970" s="17" t="str">
        <f>IF(TRIM(Github!D$1051)="TRUE","FALSE","TRUE")</f>
        <v>FALSE</v>
      </c>
      <c r="K1970" s="17" t="b">
        <f>Github!M$1051</f>
        <v>0</v>
      </c>
      <c r="L1970" s="17" t="b">
        <f>Github!N$1051</f>
        <v>0</v>
      </c>
      <c r="M1970" s="17" t="str">
        <f>ROUND(Github!O$1051, 2)&amp;"%"</f>
        <v>72.42%</v>
      </c>
      <c r="N1970" s="17">
        <f>Github!P$1051</f>
        <v>40085</v>
      </c>
      <c r="O1970" s="17">
        <f>Github!Q$1051</f>
        <v>55347</v>
      </c>
    </row>
    <row r="1971" ht="18.0" customHeight="1">
      <c r="A1971" s="17">
        <f>Github!J$1098</f>
        <v>1097</v>
      </c>
      <c r="B1971" s="27" t="str">
        <f>HYPERLINK(CONCAT("http://leetcode.com/problems/",Github!C$1098), Github!B$1098)</f>
        <v>Game Play Analysis V</v>
      </c>
      <c r="C1971" s="17">
        <f>Github!F$1098</f>
        <v>117</v>
      </c>
      <c r="D1971" s="17">
        <f>Github!G$1098</f>
        <v>26</v>
      </c>
      <c r="E1971" s="17">
        <f>Github!F$1098+Github!G$1098</f>
        <v>143</v>
      </c>
      <c r="F1971" s="18">
        <f t="shared" si="1"/>
        <v>4.5</v>
      </c>
      <c r="G1971" s="17" t="str">
        <f>Github!H$1098</f>
        <v>Database</v>
      </c>
      <c r="H1971" s="19" t="str">
        <f>SUBSTITUTE(Github!L$1098, ";", ", ")</f>
        <v>Database, </v>
      </c>
      <c r="I1971" s="17" t="str">
        <f>Github!E$1098</f>
        <v>Hard</v>
      </c>
      <c r="J1971" s="17" t="str">
        <f>IF(TRIM(Github!D$1098)="TRUE","FALSE","TRUE")</f>
        <v>FALSE</v>
      </c>
      <c r="K1971" s="17" t="b">
        <f>Github!M$1098</f>
        <v>0</v>
      </c>
      <c r="L1971" s="17" t="b">
        <f>Github!N$1098</f>
        <v>0</v>
      </c>
      <c r="M1971" s="17" t="str">
        <f>ROUND(Github!O$1098, 2)&amp;"%"</f>
        <v>55.7%</v>
      </c>
      <c r="N1971" s="17">
        <f>Github!P$1098</f>
        <v>14238</v>
      </c>
      <c r="O1971" s="17">
        <f>Github!Q$1098</f>
        <v>25561</v>
      </c>
    </row>
    <row r="1972" ht="18.0" customHeight="1">
      <c r="A1972" s="17">
        <f>Github!J$1177</f>
        <v>1176</v>
      </c>
      <c r="B1972" s="27" t="str">
        <f>HYPERLINK(CONCAT("http://leetcode.com/problems/",Github!C$1177), Github!B$1177)</f>
        <v>Diet Plan Performance</v>
      </c>
      <c r="C1972" s="17">
        <f>Github!F$1177</f>
        <v>117</v>
      </c>
      <c r="D1972" s="17">
        <f>Github!G$1177</f>
        <v>252</v>
      </c>
      <c r="E1972" s="17">
        <f>Github!F$1177+Github!G$1177</f>
        <v>369</v>
      </c>
      <c r="F1972" s="18">
        <f t="shared" si="1"/>
        <v>0.46</v>
      </c>
      <c r="G1972" s="17" t="str">
        <f>Github!H$1177</f>
        <v>Algorithms</v>
      </c>
      <c r="H1972" s="19" t="str">
        <f>SUBSTITUTE(Github!L$1177, ";", ", ")</f>
        <v>Array, Sliding Window, </v>
      </c>
      <c r="I1972" s="17" t="str">
        <f>Github!E$1177</f>
        <v>Easy</v>
      </c>
      <c r="J1972" s="17" t="str">
        <f>IF(TRIM(Github!D$1177)="TRUE","FALSE","TRUE")</f>
        <v>FALSE</v>
      </c>
      <c r="K1972" s="17" t="b">
        <f>Github!M$1177</f>
        <v>0</v>
      </c>
      <c r="L1972" s="17" t="b">
        <f>Github!N$1177</f>
        <v>0</v>
      </c>
      <c r="M1972" s="17" t="str">
        <f>ROUND(Github!O$1177, 2)&amp;"%"</f>
        <v>52.72%</v>
      </c>
      <c r="N1972" s="17">
        <f>Github!P$1177</f>
        <v>23551</v>
      </c>
      <c r="O1972" s="17">
        <f>Github!Q$1177</f>
        <v>44675</v>
      </c>
    </row>
    <row r="1973" ht="18.0" customHeight="1">
      <c r="A1973" s="17">
        <f>Github!J$1961</f>
        <v>1960</v>
      </c>
      <c r="B1973" s="27" t="str">
        <f>HYPERLINK(CONCAT("http://leetcode.com/problems/",Github!C$1961), Github!B$1961)</f>
        <v>Maximum Product of the Length of Two Palindromic Substrings</v>
      </c>
      <c r="C1973" s="17">
        <f>Github!F$1961</f>
        <v>116</v>
      </c>
      <c r="D1973" s="17">
        <f>Github!G$1961</f>
        <v>25</v>
      </c>
      <c r="E1973" s="17">
        <f>Github!F$1961+Github!G$1961</f>
        <v>141</v>
      </c>
      <c r="F1973" s="18">
        <f t="shared" si="1"/>
        <v>4.64</v>
      </c>
      <c r="G1973" s="17" t="str">
        <f>Github!H$1961</f>
        <v>Algorithms</v>
      </c>
      <c r="H1973" s="19" t="str">
        <f>SUBSTITUTE(Github!L$1961, ";", ", ")</f>
        <v>String, Rolling Hash, Hash Function, </v>
      </c>
      <c r="I1973" s="17" t="str">
        <f>Github!E$1961</f>
        <v>Hard</v>
      </c>
      <c r="J1973" s="17" t="str">
        <f>IF(TRIM(Github!D$1961)="TRUE","FALSE","TRUE")</f>
        <v>TRUE</v>
      </c>
      <c r="K1973" s="17" t="b">
        <f>Github!M$1961</f>
        <v>0</v>
      </c>
      <c r="L1973" s="17" t="b">
        <f>Github!N$1961</f>
        <v>0</v>
      </c>
      <c r="M1973" s="17" t="str">
        <f>ROUND(Github!O$1961, 2)&amp;"%"</f>
        <v>28.8%</v>
      </c>
      <c r="N1973" s="17">
        <f>Github!P$1961</f>
        <v>1903</v>
      </c>
      <c r="O1973" s="17">
        <f>Github!Q$1961</f>
        <v>6608</v>
      </c>
    </row>
    <row r="1974" ht="18.0" customHeight="1">
      <c r="A1974" s="17">
        <f>Github!J$615</f>
        <v>614</v>
      </c>
      <c r="B1974" s="27" t="str">
        <f>HYPERLINK(CONCAT("http://leetcode.com/problems/",Github!C$615), Github!B$615)</f>
        <v>Second Degree Follower</v>
      </c>
      <c r="C1974" s="17">
        <f>Github!F$615</f>
        <v>115</v>
      </c>
      <c r="D1974" s="17">
        <f>Github!G$615</f>
        <v>691</v>
      </c>
      <c r="E1974" s="17">
        <f>Github!F$615+Github!G$615</f>
        <v>806</v>
      </c>
      <c r="F1974" s="18">
        <f t="shared" si="1"/>
        <v>0.17</v>
      </c>
      <c r="G1974" s="17" t="str">
        <f>Github!H$615</f>
        <v>Database</v>
      </c>
      <c r="H1974" s="19" t="str">
        <f>SUBSTITUTE(Github!L$615, ";", ", ")</f>
        <v>Database, </v>
      </c>
      <c r="I1974" s="17" t="str">
        <f>Github!E$615</f>
        <v>Medium</v>
      </c>
      <c r="J1974" s="17" t="str">
        <f>IF(TRIM(Github!D$615)="TRUE","FALSE","TRUE")</f>
        <v>FALSE</v>
      </c>
      <c r="K1974" s="17" t="b">
        <f>Github!M$615</f>
        <v>0</v>
      </c>
      <c r="L1974" s="17" t="b">
        <f>Github!N$615</f>
        <v>0</v>
      </c>
      <c r="M1974" s="17" t="str">
        <f>ROUND(Github!O$615, 2)&amp;"%"</f>
        <v>35.18%</v>
      </c>
      <c r="N1974" s="17">
        <f>Github!P$615</f>
        <v>38111</v>
      </c>
      <c r="O1974" s="17">
        <f>Github!Q$615</f>
        <v>108319</v>
      </c>
    </row>
    <row r="1975" ht="18.0" customHeight="1">
      <c r="A1975" s="17">
        <f>Github!J$619</f>
        <v>618</v>
      </c>
      <c r="B1975" s="27" t="str">
        <f>HYPERLINK(CONCAT("http://leetcode.com/problems/",Github!C$619), Github!B$619)</f>
        <v>Students Report By Geography</v>
      </c>
      <c r="C1975" s="17">
        <f>Github!F$619</f>
        <v>115</v>
      </c>
      <c r="D1975" s="17">
        <f>Github!G$619</f>
        <v>129</v>
      </c>
      <c r="E1975" s="17">
        <f>Github!F$619+Github!G$619</f>
        <v>244</v>
      </c>
      <c r="F1975" s="18">
        <f t="shared" si="1"/>
        <v>0.89</v>
      </c>
      <c r="G1975" s="17" t="str">
        <f>Github!H$619</f>
        <v>Database</v>
      </c>
      <c r="H1975" s="19" t="str">
        <f>SUBSTITUTE(Github!L$619, ";", ", ")</f>
        <v>Database, </v>
      </c>
      <c r="I1975" s="17" t="str">
        <f>Github!E$619</f>
        <v>Hard</v>
      </c>
      <c r="J1975" s="17" t="str">
        <f>IF(TRIM(Github!D$619)="TRUE","FALSE","TRUE")</f>
        <v>FALSE</v>
      </c>
      <c r="K1975" s="17" t="b">
        <f>Github!M$619</f>
        <v>1</v>
      </c>
      <c r="L1975" s="17" t="b">
        <f>Github!N$619</f>
        <v>0</v>
      </c>
      <c r="M1975" s="17" t="str">
        <f>ROUND(Github!O$619, 2)&amp;"%"</f>
        <v>63.07%</v>
      </c>
      <c r="N1975" s="17">
        <f>Github!P$619</f>
        <v>15671</v>
      </c>
      <c r="O1975" s="17">
        <f>Github!Q$619</f>
        <v>24848</v>
      </c>
    </row>
    <row r="1976" ht="18.0" customHeight="1">
      <c r="A1976" s="17">
        <f>Github!J$620</f>
        <v>619</v>
      </c>
      <c r="B1976" s="27" t="str">
        <f>HYPERLINK(CONCAT("http://leetcode.com/problems/",Github!C$620), Github!B$620)</f>
        <v>Biggest Single Number</v>
      </c>
      <c r="C1976" s="17">
        <f>Github!F$620</f>
        <v>115</v>
      </c>
      <c r="D1976" s="17">
        <f>Github!G$620</f>
        <v>104</v>
      </c>
      <c r="E1976" s="17">
        <f>Github!F$620+Github!G$620</f>
        <v>219</v>
      </c>
      <c r="F1976" s="18">
        <f t="shared" si="1"/>
        <v>1.11</v>
      </c>
      <c r="G1976" s="17" t="str">
        <f>Github!H$620</f>
        <v>Database</v>
      </c>
      <c r="H1976" s="19" t="str">
        <f>SUBSTITUTE(Github!L$620, ";", ", ")</f>
        <v>Database, </v>
      </c>
      <c r="I1976" s="17" t="str">
        <f>Github!E$620</f>
        <v>Easy</v>
      </c>
      <c r="J1976" s="17" t="str">
        <f>IF(TRIM(Github!D$620)="TRUE","FALSE","TRUE")</f>
        <v>FALSE</v>
      </c>
      <c r="K1976" s="17" t="b">
        <f>Github!M$620</f>
        <v>1</v>
      </c>
      <c r="L1976" s="17" t="b">
        <f>Github!N$620</f>
        <v>0</v>
      </c>
      <c r="M1976" s="17" t="str">
        <f>ROUND(Github!O$620, 2)&amp;"%"</f>
        <v>47.23%</v>
      </c>
      <c r="N1976" s="17">
        <f>Github!P$620</f>
        <v>43462</v>
      </c>
      <c r="O1976" s="17">
        <f>Github!Q$620</f>
        <v>92019</v>
      </c>
    </row>
    <row r="1977" ht="18.0" customHeight="1">
      <c r="A1977" s="17">
        <f>Github!J$832</f>
        <v>831</v>
      </c>
      <c r="B1977" s="27" t="str">
        <f>HYPERLINK(CONCAT("http://leetcode.com/problems/",Github!C$832), Github!B$832)</f>
        <v>Masking Personal Information</v>
      </c>
      <c r="C1977" s="17">
        <f>Github!F$832</f>
        <v>115</v>
      </c>
      <c r="D1977" s="17">
        <f>Github!G$832</f>
        <v>396</v>
      </c>
      <c r="E1977" s="17">
        <f>Github!F$832+Github!G$832</f>
        <v>511</v>
      </c>
      <c r="F1977" s="18">
        <f t="shared" si="1"/>
        <v>0.29</v>
      </c>
      <c r="G1977" s="17" t="str">
        <f>Github!H$832</f>
        <v>Algorithms</v>
      </c>
      <c r="H1977" s="19" t="str">
        <f>SUBSTITUTE(Github!L$832, ";", ", ")</f>
        <v>String, </v>
      </c>
      <c r="I1977" s="17" t="str">
        <f>Github!E$832</f>
        <v>Medium</v>
      </c>
      <c r="J1977" s="17" t="str">
        <f>IF(TRIM(Github!D$832)="TRUE","FALSE","TRUE")</f>
        <v>TRUE</v>
      </c>
      <c r="K1977" s="17" t="b">
        <f>Github!M$832</f>
        <v>0</v>
      </c>
      <c r="L1977" s="17" t="b">
        <f>Github!N$832</f>
        <v>0</v>
      </c>
      <c r="M1977" s="17" t="str">
        <f>ROUND(Github!O$832, 2)&amp;"%"</f>
        <v>45.85%</v>
      </c>
      <c r="N1977" s="17">
        <f>Github!P$832</f>
        <v>14051</v>
      </c>
      <c r="O1977" s="17">
        <f>Github!Q$832</f>
        <v>30644</v>
      </c>
    </row>
    <row r="1978" ht="18.0" customHeight="1">
      <c r="A1978" s="17">
        <f>Github!J$1358</f>
        <v>1357</v>
      </c>
      <c r="B1978" s="27" t="str">
        <f>HYPERLINK(CONCAT("http://leetcode.com/problems/",Github!C$1358), Github!B$1358)</f>
        <v>Apply Discount Every n Orders</v>
      </c>
      <c r="C1978" s="17">
        <f>Github!F$1358</f>
        <v>113</v>
      </c>
      <c r="D1978" s="17">
        <f>Github!G$1358</f>
        <v>156</v>
      </c>
      <c r="E1978" s="17">
        <f>Github!F$1358+Github!G$1358</f>
        <v>269</v>
      </c>
      <c r="F1978" s="18">
        <f t="shared" si="1"/>
        <v>0.72</v>
      </c>
      <c r="G1978" s="17" t="str">
        <f>Github!H$1358</f>
        <v>Algorithms</v>
      </c>
      <c r="H1978" s="19" t="str">
        <f>SUBSTITUTE(Github!L$1358, ";", ", ")</f>
        <v>Array, Hash Table, Design, </v>
      </c>
      <c r="I1978" s="17" t="str">
        <f>Github!E$1358</f>
        <v>Medium</v>
      </c>
      <c r="J1978" s="17" t="str">
        <f>IF(TRIM(Github!D$1358)="TRUE","FALSE","TRUE")</f>
        <v>TRUE</v>
      </c>
      <c r="K1978" s="17" t="b">
        <f>Github!M$1358</f>
        <v>0</v>
      </c>
      <c r="L1978" s="17" t="b">
        <f>Github!N$1358</f>
        <v>0</v>
      </c>
      <c r="M1978" s="17" t="str">
        <f>ROUND(Github!O$1358, 2)&amp;"%"</f>
        <v>68.7%</v>
      </c>
      <c r="N1978" s="17">
        <f>Github!P$1358</f>
        <v>13999</v>
      </c>
      <c r="O1978" s="17">
        <f>Github!Q$1358</f>
        <v>20377</v>
      </c>
    </row>
    <row r="1979" ht="18.0" customHeight="1">
      <c r="A1979" s="17">
        <f>Github!J$1831</f>
        <v>1830</v>
      </c>
      <c r="B1979" s="27" t="str">
        <f>HYPERLINK(CONCAT("http://leetcode.com/problems/",Github!C$1831), Github!B$1831)</f>
        <v>Minimum Number of Operations to Make String Sorted</v>
      </c>
      <c r="C1979" s="17">
        <f>Github!F$1831</f>
        <v>113</v>
      </c>
      <c r="D1979" s="17">
        <f>Github!G$1831</f>
        <v>90</v>
      </c>
      <c r="E1979" s="17">
        <f>Github!F$1831+Github!G$1831</f>
        <v>203</v>
      </c>
      <c r="F1979" s="18">
        <f t="shared" si="1"/>
        <v>1.26</v>
      </c>
      <c r="G1979" s="17" t="str">
        <f>Github!H$1831</f>
        <v>Algorithms</v>
      </c>
      <c r="H1979" s="19" t="str">
        <f>SUBSTITUTE(Github!L$1831, ";", ", ")</f>
        <v>Math, String, Combinatorics, </v>
      </c>
      <c r="I1979" s="17" t="str">
        <f>Github!E$1831</f>
        <v>Hard</v>
      </c>
      <c r="J1979" s="17" t="str">
        <f>IF(TRIM(Github!D$1831)="TRUE","FALSE","TRUE")</f>
        <v>TRUE</v>
      </c>
      <c r="K1979" s="17" t="b">
        <f>Github!M$1831</f>
        <v>0</v>
      </c>
      <c r="L1979" s="17" t="b">
        <f>Github!N$1831</f>
        <v>0</v>
      </c>
      <c r="M1979" s="17" t="str">
        <f>ROUND(Github!O$1831, 2)&amp;"%"</f>
        <v>47.76%</v>
      </c>
      <c r="N1979" s="17">
        <f>Github!P$1831</f>
        <v>2143</v>
      </c>
      <c r="O1979" s="17">
        <f>Github!Q$1831</f>
        <v>4487</v>
      </c>
    </row>
    <row r="1980" ht="18.0" customHeight="1">
      <c r="A1980" s="17">
        <f>Github!J$1720</f>
        <v>1719</v>
      </c>
      <c r="B1980" s="27" t="str">
        <f>HYPERLINK(CONCAT("http://leetcode.com/problems/",Github!C$1720), Github!B$1720)</f>
        <v>Number Of Ways To Reconstruct A Tree</v>
      </c>
      <c r="C1980" s="17">
        <f>Github!F$1720</f>
        <v>112</v>
      </c>
      <c r="D1980" s="17">
        <f>Github!G$1720</f>
        <v>86</v>
      </c>
      <c r="E1980" s="17">
        <f>Github!F$1720+Github!G$1720</f>
        <v>198</v>
      </c>
      <c r="F1980" s="18">
        <f t="shared" si="1"/>
        <v>1.3</v>
      </c>
      <c r="G1980" s="17" t="str">
        <f>Github!H$1720</f>
        <v>Algorithms</v>
      </c>
      <c r="H1980" s="19" t="str">
        <f>SUBSTITUTE(Github!L$1720, ";", ", ")</f>
        <v>Tree, Graph, Topological Sort, </v>
      </c>
      <c r="I1980" s="17" t="str">
        <f>Github!E$1720</f>
        <v>Hard</v>
      </c>
      <c r="J1980" s="17" t="str">
        <f>IF(TRIM(Github!D$1720)="TRUE","FALSE","TRUE")</f>
        <v>TRUE</v>
      </c>
      <c r="K1980" s="17" t="b">
        <f>Github!M$1720</f>
        <v>0</v>
      </c>
      <c r="L1980" s="17" t="b">
        <f>Github!N$1720</f>
        <v>0</v>
      </c>
      <c r="M1980" s="17" t="str">
        <f>ROUND(Github!O$1720, 2)&amp;"%"</f>
        <v>42.08%</v>
      </c>
      <c r="N1980" s="17">
        <f>Github!P$1720</f>
        <v>2371</v>
      </c>
      <c r="O1980" s="17">
        <f>Github!Q$1720</f>
        <v>5635</v>
      </c>
    </row>
    <row r="1981" ht="18.0" customHeight="1">
      <c r="A1981" s="17">
        <f>Github!J$771</f>
        <v>770</v>
      </c>
      <c r="B1981" s="27" t="str">
        <f>HYPERLINK(CONCAT("http://leetcode.com/problems/",Github!C$771), Github!B$771)</f>
        <v>Basic Calculator IV</v>
      </c>
      <c r="C1981" s="17">
        <f>Github!F$771</f>
        <v>111</v>
      </c>
      <c r="D1981" s="17">
        <f>Github!G$771</f>
        <v>1155</v>
      </c>
      <c r="E1981" s="17">
        <f>Github!F$771+Github!G$771</f>
        <v>1266</v>
      </c>
      <c r="F1981" s="18">
        <f t="shared" si="1"/>
        <v>0.1</v>
      </c>
      <c r="G1981" s="17" t="str">
        <f>Github!H$771</f>
        <v>Algorithms</v>
      </c>
      <c r="H1981" s="19" t="str">
        <f>SUBSTITUTE(Github!L$771, ";", ", ")</f>
        <v>Hash Table, Math, String, Stack, Recursion, </v>
      </c>
      <c r="I1981" s="17" t="str">
        <f>Github!E$771</f>
        <v>Hard</v>
      </c>
      <c r="J1981" s="17" t="str">
        <f>IF(TRIM(Github!D$771)="TRUE","FALSE","TRUE")</f>
        <v>TRUE</v>
      </c>
      <c r="K1981" s="17" t="b">
        <f>Github!M$771</f>
        <v>0</v>
      </c>
      <c r="L1981" s="17" t="b">
        <f>Github!N$771</f>
        <v>0</v>
      </c>
      <c r="M1981" s="17" t="str">
        <f>ROUND(Github!O$771, 2)&amp;"%"</f>
        <v>55.54%</v>
      </c>
      <c r="N1981" s="17">
        <f>Github!P$771</f>
        <v>7929</v>
      </c>
      <c r="O1981" s="17">
        <f>Github!Q$771</f>
        <v>14277</v>
      </c>
    </row>
    <row r="1982" ht="18.0" customHeight="1">
      <c r="A1982" s="17">
        <f>Github!J$1133</f>
        <v>1132</v>
      </c>
      <c r="B1982" s="27" t="str">
        <f>HYPERLINK(CONCAT("http://leetcode.com/problems/",Github!C$1133), Github!B$1133)</f>
        <v>Reported Posts II</v>
      </c>
      <c r="C1982" s="17">
        <f>Github!F$1133</f>
        <v>110</v>
      </c>
      <c r="D1982" s="17">
        <f>Github!G$1133</f>
        <v>392</v>
      </c>
      <c r="E1982" s="17">
        <f>Github!F$1133+Github!G$1133</f>
        <v>502</v>
      </c>
      <c r="F1982" s="18">
        <f t="shared" si="1"/>
        <v>0.28</v>
      </c>
      <c r="G1982" s="17" t="str">
        <f>Github!H$1133</f>
        <v>Database</v>
      </c>
      <c r="H1982" s="19" t="str">
        <f>SUBSTITUTE(Github!L$1133, ";", ", ")</f>
        <v>Database, </v>
      </c>
      <c r="I1982" s="17" t="str">
        <f>Github!E$1133</f>
        <v>Medium</v>
      </c>
      <c r="J1982" s="17" t="str">
        <f>IF(TRIM(Github!D$1133)="TRUE","FALSE","TRUE")</f>
        <v>FALSE</v>
      </c>
      <c r="K1982" s="17" t="b">
        <f>Github!M$1133</f>
        <v>0</v>
      </c>
      <c r="L1982" s="17" t="b">
        <f>Github!N$1133</f>
        <v>0</v>
      </c>
      <c r="M1982" s="17" t="str">
        <f>ROUND(Github!O$1133, 2)&amp;"%"</f>
        <v>33.8%</v>
      </c>
      <c r="N1982" s="17">
        <f>Github!P$1133</f>
        <v>25452</v>
      </c>
      <c r="O1982" s="17">
        <f>Github!Q$1133</f>
        <v>75309</v>
      </c>
    </row>
    <row r="1983" ht="18.0" customHeight="1">
      <c r="A1983" s="17">
        <f>Github!J$1244</f>
        <v>1243</v>
      </c>
      <c r="B1983" s="27" t="str">
        <f>HYPERLINK(CONCAT("http://leetcode.com/problems/",Github!C$1244), Github!B$1244)</f>
        <v>Array Transformation</v>
      </c>
      <c r="C1983" s="17">
        <f>Github!F$1244</f>
        <v>110</v>
      </c>
      <c r="D1983" s="17">
        <f>Github!G$1244</f>
        <v>49</v>
      </c>
      <c r="E1983" s="17">
        <f>Github!F$1244+Github!G$1244</f>
        <v>159</v>
      </c>
      <c r="F1983" s="18">
        <f t="shared" si="1"/>
        <v>2.24</v>
      </c>
      <c r="G1983" s="17" t="str">
        <f>Github!H$1244</f>
        <v>Algorithms</v>
      </c>
      <c r="H1983" s="19" t="str">
        <f>SUBSTITUTE(Github!L$1244, ";", ", ")</f>
        <v>Array, Simulation, </v>
      </c>
      <c r="I1983" s="17" t="str">
        <f>Github!E$1244</f>
        <v>Easy</v>
      </c>
      <c r="J1983" s="17" t="str">
        <f>IF(TRIM(Github!D$1244)="TRUE","FALSE","TRUE")</f>
        <v>FALSE</v>
      </c>
      <c r="K1983" s="17" t="b">
        <f>Github!M$1244</f>
        <v>0</v>
      </c>
      <c r="L1983" s="17" t="b">
        <f>Github!N$1244</f>
        <v>0</v>
      </c>
      <c r="M1983" s="17" t="str">
        <f>ROUND(Github!O$1244, 2)&amp;"%"</f>
        <v>50.3%</v>
      </c>
      <c r="N1983" s="17">
        <f>Github!P$1244</f>
        <v>9869</v>
      </c>
      <c r="O1983" s="17">
        <f>Github!Q$1244</f>
        <v>19621</v>
      </c>
    </row>
    <row r="1984" ht="18.0" customHeight="1">
      <c r="A1984" s="17">
        <f>Github!J$1779</f>
        <v>1778</v>
      </c>
      <c r="B1984" s="27" t="str">
        <f>HYPERLINK(CONCAT("http://leetcode.com/problems/",Github!C$1779), Github!B$1779)</f>
        <v>Shortest Path in a Hidden Grid</v>
      </c>
      <c r="C1984" s="17">
        <f>Github!F$1779</f>
        <v>109</v>
      </c>
      <c r="D1984" s="17">
        <f>Github!G$1779</f>
        <v>43</v>
      </c>
      <c r="E1984" s="17">
        <f>Github!F$1779+Github!G$1779</f>
        <v>152</v>
      </c>
      <c r="F1984" s="18">
        <f t="shared" si="1"/>
        <v>2.53</v>
      </c>
      <c r="G1984" s="17" t="str">
        <f>Github!H$1779</f>
        <v>Algorithms</v>
      </c>
      <c r="H1984" s="19" t="str">
        <f>SUBSTITUTE(Github!L$1779, ";", ", ")</f>
        <v>Depth-First Search, Breadth-First Search, Graph, Interactive, </v>
      </c>
      <c r="I1984" s="17" t="str">
        <f>Github!E$1779</f>
        <v>Medium</v>
      </c>
      <c r="J1984" s="17" t="str">
        <f>IF(TRIM(Github!D$1779)="TRUE","FALSE","TRUE")</f>
        <v>FALSE</v>
      </c>
      <c r="K1984" s="17" t="b">
        <f>Github!M$1779</f>
        <v>0</v>
      </c>
      <c r="L1984" s="17" t="b">
        <f>Github!N$1779</f>
        <v>0</v>
      </c>
      <c r="M1984" s="17" t="str">
        <f>ROUND(Github!O$1779, 2)&amp;"%"</f>
        <v>41.63%</v>
      </c>
      <c r="N1984" s="17">
        <f>Github!P$1779</f>
        <v>3734</v>
      </c>
      <c r="O1984" s="17">
        <f>Github!Q$1779</f>
        <v>8969</v>
      </c>
    </row>
    <row r="1985" ht="18.0" customHeight="1">
      <c r="A1985" s="17">
        <f>Github!J$1454</f>
        <v>1453</v>
      </c>
      <c r="B1985" s="27" t="str">
        <f>HYPERLINK(CONCAT("http://leetcode.com/problems/",Github!C$1454), Github!B$1454)</f>
        <v>Maximum Number of Darts Inside of a Circular Dartboard</v>
      </c>
      <c r="C1985" s="17">
        <f>Github!F$1454</f>
        <v>108</v>
      </c>
      <c r="D1985" s="17">
        <f>Github!G$1454</f>
        <v>237</v>
      </c>
      <c r="E1985" s="17">
        <f>Github!F$1454+Github!G$1454</f>
        <v>345</v>
      </c>
      <c r="F1985" s="18">
        <f t="shared" si="1"/>
        <v>0.46</v>
      </c>
      <c r="G1985" s="17" t="str">
        <f>Github!H$1454</f>
        <v>Algorithms</v>
      </c>
      <c r="H1985" s="19" t="str">
        <f>SUBSTITUTE(Github!L$1454, ";", ", ")</f>
        <v>Array, Math, Geometry, </v>
      </c>
      <c r="I1985" s="17" t="str">
        <f>Github!E$1454</f>
        <v>Hard</v>
      </c>
      <c r="J1985" s="17" t="str">
        <f>IF(TRIM(Github!D$1454)="TRUE","FALSE","TRUE")</f>
        <v>TRUE</v>
      </c>
      <c r="K1985" s="17" t="b">
        <f>Github!M$1454</f>
        <v>0</v>
      </c>
      <c r="L1985" s="17" t="b">
        <f>Github!N$1454</f>
        <v>0</v>
      </c>
      <c r="M1985" s="17" t="str">
        <f>ROUND(Github!O$1454, 2)&amp;"%"</f>
        <v>36.3%</v>
      </c>
      <c r="N1985" s="17">
        <f>Github!P$1454</f>
        <v>4487</v>
      </c>
      <c r="O1985" s="17">
        <f>Github!Q$1454</f>
        <v>12362</v>
      </c>
    </row>
    <row r="1986" ht="18.0" customHeight="1">
      <c r="A1986" s="17">
        <f>Github!J$2048</f>
        <v>2047</v>
      </c>
      <c r="B1986" s="27" t="str">
        <f>HYPERLINK(CONCAT("http://leetcode.com/problems/",Github!C$2048), Github!B$2048)</f>
        <v>Number of Valid Words in a Sentence</v>
      </c>
      <c r="C1986" s="17">
        <f>Github!F$2048</f>
        <v>109</v>
      </c>
      <c r="D1986" s="17">
        <f>Github!G$2048</f>
        <v>448</v>
      </c>
      <c r="E1986" s="17">
        <f>Github!F$2048+Github!G$2048</f>
        <v>557</v>
      </c>
      <c r="F1986" s="18">
        <f t="shared" si="1"/>
        <v>0.24</v>
      </c>
      <c r="G1986" s="17" t="str">
        <f>Github!H$2048</f>
        <v>Algorithms</v>
      </c>
      <c r="H1986" s="19" t="str">
        <f>SUBSTITUTE(Github!L$2048, ";", ", ")</f>
        <v>String, </v>
      </c>
      <c r="I1986" s="17" t="str">
        <f>Github!E$2048</f>
        <v>Easy</v>
      </c>
      <c r="J1986" s="17" t="str">
        <f>IF(TRIM(Github!D$2048)="TRUE","FALSE","TRUE")</f>
        <v>TRUE</v>
      </c>
      <c r="K1986" s="17" t="b">
        <f>Github!M$2048</f>
        <v>0</v>
      </c>
      <c r="L1986" s="17" t="b">
        <f>Github!N$2048</f>
        <v>0</v>
      </c>
      <c r="M1986" s="17" t="str">
        <f>ROUND(Github!O$2048, 2)&amp;"%"</f>
        <v>29.31%</v>
      </c>
      <c r="N1986" s="17">
        <f>Github!P$2048</f>
        <v>12885</v>
      </c>
      <c r="O1986" s="17">
        <f>Github!Q$2048</f>
        <v>43968</v>
      </c>
    </row>
    <row r="1987" ht="18.0" customHeight="1">
      <c r="A1987" s="17">
        <f>Github!J$2103</f>
        <v>2102</v>
      </c>
      <c r="B1987" s="27" t="str">
        <f>HYPERLINK(CONCAT("http://leetcode.com/problems/",Github!C$2103), Github!B$2103)</f>
        <v>Sequentially Ordinal Rank Tracker</v>
      </c>
      <c r="C1987" s="17">
        <f>Github!F$2103</f>
        <v>107</v>
      </c>
      <c r="D1987" s="17">
        <f>Github!G$2103</f>
        <v>24</v>
      </c>
      <c r="E1987" s="17">
        <f>Github!F$2103+Github!G$2103</f>
        <v>131</v>
      </c>
      <c r="F1987" s="18">
        <f t="shared" si="1"/>
        <v>4.46</v>
      </c>
      <c r="G1987" s="17" t="str">
        <f>Github!H$2103</f>
        <v>Algorithms</v>
      </c>
      <c r="H1987" s="19" t="str">
        <f>SUBSTITUTE(Github!L$2103, ";", ", ")</f>
        <v>Design, Heap (Priority Queue), Data Stream, Ordered Set, </v>
      </c>
      <c r="I1987" s="17" t="str">
        <f>Github!E$2103</f>
        <v>Hard</v>
      </c>
      <c r="J1987" s="17" t="str">
        <f>IF(TRIM(Github!D$2103)="TRUE","FALSE","TRUE")</f>
        <v>TRUE</v>
      </c>
      <c r="K1987" s="17" t="b">
        <f>Github!M$2103</f>
        <v>0</v>
      </c>
      <c r="L1987" s="17" t="b">
        <f>Github!N$2103</f>
        <v>0</v>
      </c>
      <c r="M1987" s="17" t="str">
        <f>ROUND(Github!O$2103, 2)&amp;"%"</f>
        <v>61.03%</v>
      </c>
      <c r="N1987" s="17">
        <f>Github!P$2103</f>
        <v>3486</v>
      </c>
      <c r="O1987" s="17">
        <f>Github!Q$2103</f>
        <v>5712</v>
      </c>
    </row>
    <row r="1988" ht="18.0" customHeight="1">
      <c r="A1988" s="17">
        <f>Github!J$823</f>
        <v>822</v>
      </c>
      <c r="B1988" s="27" t="str">
        <f>HYPERLINK(CONCAT("http://leetcode.com/problems/",Github!C$823), Github!B$823)</f>
        <v>Card Flipping Game</v>
      </c>
      <c r="C1988" s="17">
        <f>Github!F$823</f>
        <v>107</v>
      </c>
      <c r="D1988" s="17">
        <f>Github!G$823</f>
        <v>619</v>
      </c>
      <c r="E1988" s="17">
        <f>Github!F$823+Github!G$823</f>
        <v>726</v>
      </c>
      <c r="F1988" s="18">
        <f t="shared" si="1"/>
        <v>0.17</v>
      </c>
      <c r="G1988" s="17" t="str">
        <f>Github!H$823</f>
        <v>Algorithms</v>
      </c>
      <c r="H1988" s="19" t="str">
        <f>SUBSTITUTE(Github!L$823, ";", ", ")</f>
        <v>Array, Hash Table, </v>
      </c>
      <c r="I1988" s="17" t="str">
        <f>Github!E$823</f>
        <v>Medium</v>
      </c>
      <c r="J1988" s="17" t="str">
        <f>IF(TRIM(Github!D$823)="TRUE","FALSE","TRUE")</f>
        <v>TRUE</v>
      </c>
      <c r="K1988" s="17" t="b">
        <f>Github!M$823</f>
        <v>0</v>
      </c>
      <c r="L1988" s="17" t="b">
        <f>Github!N$823</f>
        <v>0</v>
      </c>
      <c r="M1988" s="17" t="str">
        <f>ROUND(Github!O$823, 2)&amp;"%"</f>
        <v>44.62%</v>
      </c>
      <c r="N1988" s="17">
        <f>Github!P$823</f>
        <v>12689</v>
      </c>
      <c r="O1988" s="17">
        <f>Github!Q$823</f>
        <v>28437</v>
      </c>
    </row>
    <row r="1989" ht="18.0" customHeight="1">
      <c r="A1989" s="17">
        <f>Github!J$1441</f>
        <v>1440</v>
      </c>
      <c r="B1989" s="27" t="str">
        <f>HYPERLINK(CONCAT("http://leetcode.com/problems/",Github!C$1441), Github!B$1441)</f>
        <v>Evaluate Boolean Expression</v>
      </c>
      <c r="C1989" s="17">
        <f>Github!F$1441</f>
        <v>106</v>
      </c>
      <c r="D1989" s="17">
        <f>Github!G$1441</f>
        <v>6</v>
      </c>
      <c r="E1989" s="17">
        <f>Github!F$1441+Github!G$1441</f>
        <v>112</v>
      </c>
      <c r="F1989" s="18">
        <f t="shared" si="1"/>
        <v>17.67</v>
      </c>
      <c r="G1989" s="17" t="str">
        <f>Github!H$1441</f>
        <v>Database</v>
      </c>
      <c r="H1989" s="19" t="str">
        <f>SUBSTITUTE(Github!L$1441, ";", ", ")</f>
        <v>Database, </v>
      </c>
      <c r="I1989" s="17" t="str">
        <f>Github!E$1441</f>
        <v>Medium</v>
      </c>
      <c r="J1989" s="17" t="str">
        <f>IF(TRIM(Github!D$1441)="TRUE","FALSE","TRUE")</f>
        <v>FALSE</v>
      </c>
      <c r="K1989" s="17" t="b">
        <f>Github!M$1441</f>
        <v>0</v>
      </c>
      <c r="L1989" s="17" t="b">
        <f>Github!N$1441</f>
        <v>0</v>
      </c>
      <c r="M1989" s="17" t="str">
        <f>ROUND(Github!O$1441, 2)&amp;"%"</f>
        <v>75.53%</v>
      </c>
      <c r="N1989" s="17">
        <f>Github!P$1441</f>
        <v>11500</v>
      </c>
      <c r="O1989" s="17">
        <f>Github!Q$1441</f>
        <v>15227</v>
      </c>
    </row>
    <row r="1990" ht="18.0" customHeight="1">
      <c r="A1990" s="17">
        <f>Github!J$2106</f>
        <v>2105</v>
      </c>
      <c r="B1990" s="27" t="str">
        <f>HYPERLINK(CONCAT("http://leetcode.com/problems/",Github!C$2106), Github!B$2106)</f>
        <v>Watering Plants II</v>
      </c>
      <c r="C1990" s="17">
        <f>Github!F$2106</f>
        <v>106</v>
      </c>
      <c r="D1990" s="17">
        <f>Github!G$2106</f>
        <v>114</v>
      </c>
      <c r="E1990" s="17">
        <f>Github!F$2106+Github!G$2106</f>
        <v>220</v>
      </c>
      <c r="F1990" s="18">
        <f t="shared" si="1"/>
        <v>0.93</v>
      </c>
      <c r="G1990" s="17" t="str">
        <f>Github!H$2106</f>
        <v>Algorithms</v>
      </c>
      <c r="H1990" s="19" t="str">
        <f>SUBSTITUTE(Github!L$2106, ";", ", ")</f>
        <v>Array, Two Pointers, Simulation, </v>
      </c>
      <c r="I1990" s="17" t="str">
        <f>Github!E$2106</f>
        <v>Medium</v>
      </c>
      <c r="J1990" s="17" t="str">
        <f>IF(TRIM(Github!D$2106)="TRUE","FALSE","TRUE")</f>
        <v>TRUE</v>
      </c>
      <c r="K1990" s="17" t="b">
        <f>Github!M$2106</f>
        <v>0</v>
      </c>
      <c r="L1990" s="17" t="b">
        <f>Github!N$2106</f>
        <v>0</v>
      </c>
      <c r="M1990" s="17" t="str">
        <f>ROUND(Github!O$2106, 2)&amp;"%"</f>
        <v>51.33%</v>
      </c>
      <c r="N1990" s="17">
        <f>Github!P$2106</f>
        <v>10164</v>
      </c>
      <c r="O1990" s="17">
        <f>Github!Q$2106</f>
        <v>19801</v>
      </c>
    </row>
    <row r="1991" ht="18.0" customHeight="1">
      <c r="A1991" s="17">
        <f>Github!J$157</f>
        <v>156</v>
      </c>
      <c r="B1991" s="27" t="str">
        <f>HYPERLINK(CONCAT("http://leetcode.com/problems/",Github!C$157), Github!B$157)</f>
        <v>Binary Tree Upside Down</v>
      </c>
      <c r="C1991" s="17">
        <f>Github!F$157</f>
        <v>104</v>
      </c>
      <c r="D1991" s="17">
        <f>Github!G$157</f>
        <v>188</v>
      </c>
      <c r="E1991" s="17">
        <f>Github!F$157+Github!G$157</f>
        <v>292</v>
      </c>
      <c r="F1991" s="18">
        <f t="shared" si="1"/>
        <v>0.55</v>
      </c>
      <c r="G1991" s="17" t="str">
        <f>Github!H$157</f>
        <v>Algorithms</v>
      </c>
      <c r="H1991" s="19" t="str">
        <f>SUBSTITUTE(Github!L$157, ";", ", ")</f>
        <v>Tree, Depth-First Search, Binary Tree, </v>
      </c>
      <c r="I1991" s="17" t="str">
        <f>Github!E$157</f>
        <v>Medium</v>
      </c>
      <c r="J1991" s="17" t="str">
        <f>IF(TRIM(Github!D$157)="TRUE","FALSE","TRUE")</f>
        <v>FALSE</v>
      </c>
      <c r="K1991" s="17" t="b">
        <f>Github!M$157</f>
        <v>0</v>
      </c>
      <c r="L1991" s="17" t="b">
        <f>Github!N$157</f>
        <v>0</v>
      </c>
      <c r="M1991" s="17" t="str">
        <f>ROUND(Github!O$157, 2)&amp;"%"</f>
        <v>59.81%</v>
      </c>
      <c r="N1991" s="17">
        <f>Github!P$157</f>
        <v>83602</v>
      </c>
      <c r="O1991" s="17">
        <f>Github!Q$157</f>
        <v>139773</v>
      </c>
    </row>
    <row r="1992" ht="18.0" customHeight="1">
      <c r="A1992" s="17">
        <f>Github!J$1108</f>
        <v>1107</v>
      </c>
      <c r="B1992" s="27" t="str">
        <f>HYPERLINK(CONCAT("http://leetcode.com/problems/",Github!C$1108), Github!B$1108)</f>
        <v>New Users Daily Count</v>
      </c>
      <c r="C1992" s="17">
        <f>Github!F$1108</f>
        <v>104</v>
      </c>
      <c r="D1992" s="17">
        <f>Github!G$1108</f>
        <v>99</v>
      </c>
      <c r="E1992" s="17">
        <f>Github!F$1108+Github!G$1108</f>
        <v>203</v>
      </c>
      <c r="F1992" s="18">
        <f t="shared" si="1"/>
        <v>1.05</v>
      </c>
      <c r="G1992" s="17" t="str">
        <f>Github!H$1108</f>
        <v>Database</v>
      </c>
      <c r="H1992" s="19" t="str">
        <f>SUBSTITUTE(Github!L$1108, ";", ", ")</f>
        <v>Database, </v>
      </c>
      <c r="I1992" s="17" t="str">
        <f>Github!E$1108</f>
        <v>Medium</v>
      </c>
      <c r="J1992" s="17" t="str">
        <f>IF(TRIM(Github!D$1108)="TRUE","FALSE","TRUE")</f>
        <v>FALSE</v>
      </c>
      <c r="K1992" s="17" t="b">
        <f>Github!M$1108</f>
        <v>0</v>
      </c>
      <c r="L1992" s="17" t="b">
        <f>Github!N$1108</f>
        <v>0</v>
      </c>
      <c r="M1992" s="17" t="str">
        <f>ROUND(Github!O$1108, 2)&amp;"%"</f>
        <v>45.72%</v>
      </c>
      <c r="N1992" s="17">
        <f>Github!P$1108</f>
        <v>23576</v>
      </c>
      <c r="O1992" s="17">
        <f>Github!Q$1108</f>
        <v>51570</v>
      </c>
    </row>
    <row r="1993" ht="18.0" customHeight="1">
      <c r="A1993" s="17">
        <f>Github!J$1436</f>
        <v>1435</v>
      </c>
      <c r="B1993" s="27" t="str">
        <f>HYPERLINK(CONCAT("http://leetcode.com/problems/",Github!C$1436), Github!B$1436)</f>
        <v>Create a Session Bar Chart</v>
      </c>
      <c r="C1993" s="17">
        <f>Github!F$1436</f>
        <v>104</v>
      </c>
      <c r="D1993" s="17">
        <f>Github!G$1436</f>
        <v>181</v>
      </c>
      <c r="E1993" s="17">
        <f>Github!F$1436+Github!G$1436</f>
        <v>285</v>
      </c>
      <c r="F1993" s="18">
        <f t="shared" si="1"/>
        <v>0.57</v>
      </c>
      <c r="G1993" s="17" t="str">
        <f>Github!H$1436</f>
        <v>Database</v>
      </c>
      <c r="H1993" s="19" t="str">
        <f>SUBSTITUTE(Github!L$1436, ";", ", ")</f>
        <v>Database, </v>
      </c>
      <c r="I1993" s="17" t="str">
        <f>Github!E$1436</f>
        <v>Easy</v>
      </c>
      <c r="J1993" s="17" t="str">
        <f>IF(TRIM(Github!D$1436)="TRUE","FALSE","TRUE")</f>
        <v>FALSE</v>
      </c>
      <c r="K1993" s="17" t="b">
        <f>Github!M$1436</f>
        <v>0</v>
      </c>
      <c r="L1993" s="17" t="b">
        <f>Github!N$1436</f>
        <v>0</v>
      </c>
      <c r="M1993" s="17" t="str">
        <f>ROUND(Github!O$1436, 2)&amp;"%"</f>
        <v>78.33%</v>
      </c>
      <c r="N1993" s="17">
        <f>Github!P$1436</f>
        <v>15042</v>
      </c>
      <c r="O1993" s="17">
        <f>Github!Q$1436</f>
        <v>19203</v>
      </c>
    </row>
    <row r="1994" ht="18.0" customHeight="1">
      <c r="A1994" s="17">
        <f>Github!J$1700</f>
        <v>1699</v>
      </c>
      <c r="B1994" s="27" t="str">
        <f>HYPERLINK(CONCAT("http://leetcode.com/problems/",Github!C$1700), Github!B$1700)</f>
        <v>Number of Calls Between Two Persons</v>
      </c>
      <c r="C1994" s="17">
        <f>Github!F$1700</f>
        <v>104</v>
      </c>
      <c r="D1994" s="17">
        <f>Github!G$1700</f>
        <v>3</v>
      </c>
      <c r="E1994" s="17">
        <f>Github!F$1700+Github!G$1700</f>
        <v>107</v>
      </c>
      <c r="F1994" s="18">
        <f t="shared" si="1"/>
        <v>34.67</v>
      </c>
      <c r="G1994" s="17" t="str">
        <f>Github!H$1700</f>
        <v>Database</v>
      </c>
      <c r="H1994" s="19" t="str">
        <f>SUBSTITUTE(Github!L$1700, ";", ", ")</f>
        <v>Database, </v>
      </c>
      <c r="I1994" s="17" t="str">
        <f>Github!E$1700</f>
        <v>Medium</v>
      </c>
      <c r="J1994" s="17" t="str">
        <f>IF(TRIM(Github!D$1700)="TRUE","FALSE","TRUE")</f>
        <v>FALSE</v>
      </c>
      <c r="K1994" s="17" t="b">
        <f>Github!M$1700</f>
        <v>0</v>
      </c>
      <c r="L1994" s="17" t="b">
        <f>Github!N$1700</f>
        <v>0</v>
      </c>
      <c r="M1994" s="17" t="str">
        <f>ROUND(Github!O$1700, 2)&amp;"%"</f>
        <v>86.14%</v>
      </c>
      <c r="N1994" s="17">
        <f>Github!P$1700</f>
        <v>14980</v>
      </c>
      <c r="O1994" s="17">
        <f>Github!Q$1700</f>
        <v>17390</v>
      </c>
    </row>
    <row r="1995" ht="18.0" customHeight="1">
      <c r="A1995" s="17">
        <f>Github!J$1812</f>
        <v>1811</v>
      </c>
      <c r="B1995" s="27" t="str">
        <f>HYPERLINK(CONCAT("http://leetcode.com/problems/",Github!C$1812), Github!B$1812)</f>
        <v>Find Interview Candidates</v>
      </c>
      <c r="C1995" s="17">
        <f>Github!F$1812</f>
        <v>103</v>
      </c>
      <c r="D1995" s="17">
        <f>Github!G$1812</f>
        <v>15</v>
      </c>
      <c r="E1995" s="17">
        <f>Github!F$1812+Github!G$1812</f>
        <v>118</v>
      </c>
      <c r="F1995" s="18">
        <f t="shared" si="1"/>
        <v>6.87</v>
      </c>
      <c r="G1995" s="17" t="str">
        <f>Github!H$1812</f>
        <v>Database</v>
      </c>
      <c r="H1995" s="19" t="str">
        <f>SUBSTITUTE(Github!L$1812, ";", ", ")</f>
        <v>Database, </v>
      </c>
      <c r="I1995" s="17" t="str">
        <f>Github!E$1812</f>
        <v>Medium</v>
      </c>
      <c r="J1995" s="17" t="str">
        <f>IF(TRIM(Github!D$1812)="TRUE","FALSE","TRUE")</f>
        <v>FALSE</v>
      </c>
      <c r="K1995" s="17" t="b">
        <f>Github!M$1812</f>
        <v>0</v>
      </c>
      <c r="L1995" s="17" t="b">
        <f>Github!N$1812</f>
        <v>0</v>
      </c>
      <c r="M1995" s="17" t="str">
        <f>ROUND(Github!O$1812, 2)&amp;"%"</f>
        <v>65.38%</v>
      </c>
      <c r="N1995" s="17">
        <f>Github!P$1812</f>
        <v>7240</v>
      </c>
      <c r="O1995" s="17">
        <f>Github!Q$1812</f>
        <v>11074</v>
      </c>
    </row>
    <row r="1996" ht="18.0" customHeight="1">
      <c r="A1996" s="17">
        <f>Github!J$2070</f>
        <v>2069</v>
      </c>
      <c r="B1996" s="27" t="str">
        <f>HYPERLINK(CONCAT("http://leetcode.com/problems/",Github!C$2070), Github!B$2070)</f>
        <v>Walking Robot Simulation II</v>
      </c>
      <c r="C1996" s="17">
        <f>Github!F$2070</f>
        <v>103</v>
      </c>
      <c r="D1996" s="17">
        <f>Github!G$2070</f>
        <v>229</v>
      </c>
      <c r="E1996" s="17">
        <f>Github!F$2070+Github!G$2070</f>
        <v>332</v>
      </c>
      <c r="F1996" s="18">
        <f t="shared" si="1"/>
        <v>0.45</v>
      </c>
      <c r="G1996" s="17" t="str">
        <f>Github!H$2070</f>
        <v>Algorithms</v>
      </c>
      <c r="H1996" s="19" t="str">
        <f>SUBSTITUTE(Github!L$2070, ";", ", ")</f>
        <v>Design, Simulation, </v>
      </c>
      <c r="I1996" s="17" t="str">
        <f>Github!E$2070</f>
        <v>Medium</v>
      </c>
      <c r="J1996" s="17" t="str">
        <f>IF(TRIM(Github!D$2070)="TRUE","FALSE","TRUE")</f>
        <v>TRUE</v>
      </c>
      <c r="K1996" s="17" t="b">
        <f>Github!M$2070</f>
        <v>0</v>
      </c>
      <c r="L1996" s="17" t="b">
        <f>Github!N$2070</f>
        <v>0</v>
      </c>
      <c r="M1996" s="17" t="str">
        <f>ROUND(Github!O$2070, 2)&amp;"%"</f>
        <v>21.37%</v>
      </c>
      <c r="N1996" s="17">
        <f>Github!P$2070</f>
        <v>5309</v>
      </c>
      <c r="O1996" s="17">
        <f>Github!Q$2070</f>
        <v>24842</v>
      </c>
    </row>
    <row r="1997" ht="18.0" customHeight="1">
      <c r="A1997" s="17">
        <f>Github!J$2191</f>
        <v>2190</v>
      </c>
      <c r="B1997" s="27" t="str">
        <f>HYPERLINK(CONCAT("http://leetcode.com/problems/",Github!C$2191), Github!B$2191)</f>
        <v>Most Frequent Number Following Key In an Array</v>
      </c>
      <c r="C1997" s="17">
        <f>Github!F$2191</f>
        <v>104</v>
      </c>
      <c r="D1997" s="17">
        <f>Github!G$2191</f>
        <v>50</v>
      </c>
      <c r="E1997" s="17">
        <f>Github!F$2191+Github!G$2191</f>
        <v>154</v>
      </c>
      <c r="F1997" s="18">
        <f t="shared" si="1"/>
        <v>2.08</v>
      </c>
      <c r="G1997" s="17" t="str">
        <f>Github!H$2191</f>
        <v>Algorithms</v>
      </c>
      <c r="H1997" s="19" t="str">
        <f>SUBSTITUTE(Github!L$2191, ";", ", ")</f>
        <v>Array, Hash Table, Counting, </v>
      </c>
      <c r="I1997" s="17" t="str">
        <f>Github!E$2191</f>
        <v>Easy</v>
      </c>
      <c r="J1997" s="17" t="str">
        <f>IF(TRIM(Github!D$2191)="TRUE","FALSE","TRUE")</f>
        <v>TRUE</v>
      </c>
      <c r="K1997" s="17" t="b">
        <f>Github!M$2191</f>
        <v>0</v>
      </c>
      <c r="L1997" s="17" t="b">
        <f>Github!N$2191</f>
        <v>0</v>
      </c>
      <c r="M1997" s="17" t="str">
        <f>ROUND(Github!O$2191, 2)&amp;"%"</f>
        <v>60.11%</v>
      </c>
      <c r="N1997" s="17">
        <f>Github!P$2191</f>
        <v>13466</v>
      </c>
      <c r="O1997" s="17">
        <f>Github!Q$2191</f>
        <v>22406</v>
      </c>
    </row>
    <row r="1998" ht="18.0" customHeight="1">
      <c r="A1998" s="17">
        <f>Github!J$1970</f>
        <v>1969</v>
      </c>
      <c r="B1998" s="27" t="str">
        <f>HYPERLINK(CONCAT("http://leetcode.com/problems/",Github!C$1970), Github!B$1970)</f>
        <v>Minimum Non-Zero Product of the Array Elements</v>
      </c>
      <c r="C1998" s="17">
        <f>Github!F$1970</f>
        <v>102</v>
      </c>
      <c r="D1998" s="17">
        <f>Github!G$1970</f>
        <v>272</v>
      </c>
      <c r="E1998" s="17">
        <f>Github!F$1970+Github!G$1970</f>
        <v>374</v>
      </c>
      <c r="F1998" s="18">
        <f t="shared" si="1"/>
        <v>0.38</v>
      </c>
      <c r="G1998" s="17" t="str">
        <f>Github!H$1970</f>
        <v>Algorithms</v>
      </c>
      <c r="H1998" s="19" t="str">
        <f>SUBSTITUTE(Github!L$1970, ";", ", ")</f>
        <v>Math, Greedy, Recursion, </v>
      </c>
      <c r="I1998" s="17" t="str">
        <f>Github!E$1970</f>
        <v>Medium</v>
      </c>
      <c r="J1998" s="17" t="str">
        <f>IF(TRIM(Github!D$1970)="TRUE","FALSE","TRUE")</f>
        <v>TRUE</v>
      </c>
      <c r="K1998" s="17" t="b">
        <f>Github!M$1970</f>
        <v>0</v>
      </c>
      <c r="L1998" s="17" t="b">
        <f>Github!N$1970</f>
        <v>0</v>
      </c>
      <c r="M1998" s="17" t="str">
        <f>ROUND(Github!O$1970, 2)&amp;"%"</f>
        <v>32.18%</v>
      </c>
      <c r="N1998" s="17">
        <f>Github!P$1970</f>
        <v>6618</v>
      </c>
      <c r="O1998" s="17">
        <f>Github!Q$1970</f>
        <v>20565</v>
      </c>
    </row>
    <row r="1999" ht="18.0" customHeight="1">
      <c r="A1999" s="17">
        <f>Github!J$1194</f>
        <v>1193</v>
      </c>
      <c r="B1999" s="27" t="str">
        <f>HYPERLINK(CONCAT("http://leetcode.com/problems/",Github!C$1194), Github!B$1194)</f>
        <v>Monthly Transactions I</v>
      </c>
      <c r="C1999" s="17">
        <f>Github!F$1194</f>
        <v>100</v>
      </c>
      <c r="D1999" s="17">
        <f>Github!G$1194</f>
        <v>20</v>
      </c>
      <c r="E1999" s="17">
        <f>Github!F$1194+Github!G$1194</f>
        <v>120</v>
      </c>
      <c r="F1999" s="18">
        <f t="shared" si="1"/>
        <v>5</v>
      </c>
      <c r="G1999" s="17" t="str">
        <f>Github!H$1194</f>
        <v>Database</v>
      </c>
      <c r="H1999" s="19" t="str">
        <f>SUBSTITUTE(Github!L$1194, ";", ", ")</f>
        <v>Database, </v>
      </c>
      <c r="I1999" s="17" t="str">
        <f>Github!E$1194</f>
        <v>Medium</v>
      </c>
      <c r="J1999" s="17" t="str">
        <f>IF(TRIM(Github!D$1194)="TRUE","FALSE","TRUE")</f>
        <v>FALSE</v>
      </c>
      <c r="K1999" s="17" t="b">
        <f>Github!M$1194</f>
        <v>0</v>
      </c>
      <c r="L1999" s="17" t="b">
        <f>Github!N$1194</f>
        <v>0</v>
      </c>
      <c r="M1999" s="17" t="str">
        <f>ROUND(Github!O$1194, 2)&amp;"%"</f>
        <v>67.47%</v>
      </c>
      <c r="N1999" s="17">
        <f>Github!P$1194</f>
        <v>20753</v>
      </c>
      <c r="O1999" s="17">
        <f>Github!Q$1194</f>
        <v>30760</v>
      </c>
    </row>
    <row r="2000" ht="18.0" customHeight="1">
      <c r="A2000" s="17">
        <f>Github!J$1370</f>
        <v>1369</v>
      </c>
      <c r="B2000" s="27" t="str">
        <f>HYPERLINK(CONCAT("http://leetcode.com/problems/",Github!C$1370), Github!B$1370)</f>
        <v>Get the Second Most Recent Activity</v>
      </c>
      <c r="C2000" s="17">
        <f>Github!F$1370</f>
        <v>101</v>
      </c>
      <c r="D2000" s="17">
        <f>Github!G$1370</f>
        <v>8</v>
      </c>
      <c r="E2000" s="17">
        <f>Github!F$1370+Github!G$1370</f>
        <v>109</v>
      </c>
      <c r="F2000" s="18">
        <f t="shared" si="1"/>
        <v>12.63</v>
      </c>
      <c r="G2000" s="17" t="str">
        <f>Github!H$1370</f>
        <v>Database</v>
      </c>
      <c r="H2000" s="19" t="str">
        <f>SUBSTITUTE(Github!L$1370, ";", ", ")</f>
        <v>Database, </v>
      </c>
      <c r="I2000" s="17" t="str">
        <f>Github!E$1370</f>
        <v>Hard</v>
      </c>
      <c r="J2000" s="17" t="str">
        <f>IF(TRIM(Github!D$1370)="TRUE","FALSE","TRUE")</f>
        <v>FALSE</v>
      </c>
      <c r="K2000" s="17" t="b">
        <f>Github!M$1370</f>
        <v>0</v>
      </c>
      <c r="L2000" s="17" t="b">
        <f>Github!N$1370</f>
        <v>0</v>
      </c>
      <c r="M2000" s="17" t="str">
        <f>ROUND(Github!O$1370, 2)&amp;"%"</f>
        <v>68.8%</v>
      </c>
      <c r="N2000" s="17">
        <f>Github!P$1370</f>
        <v>12658</v>
      </c>
      <c r="O2000" s="17">
        <f>Github!Q$1370</f>
        <v>18397</v>
      </c>
    </row>
    <row r="2001" ht="18.0" customHeight="1">
      <c r="A2001" s="17">
        <f>Github!J$1159</f>
        <v>1158</v>
      </c>
      <c r="B2001" s="27" t="str">
        <f>HYPERLINK(CONCAT("http://leetcode.com/problems/",Github!C$1159), Github!B$1159)</f>
        <v>Market Analysis I</v>
      </c>
      <c r="C2001" s="17">
        <f>Github!F$1159</f>
        <v>99</v>
      </c>
      <c r="D2001" s="17">
        <f>Github!G$1159</f>
        <v>30</v>
      </c>
      <c r="E2001" s="17">
        <f>Github!F$1159+Github!G$1159</f>
        <v>129</v>
      </c>
      <c r="F2001" s="18">
        <f t="shared" si="1"/>
        <v>3.3</v>
      </c>
      <c r="G2001" s="17" t="str">
        <f>Github!H$1159</f>
        <v>Database</v>
      </c>
      <c r="H2001" s="19" t="str">
        <f>SUBSTITUTE(Github!L$1159, ";", ", ")</f>
        <v>Database, </v>
      </c>
      <c r="I2001" s="17" t="str">
        <f>Github!E$1159</f>
        <v>Medium</v>
      </c>
      <c r="J2001" s="17" t="str">
        <f>IF(TRIM(Github!D$1159)="TRUE","FALSE","TRUE")</f>
        <v>FALSE</v>
      </c>
      <c r="K2001" s="17" t="b">
        <f>Github!M$1159</f>
        <v>0</v>
      </c>
      <c r="L2001" s="17" t="b">
        <f>Github!N$1159</f>
        <v>0</v>
      </c>
      <c r="M2001" s="17" t="str">
        <f>ROUND(Github!O$1159, 2)&amp;"%"</f>
        <v>65.41%</v>
      </c>
      <c r="N2001" s="17">
        <f>Github!P$1159</f>
        <v>21837</v>
      </c>
      <c r="O2001" s="17">
        <f>Github!Q$1159</f>
        <v>33386</v>
      </c>
    </row>
    <row r="2002" ht="18.0" customHeight="1">
      <c r="A2002" s="17">
        <f>Github!J$1260</f>
        <v>1259</v>
      </c>
      <c r="B2002" s="27" t="str">
        <f>HYPERLINK(CONCAT("http://leetcode.com/problems/",Github!C$1260), Github!B$1260)</f>
        <v>Handshakes That Don't Cross</v>
      </c>
      <c r="C2002" s="17">
        <f>Github!F$1260</f>
        <v>99</v>
      </c>
      <c r="D2002" s="17">
        <f>Github!G$1260</f>
        <v>8</v>
      </c>
      <c r="E2002" s="17">
        <f>Github!F$1260+Github!G$1260</f>
        <v>107</v>
      </c>
      <c r="F2002" s="18">
        <f t="shared" si="1"/>
        <v>12.38</v>
      </c>
      <c r="G2002" s="17" t="str">
        <f>Github!H$1260</f>
        <v>Algorithms</v>
      </c>
      <c r="H2002" s="19" t="str">
        <f>SUBSTITUTE(Github!L$1260, ";", ", ")</f>
        <v>Math, Dynamic Programming, </v>
      </c>
      <c r="I2002" s="17" t="str">
        <f>Github!E$1260</f>
        <v>Hard</v>
      </c>
      <c r="J2002" s="17" t="str">
        <f>IF(TRIM(Github!D$1260)="TRUE","FALSE","TRUE")</f>
        <v>FALSE</v>
      </c>
      <c r="K2002" s="17" t="b">
        <f>Github!M$1260</f>
        <v>0</v>
      </c>
      <c r="L2002" s="17" t="b">
        <f>Github!N$1260</f>
        <v>0</v>
      </c>
      <c r="M2002" s="17" t="str">
        <f>ROUND(Github!O$1260, 2)&amp;"%"</f>
        <v>55.5%</v>
      </c>
      <c r="N2002" s="17">
        <f>Github!P$1260</f>
        <v>4709</v>
      </c>
      <c r="O2002" s="17">
        <f>Github!Q$1260</f>
        <v>8486</v>
      </c>
    </row>
    <row r="2003" ht="18.0" customHeight="1">
      <c r="A2003" s="17">
        <f>Github!J$1349</f>
        <v>1348</v>
      </c>
      <c r="B2003" s="27" t="str">
        <f>HYPERLINK(CONCAT("http://leetcode.com/problems/",Github!C$1349), Github!B$1349)</f>
        <v>Tweet Counts Per Frequency</v>
      </c>
      <c r="C2003" s="17">
        <f>Github!F$1349</f>
        <v>99</v>
      </c>
      <c r="D2003" s="17">
        <f>Github!G$1349</f>
        <v>184</v>
      </c>
      <c r="E2003" s="17">
        <f>Github!F$1349+Github!G$1349</f>
        <v>283</v>
      </c>
      <c r="F2003" s="18">
        <f t="shared" si="1"/>
        <v>0.54</v>
      </c>
      <c r="G2003" s="17" t="str">
        <f>Github!H$1349</f>
        <v>Algorithms</v>
      </c>
      <c r="H2003" s="19" t="str">
        <f>SUBSTITUTE(Github!L$1349, ";", ", ")</f>
        <v>Hash Table, Binary Search, Design, Sorting, Ordered Set, </v>
      </c>
      <c r="I2003" s="17" t="str">
        <f>Github!E$1349</f>
        <v>Medium</v>
      </c>
      <c r="J2003" s="17" t="str">
        <f>IF(TRIM(Github!D$1349)="TRUE","FALSE","TRUE")</f>
        <v>TRUE</v>
      </c>
      <c r="K2003" s="17" t="b">
        <f>Github!M$1349</f>
        <v>0</v>
      </c>
      <c r="L2003" s="17" t="b">
        <f>Github!N$1349</f>
        <v>0</v>
      </c>
      <c r="M2003" s="17" t="str">
        <f>ROUND(Github!O$1349, 2)&amp;"%"</f>
        <v>42.74%</v>
      </c>
      <c r="N2003" s="17">
        <f>Github!P$1349</f>
        <v>25823</v>
      </c>
      <c r="O2003" s="17">
        <f>Github!Q$1349</f>
        <v>60414</v>
      </c>
    </row>
    <row r="2004" ht="18.0" customHeight="1">
      <c r="A2004" s="17">
        <f>Github!J$1758</f>
        <v>1757</v>
      </c>
      <c r="B2004" s="27" t="str">
        <f>HYPERLINK(CONCAT("http://leetcode.com/problems/",Github!C$1758), Github!B$1758)</f>
        <v>Recyclable and Low Fat Products</v>
      </c>
      <c r="C2004" s="17">
        <f>Github!F$1758</f>
        <v>99</v>
      </c>
      <c r="D2004" s="17">
        <f>Github!G$1758</f>
        <v>50</v>
      </c>
      <c r="E2004" s="17">
        <f>Github!F$1758+Github!G$1758</f>
        <v>149</v>
      </c>
      <c r="F2004" s="18">
        <f t="shared" si="1"/>
        <v>1.98</v>
      </c>
      <c r="G2004" s="17" t="str">
        <f>Github!H$1758</f>
        <v>Database</v>
      </c>
      <c r="H2004" s="19" t="str">
        <f>SUBSTITUTE(Github!L$1758, ";", ", ")</f>
        <v>Database, </v>
      </c>
      <c r="I2004" s="17" t="str">
        <f>Github!E$1758</f>
        <v>Easy</v>
      </c>
      <c r="J2004" s="17" t="str">
        <f>IF(TRIM(Github!D$1758)="TRUE","FALSE","TRUE")</f>
        <v>FALSE</v>
      </c>
      <c r="K2004" s="17" t="b">
        <f>Github!M$1758</f>
        <v>0</v>
      </c>
      <c r="L2004" s="17" t="b">
        <f>Github!N$1758</f>
        <v>0</v>
      </c>
      <c r="M2004" s="17" t="str">
        <f>ROUND(Github!O$1758, 2)&amp;"%"</f>
        <v>95.81%</v>
      </c>
      <c r="N2004" s="17">
        <f>Github!P$1758</f>
        <v>28204</v>
      </c>
      <c r="O2004" s="17">
        <f>Github!Q$1758</f>
        <v>29439</v>
      </c>
    </row>
    <row r="2005" ht="18.0" customHeight="1">
      <c r="A2005" s="17">
        <f>Github!J$1919</f>
        <v>1918</v>
      </c>
      <c r="B2005" s="27" t="str">
        <f>HYPERLINK(CONCAT("http://leetcode.com/problems/",Github!C$1919), Github!B$1919)</f>
        <v>Kth Smallest Subarray Sum</v>
      </c>
      <c r="C2005" s="17">
        <f>Github!F$1919</f>
        <v>99</v>
      </c>
      <c r="D2005" s="17">
        <f>Github!G$1919</f>
        <v>4</v>
      </c>
      <c r="E2005" s="17">
        <f>Github!F$1919+Github!G$1919</f>
        <v>103</v>
      </c>
      <c r="F2005" s="18">
        <f t="shared" si="1"/>
        <v>24.75</v>
      </c>
      <c r="G2005" s="17" t="str">
        <f>Github!H$1919</f>
        <v>Algorithms</v>
      </c>
      <c r="H2005" s="19" t="str">
        <f>SUBSTITUTE(Github!L$1919, ";", ", ")</f>
        <v>Array, Binary Search, Sliding Window, </v>
      </c>
      <c r="I2005" s="17" t="str">
        <f>Github!E$1919</f>
        <v>Medium</v>
      </c>
      <c r="J2005" s="17" t="str">
        <f>IF(TRIM(Github!D$1919)="TRUE","FALSE","TRUE")</f>
        <v>FALSE</v>
      </c>
      <c r="K2005" s="17" t="b">
        <f>Github!M$1919</f>
        <v>0</v>
      </c>
      <c r="L2005" s="17" t="b">
        <f>Github!N$1919</f>
        <v>0</v>
      </c>
      <c r="M2005" s="17" t="str">
        <f>ROUND(Github!O$1919, 2)&amp;"%"</f>
        <v>54.7%</v>
      </c>
      <c r="N2005" s="17">
        <f>Github!P$1919</f>
        <v>1874</v>
      </c>
      <c r="O2005" s="17">
        <f>Github!Q$1919</f>
        <v>3426</v>
      </c>
    </row>
    <row r="2006" ht="18.0" customHeight="1">
      <c r="A2006" s="17">
        <f>Github!J$195</f>
        <v>194</v>
      </c>
      <c r="B2006" s="27" t="str">
        <f>HYPERLINK(CONCAT("http://leetcode.com/problems/",Github!C$195), Github!B$195)</f>
        <v>Transpose File</v>
      </c>
      <c r="C2006" s="17">
        <f>Github!F$195</f>
        <v>98</v>
      </c>
      <c r="D2006" s="17">
        <f>Github!G$195</f>
        <v>237</v>
      </c>
      <c r="E2006" s="17">
        <f>Github!F$195+Github!G$195</f>
        <v>335</v>
      </c>
      <c r="F2006" s="18">
        <f t="shared" si="1"/>
        <v>0.41</v>
      </c>
      <c r="G2006" s="17" t="str">
        <f>Github!H$195</f>
        <v>Shell</v>
      </c>
      <c r="H2006" s="19" t="str">
        <f>SUBSTITUTE(Github!L$195, ";", ", ")</f>
        <v>Shell, </v>
      </c>
      <c r="I2006" s="17" t="str">
        <f>Github!E$195</f>
        <v>Medium</v>
      </c>
      <c r="J2006" s="17" t="str">
        <f>IF(TRIM(Github!D$195)="TRUE","FALSE","TRUE")</f>
        <v>TRUE</v>
      </c>
      <c r="K2006" s="17" t="b">
        <f>Github!M$195</f>
        <v>0</v>
      </c>
      <c r="L2006" s="17" t="b">
        <f>Github!N$195</f>
        <v>0</v>
      </c>
      <c r="M2006" s="17" t="str">
        <f>ROUND(Github!O$195, 2)&amp;"%"</f>
        <v>25%</v>
      </c>
      <c r="N2006" s="17">
        <f>Github!P$195</f>
        <v>17963</v>
      </c>
      <c r="O2006" s="17">
        <f>Github!Q$195</f>
        <v>71856</v>
      </c>
    </row>
    <row r="2007" ht="18.0" customHeight="1">
      <c r="A2007" s="17">
        <f>Github!J$1184</f>
        <v>1183</v>
      </c>
      <c r="B2007" s="27" t="str">
        <f>HYPERLINK(CONCAT("http://leetcode.com/problems/",Github!C$1184), Github!B$1184)</f>
        <v>Maximum Number of Ones</v>
      </c>
      <c r="C2007" s="17">
        <f>Github!F$1184</f>
        <v>98</v>
      </c>
      <c r="D2007" s="17">
        <f>Github!G$1184</f>
        <v>9</v>
      </c>
      <c r="E2007" s="17">
        <f>Github!F$1184+Github!G$1184</f>
        <v>107</v>
      </c>
      <c r="F2007" s="18">
        <f t="shared" si="1"/>
        <v>10.89</v>
      </c>
      <c r="G2007" s="17" t="str">
        <f>Github!H$1184</f>
        <v>Algorithms</v>
      </c>
      <c r="H2007" s="19" t="str">
        <f>SUBSTITUTE(Github!L$1184, ";", ", ")</f>
        <v>Greedy, Heap (Priority Queue), </v>
      </c>
      <c r="I2007" s="17" t="str">
        <f>Github!E$1184</f>
        <v>Hard</v>
      </c>
      <c r="J2007" s="17" t="str">
        <f>IF(TRIM(Github!D$1184)="TRUE","FALSE","TRUE")</f>
        <v>FALSE</v>
      </c>
      <c r="K2007" s="17" t="b">
        <f>Github!M$1184</f>
        <v>0</v>
      </c>
      <c r="L2007" s="17" t="b">
        <f>Github!N$1184</f>
        <v>0</v>
      </c>
      <c r="M2007" s="17" t="str">
        <f>ROUND(Github!O$1184, 2)&amp;"%"</f>
        <v>59.88%</v>
      </c>
      <c r="N2007" s="17">
        <f>Github!P$1184</f>
        <v>2103</v>
      </c>
      <c r="O2007" s="17">
        <f>Github!Q$1184</f>
        <v>3512</v>
      </c>
    </row>
    <row r="2008" ht="18.0" customHeight="1">
      <c r="A2008" s="17">
        <f>Github!J$1206</f>
        <v>1205</v>
      </c>
      <c r="B2008" s="27" t="str">
        <f>HYPERLINK(CONCAT("http://leetcode.com/problems/",Github!C$1206), Github!B$1206)</f>
        <v>Monthly Transactions II</v>
      </c>
      <c r="C2008" s="17">
        <f>Github!F$1206</f>
        <v>98</v>
      </c>
      <c r="D2008" s="17">
        <f>Github!G$1206</f>
        <v>366</v>
      </c>
      <c r="E2008" s="17">
        <f>Github!F$1206+Github!G$1206</f>
        <v>464</v>
      </c>
      <c r="F2008" s="18">
        <f t="shared" si="1"/>
        <v>0.27</v>
      </c>
      <c r="G2008" s="17" t="str">
        <f>Github!H$1206</f>
        <v>Database</v>
      </c>
      <c r="H2008" s="19" t="str">
        <f>SUBSTITUTE(Github!L$1206, ";", ", ")</f>
        <v>Database, </v>
      </c>
      <c r="I2008" s="17" t="str">
        <f>Github!E$1206</f>
        <v>Medium</v>
      </c>
      <c r="J2008" s="17" t="str">
        <f>IF(TRIM(Github!D$1206)="TRUE","FALSE","TRUE")</f>
        <v>FALSE</v>
      </c>
      <c r="K2008" s="17" t="b">
        <f>Github!M$1206</f>
        <v>0</v>
      </c>
      <c r="L2008" s="17" t="b">
        <f>Github!N$1206</f>
        <v>0</v>
      </c>
      <c r="M2008" s="17" t="str">
        <f>ROUND(Github!O$1206, 2)&amp;"%"</f>
        <v>44.79%</v>
      </c>
      <c r="N2008" s="17">
        <f>Github!P$1206</f>
        <v>14518</v>
      </c>
      <c r="O2008" s="17">
        <f>Github!Q$1206</f>
        <v>32414</v>
      </c>
    </row>
    <row r="2009" ht="18.0" customHeight="1">
      <c r="A2009" s="17">
        <f>Github!J$1699</f>
        <v>1698</v>
      </c>
      <c r="B2009" s="27" t="str">
        <f>HYPERLINK(CONCAT("http://leetcode.com/problems/",Github!C$1699), Github!B$1699)</f>
        <v>Number of Distinct Substrings in a String</v>
      </c>
      <c r="C2009" s="17">
        <f>Github!F$1699</f>
        <v>98</v>
      </c>
      <c r="D2009" s="17">
        <f>Github!G$1699</f>
        <v>24</v>
      </c>
      <c r="E2009" s="17">
        <f>Github!F$1699+Github!G$1699</f>
        <v>122</v>
      </c>
      <c r="F2009" s="18">
        <f t="shared" si="1"/>
        <v>4.08</v>
      </c>
      <c r="G2009" s="17" t="str">
        <f>Github!H$1699</f>
        <v>Algorithms</v>
      </c>
      <c r="H2009" s="19" t="str">
        <f>SUBSTITUTE(Github!L$1699, ";", ", ")</f>
        <v>String, Trie, Rolling Hash, Suffix Array, Hash Function, </v>
      </c>
      <c r="I2009" s="17" t="str">
        <f>Github!E$1699</f>
        <v>Medium</v>
      </c>
      <c r="J2009" s="17" t="str">
        <f>IF(TRIM(Github!D$1699)="TRUE","FALSE","TRUE")</f>
        <v>FALSE</v>
      </c>
      <c r="K2009" s="17" t="b">
        <f>Github!M$1699</f>
        <v>0</v>
      </c>
      <c r="L2009" s="17" t="b">
        <f>Github!N$1699</f>
        <v>0</v>
      </c>
      <c r="M2009" s="17" t="str">
        <f>ROUND(Github!O$1699, 2)&amp;"%"</f>
        <v>62.5%</v>
      </c>
      <c r="N2009" s="17">
        <f>Github!P$1699</f>
        <v>4060</v>
      </c>
      <c r="O2009" s="17">
        <f>Github!Q$1699</f>
        <v>6496</v>
      </c>
    </row>
    <row r="2010" ht="18.0" customHeight="1">
      <c r="A2010" s="17">
        <f>Github!J$2044</f>
        <v>2043</v>
      </c>
      <c r="B2010" s="27" t="str">
        <f>HYPERLINK(CONCAT("http://leetcode.com/problems/",Github!C$2044), Github!B$2044)</f>
        <v>Simple Bank System</v>
      </c>
      <c r="C2010" s="17">
        <f>Github!F$2044</f>
        <v>96</v>
      </c>
      <c r="D2010" s="17">
        <f>Github!G$2044</f>
        <v>108</v>
      </c>
      <c r="E2010" s="17">
        <f>Github!F$2044+Github!G$2044</f>
        <v>204</v>
      </c>
      <c r="F2010" s="18">
        <f t="shared" si="1"/>
        <v>0.89</v>
      </c>
      <c r="G2010" s="17" t="str">
        <f>Github!H$2044</f>
        <v>Algorithms</v>
      </c>
      <c r="H2010" s="19" t="str">
        <f>SUBSTITUTE(Github!L$2044, ";", ", ")</f>
        <v>Array, Hash Table, Design, Simulation, </v>
      </c>
      <c r="I2010" s="17" t="str">
        <f>Github!E$2044</f>
        <v>Medium</v>
      </c>
      <c r="J2010" s="17" t="str">
        <f>IF(TRIM(Github!D$2044)="TRUE","FALSE","TRUE")</f>
        <v>TRUE</v>
      </c>
      <c r="K2010" s="17" t="b">
        <f>Github!M$2044</f>
        <v>0</v>
      </c>
      <c r="L2010" s="17" t="b">
        <f>Github!N$2044</f>
        <v>0</v>
      </c>
      <c r="M2010" s="17" t="str">
        <f>ROUND(Github!O$2044, 2)&amp;"%"</f>
        <v>64.69%</v>
      </c>
      <c r="N2010" s="17">
        <f>Github!P$2044</f>
        <v>11648</v>
      </c>
      <c r="O2010" s="17">
        <f>Github!Q$2044</f>
        <v>18007</v>
      </c>
    </row>
    <row r="2011" ht="18.0" customHeight="1">
      <c r="A2011" s="17">
        <f>Github!J$1408</f>
        <v>1407</v>
      </c>
      <c r="B2011" s="27" t="str">
        <f>HYPERLINK(CONCAT("http://leetcode.com/problems/",Github!C$1408), Github!B$1408)</f>
        <v>Top Travellers</v>
      </c>
      <c r="C2011" s="17">
        <f>Github!F$1408</f>
        <v>95</v>
      </c>
      <c r="D2011" s="17">
        <f>Github!G$1408</f>
        <v>9</v>
      </c>
      <c r="E2011" s="17">
        <f>Github!F$1408+Github!G$1408</f>
        <v>104</v>
      </c>
      <c r="F2011" s="18">
        <f t="shared" si="1"/>
        <v>10.56</v>
      </c>
      <c r="G2011" s="17" t="str">
        <f>Github!H$1408</f>
        <v>Database</v>
      </c>
      <c r="H2011" s="19" t="str">
        <f>SUBSTITUTE(Github!L$1408, ";", ", ")</f>
        <v>Database, </v>
      </c>
      <c r="I2011" s="17" t="str">
        <f>Github!E$1408</f>
        <v>Easy</v>
      </c>
      <c r="J2011" s="17" t="str">
        <f>IF(TRIM(Github!D$1408)="TRUE","FALSE","TRUE")</f>
        <v>FALSE</v>
      </c>
      <c r="K2011" s="17" t="b">
        <f>Github!M$1408</f>
        <v>0</v>
      </c>
      <c r="L2011" s="17" t="b">
        <f>Github!N$1408</f>
        <v>0</v>
      </c>
      <c r="M2011" s="17" t="str">
        <f>ROUND(Github!O$1408, 2)&amp;"%"</f>
        <v>83.39%</v>
      </c>
      <c r="N2011" s="17">
        <f>Github!P$1408</f>
        <v>23427</v>
      </c>
      <c r="O2011" s="17">
        <f>Github!Q$1408</f>
        <v>28092</v>
      </c>
    </row>
    <row r="2012" ht="18.0" customHeight="1">
      <c r="A2012" s="17">
        <f>Github!J$1683</f>
        <v>1682</v>
      </c>
      <c r="B2012" s="27" t="str">
        <f>HYPERLINK(CONCAT("http://leetcode.com/problems/",Github!C$1683), Github!B$1683)</f>
        <v>Longest Palindromic Subsequence II</v>
      </c>
      <c r="C2012" s="17">
        <f>Github!F$1683</f>
        <v>93</v>
      </c>
      <c r="D2012" s="17">
        <f>Github!G$1683</f>
        <v>18</v>
      </c>
      <c r="E2012" s="17">
        <f>Github!F$1683+Github!G$1683</f>
        <v>111</v>
      </c>
      <c r="F2012" s="18">
        <f t="shared" si="1"/>
        <v>5.17</v>
      </c>
      <c r="G2012" s="17" t="str">
        <f>Github!H$1683</f>
        <v>Algorithms</v>
      </c>
      <c r="H2012" s="19" t="str">
        <f>SUBSTITUTE(Github!L$1683, ";", ", ")</f>
        <v>String, Dynamic Programming, </v>
      </c>
      <c r="I2012" s="17" t="str">
        <f>Github!E$1683</f>
        <v>Medium</v>
      </c>
      <c r="J2012" s="17" t="str">
        <f>IF(TRIM(Github!D$1683)="TRUE","FALSE","TRUE")</f>
        <v>FALSE</v>
      </c>
      <c r="K2012" s="17" t="b">
        <f>Github!M$1683</f>
        <v>0</v>
      </c>
      <c r="L2012" s="17" t="b">
        <f>Github!N$1683</f>
        <v>0</v>
      </c>
      <c r="M2012" s="17" t="str">
        <f>ROUND(Github!O$1683, 2)&amp;"%"</f>
        <v>50.83%</v>
      </c>
      <c r="N2012" s="17">
        <f>Github!P$1683</f>
        <v>3079</v>
      </c>
      <c r="O2012" s="17">
        <f>Github!Q$1683</f>
        <v>6058</v>
      </c>
    </row>
    <row r="2013" ht="18.0" customHeight="1">
      <c r="A2013" s="17">
        <f>Github!J$1784</f>
        <v>1783</v>
      </c>
      <c r="B2013" s="27" t="str">
        <f>HYPERLINK(CONCAT("http://leetcode.com/problems/",Github!C$1784), Github!B$1784)</f>
        <v>Grand Slam Titles</v>
      </c>
      <c r="C2013" s="17">
        <f>Github!F$1784</f>
        <v>93</v>
      </c>
      <c r="D2013" s="17">
        <f>Github!G$1784</f>
        <v>2</v>
      </c>
      <c r="E2013" s="17">
        <f>Github!F$1784+Github!G$1784</f>
        <v>95</v>
      </c>
      <c r="F2013" s="18">
        <f t="shared" si="1"/>
        <v>46.5</v>
      </c>
      <c r="G2013" s="17" t="str">
        <f>Github!H$1784</f>
        <v>Database</v>
      </c>
      <c r="H2013" s="19" t="str">
        <f>SUBSTITUTE(Github!L$1784, ";", ", ")</f>
        <v>Database, </v>
      </c>
      <c r="I2013" s="17" t="str">
        <f>Github!E$1784</f>
        <v>Medium</v>
      </c>
      <c r="J2013" s="17" t="str">
        <f>IF(TRIM(Github!D$1784)="TRUE","FALSE","TRUE")</f>
        <v>FALSE</v>
      </c>
      <c r="K2013" s="17" t="b">
        <f>Github!M$1784</f>
        <v>0</v>
      </c>
      <c r="L2013" s="17" t="b">
        <f>Github!N$1784</f>
        <v>0</v>
      </c>
      <c r="M2013" s="17" t="str">
        <f>ROUND(Github!O$1784, 2)&amp;"%"</f>
        <v>89.37%</v>
      </c>
      <c r="N2013" s="17">
        <f>Github!P$1784</f>
        <v>9447</v>
      </c>
      <c r="O2013" s="17">
        <f>Github!Q$1784</f>
        <v>10571</v>
      </c>
    </row>
    <row r="2014" ht="18.0" customHeight="1">
      <c r="A2014" s="17">
        <f>Github!J$1480</f>
        <v>1479</v>
      </c>
      <c r="B2014" s="27" t="str">
        <f>HYPERLINK(CONCAT("http://leetcode.com/problems/",Github!C$1480), Github!B$1480)</f>
        <v>Sales by Day of the Week</v>
      </c>
      <c r="C2014" s="17">
        <f>Github!F$1480</f>
        <v>92</v>
      </c>
      <c r="D2014" s="17">
        <f>Github!G$1480</f>
        <v>33</v>
      </c>
      <c r="E2014" s="17">
        <f>Github!F$1480+Github!G$1480</f>
        <v>125</v>
      </c>
      <c r="F2014" s="18">
        <f t="shared" si="1"/>
        <v>2.79</v>
      </c>
      <c r="G2014" s="17" t="str">
        <f>Github!H$1480</f>
        <v>Database</v>
      </c>
      <c r="H2014" s="19" t="str">
        <f>SUBSTITUTE(Github!L$1480, ";", ", ")</f>
        <v>Database, </v>
      </c>
      <c r="I2014" s="17" t="str">
        <f>Github!E$1480</f>
        <v>Hard</v>
      </c>
      <c r="J2014" s="17" t="str">
        <f>IF(TRIM(Github!D$1480)="TRUE","FALSE","TRUE")</f>
        <v>FALSE</v>
      </c>
      <c r="K2014" s="17" t="b">
        <f>Github!M$1480</f>
        <v>0</v>
      </c>
      <c r="L2014" s="17" t="b">
        <f>Github!N$1480</f>
        <v>0</v>
      </c>
      <c r="M2014" s="17" t="str">
        <f>ROUND(Github!O$1480, 2)&amp;"%"</f>
        <v>82.41%</v>
      </c>
      <c r="N2014" s="17">
        <f>Github!P$1480</f>
        <v>12024</v>
      </c>
      <c r="O2014" s="17">
        <f>Github!Q$1480</f>
        <v>14590</v>
      </c>
    </row>
    <row r="2015" ht="18.0" customHeight="1">
      <c r="A2015" s="17">
        <f>Github!J$1518</f>
        <v>1517</v>
      </c>
      <c r="B2015" s="27" t="str">
        <f>HYPERLINK(CONCAT("http://leetcode.com/problems/",Github!C$1518), Github!B$1518)</f>
        <v>Find Users With Valid E-Mails</v>
      </c>
      <c r="C2015" s="17">
        <f>Github!F$1518</f>
        <v>92</v>
      </c>
      <c r="D2015" s="17">
        <f>Github!G$1518</f>
        <v>59</v>
      </c>
      <c r="E2015" s="17">
        <f>Github!F$1518+Github!G$1518</f>
        <v>151</v>
      </c>
      <c r="F2015" s="18">
        <f t="shared" si="1"/>
        <v>1.56</v>
      </c>
      <c r="G2015" s="17" t="str">
        <f>Github!H$1518</f>
        <v>Database</v>
      </c>
      <c r="H2015" s="19" t="str">
        <f>SUBSTITUTE(Github!L$1518, ";", ", ")</f>
        <v>Database, </v>
      </c>
      <c r="I2015" s="17" t="str">
        <f>Github!E$1518</f>
        <v>Easy</v>
      </c>
      <c r="J2015" s="17" t="str">
        <f>IF(TRIM(Github!D$1518)="TRUE","FALSE","TRUE")</f>
        <v>FALSE</v>
      </c>
      <c r="K2015" s="17" t="b">
        <f>Github!M$1518</f>
        <v>0</v>
      </c>
      <c r="L2015" s="17" t="b">
        <f>Github!N$1518</f>
        <v>0</v>
      </c>
      <c r="M2015" s="17" t="str">
        <f>ROUND(Github!O$1518, 2)&amp;"%"</f>
        <v>62.48%</v>
      </c>
      <c r="N2015" s="17">
        <f>Github!P$1518</f>
        <v>17434</v>
      </c>
      <c r="O2015" s="17">
        <f>Github!Q$1518</f>
        <v>27905</v>
      </c>
    </row>
    <row r="2016" ht="18.0" customHeight="1">
      <c r="A2016" s="17">
        <f>Github!J$1613</f>
        <v>1612</v>
      </c>
      <c r="B2016" s="27" t="str">
        <f>HYPERLINK(CONCAT("http://leetcode.com/problems/",Github!C$1613), Github!B$1613)</f>
        <v>Check If Two Expression Trees are Equivalent</v>
      </c>
      <c r="C2016" s="17">
        <f>Github!F$1613</f>
        <v>92</v>
      </c>
      <c r="D2016" s="17">
        <f>Github!G$1613</f>
        <v>17</v>
      </c>
      <c r="E2016" s="17">
        <f>Github!F$1613+Github!G$1613</f>
        <v>109</v>
      </c>
      <c r="F2016" s="18">
        <f t="shared" si="1"/>
        <v>5.41</v>
      </c>
      <c r="G2016" s="17" t="str">
        <f>Github!H$1613</f>
        <v>Algorithms</v>
      </c>
      <c r="H2016" s="19" t="str">
        <f>SUBSTITUTE(Github!L$1613, ";", ", ")</f>
        <v>Tree, Depth-First Search, Binary Tree, </v>
      </c>
      <c r="I2016" s="17" t="str">
        <f>Github!E$1613</f>
        <v>Medium</v>
      </c>
      <c r="J2016" s="17" t="str">
        <f>IF(TRIM(Github!D$1613)="TRUE","FALSE","TRUE")</f>
        <v>FALSE</v>
      </c>
      <c r="K2016" s="17" t="b">
        <f>Github!M$1613</f>
        <v>0</v>
      </c>
      <c r="L2016" s="17" t="b">
        <f>Github!N$1613</f>
        <v>0</v>
      </c>
      <c r="M2016" s="17" t="str">
        <f>ROUND(Github!O$1613, 2)&amp;"%"</f>
        <v>69.26%</v>
      </c>
      <c r="N2016" s="17">
        <f>Github!P$1613</f>
        <v>4636</v>
      </c>
      <c r="O2016" s="17">
        <f>Github!Q$1613</f>
        <v>6694</v>
      </c>
    </row>
    <row r="2017" ht="18.0" customHeight="1">
      <c r="A2017" s="17">
        <f>Github!J$1859</f>
        <v>1858</v>
      </c>
      <c r="B2017" s="27" t="str">
        <f>HYPERLINK(CONCAT("http://leetcode.com/problems/",Github!C$1859), Github!B$1859)</f>
        <v>Longest Word With All Prefixes</v>
      </c>
      <c r="C2017" s="17">
        <f>Github!F$1859</f>
        <v>92</v>
      </c>
      <c r="D2017" s="17">
        <f>Github!G$1859</f>
        <v>3</v>
      </c>
      <c r="E2017" s="17">
        <f>Github!F$1859+Github!G$1859</f>
        <v>95</v>
      </c>
      <c r="F2017" s="18">
        <f t="shared" si="1"/>
        <v>30.67</v>
      </c>
      <c r="G2017" s="17" t="str">
        <f>Github!H$1859</f>
        <v>Algorithms</v>
      </c>
      <c r="H2017" s="19" t="str">
        <f>SUBSTITUTE(Github!L$1859, ";", ", ")</f>
        <v>Depth-First Search, Trie, </v>
      </c>
      <c r="I2017" s="17" t="str">
        <f>Github!E$1859</f>
        <v>Medium</v>
      </c>
      <c r="J2017" s="17" t="str">
        <f>IF(TRIM(Github!D$1859)="TRUE","FALSE","TRUE")</f>
        <v>FALSE</v>
      </c>
      <c r="K2017" s="17" t="b">
        <f>Github!M$1859</f>
        <v>0</v>
      </c>
      <c r="L2017" s="17" t="b">
        <f>Github!N$1859</f>
        <v>0</v>
      </c>
      <c r="M2017" s="17" t="str">
        <f>ROUND(Github!O$1859, 2)&amp;"%"</f>
        <v>66.23%</v>
      </c>
      <c r="N2017" s="17">
        <f>Github!P$1859</f>
        <v>3395</v>
      </c>
      <c r="O2017" s="17">
        <f>Github!Q$1859</f>
        <v>5126</v>
      </c>
    </row>
    <row r="2018" ht="18.0" customHeight="1">
      <c r="A2018" s="17">
        <f>Github!J$1356</f>
        <v>1355</v>
      </c>
      <c r="B2018" s="27" t="str">
        <f>HYPERLINK(CONCAT("http://leetcode.com/problems/",Github!C$1356), Github!B$1356)</f>
        <v>Activity Participants</v>
      </c>
      <c r="C2018" s="17">
        <f>Github!F$1356</f>
        <v>91</v>
      </c>
      <c r="D2018" s="17">
        <f>Github!G$1356</f>
        <v>34</v>
      </c>
      <c r="E2018" s="17">
        <f>Github!F$1356+Github!G$1356</f>
        <v>125</v>
      </c>
      <c r="F2018" s="18">
        <f t="shared" si="1"/>
        <v>2.68</v>
      </c>
      <c r="G2018" s="17" t="str">
        <f>Github!H$1356</f>
        <v>Database</v>
      </c>
      <c r="H2018" s="19" t="str">
        <f>SUBSTITUTE(Github!L$1356, ";", ", ")</f>
        <v>Database, </v>
      </c>
      <c r="I2018" s="17" t="str">
        <f>Github!E$1356</f>
        <v>Medium</v>
      </c>
      <c r="J2018" s="17" t="str">
        <f>IF(TRIM(Github!D$1356)="TRUE","FALSE","TRUE")</f>
        <v>FALSE</v>
      </c>
      <c r="K2018" s="17" t="b">
        <f>Github!M$1356</f>
        <v>0</v>
      </c>
      <c r="L2018" s="17" t="b">
        <f>Github!N$1356</f>
        <v>0</v>
      </c>
      <c r="M2018" s="17" t="str">
        <f>ROUND(Github!O$1356, 2)&amp;"%"</f>
        <v>74.49%</v>
      </c>
      <c r="N2018" s="17">
        <f>Github!P$1356</f>
        <v>19740</v>
      </c>
      <c r="O2018" s="17">
        <f>Github!Q$1356</f>
        <v>26499</v>
      </c>
    </row>
    <row r="2019" ht="18.0" customHeight="1">
      <c r="A2019" s="17">
        <f>Github!J$2049</f>
        <v>2048</v>
      </c>
      <c r="B2019" s="27" t="str">
        <f>HYPERLINK(CONCAT("http://leetcode.com/problems/",Github!C$2049), Github!B$2049)</f>
        <v>Next Greater Numerically Balanced Number</v>
      </c>
      <c r="C2019" s="17">
        <f>Github!F$2049</f>
        <v>91</v>
      </c>
      <c r="D2019" s="17">
        <f>Github!G$2049</f>
        <v>213</v>
      </c>
      <c r="E2019" s="17">
        <f>Github!F$2049+Github!G$2049</f>
        <v>304</v>
      </c>
      <c r="F2019" s="18">
        <f t="shared" si="1"/>
        <v>0.43</v>
      </c>
      <c r="G2019" s="17" t="str">
        <f>Github!H$2049</f>
        <v>Algorithms</v>
      </c>
      <c r="H2019" s="19" t="str">
        <f>SUBSTITUTE(Github!L$2049, ";", ", ")</f>
        <v>Math, Backtracking, Enumeration, </v>
      </c>
      <c r="I2019" s="17" t="str">
        <f>Github!E$2049</f>
        <v>Medium</v>
      </c>
      <c r="J2019" s="17" t="str">
        <f>IF(TRIM(Github!D$2049)="TRUE","FALSE","TRUE")</f>
        <v>TRUE</v>
      </c>
      <c r="K2019" s="17" t="b">
        <f>Github!M$2049</f>
        <v>0</v>
      </c>
      <c r="L2019" s="17" t="b">
        <f>Github!N$2049</f>
        <v>0</v>
      </c>
      <c r="M2019" s="17" t="str">
        <f>ROUND(Github!O$2049, 2)&amp;"%"</f>
        <v>46.1%</v>
      </c>
      <c r="N2019" s="17">
        <f>Github!P$2049</f>
        <v>8074</v>
      </c>
      <c r="O2019" s="17">
        <f>Github!Q$2049</f>
        <v>17515</v>
      </c>
    </row>
    <row r="2020" ht="18.0" customHeight="1">
      <c r="A2020" s="17">
        <f>Github!J$836</f>
        <v>835</v>
      </c>
      <c r="B2020" s="27" t="str">
        <f>HYPERLINK(CONCAT("http://leetcode.com/problems/",Github!C$836), Github!B$836)</f>
        <v>Image Overlap</v>
      </c>
      <c r="C2020" s="17">
        <f>Github!F$836</f>
        <v>90</v>
      </c>
      <c r="D2020" s="17">
        <f>Github!G$836</f>
        <v>25</v>
      </c>
      <c r="E2020" s="17">
        <f>Github!F$836+Github!G$836</f>
        <v>115</v>
      </c>
      <c r="F2020" s="18">
        <f t="shared" si="1"/>
        <v>3.6</v>
      </c>
      <c r="G2020" s="17" t="str">
        <f>Github!H$836</f>
        <v>Algorithms</v>
      </c>
      <c r="H2020" s="19" t="str">
        <f>SUBSTITUTE(Github!L$836, ";", ", ")</f>
        <v>Array, Matrix, </v>
      </c>
      <c r="I2020" s="17" t="str">
        <f>Github!E$836</f>
        <v>Medium</v>
      </c>
      <c r="J2020" s="17" t="str">
        <f>IF(TRIM(Github!D$836)="TRUE","FALSE","TRUE")</f>
        <v>TRUE</v>
      </c>
      <c r="K2020" s="17" t="b">
        <f>Github!M$836</f>
        <v>1</v>
      </c>
      <c r="L2020" s="17" t="b">
        <f>Github!N$836</f>
        <v>0</v>
      </c>
      <c r="M2020" s="17" t="str">
        <f>ROUND(Github!O$836, 2)&amp;"%"</f>
        <v>61.28%</v>
      </c>
      <c r="N2020" s="17">
        <f>Github!P$836</f>
        <v>46920</v>
      </c>
      <c r="O2020" s="17">
        <f>Github!Q$836</f>
        <v>76566</v>
      </c>
    </row>
    <row r="2021" ht="18.0" customHeight="1">
      <c r="A2021" s="17">
        <f>Github!J$1941</f>
        <v>1940</v>
      </c>
      <c r="B2021" s="27" t="str">
        <f>HYPERLINK(CONCAT("http://leetcode.com/problems/",Github!C$1941), Github!B$1941)</f>
        <v>Longest Common Subsequence Between Sorted Arrays</v>
      </c>
      <c r="C2021" s="17">
        <f>Github!F$1941</f>
        <v>89</v>
      </c>
      <c r="D2021" s="17">
        <f>Github!G$1941</f>
        <v>3</v>
      </c>
      <c r="E2021" s="17">
        <f>Github!F$1941+Github!G$1941</f>
        <v>92</v>
      </c>
      <c r="F2021" s="18">
        <f t="shared" si="1"/>
        <v>29.67</v>
      </c>
      <c r="G2021" s="17" t="str">
        <f>Github!H$1941</f>
        <v>Algorithms</v>
      </c>
      <c r="H2021" s="19" t="str">
        <f>SUBSTITUTE(Github!L$1941, ";", ", ")</f>
        <v>Array, Hash Table, Counting, </v>
      </c>
      <c r="I2021" s="17" t="str">
        <f>Github!E$1941</f>
        <v>Medium</v>
      </c>
      <c r="J2021" s="17" t="str">
        <f>IF(TRIM(Github!D$1941)="TRUE","FALSE","TRUE")</f>
        <v>FALSE</v>
      </c>
      <c r="K2021" s="17" t="b">
        <f>Github!M$1941</f>
        <v>0</v>
      </c>
      <c r="L2021" s="17" t="b">
        <f>Github!N$1941</f>
        <v>0</v>
      </c>
      <c r="M2021" s="17" t="str">
        <f>ROUND(Github!O$1941, 2)&amp;"%"</f>
        <v>79.74%</v>
      </c>
      <c r="N2021" s="17">
        <f>Github!P$1941</f>
        <v>3144</v>
      </c>
      <c r="O2021" s="17">
        <f>Github!Q$1941</f>
        <v>3943</v>
      </c>
    </row>
    <row r="2022" ht="18.0" customHeight="1">
      <c r="A2022" s="17">
        <f>Github!J$1142</f>
        <v>1141</v>
      </c>
      <c r="B2022" s="27" t="str">
        <f>HYPERLINK(CONCAT("http://leetcode.com/problems/",Github!C$1142), Github!B$1142)</f>
        <v>User Activity for the Past 30 Days I</v>
      </c>
      <c r="C2022" s="17">
        <f>Github!F$1142</f>
        <v>88</v>
      </c>
      <c r="D2022" s="17">
        <f>Github!G$1142</f>
        <v>86</v>
      </c>
      <c r="E2022" s="17">
        <f>Github!F$1142+Github!G$1142</f>
        <v>174</v>
      </c>
      <c r="F2022" s="18">
        <f t="shared" si="1"/>
        <v>1.02</v>
      </c>
      <c r="G2022" s="17" t="str">
        <f>Github!H$1142</f>
        <v>Database</v>
      </c>
      <c r="H2022" s="19" t="str">
        <f>SUBSTITUTE(Github!L$1142, ";", ", ")</f>
        <v>Database, </v>
      </c>
      <c r="I2022" s="17" t="str">
        <f>Github!E$1142</f>
        <v>Easy</v>
      </c>
      <c r="J2022" s="17" t="str">
        <f>IF(TRIM(Github!D$1142)="TRUE","FALSE","TRUE")</f>
        <v>FALSE</v>
      </c>
      <c r="K2022" s="17" t="b">
        <f>Github!M$1142</f>
        <v>0</v>
      </c>
      <c r="L2022" s="17" t="b">
        <f>Github!N$1142</f>
        <v>0</v>
      </c>
      <c r="M2022" s="17" t="str">
        <f>ROUND(Github!O$1142, 2)&amp;"%"</f>
        <v>54.06%</v>
      </c>
      <c r="N2022" s="17">
        <f>Github!P$1142</f>
        <v>31102</v>
      </c>
      <c r="O2022" s="17">
        <f>Github!Q$1142</f>
        <v>57531</v>
      </c>
    </row>
    <row r="2023" ht="18.0" customHeight="1">
      <c r="A2023" s="17">
        <f>Github!J$1195</f>
        <v>1194</v>
      </c>
      <c r="B2023" s="27" t="str">
        <f>HYPERLINK(CONCAT("http://leetcode.com/problems/",Github!C$1195), Github!B$1195)</f>
        <v>Tournament Winners</v>
      </c>
      <c r="C2023" s="17">
        <f>Github!F$1195</f>
        <v>88</v>
      </c>
      <c r="D2023" s="17">
        <f>Github!G$1195</f>
        <v>42</v>
      </c>
      <c r="E2023" s="17">
        <f>Github!F$1195+Github!G$1195</f>
        <v>130</v>
      </c>
      <c r="F2023" s="18">
        <f t="shared" si="1"/>
        <v>2.1</v>
      </c>
      <c r="G2023" s="17" t="str">
        <f>Github!H$1195</f>
        <v>Database</v>
      </c>
      <c r="H2023" s="19" t="str">
        <f>SUBSTITUTE(Github!L$1195, ";", ", ")</f>
        <v>Database, </v>
      </c>
      <c r="I2023" s="17" t="str">
        <f>Github!E$1195</f>
        <v>Hard</v>
      </c>
      <c r="J2023" s="17" t="str">
        <f>IF(TRIM(Github!D$1195)="TRUE","FALSE","TRUE")</f>
        <v>FALSE</v>
      </c>
      <c r="K2023" s="17" t="b">
        <f>Github!M$1195</f>
        <v>0</v>
      </c>
      <c r="L2023" s="17" t="b">
        <f>Github!N$1195</f>
        <v>0</v>
      </c>
      <c r="M2023" s="17" t="str">
        <f>ROUND(Github!O$1195, 2)&amp;"%"</f>
        <v>52.01%</v>
      </c>
      <c r="N2023" s="17">
        <f>Github!P$1195</f>
        <v>12435</v>
      </c>
      <c r="O2023" s="17">
        <f>Github!Q$1195</f>
        <v>23910</v>
      </c>
    </row>
    <row r="2024" ht="18.0" customHeight="1">
      <c r="A2024" s="17">
        <f>Github!J$1710</f>
        <v>1709</v>
      </c>
      <c r="B2024" s="27" t="str">
        <f>HYPERLINK(CONCAT("http://leetcode.com/problems/",Github!C$1710), Github!B$1710)</f>
        <v>Biggest Window Between Visits</v>
      </c>
      <c r="C2024" s="17">
        <f>Github!F$1710</f>
        <v>88</v>
      </c>
      <c r="D2024" s="17">
        <f>Github!G$1710</f>
        <v>4</v>
      </c>
      <c r="E2024" s="17">
        <f>Github!F$1710+Github!G$1710</f>
        <v>92</v>
      </c>
      <c r="F2024" s="18">
        <f t="shared" si="1"/>
        <v>22</v>
      </c>
      <c r="G2024" s="17" t="str">
        <f>Github!H$1710</f>
        <v>Database</v>
      </c>
      <c r="H2024" s="19" t="str">
        <f>SUBSTITUTE(Github!L$1710, ";", ", ")</f>
        <v>Database, </v>
      </c>
      <c r="I2024" s="17" t="str">
        <f>Github!E$1710</f>
        <v>Medium</v>
      </c>
      <c r="J2024" s="17" t="str">
        <f>IF(TRIM(Github!D$1710)="TRUE","FALSE","TRUE")</f>
        <v>FALSE</v>
      </c>
      <c r="K2024" s="17" t="b">
        <f>Github!M$1710</f>
        <v>0</v>
      </c>
      <c r="L2024" s="17" t="b">
        <f>Github!N$1710</f>
        <v>0</v>
      </c>
      <c r="M2024" s="17" t="str">
        <f>ROUND(Github!O$1710, 2)&amp;"%"</f>
        <v>78.09%</v>
      </c>
      <c r="N2024" s="17">
        <f>Github!P$1710</f>
        <v>9026</v>
      </c>
      <c r="O2024" s="17">
        <f>Github!Q$1710</f>
        <v>11559</v>
      </c>
    </row>
    <row r="2025" ht="18.0" customHeight="1">
      <c r="A2025" s="17">
        <f>Github!J$1122</f>
        <v>1121</v>
      </c>
      <c r="B2025" s="27" t="str">
        <f>HYPERLINK(CONCAT("http://leetcode.com/problems/",Github!C$1122), Github!B$1122)</f>
        <v>Divide Array Into Increasing Sequences</v>
      </c>
      <c r="C2025" s="17">
        <f>Github!F$1122</f>
        <v>87</v>
      </c>
      <c r="D2025" s="17">
        <f>Github!G$1122</f>
        <v>25</v>
      </c>
      <c r="E2025" s="17">
        <f>Github!F$1122+Github!G$1122</f>
        <v>112</v>
      </c>
      <c r="F2025" s="18">
        <f t="shared" si="1"/>
        <v>3.48</v>
      </c>
      <c r="G2025" s="17" t="str">
        <f>Github!H$1122</f>
        <v>Algorithms</v>
      </c>
      <c r="H2025" s="19" t="str">
        <f>SUBSTITUTE(Github!L$1122, ";", ", ")</f>
        <v>Array, Greedy, </v>
      </c>
      <c r="I2025" s="17" t="str">
        <f>Github!E$1122</f>
        <v>Hard</v>
      </c>
      <c r="J2025" s="17" t="str">
        <f>IF(TRIM(Github!D$1122)="TRUE","FALSE","TRUE")</f>
        <v>FALSE</v>
      </c>
      <c r="K2025" s="17" t="b">
        <f>Github!M$1122</f>
        <v>0</v>
      </c>
      <c r="L2025" s="17" t="b">
        <f>Github!N$1122</f>
        <v>0</v>
      </c>
      <c r="M2025" s="17" t="str">
        <f>ROUND(Github!O$1122, 2)&amp;"%"</f>
        <v>59.65%</v>
      </c>
      <c r="N2025" s="17">
        <f>Github!P$1122</f>
        <v>3811</v>
      </c>
      <c r="O2025" s="17">
        <f>Github!Q$1122</f>
        <v>6389</v>
      </c>
    </row>
    <row r="2026" ht="18.0" customHeight="1">
      <c r="A2026" s="17">
        <f>Github!J$1342</f>
        <v>1341</v>
      </c>
      <c r="B2026" s="27" t="str">
        <f>HYPERLINK(CONCAT("http://leetcode.com/problems/",Github!C$1342), Github!B$1342)</f>
        <v>Movie Rating</v>
      </c>
      <c r="C2026" s="17">
        <f>Github!F$1342</f>
        <v>86</v>
      </c>
      <c r="D2026" s="17">
        <f>Github!G$1342</f>
        <v>59</v>
      </c>
      <c r="E2026" s="17">
        <f>Github!F$1342+Github!G$1342</f>
        <v>145</v>
      </c>
      <c r="F2026" s="18">
        <f t="shared" si="1"/>
        <v>1.46</v>
      </c>
      <c r="G2026" s="17" t="str">
        <f>Github!H$1342</f>
        <v>Database</v>
      </c>
      <c r="H2026" s="19" t="str">
        <f>SUBSTITUTE(Github!L$1342, ";", ", ")</f>
        <v>Database, </v>
      </c>
      <c r="I2026" s="17" t="str">
        <f>Github!E$1342</f>
        <v>Medium</v>
      </c>
      <c r="J2026" s="17" t="str">
        <f>IF(TRIM(Github!D$1342)="TRUE","FALSE","TRUE")</f>
        <v>FALSE</v>
      </c>
      <c r="K2026" s="17" t="b">
        <f>Github!M$1342</f>
        <v>0</v>
      </c>
      <c r="L2026" s="17" t="b">
        <f>Github!N$1342</f>
        <v>0</v>
      </c>
      <c r="M2026" s="17" t="str">
        <f>ROUND(Github!O$1342, 2)&amp;"%"</f>
        <v>57.96%</v>
      </c>
      <c r="N2026" s="17">
        <f>Github!P$1342</f>
        <v>17930</v>
      </c>
      <c r="O2026" s="17">
        <f>Github!Q$1342</f>
        <v>30933</v>
      </c>
    </row>
    <row r="2027" ht="18.0" customHeight="1">
      <c r="A2027" s="17">
        <f>Github!J$1212</f>
        <v>1211</v>
      </c>
      <c r="B2027" s="27" t="str">
        <f>HYPERLINK(CONCAT("http://leetcode.com/problems/",Github!C$1212), Github!B$1212)</f>
        <v>Queries Quality and Percentage</v>
      </c>
      <c r="C2027" s="17">
        <f>Github!F$1212</f>
        <v>85</v>
      </c>
      <c r="D2027" s="17">
        <f>Github!G$1212</f>
        <v>142</v>
      </c>
      <c r="E2027" s="17">
        <f>Github!F$1212+Github!G$1212</f>
        <v>227</v>
      </c>
      <c r="F2027" s="18">
        <f t="shared" si="1"/>
        <v>0.6</v>
      </c>
      <c r="G2027" s="17" t="str">
        <f>Github!H$1212</f>
        <v>Database</v>
      </c>
      <c r="H2027" s="19" t="str">
        <f>SUBSTITUTE(Github!L$1212, ";", ", ")</f>
        <v>Database, </v>
      </c>
      <c r="I2027" s="17" t="str">
        <f>Github!E$1212</f>
        <v>Easy</v>
      </c>
      <c r="J2027" s="17" t="str">
        <f>IF(TRIM(Github!D$1212)="TRUE","FALSE","TRUE")</f>
        <v>FALSE</v>
      </c>
      <c r="K2027" s="17" t="b">
        <f>Github!M$1212</f>
        <v>0</v>
      </c>
      <c r="L2027" s="17" t="b">
        <f>Github!N$1212</f>
        <v>0</v>
      </c>
      <c r="M2027" s="17" t="str">
        <f>ROUND(Github!O$1212, 2)&amp;"%"</f>
        <v>70.68%</v>
      </c>
      <c r="N2027" s="17">
        <f>Github!P$1212</f>
        <v>22877</v>
      </c>
      <c r="O2027" s="17">
        <f>Github!Q$1212</f>
        <v>32369</v>
      </c>
    </row>
    <row r="2028" ht="18.0" customHeight="1">
      <c r="A2028" s="17">
        <f>Github!J$1556</f>
        <v>1555</v>
      </c>
      <c r="B2028" s="27" t="str">
        <f>HYPERLINK(CONCAT("http://leetcode.com/problems/",Github!C$1556), Github!B$1556)</f>
        <v>Bank Account Summary</v>
      </c>
      <c r="C2028" s="17">
        <f>Github!F$1556</f>
        <v>84</v>
      </c>
      <c r="D2028" s="17">
        <f>Github!G$1556</f>
        <v>21</v>
      </c>
      <c r="E2028" s="17">
        <f>Github!F$1556+Github!G$1556</f>
        <v>105</v>
      </c>
      <c r="F2028" s="18">
        <f t="shared" si="1"/>
        <v>4</v>
      </c>
      <c r="G2028" s="17" t="str">
        <f>Github!H$1556</f>
        <v>Database</v>
      </c>
      <c r="H2028" s="19" t="str">
        <f>SUBSTITUTE(Github!L$1556, ";", ", ")</f>
        <v>Database, </v>
      </c>
      <c r="I2028" s="17" t="str">
        <f>Github!E$1556</f>
        <v>Medium</v>
      </c>
      <c r="J2028" s="17" t="str">
        <f>IF(TRIM(Github!D$1556)="TRUE","FALSE","TRUE")</f>
        <v>FALSE</v>
      </c>
      <c r="K2028" s="17" t="b">
        <f>Github!M$1556</f>
        <v>0</v>
      </c>
      <c r="L2028" s="17" t="b">
        <f>Github!N$1556</f>
        <v>0</v>
      </c>
      <c r="M2028" s="17" t="str">
        <f>ROUND(Github!O$1556, 2)&amp;"%"</f>
        <v>53.32%</v>
      </c>
      <c r="N2028" s="17">
        <f>Github!P$1556</f>
        <v>9918</v>
      </c>
      <c r="O2028" s="17">
        <f>Github!Q$1556</f>
        <v>18602</v>
      </c>
    </row>
    <row r="2029" ht="18.0" customHeight="1">
      <c r="A2029" s="17">
        <f>Github!J$1662</f>
        <v>1661</v>
      </c>
      <c r="B2029" s="27" t="str">
        <f>HYPERLINK(CONCAT("http://leetcode.com/problems/",Github!C$1662), Github!B$1662)</f>
        <v>Average Time of Process per Machine</v>
      </c>
      <c r="C2029" s="17">
        <f>Github!F$1662</f>
        <v>84</v>
      </c>
      <c r="D2029" s="17">
        <f>Github!G$1662</f>
        <v>19</v>
      </c>
      <c r="E2029" s="17">
        <f>Github!F$1662+Github!G$1662</f>
        <v>103</v>
      </c>
      <c r="F2029" s="18">
        <f t="shared" si="1"/>
        <v>4.42</v>
      </c>
      <c r="G2029" s="17" t="str">
        <f>Github!H$1662</f>
        <v>Database</v>
      </c>
      <c r="H2029" s="19" t="str">
        <f>SUBSTITUTE(Github!L$1662, ";", ", ")</f>
        <v>Database, </v>
      </c>
      <c r="I2029" s="17" t="str">
        <f>Github!E$1662</f>
        <v>Easy</v>
      </c>
      <c r="J2029" s="17" t="str">
        <f>IF(TRIM(Github!D$1662)="TRUE","FALSE","TRUE")</f>
        <v>FALSE</v>
      </c>
      <c r="K2029" s="17" t="b">
        <f>Github!M$1662</f>
        <v>0</v>
      </c>
      <c r="L2029" s="17" t="b">
        <f>Github!N$1662</f>
        <v>0</v>
      </c>
      <c r="M2029" s="17" t="str">
        <f>ROUND(Github!O$1662, 2)&amp;"%"</f>
        <v>79.75%</v>
      </c>
      <c r="N2029" s="17">
        <f>Github!P$1662</f>
        <v>14552</v>
      </c>
      <c r="O2029" s="17">
        <f>Github!Q$1662</f>
        <v>18247</v>
      </c>
    </row>
    <row r="2030" ht="18.0" customHeight="1">
      <c r="A2030" s="17">
        <f>Github!J$1974</f>
        <v>1973</v>
      </c>
      <c r="B2030" s="27" t="str">
        <f>HYPERLINK(CONCAT("http://leetcode.com/problems/",Github!C$1974), Github!B$1974)</f>
        <v>Count Nodes Equal to Sum of Descendants</v>
      </c>
      <c r="C2030" s="17">
        <f>Github!F$1974</f>
        <v>84</v>
      </c>
      <c r="D2030" s="17">
        <f>Github!G$1974</f>
        <v>2</v>
      </c>
      <c r="E2030" s="17">
        <f>Github!F$1974+Github!G$1974</f>
        <v>86</v>
      </c>
      <c r="F2030" s="18">
        <f t="shared" si="1"/>
        <v>42</v>
      </c>
      <c r="G2030" s="17" t="str">
        <f>Github!H$1974</f>
        <v>Algorithms</v>
      </c>
      <c r="H2030" s="19" t="str">
        <f>SUBSTITUTE(Github!L$1974, ";", ", ")</f>
        <v>Tree, Depth-First Search, Binary Search Tree, Binary Tree, </v>
      </c>
      <c r="I2030" s="17" t="str">
        <f>Github!E$1974</f>
        <v>Medium</v>
      </c>
      <c r="J2030" s="17" t="str">
        <f>IF(TRIM(Github!D$1974)="TRUE","FALSE","TRUE")</f>
        <v>FALSE</v>
      </c>
      <c r="K2030" s="17" t="b">
        <f>Github!M$1974</f>
        <v>0</v>
      </c>
      <c r="L2030" s="17" t="b">
        <f>Github!N$1974</f>
        <v>0</v>
      </c>
      <c r="M2030" s="17" t="str">
        <f>ROUND(Github!O$1974, 2)&amp;"%"</f>
        <v>74.88%</v>
      </c>
      <c r="N2030" s="17">
        <f>Github!P$1974</f>
        <v>4403</v>
      </c>
      <c r="O2030" s="17">
        <f>Github!Q$1974</f>
        <v>5880</v>
      </c>
    </row>
    <row r="2031" ht="18.0" customHeight="1">
      <c r="A2031" s="17">
        <f>Github!J$2195</f>
        <v>2194</v>
      </c>
      <c r="B2031" s="27" t="str">
        <f>HYPERLINK(CONCAT("http://leetcode.com/problems/",Github!C$2195), Github!B$2195)</f>
        <v>Cells in a Range on an Excel Sheet</v>
      </c>
      <c r="C2031" s="17">
        <f>Github!F$2195</f>
        <v>87</v>
      </c>
      <c r="D2031" s="17">
        <f>Github!G$2195</f>
        <v>24</v>
      </c>
      <c r="E2031" s="17">
        <f>Github!F$2195+Github!G$2195</f>
        <v>111</v>
      </c>
      <c r="F2031" s="18">
        <f t="shared" si="1"/>
        <v>3.63</v>
      </c>
      <c r="G2031" s="17" t="str">
        <f>Github!H$2195</f>
        <v>Algorithms</v>
      </c>
      <c r="H2031" s="19" t="str">
        <f>SUBSTITUTE(Github!L$2195, ";", ", ")</f>
        <v>String, </v>
      </c>
      <c r="I2031" s="17" t="str">
        <f>Github!E$2195</f>
        <v>Easy</v>
      </c>
      <c r="J2031" s="17" t="str">
        <f>IF(TRIM(Github!D$2195)="TRUE","FALSE","TRUE")</f>
        <v>TRUE</v>
      </c>
      <c r="K2031" s="17" t="b">
        <f>Github!M$2195</f>
        <v>0</v>
      </c>
      <c r="L2031" s="17" t="b">
        <f>Github!N$2195</f>
        <v>0</v>
      </c>
      <c r="M2031" s="17" t="str">
        <f>ROUND(Github!O$2195, 2)&amp;"%"</f>
        <v>85.05%</v>
      </c>
      <c r="N2031" s="17">
        <f>Github!P$2195</f>
        <v>15864</v>
      </c>
      <c r="O2031" s="17">
        <f>Github!Q$2195</f>
        <v>18654</v>
      </c>
    </row>
    <row r="2032" ht="18.0" customHeight="1">
      <c r="A2032" s="17">
        <f>Github!J$352</f>
        <v>351</v>
      </c>
      <c r="B2032" s="27" t="str">
        <f>HYPERLINK(CONCAT("http://leetcode.com/problems/",Github!C$352), Github!B$352)</f>
        <v>Android Unlock Patterns</v>
      </c>
      <c r="C2032" s="17">
        <f>Github!F$352</f>
        <v>84</v>
      </c>
      <c r="D2032" s="17">
        <f>Github!G$352</f>
        <v>73</v>
      </c>
      <c r="E2032" s="17">
        <f>Github!F$352+Github!G$352</f>
        <v>157</v>
      </c>
      <c r="F2032" s="18">
        <f t="shared" si="1"/>
        <v>1.15</v>
      </c>
      <c r="G2032" s="17" t="str">
        <f>Github!H$352</f>
        <v>Algorithms</v>
      </c>
      <c r="H2032" s="19" t="str">
        <f>SUBSTITUTE(Github!L$352, ";", ", ")</f>
        <v>Dynamic Programming, Backtracking, </v>
      </c>
      <c r="I2032" s="17" t="str">
        <f>Github!E$352</f>
        <v>Medium</v>
      </c>
      <c r="J2032" s="17" t="str">
        <f>IF(TRIM(Github!D$352)="TRUE","FALSE","TRUE")</f>
        <v>FALSE</v>
      </c>
      <c r="K2032" s="17" t="b">
        <f>Github!M$352</f>
        <v>0</v>
      </c>
      <c r="L2032" s="17" t="b">
        <f>Github!N$352</f>
        <v>0</v>
      </c>
      <c r="M2032" s="17" t="str">
        <f>ROUND(Github!O$352, 2)&amp;"%"</f>
        <v>50.88%</v>
      </c>
      <c r="N2032" s="17">
        <f>Github!P$352</f>
        <v>62533</v>
      </c>
      <c r="O2032" s="17">
        <f>Github!Q$352</f>
        <v>122909</v>
      </c>
    </row>
    <row r="2033" ht="18.0" customHeight="1">
      <c r="A2033" s="17">
        <f>Github!J$470</f>
        <v>469</v>
      </c>
      <c r="B2033" s="27" t="str">
        <f>HYPERLINK(CONCAT("http://leetcode.com/problems/",Github!C$470), Github!B$470)</f>
        <v>Convex Polygon</v>
      </c>
      <c r="C2033" s="17">
        <f>Github!F$470</f>
        <v>83</v>
      </c>
      <c r="D2033" s="17">
        <f>Github!G$470</f>
        <v>214</v>
      </c>
      <c r="E2033" s="17">
        <f>Github!F$470+Github!G$470</f>
        <v>297</v>
      </c>
      <c r="F2033" s="18">
        <f t="shared" si="1"/>
        <v>0.39</v>
      </c>
      <c r="G2033" s="17" t="str">
        <f>Github!H$470</f>
        <v>Algorithms</v>
      </c>
      <c r="H2033" s="19" t="str">
        <f>SUBSTITUTE(Github!L$470, ";", ", ")</f>
        <v>Math, Geometry, </v>
      </c>
      <c r="I2033" s="17" t="str">
        <f>Github!E$470</f>
        <v>Medium</v>
      </c>
      <c r="J2033" s="17" t="str">
        <f>IF(TRIM(Github!D$470)="TRUE","FALSE","TRUE")</f>
        <v>FALSE</v>
      </c>
      <c r="K2033" s="17" t="b">
        <f>Github!M$470</f>
        <v>0</v>
      </c>
      <c r="L2033" s="17" t="b">
        <f>Github!N$470</f>
        <v>0</v>
      </c>
      <c r="M2033" s="17" t="str">
        <f>ROUND(Github!O$470, 2)&amp;"%"</f>
        <v>38.22%</v>
      </c>
      <c r="N2033" s="17">
        <f>Github!P$470</f>
        <v>9438</v>
      </c>
      <c r="O2033" s="17">
        <f>Github!Q$470</f>
        <v>24696</v>
      </c>
    </row>
    <row r="2034" ht="18.0" customHeight="1">
      <c r="A2034" s="17">
        <f>Github!J$579</f>
        <v>578</v>
      </c>
      <c r="B2034" s="27" t="str">
        <f>HYPERLINK(CONCAT("http://leetcode.com/problems/",Github!C$579), Github!B$579)</f>
        <v>Get Highest Answer Rate Question</v>
      </c>
      <c r="C2034" s="17">
        <f>Github!F$579</f>
        <v>83</v>
      </c>
      <c r="D2034" s="17">
        <f>Github!G$579</f>
        <v>788</v>
      </c>
      <c r="E2034" s="17">
        <f>Github!F$579+Github!G$579</f>
        <v>871</v>
      </c>
      <c r="F2034" s="18">
        <f t="shared" si="1"/>
        <v>0.11</v>
      </c>
      <c r="G2034" s="17" t="str">
        <f>Github!H$579</f>
        <v>Database</v>
      </c>
      <c r="H2034" s="19" t="str">
        <f>SUBSTITUTE(Github!L$579, ";", ", ")</f>
        <v>Database, </v>
      </c>
      <c r="I2034" s="17" t="str">
        <f>Github!E$579</f>
        <v>Medium</v>
      </c>
      <c r="J2034" s="17" t="str">
        <f>IF(TRIM(Github!D$579)="TRUE","FALSE","TRUE")</f>
        <v>FALSE</v>
      </c>
      <c r="K2034" s="17" t="b">
        <f>Github!M$579</f>
        <v>0</v>
      </c>
      <c r="L2034" s="17" t="b">
        <f>Github!N$579</f>
        <v>0</v>
      </c>
      <c r="M2034" s="17" t="str">
        <f>ROUND(Github!O$579, 2)&amp;"%"</f>
        <v>43%</v>
      </c>
      <c r="N2034" s="17">
        <f>Github!P$579</f>
        <v>38079</v>
      </c>
      <c r="O2034" s="17">
        <f>Github!Q$579</f>
        <v>88558</v>
      </c>
    </row>
    <row r="2035" ht="18.0" customHeight="1">
      <c r="A2035" s="17">
        <f>Github!J$1175</f>
        <v>1174</v>
      </c>
      <c r="B2035" s="27" t="str">
        <f>HYPERLINK(CONCAT("http://leetcode.com/problems/",Github!C$1175), Github!B$1175)</f>
        <v>Immediate Food Delivery II</v>
      </c>
      <c r="C2035" s="17">
        <f>Github!F$1175</f>
        <v>83</v>
      </c>
      <c r="D2035" s="17">
        <f>Github!G$1175</f>
        <v>43</v>
      </c>
      <c r="E2035" s="17">
        <f>Github!F$1175+Github!G$1175</f>
        <v>126</v>
      </c>
      <c r="F2035" s="18">
        <f t="shared" si="1"/>
        <v>1.93</v>
      </c>
      <c r="G2035" s="17" t="str">
        <f>Github!H$1175</f>
        <v>Database</v>
      </c>
      <c r="H2035" s="19" t="str">
        <f>SUBSTITUTE(Github!L$1175, ";", ", ")</f>
        <v>Database, </v>
      </c>
      <c r="I2035" s="17" t="str">
        <f>Github!E$1175</f>
        <v>Medium</v>
      </c>
      <c r="J2035" s="17" t="str">
        <f>IF(TRIM(Github!D$1175)="TRUE","FALSE","TRUE")</f>
        <v>FALSE</v>
      </c>
      <c r="K2035" s="17" t="b">
        <f>Github!M$1175</f>
        <v>0</v>
      </c>
      <c r="L2035" s="17" t="b">
        <f>Github!N$1175</f>
        <v>0</v>
      </c>
      <c r="M2035" s="17" t="str">
        <f>ROUND(Github!O$1175, 2)&amp;"%"</f>
        <v>63.6%</v>
      </c>
      <c r="N2035" s="17">
        <f>Github!P$1175</f>
        <v>21471</v>
      </c>
      <c r="O2035" s="17">
        <f>Github!Q$1175</f>
        <v>33758</v>
      </c>
    </row>
    <row r="2036" ht="18.0" customHeight="1">
      <c r="A2036" s="17">
        <f>Github!J$1427</f>
        <v>1426</v>
      </c>
      <c r="B2036" s="27" t="str">
        <f>HYPERLINK(CONCAT("http://leetcode.com/problems/",Github!C$1427), Github!B$1427)</f>
        <v>Counting Elements</v>
      </c>
      <c r="C2036" s="17">
        <f>Github!F$1427</f>
        <v>83</v>
      </c>
      <c r="D2036" s="17">
        <f>Github!G$1427</f>
        <v>16</v>
      </c>
      <c r="E2036" s="17">
        <f>Github!F$1427+Github!G$1427</f>
        <v>99</v>
      </c>
      <c r="F2036" s="18">
        <f t="shared" si="1"/>
        <v>5.19</v>
      </c>
      <c r="G2036" s="17" t="str">
        <f>Github!H$1427</f>
        <v>Algorithms</v>
      </c>
      <c r="H2036" s="19" t="str">
        <f>SUBSTITUTE(Github!L$1427, ";", ", ")</f>
        <v>Array, Hash Table, </v>
      </c>
      <c r="I2036" s="17" t="str">
        <f>Github!E$1427</f>
        <v>Easy</v>
      </c>
      <c r="J2036" s="17" t="str">
        <f>IF(TRIM(Github!D$1427)="TRUE","FALSE","TRUE")</f>
        <v>FALSE</v>
      </c>
      <c r="K2036" s="17" t="b">
        <f>Github!M$1427</f>
        <v>1</v>
      </c>
      <c r="L2036" s="17" t="b">
        <f>Github!N$1427</f>
        <v>0</v>
      </c>
      <c r="M2036" s="17" t="str">
        <f>ROUND(Github!O$1427, 2)&amp;"%"</f>
        <v>59.46%</v>
      </c>
      <c r="N2036" s="17">
        <f>Github!P$1427</f>
        <v>89327</v>
      </c>
      <c r="O2036" s="17">
        <f>Github!Q$1427</f>
        <v>150233</v>
      </c>
    </row>
    <row r="2037" ht="18.0" customHeight="1">
      <c r="A2037" s="17">
        <f>Github!J$1875</f>
        <v>1874</v>
      </c>
      <c r="B2037" s="27" t="str">
        <f>HYPERLINK(CONCAT("http://leetcode.com/problems/",Github!C$1875), Github!B$1875)</f>
        <v>Minimize Product Sum of Two Arrays</v>
      </c>
      <c r="C2037" s="17">
        <f>Github!F$1875</f>
        <v>83</v>
      </c>
      <c r="D2037" s="17">
        <f>Github!G$1875</f>
        <v>9</v>
      </c>
      <c r="E2037" s="17">
        <f>Github!F$1875+Github!G$1875</f>
        <v>92</v>
      </c>
      <c r="F2037" s="18">
        <f t="shared" si="1"/>
        <v>9.22</v>
      </c>
      <c r="G2037" s="17" t="str">
        <f>Github!H$1875</f>
        <v>Algorithms</v>
      </c>
      <c r="H2037" s="19" t="str">
        <f>SUBSTITUTE(Github!L$1875, ";", ", ")</f>
        <v>Array, Greedy, Sorting, </v>
      </c>
      <c r="I2037" s="17" t="str">
        <f>Github!E$1875</f>
        <v>Medium</v>
      </c>
      <c r="J2037" s="17" t="str">
        <f>IF(TRIM(Github!D$1875)="TRUE","FALSE","TRUE")</f>
        <v>FALSE</v>
      </c>
      <c r="K2037" s="17" t="b">
        <f>Github!M$1875</f>
        <v>0</v>
      </c>
      <c r="L2037" s="17" t="b">
        <f>Github!N$1875</f>
        <v>0</v>
      </c>
      <c r="M2037" s="17" t="str">
        <f>ROUND(Github!O$1875, 2)&amp;"%"</f>
        <v>89.49%</v>
      </c>
      <c r="N2037" s="17">
        <f>Github!P$1875</f>
        <v>5796</v>
      </c>
      <c r="O2037" s="17">
        <f>Github!Q$1875</f>
        <v>6477</v>
      </c>
    </row>
    <row r="2038" ht="18.0" customHeight="1">
      <c r="A2038" s="17">
        <f>Github!J$790</f>
        <v>789</v>
      </c>
      <c r="B2038" s="27" t="str">
        <f>HYPERLINK(CONCAT("http://leetcode.com/problems/",Github!C$790), Github!B$790)</f>
        <v>Escape The Ghosts</v>
      </c>
      <c r="C2038" s="17">
        <f>Github!F$790</f>
        <v>82</v>
      </c>
      <c r="D2038" s="17">
        <f>Github!G$790</f>
        <v>13</v>
      </c>
      <c r="E2038" s="17">
        <f>Github!F$790+Github!G$790</f>
        <v>95</v>
      </c>
      <c r="F2038" s="18">
        <f t="shared" si="1"/>
        <v>6.31</v>
      </c>
      <c r="G2038" s="17" t="str">
        <f>Github!H$790</f>
        <v>Algorithms</v>
      </c>
      <c r="H2038" s="19" t="str">
        <f>SUBSTITUTE(Github!L$790, ";", ", ")</f>
        <v>Array, Math, </v>
      </c>
      <c r="I2038" s="17" t="str">
        <f>Github!E$790</f>
        <v>Medium</v>
      </c>
      <c r="J2038" s="17" t="str">
        <f>IF(TRIM(Github!D$790)="TRUE","FALSE","TRUE")</f>
        <v>TRUE</v>
      </c>
      <c r="K2038" s="17" t="b">
        <f>Github!M$790</f>
        <v>1</v>
      </c>
      <c r="L2038" s="17" t="b">
        <f>Github!N$790</f>
        <v>0</v>
      </c>
      <c r="M2038" s="17" t="str">
        <f>ROUND(Github!O$790, 2)&amp;"%"</f>
        <v>60.05%</v>
      </c>
      <c r="N2038" s="17">
        <f>Github!P$790</f>
        <v>20574</v>
      </c>
      <c r="O2038" s="17">
        <f>Github!Q$790</f>
        <v>34259</v>
      </c>
    </row>
    <row r="2039" ht="18.0" customHeight="1">
      <c r="A2039" s="17">
        <f>Github!J$1086</f>
        <v>1085</v>
      </c>
      <c r="B2039" s="27" t="str">
        <f>HYPERLINK(CONCAT("http://leetcode.com/problems/",Github!C$1086), Github!B$1086)</f>
        <v>Sum of Digits in the Minimum Number</v>
      </c>
      <c r="C2039" s="17">
        <f>Github!F$1086</f>
        <v>81</v>
      </c>
      <c r="D2039" s="17">
        <f>Github!G$1086</f>
        <v>138</v>
      </c>
      <c r="E2039" s="17">
        <f>Github!F$1086+Github!G$1086</f>
        <v>219</v>
      </c>
      <c r="F2039" s="18">
        <f t="shared" si="1"/>
        <v>0.59</v>
      </c>
      <c r="G2039" s="17" t="str">
        <f>Github!H$1086</f>
        <v>Algorithms</v>
      </c>
      <c r="H2039" s="19" t="str">
        <f>SUBSTITUTE(Github!L$1086, ";", ", ")</f>
        <v>Array, Math, </v>
      </c>
      <c r="I2039" s="17" t="str">
        <f>Github!E$1086</f>
        <v>Easy</v>
      </c>
      <c r="J2039" s="17" t="str">
        <f>IF(TRIM(Github!D$1086)="TRUE","FALSE","TRUE")</f>
        <v>FALSE</v>
      </c>
      <c r="K2039" s="17" t="b">
        <f>Github!M$1086</f>
        <v>0</v>
      </c>
      <c r="L2039" s="17" t="b">
        <f>Github!N$1086</f>
        <v>0</v>
      </c>
      <c r="M2039" s="17" t="str">
        <f>ROUND(Github!O$1086, 2)&amp;"%"</f>
        <v>75.56%</v>
      </c>
      <c r="N2039" s="17">
        <f>Github!P$1086</f>
        <v>19484</v>
      </c>
      <c r="O2039" s="17">
        <f>Github!Q$1086</f>
        <v>25786</v>
      </c>
    </row>
    <row r="2040" ht="18.0" customHeight="1">
      <c r="A2040" s="17">
        <f>Github!J$1160</f>
        <v>1159</v>
      </c>
      <c r="B2040" s="27" t="str">
        <f>HYPERLINK(CONCAT("http://leetcode.com/problems/",Github!C$1160), Github!B$1160)</f>
        <v>Market Analysis II</v>
      </c>
      <c r="C2040" s="17">
        <f>Github!F$1160</f>
        <v>81</v>
      </c>
      <c r="D2040" s="17">
        <f>Github!G$1160</f>
        <v>38</v>
      </c>
      <c r="E2040" s="17">
        <f>Github!F$1160+Github!G$1160</f>
        <v>119</v>
      </c>
      <c r="F2040" s="18">
        <f t="shared" si="1"/>
        <v>2.13</v>
      </c>
      <c r="G2040" s="17" t="str">
        <f>Github!H$1160</f>
        <v>Database</v>
      </c>
      <c r="H2040" s="19" t="str">
        <f>SUBSTITUTE(Github!L$1160, ";", ", ")</f>
        <v>Database, </v>
      </c>
      <c r="I2040" s="17" t="str">
        <f>Github!E$1160</f>
        <v>Hard</v>
      </c>
      <c r="J2040" s="17" t="str">
        <f>IF(TRIM(Github!D$1160)="TRUE","FALSE","TRUE")</f>
        <v>FALSE</v>
      </c>
      <c r="K2040" s="17" t="b">
        <f>Github!M$1160</f>
        <v>0</v>
      </c>
      <c r="L2040" s="17" t="b">
        <f>Github!N$1160</f>
        <v>0</v>
      </c>
      <c r="M2040" s="17" t="str">
        <f>ROUND(Github!O$1160, 2)&amp;"%"</f>
        <v>57.65%</v>
      </c>
      <c r="N2040" s="17">
        <f>Github!P$1160</f>
        <v>12973</v>
      </c>
      <c r="O2040" s="17">
        <f>Github!Q$1160</f>
        <v>22504</v>
      </c>
    </row>
    <row r="2041" ht="18.0" customHeight="1">
      <c r="A2041" s="17">
        <f>Github!J$1572</f>
        <v>1571</v>
      </c>
      <c r="B2041" s="27" t="str">
        <f>HYPERLINK(CONCAT("http://leetcode.com/problems/",Github!C$1572), Github!B$1572)</f>
        <v>Warehouse Manager</v>
      </c>
      <c r="C2041" s="17">
        <f>Github!F$1572</f>
        <v>81</v>
      </c>
      <c r="D2041" s="17">
        <f>Github!G$1572</f>
        <v>7</v>
      </c>
      <c r="E2041" s="17">
        <f>Github!F$1572+Github!G$1572</f>
        <v>88</v>
      </c>
      <c r="F2041" s="18">
        <f t="shared" si="1"/>
        <v>11.57</v>
      </c>
      <c r="G2041" s="17" t="str">
        <f>Github!H$1572</f>
        <v>Database</v>
      </c>
      <c r="H2041" s="19" t="str">
        <f>SUBSTITUTE(Github!L$1572, ";", ", ")</f>
        <v>Database, </v>
      </c>
      <c r="I2041" s="17" t="str">
        <f>Github!E$1572</f>
        <v>Easy</v>
      </c>
      <c r="J2041" s="17" t="str">
        <f>IF(TRIM(Github!D$1572)="TRUE","FALSE","TRUE")</f>
        <v>FALSE</v>
      </c>
      <c r="K2041" s="17" t="b">
        <f>Github!M$1572</f>
        <v>0</v>
      </c>
      <c r="L2041" s="17" t="b">
        <f>Github!N$1572</f>
        <v>0</v>
      </c>
      <c r="M2041" s="17" t="str">
        <f>ROUND(Github!O$1572, 2)&amp;"%"</f>
        <v>89.75%</v>
      </c>
      <c r="N2041" s="17">
        <f>Github!P$1572</f>
        <v>18578</v>
      </c>
      <c r="O2041" s="17">
        <f>Github!Q$1572</f>
        <v>20699</v>
      </c>
    </row>
    <row r="2042" ht="18.0" customHeight="1">
      <c r="A2042" s="17">
        <f>Github!J$1069</f>
        <v>1068</v>
      </c>
      <c r="B2042" s="27" t="str">
        <f>HYPERLINK(CONCAT("http://leetcode.com/problems/",Github!C$1069), Github!B$1069)</f>
        <v>Product Sales Analysis I</v>
      </c>
      <c r="C2042" s="17">
        <f>Github!F$1069</f>
        <v>80</v>
      </c>
      <c r="D2042" s="17">
        <f>Github!G$1069</f>
        <v>89</v>
      </c>
      <c r="E2042" s="17">
        <f>Github!F$1069+Github!G$1069</f>
        <v>169</v>
      </c>
      <c r="F2042" s="18">
        <f t="shared" si="1"/>
        <v>0.9</v>
      </c>
      <c r="G2042" s="17" t="str">
        <f>Github!H$1069</f>
        <v>Database</v>
      </c>
      <c r="H2042" s="19" t="str">
        <f>SUBSTITUTE(Github!L$1069, ";", ", ")</f>
        <v>Database, </v>
      </c>
      <c r="I2042" s="17" t="str">
        <f>Github!E$1069</f>
        <v>Easy</v>
      </c>
      <c r="J2042" s="17" t="str">
        <f>IF(TRIM(Github!D$1069)="TRUE","FALSE","TRUE")</f>
        <v>FALSE</v>
      </c>
      <c r="K2042" s="17" t="b">
        <f>Github!M$1069</f>
        <v>0</v>
      </c>
      <c r="L2042" s="17" t="b">
        <f>Github!N$1069</f>
        <v>0</v>
      </c>
      <c r="M2042" s="17" t="str">
        <f>ROUND(Github!O$1069, 2)&amp;"%"</f>
        <v>81.05%</v>
      </c>
      <c r="N2042" s="17">
        <f>Github!P$1069</f>
        <v>46189</v>
      </c>
      <c r="O2042" s="17">
        <f>Github!Q$1069</f>
        <v>56986</v>
      </c>
    </row>
    <row r="2043" ht="18.0" customHeight="1">
      <c r="A2043" s="17">
        <f>Github!J$1533</f>
        <v>1532</v>
      </c>
      <c r="B2043" s="27" t="str">
        <f>HYPERLINK(CONCAT("http://leetcode.com/problems/",Github!C$1533), Github!B$1533)</f>
        <v>The Most Recent Three Orders</v>
      </c>
      <c r="C2043" s="17">
        <f>Github!F$1533</f>
        <v>80</v>
      </c>
      <c r="D2043" s="17">
        <f>Github!G$1533</f>
        <v>5</v>
      </c>
      <c r="E2043" s="17">
        <f>Github!F$1533+Github!G$1533</f>
        <v>85</v>
      </c>
      <c r="F2043" s="18">
        <f t="shared" si="1"/>
        <v>16</v>
      </c>
      <c r="G2043" s="17" t="str">
        <f>Github!H$1533</f>
        <v>Database</v>
      </c>
      <c r="H2043" s="19" t="str">
        <f>SUBSTITUTE(Github!L$1533, ";", ", ")</f>
        <v>Database, </v>
      </c>
      <c r="I2043" s="17" t="str">
        <f>Github!E$1533</f>
        <v>Medium</v>
      </c>
      <c r="J2043" s="17" t="str">
        <f>IF(TRIM(Github!D$1533)="TRUE","FALSE","TRUE")</f>
        <v>FALSE</v>
      </c>
      <c r="K2043" s="17" t="b">
        <f>Github!M$1533</f>
        <v>0</v>
      </c>
      <c r="L2043" s="17" t="b">
        <f>Github!N$1533</f>
        <v>0</v>
      </c>
      <c r="M2043" s="17" t="str">
        <f>ROUND(Github!O$1533, 2)&amp;"%"</f>
        <v>71.2%</v>
      </c>
      <c r="N2043" s="17">
        <f>Github!P$1533</f>
        <v>14221</v>
      </c>
      <c r="O2043" s="17">
        <f>Github!Q$1533</f>
        <v>19974</v>
      </c>
    </row>
    <row r="2044" ht="18.0" customHeight="1">
      <c r="A2044" s="17">
        <f>Github!J$1534</f>
        <v>1533</v>
      </c>
      <c r="B2044" s="27" t="str">
        <f>HYPERLINK(CONCAT("http://leetcode.com/problems/",Github!C$1534), Github!B$1534)</f>
        <v>Find the Index of the Large Integer</v>
      </c>
      <c r="C2044" s="17">
        <f>Github!F$1534</f>
        <v>80</v>
      </c>
      <c r="D2044" s="17">
        <f>Github!G$1534</f>
        <v>11</v>
      </c>
      <c r="E2044" s="17">
        <f>Github!F$1534+Github!G$1534</f>
        <v>91</v>
      </c>
      <c r="F2044" s="18">
        <f t="shared" si="1"/>
        <v>7.27</v>
      </c>
      <c r="G2044" s="17" t="str">
        <f>Github!H$1534</f>
        <v>Algorithms</v>
      </c>
      <c r="H2044" s="19" t="str">
        <f>SUBSTITUTE(Github!L$1534, ";", ", ")</f>
        <v>Array, Binary Search, Interactive, </v>
      </c>
      <c r="I2044" s="17" t="str">
        <f>Github!E$1534</f>
        <v>Medium</v>
      </c>
      <c r="J2044" s="17" t="str">
        <f>IF(TRIM(Github!D$1534)="TRUE","FALSE","TRUE")</f>
        <v>FALSE</v>
      </c>
      <c r="K2044" s="17" t="b">
        <f>Github!M$1534</f>
        <v>0</v>
      </c>
      <c r="L2044" s="17" t="b">
        <f>Github!N$1534</f>
        <v>0</v>
      </c>
      <c r="M2044" s="17" t="str">
        <f>ROUND(Github!O$1534, 2)&amp;"%"</f>
        <v>50.72%</v>
      </c>
      <c r="N2044" s="17">
        <f>Github!P$1534</f>
        <v>3859</v>
      </c>
      <c r="O2044" s="17">
        <f>Github!Q$1534</f>
        <v>7609</v>
      </c>
    </row>
    <row r="2045" ht="18.0" customHeight="1">
      <c r="A2045" s="17">
        <f>Github!J$1619</f>
        <v>1618</v>
      </c>
      <c r="B2045" s="27" t="str">
        <f>HYPERLINK(CONCAT("http://leetcode.com/problems/",Github!C$1619), Github!B$1619)</f>
        <v>Maximum Font to Fit a Sentence in a Screen</v>
      </c>
      <c r="C2045" s="17">
        <f>Github!F$1619</f>
        <v>80</v>
      </c>
      <c r="D2045" s="17">
        <f>Github!G$1619</f>
        <v>14</v>
      </c>
      <c r="E2045" s="17">
        <f>Github!F$1619+Github!G$1619</f>
        <v>94</v>
      </c>
      <c r="F2045" s="18">
        <f t="shared" si="1"/>
        <v>5.71</v>
      </c>
      <c r="G2045" s="17" t="str">
        <f>Github!H$1619</f>
        <v>Algorithms</v>
      </c>
      <c r="H2045" s="19" t="str">
        <f>SUBSTITUTE(Github!L$1619, ";", ", ")</f>
        <v>Array, String, Binary Search, Interactive, </v>
      </c>
      <c r="I2045" s="17" t="str">
        <f>Github!E$1619</f>
        <v>Medium</v>
      </c>
      <c r="J2045" s="17" t="str">
        <f>IF(TRIM(Github!D$1619)="TRUE","FALSE","TRUE")</f>
        <v>FALSE</v>
      </c>
      <c r="K2045" s="17" t="b">
        <f>Github!M$1619</f>
        <v>0</v>
      </c>
      <c r="L2045" s="17" t="b">
        <f>Github!N$1619</f>
        <v>0</v>
      </c>
      <c r="M2045" s="17" t="str">
        <f>ROUND(Github!O$1619, 2)&amp;"%"</f>
        <v>57.78%</v>
      </c>
      <c r="N2045" s="17">
        <f>Github!P$1619</f>
        <v>4688</v>
      </c>
      <c r="O2045" s="17">
        <f>Github!Q$1619</f>
        <v>8114</v>
      </c>
    </row>
    <row r="2046" ht="18.0" customHeight="1">
      <c r="A2046" s="17">
        <f>Github!J$1745</f>
        <v>1744</v>
      </c>
      <c r="B2046" s="27" t="str">
        <f>HYPERLINK(CONCAT("http://leetcode.com/problems/",Github!C$1745), Github!B$1745)</f>
        <v>Can You Eat Your Favorite Candy on Your Favorite Day?</v>
      </c>
      <c r="C2046" s="17">
        <f>Github!F$1745</f>
        <v>81</v>
      </c>
      <c r="D2046" s="17">
        <f>Github!G$1745</f>
        <v>257</v>
      </c>
      <c r="E2046" s="17">
        <f>Github!F$1745+Github!G$1745</f>
        <v>338</v>
      </c>
      <c r="F2046" s="18">
        <f t="shared" si="1"/>
        <v>0.32</v>
      </c>
      <c r="G2046" s="17" t="str">
        <f>Github!H$1745</f>
        <v>Algorithms</v>
      </c>
      <c r="H2046" s="19" t="str">
        <f>SUBSTITUTE(Github!L$1745, ";", ", ")</f>
        <v>Array, Prefix Sum, </v>
      </c>
      <c r="I2046" s="17" t="str">
        <f>Github!E$1745</f>
        <v>Medium</v>
      </c>
      <c r="J2046" s="17" t="str">
        <f>IF(TRIM(Github!D$1745)="TRUE","FALSE","TRUE")</f>
        <v>TRUE</v>
      </c>
      <c r="K2046" s="17" t="b">
        <f>Github!M$1745</f>
        <v>0</v>
      </c>
      <c r="L2046" s="17" t="b">
        <f>Github!N$1745</f>
        <v>0</v>
      </c>
      <c r="M2046" s="17" t="str">
        <f>ROUND(Github!O$1745, 2)&amp;"%"</f>
        <v>32.07%</v>
      </c>
      <c r="N2046" s="17">
        <f>Github!P$1745</f>
        <v>7685</v>
      </c>
      <c r="O2046" s="17">
        <f>Github!Q$1745</f>
        <v>23964</v>
      </c>
    </row>
    <row r="2047" ht="18.0" customHeight="1">
      <c r="A2047" s="17">
        <f>Github!J$801</f>
        <v>800</v>
      </c>
      <c r="B2047" s="27" t="str">
        <f>HYPERLINK(CONCAT("http://leetcode.com/problems/",Github!C$801), Github!B$801)</f>
        <v>Similar RGB Color</v>
      </c>
      <c r="C2047" s="17">
        <f>Github!F$801</f>
        <v>79</v>
      </c>
      <c r="D2047" s="17">
        <f>Github!G$801</f>
        <v>483</v>
      </c>
      <c r="E2047" s="17">
        <f>Github!F$801+Github!G$801</f>
        <v>562</v>
      </c>
      <c r="F2047" s="18">
        <f t="shared" si="1"/>
        <v>0.16</v>
      </c>
      <c r="G2047" s="17" t="str">
        <f>Github!H$801</f>
        <v>Algorithms</v>
      </c>
      <c r="H2047" s="19" t="str">
        <f>SUBSTITUTE(Github!L$801, ";", ", ")</f>
        <v>Math, String, Enumeration, </v>
      </c>
      <c r="I2047" s="17" t="str">
        <f>Github!E$801</f>
        <v>Easy</v>
      </c>
      <c r="J2047" s="17" t="str">
        <f>IF(TRIM(Github!D$801)="TRUE","FALSE","TRUE")</f>
        <v>FALSE</v>
      </c>
      <c r="K2047" s="17" t="b">
        <f>Github!M$801</f>
        <v>0</v>
      </c>
      <c r="L2047" s="17" t="b">
        <f>Github!N$801</f>
        <v>0</v>
      </c>
      <c r="M2047" s="17" t="str">
        <f>ROUND(Github!O$801, 2)&amp;"%"</f>
        <v>63.65%</v>
      </c>
      <c r="N2047" s="17">
        <f>Github!P$801</f>
        <v>12436</v>
      </c>
      <c r="O2047" s="17">
        <f>Github!Q$801</f>
        <v>19538</v>
      </c>
    </row>
    <row r="2048" ht="18.0" customHeight="1">
      <c r="A2048" s="17">
        <f>Github!J$1149</f>
        <v>1148</v>
      </c>
      <c r="B2048" s="27" t="str">
        <f>HYPERLINK(CONCAT("http://leetcode.com/problems/",Github!C$1149), Github!B$1149)</f>
        <v>Article Views I</v>
      </c>
      <c r="C2048" s="17">
        <f>Github!F$1149</f>
        <v>79</v>
      </c>
      <c r="D2048" s="17">
        <f>Github!G$1149</f>
        <v>12</v>
      </c>
      <c r="E2048" s="17">
        <f>Github!F$1149+Github!G$1149</f>
        <v>91</v>
      </c>
      <c r="F2048" s="18">
        <f t="shared" si="1"/>
        <v>6.58</v>
      </c>
      <c r="G2048" s="17" t="str">
        <f>Github!H$1149</f>
        <v>Database</v>
      </c>
      <c r="H2048" s="19" t="str">
        <f>SUBSTITUTE(Github!L$1149, ";", ", ")</f>
        <v>Database, </v>
      </c>
      <c r="I2048" s="17" t="str">
        <f>Github!E$1149</f>
        <v>Easy</v>
      </c>
      <c r="J2048" s="17" t="str">
        <f>IF(TRIM(Github!D$1149)="TRUE","FALSE","TRUE")</f>
        <v>FALSE</v>
      </c>
      <c r="K2048" s="17" t="b">
        <f>Github!M$1149</f>
        <v>0</v>
      </c>
      <c r="L2048" s="17" t="b">
        <f>Github!N$1149</f>
        <v>0</v>
      </c>
      <c r="M2048" s="17" t="str">
        <f>ROUND(Github!O$1149, 2)&amp;"%"</f>
        <v>76.72%</v>
      </c>
      <c r="N2048" s="17">
        <f>Github!P$1149</f>
        <v>31997</v>
      </c>
      <c r="O2048" s="17">
        <f>Github!Q$1149</f>
        <v>41708</v>
      </c>
    </row>
    <row r="2049" ht="18.0" customHeight="1">
      <c r="A2049" s="17">
        <f>Github!J$1768</f>
        <v>1767</v>
      </c>
      <c r="B2049" s="27" t="str">
        <f>HYPERLINK(CONCAT("http://leetcode.com/problems/",Github!C$1768), Github!B$1768)</f>
        <v>Find the Subtasks That Did Not Execute</v>
      </c>
      <c r="C2049" s="17">
        <f>Github!F$1768</f>
        <v>79</v>
      </c>
      <c r="D2049" s="17">
        <f>Github!G$1768</f>
        <v>7</v>
      </c>
      <c r="E2049" s="17">
        <f>Github!F$1768+Github!G$1768</f>
        <v>86</v>
      </c>
      <c r="F2049" s="18">
        <f t="shared" si="1"/>
        <v>11.29</v>
      </c>
      <c r="G2049" s="17" t="str">
        <f>Github!H$1768</f>
        <v>Database</v>
      </c>
      <c r="H2049" s="19" t="str">
        <f>SUBSTITUTE(Github!L$1768, ";", ", ")</f>
        <v>Database, </v>
      </c>
      <c r="I2049" s="17" t="str">
        <f>Github!E$1768</f>
        <v>Hard</v>
      </c>
      <c r="J2049" s="17" t="str">
        <f>IF(TRIM(Github!D$1768)="TRUE","FALSE","TRUE")</f>
        <v>FALSE</v>
      </c>
      <c r="K2049" s="17" t="b">
        <f>Github!M$1768</f>
        <v>0</v>
      </c>
      <c r="L2049" s="17" t="b">
        <f>Github!N$1768</f>
        <v>0</v>
      </c>
      <c r="M2049" s="17" t="str">
        <f>ROUND(Github!O$1768, 2)&amp;"%"</f>
        <v>83.76%</v>
      </c>
      <c r="N2049" s="17">
        <f>Github!P$1768</f>
        <v>4264</v>
      </c>
      <c r="O2049" s="17">
        <f>Github!Q$1768</f>
        <v>5091</v>
      </c>
    </row>
    <row r="2050" ht="18.0" customHeight="1">
      <c r="A2050" s="17">
        <f>Github!J$1959</f>
        <v>1958</v>
      </c>
      <c r="B2050" s="27" t="str">
        <f>HYPERLINK(CONCAT("http://leetcode.com/problems/",Github!C$1959), Github!B$1959)</f>
        <v>Check if Move is Legal</v>
      </c>
      <c r="C2050" s="17">
        <f>Github!F$1959</f>
        <v>78</v>
      </c>
      <c r="D2050" s="17">
        <f>Github!G$1959</f>
        <v>166</v>
      </c>
      <c r="E2050" s="17">
        <f>Github!F$1959+Github!G$1959</f>
        <v>244</v>
      </c>
      <c r="F2050" s="18">
        <f t="shared" si="1"/>
        <v>0.47</v>
      </c>
      <c r="G2050" s="17" t="str">
        <f>Github!H$1959</f>
        <v>Algorithms</v>
      </c>
      <c r="H2050" s="19" t="str">
        <f>SUBSTITUTE(Github!L$1959, ";", ", ")</f>
        <v>Array, Matrix, Enumeration, </v>
      </c>
      <c r="I2050" s="17" t="str">
        <f>Github!E$1959</f>
        <v>Medium</v>
      </c>
      <c r="J2050" s="17" t="str">
        <f>IF(TRIM(Github!D$1959)="TRUE","FALSE","TRUE")</f>
        <v>TRUE</v>
      </c>
      <c r="K2050" s="17" t="b">
        <f>Github!M$1959</f>
        <v>0</v>
      </c>
      <c r="L2050" s="17" t="b">
        <f>Github!N$1959</f>
        <v>0</v>
      </c>
      <c r="M2050" s="17" t="str">
        <f>ROUND(Github!O$1959, 2)&amp;"%"</f>
        <v>43.09%</v>
      </c>
      <c r="N2050" s="17">
        <f>Github!P$1959</f>
        <v>6682</v>
      </c>
      <c r="O2050" s="17">
        <f>Github!Q$1959</f>
        <v>15508</v>
      </c>
    </row>
    <row r="2051" ht="18.0" customHeight="1">
      <c r="A2051" s="17">
        <f>Github!J$1076</f>
        <v>1075</v>
      </c>
      <c r="B2051" s="27" t="str">
        <f>HYPERLINK(CONCAT("http://leetcode.com/problems/",Github!C$1076), Github!B$1076)</f>
        <v>Project Employees I</v>
      </c>
      <c r="C2051" s="17">
        <f>Github!F$1076</f>
        <v>77</v>
      </c>
      <c r="D2051" s="17">
        <f>Github!G$1076</f>
        <v>61</v>
      </c>
      <c r="E2051" s="17">
        <f>Github!F$1076+Github!G$1076</f>
        <v>138</v>
      </c>
      <c r="F2051" s="18">
        <f t="shared" si="1"/>
        <v>1.26</v>
      </c>
      <c r="G2051" s="17" t="str">
        <f>Github!H$1076</f>
        <v>Database</v>
      </c>
      <c r="H2051" s="19" t="str">
        <f>SUBSTITUTE(Github!L$1076, ";", ", ")</f>
        <v>Database, </v>
      </c>
      <c r="I2051" s="17" t="str">
        <f>Github!E$1076</f>
        <v>Easy</v>
      </c>
      <c r="J2051" s="17" t="str">
        <f>IF(TRIM(Github!D$1076)="TRUE","FALSE","TRUE")</f>
        <v>FALSE</v>
      </c>
      <c r="K2051" s="17" t="b">
        <f>Github!M$1076</f>
        <v>0</v>
      </c>
      <c r="L2051" s="17" t="b">
        <f>Github!N$1076</f>
        <v>0</v>
      </c>
      <c r="M2051" s="17" t="str">
        <f>ROUND(Github!O$1076, 2)&amp;"%"</f>
        <v>66.85%</v>
      </c>
      <c r="N2051" s="17">
        <f>Github!P$1076</f>
        <v>35192</v>
      </c>
      <c r="O2051" s="17">
        <f>Github!Q$1076</f>
        <v>52644</v>
      </c>
    </row>
    <row r="2052" ht="18.0" customHeight="1">
      <c r="A2052" s="17">
        <f>Github!J$1150</f>
        <v>1149</v>
      </c>
      <c r="B2052" s="27" t="str">
        <f>HYPERLINK(CONCAT("http://leetcode.com/problems/",Github!C$1150), Github!B$1150)</f>
        <v>Article Views II</v>
      </c>
      <c r="C2052" s="17">
        <f>Github!F$1150</f>
        <v>77</v>
      </c>
      <c r="D2052" s="17">
        <f>Github!G$1150</f>
        <v>25</v>
      </c>
      <c r="E2052" s="17">
        <f>Github!F$1150+Github!G$1150</f>
        <v>102</v>
      </c>
      <c r="F2052" s="18">
        <f t="shared" si="1"/>
        <v>3.08</v>
      </c>
      <c r="G2052" s="17" t="str">
        <f>Github!H$1150</f>
        <v>Database</v>
      </c>
      <c r="H2052" s="19" t="str">
        <f>SUBSTITUTE(Github!L$1150, ";", ", ")</f>
        <v>Database, </v>
      </c>
      <c r="I2052" s="17" t="str">
        <f>Github!E$1150</f>
        <v>Medium</v>
      </c>
      <c r="J2052" s="17" t="str">
        <f>IF(TRIM(Github!D$1150)="TRUE","FALSE","TRUE")</f>
        <v>FALSE</v>
      </c>
      <c r="K2052" s="17" t="b">
        <f>Github!M$1150</f>
        <v>0</v>
      </c>
      <c r="L2052" s="17" t="b">
        <f>Github!N$1150</f>
        <v>0</v>
      </c>
      <c r="M2052" s="17" t="str">
        <f>ROUND(Github!O$1150, 2)&amp;"%"</f>
        <v>47.93%</v>
      </c>
      <c r="N2052" s="17">
        <f>Github!P$1150</f>
        <v>23247</v>
      </c>
      <c r="O2052" s="17">
        <f>Github!Q$1150</f>
        <v>48501</v>
      </c>
    </row>
    <row r="2053" ht="18.0" customHeight="1">
      <c r="A2053" s="17">
        <f>Github!J$1328</f>
        <v>1327</v>
      </c>
      <c r="B2053" s="27" t="str">
        <f>HYPERLINK(CONCAT("http://leetcode.com/problems/",Github!C$1328), Github!B$1328)</f>
        <v>List the Products Ordered in a Period</v>
      </c>
      <c r="C2053" s="17">
        <f>Github!F$1328</f>
        <v>77</v>
      </c>
      <c r="D2053" s="17">
        <f>Github!G$1328</f>
        <v>18</v>
      </c>
      <c r="E2053" s="17">
        <f>Github!F$1328+Github!G$1328</f>
        <v>95</v>
      </c>
      <c r="F2053" s="18">
        <f t="shared" si="1"/>
        <v>4.28</v>
      </c>
      <c r="G2053" s="17" t="str">
        <f>Github!H$1328</f>
        <v>Database</v>
      </c>
      <c r="H2053" s="19" t="str">
        <f>SUBSTITUTE(Github!L$1328, ";", ", ")</f>
        <v>Database, </v>
      </c>
      <c r="I2053" s="17" t="str">
        <f>Github!E$1328</f>
        <v>Easy</v>
      </c>
      <c r="J2053" s="17" t="str">
        <f>IF(TRIM(Github!D$1328)="TRUE","FALSE","TRUE")</f>
        <v>FALSE</v>
      </c>
      <c r="K2053" s="17" t="b">
        <f>Github!M$1328</f>
        <v>0</v>
      </c>
      <c r="L2053" s="17" t="b">
        <f>Github!N$1328</f>
        <v>0</v>
      </c>
      <c r="M2053" s="17" t="str">
        <f>ROUND(Github!O$1328, 2)&amp;"%"</f>
        <v>77.35%</v>
      </c>
      <c r="N2053" s="17">
        <f>Github!P$1328</f>
        <v>26652</v>
      </c>
      <c r="O2053" s="17">
        <f>Github!Q$1328</f>
        <v>34456</v>
      </c>
    </row>
    <row r="2054" ht="18.0" customHeight="1">
      <c r="A2054" s="17">
        <f>Github!J$1469</f>
        <v>1468</v>
      </c>
      <c r="B2054" s="27" t="str">
        <f>HYPERLINK(CONCAT("http://leetcode.com/problems/",Github!C$1469), Github!B$1469)</f>
        <v>Calculate Salaries</v>
      </c>
      <c r="C2054" s="17">
        <f>Github!F$1469</f>
        <v>77</v>
      </c>
      <c r="D2054" s="17">
        <f>Github!G$1469</f>
        <v>16</v>
      </c>
      <c r="E2054" s="17">
        <f>Github!F$1469+Github!G$1469</f>
        <v>93</v>
      </c>
      <c r="F2054" s="18">
        <f t="shared" si="1"/>
        <v>4.81</v>
      </c>
      <c r="G2054" s="17" t="str">
        <f>Github!H$1469</f>
        <v>Database</v>
      </c>
      <c r="H2054" s="19" t="str">
        <f>SUBSTITUTE(Github!L$1469, ";", ", ")</f>
        <v>Database, </v>
      </c>
      <c r="I2054" s="17" t="str">
        <f>Github!E$1469</f>
        <v>Medium</v>
      </c>
      <c r="J2054" s="17" t="str">
        <f>IF(TRIM(Github!D$1469)="TRUE","FALSE","TRUE")</f>
        <v>FALSE</v>
      </c>
      <c r="K2054" s="17" t="b">
        <f>Github!M$1469</f>
        <v>0</v>
      </c>
      <c r="L2054" s="17" t="b">
        <f>Github!N$1469</f>
        <v>0</v>
      </c>
      <c r="M2054" s="17" t="str">
        <f>ROUND(Github!O$1469, 2)&amp;"%"</f>
        <v>82.42%</v>
      </c>
      <c r="N2054" s="17">
        <f>Github!P$1469</f>
        <v>14319</v>
      </c>
      <c r="O2054" s="17">
        <f>Github!Q$1469</f>
        <v>17374</v>
      </c>
    </row>
    <row r="2055" ht="18.0" customHeight="1">
      <c r="A2055" s="17">
        <f>Github!J$1295</f>
        <v>1294</v>
      </c>
      <c r="B2055" s="27" t="str">
        <f>HYPERLINK(CONCAT("http://leetcode.com/problems/",Github!C$1295), Github!B$1295)</f>
        <v>Weather Type in Each Country</v>
      </c>
      <c r="C2055" s="17">
        <f>Github!F$1295</f>
        <v>76</v>
      </c>
      <c r="D2055" s="17">
        <f>Github!G$1295</f>
        <v>17</v>
      </c>
      <c r="E2055" s="17">
        <f>Github!F$1295+Github!G$1295</f>
        <v>93</v>
      </c>
      <c r="F2055" s="18">
        <f t="shared" si="1"/>
        <v>4.47</v>
      </c>
      <c r="G2055" s="17" t="str">
        <f>Github!H$1295</f>
        <v>Database</v>
      </c>
      <c r="H2055" s="19" t="str">
        <f>SUBSTITUTE(Github!L$1295, ";", ", ")</f>
        <v>Database, </v>
      </c>
      <c r="I2055" s="17" t="str">
        <f>Github!E$1295</f>
        <v>Easy</v>
      </c>
      <c r="J2055" s="17" t="str">
        <f>IF(TRIM(Github!D$1295)="TRUE","FALSE","TRUE")</f>
        <v>FALSE</v>
      </c>
      <c r="K2055" s="17" t="b">
        <f>Github!M$1295</f>
        <v>0</v>
      </c>
      <c r="L2055" s="17" t="b">
        <f>Github!N$1295</f>
        <v>0</v>
      </c>
      <c r="M2055" s="17" t="str">
        <f>ROUND(Github!O$1295, 2)&amp;"%"</f>
        <v>67.42%</v>
      </c>
      <c r="N2055" s="17">
        <f>Github!P$1295</f>
        <v>22164</v>
      </c>
      <c r="O2055" s="17">
        <f>Github!Q$1295</f>
        <v>32876</v>
      </c>
    </row>
    <row r="2056" ht="18.0" customHeight="1">
      <c r="A2056" s="17">
        <f>Github!J$1635</f>
        <v>1634</v>
      </c>
      <c r="B2056" s="27" t="str">
        <f>HYPERLINK(CONCAT("http://leetcode.com/problems/",Github!C$1635), Github!B$1635)</f>
        <v>Add Two Polynomials Represented as Linked Lists</v>
      </c>
      <c r="C2056" s="17">
        <f>Github!F$1635</f>
        <v>76</v>
      </c>
      <c r="D2056" s="17">
        <f>Github!G$1635</f>
        <v>5</v>
      </c>
      <c r="E2056" s="17">
        <f>Github!F$1635+Github!G$1635</f>
        <v>81</v>
      </c>
      <c r="F2056" s="18">
        <f t="shared" si="1"/>
        <v>15.2</v>
      </c>
      <c r="G2056" s="17" t="str">
        <f>Github!H$1635</f>
        <v>Algorithms</v>
      </c>
      <c r="H2056" s="19" t="str">
        <f>SUBSTITUTE(Github!L$1635, ";", ", ")</f>
        <v>Linked List, Math, Two Pointers, </v>
      </c>
      <c r="I2056" s="17" t="str">
        <f>Github!E$1635</f>
        <v>Medium</v>
      </c>
      <c r="J2056" s="17" t="str">
        <f>IF(TRIM(Github!D$1635)="TRUE","FALSE","TRUE")</f>
        <v>FALSE</v>
      </c>
      <c r="K2056" s="17" t="b">
        <f>Github!M$1635</f>
        <v>0</v>
      </c>
      <c r="L2056" s="17" t="b">
        <f>Github!N$1635</f>
        <v>0</v>
      </c>
      <c r="M2056" s="17" t="str">
        <f>ROUND(Github!O$1635, 2)&amp;"%"</f>
        <v>53.81%</v>
      </c>
      <c r="N2056" s="17">
        <f>Github!P$1635</f>
        <v>4878</v>
      </c>
      <c r="O2056" s="17">
        <f>Github!Q$1635</f>
        <v>9065</v>
      </c>
    </row>
    <row r="2057" ht="18.0" customHeight="1">
      <c r="A2057" s="17">
        <f>Github!J$2022</f>
        <v>2021</v>
      </c>
      <c r="B2057" s="27" t="str">
        <f>HYPERLINK(CONCAT("http://leetcode.com/problems/",Github!C$2022), Github!B$2022)</f>
        <v>Brightest Position on Street</v>
      </c>
      <c r="C2057" s="17">
        <f>Github!F$2022</f>
        <v>76</v>
      </c>
      <c r="D2057" s="17">
        <f>Github!G$2022</f>
        <v>2</v>
      </c>
      <c r="E2057" s="17">
        <f>Github!F$2022+Github!G$2022</f>
        <v>78</v>
      </c>
      <c r="F2057" s="18">
        <f t="shared" si="1"/>
        <v>38</v>
      </c>
      <c r="G2057" s="17" t="str">
        <f>Github!H$2022</f>
        <v>Algorithms</v>
      </c>
      <c r="H2057" s="19" t="str">
        <f>SUBSTITUTE(Github!L$2022, ";", ", ")</f>
        <v>Array, Prefix Sum, Ordered Set, </v>
      </c>
      <c r="I2057" s="17" t="str">
        <f>Github!E$2022</f>
        <v>Medium</v>
      </c>
      <c r="J2057" s="17" t="str">
        <f>IF(TRIM(Github!D$2022)="TRUE","FALSE","TRUE")</f>
        <v>FALSE</v>
      </c>
      <c r="K2057" s="17" t="b">
        <f>Github!M$2022</f>
        <v>0</v>
      </c>
      <c r="L2057" s="17" t="b">
        <f>Github!N$2022</f>
        <v>0</v>
      </c>
      <c r="M2057" s="17" t="str">
        <f>ROUND(Github!O$2022, 2)&amp;"%"</f>
        <v>63.3%</v>
      </c>
      <c r="N2057" s="17">
        <f>Github!P$2022</f>
        <v>2194</v>
      </c>
      <c r="O2057" s="17">
        <f>Github!Q$2022</f>
        <v>3466</v>
      </c>
    </row>
    <row r="2058" ht="18.0" customHeight="1">
      <c r="A2058" s="17">
        <f>Github!J$1951</f>
        <v>1950</v>
      </c>
      <c r="B2058" s="27" t="str">
        <f>HYPERLINK(CONCAT("http://leetcode.com/problems/",Github!C$1951), Github!B$1951)</f>
        <v>Maximum of Minimum Values in All Subarrays</v>
      </c>
      <c r="C2058" s="17">
        <f>Github!F$1951</f>
        <v>75</v>
      </c>
      <c r="D2058" s="17">
        <f>Github!G$1951</f>
        <v>11</v>
      </c>
      <c r="E2058" s="17">
        <f>Github!F$1951+Github!G$1951</f>
        <v>86</v>
      </c>
      <c r="F2058" s="18">
        <f t="shared" si="1"/>
        <v>6.82</v>
      </c>
      <c r="G2058" s="17" t="str">
        <f>Github!H$1951</f>
        <v>Algorithms</v>
      </c>
      <c r="H2058" s="19" t="str">
        <f>SUBSTITUTE(Github!L$1951, ";", ", ")</f>
        <v>Array, Stack, Monotonic Stack, </v>
      </c>
      <c r="I2058" s="17" t="str">
        <f>Github!E$1951</f>
        <v>Medium</v>
      </c>
      <c r="J2058" s="17" t="str">
        <f>IF(TRIM(Github!D$1951)="TRUE","FALSE","TRUE")</f>
        <v>FALSE</v>
      </c>
      <c r="K2058" s="17" t="b">
        <f>Github!M$1951</f>
        <v>0</v>
      </c>
      <c r="L2058" s="17" t="b">
        <f>Github!N$1951</f>
        <v>0</v>
      </c>
      <c r="M2058" s="17" t="str">
        <f>ROUND(Github!O$1951, 2)&amp;"%"</f>
        <v>51.8%</v>
      </c>
      <c r="N2058" s="17">
        <f>Github!P$1951</f>
        <v>1009</v>
      </c>
      <c r="O2058" s="17">
        <f>Github!Q$1951</f>
        <v>1947</v>
      </c>
    </row>
    <row r="2059" ht="18.0" customHeight="1">
      <c r="A2059" s="17">
        <f>Github!J$2082</f>
        <v>2081</v>
      </c>
      <c r="B2059" s="27" t="str">
        <f>HYPERLINK(CONCAT("http://leetcode.com/problems/",Github!C$2082), Github!B$2082)</f>
        <v>Sum of k-Mirror Numbers</v>
      </c>
      <c r="C2059" s="17">
        <f>Github!F$2082</f>
        <v>75</v>
      </c>
      <c r="D2059" s="17">
        <f>Github!G$2082</f>
        <v>112</v>
      </c>
      <c r="E2059" s="17">
        <f>Github!F$2082+Github!G$2082</f>
        <v>187</v>
      </c>
      <c r="F2059" s="18">
        <f t="shared" si="1"/>
        <v>0.67</v>
      </c>
      <c r="G2059" s="17" t="str">
        <f>Github!H$2082</f>
        <v>Algorithms</v>
      </c>
      <c r="H2059" s="19" t="str">
        <f>SUBSTITUTE(Github!L$2082, ";", ", ")</f>
        <v>Math, Enumeration, </v>
      </c>
      <c r="I2059" s="17" t="str">
        <f>Github!E$2082</f>
        <v>Hard</v>
      </c>
      <c r="J2059" s="17" t="str">
        <f>IF(TRIM(Github!D$2082)="TRUE","FALSE","TRUE")</f>
        <v>TRUE</v>
      </c>
      <c r="K2059" s="17" t="b">
        <f>Github!M$2082</f>
        <v>0</v>
      </c>
      <c r="L2059" s="17" t="b">
        <f>Github!N$2082</f>
        <v>0</v>
      </c>
      <c r="M2059" s="17" t="str">
        <f>ROUND(Github!O$2082, 2)&amp;"%"</f>
        <v>39.75%</v>
      </c>
      <c r="N2059" s="17">
        <f>Github!P$2082</f>
        <v>4475</v>
      </c>
      <c r="O2059" s="17">
        <f>Github!Q$2082</f>
        <v>11259</v>
      </c>
    </row>
    <row r="2060" ht="18.0" customHeight="1">
      <c r="A2060" s="17">
        <f>Github!J$1778</f>
        <v>1777</v>
      </c>
      <c r="B2060" s="27" t="str">
        <f>HYPERLINK(CONCAT("http://leetcode.com/problems/",Github!C$1778), Github!B$1778)</f>
        <v>Product's Price for Each Store</v>
      </c>
      <c r="C2060" s="17">
        <f>Github!F$1778</f>
        <v>72</v>
      </c>
      <c r="D2060" s="17">
        <f>Github!G$1778</f>
        <v>6</v>
      </c>
      <c r="E2060" s="17">
        <f>Github!F$1778+Github!G$1778</f>
        <v>78</v>
      </c>
      <c r="F2060" s="18">
        <f t="shared" si="1"/>
        <v>12</v>
      </c>
      <c r="G2060" s="17" t="str">
        <f>Github!H$1778</f>
        <v>Database</v>
      </c>
      <c r="H2060" s="19" t="str">
        <f>SUBSTITUTE(Github!L$1778, ";", ", ")</f>
        <v>Database, </v>
      </c>
      <c r="I2060" s="17" t="str">
        <f>Github!E$1778</f>
        <v>Easy</v>
      </c>
      <c r="J2060" s="17" t="str">
        <f>IF(TRIM(Github!D$1778)="TRUE","FALSE","TRUE")</f>
        <v>FALSE</v>
      </c>
      <c r="K2060" s="17" t="b">
        <f>Github!M$1778</f>
        <v>0</v>
      </c>
      <c r="L2060" s="17" t="b">
        <f>Github!N$1778</f>
        <v>0</v>
      </c>
      <c r="M2060" s="17" t="str">
        <f>ROUND(Github!O$1778, 2)&amp;"%"</f>
        <v>85.92%</v>
      </c>
      <c r="N2060" s="17">
        <f>Github!P$1778</f>
        <v>10432</v>
      </c>
      <c r="O2060" s="17">
        <f>Github!Q$1778</f>
        <v>12141</v>
      </c>
    </row>
    <row r="2061" ht="18.0" customHeight="1">
      <c r="A2061" s="17">
        <f>Github!J$1796</f>
        <v>1795</v>
      </c>
      <c r="B2061" s="27" t="str">
        <f>HYPERLINK(CONCAT("http://leetcode.com/problems/",Github!C$1796), Github!B$1796)</f>
        <v>Rearrange Products Table</v>
      </c>
      <c r="C2061" s="17">
        <f>Github!F$1796</f>
        <v>72</v>
      </c>
      <c r="D2061" s="17">
        <f>Github!G$1796</f>
        <v>5</v>
      </c>
      <c r="E2061" s="17">
        <f>Github!F$1796+Github!G$1796</f>
        <v>77</v>
      </c>
      <c r="F2061" s="18">
        <f t="shared" si="1"/>
        <v>14.4</v>
      </c>
      <c r="G2061" s="17" t="str">
        <f>Github!H$1796</f>
        <v>Database</v>
      </c>
      <c r="H2061" s="19" t="str">
        <f>SUBSTITUTE(Github!L$1796, ";", ", ")</f>
        <v>Database, </v>
      </c>
      <c r="I2061" s="17" t="str">
        <f>Github!E$1796</f>
        <v>Easy</v>
      </c>
      <c r="J2061" s="17" t="str">
        <f>IF(TRIM(Github!D$1796)="TRUE","FALSE","TRUE")</f>
        <v>FALSE</v>
      </c>
      <c r="K2061" s="17" t="b">
        <f>Github!M$1796</f>
        <v>0</v>
      </c>
      <c r="L2061" s="17" t="b">
        <f>Github!N$1796</f>
        <v>0</v>
      </c>
      <c r="M2061" s="17" t="str">
        <f>ROUND(Github!O$1796, 2)&amp;"%"</f>
        <v>90.22%</v>
      </c>
      <c r="N2061" s="17">
        <f>Github!P$1796</f>
        <v>9409</v>
      </c>
      <c r="O2061" s="17">
        <f>Github!Q$1796</f>
        <v>10429</v>
      </c>
    </row>
    <row r="2062" ht="18.0" customHeight="1">
      <c r="A2062" s="17">
        <f>Github!J$1853</f>
        <v>1852</v>
      </c>
      <c r="B2062" s="27" t="str">
        <f>HYPERLINK(CONCAT("http://leetcode.com/problems/",Github!C$1853), Github!B$1853)</f>
        <v>Distinct Numbers in Each Subarray</v>
      </c>
      <c r="C2062" s="17">
        <f>Github!F$1853</f>
        <v>72</v>
      </c>
      <c r="D2062" s="17">
        <f>Github!G$1853</f>
        <v>3</v>
      </c>
      <c r="E2062" s="17">
        <f>Github!F$1853+Github!G$1853</f>
        <v>75</v>
      </c>
      <c r="F2062" s="18">
        <f t="shared" si="1"/>
        <v>24</v>
      </c>
      <c r="G2062" s="17" t="str">
        <f>Github!H$1853</f>
        <v>Algorithms</v>
      </c>
      <c r="H2062" s="19" t="str">
        <f>SUBSTITUTE(Github!L$1853, ";", ", ")</f>
        <v>Array, Hash Table, Sliding Window, </v>
      </c>
      <c r="I2062" s="17" t="str">
        <f>Github!E$1853</f>
        <v>Medium</v>
      </c>
      <c r="J2062" s="17" t="str">
        <f>IF(TRIM(Github!D$1853)="TRUE","FALSE","TRUE")</f>
        <v>FALSE</v>
      </c>
      <c r="K2062" s="17" t="b">
        <f>Github!M$1853</f>
        <v>0</v>
      </c>
      <c r="L2062" s="17" t="b">
        <f>Github!N$1853</f>
        <v>0</v>
      </c>
      <c r="M2062" s="17" t="str">
        <f>ROUND(Github!O$1853, 2)&amp;"%"</f>
        <v>72.73%</v>
      </c>
      <c r="N2062" s="17">
        <f>Github!P$1853</f>
        <v>3482</v>
      </c>
      <c r="O2062" s="17">
        <f>Github!Q$1853</f>
        <v>4787</v>
      </c>
    </row>
    <row r="2063" ht="18.0" customHeight="1">
      <c r="A2063" s="17">
        <f>Github!J$534</f>
        <v>533</v>
      </c>
      <c r="B2063" s="27" t="str">
        <f>HYPERLINK(CONCAT("http://leetcode.com/problems/",Github!C$534), Github!B$534)</f>
        <v>Lonely Pixel II</v>
      </c>
      <c r="C2063" s="17">
        <f>Github!F$534</f>
        <v>71</v>
      </c>
      <c r="D2063" s="17">
        <f>Github!G$534</f>
        <v>672</v>
      </c>
      <c r="E2063" s="17">
        <f>Github!F$534+Github!G$534</f>
        <v>743</v>
      </c>
      <c r="F2063" s="18">
        <f t="shared" si="1"/>
        <v>0.11</v>
      </c>
      <c r="G2063" s="17" t="str">
        <f>Github!H$534</f>
        <v>Algorithms</v>
      </c>
      <c r="H2063" s="19" t="str">
        <f>SUBSTITUTE(Github!L$534, ";", ", ")</f>
        <v>Array, Hash Table, Matrix, </v>
      </c>
      <c r="I2063" s="17" t="str">
        <f>Github!E$534</f>
        <v>Medium</v>
      </c>
      <c r="J2063" s="17" t="str">
        <f>IF(TRIM(Github!D$534)="TRUE","FALSE","TRUE")</f>
        <v>FALSE</v>
      </c>
      <c r="K2063" s="17" t="b">
        <f>Github!M$534</f>
        <v>0</v>
      </c>
      <c r="L2063" s="17" t="b">
        <f>Github!N$534</f>
        <v>0</v>
      </c>
      <c r="M2063" s="17" t="str">
        <f>ROUND(Github!O$534, 2)&amp;"%"</f>
        <v>48.38%</v>
      </c>
      <c r="N2063" s="17">
        <f>Github!P$534</f>
        <v>11906</v>
      </c>
      <c r="O2063" s="17">
        <f>Github!Q$534</f>
        <v>24609</v>
      </c>
    </row>
    <row r="2064" ht="18.0" customHeight="1">
      <c r="A2064" s="17">
        <f>Github!J$1886</f>
        <v>1885</v>
      </c>
      <c r="B2064" s="27" t="str">
        <f>HYPERLINK(CONCAT("http://leetcode.com/problems/",Github!C$1886), Github!B$1886)</f>
        <v>Count Pairs in Two Arrays</v>
      </c>
      <c r="C2064" s="17">
        <f>Github!F$1886</f>
        <v>71</v>
      </c>
      <c r="D2064" s="17">
        <f>Github!G$1886</f>
        <v>4</v>
      </c>
      <c r="E2064" s="17">
        <f>Github!F$1886+Github!G$1886</f>
        <v>75</v>
      </c>
      <c r="F2064" s="18">
        <f t="shared" si="1"/>
        <v>17.75</v>
      </c>
      <c r="G2064" s="17" t="str">
        <f>Github!H$1886</f>
        <v>Algorithms</v>
      </c>
      <c r="H2064" s="19" t="str">
        <f>SUBSTITUTE(Github!L$1886, ";", ", ")</f>
        <v>Array, Binary Search, Sorting, </v>
      </c>
      <c r="I2064" s="17" t="str">
        <f>Github!E$1886</f>
        <v>Medium</v>
      </c>
      <c r="J2064" s="17" t="str">
        <f>IF(TRIM(Github!D$1886)="TRUE","FALSE","TRUE")</f>
        <v>FALSE</v>
      </c>
      <c r="K2064" s="17" t="b">
        <f>Github!M$1886</f>
        <v>0</v>
      </c>
      <c r="L2064" s="17" t="b">
        <f>Github!N$1886</f>
        <v>0</v>
      </c>
      <c r="M2064" s="17" t="str">
        <f>ROUND(Github!O$1886, 2)&amp;"%"</f>
        <v>57.8%</v>
      </c>
      <c r="N2064" s="17">
        <f>Github!P$1886</f>
        <v>1809</v>
      </c>
      <c r="O2064" s="17">
        <f>Github!Q$1886</f>
        <v>3130</v>
      </c>
    </row>
    <row r="2065" ht="18.0" customHeight="1">
      <c r="A2065" s="17">
        <f>Github!J$1071</f>
        <v>1070</v>
      </c>
      <c r="B2065" s="27" t="str">
        <f>HYPERLINK(CONCAT("http://leetcode.com/problems/",Github!C$1071), Github!B$1071)</f>
        <v>Product Sales Analysis III</v>
      </c>
      <c r="C2065" s="17">
        <f>Github!F$1071</f>
        <v>70</v>
      </c>
      <c r="D2065" s="17">
        <f>Github!G$1071</f>
        <v>258</v>
      </c>
      <c r="E2065" s="17">
        <f>Github!F$1071+Github!G$1071</f>
        <v>328</v>
      </c>
      <c r="F2065" s="18">
        <f t="shared" si="1"/>
        <v>0.27</v>
      </c>
      <c r="G2065" s="17" t="str">
        <f>Github!H$1071</f>
        <v>Database</v>
      </c>
      <c r="H2065" s="19" t="str">
        <f>SUBSTITUTE(Github!L$1071, ";", ", ")</f>
        <v>Database, </v>
      </c>
      <c r="I2065" s="17" t="str">
        <f>Github!E$1071</f>
        <v>Medium</v>
      </c>
      <c r="J2065" s="17" t="str">
        <f>IF(TRIM(Github!D$1071)="TRUE","FALSE","TRUE")</f>
        <v>FALSE</v>
      </c>
      <c r="K2065" s="17" t="b">
        <f>Github!M$1071</f>
        <v>0</v>
      </c>
      <c r="L2065" s="17" t="b">
        <f>Github!N$1071</f>
        <v>0</v>
      </c>
      <c r="M2065" s="17" t="str">
        <f>ROUND(Github!O$1071, 2)&amp;"%"</f>
        <v>49.66%</v>
      </c>
      <c r="N2065" s="17">
        <f>Github!P$1071</f>
        <v>28924</v>
      </c>
      <c r="O2065" s="17">
        <f>Github!Q$1071</f>
        <v>58249</v>
      </c>
    </row>
    <row r="2066" ht="18.0" customHeight="1">
      <c r="A2066" s="17">
        <f>Github!J$1114</f>
        <v>1113</v>
      </c>
      <c r="B2066" s="27" t="str">
        <f>HYPERLINK(CONCAT("http://leetcode.com/problems/",Github!C$1114), Github!B$1114)</f>
        <v>Reported Posts</v>
      </c>
      <c r="C2066" s="17">
        <f>Github!F$1114</f>
        <v>70</v>
      </c>
      <c r="D2066" s="17">
        <f>Github!G$1114</f>
        <v>281</v>
      </c>
      <c r="E2066" s="17">
        <f>Github!F$1114+Github!G$1114</f>
        <v>351</v>
      </c>
      <c r="F2066" s="18">
        <f t="shared" si="1"/>
        <v>0.25</v>
      </c>
      <c r="G2066" s="17" t="str">
        <f>Github!H$1114</f>
        <v>Database</v>
      </c>
      <c r="H2066" s="19" t="str">
        <f>SUBSTITUTE(Github!L$1114, ";", ", ")</f>
        <v>Database, </v>
      </c>
      <c r="I2066" s="17" t="str">
        <f>Github!E$1114</f>
        <v>Easy</v>
      </c>
      <c r="J2066" s="17" t="str">
        <f>IF(TRIM(Github!D$1114)="TRUE","FALSE","TRUE")</f>
        <v>FALSE</v>
      </c>
      <c r="K2066" s="17" t="b">
        <f>Github!M$1114</f>
        <v>0</v>
      </c>
      <c r="L2066" s="17" t="b">
        <f>Github!N$1114</f>
        <v>0</v>
      </c>
      <c r="M2066" s="17" t="str">
        <f>ROUND(Github!O$1114, 2)&amp;"%"</f>
        <v>66.29%</v>
      </c>
      <c r="N2066" s="17">
        <f>Github!P$1114</f>
        <v>31054</v>
      </c>
      <c r="O2066" s="17">
        <f>Github!Q$1114</f>
        <v>46843</v>
      </c>
    </row>
    <row r="2067" ht="18.0" customHeight="1">
      <c r="A2067" s="17">
        <f>Github!J$1742</f>
        <v>1741</v>
      </c>
      <c r="B2067" s="27" t="str">
        <f>HYPERLINK(CONCAT("http://leetcode.com/problems/",Github!C$1742), Github!B$1742)</f>
        <v>Find Total Time Spent by Each Employee</v>
      </c>
      <c r="C2067" s="17">
        <f>Github!F$1742</f>
        <v>70</v>
      </c>
      <c r="D2067" s="17">
        <f>Github!G$1742</f>
        <v>3</v>
      </c>
      <c r="E2067" s="17">
        <f>Github!F$1742+Github!G$1742</f>
        <v>73</v>
      </c>
      <c r="F2067" s="18">
        <f t="shared" si="1"/>
        <v>23.33</v>
      </c>
      <c r="G2067" s="17" t="str">
        <f>Github!H$1742</f>
        <v>Database</v>
      </c>
      <c r="H2067" s="19" t="str">
        <f>SUBSTITUTE(Github!L$1742, ";", ", ")</f>
        <v>Database, </v>
      </c>
      <c r="I2067" s="17" t="str">
        <f>Github!E$1742</f>
        <v>Easy</v>
      </c>
      <c r="J2067" s="17" t="str">
        <f>IF(TRIM(Github!D$1742)="TRUE","FALSE","TRUE")</f>
        <v>FALSE</v>
      </c>
      <c r="K2067" s="17" t="b">
        <f>Github!M$1742</f>
        <v>0</v>
      </c>
      <c r="L2067" s="17" t="b">
        <f>Github!N$1742</f>
        <v>0</v>
      </c>
      <c r="M2067" s="17" t="str">
        <f>ROUND(Github!O$1742, 2)&amp;"%"</f>
        <v>91.39%</v>
      </c>
      <c r="N2067" s="17">
        <f>Github!P$1742</f>
        <v>15254</v>
      </c>
      <c r="O2067" s="17">
        <f>Github!Q$1742</f>
        <v>16691</v>
      </c>
    </row>
    <row r="2068" ht="18.0" customHeight="1">
      <c r="A2068" s="17">
        <f>Github!J$1950</f>
        <v>1949</v>
      </c>
      <c r="B2068" s="27" t="str">
        <f>HYPERLINK(CONCAT("http://leetcode.com/problems/",Github!C$1950), Github!B$1950)</f>
        <v>Strong Friendship</v>
      </c>
      <c r="C2068" s="17">
        <f>Github!F$1950</f>
        <v>70</v>
      </c>
      <c r="D2068" s="17">
        <f>Github!G$1950</f>
        <v>25</v>
      </c>
      <c r="E2068" s="17">
        <f>Github!F$1950+Github!G$1950</f>
        <v>95</v>
      </c>
      <c r="F2068" s="18">
        <f t="shared" si="1"/>
        <v>2.8</v>
      </c>
      <c r="G2068" s="17" t="str">
        <f>Github!H$1950</f>
        <v>Database</v>
      </c>
      <c r="H2068" s="19" t="str">
        <f>SUBSTITUTE(Github!L$1950, ";", ", ")</f>
        <v>Database, </v>
      </c>
      <c r="I2068" s="17" t="str">
        <f>Github!E$1950</f>
        <v>Medium</v>
      </c>
      <c r="J2068" s="17" t="str">
        <f>IF(TRIM(Github!D$1950)="TRUE","FALSE","TRUE")</f>
        <v>FALSE</v>
      </c>
      <c r="K2068" s="17" t="b">
        <f>Github!M$1950</f>
        <v>0</v>
      </c>
      <c r="L2068" s="17" t="b">
        <f>Github!N$1950</f>
        <v>0</v>
      </c>
      <c r="M2068" s="17" t="str">
        <f>ROUND(Github!O$1950, 2)&amp;"%"</f>
        <v>60.17%</v>
      </c>
      <c r="N2068" s="17">
        <f>Github!P$1950</f>
        <v>4044</v>
      </c>
      <c r="O2068" s="17">
        <f>Github!Q$1950</f>
        <v>6721</v>
      </c>
    </row>
    <row r="2069" ht="18.0" customHeight="1">
      <c r="A2069" s="17">
        <f>Github!J$2032</f>
        <v>2031</v>
      </c>
      <c r="B2069" s="27" t="str">
        <f>HYPERLINK(CONCAT("http://leetcode.com/problems/",Github!C$2032), Github!B$2032)</f>
        <v>Count Subarrays With More Ones Than Zeros</v>
      </c>
      <c r="C2069" s="17">
        <f>Github!F$2032</f>
        <v>70</v>
      </c>
      <c r="D2069" s="17">
        <f>Github!G$2032</f>
        <v>4</v>
      </c>
      <c r="E2069" s="17">
        <f>Github!F$2032+Github!G$2032</f>
        <v>74</v>
      </c>
      <c r="F2069" s="18">
        <f t="shared" si="1"/>
        <v>17.5</v>
      </c>
      <c r="G2069" s="17" t="str">
        <f>Github!H$2032</f>
        <v>Algorithms</v>
      </c>
      <c r="H2069" s="19" t="str">
        <f>SUBSTITUTE(Github!L$2032, ";", ", ")</f>
        <v>Array, Binary Search, Divide and Conquer, Binary Indexed Tree, Segment Tree, Merge Sort, Ordered Set, </v>
      </c>
      <c r="I2069" s="17" t="str">
        <f>Github!E$2032</f>
        <v>Medium</v>
      </c>
      <c r="J2069" s="17" t="str">
        <f>IF(TRIM(Github!D$2032)="TRUE","FALSE","TRUE")</f>
        <v>FALSE</v>
      </c>
      <c r="K2069" s="17" t="b">
        <f>Github!M$2032</f>
        <v>0</v>
      </c>
      <c r="L2069" s="17" t="b">
        <f>Github!N$2032</f>
        <v>0</v>
      </c>
      <c r="M2069" s="17" t="str">
        <f>ROUND(Github!O$2032, 2)&amp;"%"</f>
        <v>52.88%</v>
      </c>
      <c r="N2069" s="17">
        <f>Github!P$2032</f>
        <v>1275</v>
      </c>
      <c r="O2069" s="17">
        <f>Github!Q$2032</f>
        <v>2411</v>
      </c>
    </row>
    <row r="2070" ht="18.0" customHeight="1">
      <c r="A2070" s="17">
        <f>Github!J$2094</f>
        <v>2093</v>
      </c>
      <c r="B2070" s="27" t="str">
        <f>HYPERLINK(CONCAT("http://leetcode.com/problems/",Github!C$2094), Github!B$2094)</f>
        <v>Minimum Cost to Reach City With Discounts</v>
      </c>
      <c r="C2070" s="17">
        <f>Github!F$2094</f>
        <v>70</v>
      </c>
      <c r="D2070" s="17">
        <f>Github!G$2094</f>
        <v>5</v>
      </c>
      <c r="E2070" s="17">
        <f>Github!F$2094+Github!G$2094</f>
        <v>75</v>
      </c>
      <c r="F2070" s="18">
        <f t="shared" si="1"/>
        <v>14</v>
      </c>
      <c r="G2070" s="17" t="str">
        <f>Github!H$2094</f>
        <v>Algorithms</v>
      </c>
      <c r="H2070" s="19" t="str">
        <f>SUBSTITUTE(Github!L$2094, ";", ", ")</f>
        <v>Graph, Shortest Path, </v>
      </c>
      <c r="I2070" s="17" t="str">
        <f>Github!E$2094</f>
        <v>Medium</v>
      </c>
      <c r="J2070" s="17" t="str">
        <f>IF(TRIM(Github!D$2094)="TRUE","FALSE","TRUE")</f>
        <v>FALSE</v>
      </c>
      <c r="K2070" s="17" t="b">
        <f>Github!M$2094</f>
        <v>0</v>
      </c>
      <c r="L2070" s="17" t="b">
        <f>Github!N$2094</f>
        <v>0</v>
      </c>
      <c r="M2070" s="17" t="str">
        <f>ROUND(Github!O$2094, 2)&amp;"%"</f>
        <v>56.6%</v>
      </c>
      <c r="N2070" s="17">
        <f>Github!P$2094</f>
        <v>1552</v>
      </c>
      <c r="O2070" s="17">
        <f>Github!Q$2094</f>
        <v>2742</v>
      </c>
    </row>
    <row r="2071" ht="18.0" customHeight="1">
      <c r="A2071" s="17">
        <f>Github!J$1143</f>
        <v>1142</v>
      </c>
      <c r="B2071" s="27" t="str">
        <f>HYPERLINK(CONCAT("http://leetcode.com/problems/",Github!C$1143), Github!B$1143)</f>
        <v>User Activity for the Past 30 Days II</v>
      </c>
      <c r="C2071" s="17">
        <f>Github!F$1143</f>
        <v>68</v>
      </c>
      <c r="D2071" s="17">
        <f>Github!G$1143</f>
        <v>278</v>
      </c>
      <c r="E2071" s="17">
        <f>Github!F$1143+Github!G$1143</f>
        <v>346</v>
      </c>
      <c r="F2071" s="18">
        <f t="shared" si="1"/>
        <v>0.24</v>
      </c>
      <c r="G2071" s="17" t="str">
        <f>Github!H$1143</f>
        <v>Database</v>
      </c>
      <c r="H2071" s="19" t="str">
        <f>SUBSTITUTE(Github!L$1143, ";", ", ")</f>
        <v>Database, </v>
      </c>
      <c r="I2071" s="17" t="str">
        <f>Github!E$1143</f>
        <v>Easy</v>
      </c>
      <c r="J2071" s="17" t="str">
        <f>IF(TRIM(Github!D$1143)="TRUE","FALSE","TRUE")</f>
        <v>FALSE</v>
      </c>
      <c r="K2071" s="17" t="b">
        <f>Github!M$1143</f>
        <v>0</v>
      </c>
      <c r="L2071" s="17" t="b">
        <f>Github!N$1143</f>
        <v>0</v>
      </c>
      <c r="M2071" s="17" t="str">
        <f>ROUND(Github!O$1143, 2)&amp;"%"</f>
        <v>35.93%</v>
      </c>
      <c r="N2071" s="17">
        <f>Github!P$1143</f>
        <v>29553</v>
      </c>
      <c r="O2071" s="17">
        <f>Github!Q$1143</f>
        <v>82259</v>
      </c>
    </row>
    <row r="2072" ht="18.0" customHeight="1">
      <c r="A2072" s="17">
        <f>Github!J$1582</f>
        <v>1581</v>
      </c>
      <c r="B2072" s="27" t="str">
        <f>HYPERLINK(CONCAT("http://leetcode.com/problems/",Github!C$1582), Github!B$1582)</f>
        <v>Customer Who Visited but Did Not Make Any Transactions</v>
      </c>
      <c r="C2072" s="17">
        <f>Github!F$1582</f>
        <v>68</v>
      </c>
      <c r="D2072" s="17">
        <f>Github!G$1582</f>
        <v>25</v>
      </c>
      <c r="E2072" s="17">
        <f>Github!F$1582+Github!G$1582</f>
        <v>93</v>
      </c>
      <c r="F2072" s="18">
        <f t="shared" si="1"/>
        <v>2.72</v>
      </c>
      <c r="G2072" s="17" t="str">
        <f>Github!H$1582</f>
        <v>Database</v>
      </c>
      <c r="H2072" s="19" t="str">
        <f>SUBSTITUTE(Github!L$1582, ";", ", ")</f>
        <v>Database, </v>
      </c>
      <c r="I2072" s="17" t="str">
        <f>Github!E$1582</f>
        <v>Easy</v>
      </c>
      <c r="J2072" s="17" t="str">
        <f>IF(TRIM(Github!D$1582)="TRUE","FALSE","TRUE")</f>
        <v>FALSE</v>
      </c>
      <c r="K2072" s="17" t="b">
        <f>Github!M$1582</f>
        <v>0</v>
      </c>
      <c r="L2072" s="17" t="b">
        <f>Github!N$1582</f>
        <v>0</v>
      </c>
      <c r="M2072" s="17" t="str">
        <f>ROUND(Github!O$1582, 2)&amp;"%"</f>
        <v>89.71%</v>
      </c>
      <c r="N2072" s="17">
        <f>Github!P$1582</f>
        <v>17334</v>
      </c>
      <c r="O2072" s="17">
        <f>Github!Q$1582</f>
        <v>19322</v>
      </c>
    </row>
    <row r="2073" ht="18.0" customHeight="1">
      <c r="A2073" s="17">
        <f>Github!J$1748</f>
        <v>1747</v>
      </c>
      <c r="B2073" s="27" t="str">
        <f>HYPERLINK(CONCAT("http://leetcode.com/problems/",Github!C$1748), Github!B$1748)</f>
        <v>Leetflex Banned Accounts</v>
      </c>
      <c r="C2073" s="17">
        <f>Github!F$1748</f>
        <v>68</v>
      </c>
      <c r="D2073" s="17">
        <f>Github!G$1748</f>
        <v>4</v>
      </c>
      <c r="E2073" s="17">
        <f>Github!F$1748+Github!G$1748</f>
        <v>72</v>
      </c>
      <c r="F2073" s="18">
        <f t="shared" si="1"/>
        <v>17</v>
      </c>
      <c r="G2073" s="17" t="str">
        <f>Github!H$1748</f>
        <v>Database</v>
      </c>
      <c r="H2073" s="19" t="str">
        <f>SUBSTITUTE(Github!L$1748, ";", ", ")</f>
        <v>Database, </v>
      </c>
      <c r="I2073" s="17" t="str">
        <f>Github!E$1748</f>
        <v>Medium</v>
      </c>
      <c r="J2073" s="17" t="str">
        <f>IF(TRIM(Github!D$1748)="TRUE","FALSE","TRUE")</f>
        <v>FALSE</v>
      </c>
      <c r="K2073" s="17" t="b">
        <f>Github!M$1748</f>
        <v>0</v>
      </c>
      <c r="L2073" s="17" t="b">
        <f>Github!N$1748</f>
        <v>0</v>
      </c>
      <c r="M2073" s="17" t="str">
        <f>ROUND(Github!O$1748, 2)&amp;"%"</f>
        <v>67.4%</v>
      </c>
      <c r="N2073" s="17">
        <f>Github!P$1748</f>
        <v>7043</v>
      </c>
      <c r="O2073" s="17">
        <f>Github!Q$1748</f>
        <v>10449</v>
      </c>
    </row>
    <row r="2074" ht="18.0" customHeight="1">
      <c r="A2074" s="17">
        <f>Github!J$1600</f>
        <v>1599</v>
      </c>
      <c r="B2074" s="27" t="str">
        <f>HYPERLINK(CONCAT("http://leetcode.com/problems/",Github!C$1600), Github!B$1600)</f>
        <v>Maximum Profit of Operating a Centennial Wheel</v>
      </c>
      <c r="C2074" s="17">
        <f>Github!F$1600</f>
        <v>67</v>
      </c>
      <c r="D2074" s="17">
        <f>Github!G$1600</f>
        <v>206</v>
      </c>
      <c r="E2074" s="17">
        <f>Github!F$1600+Github!G$1600</f>
        <v>273</v>
      </c>
      <c r="F2074" s="18">
        <f t="shared" si="1"/>
        <v>0.33</v>
      </c>
      <c r="G2074" s="17" t="str">
        <f>Github!H$1600</f>
        <v>Algorithms</v>
      </c>
      <c r="H2074" s="19" t="str">
        <f>SUBSTITUTE(Github!L$1600, ";", ", ")</f>
        <v>Array, Simulation, </v>
      </c>
      <c r="I2074" s="17" t="str">
        <f>Github!E$1600</f>
        <v>Medium</v>
      </c>
      <c r="J2074" s="17" t="str">
        <f>IF(TRIM(Github!D$1600)="TRUE","FALSE","TRUE")</f>
        <v>TRUE</v>
      </c>
      <c r="K2074" s="17" t="b">
        <f>Github!M$1600</f>
        <v>0</v>
      </c>
      <c r="L2074" s="17" t="b">
        <f>Github!N$1600</f>
        <v>0</v>
      </c>
      <c r="M2074" s="17" t="str">
        <f>ROUND(Github!O$1600, 2)&amp;"%"</f>
        <v>43.94%</v>
      </c>
      <c r="N2074" s="17">
        <f>Github!P$1600</f>
        <v>9542</v>
      </c>
      <c r="O2074" s="17">
        <f>Github!Q$1600</f>
        <v>21717</v>
      </c>
    </row>
    <row r="2075" ht="18.0" customHeight="1">
      <c r="A2075" s="17">
        <f>Github!J$973</f>
        <v>972</v>
      </c>
      <c r="B2075" s="27" t="str">
        <f>HYPERLINK(CONCAT("http://leetcode.com/problems/",Github!C$973), Github!B$973)</f>
        <v>Equal Rational Numbers</v>
      </c>
      <c r="C2075" s="17">
        <f>Github!F$973</f>
        <v>66</v>
      </c>
      <c r="D2075" s="17">
        <f>Github!G$973</f>
        <v>182</v>
      </c>
      <c r="E2075" s="17">
        <f>Github!F$973+Github!G$973</f>
        <v>248</v>
      </c>
      <c r="F2075" s="18">
        <f t="shared" si="1"/>
        <v>0.36</v>
      </c>
      <c r="G2075" s="17" t="str">
        <f>Github!H$973</f>
        <v>Algorithms</v>
      </c>
      <c r="H2075" s="19" t="str">
        <f>SUBSTITUTE(Github!L$973, ";", ", ")</f>
        <v>Math, String, </v>
      </c>
      <c r="I2075" s="17" t="str">
        <f>Github!E$973</f>
        <v>Hard</v>
      </c>
      <c r="J2075" s="17" t="str">
        <f>IF(TRIM(Github!D$973)="TRUE","FALSE","TRUE")</f>
        <v>TRUE</v>
      </c>
      <c r="K2075" s="17" t="b">
        <f>Github!M$973</f>
        <v>1</v>
      </c>
      <c r="L2075" s="17" t="b">
        <f>Github!N$973</f>
        <v>0</v>
      </c>
      <c r="M2075" s="17" t="str">
        <f>ROUND(Github!O$973, 2)&amp;"%"</f>
        <v>42.49%</v>
      </c>
      <c r="N2075" s="17">
        <f>Github!P$973</f>
        <v>5264</v>
      </c>
      <c r="O2075" s="17">
        <f>Github!Q$973</f>
        <v>12389</v>
      </c>
    </row>
    <row r="2076" ht="18.0" customHeight="1">
      <c r="A2076" s="17">
        <f>Github!J$1588</f>
        <v>1587</v>
      </c>
      <c r="B2076" s="27" t="str">
        <f>HYPERLINK(CONCAT("http://leetcode.com/problems/",Github!C$1588), Github!B$1588)</f>
        <v>Bank Account Summary II</v>
      </c>
      <c r="C2076" s="17">
        <f>Github!F$1588</f>
        <v>64</v>
      </c>
      <c r="D2076" s="17">
        <f>Github!G$1588</f>
        <v>2</v>
      </c>
      <c r="E2076" s="17">
        <f>Github!F$1588+Github!G$1588</f>
        <v>66</v>
      </c>
      <c r="F2076" s="18">
        <f t="shared" si="1"/>
        <v>32</v>
      </c>
      <c r="G2076" s="17" t="str">
        <f>Github!H$1588</f>
        <v>Database</v>
      </c>
      <c r="H2076" s="19" t="str">
        <f>SUBSTITUTE(Github!L$1588, ";", ", ")</f>
        <v>Database, </v>
      </c>
      <c r="I2076" s="17" t="str">
        <f>Github!E$1588</f>
        <v>Easy</v>
      </c>
      <c r="J2076" s="17" t="str">
        <f>IF(TRIM(Github!D$1588)="TRUE","FALSE","TRUE")</f>
        <v>FALSE</v>
      </c>
      <c r="K2076" s="17" t="b">
        <f>Github!M$1588</f>
        <v>0</v>
      </c>
      <c r="L2076" s="17" t="b">
        <f>Github!N$1588</f>
        <v>0</v>
      </c>
      <c r="M2076" s="17" t="str">
        <f>ROUND(Github!O$1588, 2)&amp;"%"</f>
        <v>90.17%</v>
      </c>
      <c r="N2076" s="17">
        <f>Github!P$1588</f>
        <v>18242</v>
      </c>
      <c r="O2076" s="17">
        <f>Github!Q$1588</f>
        <v>20230</v>
      </c>
    </row>
    <row r="2077" ht="18.0" customHeight="1">
      <c r="A2077" s="17">
        <f>Github!J$1539</f>
        <v>1538</v>
      </c>
      <c r="B2077" s="27" t="str">
        <f>HYPERLINK(CONCAT("http://leetcode.com/problems/",Github!C$1539), Github!B$1539)</f>
        <v>Guess the Majority in a Hidden Array</v>
      </c>
      <c r="C2077" s="17">
        <f>Github!F$1539</f>
        <v>63</v>
      </c>
      <c r="D2077" s="17">
        <f>Github!G$1539</f>
        <v>33</v>
      </c>
      <c r="E2077" s="17">
        <f>Github!F$1539+Github!G$1539</f>
        <v>96</v>
      </c>
      <c r="F2077" s="18">
        <f t="shared" si="1"/>
        <v>1.91</v>
      </c>
      <c r="G2077" s="17" t="str">
        <f>Github!H$1539</f>
        <v>Algorithms</v>
      </c>
      <c r="H2077" s="19" t="str">
        <f>SUBSTITUTE(Github!L$1539, ";", ", ")</f>
        <v>Array, Math, Interactive, </v>
      </c>
      <c r="I2077" s="17" t="str">
        <f>Github!E$1539</f>
        <v>Medium</v>
      </c>
      <c r="J2077" s="17" t="str">
        <f>IF(TRIM(Github!D$1539)="TRUE","FALSE","TRUE")</f>
        <v>FALSE</v>
      </c>
      <c r="K2077" s="17" t="b">
        <f>Github!M$1539</f>
        <v>0</v>
      </c>
      <c r="L2077" s="17" t="b">
        <f>Github!N$1539</f>
        <v>0</v>
      </c>
      <c r="M2077" s="17" t="str">
        <f>ROUND(Github!O$1539, 2)&amp;"%"</f>
        <v>61.86%</v>
      </c>
      <c r="N2077" s="17">
        <f>Github!P$1539</f>
        <v>1304</v>
      </c>
      <c r="O2077" s="17">
        <f>Github!Q$1539</f>
        <v>2108</v>
      </c>
    </row>
    <row r="2078" ht="18.0" customHeight="1">
      <c r="A2078" s="17">
        <f>Github!J$1709</f>
        <v>1708</v>
      </c>
      <c r="B2078" s="27" t="str">
        <f>HYPERLINK(CONCAT("http://leetcode.com/problems/",Github!C$1709), Github!B$1709)</f>
        <v>Largest Subarray Length K</v>
      </c>
      <c r="C2078" s="17">
        <f>Github!F$1709</f>
        <v>63</v>
      </c>
      <c r="D2078" s="17">
        <f>Github!G$1709</f>
        <v>75</v>
      </c>
      <c r="E2078" s="17">
        <f>Github!F$1709+Github!G$1709</f>
        <v>138</v>
      </c>
      <c r="F2078" s="18">
        <f t="shared" si="1"/>
        <v>0.84</v>
      </c>
      <c r="G2078" s="17" t="str">
        <f>Github!H$1709</f>
        <v>Algorithms</v>
      </c>
      <c r="H2078" s="19" t="str">
        <f>SUBSTITUTE(Github!L$1709, ";", ", ")</f>
        <v>Array, Greedy, </v>
      </c>
      <c r="I2078" s="17" t="str">
        <f>Github!E$1709</f>
        <v>Easy</v>
      </c>
      <c r="J2078" s="17" t="str">
        <f>IF(TRIM(Github!D$1709)="TRUE","FALSE","TRUE")</f>
        <v>FALSE</v>
      </c>
      <c r="K2078" s="17" t="b">
        <f>Github!M$1709</f>
        <v>0</v>
      </c>
      <c r="L2078" s="17" t="b">
        <f>Github!N$1709</f>
        <v>0</v>
      </c>
      <c r="M2078" s="17" t="str">
        <f>ROUND(Github!O$1709, 2)&amp;"%"</f>
        <v>63.56%</v>
      </c>
      <c r="N2078" s="17">
        <f>Github!P$1709</f>
        <v>5101</v>
      </c>
      <c r="O2078" s="17">
        <f>Github!Q$1709</f>
        <v>8025</v>
      </c>
    </row>
    <row r="2079" ht="18.0" customHeight="1">
      <c r="A2079" s="17">
        <f>Github!J$556</f>
        <v>555</v>
      </c>
      <c r="B2079" s="27" t="str">
        <f>HYPERLINK(CONCAT("http://leetcode.com/problems/",Github!C$556), Github!B$556)</f>
        <v>Split Concatenated Strings</v>
      </c>
      <c r="C2079" s="17">
        <f>Github!F$556</f>
        <v>62</v>
      </c>
      <c r="D2079" s="17">
        <f>Github!G$556</f>
        <v>233</v>
      </c>
      <c r="E2079" s="17">
        <f>Github!F$556+Github!G$556</f>
        <v>295</v>
      </c>
      <c r="F2079" s="18">
        <f t="shared" si="1"/>
        <v>0.27</v>
      </c>
      <c r="G2079" s="17" t="str">
        <f>Github!H$556</f>
        <v>Algorithms</v>
      </c>
      <c r="H2079" s="19" t="str">
        <f>SUBSTITUTE(Github!L$556, ";", ", ")</f>
        <v>Array, String, Greedy, </v>
      </c>
      <c r="I2079" s="17" t="str">
        <f>Github!E$556</f>
        <v>Medium</v>
      </c>
      <c r="J2079" s="17" t="str">
        <f>IF(TRIM(Github!D$556)="TRUE","FALSE","TRUE")</f>
        <v>FALSE</v>
      </c>
      <c r="K2079" s="17" t="b">
        <f>Github!M$556</f>
        <v>0</v>
      </c>
      <c r="L2079" s="17" t="b">
        <f>Github!N$556</f>
        <v>0</v>
      </c>
      <c r="M2079" s="17" t="str">
        <f>ROUND(Github!O$556, 2)&amp;"%"</f>
        <v>43.19%</v>
      </c>
      <c r="N2079" s="17">
        <f>Github!P$556</f>
        <v>5854</v>
      </c>
      <c r="O2079" s="17">
        <f>Github!Q$556</f>
        <v>13555</v>
      </c>
    </row>
    <row r="2080" ht="18.0" customHeight="1">
      <c r="A2080" s="17">
        <f>Github!J$1257</f>
        <v>1256</v>
      </c>
      <c r="B2080" s="27" t="str">
        <f>HYPERLINK(CONCAT("http://leetcode.com/problems/",Github!C$1257), Github!B$1257)</f>
        <v>Encode Number</v>
      </c>
      <c r="C2080" s="17">
        <f>Github!F$1257</f>
        <v>62</v>
      </c>
      <c r="D2080" s="17">
        <f>Github!G$1257</f>
        <v>206</v>
      </c>
      <c r="E2080" s="17">
        <f>Github!F$1257+Github!G$1257</f>
        <v>268</v>
      </c>
      <c r="F2080" s="18">
        <f t="shared" si="1"/>
        <v>0.3</v>
      </c>
      <c r="G2080" s="17" t="str">
        <f>Github!H$1257</f>
        <v>Algorithms</v>
      </c>
      <c r="H2080" s="19" t="str">
        <f>SUBSTITUTE(Github!L$1257, ";", ", ")</f>
        <v>Math, String, Bit Manipulation, </v>
      </c>
      <c r="I2080" s="17" t="str">
        <f>Github!E$1257</f>
        <v>Medium</v>
      </c>
      <c r="J2080" s="17" t="str">
        <f>IF(TRIM(Github!D$1257)="TRUE","FALSE","TRUE")</f>
        <v>FALSE</v>
      </c>
      <c r="K2080" s="17" t="b">
        <f>Github!M$1257</f>
        <v>0</v>
      </c>
      <c r="L2080" s="17" t="b">
        <f>Github!N$1257</f>
        <v>0</v>
      </c>
      <c r="M2080" s="17" t="str">
        <f>ROUND(Github!O$1257, 2)&amp;"%"</f>
        <v>69.34%</v>
      </c>
      <c r="N2080" s="17">
        <f>Github!P$1257</f>
        <v>6186</v>
      </c>
      <c r="O2080" s="17">
        <f>Github!Q$1257</f>
        <v>8921</v>
      </c>
    </row>
    <row r="2081" ht="18.0" customHeight="1">
      <c r="A2081" s="17">
        <f>Github!J$1182</f>
        <v>1181</v>
      </c>
      <c r="B2081" s="27" t="str">
        <f>HYPERLINK(CONCAT("http://leetcode.com/problems/",Github!C$1182), Github!B$1182)</f>
        <v>Before and After Puzzle</v>
      </c>
      <c r="C2081" s="17">
        <f>Github!F$1182</f>
        <v>61</v>
      </c>
      <c r="D2081" s="17">
        <f>Github!G$1182</f>
        <v>140</v>
      </c>
      <c r="E2081" s="17">
        <f>Github!F$1182+Github!G$1182</f>
        <v>201</v>
      </c>
      <c r="F2081" s="18">
        <f t="shared" si="1"/>
        <v>0.44</v>
      </c>
      <c r="G2081" s="17" t="str">
        <f>Github!H$1182</f>
        <v>Algorithms</v>
      </c>
      <c r="H2081" s="19" t="str">
        <f>SUBSTITUTE(Github!L$1182, ";", ", ")</f>
        <v>Array, Hash Table, String, Sorting, </v>
      </c>
      <c r="I2081" s="17" t="str">
        <f>Github!E$1182</f>
        <v>Medium</v>
      </c>
      <c r="J2081" s="17" t="str">
        <f>IF(TRIM(Github!D$1182)="TRUE","FALSE","TRUE")</f>
        <v>FALSE</v>
      </c>
      <c r="K2081" s="17" t="b">
        <f>Github!M$1182</f>
        <v>0</v>
      </c>
      <c r="L2081" s="17" t="b">
        <f>Github!N$1182</f>
        <v>0</v>
      </c>
      <c r="M2081" s="17" t="str">
        <f>ROUND(Github!O$1182, 2)&amp;"%"</f>
        <v>44.92%</v>
      </c>
      <c r="N2081" s="17">
        <f>Github!P$1182</f>
        <v>8861</v>
      </c>
      <c r="O2081" s="17">
        <f>Github!Q$1182</f>
        <v>19727</v>
      </c>
    </row>
    <row r="2082" ht="18.0" customHeight="1">
      <c r="A2082" s="17">
        <f>Github!J$1694</f>
        <v>1693</v>
      </c>
      <c r="B2082" s="27" t="str">
        <f>HYPERLINK(CONCAT("http://leetcode.com/problems/",Github!C$1694), Github!B$1694)</f>
        <v>Daily Leads and Partners</v>
      </c>
      <c r="C2082" s="17">
        <f>Github!F$1694</f>
        <v>60</v>
      </c>
      <c r="D2082" s="17">
        <f>Github!G$1694</f>
        <v>9</v>
      </c>
      <c r="E2082" s="17">
        <f>Github!F$1694+Github!G$1694</f>
        <v>69</v>
      </c>
      <c r="F2082" s="18">
        <f t="shared" si="1"/>
        <v>6.67</v>
      </c>
      <c r="G2082" s="17" t="str">
        <f>Github!H$1694</f>
        <v>Database</v>
      </c>
      <c r="H2082" s="19" t="str">
        <f>SUBSTITUTE(Github!L$1694, ";", ", ")</f>
        <v>Database, </v>
      </c>
      <c r="I2082" s="17" t="str">
        <f>Github!E$1694</f>
        <v>Easy</v>
      </c>
      <c r="J2082" s="17" t="str">
        <f>IF(TRIM(Github!D$1694)="TRUE","FALSE","TRUE")</f>
        <v>FALSE</v>
      </c>
      <c r="K2082" s="17" t="b">
        <f>Github!M$1694</f>
        <v>0</v>
      </c>
      <c r="L2082" s="17" t="b">
        <f>Github!N$1694</f>
        <v>0</v>
      </c>
      <c r="M2082" s="17" t="str">
        <f>ROUND(Github!O$1694, 2)&amp;"%"</f>
        <v>91.41%</v>
      </c>
      <c r="N2082" s="17">
        <f>Github!P$1694</f>
        <v>13341</v>
      </c>
      <c r="O2082" s="17">
        <f>Github!Q$1694</f>
        <v>14594</v>
      </c>
    </row>
    <row r="2083" ht="18.0" customHeight="1">
      <c r="A2083" s="17">
        <f>Github!J$1068</f>
        <v>1067</v>
      </c>
      <c r="B2083" s="27" t="str">
        <f>HYPERLINK(CONCAT("http://leetcode.com/problems/",Github!C$1068), Github!B$1068)</f>
        <v>Digit Count in Range</v>
      </c>
      <c r="C2083" s="17">
        <f>Github!F$1068</f>
        <v>59</v>
      </c>
      <c r="D2083" s="17">
        <f>Github!G$1068</f>
        <v>14</v>
      </c>
      <c r="E2083" s="17">
        <f>Github!F$1068+Github!G$1068</f>
        <v>73</v>
      </c>
      <c r="F2083" s="18">
        <f t="shared" si="1"/>
        <v>4.21</v>
      </c>
      <c r="G2083" s="17" t="str">
        <f>Github!H$1068</f>
        <v>Algorithms</v>
      </c>
      <c r="H2083" s="19" t="str">
        <f>SUBSTITUTE(Github!L$1068, ";", ", ")</f>
        <v>Math, Dynamic Programming, </v>
      </c>
      <c r="I2083" s="17" t="str">
        <f>Github!E$1068</f>
        <v>Hard</v>
      </c>
      <c r="J2083" s="17" t="str">
        <f>IF(TRIM(Github!D$1068)="TRUE","FALSE","TRUE")</f>
        <v>FALSE</v>
      </c>
      <c r="K2083" s="17" t="b">
        <f>Github!M$1068</f>
        <v>0</v>
      </c>
      <c r="L2083" s="17" t="b">
        <f>Github!N$1068</f>
        <v>0</v>
      </c>
      <c r="M2083" s="17" t="str">
        <f>ROUND(Github!O$1068, 2)&amp;"%"</f>
        <v>42.5%</v>
      </c>
      <c r="N2083" s="17">
        <f>Github!P$1068</f>
        <v>2589</v>
      </c>
      <c r="O2083" s="17">
        <f>Github!Q$1068</f>
        <v>6092</v>
      </c>
    </row>
    <row r="2084" ht="18.0" customHeight="1">
      <c r="A2084" s="17">
        <f>Github!J$1379</f>
        <v>1378</v>
      </c>
      <c r="B2084" s="27" t="str">
        <f>HYPERLINK(CONCAT("http://leetcode.com/problems/",Github!C$1379), Github!B$1379)</f>
        <v>Replace Employee ID With The Unique Identifier</v>
      </c>
      <c r="C2084" s="17">
        <f>Github!F$1379</f>
        <v>58</v>
      </c>
      <c r="D2084" s="17">
        <f>Github!G$1379</f>
        <v>30</v>
      </c>
      <c r="E2084" s="17">
        <f>Github!F$1379+Github!G$1379</f>
        <v>88</v>
      </c>
      <c r="F2084" s="18">
        <f t="shared" si="1"/>
        <v>1.93</v>
      </c>
      <c r="G2084" s="17" t="str">
        <f>Github!H$1379</f>
        <v>Database</v>
      </c>
      <c r="H2084" s="19" t="str">
        <f>SUBSTITUTE(Github!L$1379, ";", ", ")</f>
        <v>Database, </v>
      </c>
      <c r="I2084" s="17" t="str">
        <f>Github!E$1379</f>
        <v>Easy</v>
      </c>
      <c r="J2084" s="17" t="str">
        <f>IF(TRIM(Github!D$1379)="TRUE","FALSE","TRUE")</f>
        <v>FALSE</v>
      </c>
      <c r="K2084" s="17" t="b">
        <f>Github!M$1379</f>
        <v>0</v>
      </c>
      <c r="L2084" s="17" t="b">
        <f>Github!N$1379</f>
        <v>0</v>
      </c>
      <c r="M2084" s="17" t="str">
        <f>ROUND(Github!O$1379, 2)&amp;"%"</f>
        <v>91.07%</v>
      </c>
      <c r="N2084" s="17">
        <f>Github!P$1379</f>
        <v>27138</v>
      </c>
      <c r="O2084" s="17">
        <f>Github!Q$1379</f>
        <v>29798</v>
      </c>
    </row>
    <row r="2085" ht="18.0" customHeight="1">
      <c r="A2085" s="17">
        <f>Github!J$1621</f>
        <v>1620</v>
      </c>
      <c r="B2085" s="27" t="str">
        <f>HYPERLINK(CONCAT("http://leetcode.com/problems/",Github!C$1621), Github!B$1621)</f>
        <v>Coordinate With Maximum Network Quality</v>
      </c>
      <c r="C2085" s="17">
        <f>Github!F$1621</f>
        <v>58</v>
      </c>
      <c r="D2085" s="17">
        <f>Github!G$1621</f>
        <v>196</v>
      </c>
      <c r="E2085" s="17">
        <f>Github!F$1621+Github!G$1621</f>
        <v>254</v>
      </c>
      <c r="F2085" s="18">
        <f t="shared" si="1"/>
        <v>0.3</v>
      </c>
      <c r="G2085" s="17" t="str">
        <f>Github!H$1621</f>
        <v>Algorithms</v>
      </c>
      <c r="H2085" s="19" t="str">
        <f>SUBSTITUTE(Github!L$1621, ";", ", ")</f>
        <v>Array, Enumeration, </v>
      </c>
      <c r="I2085" s="17" t="str">
        <f>Github!E$1621</f>
        <v>Medium</v>
      </c>
      <c r="J2085" s="17" t="str">
        <f>IF(TRIM(Github!D$1621)="TRUE","FALSE","TRUE")</f>
        <v>TRUE</v>
      </c>
      <c r="K2085" s="17" t="b">
        <f>Github!M$1621</f>
        <v>0</v>
      </c>
      <c r="L2085" s="17" t="b">
        <f>Github!N$1621</f>
        <v>0</v>
      </c>
      <c r="M2085" s="17" t="str">
        <f>ROUND(Github!O$1621, 2)&amp;"%"</f>
        <v>37.05%</v>
      </c>
      <c r="N2085" s="17">
        <f>Github!P$1621</f>
        <v>6274</v>
      </c>
      <c r="O2085" s="17">
        <f>Github!Q$1621</f>
        <v>16933</v>
      </c>
    </row>
    <row r="2086" ht="18.0" customHeight="1">
      <c r="A2086" s="17">
        <f>Github!J$1272</f>
        <v>1271</v>
      </c>
      <c r="B2086" s="27" t="str">
        <f>HYPERLINK(CONCAT("http://leetcode.com/problems/",Github!C$1272), Github!B$1272)</f>
        <v>Hexspeak</v>
      </c>
      <c r="C2086" s="17">
        <f>Github!F$1272</f>
        <v>57</v>
      </c>
      <c r="D2086" s="17">
        <f>Github!G$1272</f>
        <v>101</v>
      </c>
      <c r="E2086" s="17">
        <f>Github!F$1272+Github!G$1272</f>
        <v>158</v>
      </c>
      <c r="F2086" s="18">
        <f t="shared" si="1"/>
        <v>0.56</v>
      </c>
      <c r="G2086" s="17" t="str">
        <f>Github!H$1272</f>
        <v>Algorithms</v>
      </c>
      <c r="H2086" s="19" t="str">
        <f>SUBSTITUTE(Github!L$1272, ";", ", ")</f>
        <v>Math, String, </v>
      </c>
      <c r="I2086" s="17" t="str">
        <f>Github!E$1272</f>
        <v>Easy</v>
      </c>
      <c r="J2086" s="17" t="str">
        <f>IF(TRIM(Github!D$1272)="TRUE","FALSE","TRUE")</f>
        <v>FALSE</v>
      </c>
      <c r="K2086" s="17" t="b">
        <f>Github!M$1272</f>
        <v>0</v>
      </c>
      <c r="L2086" s="17" t="b">
        <f>Github!N$1272</f>
        <v>0</v>
      </c>
      <c r="M2086" s="17" t="str">
        <f>ROUND(Github!O$1272, 2)&amp;"%"</f>
        <v>56.31%</v>
      </c>
      <c r="N2086" s="17">
        <f>Github!P$1272</f>
        <v>7692</v>
      </c>
      <c r="O2086" s="17">
        <f>Github!Q$1272</f>
        <v>13661</v>
      </c>
    </row>
    <row r="2087" ht="18.0" customHeight="1">
      <c r="A2087" s="17">
        <f>Github!J$1337</f>
        <v>1336</v>
      </c>
      <c r="B2087" s="27" t="str">
        <f>HYPERLINK(CONCAT("http://leetcode.com/problems/",Github!C$1337), Github!B$1337)</f>
        <v>Number of Transactions per Visit</v>
      </c>
      <c r="C2087" s="17">
        <f>Github!F$1337</f>
        <v>57</v>
      </c>
      <c r="D2087" s="17">
        <f>Github!G$1337</f>
        <v>235</v>
      </c>
      <c r="E2087" s="17">
        <f>Github!F$1337+Github!G$1337</f>
        <v>292</v>
      </c>
      <c r="F2087" s="18">
        <f t="shared" si="1"/>
        <v>0.24</v>
      </c>
      <c r="G2087" s="17" t="str">
        <f>Github!H$1337</f>
        <v>Database</v>
      </c>
      <c r="H2087" s="19" t="str">
        <f>SUBSTITUTE(Github!L$1337, ";", ", ")</f>
        <v>Database, </v>
      </c>
      <c r="I2087" s="17" t="str">
        <f>Github!E$1337</f>
        <v>Hard</v>
      </c>
      <c r="J2087" s="17" t="str">
        <f>IF(TRIM(Github!D$1337)="TRUE","FALSE","TRUE")</f>
        <v>FALSE</v>
      </c>
      <c r="K2087" s="17" t="b">
        <f>Github!M$1337</f>
        <v>0</v>
      </c>
      <c r="L2087" s="17" t="b">
        <f>Github!N$1337</f>
        <v>0</v>
      </c>
      <c r="M2087" s="17" t="str">
        <f>ROUND(Github!O$1337, 2)&amp;"%"</f>
        <v>51.25%</v>
      </c>
      <c r="N2087" s="17">
        <f>Github!P$1337</f>
        <v>8438</v>
      </c>
      <c r="O2087" s="17">
        <f>Github!Q$1337</f>
        <v>16464</v>
      </c>
    </row>
    <row r="2088" ht="18.0" customHeight="1">
      <c r="A2088" s="17">
        <f>Github!J$1550</f>
        <v>1549</v>
      </c>
      <c r="B2088" s="27" t="str">
        <f>HYPERLINK(CONCAT("http://leetcode.com/problems/",Github!C$1550), Github!B$1550)</f>
        <v>The Most Recent Orders for Each Product</v>
      </c>
      <c r="C2088" s="17">
        <f>Github!F$1550</f>
        <v>57</v>
      </c>
      <c r="D2088" s="17">
        <f>Github!G$1550</f>
        <v>4</v>
      </c>
      <c r="E2088" s="17">
        <f>Github!F$1550+Github!G$1550</f>
        <v>61</v>
      </c>
      <c r="F2088" s="18">
        <f t="shared" si="1"/>
        <v>14.25</v>
      </c>
      <c r="G2088" s="17" t="str">
        <f>Github!H$1550</f>
        <v>Database</v>
      </c>
      <c r="H2088" s="19" t="str">
        <f>SUBSTITUTE(Github!L$1550, ";", ", ")</f>
        <v>Database, </v>
      </c>
      <c r="I2088" s="17" t="str">
        <f>Github!E$1550</f>
        <v>Medium</v>
      </c>
      <c r="J2088" s="17" t="str">
        <f>IF(TRIM(Github!D$1550)="TRUE","FALSE","TRUE")</f>
        <v>FALSE</v>
      </c>
      <c r="K2088" s="17" t="b">
        <f>Github!M$1550</f>
        <v>0</v>
      </c>
      <c r="L2088" s="17" t="b">
        <f>Github!N$1550</f>
        <v>0</v>
      </c>
      <c r="M2088" s="17" t="str">
        <f>ROUND(Github!O$1550, 2)&amp;"%"</f>
        <v>67.77%</v>
      </c>
      <c r="N2088" s="17">
        <f>Github!P$1550</f>
        <v>11832</v>
      </c>
      <c r="O2088" s="17">
        <f>Github!Q$1550</f>
        <v>17460</v>
      </c>
    </row>
    <row r="2089" ht="18.0" customHeight="1">
      <c r="A2089" s="17">
        <f>Github!J$1821</f>
        <v>1820</v>
      </c>
      <c r="B2089" s="27" t="str">
        <f>HYPERLINK(CONCAT("http://leetcode.com/problems/",Github!C$1821), Github!B$1821)</f>
        <v>Maximum Number of Accepted Invitations</v>
      </c>
      <c r="C2089" s="17">
        <f>Github!F$1821</f>
        <v>57</v>
      </c>
      <c r="D2089" s="17">
        <f>Github!G$1821</f>
        <v>13</v>
      </c>
      <c r="E2089" s="17">
        <f>Github!F$1821+Github!G$1821</f>
        <v>70</v>
      </c>
      <c r="F2089" s="18">
        <f t="shared" si="1"/>
        <v>4.38</v>
      </c>
      <c r="G2089" s="17" t="str">
        <f>Github!H$1821</f>
        <v>Algorithms</v>
      </c>
      <c r="H2089" s="19" t="str">
        <f>SUBSTITUTE(Github!L$1821, ";", ", ")</f>
        <v>Array, Backtracking, Matrix, </v>
      </c>
      <c r="I2089" s="17" t="str">
        <f>Github!E$1821</f>
        <v>Medium</v>
      </c>
      <c r="J2089" s="17" t="str">
        <f>IF(TRIM(Github!D$1821)="TRUE","FALSE","TRUE")</f>
        <v>FALSE</v>
      </c>
      <c r="K2089" s="17" t="b">
        <f>Github!M$1821</f>
        <v>0</v>
      </c>
      <c r="L2089" s="17" t="b">
        <f>Github!N$1821</f>
        <v>0</v>
      </c>
      <c r="M2089" s="17" t="str">
        <f>ROUND(Github!O$1821, 2)&amp;"%"</f>
        <v>46.6%</v>
      </c>
      <c r="N2089" s="17">
        <f>Github!P$1821</f>
        <v>1015</v>
      </c>
      <c r="O2089" s="17">
        <f>Github!Q$1821</f>
        <v>2178</v>
      </c>
    </row>
    <row r="2090" ht="18.0" customHeight="1">
      <c r="A2090" s="17">
        <f>Github!J$1903</f>
        <v>1902</v>
      </c>
      <c r="B2090" s="27" t="str">
        <f>HYPERLINK(CONCAT("http://leetcode.com/problems/",Github!C$1903), Github!B$1903)</f>
        <v>Depth of BST Given Insertion Order</v>
      </c>
      <c r="C2090" s="17">
        <f>Github!F$1903</f>
        <v>57</v>
      </c>
      <c r="D2090" s="17">
        <f>Github!G$1903</f>
        <v>5</v>
      </c>
      <c r="E2090" s="17">
        <f>Github!F$1903+Github!G$1903</f>
        <v>62</v>
      </c>
      <c r="F2090" s="18">
        <f t="shared" si="1"/>
        <v>11.4</v>
      </c>
      <c r="G2090" s="17" t="str">
        <f>Github!H$1903</f>
        <v>Algorithms</v>
      </c>
      <c r="H2090" s="19" t="str">
        <f>SUBSTITUTE(Github!L$1903, ";", ", ")</f>
        <v>Tree, Binary Search Tree, Binary Tree, Ordered Set, </v>
      </c>
      <c r="I2090" s="17" t="str">
        <f>Github!E$1903</f>
        <v>Medium</v>
      </c>
      <c r="J2090" s="17" t="str">
        <f>IF(TRIM(Github!D$1903)="TRUE","FALSE","TRUE")</f>
        <v>FALSE</v>
      </c>
      <c r="K2090" s="17" t="b">
        <f>Github!M$1903</f>
        <v>0</v>
      </c>
      <c r="L2090" s="17" t="b">
        <f>Github!N$1903</f>
        <v>0</v>
      </c>
      <c r="M2090" s="17" t="str">
        <f>ROUND(Github!O$1903, 2)&amp;"%"</f>
        <v>46.56%</v>
      </c>
      <c r="N2090" s="17">
        <f>Github!P$1903</f>
        <v>1272</v>
      </c>
      <c r="O2090" s="17">
        <f>Github!Q$1903</f>
        <v>2732</v>
      </c>
    </row>
    <row r="2091" ht="18.0" customHeight="1">
      <c r="A2091" s="17">
        <f>Github!J$2047</f>
        <v>2046</v>
      </c>
      <c r="B2091" s="27" t="str">
        <f>HYPERLINK(CONCAT("http://leetcode.com/problems/",Github!C$2047), Github!B$2047)</f>
        <v>Sort Linked List Already Sorted Using Absolute Values</v>
      </c>
      <c r="C2091" s="17">
        <f>Github!F$2047</f>
        <v>57</v>
      </c>
      <c r="D2091" s="17">
        <f>Github!G$2047</f>
        <v>0</v>
      </c>
      <c r="E2091" s="17">
        <f>Github!F$2047+Github!G$2047</f>
        <v>57</v>
      </c>
      <c r="F2091" s="18">
        <f t="shared" si="1"/>
        <v>57</v>
      </c>
      <c r="G2091" s="17" t="str">
        <f>Github!H$2047</f>
        <v>Algorithms</v>
      </c>
      <c r="H2091" s="19" t="str">
        <f>SUBSTITUTE(Github!L$2047, ";", ", ")</f>
        <v>Linked List, Two Pointers, Sorting, </v>
      </c>
      <c r="I2091" s="17" t="str">
        <f>Github!E$2047</f>
        <v>Medium</v>
      </c>
      <c r="J2091" s="17" t="str">
        <f>IF(TRIM(Github!D$2047)="TRUE","FALSE","TRUE")</f>
        <v>FALSE</v>
      </c>
      <c r="K2091" s="17" t="b">
        <f>Github!M$2047</f>
        <v>0</v>
      </c>
      <c r="L2091" s="17" t="b">
        <f>Github!N$2047</f>
        <v>0</v>
      </c>
      <c r="M2091" s="17" t="str">
        <f>ROUND(Github!O$2047, 2)&amp;"%"</f>
        <v>70.48%</v>
      </c>
      <c r="N2091" s="17">
        <f>Github!P$2047</f>
        <v>2230</v>
      </c>
      <c r="O2091" s="17">
        <f>Github!Q$2047</f>
        <v>3164</v>
      </c>
    </row>
    <row r="2092" ht="18.0" customHeight="1">
      <c r="A2092" s="17">
        <f>Github!J$875</f>
        <v>874</v>
      </c>
      <c r="B2092" s="27" t="str">
        <f>HYPERLINK(CONCAT("http://leetcode.com/problems/",Github!C$875), Github!B$875)</f>
        <v>Walking Robot Simulation</v>
      </c>
      <c r="C2092" s="17">
        <f>Github!F$875</f>
        <v>58</v>
      </c>
      <c r="D2092" s="17">
        <f>Github!G$875</f>
        <v>10</v>
      </c>
      <c r="E2092" s="17">
        <f>Github!F$875+Github!G$875</f>
        <v>68</v>
      </c>
      <c r="F2092" s="18">
        <f t="shared" si="1"/>
        <v>5.8</v>
      </c>
      <c r="G2092" s="17" t="str">
        <f>Github!H$875</f>
        <v>Algorithms</v>
      </c>
      <c r="H2092" s="19" t="str">
        <f>SUBSTITUTE(Github!L$875, ";", ", ")</f>
        <v>Array, Simulation, </v>
      </c>
      <c r="I2092" s="17" t="str">
        <f>Github!E$875</f>
        <v>Medium</v>
      </c>
      <c r="J2092" s="17" t="str">
        <f>IF(TRIM(Github!D$875)="TRUE","FALSE","TRUE")</f>
        <v>TRUE</v>
      </c>
      <c r="K2092" s="17" t="b">
        <f>Github!M$875</f>
        <v>0</v>
      </c>
      <c r="L2092" s="17" t="b">
        <f>Github!N$875</f>
        <v>0</v>
      </c>
      <c r="M2092" s="17" t="str">
        <f>ROUND(Github!O$875, 2)&amp;"%"</f>
        <v>37.65%</v>
      </c>
      <c r="N2092" s="17">
        <f>Github!P$875</f>
        <v>31025</v>
      </c>
      <c r="O2092" s="17">
        <f>Github!Q$875</f>
        <v>82407</v>
      </c>
    </row>
    <row r="2093" ht="18.0" customHeight="1">
      <c r="A2093" s="17">
        <f>Github!J$2084</f>
        <v>2083</v>
      </c>
      <c r="B2093" s="27" t="str">
        <f>HYPERLINK(CONCAT("http://leetcode.com/problems/",Github!C$2084), Github!B$2084)</f>
        <v>Substrings That Begin and End With the Same Letter</v>
      </c>
      <c r="C2093" s="17">
        <f>Github!F$2084</f>
        <v>56</v>
      </c>
      <c r="D2093" s="17">
        <f>Github!G$2084</f>
        <v>2</v>
      </c>
      <c r="E2093" s="17">
        <f>Github!F$2084+Github!G$2084</f>
        <v>58</v>
      </c>
      <c r="F2093" s="18">
        <f t="shared" si="1"/>
        <v>28</v>
      </c>
      <c r="G2093" s="17" t="str">
        <f>Github!H$2084</f>
        <v>Algorithms</v>
      </c>
      <c r="H2093" s="19" t="str">
        <f>SUBSTITUTE(Github!L$2084, ";", ", ")</f>
        <v>Hash Table, Math, String, Counting, Prefix Sum, </v>
      </c>
      <c r="I2093" s="17" t="str">
        <f>Github!E$2084</f>
        <v>Medium</v>
      </c>
      <c r="J2093" s="17" t="str">
        <f>IF(TRIM(Github!D$2084)="TRUE","FALSE","TRUE")</f>
        <v>FALSE</v>
      </c>
      <c r="K2093" s="17" t="b">
        <f>Github!M$2084</f>
        <v>0</v>
      </c>
      <c r="L2093" s="17" t="b">
        <f>Github!N$2084</f>
        <v>0</v>
      </c>
      <c r="M2093" s="17" t="str">
        <f>ROUND(Github!O$2084, 2)&amp;"%"</f>
        <v>69.3%</v>
      </c>
      <c r="N2093" s="17">
        <f>Github!P$2084</f>
        <v>2586</v>
      </c>
      <c r="O2093" s="17">
        <f>Github!Q$2084</f>
        <v>3732</v>
      </c>
    </row>
    <row r="2094" ht="18.0" customHeight="1">
      <c r="A2094" s="17">
        <f>Github!J$1684</f>
        <v>1683</v>
      </c>
      <c r="B2094" s="27" t="str">
        <f>HYPERLINK(CONCAT("http://leetcode.com/problems/",Github!C$1684), Github!B$1684)</f>
        <v>Invalid Tweets</v>
      </c>
      <c r="C2094" s="17">
        <f>Github!F$1684</f>
        <v>55</v>
      </c>
      <c r="D2094" s="17">
        <f>Github!G$1684</f>
        <v>64</v>
      </c>
      <c r="E2094" s="17">
        <f>Github!F$1684+Github!G$1684</f>
        <v>119</v>
      </c>
      <c r="F2094" s="18">
        <f t="shared" si="1"/>
        <v>0.86</v>
      </c>
      <c r="G2094" s="17" t="str">
        <f>Github!H$1684</f>
        <v>Database</v>
      </c>
      <c r="H2094" s="19" t="str">
        <f>SUBSTITUTE(Github!L$1684, ";", ", ")</f>
        <v>Database, </v>
      </c>
      <c r="I2094" s="17" t="str">
        <f>Github!E$1684</f>
        <v>Easy</v>
      </c>
      <c r="J2094" s="17" t="str">
        <f>IF(TRIM(Github!D$1684)="TRUE","FALSE","TRUE")</f>
        <v>FALSE</v>
      </c>
      <c r="K2094" s="17" t="b">
        <f>Github!M$1684</f>
        <v>0</v>
      </c>
      <c r="L2094" s="17" t="b">
        <f>Github!N$1684</f>
        <v>0</v>
      </c>
      <c r="M2094" s="17" t="str">
        <f>ROUND(Github!O$1684, 2)&amp;"%"</f>
        <v>90.94%</v>
      </c>
      <c r="N2094" s="17">
        <f>Github!P$1684</f>
        <v>16526</v>
      </c>
      <c r="O2094" s="17">
        <f>Github!Q$1684</f>
        <v>18173</v>
      </c>
    </row>
    <row r="2095" ht="18.0" customHeight="1">
      <c r="A2095" s="17">
        <f>Github!J$1070</f>
        <v>1069</v>
      </c>
      <c r="B2095" s="27" t="str">
        <f>HYPERLINK(CONCAT("http://leetcode.com/problems/",Github!C$1070), Github!B$1070)</f>
        <v>Product Sales Analysis II</v>
      </c>
      <c r="C2095" s="17">
        <f>Github!F$1070</f>
        <v>54</v>
      </c>
      <c r="D2095" s="17">
        <f>Github!G$1070</f>
        <v>139</v>
      </c>
      <c r="E2095" s="17">
        <f>Github!F$1070+Github!G$1070</f>
        <v>193</v>
      </c>
      <c r="F2095" s="18">
        <f t="shared" si="1"/>
        <v>0.39</v>
      </c>
      <c r="G2095" s="17" t="str">
        <f>Github!H$1070</f>
        <v>Database</v>
      </c>
      <c r="H2095" s="19" t="str">
        <f>SUBSTITUTE(Github!L$1070, ";", ", ")</f>
        <v>Database, </v>
      </c>
      <c r="I2095" s="17" t="str">
        <f>Github!E$1070</f>
        <v>Easy</v>
      </c>
      <c r="J2095" s="17" t="str">
        <f>IF(TRIM(Github!D$1070)="TRUE","FALSE","TRUE")</f>
        <v>FALSE</v>
      </c>
      <c r="K2095" s="17" t="b">
        <f>Github!M$1070</f>
        <v>0</v>
      </c>
      <c r="L2095" s="17" t="b">
        <f>Github!N$1070</f>
        <v>0</v>
      </c>
      <c r="M2095" s="17" t="str">
        <f>ROUND(Github!O$1070, 2)&amp;"%"</f>
        <v>82.59%</v>
      </c>
      <c r="N2095" s="17">
        <f>Github!P$1070</f>
        <v>37688</v>
      </c>
      <c r="O2095" s="17">
        <f>Github!Q$1070</f>
        <v>45635</v>
      </c>
    </row>
    <row r="2096" ht="18.0" customHeight="1">
      <c r="A2096" s="17">
        <f>Github!J$1636</f>
        <v>1635</v>
      </c>
      <c r="B2096" s="27" t="str">
        <f>HYPERLINK(CONCAT("http://leetcode.com/problems/",Github!C$1636), Github!B$1636)</f>
        <v>Hopper Company Queries I</v>
      </c>
      <c r="C2096" s="17">
        <f>Github!F$1636</f>
        <v>54</v>
      </c>
      <c r="D2096" s="17">
        <f>Github!G$1636</f>
        <v>21</v>
      </c>
      <c r="E2096" s="17">
        <f>Github!F$1636+Github!G$1636</f>
        <v>75</v>
      </c>
      <c r="F2096" s="18">
        <f t="shared" si="1"/>
        <v>2.57</v>
      </c>
      <c r="G2096" s="17" t="str">
        <f>Github!H$1636</f>
        <v>Database</v>
      </c>
      <c r="H2096" s="19" t="str">
        <f>SUBSTITUTE(Github!L$1636, ";", ", ")</f>
        <v>Database, </v>
      </c>
      <c r="I2096" s="17" t="str">
        <f>Github!E$1636</f>
        <v>Hard</v>
      </c>
      <c r="J2096" s="17" t="str">
        <f>IF(TRIM(Github!D$1636)="TRUE","FALSE","TRUE")</f>
        <v>FALSE</v>
      </c>
      <c r="K2096" s="17" t="b">
        <f>Github!M$1636</f>
        <v>0</v>
      </c>
      <c r="L2096" s="17" t="b">
        <f>Github!N$1636</f>
        <v>0</v>
      </c>
      <c r="M2096" s="17" t="str">
        <f>ROUND(Github!O$1636, 2)&amp;"%"</f>
        <v>53.97%</v>
      </c>
      <c r="N2096" s="17">
        <f>Github!P$1636</f>
        <v>4899</v>
      </c>
      <c r="O2096" s="17">
        <f>Github!Q$1636</f>
        <v>9078</v>
      </c>
    </row>
    <row r="2097" ht="18.0" customHeight="1">
      <c r="A2097" s="17">
        <f>Github!J$1790</f>
        <v>1789</v>
      </c>
      <c r="B2097" s="27" t="str">
        <f>HYPERLINK(CONCAT("http://leetcode.com/problems/",Github!C$1790), Github!B$1790)</f>
        <v>Primary Department for Each Employee</v>
      </c>
      <c r="C2097" s="17">
        <f>Github!F$1790</f>
        <v>55</v>
      </c>
      <c r="D2097" s="17">
        <f>Github!G$1790</f>
        <v>23</v>
      </c>
      <c r="E2097" s="17">
        <f>Github!F$1790+Github!G$1790</f>
        <v>78</v>
      </c>
      <c r="F2097" s="18">
        <f t="shared" si="1"/>
        <v>2.39</v>
      </c>
      <c r="G2097" s="17" t="str">
        <f>Github!H$1790</f>
        <v>Database</v>
      </c>
      <c r="H2097" s="19" t="str">
        <f>SUBSTITUTE(Github!L$1790, ";", ", ")</f>
        <v>Database, </v>
      </c>
      <c r="I2097" s="17" t="str">
        <f>Github!E$1790</f>
        <v>Easy</v>
      </c>
      <c r="J2097" s="17" t="str">
        <f>IF(TRIM(Github!D$1790)="TRUE","FALSE","TRUE")</f>
        <v>FALSE</v>
      </c>
      <c r="K2097" s="17" t="b">
        <f>Github!M$1790</f>
        <v>0</v>
      </c>
      <c r="L2097" s="17" t="b">
        <f>Github!N$1790</f>
        <v>0</v>
      </c>
      <c r="M2097" s="17" t="str">
        <f>ROUND(Github!O$1790, 2)&amp;"%"</f>
        <v>78.58%</v>
      </c>
      <c r="N2097" s="17">
        <f>Github!P$1790</f>
        <v>8241</v>
      </c>
      <c r="O2097" s="17">
        <f>Github!Q$1790</f>
        <v>10487</v>
      </c>
    </row>
    <row r="2098" ht="18.0" customHeight="1">
      <c r="A2098" s="17">
        <f>Github!J$1544</f>
        <v>1543</v>
      </c>
      <c r="B2098" s="27" t="str">
        <f>HYPERLINK(CONCAT("http://leetcode.com/problems/",Github!C$1544), Github!B$1544)</f>
        <v>Fix Product Name Format</v>
      </c>
      <c r="C2098" s="17">
        <f>Github!F$1544</f>
        <v>53</v>
      </c>
      <c r="D2098" s="17">
        <f>Github!G$1544</f>
        <v>32</v>
      </c>
      <c r="E2098" s="17">
        <f>Github!F$1544+Github!G$1544</f>
        <v>85</v>
      </c>
      <c r="F2098" s="18">
        <f t="shared" si="1"/>
        <v>1.66</v>
      </c>
      <c r="G2098" s="17" t="str">
        <f>Github!H$1544</f>
        <v>Database</v>
      </c>
      <c r="H2098" s="19" t="str">
        <f>SUBSTITUTE(Github!L$1544, ";", ", ")</f>
        <v>Database, </v>
      </c>
      <c r="I2098" s="17" t="str">
        <f>Github!E$1544</f>
        <v>Easy</v>
      </c>
      <c r="J2098" s="17" t="str">
        <f>IF(TRIM(Github!D$1544)="TRUE","FALSE","TRUE")</f>
        <v>FALSE</v>
      </c>
      <c r="K2098" s="17" t="b">
        <f>Github!M$1544</f>
        <v>0</v>
      </c>
      <c r="L2098" s="17" t="b">
        <f>Github!N$1544</f>
        <v>0</v>
      </c>
      <c r="M2098" s="17" t="str">
        <f>ROUND(Github!O$1544, 2)&amp;"%"</f>
        <v>63.28%</v>
      </c>
      <c r="N2098" s="17">
        <f>Github!P$1544</f>
        <v>12231</v>
      </c>
      <c r="O2098" s="17">
        <f>Github!Q$1544</f>
        <v>19327</v>
      </c>
    </row>
    <row r="2099" ht="18.0" customHeight="1">
      <c r="A2099" s="17">
        <f>Github!J$1732</f>
        <v>1731</v>
      </c>
      <c r="B2099" s="27" t="str">
        <f>HYPERLINK(CONCAT("http://leetcode.com/problems/",Github!C$1732), Github!B$1732)</f>
        <v>The Number of Employees Which Report to Each Employee</v>
      </c>
      <c r="C2099" s="17">
        <f>Github!F$1732</f>
        <v>53</v>
      </c>
      <c r="D2099" s="17">
        <f>Github!G$1732</f>
        <v>14</v>
      </c>
      <c r="E2099" s="17">
        <f>Github!F$1732+Github!G$1732</f>
        <v>67</v>
      </c>
      <c r="F2099" s="18">
        <f t="shared" si="1"/>
        <v>3.79</v>
      </c>
      <c r="G2099" s="17" t="str">
        <f>Github!H$1732</f>
        <v>Database</v>
      </c>
      <c r="H2099" s="19" t="str">
        <f>SUBSTITUTE(Github!L$1732, ";", ", ")</f>
        <v>Database, </v>
      </c>
      <c r="I2099" s="17" t="str">
        <f>Github!E$1732</f>
        <v>Easy</v>
      </c>
      <c r="J2099" s="17" t="str">
        <f>IF(TRIM(Github!D$1732)="TRUE","FALSE","TRUE")</f>
        <v>FALSE</v>
      </c>
      <c r="K2099" s="17" t="b">
        <f>Github!M$1732</f>
        <v>0</v>
      </c>
      <c r="L2099" s="17" t="b">
        <f>Github!N$1732</f>
        <v>0</v>
      </c>
      <c r="M2099" s="17" t="str">
        <f>ROUND(Github!O$1732, 2)&amp;"%"</f>
        <v>48.89%</v>
      </c>
      <c r="N2099" s="17">
        <f>Github!P$1732</f>
        <v>8790</v>
      </c>
      <c r="O2099" s="17">
        <f>Github!Q$1732</f>
        <v>17980</v>
      </c>
    </row>
    <row r="2100" ht="18.0" customHeight="1">
      <c r="A2100" s="17">
        <f>Github!J$1365</f>
        <v>1364</v>
      </c>
      <c r="B2100" s="27" t="str">
        <f>HYPERLINK(CONCAT("http://leetcode.com/problems/",Github!C$1365), Github!B$1365)</f>
        <v>Number of Trusted Contacts of a Customer</v>
      </c>
      <c r="C2100" s="17">
        <f>Github!F$1365</f>
        <v>52</v>
      </c>
      <c r="D2100" s="17">
        <f>Github!G$1365</f>
        <v>265</v>
      </c>
      <c r="E2100" s="17">
        <f>Github!F$1365+Github!G$1365</f>
        <v>317</v>
      </c>
      <c r="F2100" s="18">
        <f t="shared" si="1"/>
        <v>0.2</v>
      </c>
      <c r="G2100" s="17" t="str">
        <f>Github!H$1365</f>
        <v>Database</v>
      </c>
      <c r="H2100" s="19" t="str">
        <f>SUBSTITUTE(Github!L$1365, ";", ", ")</f>
        <v>Database, </v>
      </c>
      <c r="I2100" s="17" t="str">
        <f>Github!E$1365</f>
        <v>Medium</v>
      </c>
      <c r="J2100" s="17" t="str">
        <f>IF(TRIM(Github!D$1365)="TRUE","FALSE","TRUE")</f>
        <v>FALSE</v>
      </c>
      <c r="K2100" s="17" t="b">
        <f>Github!M$1365</f>
        <v>0</v>
      </c>
      <c r="L2100" s="17" t="b">
        <f>Github!N$1365</f>
        <v>0</v>
      </c>
      <c r="M2100" s="17" t="str">
        <f>ROUND(Github!O$1365, 2)&amp;"%"</f>
        <v>78.57%</v>
      </c>
      <c r="N2100" s="17">
        <f>Github!P$1365</f>
        <v>12386</v>
      </c>
      <c r="O2100" s="17">
        <f>Github!Q$1365</f>
        <v>15764</v>
      </c>
    </row>
    <row r="2101" ht="18.0" customHeight="1">
      <c r="A2101" s="17">
        <f>Github!J$1566</f>
        <v>1565</v>
      </c>
      <c r="B2101" s="27" t="str">
        <f>HYPERLINK(CONCAT("http://leetcode.com/problems/",Github!C$1566), Github!B$1566)</f>
        <v>Unique Orders and Customers Per Month</v>
      </c>
      <c r="C2101" s="17">
        <f>Github!F$1566</f>
        <v>52</v>
      </c>
      <c r="D2101" s="17">
        <f>Github!G$1566</f>
        <v>26</v>
      </c>
      <c r="E2101" s="17">
        <f>Github!F$1566+Github!G$1566</f>
        <v>78</v>
      </c>
      <c r="F2101" s="18">
        <f t="shared" si="1"/>
        <v>2</v>
      </c>
      <c r="G2101" s="17" t="str">
        <f>Github!H$1566</f>
        <v>Database</v>
      </c>
      <c r="H2101" s="19" t="str">
        <f>SUBSTITUTE(Github!L$1566, ";", ", ")</f>
        <v>Database, </v>
      </c>
      <c r="I2101" s="17" t="str">
        <f>Github!E$1566</f>
        <v>Easy</v>
      </c>
      <c r="J2101" s="17" t="str">
        <f>IF(TRIM(Github!D$1566)="TRUE","FALSE","TRUE")</f>
        <v>FALSE</v>
      </c>
      <c r="K2101" s="17" t="b">
        <f>Github!M$1566</f>
        <v>0</v>
      </c>
      <c r="L2101" s="17" t="b">
        <f>Github!N$1566</f>
        <v>0</v>
      </c>
      <c r="M2101" s="17" t="str">
        <f>ROUND(Github!O$1566, 2)&amp;"%"</f>
        <v>83.11%</v>
      </c>
      <c r="N2101" s="17">
        <f>Github!P$1566</f>
        <v>13488</v>
      </c>
      <c r="O2101" s="17">
        <f>Github!Q$1566</f>
        <v>16230</v>
      </c>
    </row>
    <row r="2102" ht="18.0" customHeight="1">
      <c r="A2102" s="17">
        <f>Github!J$1811</f>
        <v>1810</v>
      </c>
      <c r="B2102" s="27" t="str">
        <f>HYPERLINK(CONCAT("http://leetcode.com/problems/",Github!C$1811), Github!B$1811)</f>
        <v>Minimum Path Cost in a Hidden Grid</v>
      </c>
      <c r="C2102" s="17">
        <f>Github!F$1811</f>
        <v>51</v>
      </c>
      <c r="D2102" s="17">
        <f>Github!G$1811</f>
        <v>16</v>
      </c>
      <c r="E2102" s="17">
        <f>Github!F$1811+Github!G$1811</f>
        <v>67</v>
      </c>
      <c r="F2102" s="18">
        <f t="shared" si="1"/>
        <v>3.19</v>
      </c>
      <c r="G2102" s="17" t="str">
        <f>Github!H$1811</f>
        <v>Algorithms</v>
      </c>
      <c r="H2102" s="19" t="str">
        <f>SUBSTITUTE(Github!L$1811, ";", ", ")</f>
        <v>Depth-First Search, Breadth-First Search, Graph, Heap (Priority Queue), Interactive, </v>
      </c>
      <c r="I2102" s="17" t="str">
        <f>Github!E$1811</f>
        <v>Medium</v>
      </c>
      <c r="J2102" s="17" t="str">
        <f>IF(TRIM(Github!D$1811)="TRUE","FALSE","TRUE")</f>
        <v>FALSE</v>
      </c>
      <c r="K2102" s="17" t="b">
        <f>Github!M$1811</f>
        <v>0</v>
      </c>
      <c r="L2102" s="17" t="b">
        <f>Github!N$1811</f>
        <v>0</v>
      </c>
      <c r="M2102" s="17" t="str">
        <f>ROUND(Github!O$1811, 2)&amp;"%"</f>
        <v>53.64%</v>
      </c>
      <c r="N2102" s="17">
        <f>Github!P$1811</f>
        <v>1716</v>
      </c>
      <c r="O2102" s="17">
        <f>Github!Q$1811</f>
        <v>3199</v>
      </c>
    </row>
    <row r="2103" ht="18.0" customHeight="1">
      <c r="A2103" s="17">
        <f>Github!J$2118</f>
        <v>2117</v>
      </c>
      <c r="B2103" s="27" t="str">
        <f>HYPERLINK(CONCAT("http://leetcode.com/problems/",Github!C$2118), Github!B$2118)</f>
        <v>Abbreviating the Product of a Range</v>
      </c>
      <c r="C2103" s="17">
        <f>Github!F$2118</f>
        <v>51</v>
      </c>
      <c r="D2103" s="17">
        <f>Github!G$2118</f>
        <v>89</v>
      </c>
      <c r="E2103" s="17">
        <f>Github!F$2118+Github!G$2118</f>
        <v>140</v>
      </c>
      <c r="F2103" s="18">
        <f t="shared" si="1"/>
        <v>0.57</v>
      </c>
      <c r="G2103" s="17" t="str">
        <f>Github!H$2118</f>
        <v>Algorithms</v>
      </c>
      <c r="H2103" s="19" t="str">
        <f>SUBSTITUTE(Github!L$2118, ";", ", ")</f>
        <v>Math, </v>
      </c>
      <c r="I2103" s="17" t="str">
        <f>Github!E$2118</f>
        <v>Hard</v>
      </c>
      <c r="J2103" s="17" t="str">
        <f>IF(TRIM(Github!D$2118)="TRUE","FALSE","TRUE")</f>
        <v>TRUE</v>
      </c>
      <c r="K2103" s="17" t="b">
        <f>Github!M$2118</f>
        <v>0</v>
      </c>
      <c r="L2103" s="17" t="b">
        <f>Github!N$2118</f>
        <v>0</v>
      </c>
      <c r="M2103" s="17" t="str">
        <f>ROUND(Github!O$2118, 2)&amp;"%"</f>
        <v>28.26%</v>
      </c>
      <c r="N2103" s="17">
        <f>Github!P$2118</f>
        <v>1776</v>
      </c>
      <c r="O2103" s="17">
        <f>Github!Q$2118</f>
        <v>6285</v>
      </c>
    </row>
    <row r="2104" ht="18.0" customHeight="1">
      <c r="A2104" s="17">
        <f>Github!J$1496</f>
        <v>1495</v>
      </c>
      <c r="B2104" s="27" t="str">
        <f>HYPERLINK(CONCAT("http://leetcode.com/problems/",Github!C$1496), Github!B$1496)</f>
        <v>Friendly Movies Streamed Last Month</v>
      </c>
      <c r="C2104" s="17">
        <f>Github!F$1496</f>
        <v>50</v>
      </c>
      <c r="D2104" s="17">
        <f>Github!G$1496</f>
        <v>8</v>
      </c>
      <c r="E2104" s="17">
        <f>Github!F$1496+Github!G$1496</f>
        <v>58</v>
      </c>
      <c r="F2104" s="18">
        <f t="shared" si="1"/>
        <v>6.25</v>
      </c>
      <c r="G2104" s="17" t="str">
        <f>Github!H$1496</f>
        <v>Database</v>
      </c>
      <c r="H2104" s="19" t="str">
        <f>SUBSTITUTE(Github!L$1496, ";", ", ")</f>
        <v>Database, </v>
      </c>
      <c r="I2104" s="17" t="str">
        <f>Github!E$1496</f>
        <v>Easy</v>
      </c>
      <c r="J2104" s="17" t="str">
        <f>IF(TRIM(Github!D$1496)="TRUE","FALSE","TRUE")</f>
        <v>FALSE</v>
      </c>
      <c r="K2104" s="17" t="b">
        <f>Github!M$1496</f>
        <v>0</v>
      </c>
      <c r="L2104" s="17" t="b">
        <f>Github!N$1496</f>
        <v>0</v>
      </c>
      <c r="M2104" s="17" t="str">
        <f>ROUND(Github!O$1496, 2)&amp;"%"</f>
        <v>50.45%</v>
      </c>
      <c r="N2104" s="17">
        <f>Github!P$1496</f>
        <v>17342</v>
      </c>
      <c r="O2104" s="17">
        <f>Github!Q$1496</f>
        <v>34377</v>
      </c>
    </row>
    <row r="2105" ht="18.0" customHeight="1">
      <c r="A2105" s="17">
        <f>Github!J$1608</f>
        <v>1607</v>
      </c>
      <c r="B2105" s="27" t="str">
        <f>HYPERLINK(CONCAT("http://leetcode.com/problems/",Github!C$1608), Github!B$1608)</f>
        <v>Sellers With No Sales</v>
      </c>
      <c r="C2105" s="17">
        <f>Github!F$1608</f>
        <v>50</v>
      </c>
      <c r="D2105" s="17">
        <f>Github!G$1608</f>
        <v>8</v>
      </c>
      <c r="E2105" s="17">
        <f>Github!F$1608+Github!G$1608</f>
        <v>58</v>
      </c>
      <c r="F2105" s="18">
        <f t="shared" si="1"/>
        <v>6.25</v>
      </c>
      <c r="G2105" s="17" t="str">
        <f>Github!H$1608</f>
        <v>Database</v>
      </c>
      <c r="H2105" s="19" t="str">
        <f>SUBSTITUTE(Github!L$1608, ";", ", ")</f>
        <v>Database, </v>
      </c>
      <c r="I2105" s="17" t="str">
        <f>Github!E$1608</f>
        <v>Easy</v>
      </c>
      <c r="J2105" s="17" t="str">
        <f>IF(TRIM(Github!D$1608)="TRUE","FALSE","TRUE")</f>
        <v>FALSE</v>
      </c>
      <c r="K2105" s="17" t="b">
        <f>Github!M$1608</f>
        <v>0</v>
      </c>
      <c r="L2105" s="17" t="b">
        <f>Github!N$1608</f>
        <v>0</v>
      </c>
      <c r="M2105" s="17" t="str">
        <f>ROUND(Github!O$1608, 2)&amp;"%"</f>
        <v>54.47%</v>
      </c>
      <c r="N2105" s="17">
        <f>Github!P$1608</f>
        <v>12247</v>
      </c>
      <c r="O2105" s="17">
        <f>Github!Q$1608</f>
        <v>22483</v>
      </c>
    </row>
    <row r="2106" ht="18.0" customHeight="1">
      <c r="A2106" s="17">
        <f>Github!J$1280</f>
        <v>1279</v>
      </c>
      <c r="B2106" s="27" t="str">
        <f>HYPERLINK(CONCAT("http://leetcode.com/problems/",Github!C$1280), Github!B$1280)</f>
        <v>Traffic Light Controlled Intersection</v>
      </c>
      <c r="C2106" s="17">
        <f>Github!F$1280</f>
        <v>49</v>
      </c>
      <c r="D2106" s="17">
        <f>Github!G$1280</f>
        <v>236</v>
      </c>
      <c r="E2106" s="17">
        <f>Github!F$1280+Github!G$1280</f>
        <v>285</v>
      </c>
      <c r="F2106" s="18">
        <f t="shared" si="1"/>
        <v>0.21</v>
      </c>
      <c r="G2106" s="17" t="str">
        <f>Github!H$1280</f>
        <v>Concurrency</v>
      </c>
      <c r="H2106" s="19" t="str">
        <f>SUBSTITUTE(Github!L$1280, ";", ", ")</f>
        <v>Concurrency, </v>
      </c>
      <c r="I2106" s="17" t="str">
        <f>Github!E$1280</f>
        <v>Easy</v>
      </c>
      <c r="J2106" s="17" t="str">
        <f>IF(TRIM(Github!D$1280)="TRUE","FALSE","TRUE")</f>
        <v>FALSE</v>
      </c>
      <c r="K2106" s="17" t="b">
        <f>Github!M$1280</f>
        <v>0</v>
      </c>
      <c r="L2106" s="17" t="b">
        <f>Github!N$1280</f>
        <v>0</v>
      </c>
      <c r="M2106" s="17" t="str">
        <f>ROUND(Github!O$1280, 2)&amp;"%"</f>
        <v>75.48%</v>
      </c>
      <c r="N2106" s="17">
        <f>Github!P$1280</f>
        <v>8252</v>
      </c>
      <c r="O2106" s="17">
        <f>Github!Q$1280</f>
        <v>10933</v>
      </c>
    </row>
    <row r="2107" ht="18.0" customHeight="1">
      <c r="A2107" s="17">
        <f>Github!J$1460</f>
        <v>1459</v>
      </c>
      <c r="B2107" s="27" t="str">
        <f>HYPERLINK(CONCAT("http://leetcode.com/problems/",Github!C$1460), Github!B$1460)</f>
        <v>Rectangles Area</v>
      </c>
      <c r="C2107" s="17">
        <f>Github!F$1460</f>
        <v>49</v>
      </c>
      <c r="D2107" s="17">
        <f>Github!G$1460</f>
        <v>87</v>
      </c>
      <c r="E2107" s="17">
        <f>Github!F$1460+Github!G$1460</f>
        <v>136</v>
      </c>
      <c r="F2107" s="18">
        <f t="shared" si="1"/>
        <v>0.56</v>
      </c>
      <c r="G2107" s="17" t="str">
        <f>Github!H$1460</f>
        <v>Database</v>
      </c>
      <c r="H2107" s="19" t="str">
        <f>SUBSTITUTE(Github!L$1460, ";", ", ")</f>
        <v>Database, </v>
      </c>
      <c r="I2107" s="17" t="str">
        <f>Github!E$1460</f>
        <v>Medium</v>
      </c>
      <c r="J2107" s="17" t="str">
        <f>IF(TRIM(Github!D$1460)="TRUE","FALSE","TRUE")</f>
        <v>FALSE</v>
      </c>
      <c r="K2107" s="17" t="b">
        <f>Github!M$1460</f>
        <v>0</v>
      </c>
      <c r="L2107" s="17" t="b">
        <f>Github!N$1460</f>
        <v>0</v>
      </c>
      <c r="M2107" s="17" t="str">
        <f>ROUND(Github!O$1460, 2)&amp;"%"</f>
        <v>68.24%</v>
      </c>
      <c r="N2107" s="17">
        <f>Github!P$1460</f>
        <v>8480</v>
      </c>
      <c r="O2107" s="17">
        <f>Github!Q$1460</f>
        <v>12429</v>
      </c>
    </row>
    <row r="2108" ht="18.0" customHeight="1">
      <c r="A2108" s="17">
        <f>Github!J$2005</f>
        <v>2004</v>
      </c>
      <c r="B2108" s="27" t="str">
        <f>HYPERLINK(CONCAT("http://leetcode.com/problems/",Github!C$2005), Github!B$2005)</f>
        <v>The Number of Seniors and Juniors to Join the Company</v>
      </c>
      <c r="C2108" s="17">
        <f>Github!F$2005</f>
        <v>49</v>
      </c>
      <c r="D2108" s="17">
        <f>Github!G$2005</f>
        <v>4</v>
      </c>
      <c r="E2108" s="17">
        <f>Github!F$2005+Github!G$2005</f>
        <v>53</v>
      </c>
      <c r="F2108" s="18">
        <f t="shared" si="1"/>
        <v>12.25</v>
      </c>
      <c r="G2108" s="17" t="str">
        <f>Github!H$2005</f>
        <v>Database</v>
      </c>
      <c r="H2108" s="19" t="str">
        <f>SUBSTITUTE(Github!L$2005, ";", ", ")</f>
        <v>Database, </v>
      </c>
      <c r="I2108" s="17" t="str">
        <f>Github!E$2005</f>
        <v>Hard</v>
      </c>
      <c r="J2108" s="17" t="str">
        <f>IF(TRIM(Github!D$2005)="TRUE","FALSE","TRUE")</f>
        <v>FALSE</v>
      </c>
      <c r="K2108" s="17" t="b">
        <f>Github!M$2005</f>
        <v>0</v>
      </c>
      <c r="L2108" s="17" t="b">
        <f>Github!N$2005</f>
        <v>0</v>
      </c>
      <c r="M2108" s="17" t="str">
        <f>ROUND(Github!O$2005, 2)&amp;"%"</f>
        <v>37.95%</v>
      </c>
      <c r="N2108" s="17">
        <f>Github!P$2005</f>
        <v>2511</v>
      </c>
      <c r="O2108" s="17">
        <f>Github!Q$2005</f>
        <v>6617</v>
      </c>
    </row>
    <row r="2109" ht="18.0" customHeight="1">
      <c r="A2109" s="17">
        <f>Github!J$1842</f>
        <v>1841</v>
      </c>
      <c r="B2109" s="27" t="str">
        <f>HYPERLINK(CONCAT("http://leetcode.com/problems/",Github!C$1842), Github!B$1842)</f>
        <v>League Statistics</v>
      </c>
      <c r="C2109" s="17">
        <f>Github!F$1842</f>
        <v>48</v>
      </c>
      <c r="D2109" s="17">
        <f>Github!G$1842</f>
        <v>29</v>
      </c>
      <c r="E2109" s="17">
        <f>Github!F$1842+Github!G$1842</f>
        <v>77</v>
      </c>
      <c r="F2109" s="18">
        <f t="shared" si="1"/>
        <v>1.66</v>
      </c>
      <c r="G2109" s="17" t="str">
        <f>Github!H$1842</f>
        <v>Database</v>
      </c>
      <c r="H2109" s="19" t="str">
        <f>SUBSTITUTE(Github!L$1842, ";", ", ")</f>
        <v>Database, </v>
      </c>
      <c r="I2109" s="17" t="str">
        <f>Github!E$1842</f>
        <v>Medium</v>
      </c>
      <c r="J2109" s="17" t="str">
        <f>IF(TRIM(Github!D$1842)="TRUE","FALSE","TRUE")</f>
        <v>FALSE</v>
      </c>
      <c r="K2109" s="17" t="b">
        <f>Github!M$1842</f>
        <v>0</v>
      </c>
      <c r="L2109" s="17" t="b">
        <f>Github!N$1842</f>
        <v>0</v>
      </c>
      <c r="M2109" s="17" t="str">
        <f>ROUND(Github!O$1842, 2)&amp;"%"</f>
        <v>58.75%</v>
      </c>
      <c r="N2109" s="17">
        <f>Github!P$1842</f>
        <v>4946</v>
      </c>
      <c r="O2109" s="17">
        <f>Github!Q$1842</f>
        <v>8419</v>
      </c>
    </row>
    <row r="2110" ht="18.0" customHeight="1">
      <c r="A2110" s="17">
        <f>Github!J$1624</f>
        <v>1623</v>
      </c>
      <c r="B2110" s="27" t="str">
        <f>HYPERLINK(CONCAT("http://leetcode.com/problems/",Github!C$1624), Github!B$1624)</f>
        <v>All Valid Triplets That Can Represent a Country</v>
      </c>
      <c r="C2110" s="17">
        <f>Github!F$1624</f>
        <v>47</v>
      </c>
      <c r="D2110" s="17">
        <f>Github!G$1624</f>
        <v>83</v>
      </c>
      <c r="E2110" s="17">
        <f>Github!F$1624+Github!G$1624</f>
        <v>130</v>
      </c>
      <c r="F2110" s="18">
        <f t="shared" si="1"/>
        <v>0.57</v>
      </c>
      <c r="G2110" s="17" t="str">
        <f>Github!H$1624</f>
        <v>Database</v>
      </c>
      <c r="H2110" s="19" t="str">
        <f>SUBSTITUTE(Github!L$1624, ";", ", ")</f>
        <v>Database, </v>
      </c>
      <c r="I2110" s="17" t="str">
        <f>Github!E$1624</f>
        <v>Easy</v>
      </c>
      <c r="J2110" s="17" t="str">
        <f>IF(TRIM(Github!D$1624)="TRUE","FALSE","TRUE")</f>
        <v>FALSE</v>
      </c>
      <c r="K2110" s="17" t="b">
        <f>Github!M$1624</f>
        <v>0</v>
      </c>
      <c r="L2110" s="17" t="b">
        <f>Github!N$1624</f>
        <v>0</v>
      </c>
      <c r="M2110" s="17" t="str">
        <f>ROUND(Github!O$1624, 2)&amp;"%"</f>
        <v>88.45%</v>
      </c>
      <c r="N2110" s="17">
        <f>Github!P$1624</f>
        <v>12238</v>
      </c>
      <c r="O2110" s="17">
        <f>Github!Q$1624</f>
        <v>13836</v>
      </c>
    </row>
    <row r="2111" ht="18.0" customHeight="1">
      <c r="A2111" s="17">
        <f>Github!J$1716</f>
        <v>1715</v>
      </c>
      <c r="B2111" s="27" t="str">
        <f>HYPERLINK(CONCAT("http://leetcode.com/problems/",Github!C$1716), Github!B$1716)</f>
        <v>Count Apples and Oranges</v>
      </c>
      <c r="C2111" s="17">
        <f>Github!F$1716</f>
        <v>47</v>
      </c>
      <c r="D2111" s="17">
        <f>Github!G$1716</f>
        <v>7</v>
      </c>
      <c r="E2111" s="17">
        <f>Github!F$1716+Github!G$1716</f>
        <v>54</v>
      </c>
      <c r="F2111" s="18">
        <f t="shared" si="1"/>
        <v>6.71</v>
      </c>
      <c r="G2111" s="17" t="str">
        <f>Github!H$1716</f>
        <v>Database</v>
      </c>
      <c r="H2111" s="19" t="str">
        <f>SUBSTITUTE(Github!L$1716, ";", ", ")</f>
        <v>Database, </v>
      </c>
      <c r="I2111" s="17" t="str">
        <f>Github!E$1716</f>
        <v>Medium</v>
      </c>
      <c r="J2111" s="17" t="str">
        <f>IF(TRIM(Github!D$1716)="TRUE","FALSE","TRUE")</f>
        <v>FALSE</v>
      </c>
      <c r="K2111" s="17" t="b">
        <f>Github!M$1716</f>
        <v>0</v>
      </c>
      <c r="L2111" s="17" t="b">
        <f>Github!N$1716</f>
        <v>0</v>
      </c>
      <c r="M2111" s="17" t="str">
        <f>ROUND(Github!O$1716, 2)&amp;"%"</f>
        <v>77.95%</v>
      </c>
      <c r="N2111" s="17">
        <f>Github!P$1716</f>
        <v>7852</v>
      </c>
      <c r="O2111" s="17">
        <f>Github!Q$1716</f>
        <v>10073</v>
      </c>
    </row>
    <row r="2112" ht="18.0" customHeight="1">
      <c r="A2112" s="17">
        <f>Github!J$1810</f>
        <v>1809</v>
      </c>
      <c r="B2112" s="27" t="str">
        <f>HYPERLINK(CONCAT("http://leetcode.com/problems/",Github!C$1810), Github!B$1810)</f>
        <v>Ad-Free Sessions</v>
      </c>
      <c r="C2112" s="17">
        <f>Github!F$1810</f>
        <v>47</v>
      </c>
      <c r="D2112" s="17">
        <f>Github!G$1810</f>
        <v>23</v>
      </c>
      <c r="E2112" s="17">
        <f>Github!F$1810+Github!G$1810</f>
        <v>70</v>
      </c>
      <c r="F2112" s="18">
        <f t="shared" si="1"/>
        <v>2.04</v>
      </c>
      <c r="G2112" s="17" t="str">
        <f>Github!H$1810</f>
        <v>Database</v>
      </c>
      <c r="H2112" s="19" t="str">
        <f>SUBSTITUTE(Github!L$1810, ";", ", ")</f>
        <v>Database, </v>
      </c>
      <c r="I2112" s="17" t="str">
        <f>Github!E$1810</f>
        <v>Easy</v>
      </c>
      <c r="J2112" s="17" t="str">
        <f>IF(TRIM(Github!D$1810)="TRUE","FALSE","TRUE")</f>
        <v>FALSE</v>
      </c>
      <c r="K2112" s="17" t="b">
        <f>Github!M$1810</f>
        <v>0</v>
      </c>
      <c r="L2112" s="17" t="b">
        <f>Github!N$1810</f>
        <v>0</v>
      </c>
      <c r="M2112" s="17" t="str">
        <f>ROUND(Github!O$1810, 2)&amp;"%"</f>
        <v>59.97%</v>
      </c>
      <c r="N2112" s="17">
        <f>Github!P$1810</f>
        <v>8023</v>
      </c>
      <c r="O2112" s="17">
        <f>Github!Q$1810</f>
        <v>13380</v>
      </c>
    </row>
    <row r="2113" ht="18.0" customHeight="1">
      <c r="A2113" s="17">
        <f>Github!J$1874</f>
        <v>1873</v>
      </c>
      <c r="B2113" s="27" t="str">
        <f>HYPERLINK(CONCAT("http://leetcode.com/problems/",Github!C$1874), Github!B$1874)</f>
        <v>Calculate Special Bonus</v>
      </c>
      <c r="C2113" s="17">
        <f>Github!F$1874</f>
        <v>47</v>
      </c>
      <c r="D2113" s="17">
        <f>Github!G$1874</f>
        <v>1</v>
      </c>
      <c r="E2113" s="17">
        <f>Github!F$1874+Github!G$1874</f>
        <v>48</v>
      </c>
      <c r="F2113" s="18">
        <f t="shared" si="1"/>
        <v>47</v>
      </c>
      <c r="G2113" s="17" t="str">
        <f>Github!H$1874</f>
        <v>Database</v>
      </c>
      <c r="H2113" s="19" t="str">
        <f>SUBSTITUTE(Github!L$1874, ";", ", ")</f>
        <v>Database, </v>
      </c>
      <c r="I2113" s="17" t="str">
        <f>Github!E$1874</f>
        <v>Easy</v>
      </c>
      <c r="J2113" s="17" t="str">
        <f>IF(TRIM(Github!D$1874)="TRUE","FALSE","TRUE")</f>
        <v>FALSE</v>
      </c>
      <c r="K2113" s="17" t="b">
        <f>Github!M$1874</f>
        <v>0</v>
      </c>
      <c r="L2113" s="17" t="b">
        <f>Github!N$1874</f>
        <v>0</v>
      </c>
      <c r="M2113" s="17" t="str">
        <f>ROUND(Github!O$1874, 2)&amp;"%"</f>
        <v>91.1%</v>
      </c>
      <c r="N2113" s="17">
        <f>Github!P$1874</f>
        <v>8029</v>
      </c>
      <c r="O2113" s="17">
        <f>Github!Q$1874</f>
        <v>8813</v>
      </c>
    </row>
    <row r="2114" ht="18.0" customHeight="1">
      <c r="A2114" s="17">
        <f>Github!J$1893</f>
        <v>1892</v>
      </c>
      <c r="B2114" s="27" t="str">
        <f>HYPERLINK(CONCAT("http://leetcode.com/problems/",Github!C$1893), Github!B$1893)</f>
        <v>Page Recommendations II</v>
      </c>
      <c r="C2114" s="17">
        <f>Github!F$1893</f>
        <v>47</v>
      </c>
      <c r="D2114" s="17">
        <f>Github!G$1893</f>
        <v>11</v>
      </c>
      <c r="E2114" s="17">
        <f>Github!F$1893+Github!G$1893</f>
        <v>58</v>
      </c>
      <c r="F2114" s="18">
        <f t="shared" si="1"/>
        <v>4.27</v>
      </c>
      <c r="G2114" s="17" t="str">
        <f>Github!H$1893</f>
        <v>Database</v>
      </c>
      <c r="H2114" s="19" t="str">
        <f>SUBSTITUTE(Github!L$1893, ";", ", ")</f>
        <v>Database, </v>
      </c>
      <c r="I2114" s="17" t="str">
        <f>Github!E$1893</f>
        <v>Hard</v>
      </c>
      <c r="J2114" s="17" t="str">
        <f>IF(TRIM(Github!D$1893)="TRUE","FALSE","TRUE")</f>
        <v>FALSE</v>
      </c>
      <c r="K2114" s="17" t="b">
        <f>Github!M$1893</f>
        <v>0</v>
      </c>
      <c r="L2114" s="17" t="b">
        <f>Github!N$1893</f>
        <v>0</v>
      </c>
      <c r="M2114" s="17" t="str">
        <f>ROUND(Github!O$1893, 2)&amp;"%"</f>
        <v>43.99%</v>
      </c>
      <c r="N2114" s="17">
        <f>Github!P$1893</f>
        <v>3225</v>
      </c>
      <c r="O2114" s="17">
        <f>Github!Q$1893</f>
        <v>7331</v>
      </c>
    </row>
    <row r="2115" ht="18.0" customHeight="1">
      <c r="A2115" s="17">
        <f>Github!J$2062</f>
        <v>2061</v>
      </c>
      <c r="B2115" s="27" t="str">
        <f>HYPERLINK(CONCAT("http://leetcode.com/problems/",Github!C$2062), Github!B$2062)</f>
        <v>Number of Spaces Cleaning Robot Cleaned</v>
      </c>
      <c r="C2115" s="17">
        <f>Github!F$2062</f>
        <v>47</v>
      </c>
      <c r="D2115" s="17">
        <f>Github!G$2062</f>
        <v>12</v>
      </c>
      <c r="E2115" s="17">
        <f>Github!F$2062+Github!G$2062</f>
        <v>59</v>
      </c>
      <c r="F2115" s="18">
        <f t="shared" si="1"/>
        <v>3.92</v>
      </c>
      <c r="G2115" s="17" t="str">
        <f>Github!H$2062</f>
        <v>Algorithms</v>
      </c>
      <c r="H2115" s="19" t="str">
        <f>SUBSTITUTE(Github!L$2062, ";", ", ")</f>
        <v>Array, Matrix, Simulation, </v>
      </c>
      <c r="I2115" s="17" t="str">
        <f>Github!E$2062</f>
        <v>Medium</v>
      </c>
      <c r="J2115" s="17" t="str">
        <f>IF(TRIM(Github!D$2062)="TRUE","FALSE","TRUE")</f>
        <v>FALSE</v>
      </c>
      <c r="K2115" s="17" t="b">
        <f>Github!M$2062</f>
        <v>0</v>
      </c>
      <c r="L2115" s="17" t="b">
        <f>Github!N$2062</f>
        <v>0</v>
      </c>
      <c r="M2115" s="17" t="str">
        <f>ROUND(Github!O$2062, 2)&amp;"%"</f>
        <v>54.98%</v>
      </c>
      <c r="N2115" s="17">
        <f>Github!P$2062</f>
        <v>1981</v>
      </c>
      <c r="O2115" s="17">
        <f>Github!Q$2062</f>
        <v>3603</v>
      </c>
    </row>
    <row r="2116" ht="18.0" customHeight="1">
      <c r="A2116" s="17">
        <f>Github!J$1634</f>
        <v>1633</v>
      </c>
      <c r="B2116" s="27" t="str">
        <f>HYPERLINK(CONCAT("http://leetcode.com/problems/",Github!C$1634), Github!B$1634)</f>
        <v>Percentage of Users Attended a Contest</v>
      </c>
      <c r="C2116" s="17">
        <f>Github!F$1634</f>
        <v>46</v>
      </c>
      <c r="D2116" s="17">
        <f>Github!G$1634</f>
        <v>12</v>
      </c>
      <c r="E2116" s="17">
        <f>Github!F$1634+Github!G$1634</f>
        <v>58</v>
      </c>
      <c r="F2116" s="18">
        <f t="shared" si="1"/>
        <v>3.83</v>
      </c>
      <c r="G2116" s="17" t="str">
        <f>Github!H$1634</f>
        <v>Database</v>
      </c>
      <c r="H2116" s="19" t="str">
        <f>SUBSTITUTE(Github!L$1634, ";", ", ")</f>
        <v>Database, </v>
      </c>
      <c r="I2116" s="17" t="str">
        <f>Github!E$1634</f>
        <v>Easy</v>
      </c>
      <c r="J2116" s="17" t="str">
        <f>IF(TRIM(Github!D$1634)="TRUE","FALSE","TRUE")</f>
        <v>FALSE</v>
      </c>
      <c r="K2116" s="17" t="b">
        <f>Github!M$1634</f>
        <v>0</v>
      </c>
      <c r="L2116" s="17" t="b">
        <f>Github!N$1634</f>
        <v>0</v>
      </c>
      <c r="M2116" s="17" t="str">
        <f>ROUND(Github!O$1634, 2)&amp;"%"</f>
        <v>69.34%</v>
      </c>
      <c r="N2116" s="17">
        <f>Github!P$1634</f>
        <v>10925</v>
      </c>
      <c r="O2116" s="17">
        <f>Github!Q$1634</f>
        <v>15756</v>
      </c>
    </row>
    <row r="2117" ht="18.0" customHeight="1">
      <c r="A2117" s="17">
        <f>Github!J$1973</f>
        <v>1972</v>
      </c>
      <c r="B2117" s="27" t="str">
        <f>HYPERLINK(CONCAT("http://leetcode.com/problems/",Github!C$1973), Github!B$1973)</f>
        <v>First and Last Call On the Same Day</v>
      </c>
      <c r="C2117" s="17">
        <f>Github!F$1973</f>
        <v>46</v>
      </c>
      <c r="D2117" s="17">
        <f>Github!G$1973</f>
        <v>8</v>
      </c>
      <c r="E2117" s="17">
        <f>Github!F$1973+Github!G$1973</f>
        <v>54</v>
      </c>
      <c r="F2117" s="18">
        <f t="shared" si="1"/>
        <v>5.75</v>
      </c>
      <c r="G2117" s="17" t="str">
        <f>Github!H$1973</f>
        <v>Database</v>
      </c>
      <c r="H2117" s="19" t="str">
        <f>SUBSTITUTE(Github!L$1973, ";", ", ")</f>
        <v>Database, </v>
      </c>
      <c r="I2117" s="17" t="str">
        <f>Github!E$1973</f>
        <v>Hard</v>
      </c>
      <c r="J2117" s="17" t="str">
        <f>IF(TRIM(Github!D$1973)="TRUE","FALSE","TRUE")</f>
        <v>FALSE</v>
      </c>
      <c r="K2117" s="17" t="b">
        <f>Github!M$1973</f>
        <v>0</v>
      </c>
      <c r="L2117" s="17" t="b">
        <f>Github!N$1973</f>
        <v>0</v>
      </c>
      <c r="M2117" s="17" t="str">
        <f>ROUND(Github!O$1973, 2)&amp;"%"</f>
        <v>51.38%</v>
      </c>
      <c r="N2117" s="17">
        <f>Github!P$1973</f>
        <v>2436</v>
      </c>
      <c r="O2117" s="17">
        <f>Github!Q$1973</f>
        <v>4741</v>
      </c>
    </row>
    <row r="2118" ht="18.0" customHeight="1">
      <c r="A2118" s="17">
        <f>Github!J$1094</f>
        <v>1093</v>
      </c>
      <c r="B2118" s="27" t="str">
        <f>HYPERLINK(CONCAT("http://leetcode.com/problems/",Github!C$1094), Github!B$1094)</f>
        <v>Statistics from a Large Sample</v>
      </c>
      <c r="C2118" s="17">
        <f>Github!F$1094</f>
        <v>45</v>
      </c>
      <c r="D2118" s="17">
        <f>Github!G$1094</f>
        <v>50</v>
      </c>
      <c r="E2118" s="17">
        <f>Github!F$1094+Github!G$1094</f>
        <v>95</v>
      </c>
      <c r="F2118" s="18">
        <f t="shared" si="1"/>
        <v>0.9</v>
      </c>
      <c r="G2118" s="17" t="str">
        <f>Github!H$1094</f>
        <v>Algorithms</v>
      </c>
      <c r="H2118" s="19" t="str">
        <f>SUBSTITUTE(Github!L$1094, ";", ", ")</f>
        <v>Math, Two Pointers, Probability and Statistics, </v>
      </c>
      <c r="I2118" s="17" t="str">
        <f>Github!E$1094</f>
        <v>Medium</v>
      </c>
      <c r="J2118" s="17" t="str">
        <f>IF(TRIM(Github!D$1094)="TRUE","FALSE","TRUE")</f>
        <v>TRUE</v>
      </c>
      <c r="K2118" s="17" t="b">
        <f>Github!M$1094</f>
        <v>0</v>
      </c>
      <c r="L2118" s="17" t="b">
        <f>Github!N$1094</f>
        <v>0</v>
      </c>
      <c r="M2118" s="17" t="str">
        <f>ROUND(Github!O$1094, 2)&amp;"%"</f>
        <v>46.09%</v>
      </c>
      <c r="N2118" s="17">
        <f>Github!P$1094</f>
        <v>13001</v>
      </c>
      <c r="O2118" s="17">
        <f>Github!Q$1094</f>
        <v>28210</v>
      </c>
    </row>
    <row r="2119" ht="18.0" customHeight="1">
      <c r="A2119" s="17">
        <f>Github!J$1667</f>
        <v>1666</v>
      </c>
      <c r="B2119" s="27" t="str">
        <f>HYPERLINK(CONCAT("http://leetcode.com/problems/",Github!C$1667), Github!B$1667)</f>
        <v>Change the Root of a Binary Tree</v>
      </c>
      <c r="C2119" s="17">
        <f>Github!F$1667</f>
        <v>43</v>
      </c>
      <c r="D2119" s="17">
        <f>Github!G$1667</f>
        <v>106</v>
      </c>
      <c r="E2119" s="17">
        <f>Github!F$1667+Github!G$1667</f>
        <v>149</v>
      </c>
      <c r="F2119" s="18">
        <f t="shared" si="1"/>
        <v>0.41</v>
      </c>
      <c r="G2119" s="17" t="str">
        <f>Github!H$1667</f>
        <v>Algorithms</v>
      </c>
      <c r="H2119" s="19" t="str">
        <f>SUBSTITUTE(Github!L$1667, ";", ", ")</f>
        <v>Tree, Depth-First Search, Binary Tree, </v>
      </c>
      <c r="I2119" s="17" t="str">
        <f>Github!E$1667</f>
        <v>Medium</v>
      </c>
      <c r="J2119" s="17" t="str">
        <f>IF(TRIM(Github!D$1667)="TRUE","FALSE","TRUE")</f>
        <v>FALSE</v>
      </c>
      <c r="K2119" s="17" t="b">
        <f>Github!M$1667</f>
        <v>0</v>
      </c>
      <c r="L2119" s="17" t="b">
        <f>Github!N$1667</f>
        <v>0</v>
      </c>
      <c r="M2119" s="17" t="str">
        <f>ROUND(Github!O$1667, 2)&amp;"%"</f>
        <v>67.67%</v>
      </c>
      <c r="N2119" s="17">
        <f>Github!P$1667</f>
        <v>2228</v>
      </c>
      <c r="O2119" s="17">
        <f>Github!Q$1667</f>
        <v>3293</v>
      </c>
    </row>
    <row r="2120" ht="18.0" customHeight="1">
      <c r="A2120" s="17">
        <f>Github!J$1725</f>
        <v>1724</v>
      </c>
      <c r="B2120" s="27" t="str">
        <f>HYPERLINK(CONCAT("http://leetcode.com/problems/",Github!C$1725), Github!B$1725)</f>
        <v>Checking Existence of Edge Length Limited Paths II</v>
      </c>
      <c r="C2120" s="17">
        <f>Github!F$1725</f>
        <v>43</v>
      </c>
      <c r="D2120" s="17">
        <f>Github!G$1725</f>
        <v>6</v>
      </c>
      <c r="E2120" s="17">
        <f>Github!F$1725+Github!G$1725</f>
        <v>49</v>
      </c>
      <c r="F2120" s="18">
        <f t="shared" si="1"/>
        <v>7.17</v>
      </c>
      <c r="G2120" s="17" t="str">
        <f>Github!H$1725</f>
        <v>Algorithms</v>
      </c>
      <c r="H2120" s="19" t="str">
        <f>SUBSTITUTE(Github!L$1725, ";", ", ")</f>
        <v>Union Find, Graph, Minimum Spanning Tree, </v>
      </c>
      <c r="I2120" s="17" t="str">
        <f>Github!E$1725</f>
        <v>Hard</v>
      </c>
      <c r="J2120" s="17" t="str">
        <f>IF(TRIM(Github!D$1725)="TRUE","FALSE","TRUE")</f>
        <v>FALSE</v>
      </c>
      <c r="K2120" s="17" t="b">
        <f>Github!M$1725</f>
        <v>0</v>
      </c>
      <c r="L2120" s="17" t="b">
        <f>Github!N$1725</f>
        <v>0</v>
      </c>
      <c r="M2120" s="17" t="str">
        <f>ROUND(Github!O$1725, 2)&amp;"%"</f>
        <v>52.31%</v>
      </c>
      <c r="N2120" s="17">
        <f>Github!P$1725</f>
        <v>1564</v>
      </c>
      <c r="O2120" s="17">
        <f>Github!Q$1725</f>
        <v>2990</v>
      </c>
    </row>
    <row r="2121" ht="18.0" customHeight="1">
      <c r="A2121" s="17">
        <f>Github!J$1773</f>
        <v>1772</v>
      </c>
      <c r="B2121" s="27" t="str">
        <f>HYPERLINK(CONCAT("http://leetcode.com/problems/",Github!C$1773), Github!B$1773)</f>
        <v>Sort Features by Popularity</v>
      </c>
      <c r="C2121" s="17">
        <f>Github!F$1773</f>
        <v>43</v>
      </c>
      <c r="D2121" s="17">
        <f>Github!G$1773</f>
        <v>35</v>
      </c>
      <c r="E2121" s="17">
        <f>Github!F$1773+Github!G$1773</f>
        <v>78</v>
      </c>
      <c r="F2121" s="18">
        <f t="shared" si="1"/>
        <v>1.23</v>
      </c>
      <c r="G2121" s="17" t="str">
        <f>Github!H$1773</f>
        <v>Algorithms</v>
      </c>
      <c r="H2121" s="19" t="str">
        <f>SUBSTITUTE(Github!L$1773, ";", ", ")</f>
        <v>Array, Hash Table, String, Sorting, </v>
      </c>
      <c r="I2121" s="17" t="str">
        <f>Github!E$1773</f>
        <v>Medium</v>
      </c>
      <c r="J2121" s="17" t="str">
        <f>IF(TRIM(Github!D$1773)="TRUE","FALSE","TRUE")</f>
        <v>FALSE</v>
      </c>
      <c r="K2121" s="17" t="b">
        <f>Github!M$1773</f>
        <v>0</v>
      </c>
      <c r="L2121" s="17" t="b">
        <f>Github!N$1773</f>
        <v>0</v>
      </c>
      <c r="M2121" s="17" t="str">
        <f>ROUND(Github!O$1773, 2)&amp;"%"</f>
        <v>65.3%</v>
      </c>
      <c r="N2121" s="17">
        <f>Github!P$1773</f>
        <v>3406</v>
      </c>
      <c r="O2121" s="17">
        <f>Github!Q$1773</f>
        <v>5216</v>
      </c>
    </row>
    <row r="2122" ht="18.0" customHeight="1">
      <c r="A2122" s="17">
        <f>Github!J$1789</f>
        <v>1788</v>
      </c>
      <c r="B2122" s="27" t="str">
        <f>HYPERLINK(CONCAT("http://leetcode.com/problems/",Github!C$1789), Github!B$1789)</f>
        <v>Maximize the Beauty of the Garden</v>
      </c>
      <c r="C2122" s="17">
        <f>Github!F$1789</f>
        <v>43</v>
      </c>
      <c r="D2122" s="17">
        <f>Github!G$1789</f>
        <v>4</v>
      </c>
      <c r="E2122" s="17">
        <f>Github!F$1789+Github!G$1789</f>
        <v>47</v>
      </c>
      <c r="F2122" s="18">
        <f t="shared" si="1"/>
        <v>10.75</v>
      </c>
      <c r="G2122" s="17" t="str">
        <f>Github!H$1789</f>
        <v>Algorithms</v>
      </c>
      <c r="H2122" s="19" t="str">
        <f>SUBSTITUTE(Github!L$1789, ";", ", ")</f>
        <v>Array, Greedy, Prefix Sum, </v>
      </c>
      <c r="I2122" s="17" t="str">
        <f>Github!E$1789</f>
        <v>Hard</v>
      </c>
      <c r="J2122" s="17" t="str">
        <f>IF(TRIM(Github!D$1789)="TRUE","FALSE","TRUE")</f>
        <v>FALSE</v>
      </c>
      <c r="K2122" s="17" t="b">
        <f>Github!M$1789</f>
        <v>0</v>
      </c>
      <c r="L2122" s="17" t="b">
        <f>Github!N$1789</f>
        <v>0</v>
      </c>
      <c r="M2122" s="17" t="str">
        <f>ROUND(Github!O$1789, 2)&amp;"%"</f>
        <v>67.15%</v>
      </c>
      <c r="N2122" s="17">
        <f>Github!P$1789</f>
        <v>1298</v>
      </c>
      <c r="O2122" s="17">
        <f>Github!Q$1789</f>
        <v>1933</v>
      </c>
    </row>
    <row r="2123" ht="18.0" customHeight="1">
      <c r="A2123" s="17">
        <f>Github!J$1827</f>
        <v>1826</v>
      </c>
      <c r="B2123" s="27" t="str">
        <f>HYPERLINK(CONCAT("http://leetcode.com/problems/",Github!C$1827), Github!B$1827)</f>
        <v>Faulty Sensor</v>
      </c>
      <c r="C2123" s="17">
        <f>Github!F$1827</f>
        <v>43</v>
      </c>
      <c r="D2123" s="17">
        <f>Github!G$1827</f>
        <v>35</v>
      </c>
      <c r="E2123" s="17">
        <f>Github!F$1827+Github!G$1827</f>
        <v>78</v>
      </c>
      <c r="F2123" s="18">
        <f t="shared" si="1"/>
        <v>1.23</v>
      </c>
      <c r="G2123" s="17" t="str">
        <f>Github!H$1827</f>
        <v>Algorithms</v>
      </c>
      <c r="H2123" s="19" t="str">
        <f>SUBSTITUTE(Github!L$1827, ";", ", ")</f>
        <v>Array, Two Pointers, </v>
      </c>
      <c r="I2123" s="17" t="str">
        <f>Github!E$1827</f>
        <v>Easy</v>
      </c>
      <c r="J2123" s="17" t="str">
        <f>IF(TRIM(Github!D$1827)="TRUE","FALSE","TRUE")</f>
        <v>FALSE</v>
      </c>
      <c r="K2123" s="17" t="b">
        <f>Github!M$1827</f>
        <v>0</v>
      </c>
      <c r="L2123" s="17" t="b">
        <f>Github!N$1827</f>
        <v>0</v>
      </c>
      <c r="M2123" s="17" t="str">
        <f>ROUND(Github!O$1827, 2)&amp;"%"</f>
        <v>49.87%</v>
      </c>
      <c r="N2123" s="17">
        <f>Github!P$1827</f>
        <v>2503</v>
      </c>
      <c r="O2123" s="17">
        <f>Github!Q$1827</f>
        <v>5019</v>
      </c>
    </row>
    <row r="2124" ht="18.0" customHeight="1">
      <c r="A2124" s="17">
        <f>Github!J$2068</f>
        <v>2067</v>
      </c>
      <c r="B2124" s="27" t="str">
        <f>HYPERLINK(CONCAT("http://leetcode.com/problems/",Github!C$2068), Github!B$2068)</f>
        <v>Number of Equal Count Substrings</v>
      </c>
      <c r="C2124" s="17">
        <f>Github!F$2068</f>
        <v>42</v>
      </c>
      <c r="D2124" s="17">
        <f>Github!G$2068</f>
        <v>4</v>
      </c>
      <c r="E2124" s="17">
        <f>Github!F$2068+Github!G$2068</f>
        <v>46</v>
      </c>
      <c r="F2124" s="18">
        <f t="shared" si="1"/>
        <v>10.5</v>
      </c>
      <c r="G2124" s="17" t="str">
        <f>Github!H$2068</f>
        <v>Algorithms</v>
      </c>
      <c r="H2124" s="19" t="str">
        <f>SUBSTITUTE(Github!L$2068, ";", ", ")</f>
        <v>String, Counting, Prefix Sum, </v>
      </c>
      <c r="I2124" s="17" t="str">
        <f>Github!E$2068</f>
        <v>Medium</v>
      </c>
      <c r="J2124" s="17" t="str">
        <f>IF(TRIM(Github!D$2068)="TRUE","FALSE","TRUE")</f>
        <v>FALSE</v>
      </c>
      <c r="K2124" s="17" t="b">
        <f>Github!M$2068</f>
        <v>0</v>
      </c>
      <c r="L2124" s="17" t="b">
        <f>Github!N$2068</f>
        <v>0</v>
      </c>
      <c r="M2124" s="17" t="str">
        <f>ROUND(Github!O$2068, 2)&amp;"%"</f>
        <v>50.94%</v>
      </c>
      <c r="N2124" s="17">
        <f>Github!P$2068</f>
        <v>893</v>
      </c>
      <c r="O2124" s="17">
        <f>Github!Q$2068</f>
        <v>1751</v>
      </c>
    </row>
    <row r="2125" ht="18.0" customHeight="1">
      <c r="A2125" s="17">
        <f>Github!J$2078</f>
        <v>2077</v>
      </c>
      <c r="B2125" s="27" t="str">
        <f>HYPERLINK(CONCAT("http://leetcode.com/problems/",Github!C$2078), Github!B$2078)</f>
        <v>Paths in Maze That Lead to Same Room</v>
      </c>
      <c r="C2125" s="17">
        <f>Github!F$2078</f>
        <v>42</v>
      </c>
      <c r="D2125" s="17">
        <f>Github!G$2078</f>
        <v>4</v>
      </c>
      <c r="E2125" s="17">
        <f>Github!F$2078+Github!G$2078</f>
        <v>46</v>
      </c>
      <c r="F2125" s="18">
        <f t="shared" si="1"/>
        <v>10.5</v>
      </c>
      <c r="G2125" s="17" t="str">
        <f>Github!H$2078</f>
        <v>Algorithms</v>
      </c>
      <c r="H2125" s="19" t="str">
        <f>SUBSTITUTE(Github!L$2078, ";", ", ")</f>
        <v>Graph, </v>
      </c>
      <c r="I2125" s="17" t="str">
        <f>Github!E$2078</f>
        <v>Medium</v>
      </c>
      <c r="J2125" s="17" t="str">
        <f>IF(TRIM(Github!D$2078)="TRUE","FALSE","TRUE")</f>
        <v>FALSE</v>
      </c>
      <c r="K2125" s="17" t="b">
        <f>Github!M$2078</f>
        <v>0</v>
      </c>
      <c r="L2125" s="17" t="b">
        <f>Github!N$2078</f>
        <v>0</v>
      </c>
      <c r="M2125" s="17" t="str">
        <f>ROUND(Github!O$2078, 2)&amp;"%"</f>
        <v>58.39%</v>
      </c>
      <c r="N2125" s="17">
        <f>Github!P$2078</f>
        <v>1402</v>
      </c>
      <c r="O2125" s="17">
        <f>Github!Q$2078</f>
        <v>2401</v>
      </c>
    </row>
    <row r="2126" ht="18.0" customHeight="1">
      <c r="A2126" s="17">
        <f>Github!J$1844</f>
        <v>1843</v>
      </c>
      <c r="B2126" s="27" t="str">
        <f>HYPERLINK(CONCAT("http://leetcode.com/problems/",Github!C$1844), Github!B$1844)</f>
        <v>Suspicious Bank Accounts</v>
      </c>
      <c r="C2126" s="17">
        <f>Github!F$1844</f>
        <v>40</v>
      </c>
      <c r="D2126" s="17">
        <f>Github!G$1844</f>
        <v>23</v>
      </c>
      <c r="E2126" s="17">
        <f>Github!F$1844+Github!G$1844</f>
        <v>63</v>
      </c>
      <c r="F2126" s="18">
        <f t="shared" si="1"/>
        <v>1.74</v>
      </c>
      <c r="G2126" s="17" t="str">
        <f>Github!H$1844</f>
        <v>Database</v>
      </c>
      <c r="H2126" s="19" t="str">
        <f>SUBSTITUTE(Github!L$1844, ";", ", ")</f>
        <v>Database, </v>
      </c>
      <c r="I2126" s="17" t="str">
        <f>Github!E$1844</f>
        <v>Medium</v>
      </c>
      <c r="J2126" s="17" t="str">
        <f>IF(TRIM(Github!D$1844)="TRUE","FALSE","TRUE")</f>
        <v>FALSE</v>
      </c>
      <c r="K2126" s="17" t="b">
        <f>Github!M$1844</f>
        <v>0</v>
      </c>
      <c r="L2126" s="17" t="b">
        <f>Github!N$1844</f>
        <v>0</v>
      </c>
      <c r="M2126" s="17" t="str">
        <f>ROUND(Github!O$1844, 2)&amp;"%"</f>
        <v>49.08%</v>
      </c>
      <c r="N2126" s="17">
        <f>Github!P$1844</f>
        <v>4790</v>
      </c>
      <c r="O2126" s="17">
        <f>Github!Q$1844</f>
        <v>9760</v>
      </c>
    </row>
    <row r="2127" ht="18.0" customHeight="1">
      <c r="A2127" s="17">
        <f>Github!J$1984</f>
        <v>1983</v>
      </c>
      <c r="B2127" s="27" t="str">
        <f>HYPERLINK(CONCAT("http://leetcode.com/problems/",Github!C$1984), Github!B$1984)</f>
        <v>Widest Pair of Indices With Equal Range Sum</v>
      </c>
      <c r="C2127" s="17">
        <f>Github!F$1984</f>
        <v>40</v>
      </c>
      <c r="D2127" s="17">
        <f>Github!G$1984</f>
        <v>0</v>
      </c>
      <c r="E2127" s="17">
        <f>Github!F$1984+Github!G$1984</f>
        <v>40</v>
      </c>
      <c r="F2127" s="18">
        <f t="shared" si="1"/>
        <v>40</v>
      </c>
      <c r="G2127" s="17" t="str">
        <f>Github!H$1984</f>
        <v>Algorithms</v>
      </c>
      <c r="H2127" s="19" t="str">
        <f>SUBSTITUTE(Github!L$1984, ";", ", ")</f>
        <v>Array, Hash Table, Prefix Sum, </v>
      </c>
      <c r="I2127" s="17" t="str">
        <f>Github!E$1984</f>
        <v>Medium</v>
      </c>
      <c r="J2127" s="17" t="str">
        <f>IF(TRIM(Github!D$1984)="TRUE","FALSE","TRUE")</f>
        <v>FALSE</v>
      </c>
      <c r="K2127" s="17" t="b">
        <f>Github!M$1984</f>
        <v>0</v>
      </c>
      <c r="L2127" s="17" t="b">
        <f>Github!N$1984</f>
        <v>0</v>
      </c>
      <c r="M2127" s="17" t="str">
        <f>ROUND(Github!O$1984, 2)&amp;"%"</f>
        <v>54.11%</v>
      </c>
      <c r="N2127" s="17">
        <f>Github!P$1984</f>
        <v>994</v>
      </c>
      <c r="O2127" s="17">
        <f>Github!Q$1984</f>
        <v>1837</v>
      </c>
    </row>
    <row r="2128" ht="18.0" customHeight="1">
      <c r="A2128" s="17">
        <f>Github!J$2138</f>
        <v>2137</v>
      </c>
      <c r="B2128" s="27" t="str">
        <f>HYPERLINK(CONCAT("http://leetcode.com/problems/",Github!C$2138), Github!B$2138)</f>
        <v>Pour Water Between Buckets to Make Water Levels Equal</v>
      </c>
      <c r="C2128" s="17">
        <f>Github!F$2138</f>
        <v>40</v>
      </c>
      <c r="D2128" s="17">
        <f>Github!G$2138</f>
        <v>2</v>
      </c>
      <c r="E2128" s="17">
        <f>Github!F$2138+Github!G$2138</f>
        <v>42</v>
      </c>
      <c r="F2128" s="18">
        <f t="shared" si="1"/>
        <v>20</v>
      </c>
      <c r="G2128" s="17" t="str">
        <f>Github!H$2138</f>
        <v>Algorithms</v>
      </c>
      <c r="H2128" s="19" t="str">
        <f>SUBSTITUTE(Github!L$2138, ";", ", ")</f>
        <v>Array, Binary Search, </v>
      </c>
      <c r="I2128" s="17" t="str">
        <f>Github!E$2138</f>
        <v>Medium</v>
      </c>
      <c r="J2128" s="17" t="str">
        <f>IF(TRIM(Github!D$2138)="TRUE","FALSE","TRUE")</f>
        <v>FALSE</v>
      </c>
      <c r="K2128" s="17" t="b">
        <f>Github!M$2138</f>
        <v>0</v>
      </c>
      <c r="L2128" s="17" t="b">
        <f>Github!N$2138</f>
        <v>0</v>
      </c>
      <c r="M2128" s="17" t="str">
        <f>ROUND(Github!O$2138, 2)&amp;"%"</f>
        <v>67.89%</v>
      </c>
      <c r="N2128" s="17">
        <f>Github!P$2138</f>
        <v>742</v>
      </c>
      <c r="O2128" s="17">
        <f>Github!Q$2138</f>
        <v>1093</v>
      </c>
    </row>
    <row r="2129" ht="18.0" customHeight="1">
      <c r="A2129" s="17">
        <f>Github!J$1843</f>
        <v>1842</v>
      </c>
      <c r="B2129" s="27" t="str">
        <f>HYPERLINK(CONCAT("http://leetcode.com/problems/",Github!C$1843), Github!B$1843)</f>
        <v>Next Palindrome Using Same Digits</v>
      </c>
      <c r="C2129" s="17">
        <f>Github!F$1843</f>
        <v>40</v>
      </c>
      <c r="D2129" s="17">
        <f>Github!G$1843</f>
        <v>5</v>
      </c>
      <c r="E2129" s="17">
        <f>Github!F$1843+Github!G$1843</f>
        <v>45</v>
      </c>
      <c r="F2129" s="18">
        <f t="shared" si="1"/>
        <v>8</v>
      </c>
      <c r="G2129" s="17" t="str">
        <f>Github!H$1843</f>
        <v>Algorithms</v>
      </c>
      <c r="H2129" s="19" t="str">
        <f>SUBSTITUTE(Github!L$1843, ";", ", ")</f>
        <v>Two Pointers, String, </v>
      </c>
      <c r="I2129" s="17" t="str">
        <f>Github!E$1843</f>
        <v>Hard</v>
      </c>
      <c r="J2129" s="17" t="str">
        <f>IF(TRIM(Github!D$1843)="TRUE","FALSE","TRUE")</f>
        <v>FALSE</v>
      </c>
      <c r="K2129" s="17" t="b">
        <f>Github!M$1843</f>
        <v>0</v>
      </c>
      <c r="L2129" s="17" t="b">
        <f>Github!N$1843</f>
        <v>0</v>
      </c>
      <c r="M2129" s="17" t="str">
        <f>ROUND(Github!O$1843, 2)&amp;"%"</f>
        <v>56.88%</v>
      </c>
      <c r="N2129" s="17">
        <f>Github!P$1843</f>
        <v>1257</v>
      </c>
      <c r="O2129" s="17">
        <f>Github!Q$1843</f>
        <v>2210</v>
      </c>
    </row>
    <row r="2130" ht="18.0" customHeight="1">
      <c r="A2130" s="17">
        <f>Github!J$1967</f>
        <v>1966</v>
      </c>
      <c r="B2130" s="27" t="str">
        <f>HYPERLINK(CONCAT("http://leetcode.com/problems/",Github!C$1967), Github!B$1967)</f>
        <v>Binary Searchable Numbers in an Unsorted Array</v>
      </c>
      <c r="C2130" s="17">
        <f>Github!F$1967</f>
        <v>39</v>
      </c>
      <c r="D2130" s="17">
        <f>Github!G$1967</f>
        <v>5</v>
      </c>
      <c r="E2130" s="17">
        <f>Github!F$1967+Github!G$1967</f>
        <v>44</v>
      </c>
      <c r="F2130" s="18">
        <f t="shared" si="1"/>
        <v>7.8</v>
      </c>
      <c r="G2130" s="17" t="str">
        <f>Github!H$1967</f>
        <v>Algorithms</v>
      </c>
      <c r="H2130" s="19" t="str">
        <f>SUBSTITUTE(Github!L$1967, ";", ", ")</f>
        <v>Array, Binary Search, </v>
      </c>
      <c r="I2130" s="17" t="str">
        <f>Github!E$1967</f>
        <v>Medium</v>
      </c>
      <c r="J2130" s="17" t="str">
        <f>IF(TRIM(Github!D$1967)="TRUE","FALSE","TRUE")</f>
        <v>FALSE</v>
      </c>
      <c r="K2130" s="17" t="b">
        <f>Github!M$1967</f>
        <v>0</v>
      </c>
      <c r="L2130" s="17" t="b">
        <f>Github!N$1967</f>
        <v>0</v>
      </c>
      <c r="M2130" s="17" t="str">
        <f>ROUND(Github!O$1967, 2)&amp;"%"</f>
        <v>66.33%</v>
      </c>
      <c r="N2130" s="17">
        <f>Github!P$1967</f>
        <v>1320</v>
      </c>
      <c r="O2130" s="17">
        <f>Github!Q$1967</f>
        <v>1990</v>
      </c>
    </row>
    <row r="2131" ht="18.0" customHeight="1">
      <c r="A2131" s="17">
        <f>Github!J$1528</f>
        <v>1527</v>
      </c>
      <c r="B2131" s="27" t="str">
        <f>HYPERLINK(CONCAT("http://leetcode.com/problems/",Github!C$1528), Github!B$1528)</f>
        <v>Patients With a Condition</v>
      </c>
      <c r="C2131" s="17">
        <f>Github!F$1528</f>
        <v>38</v>
      </c>
      <c r="D2131" s="17">
        <f>Github!G$1528</f>
        <v>93</v>
      </c>
      <c r="E2131" s="17">
        <f>Github!F$1528+Github!G$1528</f>
        <v>131</v>
      </c>
      <c r="F2131" s="18">
        <f t="shared" si="1"/>
        <v>0.41</v>
      </c>
      <c r="G2131" s="17" t="str">
        <f>Github!H$1528</f>
        <v>Database</v>
      </c>
      <c r="H2131" s="19" t="str">
        <f>SUBSTITUTE(Github!L$1528, ";", ", ")</f>
        <v>Database, </v>
      </c>
      <c r="I2131" s="17" t="str">
        <f>Github!E$1528</f>
        <v>Easy</v>
      </c>
      <c r="J2131" s="17" t="str">
        <f>IF(TRIM(Github!D$1528)="TRUE","FALSE","TRUE")</f>
        <v>FALSE</v>
      </c>
      <c r="K2131" s="17" t="b">
        <f>Github!M$1528</f>
        <v>0</v>
      </c>
      <c r="L2131" s="17" t="b">
        <f>Github!N$1528</f>
        <v>0</v>
      </c>
      <c r="M2131" s="17" t="str">
        <f>ROUND(Github!O$1528, 2)&amp;"%"</f>
        <v>51.45%</v>
      </c>
      <c r="N2131" s="17">
        <f>Github!P$1528</f>
        <v>15310</v>
      </c>
      <c r="O2131" s="17">
        <f>Github!Q$1528</f>
        <v>29755</v>
      </c>
    </row>
    <row r="2132" ht="18.0" customHeight="1">
      <c r="A2132" s="17">
        <f>Github!J$1668</f>
        <v>1667</v>
      </c>
      <c r="B2132" s="27" t="str">
        <f>HYPERLINK(CONCAT("http://leetcode.com/problems/",Github!C$1668), Github!B$1668)</f>
        <v>Fix Names in a Table</v>
      </c>
      <c r="C2132" s="17">
        <f>Github!F$1668</f>
        <v>38</v>
      </c>
      <c r="D2132" s="17">
        <f>Github!G$1668</f>
        <v>33</v>
      </c>
      <c r="E2132" s="17">
        <f>Github!F$1668+Github!G$1668</f>
        <v>71</v>
      </c>
      <c r="F2132" s="18">
        <f t="shared" si="1"/>
        <v>1.15</v>
      </c>
      <c r="G2132" s="17" t="str">
        <f>Github!H$1668</f>
        <v>Database</v>
      </c>
      <c r="H2132" s="19" t="str">
        <f>SUBSTITUTE(Github!L$1668, ";", ", ")</f>
        <v>Database, </v>
      </c>
      <c r="I2132" s="17" t="str">
        <f>Github!E$1668</f>
        <v>Easy</v>
      </c>
      <c r="J2132" s="17" t="str">
        <f>IF(TRIM(Github!D$1668)="TRUE","FALSE","TRUE")</f>
        <v>FALSE</v>
      </c>
      <c r="K2132" s="17" t="b">
        <f>Github!M$1668</f>
        <v>0</v>
      </c>
      <c r="L2132" s="17" t="b">
        <f>Github!N$1668</f>
        <v>0</v>
      </c>
      <c r="M2132" s="17" t="str">
        <f>ROUND(Github!O$1668, 2)&amp;"%"</f>
        <v>62.57%</v>
      </c>
      <c r="N2132" s="17">
        <f>Github!P$1668</f>
        <v>9798</v>
      </c>
      <c r="O2132" s="17">
        <f>Github!Q$1668</f>
        <v>15659</v>
      </c>
    </row>
    <row r="2133" ht="18.0" customHeight="1">
      <c r="A2133" s="17">
        <f>Github!J$1693</f>
        <v>1692</v>
      </c>
      <c r="B2133" s="27" t="str">
        <f>HYPERLINK(CONCAT("http://leetcode.com/problems/",Github!C$1693), Github!B$1693)</f>
        <v>Count Ways to Distribute Candies</v>
      </c>
      <c r="C2133" s="17">
        <f>Github!F$1693</f>
        <v>38</v>
      </c>
      <c r="D2133" s="17">
        <f>Github!G$1693</f>
        <v>5</v>
      </c>
      <c r="E2133" s="17">
        <f>Github!F$1693+Github!G$1693</f>
        <v>43</v>
      </c>
      <c r="F2133" s="18">
        <f t="shared" si="1"/>
        <v>7.6</v>
      </c>
      <c r="G2133" s="17" t="str">
        <f>Github!H$1693</f>
        <v>Algorithms</v>
      </c>
      <c r="H2133" s="19" t="str">
        <f>SUBSTITUTE(Github!L$1693, ";", ", ")</f>
        <v>Dynamic Programming, </v>
      </c>
      <c r="I2133" s="17" t="str">
        <f>Github!E$1693</f>
        <v>Hard</v>
      </c>
      <c r="J2133" s="17" t="str">
        <f>IF(TRIM(Github!D$1693)="TRUE","FALSE","TRUE")</f>
        <v>FALSE</v>
      </c>
      <c r="K2133" s="17" t="b">
        <f>Github!M$1693</f>
        <v>0</v>
      </c>
      <c r="L2133" s="17" t="b">
        <f>Github!N$1693</f>
        <v>0</v>
      </c>
      <c r="M2133" s="17" t="str">
        <f>ROUND(Github!O$1693, 2)&amp;"%"</f>
        <v>60.74%</v>
      </c>
      <c r="N2133" s="17">
        <f>Github!P$1693</f>
        <v>1369</v>
      </c>
      <c r="O2133" s="17">
        <f>Github!Q$1693</f>
        <v>2254</v>
      </c>
    </row>
    <row r="2134" ht="18.0" customHeight="1">
      <c r="A2134" s="17">
        <f>Github!J$1990</f>
        <v>1989</v>
      </c>
      <c r="B2134" s="27" t="str">
        <f>HYPERLINK(CONCAT("http://leetcode.com/problems/",Github!C$1990), Github!B$1990)</f>
        <v>Maximum Number of People That Can Be Caught in Tag</v>
      </c>
      <c r="C2134" s="17">
        <f>Github!F$1990</f>
        <v>38</v>
      </c>
      <c r="D2134" s="17">
        <f>Github!G$1990</f>
        <v>5</v>
      </c>
      <c r="E2134" s="17">
        <f>Github!F$1990+Github!G$1990</f>
        <v>43</v>
      </c>
      <c r="F2134" s="18">
        <f t="shared" si="1"/>
        <v>7.6</v>
      </c>
      <c r="G2134" s="17" t="str">
        <f>Github!H$1990</f>
        <v>Algorithms</v>
      </c>
      <c r="H2134" s="19" t="str">
        <f>SUBSTITUTE(Github!L$1990, ";", ", ")</f>
        <v>Array, Greedy, </v>
      </c>
      <c r="I2134" s="17" t="str">
        <f>Github!E$1990</f>
        <v>Medium</v>
      </c>
      <c r="J2134" s="17" t="str">
        <f>IF(TRIM(Github!D$1990)="TRUE","FALSE","TRUE")</f>
        <v>FALSE</v>
      </c>
      <c r="K2134" s="17" t="b">
        <f>Github!M$1990</f>
        <v>0</v>
      </c>
      <c r="L2134" s="17" t="b">
        <f>Github!N$1990</f>
        <v>0</v>
      </c>
      <c r="M2134" s="17" t="str">
        <f>ROUND(Github!O$1990, 2)&amp;"%"</f>
        <v>55.49%</v>
      </c>
      <c r="N2134" s="17">
        <f>Github!P$1990</f>
        <v>950</v>
      </c>
      <c r="O2134" s="17">
        <f>Github!Q$1990</f>
        <v>1712</v>
      </c>
    </row>
    <row r="2135" ht="18.0" customHeight="1">
      <c r="A2135" s="17">
        <f>Github!J$2037</f>
        <v>2036</v>
      </c>
      <c r="B2135" s="27" t="str">
        <f>HYPERLINK(CONCAT("http://leetcode.com/problems/",Github!C$2037), Github!B$2037)</f>
        <v>Maximum Alternating Subarray Sum</v>
      </c>
      <c r="C2135" s="17">
        <f>Github!F$2037</f>
        <v>38</v>
      </c>
      <c r="D2135" s="17">
        <f>Github!G$2037</f>
        <v>2</v>
      </c>
      <c r="E2135" s="17">
        <f>Github!F$2037+Github!G$2037</f>
        <v>40</v>
      </c>
      <c r="F2135" s="18">
        <f t="shared" si="1"/>
        <v>19</v>
      </c>
      <c r="G2135" s="17" t="str">
        <f>Github!H$2037</f>
        <v>Algorithms</v>
      </c>
      <c r="H2135" s="19" t="str">
        <f>SUBSTITUTE(Github!L$2037, ";", ", ")</f>
        <v>Array, Dynamic Programming, </v>
      </c>
      <c r="I2135" s="17" t="str">
        <f>Github!E$2037</f>
        <v>Medium</v>
      </c>
      <c r="J2135" s="17" t="str">
        <f>IF(TRIM(Github!D$2037)="TRUE","FALSE","TRUE")</f>
        <v>FALSE</v>
      </c>
      <c r="K2135" s="17" t="b">
        <f>Github!M$2037</f>
        <v>0</v>
      </c>
      <c r="L2135" s="17" t="b">
        <f>Github!N$2037</f>
        <v>0</v>
      </c>
      <c r="M2135" s="17" t="str">
        <f>ROUND(Github!O$2037, 2)&amp;"%"</f>
        <v>41.06%</v>
      </c>
      <c r="N2135" s="17">
        <f>Github!P$2037</f>
        <v>976</v>
      </c>
      <c r="O2135" s="17">
        <f>Github!Q$2037</f>
        <v>2377</v>
      </c>
    </row>
    <row r="2136" ht="18.0" customHeight="1">
      <c r="A2136" s="17">
        <f>Github!J$2108</f>
        <v>2107</v>
      </c>
      <c r="B2136" s="27" t="str">
        <f>HYPERLINK(CONCAT("http://leetcode.com/problems/",Github!C$2108), Github!B$2108)</f>
        <v>Number of Unique Flavors After Sharing K Candies</v>
      </c>
      <c r="C2136" s="17">
        <f>Github!F$2108</f>
        <v>38</v>
      </c>
      <c r="D2136" s="17">
        <f>Github!G$2108</f>
        <v>0</v>
      </c>
      <c r="E2136" s="17">
        <f>Github!F$2108+Github!G$2108</f>
        <v>38</v>
      </c>
      <c r="F2136" s="18">
        <f t="shared" si="1"/>
        <v>38</v>
      </c>
      <c r="G2136" s="17" t="str">
        <f>Github!H$2108</f>
        <v>Algorithms</v>
      </c>
      <c r="H2136" s="19" t="str">
        <f>SUBSTITUTE(Github!L$2108, ";", ", ")</f>
        <v>Array, Hash Table, Sliding Window, </v>
      </c>
      <c r="I2136" s="17" t="str">
        <f>Github!E$2108</f>
        <v>Medium</v>
      </c>
      <c r="J2136" s="17" t="str">
        <f>IF(TRIM(Github!D$2108)="TRUE","FALSE","TRUE")</f>
        <v>FALSE</v>
      </c>
      <c r="K2136" s="17" t="b">
        <f>Github!M$2108</f>
        <v>0</v>
      </c>
      <c r="L2136" s="17" t="b">
        <f>Github!N$2108</f>
        <v>0</v>
      </c>
      <c r="M2136" s="17" t="str">
        <f>ROUND(Github!O$2108, 2)&amp;"%"</f>
        <v>58.41%</v>
      </c>
      <c r="N2136" s="17">
        <f>Github!P$2108</f>
        <v>1087</v>
      </c>
      <c r="O2136" s="17">
        <f>Github!Q$2108</f>
        <v>1861</v>
      </c>
    </row>
    <row r="2137" ht="18.0" customHeight="1">
      <c r="A2137" s="17">
        <f>Github!J$1501</f>
        <v>1500</v>
      </c>
      <c r="B2137" s="27" t="str">
        <f>HYPERLINK(CONCAT("http://leetcode.com/problems/",Github!C$1501), Github!B$1501)</f>
        <v>Design a File Sharing System</v>
      </c>
      <c r="C2137" s="17">
        <f>Github!F$1501</f>
        <v>37</v>
      </c>
      <c r="D2137" s="17">
        <f>Github!G$1501</f>
        <v>87</v>
      </c>
      <c r="E2137" s="17">
        <f>Github!F$1501+Github!G$1501</f>
        <v>124</v>
      </c>
      <c r="F2137" s="18">
        <f t="shared" si="1"/>
        <v>0.43</v>
      </c>
      <c r="G2137" s="17" t="str">
        <f>Github!H$1501</f>
        <v>Algorithms</v>
      </c>
      <c r="H2137" s="19" t="str">
        <f>SUBSTITUTE(Github!L$1501, ";", ", ")</f>
        <v>Hash Table, Design, Heap (Priority Queue), Data Stream, </v>
      </c>
      <c r="I2137" s="17" t="str">
        <f>Github!E$1501</f>
        <v>Medium</v>
      </c>
      <c r="J2137" s="17" t="str">
        <f>IF(TRIM(Github!D$1501)="TRUE","FALSE","TRUE")</f>
        <v>FALSE</v>
      </c>
      <c r="K2137" s="17" t="b">
        <f>Github!M$1501</f>
        <v>0</v>
      </c>
      <c r="L2137" s="17" t="b">
        <f>Github!N$1501</f>
        <v>0</v>
      </c>
      <c r="M2137" s="17" t="str">
        <f>ROUND(Github!O$1501, 2)&amp;"%"</f>
        <v>45.08%</v>
      </c>
      <c r="N2137" s="17">
        <f>Github!P$1501</f>
        <v>2796</v>
      </c>
      <c r="O2137" s="17">
        <f>Github!Q$1501</f>
        <v>6202</v>
      </c>
    </row>
    <row r="2138" ht="18.0" customHeight="1">
      <c r="A2138" s="17">
        <f>Github!J$1730</f>
        <v>1729</v>
      </c>
      <c r="B2138" s="27" t="str">
        <f>HYPERLINK(CONCAT("http://leetcode.com/problems/",Github!C$1730), Github!B$1730)</f>
        <v>Find Followers Count</v>
      </c>
      <c r="C2138" s="17">
        <f>Github!F$1730</f>
        <v>37</v>
      </c>
      <c r="D2138" s="17">
        <f>Github!G$1730</f>
        <v>7</v>
      </c>
      <c r="E2138" s="17">
        <f>Github!F$1730+Github!G$1730</f>
        <v>44</v>
      </c>
      <c r="F2138" s="18">
        <f t="shared" si="1"/>
        <v>5.29</v>
      </c>
      <c r="G2138" s="17" t="str">
        <f>Github!H$1730</f>
        <v>Database</v>
      </c>
      <c r="H2138" s="19" t="str">
        <f>SUBSTITUTE(Github!L$1730, ";", ", ")</f>
        <v>Database, </v>
      </c>
      <c r="I2138" s="17" t="str">
        <f>Github!E$1730</f>
        <v>Easy</v>
      </c>
      <c r="J2138" s="17" t="str">
        <f>IF(TRIM(Github!D$1730)="TRUE","FALSE","TRUE")</f>
        <v>FALSE</v>
      </c>
      <c r="K2138" s="17" t="b">
        <f>Github!M$1730</f>
        <v>0</v>
      </c>
      <c r="L2138" s="17" t="b">
        <f>Github!N$1730</f>
        <v>0</v>
      </c>
      <c r="M2138" s="17" t="str">
        <f>ROUND(Github!O$1730, 2)&amp;"%"</f>
        <v>71.42%</v>
      </c>
      <c r="N2138" s="17">
        <f>Github!P$1730</f>
        <v>9772</v>
      </c>
      <c r="O2138" s="17">
        <f>Github!Q$1730</f>
        <v>13682</v>
      </c>
    </row>
    <row r="2139" ht="18.0" customHeight="1">
      <c r="A2139" s="17">
        <f>Github!J$1876</f>
        <v>1875</v>
      </c>
      <c r="B2139" s="27" t="str">
        <f>HYPERLINK(CONCAT("http://leetcode.com/problems/",Github!C$1876), Github!B$1876)</f>
        <v>Group Employees of the Same Salary</v>
      </c>
      <c r="C2139" s="17">
        <f>Github!F$1876</f>
        <v>36</v>
      </c>
      <c r="D2139" s="17">
        <f>Github!G$1876</f>
        <v>3</v>
      </c>
      <c r="E2139" s="17">
        <f>Github!F$1876+Github!G$1876</f>
        <v>39</v>
      </c>
      <c r="F2139" s="18">
        <f t="shared" si="1"/>
        <v>12</v>
      </c>
      <c r="G2139" s="17" t="str">
        <f>Github!H$1876</f>
        <v>Database</v>
      </c>
      <c r="H2139" s="19" t="str">
        <f>SUBSTITUTE(Github!L$1876, ";", ", ")</f>
        <v>Database, </v>
      </c>
      <c r="I2139" s="17" t="str">
        <f>Github!E$1876</f>
        <v>Medium</v>
      </c>
      <c r="J2139" s="17" t="str">
        <f>IF(TRIM(Github!D$1876)="TRUE","FALSE","TRUE")</f>
        <v>FALSE</v>
      </c>
      <c r="K2139" s="17" t="b">
        <f>Github!M$1876</f>
        <v>0</v>
      </c>
      <c r="L2139" s="17" t="b">
        <f>Github!N$1876</f>
        <v>0</v>
      </c>
      <c r="M2139" s="17" t="str">
        <f>ROUND(Github!O$1876, 2)&amp;"%"</f>
        <v>75.3%</v>
      </c>
      <c r="N2139" s="17">
        <f>Github!P$1876</f>
        <v>4781</v>
      </c>
      <c r="O2139" s="17">
        <f>Github!Q$1876</f>
        <v>6349</v>
      </c>
    </row>
    <row r="2140" ht="18.0" customHeight="1">
      <c r="A2140" s="17">
        <f>Github!J$2159</f>
        <v>2158</v>
      </c>
      <c r="B2140" s="27" t="str">
        <f>HYPERLINK(CONCAT("http://leetcode.com/problems/",Github!C$2159), Github!B$2159)</f>
        <v>Amount of New Area Painted Each Day</v>
      </c>
      <c r="C2140" s="17">
        <f>Github!F$2159</f>
        <v>37</v>
      </c>
      <c r="D2140" s="17">
        <f>Github!G$2159</f>
        <v>7</v>
      </c>
      <c r="E2140" s="17">
        <f>Github!F$2159+Github!G$2159</f>
        <v>44</v>
      </c>
      <c r="F2140" s="18">
        <f t="shared" si="1"/>
        <v>5.29</v>
      </c>
      <c r="G2140" s="17" t="str">
        <f>Github!H$2159</f>
        <v>Algorithms</v>
      </c>
      <c r="H2140" s="19" t="str">
        <f>SUBSTITUTE(Github!L$2159, ";", ", ")</f>
        <v>Array, Segment Tree, Ordered Set, </v>
      </c>
      <c r="I2140" s="17" t="str">
        <f>Github!E$2159</f>
        <v>Hard</v>
      </c>
      <c r="J2140" s="17" t="str">
        <f>IF(TRIM(Github!D$2159)="TRUE","FALSE","TRUE")</f>
        <v>FALSE</v>
      </c>
      <c r="K2140" s="17" t="b">
        <f>Github!M$2159</f>
        <v>0</v>
      </c>
      <c r="L2140" s="17" t="b">
        <f>Github!N$2159</f>
        <v>0</v>
      </c>
      <c r="M2140" s="17" t="str">
        <f>ROUND(Github!O$2159, 2)&amp;"%"</f>
        <v>60.94%</v>
      </c>
      <c r="N2140" s="17">
        <f>Github!P$2159</f>
        <v>1451</v>
      </c>
      <c r="O2140" s="17">
        <f>Github!Q$2159</f>
        <v>2381</v>
      </c>
    </row>
    <row r="2141" ht="18.0" customHeight="1">
      <c r="A2141" s="17">
        <f>Github!J$1646</f>
        <v>1645</v>
      </c>
      <c r="B2141" s="27" t="str">
        <f>HYPERLINK(CONCAT("http://leetcode.com/problems/",Github!C$1646), Github!B$1646)</f>
        <v>Hopper Company Queries II</v>
      </c>
      <c r="C2141" s="17">
        <f>Github!F$1646</f>
        <v>35</v>
      </c>
      <c r="D2141" s="17">
        <f>Github!G$1646</f>
        <v>10</v>
      </c>
      <c r="E2141" s="17">
        <f>Github!F$1646+Github!G$1646</f>
        <v>45</v>
      </c>
      <c r="F2141" s="18">
        <f t="shared" si="1"/>
        <v>3.5</v>
      </c>
      <c r="G2141" s="17" t="str">
        <f>Github!H$1646</f>
        <v>Database</v>
      </c>
      <c r="H2141" s="19" t="str">
        <f>SUBSTITUTE(Github!L$1646, ";", ", ")</f>
        <v>Database, </v>
      </c>
      <c r="I2141" s="17" t="str">
        <f>Github!E$1646</f>
        <v>Hard</v>
      </c>
      <c r="J2141" s="17" t="str">
        <f>IF(TRIM(Github!D$1646)="TRUE","FALSE","TRUE")</f>
        <v>FALSE</v>
      </c>
      <c r="K2141" s="17" t="b">
        <f>Github!M$1646</f>
        <v>0</v>
      </c>
      <c r="L2141" s="17" t="b">
        <f>Github!N$1646</f>
        <v>0</v>
      </c>
      <c r="M2141" s="17" t="str">
        <f>ROUND(Github!O$1646, 2)&amp;"%"</f>
        <v>38.78%</v>
      </c>
      <c r="N2141" s="17">
        <f>Github!P$1646</f>
        <v>3707</v>
      </c>
      <c r="O2141" s="17">
        <f>Github!Q$1646</f>
        <v>9558</v>
      </c>
    </row>
    <row r="2142" ht="18.0" customHeight="1">
      <c r="A2142" s="17">
        <f>Github!J$1832</f>
        <v>1831</v>
      </c>
      <c r="B2142" s="27" t="str">
        <f>HYPERLINK(CONCAT("http://leetcode.com/problems/",Github!C$1832), Github!B$1832)</f>
        <v>Maximum Transaction Each Day</v>
      </c>
      <c r="C2142" s="17">
        <f>Github!F$1832</f>
        <v>35</v>
      </c>
      <c r="D2142" s="17">
        <f>Github!G$1832</f>
        <v>1</v>
      </c>
      <c r="E2142" s="17">
        <f>Github!F$1832+Github!G$1832</f>
        <v>36</v>
      </c>
      <c r="F2142" s="18">
        <f t="shared" si="1"/>
        <v>35</v>
      </c>
      <c r="G2142" s="17" t="str">
        <f>Github!H$1832</f>
        <v>Database</v>
      </c>
      <c r="H2142" s="19" t="str">
        <f>SUBSTITUTE(Github!L$1832, ";", ", ")</f>
        <v>Database, </v>
      </c>
      <c r="I2142" s="17" t="str">
        <f>Github!E$1832</f>
        <v>Medium</v>
      </c>
      <c r="J2142" s="17" t="str">
        <f>IF(TRIM(Github!D$1832)="TRUE","FALSE","TRUE")</f>
        <v>FALSE</v>
      </c>
      <c r="K2142" s="17" t="b">
        <f>Github!M$1832</f>
        <v>0</v>
      </c>
      <c r="L2142" s="17" t="b">
        <f>Github!N$1832</f>
        <v>0</v>
      </c>
      <c r="M2142" s="17" t="str">
        <f>ROUND(Github!O$1832, 2)&amp;"%"</f>
        <v>83.25%</v>
      </c>
      <c r="N2142" s="17">
        <f>Github!P$1832</f>
        <v>6516</v>
      </c>
      <c r="O2142" s="17">
        <f>Github!Q$1832</f>
        <v>7827</v>
      </c>
    </row>
    <row r="2143" ht="18.0" customHeight="1">
      <c r="A2143" s="17">
        <f>Github!J$2114</f>
        <v>2113</v>
      </c>
      <c r="B2143" s="27" t="str">
        <f>HYPERLINK(CONCAT("http://leetcode.com/problems/",Github!C$2114), Github!B$2114)</f>
        <v>Elements in Array After Removing and Replacing Elements</v>
      </c>
      <c r="C2143" s="17">
        <f>Github!F$2114</f>
        <v>34</v>
      </c>
      <c r="D2143" s="17">
        <f>Github!G$2114</f>
        <v>5</v>
      </c>
      <c r="E2143" s="17">
        <f>Github!F$2114+Github!G$2114</f>
        <v>39</v>
      </c>
      <c r="F2143" s="18">
        <f t="shared" si="1"/>
        <v>6.8</v>
      </c>
      <c r="G2143" s="17" t="str">
        <f>Github!H$2114</f>
        <v>Algorithms</v>
      </c>
      <c r="H2143" s="19" t="str">
        <f>SUBSTITUTE(Github!L$2114, ";", ", ")</f>
        <v>Array, </v>
      </c>
      <c r="I2143" s="17" t="str">
        <f>Github!E$2114</f>
        <v>Medium</v>
      </c>
      <c r="J2143" s="17" t="str">
        <f>IF(TRIM(Github!D$2114)="TRUE","FALSE","TRUE")</f>
        <v>FALSE</v>
      </c>
      <c r="K2143" s="17" t="b">
        <f>Github!M$2114</f>
        <v>0</v>
      </c>
      <c r="L2143" s="17" t="b">
        <f>Github!N$2114</f>
        <v>0</v>
      </c>
      <c r="M2143" s="17" t="str">
        <f>ROUND(Github!O$2114, 2)&amp;"%"</f>
        <v>73.75%</v>
      </c>
      <c r="N2143" s="17">
        <f>Github!P$2114</f>
        <v>823</v>
      </c>
      <c r="O2143" s="17">
        <f>Github!Q$2114</f>
        <v>1116</v>
      </c>
    </row>
    <row r="2144" ht="18.0" customHeight="1">
      <c r="A2144" s="17">
        <f>Github!J$1891</f>
        <v>1890</v>
      </c>
      <c r="B2144" s="27" t="str">
        <f>HYPERLINK(CONCAT("http://leetcode.com/problems/",Github!C$1891), Github!B$1891)</f>
        <v>The Latest Login in 2020</v>
      </c>
      <c r="C2144" s="17">
        <f>Github!F$1891</f>
        <v>31</v>
      </c>
      <c r="D2144" s="17">
        <f>Github!G$1891</f>
        <v>0</v>
      </c>
      <c r="E2144" s="17">
        <f>Github!F$1891+Github!G$1891</f>
        <v>31</v>
      </c>
      <c r="F2144" s="18">
        <f t="shared" si="1"/>
        <v>31</v>
      </c>
      <c r="G2144" s="17" t="str">
        <f>Github!H$1891</f>
        <v>Database</v>
      </c>
      <c r="H2144" s="19" t="str">
        <f>SUBSTITUTE(Github!L$1891, ";", ", ")</f>
        <v>Database, </v>
      </c>
      <c r="I2144" s="17" t="str">
        <f>Github!E$1891</f>
        <v>Easy</v>
      </c>
      <c r="J2144" s="17" t="str">
        <f>IF(TRIM(Github!D$1891)="TRUE","FALSE","TRUE")</f>
        <v>FALSE</v>
      </c>
      <c r="K2144" s="17" t="b">
        <f>Github!M$1891</f>
        <v>0</v>
      </c>
      <c r="L2144" s="17" t="b">
        <f>Github!N$1891</f>
        <v>0</v>
      </c>
      <c r="M2144" s="17" t="str">
        <f>ROUND(Github!O$1891, 2)&amp;"%"</f>
        <v>83.92%</v>
      </c>
      <c r="N2144" s="17">
        <f>Github!P$1891</f>
        <v>6263</v>
      </c>
      <c r="O2144" s="17">
        <f>Github!Q$1891</f>
        <v>7463</v>
      </c>
    </row>
    <row r="2145" ht="18.0" customHeight="1">
      <c r="A2145" s="17">
        <f>Github!J$1918</f>
        <v>1917</v>
      </c>
      <c r="B2145" s="27" t="str">
        <f>HYPERLINK(CONCAT("http://leetcode.com/problems/",Github!C$1918), Github!B$1918)</f>
        <v>Leetcodify Friends Recommendations</v>
      </c>
      <c r="C2145" s="17">
        <f>Github!F$1918</f>
        <v>31</v>
      </c>
      <c r="D2145" s="17">
        <f>Github!G$1918</f>
        <v>18</v>
      </c>
      <c r="E2145" s="17">
        <f>Github!F$1918+Github!G$1918</f>
        <v>49</v>
      </c>
      <c r="F2145" s="18">
        <f t="shared" si="1"/>
        <v>1.72</v>
      </c>
      <c r="G2145" s="17" t="str">
        <f>Github!H$1918</f>
        <v>Database</v>
      </c>
      <c r="H2145" s="19" t="str">
        <f>SUBSTITUTE(Github!L$1918, ";", ", ")</f>
        <v>Database, </v>
      </c>
      <c r="I2145" s="17" t="str">
        <f>Github!E$1918</f>
        <v>Hard</v>
      </c>
      <c r="J2145" s="17" t="str">
        <f>IF(TRIM(Github!D$1918)="TRUE","FALSE","TRUE")</f>
        <v>FALSE</v>
      </c>
      <c r="K2145" s="17" t="b">
        <f>Github!M$1918</f>
        <v>0</v>
      </c>
      <c r="L2145" s="17" t="b">
        <f>Github!N$1918</f>
        <v>0</v>
      </c>
      <c r="M2145" s="17" t="str">
        <f>ROUND(Github!O$1918, 2)&amp;"%"</f>
        <v>30.22%</v>
      </c>
      <c r="N2145" s="17">
        <f>Github!P$1918</f>
        <v>2918</v>
      </c>
      <c r="O2145" s="17">
        <f>Github!Q$1918</f>
        <v>9656</v>
      </c>
    </row>
    <row r="2146" ht="18.0" customHeight="1">
      <c r="A2146" s="17">
        <f>Github!J$1934</f>
        <v>1933</v>
      </c>
      <c r="B2146" s="27" t="str">
        <f>HYPERLINK(CONCAT("http://leetcode.com/problems/",Github!C$1934), Github!B$1934)</f>
        <v>Check if String Is Decomposable Into Value-Equal Substrings</v>
      </c>
      <c r="C2146" s="17">
        <f>Github!F$1934</f>
        <v>31</v>
      </c>
      <c r="D2146" s="17">
        <f>Github!G$1934</f>
        <v>6</v>
      </c>
      <c r="E2146" s="17">
        <f>Github!F$1934+Github!G$1934</f>
        <v>37</v>
      </c>
      <c r="F2146" s="18">
        <f t="shared" si="1"/>
        <v>5.17</v>
      </c>
      <c r="G2146" s="17" t="str">
        <f>Github!H$1934</f>
        <v>Algorithms</v>
      </c>
      <c r="H2146" s="19" t="str">
        <f>SUBSTITUTE(Github!L$1934, ";", ", ")</f>
        <v>String, </v>
      </c>
      <c r="I2146" s="17" t="str">
        <f>Github!E$1934</f>
        <v>Easy</v>
      </c>
      <c r="J2146" s="17" t="str">
        <f>IF(TRIM(Github!D$1934)="TRUE","FALSE","TRUE")</f>
        <v>FALSE</v>
      </c>
      <c r="K2146" s="17" t="b">
        <f>Github!M$1934</f>
        <v>0</v>
      </c>
      <c r="L2146" s="17" t="b">
        <f>Github!N$1934</f>
        <v>0</v>
      </c>
      <c r="M2146" s="17" t="str">
        <f>ROUND(Github!O$1934, 2)&amp;"%"</f>
        <v>51.63%</v>
      </c>
      <c r="N2146" s="17">
        <f>Github!P$1934</f>
        <v>1895</v>
      </c>
      <c r="O2146" s="17">
        <f>Github!Q$1934</f>
        <v>3670</v>
      </c>
    </row>
    <row r="2147" ht="18.0" customHeight="1">
      <c r="A2147" s="17">
        <f>Github!J$1966</f>
        <v>1965</v>
      </c>
      <c r="B2147" s="27" t="str">
        <f>HYPERLINK(CONCAT("http://leetcode.com/problems/",Github!C$1966), Github!B$1966)</f>
        <v>Employees With Missing Information</v>
      </c>
      <c r="C2147" s="17">
        <f>Github!F$1966</f>
        <v>30</v>
      </c>
      <c r="D2147" s="17">
        <f>Github!G$1966</f>
        <v>0</v>
      </c>
      <c r="E2147" s="17">
        <f>Github!F$1966+Github!G$1966</f>
        <v>30</v>
      </c>
      <c r="F2147" s="18">
        <f t="shared" si="1"/>
        <v>30</v>
      </c>
      <c r="G2147" s="17" t="str">
        <f>Github!H$1966</f>
        <v>Database</v>
      </c>
      <c r="H2147" s="19" t="str">
        <f>SUBSTITUTE(Github!L$1966, ";", ", ")</f>
        <v>Database, </v>
      </c>
      <c r="I2147" s="17" t="str">
        <f>Github!E$1966</f>
        <v>Easy</v>
      </c>
      <c r="J2147" s="17" t="str">
        <f>IF(TRIM(Github!D$1966)="TRUE","FALSE","TRUE")</f>
        <v>FALSE</v>
      </c>
      <c r="K2147" s="17" t="b">
        <f>Github!M$1966</f>
        <v>0</v>
      </c>
      <c r="L2147" s="17" t="b">
        <f>Github!N$1966</f>
        <v>0</v>
      </c>
      <c r="M2147" s="17" t="str">
        <f>ROUND(Github!O$1966, 2)&amp;"%"</f>
        <v>80.74%</v>
      </c>
      <c r="N2147" s="17">
        <f>Github!P$1966</f>
        <v>4925</v>
      </c>
      <c r="O2147" s="17">
        <f>Github!Q$1966</f>
        <v>6100</v>
      </c>
    </row>
    <row r="2148" ht="18.0" customHeight="1">
      <c r="A2148" s="17">
        <f>Github!J$2057</f>
        <v>2056</v>
      </c>
      <c r="B2148" s="27" t="str">
        <f>HYPERLINK(CONCAT("http://leetcode.com/problems/",Github!C$2057), Github!B$2057)</f>
        <v>Number of Valid Move Combinations On Chessboard</v>
      </c>
      <c r="C2148" s="17">
        <f>Github!F$2057</f>
        <v>30</v>
      </c>
      <c r="D2148" s="17">
        <f>Github!G$2057</f>
        <v>146</v>
      </c>
      <c r="E2148" s="17">
        <f>Github!F$2057+Github!G$2057</f>
        <v>176</v>
      </c>
      <c r="F2148" s="18">
        <f t="shared" si="1"/>
        <v>0.21</v>
      </c>
      <c r="G2148" s="17" t="str">
        <f>Github!H$2057</f>
        <v>Algorithms</v>
      </c>
      <c r="H2148" s="19" t="str">
        <f>SUBSTITUTE(Github!L$2057, ";", ", ")</f>
        <v>Array, String, Backtracking, Simulation, </v>
      </c>
      <c r="I2148" s="17" t="str">
        <f>Github!E$2057</f>
        <v>Hard</v>
      </c>
      <c r="J2148" s="17" t="str">
        <f>IF(TRIM(Github!D$2057)="TRUE","FALSE","TRUE")</f>
        <v>TRUE</v>
      </c>
      <c r="K2148" s="17" t="b">
        <f>Github!M$2057</f>
        <v>0</v>
      </c>
      <c r="L2148" s="17" t="b">
        <f>Github!N$2057</f>
        <v>0</v>
      </c>
      <c r="M2148" s="17" t="str">
        <f>ROUND(Github!O$2057, 2)&amp;"%"</f>
        <v>58.69%</v>
      </c>
      <c r="N2148" s="17">
        <f>Github!P$2057</f>
        <v>2084</v>
      </c>
      <c r="O2148" s="17">
        <f>Github!Q$2057</f>
        <v>3551</v>
      </c>
    </row>
    <row r="2149" ht="18.0" customHeight="1">
      <c r="A2149" s="17">
        <f>Github!J$2016</f>
        <v>2015</v>
      </c>
      <c r="B2149" s="27" t="str">
        <f>HYPERLINK(CONCAT("http://leetcode.com/problems/",Github!C$2016), Github!B$2016)</f>
        <v>Average Height of Buildings in Each Segment</v>
      </c>
      <c r="C2149" s="17">
        <f>Github!F$2016</f>
        <v>29</v>
      </c>
      <c r="D2149" s="17">
        <f>Github!G$2016</f>
        <v>11</v>
      </c>
      <c r="E2149" s="17">
        <f>Github!F$2016+Github!G$2016</f>
        <v>40</v>
      </c>
      <c r="F2149" s="18">
        <f t="shared" si="1"/>
        <v>2.64</v>
      </c>
      <c r="G2149" s="17" t="str">
        <f>Github!H$2016</f>
        <v>Algorithms</v>
      </c>
      <c r="H2149" s="19" t="str">
        <f>SUBSTITUTE(Github!L$2016, ";", ", ")</f>
        <v>Array, Greedy, Sorting, Heap (Priority Queue), </v>
      </c>
      <c r="I2149" s="17" t="str">
        <f>Github!E$2016</f>
        <v>Medium</v>
      </c>
      <c r="J2149" s="17" t="str">
        <f>IF(TRIM(Github!D$2016)="TRUE","FALSE","TRUE")</f>
        <v>FALSE</v>
      </c>
      <c r="K2149" s="17" t="b">
        <f>Github!M$2016</f>
        <v>0</v>
      </c>
      <c r="L2149" s="17" t="b">
        <f>Github!N$2016</f>
        <v>0</v>
      </c>
      <c r="M2149" s="17" t="str">
        <f>ROUND(Github!O$2016, 2)&amp;"%"</f>
        <v>59.51%</v>
      </c>
      <c r="N2149" s="17">
        <f>Github!P$2016</f>
        <v>776</v>
      </c>
      <c r="O2149" s="17">
        <f>Github!Q$2016</f>
        <v>1304</v>
      </c>
    </row>
    <row r="2150" ht="18.0" customHeight="1">
      <c r="A2150" s="17">
        <f>Github!J$1119</f>
        <v>1118</v>
      </c>
      <c r="B2150" s="27" t="str">
        <f>HYPERLINK(CONCAT("http://leetcode.com/problems/",Github!C$1119), Github!B$1119)</f>
        <v>Number of Days in a Month</v>
      </c>
      <c r="C2150" s="17">
        <f>Github!F$1119</f>
        <v>28</v>
      </c>
      <c r="D2150" s="17">
        <f>Github!G$1119</f>
        <v>131</v>
      </c>
      <c r="E2150" s="17">
        <f>Github!F$1119+Github!G$1119</f>
        <v>159</v>
      </c>
      <c r="F2150" s="18">
        <f t="shared" si="1"/>
        <v>0.21</v>
      </c>
      <c r="G2150" s="17" t="str">
        <f>Github!H$1119</f>
        <v>Algorithms</v>
      </c>
      <c r="H2150" s="19" t="str">
        <f>SUBSTITUTE(Github!L$1119, ";", ", ")</f>
        <v>Math, </v>
      </c>
      <c r="I2150" s="17" t="str">
        <f>Github!E$1119</f>
        <v>Easy</v>
      </c>
      <c r="J2150" s="17" t="str">
        <f>IF(TRIM(Github!D$1119)="TRUE","FALSE","TRUE")</f>
        <v>FALSE</v>
      </c>
      <c r="K2150" s="17" t="b">
        <f>Github!M$1119</f>
        <v>0</v>
      </c>
      <c r="L2150" s="17" t="b">
        <f>Github!N$1119</f>
        <v>0</v>
      </c>
      <c r="M2150" s="17" t="str">
        <f>ROUND(Github!O$1119, 2)&amp;"%"</f>
        <v>57.03%</v>
      </c>
      <c r="N2150" s="17">
        <f>Github!P$1119</f>
        <v>6175</v>
      </c>
      <c r="O2150" s="17">
        <f>Github!Q$1119</f>
        <v>10827</v>
      </c>
    </row>
    <row r="2151" ht="18.0" customHeight="1">
      <c r="A2151" s="17">
        <f>Github!J$1795</f>
        <v>1794</v>
      </c>
      <c r="B2151" s="27" t="str">
        <f>HYPERLINK(CONCAT("http://leetcode.com/problems/",Github!C$1795), Github!B$1795)</f>
        <v>Count Pairs of Equal Substrings With Minimum Difference</v>
      </c>
      <c r="C2151" s="17">
        <f>Github!F$1795</f>
        <v>28</v>
      </c>
      <c r="D2151" s="17">
        <f>Github!G$1795</f>
        <v>33</v>
      </c>
      <c r="E2151" s="17">
        <f>Github!F$1795+Github!G$1795</f>
        <v>61</v>
      </c>
      <c r="F2151" s="18">
        <f t="shared" si="1"/>
        <v>0.85</v>
      </c>
      <c r="G2151" s="17" t="str">
        <f>Github!H$1795</f>
        <v>Algorithms</v>
      </c>
      <c r="H2151" s="19" t="str">
        <f>SUBSTITUTE(Github!L$1795, ";", ", ")</f>
        <v>Hash Table, String, Greedy, </v>
      </c>
      <c r="I2151" s="17" t="str">
        <f>Github!E$1795</f>
        <v>Medium</v>
      </c>
      <c r="J2151" s="17" t="str">
        <f>IF(TRIM(Github!D$1795)="TRUE","FALSE","TRUE")</f>
        <v>FALSE</v>
      </c>
      <c r="K2151" s="17" t="b">
        <f>Github!M$1795</f>
        <v>0</v>
      </c>
      <c r="L2151" s="17" t="b">
        <f>Github!N$1795</f>
        <v>0</v>
      </c>
      <c r="M2151" s="17" t="str">
        <f>ROUND(Github!O$1795, 2)&amp;"%"</f>
        <v>64.63%</v>
      </c>
      <c r="N2151" s="17">
        <f>Github!P$1795</f>
        <v>1195</v>
      </c>
      <c r="O2151" s="17">
        <f>Github!Q$1795</f>
        <v>1849</v>
      </c>
    </row>
    <row r="2152" ht="18.0" customHeight="1">
      <c r="A2152" s="17">
        <f>Github!J$1908</f>
        <v>1907</v>
      </c>
      <c r="B2152" s="27" t="str">
        <f>HYPERLINK(CONCAT("http://leetcode.com/problems/",Github!C$1908), Github!B$1908)</f>
        <v>Count Salary Categories</v>
      </c>
      <c r="C2152" s="17">
        <f>Github!F$1908</f>
        <v>28</v>
      </c>
      <c r="D2152" s="17">
        <f>Github!G$1908</f>
        <v>13</v>
      </c>
      <c r="E2152" s="17">
        <f>Github!F$1908+Github!G$1908</f>
        <v>41</v>
      </c>
      <c r="F2152" s="18">
        <f t="shared" si="1"/>
        <v>2.15</v>
      </c>
      <c r="G2152" s="17" t="str">
        <f>Github!H$1908</f>
        <v>Database</v>
      </c>
      <c r="H2152" s="19" t="str">
        <f>SUBSTITUTE(Github!L$1908, ";", ", ")</f>
        <v>Database, </v>
      </c>
      <c r="I2152" s="17" t="str">
        <f>Github!E$1908</f>
        <v>Medium</v>
      </c>
      <c r="J2152" s="17" t="str">
        <f>IF(TRIM(Github!D$1908)="TRUE","FALSE","TRUE")</f>
        <v>FALSE</v>
      </c>
      <c r="K2152" s="17" t="b">
        <f>Github!M$1908</f>
        <v>0</v>
      </c>
      <c r="L2152" s="17" t="b">
        <f>Github!N$1908</f>
        <v>0</v>
      </c>
      <c r="M2152" s="17" t="str">
        <f>ROUND(Github!O$1908, 2)&amp;"%"</f>
        <v>66.98%</v>
      </c>
      <c r="N2152" s="17">
        <f>Github!P$1908</f>
        <v>4455</v>
      </c>
      <c r="O2152" s="17">
        <f>Github!Q$1908</f>
        <v>6651</v>
      </c>
    </row>
    <row r="2153" ht="18.0" customHeight="1">
      <c r="A2153" s="17">
        <f>Github!J$1920</f>
        <v>1919</v>
      </c>
      <c r="B2153" s="27" t="str">
        <f>HYPERLINK(CONCAT("http://leetcode.com/problems/",Github!C$1920), Github!B$1920)</f>
        <v>Leetcodify Similar Friends</v>
      </c>
      <c r="C2153" s="17">
        <f>Github!F$1920</f>
        <v>28</v>
      </c>
      <c r="D2153" s="17">
        <f>Github!G$1920</f>
        <v>4</v>
      </c>
      <c r="E2153" s="17">
        <f>Github!F$1920+Github!G$1920</f>
        <v>32</v>
      </c>
      <c r="F2153" s="18">
        <f t="shared" si="1"/>
        <v>7</v>
      </c>
      <c r="G2153" s="17" t="str">
        <f>Github!H$1920</f>
        <v>Database</v>
      </c>
      <c r="H2153" s="19" t="str">
        <f>SUBSTITUTE(Github!L$1920, ";", ", ")</f>
        <v>Database, </v>
      </c>
      <c r="I2153" s="17" t="str">
        <f>Github!E$1920</f>
        <v>Hard</v>
      </c>
      <c r="J2153" s="17" t="str">
        <f>IF(TRIM(Github!D$1920)="TRUE","FALSE","TRUE")</f>
        <v>FALSE</v>
      </c>
      <c r="K2153" s="17" t="b">
        <f>Github!M$1920</f>
        <v>0</v>
      </c>
      <c r="L2153" s="17" t="b">
        <f>Github!N$1920</f>
        <v>0</v>
      </c>
      <c r="M2153" s="17" t="str">
        <f>ROUND(Github!O$1920, 2)&amp;"%"</f>
        <v>42.16%</v>
      </c>
      <c r="N2153" s="17">
        <f>Github!P$1920</f>
        <v>2316</v>
      </c>
      <c r="O2153" s="17">
        <f>Github!Q$1920</f>
        <v>5494</v>
      </c>
    </row>
    <row r="2154" ht="18.0" customHeight="1">
      <c r="A2154" s="17">
        <f>Github!J$1935</f>
        <v>1934</v>
      </c>
      <c r="B2154" s="27" t="str">
        <f>HYPERLINK(CONCAT("http://leetcode.com/problems/",Github!C$1935), Github!B$1935)</f>
        <v>Confirmation Rate</v>
      </c>
      <c r="C2154" s="17">
        <f>Github!F$1935</f>
        <v>28</v>
      </c>
      <c r="D2154" s="17">
        <f>Github!G$1935</f>
        <v>9</v>
      </c>
      <c r="E2154" s="17">
        <f>Github!F$1935+Github!G$1935</f>
        <v>37</v>
      </c>
      <c r="F2154" s="18">
        <f t="shared" si="1"/>
        <v>3.11</v>
      </c>
      <c r="G2154" s="17" t="str">
        <f>Github!H$1935</f>
        <v>Database</v>
      </c>
      <c r="H2154" s="19" t="str">
        <f>SUBSTITUTE(Github!L$1935, ";", ", ")</f>
        <v>Database, </v>
      </c>
      <c r="I2154" s="17" t="str">
        <f>Github!E$1935</f>
        <v>Medium</v>
      </c>
      <c r="J2154" s="17" t="str">
        <f>IF(TRIM(Github!D$1935)="TRUE","FALSE","TRUE")</f>
        <v>FALSE</v>
      </c>
      <c r="K2154" s="17" t="b">
        <f>Github!M$1935</f>
        <v>0</v>
      </c>
      <c r="L2154" s="17" t="b">
        <f>Github!N$1935</f>
        <v>0</v>
      </c>
      <c r="M2154" s="17" t="str">
        <f>ROUND(Github!O$1935, 2)&amp;"%"</f>
        <v>77.35%</v>
      </c>
      <c r="N2154" s="17">
        <f>Github!P$1935</f>
        <v>5255</v>
      </c>
      <c r="O2154" s="17">
        <f>Github!Q$1935</f>
        <v>6794</v>
      </c>
    </row>
    <row r="2155" ht="18.0" customHeight="1">
      <c r="A2155" s="17">
        <f>Github!J$1868</f>
        <v>1867</v>
      </c>
      <c r="B2155" s="27" t="str">
        <f>HYPERLINK(CONCAT("http://leetcode.com/problems/",Github!C$1868), Github!B$1868)</f>
        <v>Orders With Maximum Quantity Above Average</v>
      </c>
      <c r="C2155" s="17">
        <f>Github!F$1868</f>
        <v>27</v>
      </c>
      <c r="D2155" s="17">
        <f>Github!G$1868</f>
        <v>99</v>
      </c>
      <c r="E2155" s="17">
        <f>Github!F$1868+Github!G$1868</f>
        <v>126</v>
      </c>
      <c r="F2155" s="18">
        <f t="shared" si="1"/>
        <v>0.27</v>
      </c>
      <c r="G2155" s="17" t="str">
        <f>Github!H$1868</f>
        <v>Database</v>
      </c>
      <c r="H2155" s="19" t="str">
        <f>SUBSTITUTE(Github!L$1868, ";", ", ")</f>
        <v>Database, </v>
      </c>
      <c r="I2155" s="17" t="str">
        <f>Github!E$1868</f>
        <v>Medium</v>
      </c>
      <c r="J2155" s="17" t="str">
        <f>IF(TRIM(Github!D$1868)="TRUE","FALSE","TRUE")</f>
        <v>FALSE</v>
      </c>
      <c r="K2155" s="17" t="b">
        <f>Github!M$1868</f>
        <v>0</v>
      </c>
      <c r="L2155" s="17" t="b">
        <f>Github!N$1868</f>
        <v>0</v>
      </c>
      <c r="M2155" s="17" t="str">
        <f>ROUND(Github!O$1868, 2)&amp;"%"</f>
        <v>76.13%</v>
      </c>
      <c r="N2155" s="17">
        <f>Github!P$1868</f>
        <v>5925</v>
      </c>
      <c r="O2155" s="17">
        <f>Github!Q$1868</f>
        <v>7783</v>
      </c>
    </row>
    <row r="2156" ht="18.0" customHeight="1">
      <c r="A2156" s="17">
        <f>Github!J$1952</f>
        <v>1951</v>
      </c>
      <c r="B2156" s="27" t="str">
        <f>HYPERLINK(CONCAT("http://leetcode.com/problems/",Github!C$1952), Github!B$1952)</f>
        <v>All the Pairs With the Maximum Number of Common Followers</v>
      </c>
      <c r="C2156" s="17">
        <f>Github!F$1952</f>
        <v>27</v>
      </c>
      <c r="D2156" s="17">
        <f>Github!G$1952</f>
        <v>2</v>
      </c>
      <c r="E2156" s="17">
        <f>Github!F$1952+Github!G$1952</f>
        <v>29</v>
      </c>
      <c r="F2156" s="18">
        <f t="shared" si="1"/>
        <v>13.5</v>
      </c>
      <c r="G2156" s="17" t="str">
        <f>Github!H$1952</f>
        <v>Database</v>
      </c>
      <c r="H2156" s="19" t="str">
        <f>SUBSTITUTE(Github!L$1952, ";", ", ")</f>
        <v>Database, </v>
      </c>
      <c r="I2156" s="17" t="str">
        <f>Github!E$1952</f>
        <v>Medium</v>
      </c>
      <c r="J2156" s="17" t="str">
        <f>IF(TRIM(Github!D$1952)="TRUE","FALSE","TRUE")</f>
        <v>FALSE</v>
      </c>
      <c r="K2156" s="17" t="b">
        <f>Github!M$1952</f>
        <v>0</v>
      </c>
      <c r="L2156" s="17" t="b">
        <f>Github!N$1952</f>
        <v>0</v>
      </c>
      <c r="M2156" s="17" t="str">
        <f>ROUND(Github!O$1952, 2)&amp;"%"</f>
        <v>71.2%</v>
      </c>
      <c r="N2156" s="17">
        <f>Github!P$1952</f>
        <v>3070</v>
      </c>
      <c r="O2156" s="17">
        <f>Github!Q$1952</f>
        <v>4312</v>
      </c>
    </row>
    <row r="2157" ht="18.0" customHeight="1">
      <c r="A2157" s="17">
        <f>Github!J$1422</f>
        <v>1421</v>
      </c>
      <c r="B2157" s="27" t="str">
        <f>HYPERLINK(CONCAT("http://leetcode.com/problems/",Github!C$1422), Github!B$1422)</f>
        <v>NPV Queries</v>
      </c>
      <c r="C2157" s="17">
        <f>Github!F$1422</f>
        <v>26</v>
      </c>
      <c r="D2157" s="17">
        <f>Github!G$1422</f>
        <v>233</v>
      </c>
      <c r="E2157" s="17">
        <f>Github!F$1422+Github!G$1422</f>
        <v>259</v>
      </c>
      <c r="F2157" s="18">
        <f t="shared" si="1"/>
        <v>0.11</v>
      </c>
      <c r="G2157" s="17" t="str">
        <f>Github!H$1422</f>
        <v>Database</v>
      </c>
      <c r="H2157" s="19" t="str">
        <f>SUBSTITUTE(Github!L$1422, ";", ", ")</f>
        <v>Database, </v>
      </c>
      <c r="I2157" s="17" t="str">
        <f>Github!E$1422</f>
        <v>Easy</v>
      </c>
      <c r="J2157" s="17" t="str">
        <f>IF(TRIM(Github!D$1422)="TRUE","FALSE","TRUE")</f>
        <v>FALSE</v>
      </c>
      <c r="K2157" s="17" t="b">
        <f>Github!M$1422</f>
        <v>0</v>
      </c>
      <c r="L2157" s="17" t="b">
        <f>Github!N$1422</f>
        <v>0</v>
      </c>
      <c r="M2157" s="17" t="str">
        <f>ROUND(Github!O$1422, 2)&amp;"%"</f>
        <v>83.41%</v>
      </c>
      <c r="N2157" s="17">
        <f>Github!P$1422</f>
        <v>15553</v>
      </c>
      <c r="O2157" s="17">
        <f>Github!Q$1422</f>
        <v>18647</v>
      </c>
    </row>
    <row r="2158" ht="18.0" customHeight="1">
      <c r="A2158" s="17">
        <f>Github!J$1854</f>
        <v>1853</v>
      </c>
      <c r="B2158" s="27" t="str">
        <f>HYPERLINK(CONCAT("http://leetcode.com/problems/",Github!C$1854), Github!B$1854)</f>
        <v>Convert Date Format</v>
      </c>
      <c r="C2158" s="17">
        <f>Github!F$1854</f>
        <v>25</v>
      </c>
      <c r="D2158" s="17">
        <f>Github!G$1854</f>
        <v>27</v>
      </c>
      <c r="E2158" s="17">
        <f>Github!F$1854+Github!G$1854</f>
        <v>52</v>
      </c>
      <c r="F2158" s="18">
        <f t="shared" si="1"/>
        <v>0.93</v>
      </c>
      <c r="G2158" s="17" t="str">
        <f>Github!H$1854</f>
        <v>Database</v>
      </c>
      <c r="H2158" s="19" t="str">
        <f>SUBSTITUTE(Github!L$1854, ";", ", ")</f>
        <v>Database, </v>
      </c>
      <c r="I2158" s="17" t="str">
        <f>Github!E$1854</f>
        <v>Easy</v>
      </c>
      <c r="J2158" s="17" t="str">
        <f>IF(TRIM(Github!D$1854)="TRUE","FALSE","TRUE")</f>
        <v>FALSE</v>
      </c>
      <c r="K2158" s="17" t="b">
        <f>Github!M$1854</f>
        <v>0</v>
      </c>
      <c r="L2158" s="17" t="b">
        <f>Github!N$1854</f>
        <v>0</v>
      </c>
      <c r="M2158" s="17" t="str">
        <f>ROUND(Github!O$1854, 2)&amp;"%"</f>
        <v>87.59%</v>
      </c>
      <c r="N2158" s="17">
        <f>Github!P$1854</f>
        <v>6047</v>
      </c>
      <c r="O2158" s="17">
        <f>Github!Q$1854</f>
        <v>6904</v>
      </c>
    </row>
    <row r="2159" ht="18.0" customHeight="1">
      <c r="A2159" s="17">
        <f>Github!J$2067</f>
        <v>2066</v>
      </c>
      <c r="B2159" s="27" t="str">
        <f>HYPERLINK(CONCAT("http://leetcode.com/problems/",Github!C$2067), Github!B$2067)</f>
        <v>Account Balance</v>
      </c>
      <c r="C2159" s="17">
        <f>Github!F$2067</f>
        <v>25</v>
      </c>
      <c r="D2159" s="17">
        <f>Github!G$2067</f>
        <v>1</v>
      </c>
      <c r="E2159" s="17">
        <f>Github!F$2067+Github!G$2067</f>
        <v>26</v>
      </c>
      <c r="F2159" s="18">
        <f t="shared" si="1"/>
        <v>25</v>
      </c>
      <c r="G2159" s="17" t="str">
        <f>Github!H$2067</f>
        <v>Database</v>
      </c>
      <c r="H2159" s="19" t="str">
        <f>SUBSTITUTE(Github!L$2067, ";", ", ")</f>
        <v>Database, </v>
      </c>
      <c r="I2159" s="17" t="str">
        <f>Github!E$2067</f>
        <v>Medium</v>
      </c>
      <c r="J2159" s="17" t="str">
        <f>IF(TRIM(Github!D$2067)="TRUE","FALSE","TRUE")</f>
        <v>FALSE</v>
      </c>
      <c r="K2159" s="17" t="b">
        <f>Github!M$2067</f>
        <v>0</v>
      </c>
      <c r="L2159" s="17" t="b">
        <f>Github!N$2067</f>
        <v>0</v>
      </c>
      <c r="M2159" s="17" t="str">
        <f>ROUND(Github!O$2067, 2)&amp;"%"</f>
        <v>85.1%</v>
      </c>
      <c r="N2159" s="17">
        <f>Github!P$2067</f>
        <v>2474</v>
      </c>
      <c r="O2159" s="17">
        <f>Github!Q$2067</f>
        <v>2907</v>
      </c>
    </row>
    <row r="2160" ht="18.0" customHeight="1">
      <c r="A2160" s="17">
        <f>Github!J$752</f>
        <v>751</v>
      </c>
      <c r="B2160" s="27" t="str">
        <f>HYPERLINK(CONCAT("http://leetcode.com/problems/",Github!C$752), Github!B$752)</f>
        <v>IP to CIDR</v>
      </c>
      <c r="C2160" s="17">
        <f>Github!F$752</f>
        <v>24</v>
      </c>
      <c r="D2160" s="17">
        <f>Github!G$752</f>
        <v>69</v>
      </c>
      <c r="E2160" s="17">
        <f>Github!F$752+Github!G$752</f>
        <v>93</v>
      </c>
      <c r="F2160" s="18">
        <f t="shared" si="1"/>
        <v>0.35</v>
      </c>
      <c r="G2160" s="17" t="str">
        <f>Github!H$752</f>
        <v>Algorithms</v>
      </c>
      <c r="H2160" s="19" t="str">
        <f>SUBSTITUTE(Github!L$752, ";", ", ")</f>
        <v>String, Bit Manipulation, </v>
      </c>
      <c r="I2160" s="17" t="str">
        <f>Github!E$752</f>
        <v>Medium</v>
      </c>
      <c r="J2160" s="17" t="str">
        <f>IF(TRIM(Github!D$752)="TRUE","FALSE","TRUE")</f>
        <v>FALSE</v>
      </c>
      <c r="K2160" s="17" t="b">
        <f>Github!M$752</f>
        <v>0</v>
      </c>
      <c r="L2160" s="17" t="b">
        <f>Github!N$752</f>
        <v>0</v>
      </c>
      <c r="M2160" s="17" t="str">
        <f>ROUND(Github!O$752, 2)&amp;"%"</f>
        <v>55.15%</v>
      </c>
      <c r="N2160" s="17">
        <f>Github!P$752</f>
        <v>13556</v>
      </c>
      <c r="O2160" s="17">
        <f>Github!Q$752</f>
        <v>24581</v>
      </c>
    </row>
    <row r="2161" ht="18.0" customHeight="1">
      <c r="A2161" s="17">
        <f>Github!J$1909</f>
        <v>1908</v>
      </c>
      <c r="B2161" s="27" t="str">
        <f>HYPERLINK(CONCAT("http://leetcode.com/problems/",Github!C$1909), Github!B$1909)</f>
        <v>Game of Nim</v>
      </c>
      <c r="C2161" s="17">
        <f>Github!F$1909</f>
        <v>24</v>
      </c>
      <c r="D2161" s="17">
        <f>Github!G$1909</f>
        <v>12</v>
      </c>
      <c r="E2161" s="17">
        <f>Github!F$1909+Github!G$1909</f>
        <v>36</v>
      </c>
      <c r="F2161" s="18">
        <f t="shared" si="1"/>
        <v>2</v>
      </c>
      <c r="G2161" s="17" t="str">
        <f>Github!H$1909</f>
        <v>Algorithms</v>
      </c>
      <c r="H2161" s="19" t="str">
        <f>SUBSTITUTE(Github!L$1909, ";", ", ")</f>
        <v>Array, Math, Dynamic Programming, Bit Manipulation, Brainteaser, Game Theory, </v>
      </c>
      <c r="I2161" s="17" t="str">
        <f>Github!E$1909</f>
        <v>Medium</v>
      </c>
      <c r="J2161" s="17" t="str">
        <f>IF(TRIM(Github!D$1909)="TRUE","FALSE","TRUE")</f>
        <v>FALSE</v>
      </c>
      <c r="K2161" s="17" t="b">
        <f>Github!M$1909</f>
        <v>0</v>
      </c>
      <c r="L2161" s="17" t="b">
        <f>Github!N$1909</f>
        <v>0</v>
      </c>
      <c r="M2161" s="17" t="str">
        <f>ROUND(Github!O$1909, 2)&amp;"%"</f>
        <v>58.17%</v>
      </c>
      <c r="N2161" s="17">
        <f>Github!P$1909</f>
        <v>879</v>
      </c>
      <c r="O2161" s="17">
        <f>Github!Q$1909</f>
        <v>1511</v>
      </c>
    </row>
    <row r="2162" ht="18.0" customHeight="1">
      <c r="A2162" s="17">
        <f>Github!J$1940</f>
        <v>1939</v>
      </c>
      <c r="B2162" s="27" t="str">
        <f>HYPERLINK(CONCAT("http://leetcode.com/problems/",Github!C$1940), Github!B$1940)</f>
        <v>Users That Actively Request Confirmation Messages</v>
      </c>
      <c r="C2162" s="17">
        <f>Github!F$1940</f>
        <v>24</v>
      </c>
      <c r="D2162" s="17">
        <f>Github!G$1940</f>
        <v>19</v>
      </c>
      <c r="E2162" s="17">
        <f>Github!F$1940+Github!G$1940</f>
        <v>43</v>
      </c>
      <c r="F2162" s="18">
        <f t="shared" si="1"/>
        <v>1.26</v>
      </c>
      <c r="G2162" s="17" t="str">
        <f>Github!H$1940</f>
        <v>Database</v>
      </c>
      <c r="H2162" s="19" t="str">
        <f>SUBSTITUTE(Github!L$1940, ";", ", ")</f>
        <v>Database, </v>
      </c>
      <c r="I2162" s="17" t="str">
        <f>Github!E$1940</f>
        <v>Easy</v>
      </c>
      <c r="J2162" s="17" t="str">
        <f>IF(TRIM(Github!D$1940)="TRUE","FALSE","TRUE")</f>
        <v>FALSE</v>
      </c>
      <c r="K2162" s="17" t="b">
        <f>Github!M$1940</f>
        <v>0</v>
      </c>
      <c r="L2162" s="17" t="b">
        <f>Github!N$1940</f>
        <v>0</v>
      </c>
      <c r="M2162" s="17" t="str">
        <f>ROUND(Github!O$1940, 2)&amp;"%"</f>
        <v>61.66%</v>
      </c>
      <c r="N2162" s="17">
        <f>Github!P$1940</f>
        <v>4238</v>
      </c>
      <c r="O2162" s="17">
        <f>Github!Q$1940</f>
        <v>6873</v>
      </c>
    </row>
    <row r="2163" ht="18.0" customHeight="1">
      <c r="A2163" s="17">
        <f>Github!J$673</f>
        <v>672</v>
      </c>
      <c r="B2163" s="27" t="str">
        <f>HYPERLINK(CONCAT("http://leetcode.com/problems/",Github!C$673), Github!B$673)</f>
        <v>Bulb Switcher II</v>
      </c>
      <c r="C2163" s="17">
        <f>Github!F$673</f>
        <v>23</v>
      </c>
      <c r="D2163" s="17">
        <f>Github!G$673</f>
        <v>61</v>
      </c>
      <c r="E2163" s="17">
        <f>Github!F$673+Github!G$673</f>
        <v>84</v>
      </c>
      <c r="F2163" s="18">
        <f t="shared" si="1"/>
        <v>0.38</v>
      </c>
      <c r="G2163" s="17" t="str">
        <f>Github!H$673</f>
        <v>Algorithms</v>
      </c>
      <c r="H2163" s="19" t="str">
        <f>SUBSTITUTE(Github!L$673, ";", ", ")</f>
        <v>Math, Bit Manipulation, Depth-First Search, Breadth-First Search, </v>
      </c>
      <c r="I2163" s="17" t="str">
        <f>Github!E$673</f>
        <v>Medium</v>
      </c>
      <c r="J2163" s="17" t="str">
        <f>IF(TRIM(Github!D$673)="TRUE","FALSE","TRUE")</f>
        <v>TRUE</v>
      </c>
      <c r="K2163" s="17" t="b">
        <f>Github!M$673</f>
        <v>0</v>
      </c>
      <c r="L2163" s="17" t="b">
        <f>Github!N$673</f>
        <v>0</v>
      </c>
      <c r="M2163" s="17" t="str">
        <f>ROUND(Github!O$673, 2)&amp;"%"</f>
        <v>50.84%</v>
      </c>
      <c r="N2163" s="17">
        <f>Github!P$673</f>
        <v>16508</v>
      </c>
      <c r="O2163" s="17">
        <f>Github!Q$673</f>
        <v>32469</v>
      </c>
    </row>
    <row r="2164" ht="18.0" customHeight="1">
      <c r="A2164" s="17">
        <f>Github!J$1517</f>
        <v>1516</v>
      </c>
      <c r="B2164" s="27" t="str">
        <f>HYPERLINK(CONCAT("http://leetcode.com/problems/",Github!C$1517), Github!B$1517)</f>
        <v>Move Sub-Tree of N-Ary Tree</v>
      </c>
      <c r="C2164" s="17">
        <f>Github!F$1517</f>
        <v>23</v>
      </c>
      <c r="D2164" s="17">
        <f>Github!G$1517</f>
        <v>35</v>
      </c>
      <c r="E2164" s="17">
        <f>Github!F$1517+Github!G$1517</f>
        <v>58</v>
      </c>
      <c r="F2164" s="18">
        <f t="shared" si="1"/>
        <v>0.66</v>
      </c>
      <c r="G2164" s="17" t="str">
        <f>Github!H$1517</f>
        <v>Algorithms</v>
      </c>
      <c r="H2164" s="19" t="str">
        <f>SUBSTITUTE(Github!L$1517, ";", ", ")</f>
        <v>Tree, Depth-First Search, </v>
      </c>
      <c r="I2164" s="17" t="str">
        <f>Github!E$1517</f>
        <v>Hard</v>
      </c>
      <c r="J2164" s="17" t="str">
        <f>IF(TRIM(Github!D$1517)="TRUE","FALSE","TRUE")</f>
        <v>FALSE</v>
      </c>
      <c r="K2164" s="17" t="b">
        <f>Github!M$1517</f>
        <v>0</v>
      </c>
      <c r="L2164" s="17" t="b">
        <f>Github!N$1517</f>
        <v>0</v>
      </c>
      <c r="M2164" s="17" t="str">
        <f>ROUND(Github!O$1517, 2)&amp;"%"</f>
        <v>64.49%</v>
      </c>
      <c r="N2164" s="17">
        <f>Github!P$1517</f>
        <v>1618</v>
      </c>
      <c r="O2164" s="17">
        <f>Github!Q$1517</f>
        <v>2509</v>
      </c>
    </row>
    <row r="2165" ht="18.0" customHeight="1">
      <c r="A2165" s="17">
        <f>Github!J$1989</f>
        <v>1988</v>
      </c>
      <c r="B2165" s="27" t="str">
        <f>HYPERLINK(CONCAT("http://leetcode.com/problems/",Github!C$1989), Github!B$1989)</f>
        <v>Find Cutoff Score for Each School</v>
      </c>
      <c r="C2165" s="17">
        <f>Github!F$1989</f>
        <v>23</v>
      </c>
      <c r="D2165" s="17">
        <f>Github!G$1989</f>
        <v>50</v>
      </c>
      <c r="E2165" s="17">
        <f>Github!F$1989+Github!G$1989</f>
        <v>73</v>
      </c>
      <c r="F2165" s="18">
        <f t="shared" si="1"/>
        <v>0.46</v>
      </c>
      <c r="G2165" s="17" t="str">
        <f>Github!H$1989</f>
        <v>Database</v>
      </c>
      <c r="H2165" s="19" t="str">
        <f>SUBSTITUTE(Github!L$1989, ";", ", ")</f>
        <v>Database, </v>
      </c>
      <c r="I2165" s="17" t="str">
        <f>Github!E$1989</f>
        <v>Medium</v>
      </c>
      <c r="J2165" s="17" t="str">
        <f>IF(TRIM(Github!D$1989)="TRUE","FALSE","TRUE")</f>
        <v>FALSE</v>
      </c>
      <c r="K2165" s="17" t="b">
        <f>Github!M$1989</f>
        <v>0</v>
      </c>
      <c r="L2165" s="17" t="b">
        <f>Github!N$1989</f>
        <v>0</v>
      </c>
      <c r="M2165" s="17" t="str">
        <f>ROUND(Github!O$1989, 2)&amp;"%"</f>
        <v>69.1%</v>
      </c>
      <c r="N2165" s="17">
        <f>Github!P$1989</f>
        <v>2740</v>
      </c>
      <c r="O2165" s="17">
        <f>Github!Q$1989</f>
        <v>3963</v>
      </c>
    </row>
    <row r="2166" ht="18.0" customHeight="1">
      <c r="A2166" s="17">
        <f>Github!J$2099</f>
        <v>2098</v>
      </c>
      <c r="B2166" s="27" t="str">
        <f>HYPERLINK(CONCAT("http://leetcode.com/problems/",Github!C$2099), Github!B$2099)</f>
        <v>Subsequence of Size K With the Largest Even Sum</v>
      </c>
      <c r="C2166" s="17">
        <f>Github!F$2099</f>
        <v>24</v>
      </c>
      <c r="D2166" s="17">
        <f>Github!G$2099</f>
        <v>1</v>
      </c>
      <c r="E2166" s="17">
        <f>Github!F$2099+Github!G$2099</f>
        <v>25</v>
      </c>
      <c r="F2166" s="18">
        <f t="shared" si="1"/>
        <v>24</v>
      </c>
      <c r="G2166" s="17" t="str">
        <f>Github!H$2099</f>
        <v>Algorithms</v>
      </c>
      <c r="H2166" s="19" t="str">
        <f>SUBSTITUTE(Github!L$2099, ";", ", ")</f>
        <v>Array, Greedy, Sorting, </v>
      </c>
      <c r="I2166" s="17" t="str">
        <f>Github!E$2099</f>
        <v>Medium</v>
      </c>
      <c r="J2166" s="17" t="str">
        <f>IF(TRIM(Github!D$2099)="TRUE","FALSE","TRUE")</f>
        <v>FALSE</v>
      </c>
      <c r="K2166" s="17" t="b">
        <f>Github!M$2099</f>
        <v>0</v>
      </c>
      <c r="L2166" s="17" t="b">
        <f>Github!N$2099</f>
        <v>0</v>
      </c>
      <c r="M2166" s="17" t="str">
        <f>ROUND(Github!O$2099, 2)&amp;"%"</f>
        <v>40.56%</v>
      </c>
      <c r="N2166" s="17">
        <f>Github!P$2099</f>
        <v>947</v>
      </c>
      <c r="O2166" s="17">
        <f>Github!Q$2099</f>
        <v>2335</v>
      </c>
    </row>
    <row r="2167" ht="18.0" customHeight="1">
      <c r="A2167" s="17">
        <f>Github!J$1979</f>
        <v>1978</v>
      </c>
      <c r="B2167" s="27" t="str">
        <f>HYPERLINK(CONCAT("http://leetcode.com/problems/",Github!C$1979), Github!B$1979)</f>
        <v>Employees Whose Manager Left the Company</v>
      </c>
      <c r="C2167" s="17">
        <f>Github!F$1979</f>
        <v>22</v>
      </c>
      <c r="D2167" s="17">
        <f>Github!G$1979</f>
        <v>4</v>
      </c>
      <c r="E2167" s="17">
        <f>Github!F$1979+Github!G$1979</f>
        <v>26</v>
      </c>
      <c r="F2167" s="18">
        <f t="shared" si="1"/>
        <v>5.5</v>
      </c>
      <c r="G2167" s="17" t="str">
        <f>Github!H$1979</f>
        <v>Database</v>
      </c>
      <c r="H2167" s="19" t="str">
        <f>SUBSTITUTE(Github!L$1979, ";", ", ")</f>
        <v>Database, </v>
      </c>
      <c r="I2167" s="17" t="str">
        <f>Github!E$1979</f>
        <v>Easy</v>
      </c>
      <c r="J2167" s="17" t="str">
        <f>IF(TRIM(Github!D$1979)="TRUE","FALSE","TRUE")</f>
        <v>FALSE</v>
      </c>
      <c r="K2167" s="17" t="b">
        <f>Github!M$1979</f>
        <v>0</v>
      </c>
      <c r="L2167" s="17" t="b">
        <f>Github!N$1979</f>
        <v>0</v>
      </c>
      <c r="M2167" s="17" t="str">
        <f>ROUND(Github!O$1979, 2)&amp;"%"</f>
        <v>49.79%</v>
      </c>
      <c r="N2167" s="17">
        <f>Github!P$1979</f>
        <v>4082</v>
      </c>
      <c r="O2167" s="17">
        <f>Github!Q$1979</f>
        <v>8199</v>
      </c>
    </row>
    <row r="2168" ht="18.0" customHeight="1">
      <c r="A2168" s="17">
        <f>Github!J$2085</f>
        <v>2084</v>
      </c>
      <c r="B2168" s="27" t="str">
        <f>HYPERLINK(CONCAT("http://leetcode.com/problems/",Github!C$2085), Github!B$2085)</f>
        <v>Drop Type 1 Orders for Customers With Type 0 Orders</v>
      </c>
      <c r="C2168" s="17">
        <f>Github!F$2085</f>
        <v>22</v>
      </c>
      <c r="D2168" s="17">
        <f>Github!G$2085</f>
        <v>4</v>
      </c>
      <c r="E2168" s="17">
        <f>Github!F$2085+Github!G$2085</f>
        <v>26</v>
      </c>
      <c r="F2168" s="18">
        <f t="shared" si="1"/>
        <v>5.5</v>
      </c>
      <c r="G2168" s="17" t="str">
        <f>Github!H$2085</f>
        <v>Database</v>
      </c>
      <c r="H2168" s="19" t="str">
        <f>SUBSTITUTE(Github!L$2085, ";", ", ")</f>
        <v>Database, </v>
      </c>
      <c r="I2168" s="17" t="str">
        <f>Github!E$2085</f>
        <v>Medium</v>
      </c>
      <c r="J2168" s="17" t="str">
        <f>IF(TRIM(Github!D$2085)="TRUE","FALSE","TRUE")</f>
        <v>FALSE</v>
      </c>
      <c r="K2168" s="17" t="b">
        <f>Github!M$2085</f>
        <v>0</v>
      </c>
      <c r="L2168" s="17" t="b">
        <f>Github!N$2085</f>
        <v>0</v>
      </c>
      <c r="M2168" s="17" t="str">
        <f>ROUND(Github!O$2085, 2)&amp;"%"</f>
        <v>90.78%</v>
      </c>
      <c r="N2168" s="17">
        <f>Github!P$2085</f>
        <v>2411</v>
      </c>
      <c r="O2168" s="17">
        <f>Github!Q$2085</f>
        <v>2656</v>
      </c>
    </row>
    <row r="2169" ht="18.0" customHeight="1">
      <c r="A2169" s="17">
        <f>Github!J$2143</f>
        <v>2142</v>
      </c>
      <c r="B2169" s="27" t="str">
        <f>HYPERLINK(CONCAT("http://leetcode.com/problems/",Github!C$2143), Github!B$2143)</f>
        <v>The Number of Passengers in Each Bus I</v>
      </c>
      <c r="C2169" s="17">
        <f>Github!F$2143</f>
        <v>22</v>
      </c>
      <c r="D2169" s="17">
        <f>Github!G$2143</f>
        <v>3</v>
      </c>
      <c r="E2169" s="17">
        <f>Github!F$2143+Github!G$2143</f>
        <v>25</v>
      </c>
      <c r="F2169" s="18">
        <f t="shared" si="1"/>
        <v>7.33</v>
      </c>
      <c r="G2169" s="17" t="str">
        <f>Github!H$2143</f>
        <v>Database</v>
      </c>
      <c r="H2169" s="19" t="str">
        <f>SUBSTITUTE(Github!L$2143, ";", ", ")</f>
        <v>Database, </v>
      </c>
      <c r="I2169" s="17" t="str">
        <f>Github!E$2143</f>
        <v>Medium</v>
      </c>
      <c r="J2169" s="17" t="str">
        <f>IF(TRIM(Github!D$2143)="TRUE","FALSE","TRUE")</f>
        <v>FALSE</v>
      </c>
      <c r="K2169" s="17" t="b">
        <f>Github!M$2143</f>
        <v>0</v>
      </c>
      <c r="L2169" s="17" t="b">
        <f>Github!N$2143</f>
        <v>0</v>
      </c>
      <c r="M2169" s="17" t="str">
        <f>ROUND(Github!O$2143, 2)&amp;"%"</f>
        <v>50.79%</v>
      </c>
      <c r="N2169" s="17">
        <f>Github!P$2143</f>
        <v>1150</v>
      </c>
      <c r="O2169" s="17">
        <f>Github!Q$2143</f>
        <v>2265</v>
      </c>
    </row>
    <row r="2170" ht="18.0" customHeight="1">
      <c r="A2170" s="17">
        <f>Github!J$2185</f>
        <v>2184</v>
      </c>
      <c r="B2170" s="27" t="str">
        <f>HYPERLINK(CONCAT("http://leetcode.com/problems/",Github!C$2185), Github!B$2185)</f>
        <v>Number of Ways to Build Sturdy Brick Wall</v>
      </c>
      <c r="C2170" s="17">
        <f>Github!F$2185</f>
        <v>22</v>
      </c>
      <c r="D2170" s="17">
        <f>Github!G$2185</f>
        <v>5</v>
      </c>
      <c r="E2170" s="17">
        <f>Github!F$2185+Github!G$2185</f>
        <v>27</v>
      </c>
      <c r="F2170" s="18">
        <f t="shared" si="1"/>
        <v>4.4</v>
      </c>
      <c r="G2170" s="17" t="str">
        <f>Github!H$2185</f>
        <v>Algorithms</v>
      </c>
      <c r="H2170" s="19" t="str">
        <f>SUBSTITUTE(Github!L$2185, ";", ", ")</f>
        <v>Array, Dynamic Programming, Bit Manipulation, Bitmask, </v>
      </c>
      <c r="I2170" s="17" t="str">
        <f>Github!E$2185</f>
        <v>Medium</v>
      </c>
      <c r="J2170" s="17" t="str">
        <f>IF(TRIM(Github!D$2185)="TRUE","FALSE","TRUE")</f>
        <v>FALSE</v>
      </c>
      <c r="K2170" s="17" t="b">
        <f>Github!M$2185</f>
        <v>0</v>
      </c>
      <c r="L2170" s="17" t="b">
        <f>Github!N$2185</f>
        <v>0</v>
      </c>
      <c r="M2170" s="17" t="str">
        <f>ROUND(Github!O$2185, 2)&amp;"%"</f>
        <v>64.92%</v>
      </c>
      <c r="N2170" s="17">
        <f>Github!P$2185</f>
        <v>520</v>
      </c>
      <c r="O2170" s="17">
        <f>Github!Q$2185</f>
        <v>801</v>
      </c>
    </row>
    <row r="2171" ht="18.0" customHeight="1">
      <c r="A2171" s="17">
        <f>Github!J$1822</f>
        <v>1821</v>
      </c>
      <c r="B2171" s="27" t="str">
        <f>HYPERLINK(CONCAT("http://leetcode.com/problems/",Github!C$1822), Github!B$1822)</f>
        <v>Find Customers With Positive Revenue this Year</v>
      </c>
      <c r="C2171" s="17">
        <f>Github!F$1822</f>
        <v>21</v>
      </c>
      <c r="D2171" s="17">
        <f>Github!G$1822</f>
        <v>14</v>
      </c>
      <c r="E2171" s="17">
        <f>Github!F$1822+Github!G$1822</f>
        <v>35</v>
      </c>
      <c r="F2171" s="18">
        <f t="shared" si="1"/>
        <v>1.5</v>
      </c>
      <c r="G2171" s="17" t="str">
        <f>Github!H$1822</f>
        <v>Database</v>
      </c>
      <c r="H2171" s="19" t="str">
        <f>SUBSTITUTE(Github!L$1822, ";", ", ")</f>
        <v>Database, </v>
      </c>
      <c r="I2171" s="17" t="str">
        <f>Github!E$1822</f>
        <v>Easy</v>
      </c>
      <c r="J2171" s="17" t="str">
        <f>IF(TRIM(Github!D$1822)="TRUE","FALSE","TRUE")</f>
        <v>FALSE</v>
      </c>
      <c r="K2171" s="17" t="b">
        <f>Github!M$1822</f>
        <v>0</v>
      </c>
      <c r="L2171" s="17" t="b">
        <f>Github!N$1822</f>
        <v>0</v>
      </c>
      <c r="M2171" s="17" t="str">
        <f>ROUND(Github!O$1822, 2)&amp;"%"</f>
        <v>89.76%</v>
      </c>
      <c r="N2171" s="17">
        <f>Github!P$1822</f>
        <v>8854</v>
      </c>
      <c r="O2171" s="17">
        <f>Github!Q$1822</f>
        <v>9864</v>
      </c>
    </row>
    <row r="2172" ht="18.0" customHeight="1">
      <c r="A2172" s="17">
        <f>Github!J$2053</f>
        <v>2052</v>
      </c>
      <c r="B2172" s="27" t="str">
        <f>HYPERLINK(CONCAT("http://leetcode.com/problems/",Github!C$2053), Github!B$2053)</f>
        <v>Minimum Cost to Separate Sentence Into Rows</v>
      </c>
      <c r="C2172" s="17">
        <f>Github!F$2053</f>
        <v>21</v>
      </c>
      <c r="D2172" s="17">
        <f>Github!G$2053</f>
        <v>8</v>
      </c>
      <c r="E2172" s="17">
        <f>Github!F$2053+Github!G$2053</f>
        <v>29</v>
      </c>
      <c r="F2172" s="18">
        <f t="shared" si="1"/>
        <v>2.63</v>
      </c>
      <c r="G2172" s="17" t="str">
        <f>Github!H$2053</f>
        <v>Algorithms</v>
      </c>
      <c r="H2172" s="19" t="str">
        <f>SUBSTITUTE(Github!L$2053, ";", ", ")</f>
        <v>Array, Dynamic Programming, </v>
      </c>
      <c r="I2172" s="17" t="str">
        <f>Github!E$2053</f>
        <v>Medium</v>
      </c>
      <c r="J2172" s="17" t="str">
        <f>IF(TRIM(Github!D$2053)="TRUE","FALSE","TRUE")</f>
        <v>FALSE</v>
      </c>
      <c r="K2172" s="17" t="b">
        <f>Github!M$2053</f>
        <v>0</v>
      </c>
      <c r="L2172" s="17" t="b">
        <f>Github!N$2053</f>
        <v>0</v>
      </c>
      <c r="M2172" s="17" t="str">
        <f>ROUND(Github!O$2053, 2)&amp;"%"</f>
        <v>53.52%</v>
      </c>
      <c r="N2172" s="17">
        <f>Github!P$2053</f>
        <v>844</v>
      </c>
      <c r="O2172" s="17">
        <f>Github!Q$2053</f>
        <v>1577</v>
      </c>
    </row>
    <row r="2173" ht="18.0" customHeight="1">
      <c r="A2173" s="17">
        <f>Github!J$2073</f>
        <v>2072</v>
      </c>
      <c r="B2173" s="27" t="str">
        <f>HYPERLINK(CONCAT("http://leetcode.com/problems/",Github!C$2073), Github!B$2073)</f>
        <v>The Winner University</v>
      </c>
      <c r="C2173" s="17">
        <f>Github!F$2073</f>
        <v>20</v>
      </c>
      <c r="D2173" s="17">
        <f>Github!G$2073</f>
        <v>2</v>
      </c>
      <c r="E2173" s="17">
        <f>Github!F$2073+Github!G$2073</f>
        <v>22</v>
      </c>
      <c r="F2173" s="18">
        <f t="shared" si="1"/>
        <v>10</v>
      </c>
      <c r="G2173" s="17" t="str">
        <f>Github!H$2073</f>
        <v>Database</v>
      </c>
      <c r="H2173" s="19" t="str">
        <f>SUBSTITUTE(Github!L$2073, ";", ", ")</f>
        <v>Database, </v>
      </c>
      <c r="I2173" s="17" t="str">
        <f>Github!E$2073</f>
        <v>Easy</v>
      </c>
      <c r="J2173" s="17" t="str">
        <f>IF(TRIM(Github!D$2073)="TRUE","FALSE","TRUE")</f>
        <v>FALSE</v>
      </c>
      <c r="K2173" s="17" t="b">
        <f>Github!M$2073</f>
        <v>0</v>
      </c>
      <c r="L2173" s="17" t="b">
        <f>Github!N$2073</f>
        <v>0</v>
      </c>
      <c r="M2173" s="17" t="str">
        <f>ROUND(Github!O$2073, 2)&amp;"%"</f>
        <v>72.89%</v>
      </c>
      <c r="N2173" s="17">
        <f>Github!P$2073</f>
        <v>2957</v>
      </c>
      <c r="O2173" s="17">
        <f>Github!Q$2073</f>
        <v>4057</v>
      </c>
    </row>
    <row r="2174" ht="18.0" customHeight="1">
      <c r="A2174" s="17">
        <f>Github!J$2124</f>
        <v>2123</v>
      </c>
      <c r="B2174" s="27" t="str">
        <f>HYPERLINK(CONCAT("http://leetcode.com/problems/",Github!C$2124), Github!B$2124)</f>
        <v>Minimum Operations to Remove Adjacent Ones in Matrix</v>
      </c>
      <c r="C2174" s="17">
        <f>Github!F$2124</f>
        <v>20</v>
      </c>
      <c r="D2174" s="17">
        <f>Github!G$2124</f>
        <v>4</v>
      </c>
      <c r="E2174" s="17">
        <f>Github!F$2124+Github!G$2124</f>
        <v>24</v>
      </c>
      <c r="F2174" s="18">
        <f t="shared" si="1"/>
        <v>5</v>
      </c>
      <c r="G2174" s="17" t="str">
        <f>Github!H$2124</f>
        <v>Algorithms</v>
      </c>
      <c r="H2174" s="19" t="str">
        <f>SUBSTITUTE(Github!L$2124, ";", ", ")</f>
        <v>Array, Graph, Matrix, </v>
      </c>
      <c r="I2174" s="17" t="str">
        <f>Github!E$2124</f>
        <v>Hard</v>
      </c>
      <c r="J2174" s="17" t="str">
        <f>IF(TRIM(Github!D$2124)="TRUE","FALSE","TRUE")</f>
        <v>FALSE</v>
      </c>
      <c r="K2174" s="17" t="b">
        <f>Github!M$2124</f>
        <v>0</v>
      </c>
      <c r="L2174" s="17" t="b">
        <f>Github!N$2124</f>
        <v>0</v>
      </c>
      <c r="M2174" s="17" t="str">
        <f>ROUND(Github!O$2124, 2)&amp;"%"</f>
        <v>41.86%</v>
      </c>
      <c r="N2174" s="17">
        <f>Github!P$2124</f>
        <v>391</v>
      </c>
      <c r="O2174" s="17">
        <f>Github!Q$2124</f>
        <v>934</v>
      </c>
    </row>
    <row r="2175" ht="18.0" customHeight="1">
      <c r="A2175" s="17">
        <f>Github!J$2153</f>
        <v>2152</v>
      </c>
      <c r="B2175" s="27" t="str">
        <f>HYPERLINK(CONCAT("http://leetcode.com/problems/",Github!C$2153), Github!B$2153)</f>
        <v>Minimum Number of Lines to Cover Points</v>
      </c>
      <c r="C2175" s="17">
        <f>Github!F$2153</f>
        <v>20</v>
      </c>
      <c r="D2175" s="17">
        <f>Github!G$2153</f>
        <v>5</v>
      </c>
      <c r="E2175" s="17">
        <f>Github!F$2153+Github!G$2153</f>
        <v>25</v>
      </c>
      <c r="F2175" s="18">
        <f t="shared" si="1"/>
        <v>4</v>
      </c>
      <c r="G2175" s="17" t="str">
        <f>Github!H$2153</f>
        <v>Algorithms</v>
      </c>
      <c r="H2175" s="19" t="str">
        <f>SUBSTITUTE(Github!L$2153, ";", ", ")</f>
        <v>Array, Hash Table, Math, Dynamic Programming, Backtracking, Bit Manipulation, Geometry, Bitmask, </v>
      </c>
      <c r="I2175" s="17" t="str">
        <f>Github!E$2153</f>
        <v>Medium</v>
      </c>
      <c r="J2175" s="17" t="str">
        <f>IF(TRIM(Github!D$2153)="TRUE","FALSE","TRUE")</f>
        <v>FALSE</v>
      </c>
      <c r="K2175" s="17" t="b">
        <f>Github!M$2153</f>
        <v>0</v>
      </c>
      <c r="L2175" s="17" t="b">
        <f>Github!N$2153</f>
        <v>0</v>
      </c>
      <c r="M2175" s="17" t="str">
        <f>ROUND(Github!O$2153, 2)&amp;"%"</f>
        <v>46.14%</v>
      </c>
      <c r="N2175" s="17">
        <f>Github!P$2153</f>
        <v>615</v>
      </c>
      <c r="O2175" s="17">
        <f>Github!Q$2153</f>
        <v>1333</v>
      </c>
    </row>
    <row r="2176" ht="18.0" customHeight="1">
      <c r="A2176" s="17">
        <f>Github!J$2169</f>
        <v>2168</v>
      </c>
      <c r="B2176" s="27" t="str">
        <f>HYPERLINK(CONCAT("http://leetcode.com/problems/",Github!C$2169), Github!B$2169)</f>
        <v>Unique Substrings With Equal Digit Frequency</v>
      </c>
      <c r="C2176" s="17">
        <f>Github!F$2169</f>
        <v>20</v>
      </c>
      <c r="D2176" s="17">
        <f>Github!G$2169</f>
        <v>3</v>
      </c>
      <c r="E2176" s="17">
        <f>Github!F$2169+Github!G$2169</f>
        <v>23</v>
      </c>
      <c r="F2176" s="18">
        <f t="shared" si="1"/>
        <v>6.67</v>
      </c>
      <c r="G2176" s="17" t="str">
        <f>Github!H$2169</f>
        <v>Algorithms</v>
      </c>
      <c r="H2176" s="19" t="str">
        <f>SUBSTITUTE(Github!L$2169, ";", ", ")</f>
        <v>Hash Table, String, Rolling Hash, Counting, Hash Function, </v>
      </c>
      <c r="I2176" s="17" t="str">
        <f>Github!E$2169</f>
        <v>Medium</v>
      </c>
      <c r="J2176" s="17" t="str">
        <f>IF(TRIM(Github!D$2169)="TRUE","FALSE","TRUE")</f>
        <v>FALSE</v>
      </c>
      <c r="K2176" s="17" t="b">
        <f>Github!M$2169</f>
        <v>0</v>
      </c>
      <c r="L2176" s="17" t="b">
        <f>Github!N$2169</f>
        <v>0</v>
      </c>
      <c r="M2176" s="17" t="str">
        <f>ROUND(Github!O$2169, 2)&amp;"%"</f>
        <v>58.02%</v>
      </c>
      <c r="N2176" s="17">
        <f>Github!P$2169</f>
        <v>611</v>
      </c>
      <c r="O2176" s="17">
        <f>Github!Q$2169</f>
        <v>1053</v>
      </c>
    </row>
    <row r="2177" ht="18.0" customHeight="1">
      <c r="A2177" s="17">
        <f>Github!J$2175</f>
        <v>2174</v>
      </c>
      <c r="B2177" s="27" t="str">
        <f>HYPERLINK(CONCAT("http://leetcode.com/problems/",Github!C$2175), Github!B$2175)</f>
        <v>Remove All Ones With Row and Column Flips II</v>
      </c>
      <c r="C2177" s="17">
        <f>Github!F$2175</f>
        <v>19</v>
      </c>
      <c r="D2177" s="17">
        <f>Github!G$2175</f>
        <v>1</v>
      </c>
      <c r="E2177" s="17">
        <f>Github!F$2175+Github!G$2175</f>
        <v>20</v>
      </c>
      <c r="F2177" s="18">
        <f t="shared" si="1"/>
        <v>19</v>
      </c>
      <c r="G2177" s="17" t="str">
        <f>Github!H$2175</f>
        <v>Algorithms</v>
      </c>
      <c r="H2177" s="19" t="str">
        <f>SUBSTITUTE(Github!L$2175, ";", ", ")</f>
        <v>Array, Bit Manipulation, Breadth-First Search, Matrix, </v>
      </c>
      <c r="I2177" s="17" t="str">
        <f>Github!E$2175</f>
        <v>Medium</v>
      </c>
      <c r="J2177" s="17" t="str">
        <f>IF(TRIM(Github!D$2175)="TRUE","FALSE","TRUE")</f>
        <v>FALSE</v>
      </c>
      <c r="K2177" s="17" t="b">
        <f>Github!M$2175</f>
        <v>0</v>
      </c>
      <c r="L2177" s="17" t="b">
        <f>Github!N$2175</f>
        <v>0</v>
      </c>
      <c r="M2177" s="17" t="str">
        <f>ROUND(Github!O$2175, 2)&amp;"%"</f>
        <v>68.27%</v>
      </c>
      <c r="N2177" s="17">
        <f>Github!P$2175</f>
        <v>510</v>
      </c>
      <c r="O2177" s="17">
        <f>Github!Q$2175</f>
        <v>747</v>
      </c>
    </row>
    <row r="2178" ht="18.0" customHeight="1">
      <c r="A2178" s="17">
        <f>Github!J$2000</f>
        <v>1999</v>
      </c>
      <c r="B2178" s="27" t="str">
        <f>HYPERLINK(CONCAT("http://leetcode.com/problems/",Github!C$2000), Github!B$2000)</f>
        <v>Smallest Greater Multiple Made of Two Digits</v>
      </c>
      <c r="C2178" s="17">
        <f>Github!F$2000</f>
        <v>18</v>
      </c>
      <c r="D2178" s="17">
        <f>Github!G$2000</f>
        <v>3</v>
      </c>
      <c r="E2178" s="17">
        <f>Github!F$2000+Github!G$2000</f>
        <v>21</v>
      </c>
      <c r="F2178" s="18">
        <f t="shared" si="1"/>
        <v>6</v>
      </c>
      <c r="G2178" s="17" t="str">
        <f>Github!H$2000</f>
        <v>Algorithms</v>
      </c>
      <c r="H2178" s="19" t="str">
        <f>SUBSTITUTE(Github!L$2000, ";", ", ")</f>
        <v>Math, Enumeration, </v>
      </c>
      <c r="I2178" s="17" t="str">
        <f>Github!E$2000</f>
        <v>Medium</v>
      </c>
      <c r="J2178" s="17" t="str">
        <f>IF(TRIM(Github!D$2000)="TRUE","FALSE","TRUE")</f>
        <v>FALSE</v>
      </c>
      <c r="K2178" s="17" t="b">
        <f>Github!M$2000</f>
        <v>0</v>
      </c>
      <c r="L2178" s="17" t="b">
        <f>Github!N$2000</f>
        <v>0</v>
      </c>
      <c r="M2178" s="17" t="str">
        <f>ROUND(Github!O$2000, 2)&amp;"%"</f>
        <v>52.28%</v>
      </c>
      <c r="N2178" s="17">
        <f>Github!P$2000</f>
        <v>815</v>
      </c>
      <c r="O2178" s="17">
        <f>Github!Q$2000</f>
        <v>1559</v>
      </c>
    </row>
    <row r="2179" ht="18.0" customHeight="1">
      <c r="A2179" s="17">
        <f>Github!J$1678</f>
        <v>1677</v>
      </c>
      <c r="B2179" s="27" t="str">
        <f>HYPERLINK(CONCAT("http://leetcode.com/problems/",Github!C$1678), Github!B$1678)</f>
        <v>Product's Worth Over Invoices</v>
      </c>
      <c r="C2179" s="17">
        <f>Github!F$1678</f>
        <v>17</v>
      </c>
      <c r="D2179" s="17">
        <f>Github!G$1678</f>
        <v>81</v>
      </c>
      <c r="E2179" s="17">
        <f>Github!F$1678+Github!G$1678</f>
        <v>98</v>
      </c>
      <c r="F2179" s="18">
        <f t="shared" si="1"/>
        <v>0.21</v>
      </c>
      <c r="G2179" s="17" t="str">
        <f>Github!H$1678</f>
        <v>Database</v>
      </c>
      <c r="H2179" s="19" t="str">
        <f>SUBSTITUTE(Github!L$1678, ";", ", ")</f>
        <v>Database, </v>
      </c>
      <c r="I2179" s="17" t="str">
        <f>Github!E$1678</f>
        <v>Easy</v>
      </c>
      <c r="J2179" s="17" t="str">
        <f>IF(TRIM(Github!D$1678)="TRUE","FALSE","TRUE")</f>
        <v>FALSE</v>
      </c>
      <c r="K2179" s="17" t="b">
        <f>Github!M$1678</f>
        <v>0</v>
      </c>
      <c r="L2179" s="17" t="b">
        <f>Github!N$1678</f>
        <v>0</v>
      </c>
      <c r="M2179" s="17" t="str">
        <f>ROUND(Github!O$1678, 2)&amp;"%"</f>
        <v>41.24%</v>
      </c>
      <c r="N2179" s="17">
        <f>Github!P$1678</f>
        <v>9547</v>
      </c>
      <c r="O2179" s="17">
        <f>Github!Q$1678</f>
        <v>23148</v>
      </c>
    </row>
    <row r="2180" ht="18.0" customHeight="1">
      <c r="A2180" s="17">
        <f>Github!J$1715</f>
        <v>1714</v>
      </c>
      <c r="B2180" s="27" t="str">
        <f>HYPERLINK(CONCAT("http://leetcode.com/problems/",Github!C$1715), Github!B$1715)</f>
        <v>Sum Of Special Evenly-Spaced Elements In Array</v>
      </c>
      <c r="C2180" s="17">
        <f>Github!F$1715</f>
        <v>17</v>
      </c>
      <c r="D2180" s="17">
        <f>Github!G$1715</f>
        <v>16</v>
      </c>
      <c r="E2180" s="17">
        <f>Github!F$1715+Github!G$1715</f>
        <v>33</v>
      </c>
      <c r="F2180" s="18">
        <f t="shared" si="1"/>
        <v>1.06</v>
      </c>
      <c r="G2180" s="17" t="str">
        <f>Github!H$1715</f>
        <v>Algorithms</v>
      </c>
      <c r="H2180" s="19" t="str">
        <f>SUBSTITUTE(Github!L$1715, ";", ", ")</f>
        <v>Array, Dynamic Programming, </v>
      </c>
      <c r="I2180" s="17" t="str">
        <f>Github!E$1715</f>
        <v>Hard</v>
      </c>
      <c r="J2180" s="17" t="str">
        <f>IF(TRIM(Github!D$1715)="TRUE","FALSE","TRUE")</f>
        <v>FALSE</v>
      </c>
      <c r="K2180" s="17" t="b">
        <f>Github!M$1715</f>
        <v>0</v>
      </c>
      <c r="L2180" s="17" t="b">
        <f>Github!N$1715</f>
        <v>0</v>
      </c>
      <c r="M2180" s="17" t="str">
        <f>ROUND(Github!O$1715, 2)&amp;"%"</f>
        <v>52.09%</v>
      </c>
      <c r="N2180" s="17">
        <f>Github!P$1715</f>
        <v>946</v>
      </c>
      <c r="O2180" s="17">
        <f>Github!Q$1715</f>
        <v>1816</v>
      </c>
    </row>
    <row r="2181" ht="18.0" customHeight="1">
      <c r="A2181" s="17">
        <f>Github!J$2052</f>
        <v>2051</v>
      </c>
      <c r="B2181" s="27" t="str">
        <f>HYPERLINK(CONCAT("http://leetcode.com/problems/",Github!C$2052), Github!B$2052)</f>
        <v>The Category of Each Member in the Store</v>
      </c>
      <c r="C2181" s="17">
        <f>Github!F$2052</f>
        <v>17</v>
      </c>
      <c r="D2181" s="17">
        <f>Github!G$2052</f>
        <v>4</v>
      </c>
      <c r="E2181" s="17">
        <f>Github!F$2052+Github!G$2052</f>
        <v>21</v>
      </c>
      <c r="F2181" s="18">
        <f t="shared" si="1"/>
        <v>4.25</v>
      </c>
      <c r="G2181" s="17" t="str">
        <f>Github!H$2052</f>
        <v>Database</v>
      </c>
      <c r="H2181" s="19" t="str">
        <f>SUBSTITUTE(Github!L$2052, ";", ", ")</f>
        <v>Database, </v>
      </c>
      <c r="I2181" s="17" t="str">
        <f>Github!E$2052</f>
        <v>Medium</v>
      </c>
      <c r="J2181" s="17" t="str">
        <f>IF(TRIM(Github!D$2052)="TRUE","FALSE","TRUE")</f>
        <v>FALSE</v>
      </c>
      <c r="K2181" s="17" t="b">
        <f>Github!M$2052</f>
        <v>0</v>
      </c>
      <c r="L2181" s="17" t="b">
        <f>Github!N$2052</f>
        <v>0</v>
      </c>
      <c r="M2181" s="17" t="str">
        <f>ROUND(Github!O$2052, 2)&amp;"%"</f>
        <v>73.04%</v>
      </c>
      <c r="N2181" s="17">
        <f>Github!P$2052</f>
        <v>2147</v>
      </c>
      <c r="O2181" s="17">
        <f>Github!Q$2052</f>
        <v>2941</v>
      </c>
    </row>
    <row r="2182" ht="18.0" customHeight="1">
      <c r="A2182" s="17">
        <f>Github!J$1652</f>
        <v>1651</v>
      </c>
      <c r="B2182" s="27" t="str">
        <f>HYPERLINK(CONCAT("http://leetcode.com/problems/",Github!C$1652), Github!B$1652)</f>
        <v>Hopper Company Queries III</v>
      </c>
      <c r="C2182" s="17">
        <f>Github!F$1652</f>
        <v>16</v>
      </c>
      <c r="D2182" s="17">
        <f>Github!G$1652</f>
        <v>38</v>
      </c>
      <c r="E2182" s="17">
        <f>Github!F$1652+Github!G$1652</f>
        <v>54</v>
      </c>
      <c r="F2182" s="18">
        <f t="shared" si="1"/>
        <v>0.42</v>
      </c>
      <c r="G2182" s="17" t="str">
        <f>Github!H$1652</f>
        <v>Database</v>
      </c>
      <c r="H2182" s="19" t="str">
        <f>SUBSTITUTE(Github!L$1652, ";", ", ")</f>
        <v>Database, </v>
      </c>
      <c r="I2182" s="17" t="str">
        <f>Github!E$1652</f>
        <v>Hard</v>
      </c>
      <c r="J2182" s="17" t="str">
        <f>IF(TRIM(Github!D$1652)="TRUE","FALSE","TRUE")</f>
        <v>FALSE</v>
      </c>
      <c r="K2182" s="17" t="b">
        <f>Github!M$1652</f>
        <v>0</v>
      </c>
      <c r="L2182" s="17" t="b">
        <f>Github!N$1652</f>
        <v>0</v>
      </c>
      <c r="M2182" s="17" t="str">
        <f>ROUND(Github!O$1652, 2)&amp;"%"</f>
        <v>66.83%</v>
      </c>
      <c r="N2182" s="17">
        <f>Github!P$1652</f>
        <v>3848</v>
      </c>
      <c r="O2182" s="17">
        <f>Github!Q$1652</f>
        <v>5758</v>
      </c>
    </row>
    <row r="2183" ht="18.0" customHeight="1">
      <c r="A2183" s="17">
        <f>Github!J$1957</f>
        <v>1956</v>
      </c>
      <c r="B2183" s="27" t="str">
        <f>HYPERLINK(CONCAT("http://leetcode.com/problems/",Github!C$1957), Github!B$1957)</f>
        <v>Minimum Time For K Virus Variants to Spread</v>
      </c>
      <c r="C2183" s="17">
        <f>Github!F$1957</f>
        <v>16</v>
      </c>
      <c r="D2183" s="17">
        <f>Github!G$1957</f>
        <v>4</v>
      </c>
      <c r="E2183" s="17">
        <f>Github!F$1957+Github!G$1957</f>
        <v>20</v>
      </c>
      <c r="F2183" s="18">
        <f t="shared" si="1"/>
        <v>4</v>
      </c>
      <c r="G2183" s="17" t="str">
        <f>Github!H$1957</f>
        <v>Algorithms</v>
      </c>
      <c r="H2183" s="19" t="str">
        <f>SUBSTITUTE(Github!L$1957, ";", ", ")</f>
        <v>Array, Math, Binary Search, Geometry, Enumeration, </v>
      </c>
      <c r="I2183" s="17" t="str">
        <f>Github!E$1957</f>
        <v>Hard</v>
      </c>
      <c r="J2183" s="17" t="str">
        <f>IF(TRIM(Github!D$1957)="TRUE","FALSE","TRUE")</f>
        <v>FALSE</v>
      </c>
      <c r="K2183" s="17" t="b">
        <f>Github!M$1957</f>
        <v>0</v>
      </c>
      <c r="L2183" s="17" t="b">
        <f>Github!N$1957</f>
        <v>0</v>
      </c>
      <c r="M2183" s="17" t="str">
        <f>ROUND(Github!O$1957, 2)&amp;"%"</f>
        <v>43.94%</v>
      </c>
      <c r="N2183" s="17">
        <f>Github!P$1957</f>
        <v>399</v>
      </c>
      <c r="O2183" s="17">
        <f>Github!Q$1957</f>
        <v>908</v>
      </c>
    </row>
    <row r="2184" ht="18.0" customHeight="1">
      <c r="A2184" s="17">
        <f>Github!J$2042</f>
        <v>2041</v>
      </c>
      <c r="B2184" s="27" t="str">
        <f>HYPERLINK(CONCAT("http://leetcode.com/problems/",Github!C$2042), Github!B$2042)</f>
        <v>Accepted Candidates From the Interviews</v>
      </c>
      <c r="C2184" s="17">
        <f>Github!F$2042</f>
        <v>16</v>
      </c>
      <c r="D2184" s="17">
        <f>Github!G$2042</f>
        <v>17</v>
      </c>
      <c r="E2184" s="17">
        <f>Github!F$2042+Github!G$2042</f>
        <v>33</v>
      </c>
      <c r="F2184" s="18">
        <f t="shared" si="1"/>
        <v>0.94</v>
      </c>
      <c r="G2184" s="17" t="str">
        <f>Github!H$2042</f>
        <v>Database</v>
      </c>
      <c r="H2184" s="19" t="str">
        <f>SUBSTITUTE(Github!L$2042, ";", ", ")</f>
        <v>Database, </v>
      </c>
      <c r="I2184" s="17" t="str">
        <f>Github!E$2042</f>
        <v>Medium</v>
      </c>
      <c r="J2184" s="17" t="str">
        <f>IF(TRIM(Github!D$2042)="TRUE","FALSE","TRUE")</f>
        <v>FALSE</v>
      </c>
      <c r="K2184" s="17" t="b">
        <f>Github!M$2042</f>
        <v>0</v>
      </c>
      <c r="L2184" s="17" t="b">
        <f>Github!N$2042</f>
        <v>0</v>
      </c>
      <c r="M2184" s="17" t="str">
        <f>ROUND(Github!O$2042, 2)&amp;"%"</f>
        <v>76.74%</v>
      </c>
      <c r="N2184" s="17">
        <f>Github!P$2042</f>
        <v>2509</v>
      </c>
      <c r="O2184" s="17">
        <f>Github!Q$2042</f>
        <v>3270</v>
      </c>
    </row>
    <row r="2185" ht="18.0" customHeight="1">
      <c r="A2185" s="17">
        <f>Github!J$2190</f>
        <v>2189</v>
      </c>
      <c r="B2185" s="27" t="str">
        <f>HYPERLINK(CONCAT("http://leetcode.com/problems/",Github!C$2190), Github!B$2190)</f>
        <v>Number of Ways to Build House of Cards</v>
      </c>
      <c r="C2185" s="17">
        <f>Github!F$2190</f>
        <v>15</v>
      </c>
      <c r="D2185" s="17">
        <f>Github!G$2190</f>
        <v>2</v>
      </c>
      <c r="E2185" s="17">
        <f>Github!F$2190+Github!G$2190</f>
        <v>17</v>
      </c>
      <c r="F2185" s="18">
        <f t="shared" si="1"/>
        <v>7.5</v>
      </c>
      <c r="G2185" s="17" t="str">
        <f>Github!H$2190</f>
        <v>Algorithms</v>
      </c>
      <c r="H2185" s="19" t="str">
        <f>SUBSTITUTE(Github!L$2190, ";", ", ")</f>
        <v>Math, Dynamic Programming, </v>
      </c>
      <c r="I2185" s="17" t="str">
        <f>Github!E$2190</f>
        <v>Medium</v>
      </c>
      <c r="J2185" s="17" t="str">
        <f>IF(TRIM(Github!D$2190)="TRUE","FALSE","TRUE")</f>
        <v>FALSE</v>
      </c>
      <c r="K2185" s="17" t="b">
        <f>Github!M$2190</f>
        <v>0</v>
      </c>
      <c r="L2185" s="17" t="b">
        <f>Github!N$2190</f>
        <v>0</v>
      </c>
      <c r="M2185" s="17" t="str">
        <f>ROUND(Github!O$2190, 2)&amp;"%"</f>
        <v>66.31%</v>
      </c>
      <c r="N2185" s="17">
        <f>Github!P$2190</f>
        <v>437</v>
      </c>
      <c r="O2185" s="17">
        <f>Github!Q$2190</f>
        <v>659</v>
      </c>
    </row>
    <row r="2186" ht="18.0" customHeight="1">
      <c r="A2186" s="17">
        <f>Github!J$2113</f>
        <v>2112</v>
      </c>
      <c r="B2186" s="27" t="str">
        <f>HYPERLINK(CONCAT("http://leetcode.com/problems/",Github!C$2113), Github!B$2113)</f>
        <v>The Airport With the Most Traffic</v>
      </c>
      <c r="C2186" s="17">
        <f>Github!F$2113</f>
        <v>14</v>
      </c>
      <c r="D2186" s="17">
        <f>Github!G$2113</f>
        <v>4</v>
      </c>
      <c r="E2186" s="17">
        <f>Github!F$2113+Github!G$2113</f>
        <v>18</v>
      </c>
      <c r="F2186" s="18">
        <f t="shared" si="1"/>
        <v>3.5</v>
      </c>
      <c r="G2186" s="17" t="str">
        <f>Github!H$2113</f>
        <v>Database</v>
      </c>
      <c r="H2186" s="19" t="str">
        <f>SUBSTITUTE(Github!L$2113, ";", ", ")</f>
        <v>Database, </v>
      </c>
      <c r="I2186" s="17" t="str">
        <f>Github!E$2113</f>
        <v>Medium</v>
      </c>
      <c r="J2186" s="17" t="str">
        <f>IF(TRIM(Github!D$2113)="TRUE","FALSE","TRUE")</f>
        <v>FALSE</v>
      </c>
      <c r="K2186" s="17" t="b">
        <f>Github!M$2113</f>
        <v>0</v>
      </c>
      <c r="L2186" s="17" t="b">
        <f>Github!N$2113</f>
        <v>0</v>
      </c>
      <c r="M2186" s="17" t="str">
        <f>ROUND(Github!O$2113, 2)&amp;"%"</f>
        <v>67.86%</v>
      </c>
      <c r="N2186" s="17">
        <f>Github!P$2113</f>
        <v>1776</v>
      </c>
      <c r="O2186" s="17">
        <f>Github!Q$2113</f>
        <v>2617</v>
      </c>
    </row>
    <row r="2187" ht="18.0" customHeight="1">
      <c r="A2187" s="17">
        <f>Github!J$2154</f>
        <v>2153</v>
      </c>
      <c r="B2187" s="27" t="str">
        <f>HYPERLINK(CONCAT("http://leetcode.com/problems/",Github!C$2154), Github!B$2154)</f>
        <v>The Number of Passengers in Each Bus II</v>
      </c>
      <c r="C2187" s="17">
        <f>Github!F$2154</f>
        <v>14</v>
      </c>
      <c r="D2187" s="17">
        <f>Github!G$2154</f>
        <v>5</v>
      </c>
      <c r="E2187" s="17">
        <f>Github!F$2154+Github!G$2154</f>
        <v>19</v>
      </c>
      <c r="F2187" s="18">
        <f t="shared" si="1"/>
        <v>2.8</v>
      </c>
      <c r="G2187" s="17" t="str">
        <f>Github!H$2154</f>
        <v>Database</v>
      </c>
      <c r="H2187" s="19" t="str">
        <f>SUBSTITUTE(Github!L$2154, ";", ", ")</f>
        <v>Database, </v>
      </c>
      <c r="I2187" s="17" t="str">
        <f>Github!E$2154</f>
        <v>Hard</v>
      </c>
      <c r="J2187" s="17" t="str">
        <f>IF(TRIM(Github!D$2154)="TRUE","FALSE","TRUE")</f>
        <v>FALSE</v>
      </c>
      <c r="K2187" s="17" t="b">
        <f>Github!M$2154</f>
        <v>0</v>
      </c>
      <c r="L2187" s="17" t="b">
        <f>Github!N$2154</f>
        <v>0</v>
      </c>
      <c r="M2187" s="17" t="str">
        <f>ROUND(Github!O$2154, 2)&amp;"%"</f>
        <v>50.92%</v>
      </c>
      <c r="N2187" s="17">
        <f>Github!P$2154</f>
        <v>303</v>
      </c>
      <c r="O2187" s="17">
        <f>Github!Q$2154</f>
        <v>595</v>
      </c>
    </row>
    <row r="2188" ht="18.0" customHeight="1">
      <c r="A2188" s="17">
        <f>Github!J$2174</f>
        <v>2173</v>
      </c>
      <c r="B2188" s="27" t="str">
        <f>HYPERLINK(CONCAT("http://leetcode.com/problems/",Github!C$2174), Github!B$2174)</f>
        <v>Longest Winning Streak</v>
      </c>
      <c r="C2188" s="17">
        <f>Github!F$2174</f>
        <v>14</v>
      </c>
      <c r="D2188" s="17">
        <f>Github!G$2174</f>
        <v>1</v>
      </c>
      <c r="E2188" s="17">
        <f>Github!F$2174+Github!G$2174</f>
        <v>15</v>
      </c>
      <c r="F2188" s="18">
        <f t="shared" si="1"/>
        <v>14</v>
      </c>
      <c r="G2188" s="17" t="str">
        <f>Github!H$2174</f>
        <v>Database</v>
      </c>
      <c r="H2188" s="19" t="str">
        <f>SUBSTITUTE(Github!L$2174, ";", ", ")</f>
        <v>Database, </v>
      </c>
      <c r="I2188" s="17" t="str">
        <f>Github!E$2174</f>
        <v>Hard</v>
      </c>
      <c r="J2188" s="17" t="str">
        <f>IF(TRIM(Github!D$2174)="TRUE","FALSE","TRUE")</f>
        <v>FALSE</v>
      </c>
      <c r="K2188" s="17" t="b">
        <f>Github!M$2174</f>
        <v>0</v>
      </c>
      <c r="L2188" s="17" t="b">
        <f>Github!N$2174</f>
        <v>0</v>
      </c>
      <c r="M2188" s="17" t="str">
        <f>ROUND(Github!O$2174, 2)&amp;"%"</f>
        <v>45.96%</v>
      </c>
      <c r="N2188" s="17">
        <f>Github!P$2174</f>
        <v>336</v>
      </c>
      <c r="O2188" s="17">
        <f>Github!Q$2174</f>
        <v>731</v>
      </c>
    </row>
    <row r="2189" ht="18.0" customHeight="1">
      <c r="A2189" s="17">
        <f>Github!J$2144</f>
        <v>2143</v>
      </c>
      <c r="B2189" s="27" t="str">
        <f>HYPERLINK(CONCAT("http://leetcode.com/problems/",Github!C$2144), Github!B$2144)</f>
        <v>Choose Numbers From Two Arrays in Range</v>
      </c>
      <c r="C2189" s="17">
        <f>Github!F$2144</f>
        <v>12</v>
      </c>
      <c r="D2189" s="17">
        <f>Github!G$2144</f>
        <v>1</v>
      </c>
      <c r="E2189" s="17">
        <f>Github!F$2144+Github!G$2144</f>
        <v>13</v>
      </c>
      <c r="F2189" s="18">
        <f t="shared" si="1"/>
        <v>12</v>
      </c>
      <c r="G2189" s="17" t="str">
        <f>Github!H$2144</f>
        <v>Algorithms</v>
      </c>
      <c r="H2189" s="19" t="str">
        <f>SUBSTITUTE(Github!L$2144, ";", ", ")</f>
        <v>Array, Dynamic Programming, </v>
      </c>
      <c r="I2189" s="17" t="str">
        <f>Github!E$2144</f>
        <v>Hard</v>
      </c>
      <c r="J2189" s="17" t="str">
        <f>IF(TRIM(Github!D$2144)="TRUE","FALSE","TRUE")</f>
        <v>FALSE</v>
      </c>
      <c r="K2189" s="17" t="b">
        <f>Github!M$2144</f>
        <v>0</v>
      </c>
      <c r="L2189" s="17" t="b">
        <f>Github!N$2144</f>
        <v>0</v>
      </c>
      <c r="M2189" s="17" t="str">
        <f>ROUND(Github!O$2144, 2)&amp;"%"</f>
        <v>53.92%</v>
      </c>
      <c r="N2189" s="17">
        <f>Github!P$2144</f>
        <v>399</v>
      </c>
      <c r="O2189" s="17">
        <f>Github!Q$2144</f>
        <v>740</v>
      </c>
    </row>
    <row r="2190" ht="18.0" customHeight="1">
      <c r="A2190" s="17">
        <f>Github!J$2027</f>
        <v>2026</v>
      </c>
      <c r="B2190" s="27" t="str">
        <f>HYPERLINK(CONCAT("http://leetcode.com/problems/",Github!C$2027), Github!B$2027)</f>
        <v>Low-Quality Problems</v>
      </c>
      <c r="C2190" s="17">
        <f>Github!F$2027</f>
        <v>11</v>
      </c>
      <c r="D2190" s="17">
        <f>Github!G$2027</f>
        <v>5</v>
      </c>
      <c r="E2190" s="17">
        <f>Github!F$2027+Github!G$2027</f>
        <v>16</v>
      </c>
      <c r="F2190" s="18">
        <f t="shared" si="1"/>
        <v>2.2</v>
      </c>
      <c r="G2190" s="17" t="str">
        <f>Github!H$2027</f>
        <v>Database</v>
      </c>
      <c r="H2190" s="19" t="str">
        <f>SUBSTITUTE(Github!L$2027, ";", ", ")</f>
        <v>Database, </v>
      </c>
      <c r="I2190" s="17" t="str">
        <f>Github!E$2027</f>
        <v>Easy</v>
      </c>
      <c r="J2190" s="17" t="str">
        <f>IF(TRIM(Github!D$2027)="TRUE","FALSE","TRUE")</f>
        <v>FALSE</v>
      </c>
      <c r="K2190" s="17" t="b">
        <f>Github!M$2027</f>
        <v>0</v>
      </c>
      <c r="L2190" s="17" t="b">
        <f>Github!N$2027</f>
        <v>0</v>
      </c>
      <c r="M2190" s="17" t="str">
        <f>ROUND(Github!O$2027, 2)&amp;"%"</f>
        <v>85.61%</v>
      </c>
      <c r="N2190" s="17">
        <f>Github!P$2027</f>
        <v>3803</v>
      </c>
      <c r="O2190" s="17">
        <f>Github!Q$2027</f>
        <v>4442</v>
      </c>
    </row>
    <row r="2191" ht="18.0" customHeight="1">
      <c r="A2191" s="17">
        <f>Github!J$2083</f>
        <v>2082</v>
      </c>
      <c r="B2191" s="27" t="str">
        <f>HYPERLINK(CONCAT("http://leetcode.com/problems/",Github!C$2083), Github!B$2083)</f>
        <v>The Number of Rich Customers</v>
      </c>
      <c r="C2191" s="17">
        <f>Github!F$2083</f>
        <v>11</v>
      </c>
      <c r="D2191" s="17">
        <f>Github!G$2083</f>
        <v>7</v>
      </c>
      <c r="E2191" s="17">
        <f>Github!F$2083+Github!G$2083</f>
        <v>18</v>
      </c>
      <c r="F2191" s="18">
        <f t="shared" si="1"/>
        <v>1.57</v>
      </c>
      <c r="G2191" s="17" t="str">
        <f>Github!H$2083</f>
        <v>Database</v>
      </c>
      <c r="H2191" s="19" t="str">
        <f>SUBSTITUTE(Github!L$2083, ";", ", ")</f>
        <v>Database, </v>
      </c>
      <c r="I2191" s="17" t="str">
        <f>Github!E$2083</f>
        <v>Easy</v>
      </c>
      <c r="J2191" s="17" t="str">
        <f>IF(TRIM(Github!D$2083)="TRUE","FALSE","TRUE")</f>
        <v>FALSE</v>
      </c>
      <c r="K2191" s="17" t="b">
        <f>Github!M$2083</f>
        <v>0</v>
      </c>
      <c r="L2191" s="17" t="b">
        <f>Github!N$2083</f>
        <v>0</v>
      </c>
      <c r="M2191" s="17" t="str">
        <f>ROUND(Github!O$2083, 2)&amp;"%"</f>
        <v>80.7%</v>
      </c>
      <c r="N2191" s="17">
        <f>Github!P$2083</f>
        <v>3044</v>
      </c>
      <c r="O2191" s="17">
        <f>Github!Q$2083</f>
        <v>3772</v>
      </c>
    </row>
    <row r="2192" ht="18.0" customHeight="1">
      <c r="A2192" s="17">
        <f>Github!J$2006</f>
        <v>2005</v>
      </c>
      <c r="B2192" s="27" t="str">
        <f>HYPERLINK(CONCAT("http://leetcode.com/problems/",Github!C$2006), Github!B$2006)</f>
        <v>Subtree Removal Game with Fibonacci Tree</v>
      </c>
      <c r="C2192" s="17">
        <f>Github!F$2006</f>
        <v>9</v>
      </c>
      <c r="D2192" s="17">
        <f>Github!G$2006</f>
        <v>25</v>
      </c>
      <c r="E2192" s="17">
        <f>Github!F$2006+Github!G$2006</f>
        <v>34</v>
      </c>
      <c r="F2192" s="18">
        <f t="shared" si="1"/>
        <v>0.36</v>
      </c>
      <c r="G2192" s="17" t="str">
        <f>Github!H$2006</f>
        <v>Algorithms</v>
      </c>
      <c r="H2192" s="19" t="str">
        <f>SUBSTITUTE(Github!L$2006, ";", ", ")</f>
        <v>Math, Dynamic Programming, Tree, Binary Tree, Game Theory, </v>
      </c>
      <c r="I2192" s="17" t="str">
        <f>Github!E$2006</f>
        <v>Hard</v>
      </c>
      <c r="J2192" s="17" t="str">
        <f>IF(TRIM(Github!D$2006)="TRUE","FALSE","TRUE")</f>
        <v>FALSE</v>
      </c>
      <c r="K2192" s="17" t="b">
        <f>Github!M$2006</f>
        <v>0</v>
      </c>
      <c r="L2192" s="17" t="b">
        <f>Github!N$2006</f>
        <v>0</v>
      </c>
      <c r="M2192" s="17" t="str">
        <f>ROUND(Github!O$2006, 2)&amp;"%"</f>
        <v>63.59%</v>
      </c>
      <c r="N2192" s="17">
        <f>Github!P$2006</f>
        <v>276</v>
      </c>
      <c r="O2192" s="17">
        <f>Github!Q$2006</f>
        <v>434</v>
      </c>
    </row>
    <row r="2193" ht="18.0" customHeight="1">
      <c r="A2193" s="17">
        <f>Github!J$2011</f>
        <v>2010</v>
      </c>
      <c r="B2193" s="27" t="str">
        <f>HYPERLINK(CONCAT("http://leetcode.com/problems/",Github!C$2011), Github!B$2011)</f>
        <v>The Number of Seniors and Juniors to Join the Company II</v>
      </c>
      <c r="C2193" s="17">
        <f>Github!F$2011</f>
        <v>9</v>
      </c>
      <c r="D2193" s="17">
        <f>Github!G$2011</f>
        <v>4</v>
      </c>
      <c r="E2193" s="17">
        <f>Github!F$2011+Github!G$2011</f>
        <v>13</v>
      </c>
      <c r="F2193" s="18">
        <f t="shared" si="1"/>
        <v>2.25</v>
      </c>
      <c r="G2193" s="17" t="str">
        <f>Github!H$2011</f>
        <v>Database</v>
      </c>
      <c r="H2193" s="19" t="str">
        <f>SUBSTITUTE(Github!L$2011, ";", ", ")</f>
        <v>Database, </v>
      </c>
      <c r="I2193" s="17" t="str">
        <f>Github!E$2011</f>
        <v>Hard</v>
      </c>
      <c r="J2193" s="17" t="str">
        <f>IF(TRIM(Github!D$2011)="TRUE","FALSE","TRUE")</f>
        <v>FALSE</v>
      </c>
      <c r="K2193" s="17" t="b">
        <f>Github!M$2011</f>
        <v>0</v>
      </c>
      <c r="L2193" s="17" t="b">
        <f>Github!N$2011</f>
        <v>0</v>
      </c>
      <c r="M2193" s="17" t="str">
        <f>ROUND(Github!O$2011, 2)&amp;"%"</f>
        <v>56.47%</v>
      </c>
      <c r="N2193" s="17">
        <f>Github!P$2011</f>
        <v>1476</v>
      </c>
      <c r="O2193" s="17">
        <f>Github!Q$2011</f>
        <v>2614</v>
      </c>
    </row>
    <row r="2194" ht="18.0" customHeight="1">
      <c r="A2194" s="17">
        <f>Github!J$2119</f>
        <v>2118</v>
      </c>
      <c r="B2194" s="27" t="str">
        <f>HYPERLINK(CONCAT("http://leetcode.com/problems/",Github!C$2119), Github!B$2119)</f>
        <v>Build the Equation</v>
      </c>
      <c r="C2194" s="17">
        <f>Github!F$2119</f>
        <v>9</v>
      </c>
      <c r="D2194" s="17">
        <f>Github!G$2119</f>
        <v>13</v>
      </c>
      <c r="E2194" s="17">
        <f>Github!F$2119+Github!G$2119</f>
        <v>22</v>
      </c>
      <c r="F2194" s="18">
        <f t="shared" si="1"/>
        <v>0.69</v>
      </c>
      <c r="G2194" s="17" t="str">
        <f>Github!H$2119</f>
        <v>Database</v>
      </c>
      <c r="H2194" s="19" t="str">
        <f>SUBSTITUTE(Github!L$2119, ";", ", ")</f>
        <v>Database, </v>
      </c>
      <c r="I2194" s="17" t="str">
        <f>Github!E$2119</f>
        <v>Hard</v>
      </c>
      <c r="J2194" s="17" t="str">
        <f>IF(TRIM(Github!D$2119)="TRUE","FALSE","TRUE")</f>
        <v>FALSE</v>
      </c>
      <c r="K2194" s="17" t="b">
        <f>Github!M$2119</f>
        <v>0</v>
      </c>
      <c r="L2194" s="17" t="b">
        <f>Github!N$2119</f>
        <v>0</v>
      </c>
      <c r="M2194" s="17" t="str">
        <f>ROUND(Github!O$2119, 2)&amp;"%"</f>
        <v>57.81%</v>
      </c>
      <c r="N2194" s="17">
        <f>Github!P$2119</f>
        <v>507</v>
      </c>
      <c r="O2194" s="17">
        <f>Github!Q$2119</f>
        <v>877</v>
      </c>
    </row>
    <row r="2195" ht="18.0" customHeight="1">
      <c r="A2195" s="17">
        <f>Github!J$1925</f>
        <v>1924</v>
      </c>
      <c r="B2195" s="27" t="str">
        <f>HYPERLINK(CONCAT("http://leetcode.com/problems/",Github!C$1925), Github!B$1925)</f>
        <v>Erect the Fence II</v>
      </c>
      <c r="C2195" s="17">
        <f>Github!F$1925</f>
        <v>8</v>
      </c>
      <c r="D2195" s="17">
        <f>Github!G$1925</f>
        <v>31</v>
      </c>
      <c r="E2195" s="17">
        <f>Github!F$1925+Github!G$1925</f>
        <v>39</v>
      </c>
      <c r="F2195" s="18">
        <f t="shared" si="1"/>
        <v>0.26</v>
      </c>
      <c r="G2195" s="17" t="str">
        <f>Github!H$1925</f>
        <v>Algorithms</v>
      </c>
      <c r="H2195" s="19" t="str">
        <f>SUBSTITUTE(Github!L$1925, ";", ", ")</f>
        <v>Array, Math, Geometry, </v>
      </c>
      <c r="I2195" s="17" t="str">
        <f>Github!E$1925</f>
        <v>Hard</v>
      </c>
      <c r="J2195" s="17" t="str">
        <f>IF(TRIM(Github!D$1925)="TRUE","FALSE","TRUE")</f>
        <v>FALSE</v>
      </c>
      <c r="K2195" s="17" t="b">
        <f>Github!M$1925</f>
        <v>0</v>
      </c>
      <c r="L2195" s="17" t="b">
        <f>Github!N$1925</f>
        <v>0</v>
      </c>
      <c r="M2195" s="17" t="str">
        <f>ROUND(Github!O$1925, 2)&amp;"%"</f>
        <v>58.32%</v>
      </c>
      <c r="N2195" s="17">
        <f>Github!P$1925</f>
        <v>417</v>
      </c>
      <c r="O2195" s="17">
        <f>Github!Q$1925</f>
        <v>715</v>
      </c>
    </row>
    <row r="2196" ht="18.0" customHeight="1">
      <c r="A2196" s="17">
        <f>Github!J$2176</f>
        <v>2175</v>
      </c>
      <c r="B2196" s="27" t="str">
        <f>HYPERLINK(CONCAT("http://leetcode.com/problems/",Github!C$2176), Github!B$2176)</f>
        <v>The Change in Global Rankings</v>
      </c>
      <c r="C2196" s="17">
        <f>Github!F$2176</f>
        <v>7</v>
      </c>
      <c r="D2196" s="17">
        <f>Github!G$2176</f>
        <v>4</v>
      </c>
      <c r="E2196" s="17">
        <f>Github!F$2176+Github!G$2176</f>
        <v>11</v>
      </c>
      <c r="F2196" s="18">
        <f t="shared" si="1"/>
        <v>1.75</v>
      </c>
      <c r="G2196" s="17" t="str">
        <f>Github!H$2176</f>
        <v>Database</v>
      </c>
      <c r="H2196" s="19" t="str">
        <f>SUBSTITUTE(Github!L$2176, ";", ", ")</f>
        <v>Database, </v>
      </c>
      <c r="I2196" s="17" t="str">
        <f>Github!E$2176</f>
        <v>Medium</v>
      </c>
      <c r="J2196" s="17" t="str">
        <f>IF(TRIM(Github!D$2176)="TRUE","FALSE","TRUE")</f>
        <v>FALSE</v>
      </c>
      <c r="K2196" s="17" t="b">
        <f>Github!M$2176</f>
        <v>0</v>
      </c>
      <c r="L2196" s="17" t="b">
        <f>Github!N$2176</f>
        <v>0</v>
      </c>
      <c r="M2196" s="17" t="str">
        <f>ROUND(Github!O$2176, 2)&amp;"%"</f>
        <v>63.26%</v>
      </c>
      <c r="N2196" s="17">
        <f>Github!P$2176</f>
        <v>569</v>
      </c>
      <c r="O2196" s="17">
        <f>Github!Q$2176</f>
        <v>900</v>
      </c>
    </row>
    <row r="2197" ht="18.0" customHeight="1">
      <c r="A2197" s="17">
        <f>Github!J$1991</f>
        <v>1990</v>
      </c>
      <c r="B2197" s="27" t="str">
        <f>HYPERLINK(CONCAT("http://leetcode.com/problems/",Github!C$1991), Github!B$1991)</f>
        <v>Count the Number of Experiments</v>
      </c>
      <c r="C2197" s="17">
        <f>Github!F$1991</f>
        <v>6</v>
      </c>
      <c r="D2197" s="17">
        <f>Github!G$1991</f>
        <v>75</v>
      </c>
      <c r="E2197" s="17">
        <f>Github!F$1991+Github!G$1991</f>
        <v>81</v>
      </c>
      <c r="F2197" s="18">
        <f t="shared" si="1"/>
        <v>0.08</v>
      </c>
      <c r="G2197" s="17" t="str">
        <f>Github!H$1991</f>
        <v>Database</v>
      </c>
      <c r="H2197" s="19" t="str">
        <f>SUBSTITUTE(Github!L$1991, ";", ", ")</f>
        <v>Database, </v>
      </c>
      <c r="I2197" s="17" t="str">
        <f>Github!E$1991</f>
        <v>Medium</v>
      </c>
      <c r="J2197" s="17" t="str">
        <f>IF(TRIM(Github!D$1991)="TRUE","FALSE","TRUE")</f>
        <v>FALSE</v>
      </c>
      <c r="K2197" s="17" t="b">
        <f>Github!M$1991</f>
        <v>0</v>
      </c>
      <c r="L2197" s="17" t="b">
        <f>Github!N$1991</f>
        <v>0</v>
      </c>
      <c r="M2197" s="17" t="str">
        <f>ROUND(Github!O$1991, 2)&amp;"%"</f>
        <v>50.62%</v>
      </c>
      <c r="N2197" s="17">
        <f>Github!P$1991</f>
        <v>2158</v>
      </c>
      <c r="O2197" s="17">
        <f>Github!Q$1991</f>
        <v>4263</v>
      </c>
    </row>
    <row r="2198" ht="18.0" customHeight="1">
      <c r="A2198" s="17">
        <f>Github!J$2021</f>
        <v>2020</v>
      </c>
      <c r="B2198" s="27" t="str">
        <f>HYPERLINK(CONCAT("http://leetcode.com/problems/",Github!C$2021), Github!B$2021)</f>
        <v>Number of Accounts That Did Not Stream</v>
      </c>
      <c r="C2198" s="17">
        <f>Github!F$2021</f>
        <v>6</v>
      </c>
      <c r="D2198" s="17">
        <f>Github!G$2021</f>
        <v>62</v>
      </c>
      <c r="E2198" s="17">
        <f>Github!F$2021+Github!G$2021</f>
        <v>68</v>
      </c>
      <c r="F2198" s="18">
        <f t="shared" si="1"/>
        <v>0.1</v>
      </c>
      <c r="G2198" s="17" t="str">
        <f>Github!H$2021</f>
        <v>Database</v>
      </c>
      <c r="H2198" s="19" t="str">
        <f>SUBSTITUTE(Github!L$2021, ";", ", ")</f>
        <v>Database, </v>
      </c>
      <c r="I2198" s="17" t="str">
        <f>Github!E$2021</f>
        <v>Medium</v>
      </c>
      <c r="J2198" s="17" t="str">
        <f>IF(TRIM(Github!D$2021)="TRUE","FALSE","TRUE")</f>
        <v>FALSE</v>
      </c>
      <c r="K2198" s="17" t="b">
        <f>Github!M$2021</f>
        <v>0</v>
      </c>
      <c r="L2198" s="17" t="b">
        <f>Github!N$2021</f>
        <v>0</v>
      </c>
      <c r="M2198" s="17" t="str">
        <f>ROUND(Github!O$2021, 2)&amp;"%"</f>
        <v>72.49%</v>
      </c>
      <c r="N2198" s="17">
        <f>Github!P$2021</f>
        <v>2851</v>
      </c>
      <c r="O2198" s="17">
        <f>Github!Q$2021</f>
        <v>3933</v>
      </c>
    </row>
    <row r="2199" ht="18.0" customHeight="1">
      <c r="A2199" s="17">
        <f>Github!J$2160</f>
        <v>2159</v>
      </c>
      <c r="B2199" s="27" t="str">
        <f>HYPERLINK(CONCAT("http://leetcode.com/problems/",Github!C$2160), Github!B$2160)</f>
        <v>Order Two Columns Independently</v>
      </c>
      <c r="C2199" s="17">
        <f>Github!F$2160</f>
        <v>6</v>
      </c>
      <c r="D2199" s="17">
        <f>Github!G$2160</f>
        <v>7</v>
      </c>
      <c r="E2199" s="17">
        <f>Github!F$2160+Github!G$2160</f>
        <v>13</v>
      </c>
      <c r="F2199" s="18">
        <f t="shared" si="1"/>
        <v>0.86</v>
      </c>
      <c r="G2199" s="17" t="str">
        <f>Github!H$2160</f>
        <v>Database</v>
      </c>
      <c r="H2199" s="19" t="str">
        <f>SUBSTITUTE(Github!L$2160, ";", ", ")</f>
        <v>Database, </v>
      </c>
      <c r="I2199" s="17" t="str">
        <f>Github!E$2160</f>
        <v>Medium</v>
      </c>
      <c r="J2199" s="17" t="str">
        <f>IF(TRIM(Github!D$2160)="TRUE","FALSE","TRUE")</f>
        <v>FALSE</v>
      </c>
      <c r="K2199" s="17" t="b">
        <f>Github!M$2160</f>
        <v>0</v>
      </c>
      <c r="L2199" s="17" t="b">
        <f>Github!N$2160</f>
        <v>0</v>
      </c>
      <c r="M2199" s="17" t="str">
        <f>ROUND(Github!O$2160, 2)&amp;"%"</f>
        <v>62.42%</v>
      </c>
      <c r="N2199" s="17">
        <f>Github!P$2160</f>
        <v>794</v>
      </c>
      <c r="O2199" s="17">
        <f>Github!Q$2160</f>
        <v>1272</v>
      </c>
    </row>
    <row r="2200" ht="18.0" customHeight="1">
      <c r="A2200" s="15"/>
      <c r="B2200" s="16"/>
      <c r="C2200" s="17"/>
      <c r="D2200" s="17"/>
      <c r="E2200" s="17"/>
      <c r="F2200" s="18"/>
      <c r="G2200" s="17"/>
      <c r="H2200" s="19"/>
      <c r="I2200" s="17"/>
      <c r="J2200" s="17"/>
      <c r="K2200" s="17"/>
      <c r="L2200" s="17"/>
      <c r="M2200" s="17"/>
      <c r="N2200" s="17"/>
      <c r="O2200" s="17"/>
    </row>
    <row r="2201" ht="18.0" customHeight="1">
      <c r="A2201" s="17"/>
      <c r="B2201" s="20"/>
      <c r="C2201" s="17"/>
      <c r="D2201" s="17"/>
      <c r="E2201" s="17"/>
      <c r="F2201" s="18"/>
      <c r="G2201" s="17"/>
      <c r="H2201" s="19"/>
      <c r="I2201" s="17"/>
      <c r="J2201" s="17"/>
      <c r="K2201" s="17"/>
      <c r="L2201" s="17"/>
      <c r="M2201" s="17"/>
      <c r="N2201" s="17"/>
      <c r="O2201" s="17"/>
    </row>
    <row r="2202" ht="18.0" customHeight="1">
      <c r="A2202" s="17"/>
      <c r="B2202" s="21"/>
      <c r="C2202" s="17"/>
      <c r="D2202" s="17"/>
      <c r="E2202" s="17"/>
      <c r="F2202" s="18"/>
      <c r="G2202" s="17"/>
      <c r="H2202" s="19"/>
      <c r="I2202" s="17"/>
      <c r="J2202" s="17"/>
      <c r="K2202" s="17"/>
      <c r="L2202" s="17"/>
      <c r="M2202" s="17"/>
      <c r="N2202" s="17"/>
      <c r="O2202" s="17"/>
    </row>
    <row r="2203" ht="18.0" customHeight="1">
      <c r="A2203" s="17"/>
      <c r="B2203" s="21"/>
      <c r="C2203" s="17"/>
      <c r="D2203" s="17"/>
      <c r="E2203" s="17"/>
      <c r="F2203" s="18"/>
      <c r="G2203" s="17"/>
      <c r="H2203" s="19"/>
      <c r="I2203" s="17"/>
      <c r="J2203" s="17"/>
      <c r="K2203" s="17"/>
      <c r="L2203" s="17"/>
      <c r="M2203" s="17"/>
      <c r="N2203" s="17"/>
      <c r="O2203" s="17"/>
    </row>
    <row r="2204" ht="18.0" customHeight="1">
      <c r="A2204" s="17"/>
      <c r="B2204" s="21"/>
      <c r="C2204" s="17"/>
      <c r="D2204" s="17"/>
      <c r="E2204" s="17"/>
      <c r="F2204" s="18"/>
      <c r="G2204" s="17"/>
      <c r="H2204" s="19"/>
      <c r="I2204" s="17"/>
      <c r="J2204" s="17"/>
      <c r="K2204" s="17"/>
      <c r="L2204" s="17"/>
      <c r="M2204" s="17"/>
      <c r="N2204" s="17"/>
      <c r="O2204" s="17"/>
    </row>
    <row r="2205" ht="18.0" customHeight="1">
      <c r="A2205" s="17"/>
      <c r="B2205" s="21"/>
      <c r="C2205" s="17"/>
      <c r="D2205" s="17"/>
      <c r="E2205" s="17"/>
      <c r="F2205" s="18"/>
      <c r="G2205" s="17"/>
      <c r="H2205" s="19"/>
      <c r="I2205" s="17"/>
      <c r="J2205" s="17"/>
      <c r="K2205" s="17"/>
      <c r="L2205" s="17"/>
      <c r="M2205" s="17"/>
      <c r="N2205" s="17"/>
      <c r="O2205" s="17"/>
    </row>
    <row r="2206" ht="18.0" customHeight="1">
      <c r="A2206" s="17"/>
      <c r="B2206" s="21"/>
      <c r="C2206" s="17"/>
      <c r="D2206" s="17"/>
      <c r="E2206" s="17"/>
      <c r="F2206" s="18"/>
      <c r="G2206" s="17"/>
      <c r="H2206" s="19"/>
      <c r="I2206" s="17"/>
      <c r="J2206" s="17"/>
      <c r="K2206" s="17"/>
      <c r="L2206" s="17"/>
      <c r="M2206" s="17"/>
      <c r="N2206" s="17"/>
      <c r="O2206" s="17"/>
    </row>
    <row r="2207" ht="18.0" customHeight="1">
      <c r="A2207" s="17"/>
      <c r="B2207" s="21"/>
      <c r="C2207" s="17"/>
      <c r="D2207" s="17"/>
      <c r="E2207" s="17"/>
      <c r="F2207" s="18"/>
      <c r="G2207" s="17"/>
      <c r="H2207" s="19"/>
      <c r="I2207" s="17"/>
      <c r="J2207" s="17"/>
      <c r="K2207" s="17"/>
      <c r="L2207" s="17"/>
      <c r="M2207" s="17"/>
      <c r="N2207" s="17"/>
      <c r="O2207" s="17"/>
    </row>
    <row r="2208" ht="18.0" customHeight="1">
      <c r="A2208" s="17"/>
      <c r="B2208" s="21"/>
      <c r="C2208" s="17"/>
      <c r="D2208" s="17"/>
      <c r="E2208" s="17"/>
      <c r="F2208" s="18"/>
      <c r="G2208" s="17"/>
      <c r="H2208" s="19"/>
      <c r="I2208" s="17"/>
      <c r="J2208" s="17"/>
      <c r="K2208" s="17"/>
      <c r="L2208" s="17"/>
      <c r="M2208" s="17"/>
      <c r="N2208" s="17"/>
      <c r="O2208" s="17"/>
    </row>
    <row r="2209" ht="18.0" customHeight="1">
      <c r="A2209" s="17"/>
      <c r="B2209" s="21"/>
      <c r="C2209" s="17"/>
      <c r="D2209" s="17"/>
      <c r="E2209" s="17"/>
      <c r="F2209" s="18"/>
      <c r="G2209" s="17"/>
      <c r="H2209" s="19"/>
      <c r="I2209" s="17"/>
      <c r="J2209" s="17"/>
      <c r="K2209" s="17"/>
      <c r="L2209" s="17"/>
      <c r="M2209" s="17"/>
      <c r="N2209" s="17"/>
      <c r="O2209" s="17"/>
    </row>
    <row r="2210" ht="18.0" customHeight="1">
      <c r="A2210" s="17"/>
      <c r="B2210" s="21"/>
      <c r="C2210" s="17"/>
      <c r="D2210" s="17"/>
      <c r="E2210" s="17"/>
      <c r="F2210" s="18"/>
      <c r="G2210" s="17"/>
      <c r="H2210" s="19"/>
      <c r="I2210" s="17"/>
      <c r="J2210" s="17"/>
      <c r="K2210" s="17"/>
      <c r="L2210" s="17"/>
      <c r="M2210" s="17"/>
      <c r="N2210" s="17"/>
      <c r="O2210" s="17"/>
    </row>
    <row r="2211" ht="18.0" customHeight="1">
      <c r="A2211" s="17"/>
      <c r="B2211" s="21"/>
      <c r="C2211" s="17"/>
      <c r="D2211" s="17"/>
      <c r="E2211" s="17"/>
      <c r="F2211" s="18"/>
      <c r="G2211" s="17"/>
      <c r="H2211" s="19"/>
      <c r="I2211" s="17"/>
      <c r="J2211" s="17"/>
      <c r="K2211" s="17"/>
      <c r="L2211" s="17"/>
      <c r="M2211" s="17"/>
      <c r="N2211" s="17"/>
      <c r="O2211" s="17"/>
    </row>
    <row r="2212" ht="18.0" customHeight="1">
      <c r="A2212" s="17"/>
      <c r="B2212" s="21"/>
      <c r="C2212" s="17"/>
      <c r="D2212" s="17"/>
      <c r="E2212" s="17"/>
      <c r="F2212" s="18" t="str">
        <f t="shared" ref="F2212:F2215" si="2">IFERROR(ROUND(C2212/D2212, 2), C2212)</f>
        <v/>
      </c>
      <c r="G2212" s="17"/>
      <c r="H2212" s="19"/>
      <c r="I2212" s="17"/>
      <c r="J2212" s="17"/>
      <c r="K2212" s="17"/>
      <c r="L2212" s="17"/>
      <c r="M2212" s="17"/>
      <c r="N2212" s="17"/>
      <c r="O2212" s="17"/>
    </row>
    <row r="2213" ht="18.0" customHeight="1">
      <c r="A2213" s="17"/>
      <c r="B2213" s="21"/>
      <c r="C2213" s="17"/>
      <c r="D2213" s="17"/>
      <c r="E2213" s="17"/>
      <c r="F2213" s="18" t="str">
        <f t="shared" si="2"/>
        <v/>
      </c>
      <c r="G2213" s="17"/>
      <c r="H2213" s="19"/>
      <c r="I2213" s="17"/>
      <c r="J2213" s="17"/>
      <c r="K2213" s="17"/>
      <c r="L2213" s="17"/>
      <c r="M2213" s="17"/>
      <c r="N2213" s="17"/>
      <c r="O2213" s="17"/>
    </row>
    <row r="2214" ht="18.0" customHeight="1">
      <c r="A2214" s="17"/>
      <c r="B2214" s="21"/>
      <c r="C2214" s="17"/>
      <c r="D2214" s="17"/>
      <c r="E2214" s="17"/>
      <c r="F2214" s="18" t="str">
        <f t="shared" si="2"/>
        <v/>
      </c>
      <c r="G2214" s="17"/>
      <c r="H2214" s="19"/>
      <c r="I2214" s="17"/>
      <c r="J2214" s="17"/>
      <c r="K2214" s="17"/>
      <c r="L2214" s="17"/>
      <c r="M2214" s="17"/>
      <c r="N2214" s="17"/>
      <c r="O2214" s="17"/>
    </row>
    <row r="2215" ht="18.0" customHeight="1">
      <c r="A2215" s="17"/>
      <c r="B2215" s="21"/>
      <c r="C2215" s="17"/>
      <c r="D2215" s="17"/>
      <c r="E2215" s="17"/>
      <c r="F2215" s="18" t="str">
        <f t="shared" si="2"/>
        <v/>
      </c>
      <c r="G2215" s="17"/>
      <c r="H2215" s="19"/>
      <c r="I2215" s="17"/>
      <c r="J2215" s="17"/>
      <c r="K2215" s="17" t="str">
        <f>Github!M$2214</f>
        <v/>
      </c>
      <c r="L2215" s="17" t="str">
        <f>Github!N$2214</f>
        <v/>
      </c>
      <c r="M2215" s="17"/>
      <c r="N2215" s="17"/>
      <c r="O2215" s="17"/>
    </row>
  </sheetData>
  <customSheetViews>
    <customSheetView guid="{503ADD4D-49A4-46C4-9EE1-79568C2A74B1}" filter="1" showAutoFilter="1">
      <autoFilter ref="$A$1:$O$2199">
        <filterColumn colId="7">
          <customFilters>
            <customFilter val="*Dynamic*"/>
          </customFilters>
        </filterColumn>
      </autoFilter>
    </customSheetView>
    <customSheetView guid="{37C3B912-A453-4F10-8090-039F13802711}" filter="1" showAutoFilter="1">
      <autoFilter ref="$A$1:$O$2199"/>
    </customSheetView>
    <customSheetView guid="{9D8B6E1F-9243-4D2A-8A7E-5519A49434A6}" filter="1" showAutoFilter="1">
      <autoFilter ref="$A$1:$O$2199">
        <filterColumn colId="7">
          <customFilters>
            <customFilter val="*Array*"/>
          </customFilters>
        </filterColumn>
      </autoFilter>
    </customSheetView>
  </customSheetViews>
  <conditionalFormatting sqref="J1:L2215">
    <cfRule type="containsText" dxfId="0" priority="1" operator="containsText" text="True">
      <formula>NOT(ISERROR(SEARCH(("True"),(J1))))</formula>
    </cfRule>
  </conditionalFormatting>
  <conditionalFormatting sqref="J1:L2215">
    <cfRule type="containsText" dxfId="1" priority="2" operator="containsText" text="False">
      <formula>NOT(ISERROR(SEARCH(("False"),(J1))))</formula>
    </cfRule>
  </conditionalFormatting>
  <conditionalFormatting sqref="I1:I2215">
    <cfRule type="containsText" dxfId="2" priority="3" operator="containsText" text="Medium">
      <formula>NOT(ISERROR(SEARCH(("Medium"),(I1))))</formula>
    </cfRule>
  </conditionalFormatting>
  <conditionalFormatting sqref="I1:I2215">
    <cfRule type="containsText" dxfId="0" priority="4" operator="containsText" text="Easy">
      <formula>NOT(ISERROR(SEARCH(("Easy"),(I1))))</formula>
    </cfRule>
  </conditionalFormatting>
  <conditionalFormatting sqref="O1:O2215">
    <cfRule type="containsText" dxfId="1" priority="5" operator="containsText" text="Hard">
      <formula>NOT(ISERROR(SEARCH(("Hard"),(O1))))</formula>
    </cfRule>
  </conditionalFormatting>
  <conditionalFormatting sqref="I1:I2215">
    <cfRule type="containsText" dxfId="1" priority="6" operator="containsText" text="Hard">
      <formula>NOT(ISERROR(SEARCH(("Hard"),(I1))))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 outlineLevelRow="1"/>
  <cols>
    <col customWidth="1" min="1" max="1" width="6.71"/>
    <col customWidth="1" min="2" max="2" width="30.86"/>
    <col customWidth="1" min="3" max="3" width="8.57"/>
    <col customWidth="1" min="4" max="4" width="11.0"/>
    <col customWidth="1" min="5" max="5" width="12.29"/>
    <col customWidth="1" min="6" max="6" width="8.86"/>
    <col customWidth="1" min="7" max="7" width="23.0"/>
    <col customWidth="1" min="8" max="8" width="10.71"/>
    <col customWidth="1" min="9" max="9" width="8.57"/>
    <col customWidth="1" min="10" max="11" width="13.71"/>
    <col customWidth="1" min="12" max="12" width="13.0"/>
    <col customWidth="1" min="13" max="13" width="14.71"/>
    <col customWidth="1" min="14" max="14" width="13.29"/>
    <col customWidth="1" min="15" max="15" width="13.71"/>
    <col customWidth="1" min="16" max="18" width="15.71"/>
  </cols>
  <sheetData>
    <row r="1" ht="23.25" customHeight="1" outlineLevel="1">
      <c r="A1" s="22"/>
      <c r="B1" s="2" t="str">
        <f>HYPERLINK("https://github.com/adixmr/leetcode","Click to star the Github Repo")</f>
        <v>Click to star the Github Repo</v>
      </c>
      <c r="C1" s="3"/>
      <c r="D1" s="3"/>
      <c r="E1" s="23"/>
      <c r="F1" s="23"/>
      <c r="G1" s="24" t="str">
        <f>HYPERLINK("https://www.linkedin.com/in/aditya-kumar-rajput/","Connect/Follow on LinkedIn")</f>
        <v>Connect/Follow on LinkedIn</v>
      </c>
      <c r="H1" s="23"/>
      <c r="I1" s="23"/>
      <c r="J1" s="25"/>
      <c r="K1" s="25"/>
      <c r="L1" s="25"/>
      <c r="M1" s="29" t="s">
        <v>0</v>
      </c>
      <c r="N1" s="26" t="str">
        <f>SUBSTITUTE(MID(Github!BQ$3000, 12, 16), "T", " ") &amp; " (GMT)"</f>
        <v>2022-03-11 19:31 (GMT)</v>
      </c>
      <c r="O1" s="23"/>
    </row>
    <row r="2" ht="35.25" customHeight="1">
      <c r="A2" s="30" t="s">
        <v>1</v>
      </c>
      <c r="B2" s="31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9</v>
      </c>
      <c r="I2" s="30" t="s">
        <v>10</v>
      </c>
      <c r="J2" s="30"/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</row>
    <row r="3">
      <c r="A3" s="17">
        <f>Github!J$2</f>
        <v>1</v>
      </c>
      <c r="B3" s="27" t="str">
        <f>HYPERLINK(CONCAT("http://leetcode.com/problems/",Github!C$2), Github!B$2)</f>
        <v>Two Sum</v>
      </c>
      <c r="C3" s="17">
        <f>Github!F$2</f>
        <v>30049</v>
      </c>
      <c r="D3" s="17">
        <f>Github!G$2</f>
        <v>945</v>
      </c>
      <c r="E3" s="17">
        <f>Github!F$2+Github!G$2</f>
        <v>30994</v>
      </c>
      <c r="F3" s="18">
        <f t="shared" ref="F3:F2215" si="1">IFERROR(ROUND(C3/D3, 2), C3)</f>
        <v>31.8</v>
      </c>
      <c r="G3" s="17" t="str">
        <f>Github!H$2</f>
        <v>Algorithms</v>
      </c>
      <c r="H3" s="17" t="str">
        <f>Github!E$2</f>
        <v>Easy</v>
      </c>
      <c r="I3" s="17" t="str">
        <f>IF(TRIM(Github!D$2)="TRUE","FALSE","TRUE")</f>
        <v>TRUE</v>
      </c>
      <c r="J3" s="17"/>
      <c r="K3" s="17" t="str">
        <f>Github!L$2</f>
        <v>Array;Hash Table;</v>
      </c>
      <c r="L3" s="17" t="b">
        <f>Github!M$2</f>
        <v>1</v>
      </c>
      <c r="M3" s="17" t="str">
        <f>ROUND(Github!N$2, 2)&amp;"%"</f>
        <v>1%</v>
      </c>
      <c r="N3" s="17">
        <f>Github!O$2</f>
        <v>48.34225139</v>
      </c>
      <c r="O3" s="17">
        <f>Github!P$2</f>
        <v>6141290</v>
      </c>
    </row>
    <row r="4">
      <c r="A4" s="17">
        <f>Github!J$3</f>
        <v>2</v>
      </c>
      <c r="B4" s="27" t="str">
        <f>HYPERLINK(CONCAT("http://leetcode.com/problems/",Github!C$3), Github!B$3)</f>
        <v>Add Two Numbers</v>
      </c>
      <c r="C4" s="17">
        <f>Github!F$3</f>
        <v>17226</v>
      </c>
      <c r="D4" s="17">
        <f>Github!G$3</f>
        <v>3593</v>
      </c>
      <c r="E4" s="17">
        <f>Github!F$3+Github!G$3</f>
        <v>20819</v>
      </c>
      <c r="F4" s="18">
        <f t="shared" si="1"/>
        <v>4.79</v>
      </c>
      <c r="G4" s="17" t="str">
        <f>Github!H$3</f>
        <v>Algorithms</v>
      </c>
      <c r="H4" s="17" t="str">
        <f>Github!E$3</f>
        <v>Medium</v>
      </c>
      <c r="I4" s="17" t="str">
        <f>IF(TRIM(Github!D$3)="TRUE","FALSE","TRUE")</f>
        <v>TRUE</v>
      </c>
      <c r="J4" s="17"/>
      <c r="K4" s="17" t="str">
        <f>Github!L$3</f>
        <v>Linked List;Math;Recursion;</v>
      </c>
      <c r="L4" s="17" t="b">
        <f>Github!M$3</f>
        <v>1</v>
      </c>
      <c r="M4" s="17" t="str">
        <f>ROUND(Github!N$3, 2)&amp;"%"</f>
        <v>0%</v>
      </c>
      <c r="N4" s="17">
        <f>Github!O$3</f>
        <v>38.29319147</v>
      </c>
      <c r="O4" s="17">
        <f>Github!P$3</f>
        <v>2607699</v>
      </c>
    </row>
    <row r="5">
      <c r="A5" s="17">
        <f>Github!J$4</f>
        <v>3</v>
      </c>
      <c r="B5" s="27" t="str">
        <f>HYPERLINK(CONCAT("http://leetcode.com/problems/",Github!C$4), Github!B$4)</f>
        <v>Longest Substring Without Repeating Characters</v>
      </c>
      <c r="C5" s="17">
        <f>Github!F$4</f>
        <v>21990</v>
      </c>
      <c r="D5" s="17">
        <f>Github!G$4</f>
        <v>985</v>
      </c>
      <c r="E5" s="17">
        <f>Github!F$4+Github!G$4</f>
        <v>22975</v>
      </c>
      <c r="F5" s="18">
        <f t="shared" si="1"/>
        <v>22.32</v>
      </c>
      <c r="G5" s="17" t="str">
        <f>Github!H$4</f>
        <v>Algorithms</v>
      </c>
      <c r="H5" s="17" t="str">
        <f>Github!E$4</f>
        <v>Medium</v>
      </c>
      <c r="I5" s="17" t="str">
        <f>IF(TRIM(Github!D$4)="TRUE","FALSE","TRUE")</f>
        <v>TRUE</v>
      </c>
      <c r="J5" s="17"/>
      <c r="K5" s="17" t="str">
        <f>Github!L$4</f>
        <v>Hash Table;String;Sliding Window;</v>
      </c>
      <c r="L5" s="17" t="b">
        <f>Github!M$4</f>
        <v>1</v>
      </c>
      <c r="M5" s="17" t="str">
        <f>ROUND(Github!N$4, 2)&amp;"%"</f>
        <v>1%</v>
      </c>
      <c r="N5" s="17">
        <f>Github!O$4</f>
        <v>32.89878219</v>
      </c>
      <c r="O5" s="17">
        <f>Github!P$4</f>
        <v>3057875</v>
      </c>
    </row>
    <row r="6">
      <c r="A6" s="17">
        <f>Github!J$5</f>
        <v>4</v>
      </c>
      <c r="B6" s="27" t="str">
        <f>HYPERLINK(CONCAT("http://leetcode.com/problems/",Github!C$5), Github!B$5)</f>
        <v>Median of Two Sorted Arrays</v>
      </c>
      <c r="C6" s="17">
        <f>Github!F$5</f>
        <v>15335</v>
      </c>
      <c r="D6" s="17">
        <f>Github!G$5</f>
        <v>1920</v>
      </c>
      <c r="E6" s="17">
        <f>Github!F$5+Github!G$5</f>
        <v>17255</v>
      </c>
      <c r="F6" s="18">
        <f t="shared" si="1"/>
        <v>7.99</v>
      </c>
      <c r="G6" s="17" t="str">
        <f>Github!H$5</f>
        <v>Algorithms</v>
      </c>
      <c r="H6" s="17" t="str">
        <f>Github!E$5</f>
        <v>Hard</v>
      </c>
      <c r="I6" s="17" t="str">
        <f>IF(TRIM(Github!D$5)="TRUE","FALSE","TRUE")</f>
        <v>TRUE</v>
      </c>
      <c r="J6" s="17"/>
      <c r="K6" s="17" t="str">
        <f>Github!L$5</f>
        <v>Array;Binary Search;Divide and Conquer;</v>
      </c>
      <c r="L6" s="17" t="b">
        <f>Github!M$5</f>
        <v>0</v>
      </c>
      <c r="M6" s="17" t="str">
        <f>ROUND(Github!N$5, 2)&amp;"%"</f>
        <v>0%</v>
      </c>
      <c r="N6" s="17">
        <f>Github!O$5</f>
        <v>33.7823758</v>
      </c>
      <c r="O6" s="17">
        <f>Github!P$5</f>
        <v>1290429</v>
      </c>
    </row>
    <row r="7">
      <c r="A7" s="17">
        <f>Github!J$6</f>
        <v>5</v>
      </c>
      <c r="B7" s="27" t="str">
        <f>HYPERLINK(CONCAT("http://leetcode.com/problems/",Github!C$6), Github!B$6)</f>
        <v>Longest Palindromic Substring</v>
      </c>
      <c r="C7" s="17">
        <f>Github!F$6</f>
        <v>16449</v>
      </c>
      <c r="D7" s="17">
        <f>Github!G$6</f>
        <v>970</v>
      </c>
      <c r="E7" s="17">
        <f>Github!F$6+Github!G$6</f>
        <v>17419</v>
      </c>
      <c r="F7" s="18">
        <f t="shared" si="1"/>
        <v>16.96</v>
      </c>
      <c r="G7" s="17" t="str">
        <f>Github!H$6</f>
        <v>Algorithms</v>
      </c>
      <c r="H7" s="17" t="str">
        <f>Github!E$6</f>
        <v>Medium</v>
      </c>
      <c r="I7" s="17" t="str">
        <f>IF(TRIM(Github!D$6)="TRUE","FALSE","TRUE")</f>
        <v>TRUE</v>
      </c>
      <c r="J7" s="17"/>
      <c r="K7" s="17" t="str">
        <f>Github!L$6</f>
        <v>String;Dynamic Programming;</v>
      </c>
      <c r="L7" s="17" t="b">
        <f>Github!M$6</f>
        <v>1</v>
      </c>
      <c r="M7" s="17" t="str">
        <f>ROUND(Github!N$6, 2)&amp;"%"</f>
        <v>0%</v>
      </c>
      <c r="N7" s="17">
        <f>Github!O$6</f>
        <v>31.70168868</v>
      </c>
      <c r="O7" s="17">
        <f>Github!P$6</f>
        <v>1728857</v>
      </c>
    </row>
    <row r="8">
      <c r="A8" s="17">
        <f>Github!J$7</f>
        <v>6</v>
      </c>
      <c r="B8" s="27" t="str">
        <f>HYPERLINK(CONCAT("http://leetcode.com/problems/",Github!C$7), Github!B$7)</f>
        <v>Zigzag Conversion</v>
      </c>
      <c r="C8" s="17">
        <f>Github!F$7</f>
        <v>3431</v>
      </c>
      <c r="D8" s="17">
        <f>Github!G$7</f>
        <v>7969</v>
      </c>
      <c r="E8" s="17">
        <f>Github!F$7+Github!G$7</f>
        <v>11400</v>
      </c>
      <c r="F8" s="18">
        <f t="shared" si="1"/>
        <v>0.43</v>
      </c>
      <c r="G8" s="17" t="str">
        <f>Github!H$7</f>
        <v>Algorithms</v>
      </c>
      <c r="H8" s="17" t="str">
        <f>Github!E$7</f>
        <v>Medium</v>
      </c>
      <c r="I8" s="17" t="str">
        <f>IF(TRIM(Github!D$7)="TRUE","FALSE","TRUE")</f>
        <v>TRUE</v>
      </c>
      <c r="J8" s="17"/>
      <c r="K8" s="17" t="str">
        <f>Github!L$7</f>
        <v>String;</v>
      </c>
      <c r="L8" s="17" t="b">
        <f>Github!M$7</f>
        <v>1</v>
      </c>
      <c r="M8" s="17" t="str">
        <f>ROUND(Github!N$7, 2)&amp;"%"</f>
        <v>0%</v>
      </c>
      <c r="N8" s="17">
        <f>Github!O$7</f>
        <v>41.12525352</v>
      </c>
      <c r="O8" s="17">
        <f>Github!P$7</f>
        <v>727324</v>
      </c>
    </row>
    <row r="9">
      <c r="A9" s="17">
        <f>Github!J$8</f>
        <v>7</v>
      </c>
      <c r="B9" s="27" t="str">
        <f>HYPERLINK(CONCAT("http://leetcode.com/problems/",Github!C$8), Github!B$8)</f>
        <v>Reverse Integer</v>
      </c>
      <c r="C9" s="17">
        <f>Github!F$8</f>
        <v>6735</v>
      </c>
      <c r="D9" s="17">
        <f>Github!G$8</f>
        <v>9419</v>
      </c>
      <c r="E9" s="17">
        <f>Github!F$8+Github!G$8</f>
        <v>16154</v>
      </c>
      <c r="F9" s="18">
        <f t="shared" si="1"/>
        <v>0.72</v>
      </c>
      <c r="G9" s="17" t="str">
        <f>Github!H$8</f>
        <v>Algorithms</v>
      </c>
      <c r="H9" s="17" t="str">
        <f>Github!E$8</f>
        <v>Medium</v>
      </c>
      <c r="I9" s="17" t="str">
        <f>IF(TRIM(Github!D$8)="TRUE","FALSE","TRUE")</f>
        <v>TRUE</v>
      </c>
      <c r="J9" s="17"/>
      <c r="K9" s="17" t="str">
        <f>Github!L$8</f>
        <v>Math;</v>
      </c>
      <c r="L9" s="17" t="b">
        <f>Github!M$8</f>
        <v>1</v>
      </c>
      <c r="M9" s="17" t="str">
        <f>ROUND(Github!N$8, 2)&amp;"%"</f>
        <v>0%</v>
      </c>
      <c r="N9" s="17">
        <f>Github!O$8</f>
        <v>26.565699</v>
      </c>
      <c r="O9" s="17">
        <f>Github!P$8</f>
        <v>1979268</v>
      </c>
    </row>
    <row r="10">
      <c r="A10" s="17">
        <f>Github!J$9</f>
        <v>8</v>
      </c>
      <c r="B10" s="27" t="str">
        <f>HYPERLINK(CONCAT("http://leetcode.com/problems/",Github!C$9), Github!B$9)</f>
        <v>String to Integer (atoi)</v>
      </c>
      <c r="C10" s="17">
        <f>Github!F$9</f>
        <v>1451</v>
      </c>
      <c r="D10" s="17">
        <f>Github!G$9</f>
        <v>4150</v>
      </c>
      <c r="E10" s="17">
        <f>Github!F$9+Github!G$9</f>
        <v>5601</v>
      </c>
      <c r="F10" s="18">
        <f t="shared" si="1"/>
        <v>0.35</v>
      </c>
      <c r="G10" s="17" t="str">
        <f>Github!H$9</f>
        <v>Algorithms</v>
      </c>
      <c r="H10" s="17" t="str">
        <f>Github!E$9</f>
        <v>Medium</v>
      </c>
      <c r="I10" s="17" t="str">
        <f>IF(TRIM(Github!D$9)="TRUE","FALSE","TRUE")</f>
        <v>TRUE</v>
      </c>
      <c r="J10" s="17"/>
      <c r="K10" s="17" t="str">
        <f>Github!L$9</f>
        <v>String;</v>
      </c>
      <c r="L10" s="17" t="b">
        <f>Github!M$9</f>
        <v>1</v>
      </c>
      <c r="M10" s="17" t="str">
        <f>ROUND(Github!N$9, 2)&amp;"%"</f>
        <v>0%</v>
      </c>
      <c r="N10" s="17">
        <f>Github!O$9</f>
        <v>16.4765609</v>
      </c>
      <c r="O10" s="17">
        <f>Github!P$9</f>
        <v>958225</v>
      </c>
    </row>
    <row r="11">
      <c r="A11" s="17">
        <f>Github!J$10</f>
        <v>9</v>
      </c>
      <c r="B11" s="27" t="str">
        <f>HYPERLINK(CONCAT("http://leetcode.com/problems/",Github!C$10), Github!B$10)</f>
        <v>Palindrome Number</v>
      </c>
      <c r="C11" s="17">
        <f>Github!F$10</f>
        <v>5322</v>
      </c>
      <c r="D11" s="17">
        <f>Github!G$10</f>
        <v>2056</v>
      </c>
      <c r="E11" s="17">
        <f>Github!F$10+Github!G$10</f>
        <v>7378</v>
      </c>
      <c r="F11" s="18">
        <f t="shared" si="1"/>
        <v>2.59</v>
      </c>
      <c r="G11" s="17" t="str">
        <f>Github!H$10</f>
        <v>Algorithms</v>
      </c>
      <c r="H11" s="17" t="str">
        <f>Github!E$10</f>
        <v>Easy</v>
      </c>
      <c r="I11" s="17" t="str">
        <f>IF(TRIM(Github!D$10)="TRUE","FALSE","TRUE")</f>
        <v>TRUE</v>
      </c>
      <c r="J11" s="17"/>
      <c r="K11" s="17" t="str">
        <f>Github!L$10</f>
        <v>Math;</v>
      </c>
      <c r="L11" s="17" t="b">
        <f>Github!M$10</f>
        <v>1</v>
      </c>
      <c r="M11" s="17" t="str">
        <f>ROUND(Github!N$10, 2)&amp;"%"</f>
        <v>0%</v>
      </c>
      <c r="N11" s="17">
        <f>Github!O$10</f>
        <v>52.20381264</v>
      </c>
      <c r="O11" s="17">
        <f>Github!P$10</f>
        <v>1908907</v>
      </c>
    </row>
    <row r="12">
      <c r="A12" s="17">
        <f>Github!J$11</f>
        <v>10</v>
      </c>
      <c r="B12" s="27" t="str">
        <f>HYPERLINK(CONCAT("http://leetcode.com/problems/",Github!C$11), Github!B$11)</f>
        <v>Regular Expression Matching</v>
      </c>
      <c r="C12" s="17">
        <f>Github!F$11</f>
        <v>7691</v>
      </c>
      <c r="D12" s="17">
        <f>Github!G$11</f>
        <v>1117</v>
      </c>
      <c r="E12" s="17">
        <f>Github!F$11+Github!G$11</f>
        <v>8808</v>
      </c>
      <c r="F12" s="18">
        <f t="shared" si="1"/>
        <v>6.89</v>
      </c>
      <c r="G12" s="17" t="str">
        <f>Github!H$11</f>
        <v>Algorithms</v>
      </c>
      <c r="H12" s="17" t="str">
        <f>Github!E$11</f>
        <v>Hard</v>
      </c>
      <c r="I12" s="17" t="str">
        <f>IF(TRIM(Github!D$11)="TRUE","FALSE","TRUE")</f>
        <v>TRUE</v>
      </c>
      <c r="J12" s="17"/>
      <c r="K12" s="17" t="str">
        <f>Github!L$11</f>
        <v>String;Dynamic Programming;Recursion;</v>
      </c>
      <c r="L12" s="17" t="b">
        <f>Github!M$11</f>
        <v>1</v>
      </c>
      <c r="M12" s="17" t="str">
        <f>ROUND(Github!N$11, 2)&amp;"%"</f>
        <v>0%</v>
      </c>
      <c r="N12" s="17">
        <f>Github!O$11</f>
        <v>28.18390854</v>
      </c>
      <c r="O12" s="17">
        <f>Github!P$11</f>
        <v>653912</v>
      </c>
    </row>
    <row r="13">
      <c r="A13" s="17">
        <f>Github!J$12</f>
        <v>11</v>
      </c>
      <c r="B13" s="27" t="str">
        <f>HYPERLINK(CONCAT("http://leetcode.com/problems/",Github!C$12), Github!B$12)</f>
        <v>Container With Most Water</v>
      </c>
      <c r="C13" s="17">
        <f>Github!F$12</f>
        <v>14820</v>
      </c>
      <c r="D13" s="17">
        <f>Github!G$12</f>
        <v>889</v>
      </c>
      <c r="E13" s="17">
        <f>Github!F$12+Github!G$12</f>
        <v>15709</v>
      </c>
      <c r="F13" s="18">
        <f t="shared" si="1"/>
        <v>16.67</v>
      </c>
      <c r="G13" s="17" t="str">
        <f>Github!H$12</f>
        <v>Algorithms</v>
      </c>
      <c r="H13" s="17" t="str">
        <f>Github!E$12</f>
        <v>Medium</v>
      </c>
      <c r="I13" s="17" t="str">
        <f>IF(TRIM(Github!D$12)="TRUE","FALSE","TRUE")</f>
        <v>TRUE</v>
      </c>
      <c r="J13" s="17"/>
      <c r="K13" s="17" t="str">
        <f>Github!L$12</f>
        <v>Array;Two Pointers;Greedy;</v>
      </c>
      <c r="L13" s="17" t="b">
        <f>Github!M$12</f>
        <v>1</v>
      </c>
      <c r="M13" s="17" t="str">
        <f>ROUND(Github!N$12, 2)&amp;"%"</f>
        <v>1%</v>
      </c>
      <c r="N13" s="17">
        <f>Github!O$12</f>
        <v>53.42715674</v>
      </c>
      <c r="O13" s="17">
        <f>Github!P$12</f>
        <v>1339155</v>
      </c>
    </row>
    <row r="14">
      <c r="A14" s="17">
        <f>Github!J$13</f>
        <v>12</v>
      </c>
      <c r="B14" s="27" t="str">
        <f>HYPERLINK(CONCAT("http://leetcode.com/problems/",Github!C$13), Github!B$13)</f>
        <v>Integer to Roman</v>
      </c>
      <c r="C14" s="17">
        <f>Github!F$13</f>
        <v>2887</v>
      </c>
      <c r="D14" s="17">
        <f>Github!G$13</f>
        <v>3866</v>
      </c>
      <c r="E14" s="17">
        <f>Github!F$13+Github!G$13</f>
        <v>6753</v>
      </c>
      <c r="F14" s="18">
        <f t="shared" si="1"/>
        <v>0.75</v>
      </c>
      <c r="G14" s="17" t="str">
        <f>Github!H$13</f>
        <v>Algorithms</v>
      </c>
      <c r="H14" s="17" t="str">
        <f>Github!E$13</f>
        <v>Medium</v>
      </c>
      <c r="I14" s="17" t="str">
        <f>IF(TRIM(Github!D$13)="TRUE","FALSE","TRUE")</f>
        <v>TRUE</v>
      </c>
      <c r="J14" s="17"/>
      <c r="K14" s="17" t="str">
        <f>Github!L$13</f>
        <v>Hash Table;Math;String;</v>
      </c>
      <c r="L14" s="17" t="b">
        <f>Github!M$13</f>
        <v>1</v>
      </c>
      <c r="M14" s="17" t="str">
        <f>ROUND(Github!N$13, 2)&amp;"%"</f>
        <v>0%</v>
      </c>
      <c r="N14" s="17">
        <f>Github!O$13</f>
        <v>59.14631037</v>
      </c>
      <c r="O14" s="17">
        <f>Github!P$13</f>
        <v>649478</v>
      </c>
    </row>
    <row r="15">
      <c r="A15" s="17">
        <f>Github!J$14</f>
        <v>13</v>
      </c>
      <c r="B15" s="27" t="str">
        <f>HYPERLINK(CONCAT("http://leetcode.com/problems/",Github!C$14), Github!B$14)</f>
        <v>Roman to Integer</v>
      </c>
      <c r="C15" s="17">
        <f>Github!F$14</f>
        <v>3394</v>
      </c>
      <c r="D15" s="17">
        <f>Github!G$14</f>
        <v>243</v>
      </c>
      <c r="E15" s="17">
        <f>Github!F$14+Github!G$14</f>
        <v>3637</v>
      </c>
      <c r="F15" s="18">
        <f t="shared" si="1"/>
        <v>13.97</v>
      </c>
      <c r="G15" s="17" t="str">
        <f>Github!H$14</f>
        <v>Algorithms</v>
      </c>
      <c r="H15" s="17" t="str">
        <f>Github!E$14</f>
        <v>Easy</v>
      </c>
      <c r="I15" s="17" t="str">
        <f>IF(TRIM(Github!D$14)="TRUE","FALSE","TRUE")</f>
        <v>TRUE</v>
      </c>
      <c r="J15" s="17"/>
      <c r="K15" s="17" t="str">
        <f>Github!L$14</f>
        <v>Hash Table;Math;String;</v>
      </c>
      <c r="L15" s="17" t="b">
        <f>Github!M$14</f>
        <v>1</v>
      </c>
      <c r="M15" s="17" t="str">
        <f>ROUND(Github!N$14, 2)&amp;"%"</f>
        <v>0%</v>
      </c>
      <c r="N15" s="17">
        <f>Github!O$14</f>
        <v>57.88595408</v>
      </c>
      <c r="O15" s="17">
        <f>Github!P$14</f>
        <v>1425319</v>
      </c>
    </row>
    <row r="16">
      <c r="A16" s="17">
        <f>Github!J$15</f>
        <v>14</v>
      </c>
      <c r="B16" s="27" t="str">
        <f>HYPERLINK(CONCAT("http://leetcode.com/problems/",Github!C$15), Github!B$15)</f>
        <v>Longest Common Prefix</v>
      </c>
      <c r="C16" s="17">
        <f>Github!F$15</f>
        <v>7234</v>
      </c>
      <c r="D16" s="17">
        <f>Github!G$15</f>
        <v>2856</v>
      </c>
      <c r="E16" s="17">
        <f>Github!F$15+Github!G$15</f>
        <v>10090</v>
      </c>
      <c r="F16" s="18">
        <f t="shared" si="1"/>
        <v>2.53</v>
      </c>
      <c r="G16" s="17" t="str">
        <f>Github!H$15</f>
        <v>Algorithms</v>
      </c>
      <c r="H16" s="17" t="str">
        <f>Github!E$15</f>
        <v>Easy</v>
      </c>
      <c r="I16" s="17" t="str">
        <f>IF(TRIM(Github!D$15)="TRUE","FALSE","TRUE")</f>
        <v>TRUE</v>
      </c>
      <c r="J16" s="17"/>
      <c r="K16" s="17" t="str">
        <f>Github!L$15</f>
        <v>String;</v>
      </c>
      <c r="L16" s="17" t="b">
        <f>Github!M$15</f>
        <v>1</v>
      </c>
      <c r="M16" s="17" t="str">
        <f>ROUND(Github!N$15, 2)&amp;"%"</f>
        <v>0%</v>
      </c>
      <c r="N16" s="17">
        <f>Github!O$15</f>
        <v>39.0609497</v>
      </c>
      <c r="O16" s="17">
        <f>Github!P$15</f>
        <v>1467620</v>
      </c>
    </row>
    <row r="17">
      <c r="A17" s="17">
        <f>Github!J$16</f>
        <v>15</v>
      </c>
      <c r="B17" s="27" t="str">
        <f>HYPERLINK(CONCAT("http://leetcode.com/problems/",Github!C$16), Github!B$16)</f>
        <v>3Sum</v>
      </c>
      <c r="C17" s="17">
        <f>Github!F$16</f>
        <v>16515</v>
      </c>
      <c r="D17" s="17">
        <f>Github!G$16</f>
        <v>1579</v>
      </c>
      <c r="E17" s="17">
        <f>Github!F$16+Github!G$16</f>
        <v>18094</v>
      </c>
      <c r="F17" s="18">
        <f t="shared" si="1"/>
        <v>10.46</v>
      </c>
      <c r="G17" s="17" t="str">
        <f>Github!H$16</f>
        <v>Algorithms</v>
      </c>
      <c r="H17" s="17" t="str">
        <f>Github!E$16</f>
        <v>Medium</v>
      </c>
      <c r="I17" s="17" t="str">
        <f>IF(TRIM(Github!D$16)="TRUE","FALSE","TRUE")</f>
        <v>TRUE</v>
      </c>
      <c r="J17" s="17"/>
      <c r="K17" s="17" t="str">
        <f>Github!L$16</f>
        <v>Array;Two Pointers;Sorting;</v>
      </c>
      <c r="L17" s="17" t="b">
        <f>Github!M$16</f>
        <v>1</v>
      </c>
      <c r="M17" s="17" t="str">
        <f>ROUND(Github!N$16, 2)&amp;"%"</f>
        <v>0%</v>
      </c>
      <c r="N17" s="17">
        <f>Github!O$16</f>
        <v>30.74513698</v>
      </c>
      <c r="O17" s="17">
        <f>Github!P$16</f>
        <v>1815506</v>
      </c>
    </row>
    <row r="18">
      <c r="A18" s="17">
        <f>Github!J$17</f>
        <v>16</v>
      </c>
      <c r="B18" s="27" t="str">
        <f>HYPERLINK(CONCAT("http://leetcode.com/problems/",Github!C$17), Github!B$17)</f>
        <v>3Sum Closest</v>
      </c>
      <c r="C18" s="17">
        <f>Github!F$17</f>
        <v>5428</v>
      </c>
      <c r="D18" s="17">
        <f>Github!G$17</f>
        <v>235</v>
      </c>
      <c r="E18" s="17">
        <f>Github!F$17+Github!G$17</f>
        <v>5663</v>
      </c>
      <c r="F18" s="18">
        <f t="shared" si="1"/>
        <v>23.1</v>
      </c>
      <c r="G18" s="17" t="str">
        <f>Github!H$17</f>
        <v>Algorithms</v>
      </c>
      <c r="H18" s="17" t="str">
        <f>Github!E$17</f>
        <v>Medium</v>
      </c>
      <c r="I18" s="17" t="str">
        <f>IF(TRIM(Github!D$17)="TRUE","FALSE","TRUE")</f>
        <v>TRUE</v>
      </c>
      <c r="J18" s="17"/>
      <c r="K18" s="17" t="str">
        <f>Github!L$17</f>
        <v>Array;Two Pointers;Sorting;</v>
      </c>
      <c r="L18" s="17" t="b">
        <f>Github!M$17</f>
        <v>1</v>
      </c>
      <c r="M18" s="17" t="str">
        <f>ROUND(Github!N$17, 2)&amp;"%"</f>
        <v>0%</v>
      </c>
      <c r="N18" s="17">
        <f>Github!O$17</f>
        <v>47.05359148</v>
      </c>
      <c r="O18" s="17">
        <f>Github!P$17</f>
        <v>762835</v>
      </c>
    </row>
    <row r="19">
      <c r="A19" s="17">
        <f>Github!J$18</f>
        <v>17</v>
      </c>
      <c r="B19" s="27" t="str">
        <f>HYPERLINK(CONCAT("http://leetcode.com/problems/",Github!C$18), Github!B$18)</f>
        <v>Letter Combinations of a Phone Number</v>
      </c>
      <c r="C19" s="17">
        <f>Github!F$18</f>
        <v>9234</v>
      </c>
      <c r="D19" s="17">
        <f>Github!G$18</f>
        <v>641</v>
      </c>
      <c r="E19" s="17">
        <f>Github!F$18+Github!G$18</f>
        <v>9875</v>
      </c>
      <c r="F19" s="18">
        <f t="shared" si="1"/>
        <v>14.41</v>
      </c>
      <c r="G19" s="17" t="str">
        <f>Github!H$18</f>
        <v>Algorithms</v>
      </c>
      <c r="H19" s="17" t="str">
        <f>Github!E$18</f>
        <v>Medium</v>
      </c>
      <c r="I19" s="17" t="str">
        <f>IF(TRIM(Github!D$18)="TRUE","FALSE","TRUE")</f>
        <v>TRUE</v>
      </c>
      <c r="J19" s="17"/>
      <c r="K19" s="17" t="str">
        <f>Github!L$18</f>
        <v>Hash Table;String;Backtracking;</v>
      </c>
      <c r="L19" s="17" t="b">
        <f>Github!M$18</f>
        <v>1</v>
      </c>
      <c r="M19" s="17" t="str">
        <f>ROUND(Github!N$18, 2)&amp;"%"</f>
        <v>0%</v>
      </c>
      <c r="N19" s="17">
        <f>Github!O$18</f>
        <v>53.18843149</v>
      </c>
      <c r="O19" s="17">
        <f>Github!P$18</f>
        <v>1113199</v>
      </c>
    </row>
    <row r="20">
      <c r="A20" s="17">
        <f>Github!J$19</f>
        <v>18</v>
      </c>
      <c r="B20" s="27" t="str">
        <f>HYPERLINK(CONCAT("http://leetcode.com/problems/",Github!C$19), Github!B$19)</f>
        <v>4Sum</v>
      </c>
      <c r="C20" s="17">
        <f>Github!F$19</f>
        <v>5759</v>
      </c>
      <c r="D20" s="17">
        <f>Github!G$19</f>
        <v>656</v>
      </c>
      <c r="E20" s="17">
        <f>Github!F$19+Github!G$19</f>
        <v>6415</v>
      </c>
      <c r="F20" s="18">
        <f t="shared" si="1"/>
        <v>8.78</v>
      </c>
      <c r="G20" s="17" t="str">
        <f>Github!H$19</f>
        <v>Algorithms</v>
      </c>
      <c r="H20" s="17" t="str">
        <f>Github!E$19</f>
        <v>Medium</v>
      </c>
      <c r="I20" s="17" t="str">
        <f>IF(TRIM(Github!D$19)="TRUE","FALSE","TRUE")</f>
        <v>TRUE</v>
      </c>
      <c r="J20" s="17"/>
      <c r="K20" s="17" t="str">
        <f>Github!L$19</f>
        <v>Array;Two Pointers;Sorting;</v>
      </c>
      <c r="L20" s="17" t="b">
        <f>Github!M$19</f>
        <v>1</v>
      </c>
      <c r="M20" s="17" t="str">
        <f>ROUND(Github!N$19, 2)&amp;"%"</f>
        <v>0%</v>
      </c>
      <c r="N20" s="17">
        <f>Github!O$19</f>
        <v>37.09096302</v>
      </c>
      <c r="O20" s="17">
        <f>Github!P$19</f>
        <v>552715</v>
      </c>
    </row>
    <row r="21">
      <c r="A21" s="17">
        <f>Github!J$20</f>
        <v>19</v>
      </c>
      <c r="B21" s="27" t="str">
        <f>HYPERLINK(CONCAT("http://leetcode.com/problems/",Github!C$20), Github!B$20)</f>
        <v>Remove Nth Node From End of List</v>
      </c>
      <c r="C21" s="17">
        <f>Github!F$20</f>
        <v>9134</v>
      </c>
      <c r="D21" s="17">
        <f>Github!G$20</f>
        <v>434</v>
      </c>
      <c r="E21" s="17">
        <f>Github!F$20+Github!G$20</f>
        <v>9568</v>
      </c>
      <c r="F21" s="18">
        <f t="shared" si="1"/>
        <v>21.05</v>
      </c>
      <c r="G21" s="17" t="str">
        <f>Github!H$20</f>
        <v>Algorithms</v>
      </c>
      <c r="H21" s="17" t="str">
        <f>Github!E$20</f>
        <v>Medium</v>
      </c>
      <c r="I21" s="17" t="str">
        <f>IF(TRIM(Github!D$20)="TRUE","FALSE","TRUE")</f>
        <v>TRUE</v>
      </c>
      <c r="J21" s="17"/>
      <c r="K21" s="17" t="str">
        <f>Github!L$20</f>
        <v>Linked List;Two Pointers;</v>
      </c>
      <c r="L21" s="17" t="b">
        <f>Github!M$20</f>
        <v>1</v>
      </c>
      <c r="M21" s="17" t="str">
        <f>ROUND(Github!N$20, 2)&amp;"%"</f>
        <v>1%</v>
      </c>
      <c r="N21" s="17">
        <f>Github!O$20</f>
        <v>38.01451451</v>
      </c>
      <c r="O21" s="17">
        <f>Github!P$20</f>
        <v>1284304</v>
      </c>
    </row>
    <row r="22">
      <c r="A22" s="17">
        <f>Github!J$21</f>
        <v>20</v>
      </c>
      <c r="B22" s="27" t="str">
        <f>HYPERLINK(CONCAT("http://leetcode.com/problems/",Github!C$21), Github!B$21)</f>
        <v>Valid Parentheses</v>
      </c>
      <c r="C22" s="17">
        <f>Github!F$21</f>
        <v>11641</v>
      </c>
      <c r="D22" s="17">
        <f>Github!G$21</f>
        <v>515</v>
      </c>
      <c r="E22" s="17">
        <f>Github!F$21+Github!G$21</f>
        <v>12156</v>
      </c>
      <c r="F22" s="18">
        <f t="shared" si="1"/>
        <v>22.6</v>
      </c>
      <c r="G22" s="17" t="str">
        <f>Github!H$21</f>
        <v>Algorithms</v>
      </c>
      <c r="H22" s="17" t="str">
        <f>Github!E$21</f>
        <v>Easy</v>
      </c>
      <c r="I22" s="17" t="str">
        <f>IF(TRIM(Github!D$21)="TRUE","FALSE","TRUE")</f>
        <v>TRUE</v>
      </c>
      <c r="J22" s="17"/>
      <c r="K22" s="17" t="str">
        <f>Github!L$21</f>
        <v>String;Stack;</v>
      </c>
      <c r="L22" s="17" t="b">
        <f>Github!M$21</f>
        <v>1</v>
      </c>
      <c r="M22" s="17" t="str">
        <f>ROUND(Github!N$21, 2)&amp;"%"</f>
        <v>1%</v>
      </c>
      <c r="N22" s="17">
        <f>Github!O$21</f>
        <v>40.61188203</v>
      </c>
      <c r="O22" s="17">
        <f>Github!P$21</f>
        <v>2029783</v>
      </c>
    </row>
    <row r="23">
      <c r="A23" s="17">
        <f>Github!J$22</f>
        <v>21</v>
      </c>
      <c r="B23" s="27" t="str">
        <f>HYPERLINK(CONCAT("http://leetcode.com/problems/",Github!C$22), Github!B$22)</f>
        <v>Merge Two Sorted Lists</v>
      </c>
      <c r="C23" s="17">
        <f>Github!F$22</f>
        <v>11322</v>
      </c>
      <c r="D23" s="17">
        <f>Github!G$22</f>
        <v>1020</v>
      </c>
      <c r="E23" s="17">
        <f>Github!F$22+Github!G$22</f>
        <v>12342</v>
      </c>
      <c r="F23" s="18">
        <f t="shared" si="1"/>
        <v>11.1</v>
      </c>
      <c r="G23" s="17" t="str">
        <f>Github!H$22</f>
        <v>Algorithms</v>
      </c>
      <c r="H23" s="17" t="str">
        <f>Github!E$22</f>
        <v>Easy</v>
      </c>
      <c r="I23" s="17" t="str">
        <f>IF(TRIM(Github!D$22)="TRUE","FALSE","TRUE")</f>
        <v>TRUE</v>
      </c>
      <c r="J23" s="17"/>
      <c r="K23" s="17" t="str">
        <f>Github!L$22</f>
        <v>Linked List;Recursion;</v>
      </c>
      <c r="L23" s="17" t="b">
        <f>Github!M$22</f>
        <v>1</v>
      </c>
      <c r="M23" s="17" t="str">
        <f>ROUND(Github!N$22, 2)&amp;"%"</f>
        <v>1%</v>
      </c>
      <c r="N23" s="17">
        <f>Github!O$22</f>
        <v>59.89283101</v>
      </c>
      <c r="O23" s="17">
        <f>Github!P$22</f>
        <v>2038563</v>
      </c>
    </row>
    <row r="24">
      <c r="A24" s="17">
        <f>Github!J$23</f>
        <v>22</v>
      </c>
      <c r="B24" s="27" t="str">
        <f>HYPERLINK(CONCAT("http://leetcode.com/problems/",Github!C$23), Github!B$23)</f>
        <v>Generate Parentheses</v>
      </c>
      <c r="C24" s="17">
        <f>Github!F$23</f>
        <v>11973</v>
      </c>
      <c r="D24" s="17">
        <f>Github!G$23</f>
        <v>468</v>
      </c>
      <c r="E24" s="17">
        <f>Github!F$23+Github!G$23</f>
        <v>12441</v>
      </c>
      <c r="F24" s="18">
        <f t="shared" si="1"/>
        <v>25.58</v>
      </c>
      <c r="G24" s="17" t="str">
        <f>Github!H$23</f>
        <v>Algorithms</v>
      </c>
      <c r="H24" s="17" t="str">
        <f>Github!E$23</f>
        <v>Medium</v>
      </c>
      <c r="I24" s="17" t="str">
        <f>IF(TRIM(Github!D$23)="TRUE","FALSE","TRUE")</f>
        <v>TRUE</v>
      </c>
      <c r="J24" s="17"/>
      <c r="K24" s="17" t="str">
        <f>Github!L$23</f>
        <v>String;Dynamic Programming;Backtracking;</v>
      </c>
      <c r="L24" s="17" t="b">
        <f>Github!M$23</f>
        <v>1</v>
      </c>
      <c r="M24" s="17" t="str">
        <f>ROUND(Github!N$23, 2)&amp;"%"</f>
        <v>0%</v>
      </c>
      <c r="N24" s="17">
        <f>Github!O$23</f>
        <v>69.58907502</v>
      </c>
      <c r="O24" s="17">
        <f>Github!P$23</f>
        <v>1000339</v>
      </c>
    </row>
    <row r="25">
      <c r="A25" s="17">
        <f>Github!J$24</f>
        <v>23</v>
      </c>
      <c r="B25" s="27" t="str">
        <f>HYPERLINK(CONCAT("http://leetcode.com/problems/",Github!C$24), Github!B$24)</f>
        <v>Merge k Sorted Lists</v>
      </c>
      <c r="C25" s="17">
        <f>Github!F$24</f>
        <v>11431</v>
      </c>
      <c r="D25" s="17">
        <f>Github!G$24</f>
        <v>453</v>
      </c>
      <c r="E25" s="17">
        <f>Github!F$24+Github!G$24</f>
        <v>11884</v>
      </c>
      <c r="F25" s="18">
        <f t="shared" si="1"/>
        <v>25.23</v>
      </c>
      <c r="G25" s="17" t="str">
        <f>Github!H$24</f>
        <v>Algorithms</v>
      </c>
      <c r="H25" s="17" t="str">
        <f>Github!E$24</f>
        <v>Hard</v>
      </c>
      <c r="I25" s="17" t="str">
        <f>IF(TRIM(Github!D$24)="TRUE","FALSE","TRUE")</f>
        <v>TRUE</v>
      </c>
      <c r="J25" s="17"/>
      <c r="K25" s="17" t="str">
        <f>Github!L$24</f>
        <v>Linked List;Divide and Conquer;Heap (Priority Queue);Merge Sort;</v>
      </c>
      <c r="L25" s="17" t="b">
        <f>Github!M$24</f>
        <v>1</v>
      </c>
      <c r="M25" s="17" t="str">
        <f>ROUND(Github!N$24, 2)&amp;"%"</f>
        <v>0%</v>
      </c>
      <c r="N25" s="17">
        <f>Github!O$24</f>
        <v>46.64050563</v>
      </c>
      <c r="O25" s="17">
        <f>Github!P$24</f>
        <v>1194119</v>
      </c>
    </row>
    <row r="26">
      <c r="A26" s="17">
        <f>Github!J$25</f>
        <v>24</v>
      </c>
      <c r="B26" s="27" t="str">
        <f>HYPERLINK(CONCAT("http://leetcode.com/problems/",Github!C$25), Github!B$25)</f>
        <v>Swap Nodes in Pairs</v>
      </c>
      <c r="C26" s="17">
        <f>Github!F$25</f>
        <v>6506</v>
      </c>
      <c r="D26" s="17">
        <f>Github!G$25</f>
        <v>283</v>
      </c>
      <c r="E26" s="17">
        <f>Github!F$25+Github!G$25</f>
        <v>6789</v>
      </c>
      <c r="F26" s="18">
        <f t="shared" si="1"/>
        <v>22.99</v>
      </c>
      <c r="G26" s="17" t="str">
        <f>Github!H$25</f>
        <v>Algorithms</v>
      </c>
      <c r="H26" s="17" t="str">
        <f>Github!E$25</f>
        <v>Medium</v>
      </c>
      <c r="I26" s="17" t="str">
        <f>IF(TRIM(Github!D$25)="TRUE","FALSE","TRUE")</f>
        <v>TRUE</v>
      </c>
      <c r="J26" s="17"/>
      <c r="K26" s="17" t="str">
        <f>Github!L$25</f>
        <v>Linked List;Recursion;</v>
      </c>
      <c r="L26" s="17" t="b">
        <f>Github!M$25</f>
        <v>1</v>
      </c>
      <c r="M26" s="17" t="str">
        <f>ROUND(Github!N$25, 2)&amp;"%"</f>
        <v>0%</v>
      </c>
      <c r="N26" s="17">
        <f>Github!O$25</f>
        <v>58.2597345</v>
      </c>
      <c r="O26" s="17">
        <f>Github!P$25</f>
        <v>827925</v>
      </c>
    </row>
    <row r="27">
      <c r="A27" s="17">
        <f>Github!J$26</f>
        <v>25</v>
      </c>
      <c r="B27" s="27" t="str">
        <f>HYPERLINK(CONCAT("http://leetcode.com/problems/",Github!C$26), Github!B$26)</f>
        <v>Reverse Nodes in k-Group</v>
      </c>
      <c r="C27" s="17">
        <f>Github!F$26</f>
        <v>6536</v>
      </c>
      <c r="D27" s="17">
        <f>Github!G$26</f>
        <v>475</v>
      </c>
      <c r="E27" s="17">
        <f>Github!F$26+Github!G$26</f>
        <v>7011</v>
      </c>
      <c r="F27" s="18">
        <f t="shared" si="1"/>
        <v>13.76</v>
      </c>
      <c r="G27" s="17" t="str">
        <f>Github!H$26</f>
        <v>Algorithms</v>
      </c>
      <c r="H27" s="17" t="str">
        <f>Github!E$26</f>
        <v>Hard</v>
      </c>
      <c r="I27" s="17" t="str">
        <f>IF(TRIM(Github!D$26)="TRUE","FALSE","TRUE")</f>
        <v>TRUE</v>
      </c>
      <c r="J27" s="17"/>
      <c r="K27" s="17" t="str">
        <f>Github!L$26</f>
        <v>Linked List;Recursion;</v>
      </c>
      <c r="L27" s="17" t="b">
        <f>Github!M$26</f>
        <v>1</v>
      </c>
      <c r="M27" s="17" t="str">
        <f>ROUND(Github!N$26, 2)&amp;"%"</f>
        <v>0%</v>
      </c>
      <c r="N27" s="17">
        <f>Github!O$26</f>
        <v>50.45543927</v>
      </c>
      <c r="O27" s="17">
        <f>Github!P$26</f>
        <v>484173</v>
      </c>
    </row>
    <row r="28">
      <c r="A28" s="17">
        <f>Github!J$27</f>
        <v>26</v>
      </c>
      <c r="B28" s="27" t="str">
        <f>HYPERLINK(CONCAT("http://leetcode.com/problems/",Github!C$27), Github!B$27)</f>
        <v>Remove Duplicates from Sorted Array</v>
      </c>
      <c r="C28" s="17">
        <f>Github!F$27</f>
        <v>6077</v>
      </c>
      <c r="D28" s="17">
        <f>Github!G$27</f>
        <v>9551</v>
      </c>
      <c r="E28" s="17">
        <f>Github!F$27+Github!G$27</f>
        <v>15628</v>
      </c>
      <c r="F28" s="18">
        <f t="shared" si="1"/>
        <v>0.64</v>
      </c>
      <c r="G28" s="17" t="str">
        <f>Github!H$27</f>
        <v>Algorithms</v>
      </c>
      <c r="H28" s="17" t="str">
        <f>Github!E$27</f>
        <v>Easy</v>
      </c>
      <c r="I28" s="17" t="str">
        <f>IF(TRIM(Github!D$27)="TRUE","FALSE","TRUE")</f>
        <v>TRUE</v>
      </c>
      <c r="J28" s="17"/>
      <c r="K28" s="17" t="str">
        <f>Github!L$27</f>
        <v>Array;Two Pointers;</v>
      </c>
      <c r="L28" s="17" t="b">
        <f>Github!M$27</f>
        <v>1</v>
      </c>
      <c r="M28" s="17" t="str">
        <f>ROUND(Github!N$27, 2)&amp;"%"</f>
        <v>1%</v>
      </c>
      <c r="N28" s="17">
        <f>Github!O$27</f>
        <v>48.44924547</v>
      </c>
      <c r="O28" s="17">
        <f>Github!P$27</f>
        <v>1999467</v>
      </c>
    </row>
    <row r="29">
      <c r="A29" s="17">
        <f>Github!J$28</f>
        <v>27</v>
      </c>
      <c r="B29" s="27" t="str">
        <f>HYPERLINK(CONCAT("http://leetcode.com/problems/",Github!C$28), Github!B$28)</f>
        <v>Remove Element</v>
      </c>
      <c r="C29" s="17">
        <f>Github!F$28</f>
        <v>3287</v>
      </c>
      <c r="D29" s="17">
        <f>Github!G$28</f>
        <v>4957</v>
      </c>
      <c r="E29" s="17">
        <f>Github!F$28+Github!G$28</f>
        <v>8244</v>
      </c>
      <c r="F29" s="18">
        <f t="shared" si="1"/>
        <v>0.66</v>
      </c>
      <c r="G29" s="17" t="str">
        <f>Github!H$28</f>
        <v>Algorithms</v>
      </c>
      <c r="H29" s="17" t="str">
        <f>Github!E$28</f>
        <v>Easy</v>
      </c>
      <c r="I29" s="17" t="str">
        <f>IF(TRIM(Github!D$28)="TRUE","FALSE","TRUE")</f>
        <v>TRUE</v>
      </c>
      <c r="J29" s="17"/>
      <c r="K29" s="17" t="str">
        <f>Github!L$28</f>
        <v>Array;Two Pointers;</v>
      </c>
      <c r="L29" s="17" t="b">
        <f>Github!M$28</f>
        <v>1</v>
      </c>
      <c r="M29" s="17" t="str">
        <f>ROUND(Github!N$28, 2)&amp;"%"</f>
        <v>0%</v>
      </c>
      <c r="N29" s="17">
        <f>Github!O$28</f>
        <v>50.9904852</v>
      </c>
      <c r="O29" s="17">
        <f>Github!P$28</f>
        <v>1194835</v>
      </c>
    </row>
    <row r="30">
      <c r="A30" s="17">
        <f>Github!J$29</f>
        <v>28</v>
      </c>
      <c r="B30" s="27" t="str">
        <f>HYPERLINK(CONCAT("http://leetcode.com/problems/",Github!C$29), Github!B$29)</f>
        <v>Implement strStr()</v>
      </c>
      <c r="C30" s="17">
        <f>Github!F$29</f>
        <v>3675</v>
      </c>
      <c r="D30" s="17">
        <f>Github!G$29</f>
        <v>3458</v>
      </c>
      <c r="E30" s="17">
        <f>Github!F$29+Github!G$29</f>
        <v>7133</v>
      </c>
      <c r="F30" s="18">
        <f t="shared" si="1"/>
        <v>1.06</v>
      </c>
      <c r="G30" s="17" t="str">
        <f>Github!H$29</f>
        <v>Algorithms</v>
      </c>
      <c r="H30" s="17" t="str">
        <f>Github!E$29</f>
        <v>Easy</v>
      </c>
      <c r="I30" s="17" t="str">
        <f>IF(TRIM(Github!D$29)="TRUE","FALSE","TRUE")</f>
        <v>TRUE</v>
      </c>
      <c r="J30" s="17"/>
      <c r="K30" s="17" t="str">
        <f>Github!L$29</f>
        <v>Two Pointers;String;String Matching;</v>
      </c>
      <c r="L30" s="17" t="b">
        <f>Github!M$29</f>
        <v>0</v>
      </c>
      <c r="M30" s="17" t="str">
        <f>ROUND(Github!N$29, 2)&amp;"%"</f>
        <v>0%</v>
      </c>
      <c r="N30" s="17">
        <f>Github!O$29</f>
        <v>35.61800155</v>
      </c>
      <c r="O30" s="17">
        <f>Github!P$29</f>
        <v>1172642</v>
      </c>
    </row>
    <row r="31">
      <c r="A31" s="17">
        <f>Github!J$30</f>
        <v>29</v>
      </c>
      <c r="B31" s="27" t="str">
        <f>HYPERLINK(CONCAT("http://leetcode.com/problems/",Github!C$30), Github!B$30)</f>
        <v>Divide Two Integers</v>
      </c>
      <c r="C31" s="17">
        <f>Github!F$30</f>
        <v>2579</v>
      </c>
      <c r="D31" s="17">
        <f>Github!G$30</f>
        <v>9085</v>
      </c>
      <c r="E31" s="17">
        <f>Github!F$30+Github!G$30</f>
        <v>11664</v>
      </c>
      <c r="F31" s="18">
        <f t="shared" si="1"/>
        <v>0.28</v>
      </c>
      <c r="G31" s="17" t="str">
        <f>Github!H$30</f>
        <v>Algorithms</v>
      </c>
      <c r="H31" s="17" t="str">
        <f>Github!E$30</f>
        <v>Medium</v>
      </c>
      <c r="I31" s="17" t="str">
        <f>IF(TRIM(Github!D$30)="TRUE","FALSE","TRUE")</f>
        <v>TRUE</v>
      </c>
      <c r="J31" s="17"/>
      <c r="K31" s="17" t="str">
        <f>Github!L$30</f>
        <v>Math;Bit Manipulation;</v>
      </c>
      <c r="L31" s="17" t="b">
        <f>Github!M$30</f>
        <v>1</v>
      </c>
      <c r="M31" s="17" t="str">
        <f>ROUND(Github!N$30, 2)&amp;"%"</f>
        <v>0%</v>
      </c>
      <c r="N31" s="17">
        <f>Github!O$30</f>
        <v>17.04502491</v>
      </c>
      <c r="O31" s="17">
        <f>Github!P$30</f>
        <v>452629</v>
      </c>
    </row>
    <row r="32">
      <c r="A32" s="17">
        <f>Github!J$31</f>
        <v>30</v>
      </c>
      <c r="B32" s="27" t="str">
        <f>HYPERLINK(CONCAT("http://leetcode.com/problems/",Github!C$31), Github!B$31)</f>
        <v>Substring with Concatenation of All Words</v>
      </c>
      <c r="C32" s="17">
        <f>Github!F$31</f>
        <v>1812</v>
      </c>
      <c r="D32" s="17">
        <f>Github!G$31</f>
        <v>1798</v>
      </c>
      <c r="E32" s="17">
        <f>Github!F$31+Github!G$31</f>
        <v>3610</v>
      </c>
      <c r="F32" s="18">
        <f t="shared" si="1"/>
        <v>1.01</v>
      </c>
      <c r="G32" s="17" t="str">
        <f>Github!H$31</f>
        <v>Algorithms</v>
      </c>
      <c r="H32" s="17" t="str">
        <f>Github!E$31</f>
        <v>Hard</v>
      </c>
      <c r="I32" s="17" t="str">
        <f>IF(TRIM(Github!D$31)="TRUE","FALSE","TRUE")</f>
        <v>TRUE</v>
      </c>
      <c r="J32" s="17"/>
      <c r="K32" s="17" t="str">
        <f>Github!L$31</f>
        <v>Hash Table;String;Sliding Window;</v>
      </c>
      <c r="L32" s="17" t="b">
        <f>Github!M$31</f>
        <v>1</v>
      </c>
      <c r="M32" s="17" t="str">
        <f>ROUND(Github!N$31, 2)&amp;"%"</f>
        <v>0%</v>
      </c>
      <c r="N32" s="17">
        <f>Github!O$31</f>
        <v>27.8721105</v>
      </c>
      <c r="O32" s="17">
        <f>Github!P$31</f>
        <v>245286</v>
      </c>
    </row>
    <row r="33">
      <c r="A33" s="17">
        <f>Github!J$32</f>
        <v>31</v>
      </c>
      <c r="B33" s="27" t="str">
        <f>HYPERLINK(CONCAT("http://leetcode.com/problems/",Github!C$32), Github!B$32)</f>
        <v>Next Permutation</v>
      </c>
      <c r="C33" s="17">
        <f>Github!F$32</f>
        <v>9113</v>
      </c>
      <c r="D33" s="17">
        <f>Github!G$32</f>
        <v>3070</v>
      </c>
      <c r="E33" s="17">
        <f>Github!F$32+Github!G$32</f>
        <v>12183</v>
      </c>
      <c r="F33" s="18">
        <f t="shared" si="1"/>
        <v>2.97</v>
      </c>
      <c r="G33" s="17" t="str">
        <f>Github!H$32</f>
        <v>Algorithms</v>
      </c>
      <c r="H33" s="17" t="str">
        <f>Github!E$32</f>
        <v>Medium</v>
      </c>
      <c r="I33" s="17" t="str">
        <f>IF(TRIM(Github!D$32)="TRUE","FALSE","TRUE")</f>
        <v>TRUE</v>
      </c>
      <c r="J33" s="17"/>
      <c r="K33" s="17" t="str">
        <f>Github!L$32</f>
        <v>Array;Two Pointers;</v>
      </c>
      <c r="L33" s="17" t="b">
        <f>Github!M$32</f>
        <v>1</v>
      </c>
      <c r="M33" s="17" t="str">
        <f>ROUND(Github!N$32, 2)&amp;"%"</f>
        <v>0%</v>
      </c>
      <c r="N33" s="17">
        <f>Github!O$32</f>
        <v>35.41828034</v>
      </c>
      <c r="O33" s="17">
        <f>Github!P$32</f>
        <v>721094</v>
      </c>
    </row>
    <row r="34">
      <c r="A34" s="17">
        <f>Github!J$33</f>
        <v>32</v>
      </c>
      <c r="B34" s="27" t="str">
        <f>HYPERLINK(CONCAT("http://leetcode.com/problems/",Github!C$33), Github!B$33)</f>
        <v>Longest Valid Parentheses</v>
      </c>
      <c r="C34" s="17">
        <f>Github!F$33</f>
        <v>7262</v>
      </c>
      <c r="D34" s="17">
        <f>Github!G$33</f>
        <v>248</v>
      </c>
      <c r="E34" s="17">
        <f>Github!F$33+Github!G$33</f>
        <v>7510</v>
      </c>
      <c r="F34" s="18">
        <f t="shared" si="1"/>
        <v>29.28</v>
      </c>
      <c r="G34" s="17" t="str">
        <f>Github!H$33</f>
        <v>Algorithms</v>
      </c>
      <c r="H34" s="17" t="str">
        <f>Github!E$33</f>
        <v>Hard</v>
      </c>
      <c r="I34" s="17" t="str">
        <f>IF(TRIM(Github!D$33)="TRUE","FALSE","TRUE")</f>
        <v>TRUE</v>
      </c>
      <c r="J34" s="17"/>
      <c r="K34" s="17" t="str">
        <f>Github!L$33</f>
        <v>String;Dynamic Programming;Stack;</v>
      </c>
      <c r="L34" s="17" t="b">
        <f>Github!M$33</f>
        <v>1</v>
      </c>
      <c r="M34" s="17" t="str">
        <f>ROUND(Github!N$33, 2)&amp;"%"</f>
        <v>0%</v>
      </c>
      <c r="N34" s="17">
        <f>Github!O$33</f>
        <v>31.12535416</v>
      </c>
      <c r="O34" s="17">
        <f>Github!P$33</f>
        <v>463038</v>
      </c>
    </row>
    <row r="35">
      <c r="A35" s="17">
        <f>Github!J$34</f>
        <v>33</v>
      </c>
      <c r="B35" s="27" t="str">
        <f>HYPERLINK(CONCAT("http://leetcode.com/problems/",Github!C$34), Github!B$34)</f>
        <v>Search in Rotated Sorted Array</v>
      </c>
      <c r="C35" s="17">
        <f>Github!F$34</f>
        <v>12999</v>
      </c>
      <c r="D35" s="17">
        <f>Github!G$34</f>
        <v>851</v>
      </c>
      <c r="E35" s="17">
        <f>Github!F$34+Github!G$34</f>
        <v>13850</v>
      </c>
      <c r="F35" s="18">
        <f t="shared" si="1"/>
        <v>15.27</v>
      </c>
      <c r="G35" s="17" t="str">
        <f>Github!H$34</f>
        <v>Algorithms</v>
      </c>
      <c r="H35" s="17" t="str">
        <f>Github!E$34</f>
        <v>Medium</v>
      </c>
      <c r="I35" s="17" t="str">
        <f>IF(TRIM(Github!D$34)="TRUE","FALSE","TRUE")</f>
        <v>TRUE</v>
      </c>
      <c r="J35" s="17"/>
      <c r="K35" s="17" t="str">
        <f>Github!L$34</f>
        <v>Array;Binary Search;</v>
      </c>
      <c r="L35" s="17" t="b">
        <f>Github!M$34</f>
        <v>1</v>
      </c>
      <c r="M35" s="17" t="str">
        <f>ROUND(Github!N$34, 2)&amp;"%"</f>
        <v>0%</v>
      </c>
      <c r="N35" s="17">
        <f>Github!O$34</f>
        <v>37.53484261</v>
      </c>
      <c r="O35" s="17">
        <f>Github!P$34</f>
        <v>1374027</v>
      </c>
    </row>
    <row r="36">
      <c r="A36" s="17">
        <f>Github!J$35</f>
        <v>34</v>
      </c>
      <c r="B36" s="27" t="str">
        <f>HYPERLINK(CONCAT("http://leetcode.com/problems/",Github!C$35), Github!B$35)</f>
        <v>Find First and Last Position of Element in Sorted Array</v>
      </c>
      <c r="C36" s="17">
        <f>Github!F$35</f>
        <v>9659</v>
      </c>
      <c r="D36" s="17">
        <f>Github!G$35</f>
        <v>274</v>
      </c>
      <c r="E36" s="17">
        <f>Github!F$35+Github!G$35</f>
        <v>9933</v>
      </c>
      <c r="F36" s="18">
        <f t="shared" si="1"/>
        <v>35.25</v>
      </c>
      <c r="G36" s="17" t="str">
        <f>Github!H$35</f>
        <v>Algorithms</v>
      </c>
      <c r="H36" s="17" t="str">
        <f>Github!E$35</f>
        <v>Medium</v>
      </c>
      <c r="I36" s="17" t="str">
        <f>IF(TRIM(Github!D$35)="TRUE","FALSE","TRUE")</f>
        <v>TRUE</v>
      </c>
      <c r="J36" s="17"/>
      <c r="K36" s="17" t="str">
        <f>Github!L$35</f>
        <v>Array;Binary Search;</v>
      </c>
      <c r="L36" s="17" t="b">
        <f>Github!M$35</f>
        <v>1</v>
      </c>
      <c r="M36" s="17" t="str">
        <f>ROUND(Github!N$35, 2)&amp;"%"</f>
        <v>0%</v>
      </c>
      <c r="N36" s="17">
        <f>Github!O$35</f>
        <v>39.75920956</v>
      </c>
      <c r="O36" s="17">
        <f>Github!P$35</f>
        <v>1016480</v>
      </c>
    </row>
    <row r="37">
      <c r="A37" s="17">
        <f>Github!J$36</f>
        <v>35</v>
      </c>
      <c r="B37" s="27" t="str">
        <f>HYPERLINK(CONCAT("http://leetcode.com/problems/",Github!C$36), Github!B$36)</f>
        <v>Search Insert Position</v>
      </c>
      <c r="C37" s="17">
        <f>Github!F$36</f>
        <v>7044</v>
      </c>
      <c r="D37" s="17">
        <f>Github!G$36</f>
        <v>387</v>
      </c>
      <c r="E37" s="17">
        <f>Github!F$36+Github!G$36</f>
        <v>7431</v>
      </c>
      <c r="F37" s="18">
        <f t="shared" si="1"/>
        <v>18.2</v>
      </c>
      <c r="G37" s="17" t="str">
        <f>Github!H$36</f>
        <v>Algorithms</v>
      </c>
      <c r="H37" s="17" t="str">
        <f>Github!E$36</f>
        <v>Easy</v>
      </c>
      <c r="I37" s="17" t="str">
        <f>IF(TRIM(Github!D$36)="TRUE","FALSE","TRUE")</f>
        <v>TRUE</v>
      </c>
      <c r="J37" s="17"/>
      <c r="K37" s="17" t="str">
        <f>Github!L$36</f>
        <v>Array;Binary Search;</v>
      </c>
      <c r="L37" s="17" t="b">
        <f>Github!M$36</f>
        <v>1</v>
      </c>
      <c r="M37" s="17" t="str">
        <f>ROUND(Github!N$36, 2)&amp;"%"</f>
        <v>0%</v>
      </c>
      <c r="N37" s="17">
        <f>Github!O$36</f>
        <v>42.40557071</v>
      </c>
      <c r="O37" s="17">
        <f>Github!P$36</f>
        <v>1303235</v>
      </c>
    </row>
    <row r="38">
      <c r="A38" s="17">
        <f>Github!J$37</f>
        <v>36</v>
      </c>
      <c r="B38" s="27" t="str">
        <f>HYPERLINK(CONCAT("http://leetcode.com/problems/",Github!C$37), Github!B$37)</f>
        <v>Valid Sudoku</v>
      </c>
      <c r="C38" s="17">
        <f>Github!F$37</f>
        <v>4604</v>
      </c>
      <c r="D38" s="17">
        <f>Github!G$37</f>
        <v>677</v>
      </c>
      <c r="E38" s="17">
        <f>Github!F$37+Github!G$37</f>
        <v>5281</v>
      </c>
      <c r="F38" s="18">
        <f t="shared" si="1"/>
        <v>6.8</v>
      </c>
      <c r="G38" s="17" t="str">
        <f>Github!H$37</f>
        <v>Algorithms</v>
      </c>
      <c r="H38" s="17" t="str">
        <f>Github!E$37</f>
        <v>Medium</v>
      </c>
      <c r="I38" s="17" t="str">
        <f>IF(TRIM(Github!D$37)="TRUE","FALSE","TRUE")</f>
        <v>TRUE</v>
      </c>
      <c r="J38" s="17"/>
      <c r="K38" s="17" t="str">
        <f>Github!L$37</f>
        <v>Array;Hash Table;Matrix;</v>
      </c>
      <c r="L38" s="17" t="b">
        <f>Github!M$37</f>
        <v>1</v>
      </c>
      <c r="M38" s="17" t="str">
        <f>ROUND(Github!N$37, 2)&amp;"%"</f>
        <v>0%</v>
      </c>
      <c r="N38" s="17">
        <f>Github!O$37</f>
        <v>54.61799296</v>
      </c>
      <c r="O38" s="17">
        <f>Github!P$37</f>
        <v>685038</v>
      </c>
    </row>
    <row r="39">
      <c r="A39" s="17">
        <f>Github!J$38</f>
        <v>37</v>
      </c>
      <c r="B39" s="27" t="str">
        <f>HYPERLINK(CONCAT("http://leetcode.com/problems/",Github!C$38), Github!B$38)</f>
        <v>Sudoku Solver</v>
      </c>
      <c r="C39" s="17">
        <f>Github!F$38</f>
        <v>4737</v>
      </c>
      <c r="D39" s="17">
        <f>Github!G$38</f>
        <v>145</v>
      </c>
      <c r="E39" s="17">
        <f>Github!F$38+Github!G$38</f>
        <v>4882</v>
      </c>
      <c r="F39" s="18">
        <f t="shared" si="1"/>
        <v>32.67</v>
      </c>
      <c r="G39" s="17" t="str">
        <f>Github!H$38</f>
        <v>Algorithms</v>
      </c>
      <c r="H39" s="17" t="str">
        <f>Github!E$38</f>
        <v>Hard</v>
      </c>
      <c r="I39" s="17" t="str">
        <f>IF(TRIM(Github!D$38)="TRUE","FALSE","TRUE")</f>
        <v>TRUE</v>
      </c>
      <c r="J39" s="17"/>
      <c r="K39" s="17" t="str">
        <f>Github!L$38</f>
        <v>Array;Backtracking;Matrix;</v>
      </c>
      <c r="L39" s="17" t="b">
        <f>Github!M$38</f>
        <v>1</v>
      </c>
      <c r="M39" s="17" t="str">
        <f>ROUND(Github!N$38, 2)&amp;"%"</f>
        <v>0%</v>
      </c>
      <c r="N39" s="17">
        <f>Github!O$38</f>
        <v>53.23328219</v>
      </c>
      <c r="O39" s="17">
        <f>Github!P$38</f>
        <v>330655</v>
      </c>
    </row>
    <row r="40">
      <c r="A40" s="17">
        <f>Github!J$39</f>
        <v>38</v>
      </c>
      <c r="B40" s="27" t="str">
        <f>HYPERLINK(CONCAT("http://leetcode.com/problems/",Github!C$39), Github!B$39)</f>
        <v>Count and Say</v>
      </c>
      <c r="C40" s="17">
        <f>Github!F$39</f>
        <v>1274</v>
      </c>
      <c r="D40" s="17">
        <f>Github!G$39</f>
        <v>3302</v>
      </c>
      <c r="E40" s="17">
        <f>Github!F$39+Github!G$39</f>
        <v>4576</v>
      </c>
      <c r="F40" s="18">
        <f t="shared" si="1"/>
        <v>0.39</v>
      </c>
      <c r="G40" s="17" t="str">
        <f>Github!H$39</f>
        <v>Algorithms</v>
      </c>
      <c r="H40" s="17" t="str">
        <f>Github!E$39</f>
        <v>Medium</v>
      </c>
      <c r="I40" s="17" t="str">
        <f>IF(TRIM(Github!D$39)="TRUE","FALSE","TRUE")</f>
        <v>TRUE</v>
      </c>
      <c r="J40" s="17"/>
      <c r="K40" s="17" t="str">
        <f>Github!L$39</f>
        <v>String;</v>
      </c>
      <c r="L40" s="17" t="b">
        <f>Github!M$39</f>
        <v>0</v>
      </c>
      <c r="M40" s="17" t="str">
        <f>ROUND(Github!N$39, 2)&amp;"%"</f>
        <v>0%</v>
      </c>
      <c r="N40" s="17">
        <f>Github!O$39</f>
        <v>48.34334841</v>
      </c>
      <c r="O40" s="17">
        <f>Github!P$39</f>
        <v>603702</v>
      </c>
    </row>
    <row r="41">
      <c r="A41" s="17">
        <f>Github!J$40</f>
        <v>39</v>
      </c>
      <c r="B41" s="27" t="str">
        <f>HYPERLINK(CONCAT("http://leetcode.com/problems/",Github!C$40), Github!B$40)</f>
        <v>Combination Sum</v>
      </c>
      <c r="C41" s="17">
        <f>Github!F$40</f>
        <v>10065</v>
      </c>
      <c r="D41" s="17">
        <f>Github!G$40</f>
        <v>219</v>
      </c>
      <c r="E41" s="17">
        <f>Github!F$40+Github!G$40</f>
        <v>10284</v>
      </c>
      <c r="F41" s="18">
        <f t="shared" si="1"/>
        <v>45.96</v>
      </c>
      <c r="G41" s="17" t="str">
        <f>Github!H$40</f>
        <v>Algorithms</v>
      </c>
      <c r="H41" s="17" t="str">
        <f>Github!E$40</f>
        <v>Medium</v>
      </c>
      <c r="I41" s="17" t="str">
        <f>IF(TRIM(Github!D$40)="TRUE","FALSE","TRUE")</f>
        <v>TRUE</v>
      </c>
      <c r="J41" s="17"/>
      <c r="K41" s="17" t="str">
        <f>Github!L$40</f>
        <v>Array;Backtracking;</v>
      </c>
      <c r="L41" s="17" t="b">
        <f>Github!M$40</f>
        <v>1</v>
      </c>
      <c r="M41" s="17" t="str">
        <f>ROUND(Github!N$40, 2)&amp;"%"</f>
        <v>0%</v>
      </c>
      <c r="N41" s="17">
        <f>Github!O$40</f>
        <v>64.86854918</v>
      </c>
      <c r="O41" s="17">
        <f>Github!P$40</f>
        <v>1021175</v>
      </c>
    </row>
    <row r="42">
      <c r="A42" s="17">
        <f>Github!J$41</f>
        <v>40</v>
      </c>
      <c r="B42" s="27" t="str">
        <f>HYPERLINK(CONCAT("http://leetcode.com/problems/",Github!C$41), Github!B$41)</f>
        <v>Combination Sum II</v>
      </c>
      <c r="C42" s="17">
        <f>Github!F$41</f>
        <v>4810</v>
      </c>
      <c r="D42" s="17">
        <f>Github!G$41</f>
        <v>126</v>
      </c>
      <c r="E42" s="17">
        <f>Github!F$41+Github!G$41</f>
        <v>4936</v>
      </c>
      <c r="F42" s="18">
        <f t="shared" si="1"/>
        <v>38.17</v>
      </c>
      <c r="G42" s="17" t="str">
        <f>Github!H$41</f>
        <v>Algorithms</v>
      </c>
      <c r="H42" s="17" t="str">
        <f>Github!E$41</f>
        <v>Medium</v>
      </c>
      <c r="I42" s="17" t="str">
        <f>IF(TRIM(Github!D$41)="TRUE","FALSE","TRUE")</f>
        <v>TRUE</v>
      </c>
      <c r="J42" s="17"/>
      <c r="K42" s="17" t="str">
        <f>Github!L$41</f>
        <v>Array;Backtracking;</v>
      </c>
      <c r="L42" s="17" t="b">
        <f>Github!M$41</f>
        <v>1</v>
      </c>
      <c r="M42" s="17" t="str">
        <f>ROUND(Github!N$41, 2)&amp;"%"</f>
        <v>0%</v>
      </c>
      <c r="N42" s="17">
        <f>Github!O$41</f>
        <v>52.1333541</v>
      </c>
      <c r="O42" s="17">
        <f>Github!P$41</f>
        <v>525426</v>
      </c>
    </row>
    <row r="43">
      <c r="A43" s="17">
        <f>Github!J$42</f>
        <v>41</v>
      </c>
      <c r="B43" s="27" t="str">
        <f>HYPERLINK(CONCAT("http://leetcode.com/problems/",Github!C$42), Github!B$42)</f>
        <v>First Missing Positive</v>
      </c>
      <c r="C43" s="17">
        <f>Github!F$42</f>
        <v>8798</v>
      </c>
      <c r="D43" s="17">
        <f>Github!G$42</f>
        <v>1264</v>
      </c>
      <c r="E43" s="17">
        <f>Github!F$42+Github!G$42</f>
        <v>10062</v>
      </c>
      <c r="F43" s="18">
        <f t="shared" si="1"/>
        <v>6.96</v>
      </c>
      <c r="G43" s="17" t="str">
        <f>Github!H$42</f>
        <v>Algorithms</v>
      </c>
      <c r="H43" s="17" t="str">
        <f>Github!E$42</f>
        <v>Hard</v>
      </c>
      <c r="I43" s="17" t="str">
        <f>IF(TRIM(Github!D$42)="TRUE","FALSE","TRUE")</f>
        <v>TRUE</v>
      </c>
      <c r="J43" s="17"/>
      <c r="K43" s="17" t="str">
        <f>Github!L$42</f>
        <v>Array;Hash Table;</v>
      </c>
      <c r="L43" s="17" t="b">
        <f>Github!M$42</f>
        <v>1</v>
      </c>
      <c r="M43" s="17" t="str">
        <f>ROUND(Github!N$42, 2)&amp;"%"</f>
        <v>0%</v>
      </c>
      <c r="N43" s="17">
        <f>Github!O$42</f>
        <v>35.75966251</v>
      </c>
      <c r="O43" s="17">
        <f>Github!P$42</f>
        <v>641408</v>
      </c>
    </row>
    <row r="44">
      <c r="A44" s="17">
        <f>Github!J$43</f>
        <v>42</v>
      </c>
      <c r="B44" s="27" t="str">
        <f>HYPERLINK(CONCAT("http://leetcode.com/problems/",Github!C$43), Github!B$43)</f>
        <v>Trapping Rain Water</v>
      </c>
      <c r="C44" s="17">
        <f>Github!F$43</f>
        <v>17150</v>
      </c>
      <c r="D44" s="17">
        <f>Github!G$43</f>
        <v>243</v>
      </c>
      <c r="E44" s="17">
        <f>Github!F$43+Github!G$43</f>
        <v>17393</v>
      </c>
      <c r="F44" s="18">
        <f t="shared" si="1"/>
        <v>70.58</v>
      </c>
      <c r="G44" s="17" t="str">
        <f>Github!H$43</f>
        <v>Algorithms</v>
      </c>
      <c r="H44" s="17" t="str">
        <f>Github!E$43</f>
        <v>Hard</v>
      </c>
      <c r="I44" s="17" t="str">
        <f>IF(TRIM(Github!D$43)="TRUE","FALSE","TRUE")</f>
        <v>TRUE</v>
      </c>
      <c r="J44" s="17"/>
      <c r="K44" s="17" t="str">
        <f>Github!L$43</f>
        <v>Array;Two Pointers;Dynamic Programming;Stack;Monotonic Stack;</v>
      </c>
      <c r="L44" s="17" t="b">
        <f>Github!M$43</f>
        <v>1</v>
      </c>
      <c r="M44" s="17" t="str">
        <f>ROUND(Github!N$43, 2)&amp;"%"</f>
        <v>0%</v>
      </c>
      <c r="N44" s="17">
        <f>Github!O$43</f>
        <v>55.96155952</v>
      </c>
      <c r="O44" s="17">
        <f>Github!P$43</f>
        <v>1052579</v>
      </c>
    </row>
    <row r="45">
      <c r="A45" s="17">
        <f>Github!J$44</f>
        <v>43</v>
      </c>
      <c r="B45" s="27" t="str">
        <f>HYPERLINK(CONCAT("http://leetcode.com/problems/",Github!C$44), Github!B$44)</f>
        <v>Multiply Strings</v>
      </c>
      <c r="C45" s="17">
        <f>Github!F$44</f>
        <v>4126</v>
      </c>
      <c r="D45" s="17">
        <f>Github!G$44</f>
        <v>1615</v>
      </c>
      <c r="E45" s="17">
        <f>Github!F$44+Github!G$44</f>
        <v>5741</v>
      </c>
      <c r="F45" s="18">
        <f t="shared" si="1"/>
        <v>2.55</v>
      </c>
      <c r="G45" s="17" t="str">
        <f>Github!H$44</f>
        <v>Algorithms</v>
      </c>
      <c r="H45" s="17" t="str">
        <f>Github!E$44</f>
        <v>Medium</v>
      </c>
      <c r="I45" s="17" t="str">
        <f>IF(TRIM(Github!D$44)="TRUE","FALSE","TRUE")</f>
        <v>TRUE</v>
      </c>
      <c r="J45" s="17"/>
      <c r="K45" s="17" t="str">
        <f>Github!L$44</f>
        <v>Math;String;Simulation;</v>
      </c>
      <c r="L45" s="17" t="b">
        <f>Github!M$44</f>
        <v>1</v>
      </c>
      <c r="M45" s="17" t="str">
        <f>ROUND(Github!N$44, 2)&amp;"%"</f>
        <v>0%</v>
      </c>
      <c r="N45" s="17">
        <f>Github!O$44</f>
        <v>37.45262527</v>
      </c>
      <c r="O45" s="17">
        <f>Github!P$44</f>
        <v>488464</v>
      </c>
    </row>
    <row r="46">
      <c r="A46" s="17">
        <f>Github!J$45</f>
        <v>44</v>
      </c>
      <c r="B46" s="27" t="str">
        <f>HYPERLINK(CONCAT("http://leetcode.com/problems/",Github!C$45), Github!B$45)</f>
        <v>Wildcard Matching</v>
      </c>
      <c r="C46" s="17">
        <f>Github!F$45</f>
        <v>4335</v>
      </c>
      <c r="D46" s="17">
        <f>Github!G$45</f>
        <v>193</v>
      </c>
      <c r="E46" s="17">
        <f>Github!F$45+Github!G$45</f>
        <v>4528</v>
      </c>
      <c r="F46" s="18">
        <f t="shared" si="1"/>
        <v>22.46</v>
      </c>
      <c r="G46" s="17" t="str">
        <f>Github!H$45</f>
        <v>Algorithms</v>
      </c>
      <c r="H46" s="17" t="str">
        <f>Github!E$45</f>
        <v>Hard</v>
      </c>
      <c r="I46" s="17" t="str">
        <f>IF(TRIM(Github!D$45)="TRUE","FALSE","TRUE")</f>
        <v>TRUE</v>
      </c>
      <c r="J46" s="17"/>
      <c r="K46" s="17" t="str">
        <f>Github!L$45</f>
        <v>String;Dynamic Programming;Greedy;Recursion;</v>
      </c>
      <c r="L46" s="17" t="b">
        <f>Github!M$45</f>
        <v>1</v>
      </c>
      <c r="M46" s="17" t="str">
        <f>ROUND(Github!N$45, 2)&amp;"%"</f>
        <v>0%</v>
      </c>
      <c r="N46" s="17">
        <f>Github!O$45</f>
        <v>26.42903161</v>
      </c>
      <c r="O46" s="17">
        <f>Github!P$45</f>
        <v>369203</v>
      </c>
    </row>
    <row r="47">
      <c r="A47" s="17">
        <f>Github!J$46</f>
        <v>45</v>
      </c>
      <c r="B47" s="27" t="str">
        <f>HYPERLINK(CONCAT("http://leetcode.com/problems/",Github!C$46), Github!B$46)</f>
        <v>Jump Game II</v>
      </c>
      <c r="C47" s="17">
        <f>Github!F$46</f>
        <v>7418</v>
      </c>
      <c r="D47" s="17">
        <f>Github!G$46</f>
        <v>278</v>
      </c>
      <c r="E47" s="17">
        <f>Github!F$46+Github!G$46</f>
        <v>7696</v>
      </c>
      <c r="F47" s="18">
        <f t="shared" si="1"/>
        <v>26.68</v>
      </c>
      <c r="G47" s="17" t="str">
        <f>Github!H$46</f>
        <v>Algorithms</v>
      </c>
      <c r="H47" s="17" t="str">
        <f>Github!E$46</f>
        <v>Medium</v>
      </c>
      <c r="I47" s="17" t="str">
        <f>IF(TRIM(Github!D$46)="TRUE","FALSE","TRUE")</f>
        <v>TRUE</v>
      </c>
      <c r="J47" s="17"/>
      <c r="K47" s="17" t="str">
        <f>Github!L$46</f>
        <v>Array;Dynamic Programming;Greedy;</v>
      </c>
      <c r="L47" s="17" t="b">
        <f>Github!M$46</f>
        <v>1</v>
      </c>
      <c r="M47" s="17" t="str">
        <f>ROUND(Github!N$46, 2)&amp;"%"</f>
        <v>0%</v>
      </c>
      <c r="N47" s="17">
        <f>Github!O$46</f>
        <v>36.6513545</v>
      </c>
      <c r="O47" s="17">
        <f>Github!P$46</f>
        <v>559297</v>
      </c>
    </row>
    <row r="48">
      <c r="A48" s="17">
        <f>Github!J$47</f>
        <v>46</v>
      </c>
      <c r="B48" s="27" t="str">
        <f>HYPERLINK(CONCAT("http://leetcode.com/problems/",Github!C$47), Github!B$47)</f>
        <v>Permutations</v>
      </c>
      <c r="C48" s="17">
        <f>Github!F$47</f>
        <v>9483</v>
      </c>
      <c r="D48" s="17">
        <f>Github!G$47</f>
        <v>176</v>
      </c>
      <c r="E48" s="17">
        <f>Github!F$47+Github!G$47</f>
        <v>9659</v>
      </c>
      <c r="F48" s="18">
        <f t="shared" si="1"/>
        <v>53.88</v>
      </c>
      <c r="G48" s="17" t="str">
        <f>Github!H$47</f>
        <v>Algorithms</v>
      </c>
      <c r="H48" s="17" t="str">
        <f>Github!E$47</f>
        <v>Medium</v>
      </c>
      <c r="I48" s="17" t="str">
        <f>IF(TRIM(Github!D$47)="TRUE","FALSE","TRUE")</f>
        <v>TRUE</v>
      </c>
      <c r="J48" s="17"/>
      <c r="K48" s="17" t="str">
        <f>Github!L$47</f>
        <v>Array;Backtracking;</v>
      </c>
      <c r="L48" s="17" t="b">
        <f>Github!M$47</f>
        <v>1</v>
      </c>
      <c r="M48" s="17" t="str">
        <f>ROUND(Github!N$47, 2)&amp;"%"</f>
        <v>0%</v>
      </c>
      <c r="N48" s="17">
        <f>Github!O$47</f>
        <v>71.63522737</v>
      </c>
      <c r="O48" s="17">
        <f>Github!P$47</f>
        <v>1095122</v>
      </c>
    </row>
    <row r="49">
      <c r="A49" s="17">
        <f>Github!J$48</f>
        <v>47</v>
      </c>
      <c r="B49" s="27" t="str">
        <f>HYPERLINK(CONCAT("http://leetcode.com/problems/",Github!C$48), Github!B$48)</f>
        <v>Permutations II</v>
      </c>
      <c r="C49" s="17">
        <f>Github!F$48</f>
        <v>4610</v>
      </c>
      <c r="D49" s="17">
        <f>Github!G$48</f>
        <v>90</v>
      </c>
      <c r="E49" s="17">
        <f>Github!F$48+Github!G$48</f>
        <v>4700</v>
      </c>
      <c r="F49" s="18">
        <f t="shared" si="1"/>
        <v>51.22</v>
      </c>
      <c r="G49" s="17" t="str">
        <f>Github!H$48</f>
        <v>Algorithms</v>
      </c>
      <c r="H49" s="17" t="str">
        <f>Github!E$48</f>
        <v>Medium</v>
      </c>
      <c r="I49" s="17" t="str">
        <f>IF(TRIM(Github!D$48)="TRUE","FALSE","TRUE")</f>
        <v>TRUE</v>
      </c>
      <c r="J49" s="17"/>
      <c r="K49" s="17" t="str">
        <f>Github!L$48</f>
        <v>Array;Backtracking;</v>
      </c>
      <c r="L49" s="17" t="b">
        <f>Github!M$48</f>
        <v>1</v>
      </c>
      <c r="M49" s="17" t="str">
        <f>ROUND(Github!N$48, 2)&amp;"%"</f>
        <v>0%</v>
      </c>
      <c r="N49" s="17">
        <f>Github!O$48</f>
        <v>53.6020447</v>
      </c>
      <c r="O49" s="17">
        <f>Github!P$48</f>
        <v>580501</v>
      </c>
    </row>
    <row r="50">
      <c r="A50" s="17">
        <f>Github!J$49</f>
        <v>48</v>
      </c>
      <c r="B50" s="27" t="str">
        <f>HYPERLINK(CONCAT("http://leetcode.com/problems/",Github!C$49), Github!B$49)</f>
        <v>Rotate Image</v>
      </c>
      <c r="C50" s="17">
        <f>Github!F$49</f>
        <v>8360</v>
      </c>
      <c r="D50" s="17">
        <f>Github!G$49</f>
        <v>464</v>
      </c>
      <c r="E50" s="17">
        <f>Github!F$49+Github!G$49</f>
        <v>8824</v>
      </c>
      <c r="F50" s="18">
        <f t="shared" si="1"/>
        <v>18.02</v>
      </c>
      <c r="G50" s="17" t="str">
        <f>Github!H$49</f>
        <v>Algorithms</v>
      </c>
      <c r="H50" s="17" t="str">
        <f>Github!E$49</f>
        <v>Medium</v>
      </c>
      <c r="I50" s="17" t="str">
        <f>IF(TRIM(Github!D$49)="TRUE","FALSE","TRUE")</f>
        <v>TRUE</v>
      </c>
      <c r="J50" s="17"/>
      <c r="K50" s="17" t="str">
        <f>Github!L$49</f>
        <v>Array;Math;Matrix;</v>
      </c>
      <c r="L50" s="17" t="b">
        <f>Github!M$49</f>
        <v>1</v>
      </c>
      <c r="M50" s="17" t="str">
        <f>ROUND(Github!N$49, 2)&amp;"%"</f>
        <v>0%</v>
      </c>
      <c r="N50" s="17">
        <f>Github!O$49</f>
        <v>65.92519306</v>
      </c>
      <c r="O50" s="17">
        <f>Github!P$49</f>
        <v>827572</v>
      </c>
    </row>
    <row r="51">
      <c r="A51" s="17">
        <f>Github!J$50</f>
        <v>49</v>
      </c>
      <c r="B51" s="27" t="str">
        <f>HYPERLINK(CONCAT("http://leetcode.com/problems/",Github!C$50), Github!B$50)</f>
        <v>Group Anagrams</v>
      </c>
      <c r="C51" s="17">
        <f>Github!F$50</f>
        <v>8537</v>
      </c>
      <c r="D51" s="17">
        <f>Github!G$50</f>
        <v>295</v>
      </c>
      <c r="E51" s="17">
        <f>Github!F$50+Github!G$50</f>
        <v>8832</v>
      </c>
      <c r="F51" s="18">
        <f t="shared" si="1"/>
        <v>28.94</v>
      </c>
      <c r="G51" s="17" t="str">
        <f>Github!H$50</f>
        <v>Algorithms</v>
      </c>
      <c r="H51" s="17" t="str">
        <f>Github!E$50</f>
        <v>Medium</v>
      </c>
      <c r="I51" s="17" t="str">
        <f>IF(TRIM(Github!D$50)="TRUE","FALSE","TRUE")</f>
        <v>TRUE</v>
      </c>
      <c r="J51" s="17"/>
      <c r="K51" s="17" t="str">
        <f>Github!L$50</f>
        <v>Hash Table;String;Sorting;</v>
      </c>
      <c r="L51" s="17" t="b">
        <f>Github!M$50</f>
        <v>1</v>
      </c>
      <c r="M51" s="17" t="str">
        <f>ROUND(Github!N$50, 2)&amp;"%"</f>
        <v>1%</v>
      </c>
      <c r="N51" s="17">
        <f>Github!O$50</f>
        <v>63.60420214</v>
      </c>
      <c r="O51" s="17">
        <f>Github!P$50</f>
        <v>1261007</v>
      </c>
    </row>
    <row r="52">
      <c r="A52" s="17">
        <f>Github!J$51</f>
        <v>50</v>
      </c>
      <c r="B52" s="27" t="str">
        <f>HYPERLINK(CONCAT("http://leetcode.com/problems/",Github!C$51), Github!B$51)</f>
        <v>Pow(x, n)</v>
      </c>
      <c r="C52" s="17">
        <f>Github!F$51</f>
        <v>4105</v>
      </c>
      <c r="D52" s="17">
        <f>Github!G$51</f>
        <v>5123</v>
      </c>
      <c r="E52" s="17">
        <f>Github!F$51+Github!G$51</f>
        <v>9228</v>
      </c>
      <c r="F52" s="18">
        <f t="shared" si="1"/>
        <v>0.8</v>
      </c>
      <c r="G52" s="17" t="str">
        <f>Github!H$51</f>
        <v>Algorithms</v>
      </c>
      <c r="H52" s="17" t="str">
        <f>Github!E$51</f>
        <v>Medium</v>
      </c>
      <c r="I52" s="17" t="str">
        <f>IF(TRIM(Github!D$51)="TRUE","FALSE","TRUE")</f>
        <v>TRUE</v>
      </c>
      <c r="J52" s="17"/>
      <c r="K52" s="17" t="str">
        <f>Github!L$51</f>
        <v>Math;Recursion;</v>
      </c>
      <c r="L52" s="17" t="b">
        <f>Github!M$51</f>
        <v>1</v>
      </c>
      <c r="M52" s="17" t="str">
        <f>ROUND(Github!N$51, 2)&amp;"%"</f>
        <v>0%</v>
      </c>
      <c r="N52" s="17">
        <f>Github!O$51</f>
        <v>32.17285158</v>
      </c>
      <c r="O52" s="17">
        <f>Github!P$51</f>
        <v>851048</v>
      </c>
    </row>
    <row r="53">
      <c r="A53" s="17">
        <f>Github!J$52</f>
        <v>51</v>
      </c>
      <c r="B53" s="27" t="str">
        <f>HYPERLINK(CONCAT("http://leetcode.com/problems/",Github!C$52), Github!B$52)</f>
        <v>N-Queens</v>
      </c>
      <c r="C53" s="17">
        <f>Github!F$52</f>
        <v>5335</v>
      </c>
      <c r="D53" s="17">
        <f>Github!G$52</f>
        <v>145</v>
      </c>
      <c r="E53" s="17">
        <f>Github!F$52+Github!G$52</f>
        <v>5480</v>
      </c>
      <c r="F53" s="18">
        <f t="shared" si="1"/>
        <v>36.79</v>
      </c>
      <c r="G53" s="17" t="str">
        <f>Github!H$52</f>
        <v>Algorithms</v>
      </c>
      <c r="H53" s="17" t="str">
        <f>Github!E$52</f>
        <v>Hard</v>
      </c>
      <c r="I53" s="17" t="str">
        <f>IF(TRIM(Github!D$52)="TRUE","FALSE","TRUE")</f>
        <v>TRUE</v>
      </c>
      <c r="J53" s="17"/>
      <c r="K53" s="17" t="str">
        <f>Github!L$52</f>
        <v>Array;Backtracking;</v>
      </c>
      <c r="L53" s="17" t="b">
        <f>Github!M$52</f>
        <v>1</v>
      </c>
      <c r="M53" s="17" t="str">
        <f>ROUND(Github!N$52, 2)&amp;"%"</f>
        <v>0%</v>
      </c>
      <c r="N53" s="17">
        <f>Github!O$52</f>
        <v>56.62612266</v>
      </c>
      <c r="O53" s="17">
        <f>Github!P$52</f>
        <v>347022</v>
      </c>
    </row>
    <row r="54">
      <c r="A54" s="17">
        <f>Github!J$53</f>
        <v>52</v>
      </c>
      <c r="B54" s="27" t="str">
        <f>HYPERLINK(CONCAT("http://leetcode.com/problems/",Github!C$53), Github!B$53)</f>
        <v>N-Queens II</v>
      </c>
      <c r="C54" s="17">
        <f>Github!F$53</f>
        <v>1594</v>
      </c>
      <c r="D54" s="17">
        <f>Github!G$53</f>
        <v>209</v>
      </c>
      <c r="E54" s="17">
        <f>Github!F$53+Github!G$53</f>
        <v>1803</v>
      </c>
      <c r="F54" s="18">
        <f t="shared" si="1"/>
        <v>7.63</v>
      </c>
      <c r="G54" s="17" t="str">
        <f>Github!H$53</f>
        <v>Algorithms</v>
      </c>
      <c r="H54" s="17" t="str">
        <f>Github!E$53</f>
        <v>Hard</v>
      </c>
      <c r="I54" s="17" t="str">
        <f>IF(TRIM(Github!D$53)="TRUE","FALSE","TRUE")</f>
        <v>TRUE</v>
      </c>
      <c r="J54" s="17"/>
      <c r="K54" s="17" t="str">
        <f>Github!L$53</f>
        <v>Backtracking;</v>
      </c>
      <c r="L54" s="17" t="b">
        <f>Github!M$53</f>
        <v>1</v>
      </c>
      <c r="M54" s="17" t="str">
        <f>ROUND(Github!N$53, 2)&amp;"%"</f>
        <v>0%</v>
      </c>
      <c r="N54" s="17">
        <f>Github!O$53</f>
        <v>65.68714199</v>
      </c>
      <c r="O54" s="17">
        <f>Github!P$53</f>
        <v>211574</v>
      </c>
    </row>
    <row r="55">
      <c r="A55" s="17">
        <f>Github!J$54</f>
        <v>53</v>
      </c>
      <c r="B55" s="27" t="str">
        <f>HYPERLINK(CONCAT("http://leetcode.com/problems/",Github!C$54), Github!B$54)</f>
        <v>Maximum Subarray</v>
      </c>
      <c r="C55" s="17">
        <f>Github!F$54</f>
        <v>19026</v>
      </c>
      <c r="D55" s="17">
        <f>Github!G$54</f>
        <v>909</v>
      </c>
      <c r="E55" s="17">
        <f>Github!F$54+Github!G$54</f>
        <v>19935</v>
      </c>
      <c r="F55" s="18">
        <f t="shared" si="1"/>
        <v>20.93</v>
      </c>
      <c r="G55" s="17" t="str">
        <f>Github!H$54</f>
        <v>Algorithms</v>
      </c>
      <c r="H55" s="17" t="str">
        <f>Github!E$54</f>
        <v>Easy</v>
      </c>
      <c r="I55" s="17" t="str">
        <f>IF(TRIM(Github!D$54)="TRUE","FALSE","TRUE")</f>
        <v>TRUE</v>
      </c>
      <c r="J55" s="17"/>
      <c r="K55" s="17" t="str">
        <f>Github!L$54</f>
        <v>Array;Divide and Conquer;Dynamic Programming;</v>
      </c>
      <c r="L55" s="17" t="b">
        <f>Github!M$54</f>
        <v>1</v>
      </c>
      <c r="M55" s="17" t="str">
        <f>ROUND(Github!N$54, 2)&amp;"%"</f>
        <v>0%</v>
      </c>
      <c r="N55" s="17">
        <f>Github!O$54</f>
        <v>49.44598783</v>
      </c>
      <c r="O55" s="17">
        <f>Github!P$54</f>
        <v>2152481</v>
      </c>
    </row>
    <row r="56">
      <c r="A56" s="17">
        <f>Github!J$55</f>
        <v>54</v>
      </c>
      <c r="B56" s="27" t="str">
        <f>HYPERLINK(CONCAT("http://leetcode.com/problems/",Github!C$55), Github!B$55)</f>
        <v>Spiral Matrix</v>
      </c>
      <c r="C56" s="17">
        <f>Github!F$55</f>
        <v>6492</v>
      </c>
      <c r="D56" s="17">
        <f>Github!G$55</f>
        <v>799</v>
      </c>
      <c r="E56" s="17">
        <f>Github!F$55+Github!G$55</f>
        <v>7291</v>
      </c>
      <c r="F56" s="18">
        <f t="shared" si="1"/>
        <v>8.13</v>
      </c>
      <c r="G56" s="17" t="str">
        <f>Github!H$55</f>
        <v>Algorithms</v>
      </c>
      <c r="H56" s="17" t="str">
        <f>Github!E$55</f>
        <v>Medium</v>
      </c>
      <c r="I56" s="17" t="str">
        <f>IF(TRIM(Github!D$55)="TRUE","FALSE","TRUE")</f>
        <v>TRUE</v>
      </c>
      <c r="J56" s="17"/>
      <c r="K56" s="17" t="str">
        <f>Github!L$55</f>
        <v>Array;Matrix;Simulation;</v>
      </c>
      <c r="L56" s="17" t="b">
        <f>Github!M$55</f>
        <v>1</v>
      </c>
      <c r="M56" s="17" t="str">
        <f>ROUND(Github!N$55, 2)&amp;"%"</f>
        <v>0%</v>
      </c>
      <c r="N56" s="17">
        <f>Github!O$55</f>
        <v>40.78228664</v>
      </c>
      <c r="O56" s="17">
        <f>Github!P$55</f>
        <v>685991</v>
      </c>
    </row>
    <row r="57">
      <c r="A57" s="17">
        <f>Github!J$56</f>
        <v>55</v>
      </c>
      <c r="B57" s="27" t="str">
        <f>HYPERLINK(CONCAT("http://leetcode.com/problems/",Github!C$56), Github!B$56)</f>
        <v>Jump Game</v>
      </c>
      <c r="C57" s="17">
        <f>Github!F$56</f>
        <v>10160</v>
      </c>
      <c r="D57" s="17">
        <f>Github!G$56</f>
        <v>588</v>
      </c>
      <c r="E57" s="17">
        <f>Github!F$56+Github!G$56</f>
        <v>10748</v>
      </c>
      <c r="F57" s="18">
        <f t="shared" si="1"/>
        <v>17.28</v>
      </c>
      <c r="G57" s="17" t="str">
        <f>Github!H$56</f>
        <v>Algorithms</v>
      </c>
      <c r="H57" s="17" t="str">
        <f>Github!E$56</f>
        <v>Medium</v>
      </c>
      <c r="I57" s="17" t="str">
        <f>IF(TRIM(Github!D$56)="TRUE","FALSE","TRUE")</f>
        <v>TRUE</v>
      </c>
      <c r="J57" s="17"/>
      <c r="K57" s="17" t="str">
        <f>Github!L$56</f>
        <v>Array;Dynamic Programming;Greedy;</v>
      </c>
      <c r="L57" s="17" t="b">
        <f>Github!M$56</f>
        <v>1</v>
      </c>
      <c r="M57" s="17" t="str">
        <f>ROUND(Github!N$56, 2)&amp;"%"</f>
        <v>0%</v>
      </c>
      <c r="N57" s="17">
        <f>Github!O$56</f>
        <v>37.56172249</v>
      </c>
      <c r="O57" s="17">
        <f>Github!P$56</f>
        <v>934416</v>
      </c>
    </row>
    <row r="58">
      <c r="A58" s="17">
        <f>Github!J$57</f>
        <v>56</v>
      </c>
      <c r="B58" s="27" t="str">
        <f>HYPERLINK(CONCAT("http://leetcode.com/problems/",Github!C$57), Github!B$57)</f>
        <v>Merge Intervals</v>
      </c>
      <c r="C58" s="17">
        <f>Github!F$57</f>
        <v>12513</v>
      </c>
      <c r="D58" s="17">
        <f>Github!G$57</f>
        <v>495</v>
      </c>
      <c r="E58" s="17">
        <f>Github!F$57+Github!G$57</f>
        <v>13008</v>
      </c>
      <c r="F58" s="18">
        <f t="shared" si="1"/>
        <v>25.28</v>
      </c>
      <c r="G58" s="17" t="str">
        <f>Github!H$57</f>
        <v>Algorithms</v>
      </c>
      <c r="H58" s="17" t="str">
        <f>Github!E$57</f>
        <v>Medium</v>
      </c>
      <c r="I58" s="17" t="str">
        <f>IF(TRIM(Github!D$57)="TRUE","FALSE","TRUE")</f>
        <v>TRUE</v>
      </c>
      <c r="J58" s="17"/>
      <c r="K58" s="17" t="str">
        <f>Github!L$57</f>
        <v>Array;Sorting;</v>
      </c>
      <c r="L58" s="17" t="b">
        <f>Github!M$57</f>
        <v>1</v>
      </c>
      <c r="M58" s="17" t="str">
        <f>ROUND(Github!N$57, 2)&amp;"%"</f>
        <v>1%</v>
      </c>
      <c r="N58" s="17">
        <f>Github!O$57</f>
        <v>44.58165035</v>
      </c>
      <c r="O58" s="17">
        <f>Github!P$57</f>
        <v>1335277</v>
      </c>
    </row>
    <row r="59">
      <c r="A59" s="17">
        <f>Github!J$58</f>
        <v>57</v>
      </c>
      <c r="B59" s="27" t="str">
        <f>HYPERLINK(CONCAT("http://leetcode.com/problems/",Github!C$58), Github!B$58)</f>
        <v>Insert Interval</v>
      </c>
      <c r="C59" s="17">
        <f>Github!F$58</f>
        <v>4456</v>
      </c>
      <c r="D59" s="17">
        <f>Github!G$58</f>
        <v>325</v>
      </c>
      <c r="E59" s="17">
        <f>Github!F$58+Github!G$58</f>
        <v>4781</v>
      </c>
      <c r="F59" s="18">
        <f t="shared" si="1"/>
        <v>13.71</v>
      </c>
      <c r="G59" s="17" t="str">
        <f>Github!H$58</f>
        <v>Algorithms</v>
      </c>
      <c r="H59" s="17" t="str">
        <f>Github!E$58</f>
        <v>Medium</v>
      </c>
      <c r="I59" s="17" t="str">
        <f>IF(TRIM(Github!D$58)="TRUE","FALSE","TRUE")</f>
        <v>TRUE</v>
      </c>
      <c r="J59" s="17"/>
      <c r="K59" s="17" t="str">
        <f>Github!L$58</f>
        <v>Array;</v>
      </c>
      <c r="L59" s="17" t="b">
        <f>Github!M$58</f>
        <v>1</v>
      </c>
      <c r="M59" s="17" t="str">
        <f>ROUND(Github!N$58, 2)&amp;"%"</f>
        <v>0%</v>
      </c>
      <c r="N59" s="17">
        <f>Github!O$58</f>
        <v>37.18910591</v>
      </c>
      <c r="O59" s="17">
        <f>Github!P$58</f>
        <v>473569</v>
      </c>
    </row>
    <row r="60">
      <c r="A60" s="17">
        <f>Github!J$59</f>
        <v>58</v>
      </c>
      <c r="B60" s="27" t="str">
        <f>HYPERLINK(CONCAT("http://leetcode.com/problems/",Github!C$59), Github!B$59)</f>
        <v>Length of Last Word</v>
      </c>
      <c r="C60" s="17">
        <f>Github!F$59</f>
        <v>745</v>
      </c>
      <c r="D60" s="17">
        <f>Github!G$59</f>
        <v>59</v>
      </c>
      <c r="E60" s="17">
        <f>Github!F$59+Github!G$59</f>
        <v>804</v>
      </c>
      <c r="F60" s="18">
        <f t="shared" si="1"/>
        <v>12.63</v>
      </c>
      <c r="G60" s="17" t="str">
        <f>Github!H$59</f>
        <v>Algorithms</v>
      </c>
      <c r="H60" s="17" t="str">
        <f>Github!E$59</f>
        <v>Easy</v>
      </c>
      <c r="I60" s="17" t="str">
        <f>IF(TRIM(Github!D$59)="TRUE","FALSE","TRUE")</f>
        <v>TRUE</v>
      </c>
      <c r="J60" s="17"/>
      <c r="K60" s="17" t="str">
        <f>Github!L$59</f>
        <v>String;</v>
      </c>
      <c r="L60" s="17" t="b">
        <f>Github!M$59</f>
        <v>1</v>
      </c>
      <c r="M60" s="17" t="str">
        <f>ROUND(Github!N$59, 2)&amp;"%"</f>
        <v>0%</v>
      </c>
      <c r="N60" s="17">
        <f>Github!O$59</f>
        <v>36.88991206</v>
      </c>
      <c r="O60" s="17">
        <f>Github!P$59</f>
        <v>689356</v>
      </c>
    </row>
    <row r="61">
      <c r="A61" s="17">
        <f>Github!J$60</f>
        <v>59</v>
      </c>
      <c r="B61" s="27" t="str">
        <f>HYPERLINK(CONCAT("http://leetcode.com/problems/",Github!C$60), Github!B$60)</f>
        <v>Spiral Matrix II</v>
      </c>
      <c r="C61" s="17">
        <f>Github!F$60</f>
        <v>2608</v>
      </c>
      <c r="D61" s="17">
        <f>Github!G$60</f>
        <v>163</v>
      </c>
      <c r="E61" s="17">
        <f>Github!F$60+Github!G$60</f>
        <v>2771</v>
      </c>
      <c r="F61" s="18">
        <f t="shared" si="1"/>
        <v>16</v>
      </c>
      <c r="G61" s="17" t="str">
        <f>Github!H$60</f>
        <v>Algorithms</v>
      </c>
      <c r="H61" s="17" t="str">
        <f>Github!E$60</f>
        <v>Medium</v>
      </c>
      <c r="I61" s="17" t="str">
        <f>IF(TRIM(Github!D$60)="TRUE","FALSE","TRUE")</f>
        <v>TRUE</v>
      </c>
      <c r="J61" s="17"/>
      <c r="K61" s="17" t="str">
        <f>Github!L$60</f>
        <v>Array;Matrix;Simulation;</v>
      </c>
      <c r="L61" s="17" t="b">
        <f>Github!M$60</f>
        <v>1</v>
      </c>
      <c r="M61" s="17" t="str">
        <f>ROUND(Github!N$60, 2)&amp;"%"</f>
        <v>0%</v>
      </c>
      <c r="N61" s="17">
        <f>Github!O$60</f>
        <v>61.96716361</v>
      </c>
      <c r="O61" s="17">
        <f>Github!P$60</f>
        <v>307790</v>
      </c>
    </row>
    <row r="62">
      <c r="A62" s="17">
        <f>Github!J$61</f>
        <v>60</v>
      </c>
      <c r="B62" s="27" t="str">
        <f>HYPERLINK(CONCAT("http://leetcode.com/problems/",Github!C$61), Github!B$61)</f>
        <v>Permutation Sequence</v>
      </c>
      <c r="C62" s="17">
        <f>Github!F$61</f>
        <v>3448</v>
      </c>
      <c r="D62" s="17">
        <f>Github!G$61</f>
        <v>390</v>
      </c>
      <c r="E62" s="17">
        <f>Github!F$61+Github!G$61</f>
        <v>3838</v>
      </c>
      <c r="F62" s="18">
        <f t="shared" si="1"/>
        <v>8.84</v>
      </c>
      <c r="G62" s="17" t="str">
        <f>Github!H$61</f>
        <v>Algorithms</v>
      </c>
      <c r="H62" s="17" t="str">
        <f>Github!E$61</f>
        <v>Hard</v>
      </c>
      <c r="I62" s="17" t="str">
        <f>IF(TRIM(Github!D$61)="TRUE","FALSE","TRUE")</f>
        <v>TRUE</v>
      </c>
      <c r="J62" s="17"/>
      <c r="K62" s="17" t="str">
        <f>Github!L$61</f>
        <v>Math;Recursion;</v>
      </c>
      <c r="L62" s="17" t="b">
        <f>Github!M$61</f>
        <v>1</v>
      </c>
      <c r="M62" s="17" t="str">
        <f>ROUND(Github!N$61, 2)&amp;"%"</f>
        <v>0%</v>
      </c>
      <c r="N62" s="17">
        <f>Github!O$61</f>
        <v>41.77148797</v>
      </c>
      <c r="O62" s="17">
        <f>Github!P$61</f>
        <v>261215</v>
      </c>
    </row>
    <row r="63">
      <c r="A63" s="17">
        <f>Github!J$62</f>
        <v>61</v>
      </c>
      <c r="B63" s="27" t="str">
        <f>HYPERLINK(CONCAT("http://leetcode.com/problems/",Github!C$62), Github!B$62)</f>
        <v>Rotate List</v>
      </c>
      <c r="C63" s="17">
        <f>Github!F$62</f>
        <v>4714</v>
      </c>
      <c r="D63" s="17">
        <f>Github!G$62</f>
        <v>1261</v>
      </c>
      <c r="E63" s="17">
        <f>Github!F$62+Github!G$62</f>
        <v>5975</v>
      </c>
      <c r="F63" s="18">
        <f t="shared" si="1"/>
        <v>3.74</v>
      </c>
      <c r="G63" s="17" t="str">
        <f>Github!H$62</f>
        <v>Algorithms</v>
      </c>
      <c r="H63" s="17" t="str">
        <f>Github!E$62</f>
        <v>Medium</v>
      </c>
      <c r="I63" s="17" t="str">
        <f>IF(TRIM(Github!D$62)="TRUE","FALSE","TRUE")</f>
        <v>TRUE</v>
      </c>
      <c r="J63" s="17"/>
      <c r="K63" s="17" t="str">
        <f>Github!L$62</f>
        <v>Linked List;Two Pointers;</v>
      </c>
      <c r="L63" s="17" t="b">
        <f>Github!M$62</f>
        <v>1</v>
      </c>
      <c r="M63" s="17" t="str">
        <f>ROUND(Github!N$62, 2)&amp;"%"</f>
        <v>0%</v>
      </c>
      <c r="N63" s="17">
        <f>Github!O$62</f>
        <v>34.56917462</v>
      </c>
      <c r="O63" s="17">
        <f>Github!P$62</f>
        <v>524703</v>
      </c>
    </row>
    <row r="64">
      <c r="A64" s="17">
        <f>Github!J$63</f>
        <v>62</v>
      </c>
      <c r="B64" s="27" t="str">
        <f>HYPERLINK(CONCAT("http://leetcode.com/problems/",Github!C$63), Github!B$63)</f>
        <v>Unique Paths</v>
      </c>
      <c r="C64" s="17">
        <f>Github!F$63</f>
        <v>8184</v>
      </c>
      <c r="D64" s="17">
        <f>Github!G$63</f>
        <v>282</v>
      </c>
      <c r="E64" s="17">
        <f>Github!F$63+Github!G$63</f>
        <v>8466</v>
      </c>
      <c r="F64" s="18">
        <f t="shared" si="1"/>
        <v>29.02</v>
      </c>
      <c r="G64" s="17" t="str">
        <f>Github!H$63</f>
        <v>Algorithms</v>
      </c>
      <c r="H64" s="17" t="str">
        <f>Github!E$63</f>
        <v>Medium</v>
      </c>
      <c r="I64" s="17" t="str">
        <f>IF(TRIM(Github!D$63)="TRUE","FALSE","TRUE")</f>
        <v>TRUE</v>
      </c>
      <c r="J64" s="17"/>
      <c r="K64" s="17" t="str">
        <f>Github!L$63</f>
        <v>Math;Dynamic Programming;Combinatorics;</v>
      </c>
      <c r="L64" s="17" t="b">
        <f>Github!M$63</f>
        <v>1</v>
      </c>
      <c r="M64" s="17" t="str">
        <f>ROUND(Github!N$63, 2)&amp;"%"</f>
        <v>0%</v>
      </c>
      <c r="N64" s="17">
        <f>Github!O$63</f>
        <v>59.62344015</v>
      </c>
      <c r="O64" s="17">
        <f>Github!P$63</f>
        <v>882053</v>
      </c>
    </row>
    <row r="65">
      <c r="A65" s="17">
        <f>Github!J$64</f>
        <v>63</v>
      </c>
      <c r="B65" s="27" t="str">
        <f>HYPERLINK(CONCAT("http://leetcode.com/problems/",Github!C$64), Github!B$64)</f>
        <v>Unique Paths II</v>
      </c>
      <c r="C65" s="17">
        <f>Github!F$64</f>
        <v>4363</v>
      </c>
      <c r="D65" s="17">
        <f>Github!G$64</f>
        <v>366</v>
      </c>
      <c r="E65" s="17">
        <f>Github!F$64+Github!G$64</f>
        <v>4729</v>
      </c>
      <c r="F65" s="18">
        <f t="shared" si="1"/>
        <v>11.92</v>
      </c>
      <c r="G65" s="17" t="str">
        <f>Github!H$64</f>
        <v>Algorithms</v>
      </c>
      <c r="H65" s="17" t="str">
        <f>Github!E$64</f>
        <v>Medium</v>
      </c>
      <c r="I65" s="17" t="str">
        <f>IF(TRIM(Github!D$64)="TRUE","FALSE","TRUE")</f>
        <v>TRUE</v>
      </c>
      <c r="J65" s="17"/>
      <c r="K65" s="17" t="str">
        <f>Github!L$64</f>
        <v>Array;Dynamic Programming;Matrix;</v>
      </c>
      <c r="L65" s="17" t="b">
        <f>Github!M$64</f>
        <v>1</v>
      </c>
      <c r="M65" s="17" t="str">
        <f>ROUND(Github!N$64, 2)&amp;"%"</f>
        <v>0%</v>
      </c>
      <c r="N65" s="17">
        <f>Github!O$64</f>
        <v>37.3030873</v>
      </c>
      <c r="O65" s="17">
        <f>Github!P$64</f>
        <v>486115</v>
      </c>
    </row>
    <row r="66">
      <c r="A66" s="17">
        <f>Github!J$65</f>
        <v>64</v>
      </c>
      <c r="B66" s="27" t="str">
        <f>HYPERLINK(CONCAT("http://leetcode.com/problems/",Github!C$65), Github!B$65)</f>
        <v>Minimum Path Sum</v>
      </c>
      <c r="C66" s="17">
        <f>Github!F$65</f>
        <v>6875</v>
      </c>
      <c r="D66" s="17">
        <f>Github!G$65</f>
        <v>94</v>
      </c>
      <c r="E66" s="17">
        <f>Github!F$65+Github!G$65</f>
        <v>6969</v>
      </c>
      <c r="F66" s="18">
        <f t="shared" si="1"/>
        <v>73.14</v>
      </c>
      <c r="G66" s="17" t="str">
        <f>Github!H$65</f>
        <v>Algorithms</v>
      </c>
      <c r="H66" s="17" t="str">
        <f>Github!E$65</f>
        <v>Medium</v>
      </c>
      <c r="I66" s="17" t="str">
        <f>IF(TRIM(Github!D$65)="TRUE","FALSE","TRUE")</f>
        <v>TRUE</v>
      </c>
      <c r="J66" s="17"/>
      <c r="K66" s="17" t="str">
        <f>Github!L$65</f>
        <v>Array;Dynamic Programming;Matrix;</v>
      </c>
      <c r="L66" s="17" t="b">
        <f>Github!M$65</f>
        <v>1</v>
      </c>
      <c r="M66" s="17" t="str">
        <f>ROUND(Github!N$65, 2)&amp;"%"</f>
        <v>0%</v>
      </c>
      <c r="N66" s="17">
        <f>Github!O$65</f>
        <v>59.0425012</v>
      </c>
      <c r="O66" s="17">
        <f>Github!P$65</f>
        <v>676468</v>
      </c>
    </row>
    <row r="67">
      <c r="A67" s="17">
        <f>Github!J$66</f>
        <v>65</v>
      </c>
      <c r="B67" s="27" t="str">
        <f>HYPERLINK(CONCAT("http://leetcode.com/problems/",Github!C$66), Github!B$66)</f>
        <v>Valid Number</v>
      </c>
      <c r="C67" s="17">
        <f>Github!F$66</f>
        <v>501</v>
      </c>
      <c r="D67" s="17">
        <f>Github!G$66</f>
        <v>900</v>
      </c>
      <c r="E67" s="17">
        <f>Github!F$66+Github!G$66</f>
        <v>1401</v>
      </c>
      <c r="F67" s="18">
        <f t="shared" si="1"/>
        <v>0.56</v>
      </c>
      <c r="G67" s="17" t="str">
        <f>Github!H$66</f>
        <v>Algorithms</v>
      </c>
      <c r="H67" s="17" t="str">
        <f>Github!E$66</f>
        <v>Hard</v>
      </c>
      <c r="I67" s="17" t="str">
        <f>IF(TRIM(Github!D$66)="TRUE","FALSE","TRUE")</f>
        <v>TRUE</v>
      </c>
      <c r="J67" s="17"/>
      <c r="K67" s="17" t="str">
        <f>Github!L$66</f>
        <v>String;</v>
      </c>
      <c r="L67" s="17" t="b">
        <f>Github!M$66</f>
        <v>1</v>
      </c>
      <c r="M67" s="17" t="str">
        <f>ROUND(Github!N$66, 2)&amp;"%"</f>
        <v>0%</v>
      </c>
      <c r="N67" s="17">
        <f>Github!O$66</f>
        <v>17.91376813</v>
      </c>
      <c r="O67" s="17">
        <f>Github!P$66</f>
        <v>261209</v>
      </c>
    </row>
    <row r="68">
      <c r="A68" s="17">
        <f>Github!J$67</f>
        <v>66</v>
      </c>
      <c r="B68" s="27" t="str">
        <f>HYPERLINK(CONCAT("http://leetcode.com/problems/",Github!C$67), Github!B$67)</f>
        <v>Plus One</v>
      </c>
      <c r="C68" s="17">
        <f>Github!F$67</f>
        <v>3778</v>
      </c>
      <c r="D68" s="17">
        <f>Github!G$67</f>
        <v>4007</v>
      </c>
      <c r="E68" s="17">
        <f>Github!F$67+Github!G$67</f>
        <v>7785</v>
      </c>
      <c r="F68" s="18">
        <f t="shared" si="1"/>
        <v>0.94</v>
      </c>
      <c r="G68" s="17" t="str">
        <f>Github!H$67</f>
        <v>Algorithms</v>
      </c>
      <c r="H68" s="17" t="str">
        <f>Github!E$67</f>
        <v>Easy</v>
      </c>
      <c r="I68" s="17" t="str">
        <f>IF(TRIM(Github!D$67)="TRUE","FALSE","TRUE")</f>
        <v>TRUE</v>
      </c>
      <c r="J68" s="17"/>
      <c r="K68" s="17" t="str">
        <f>Github!L$67</f>
        <v>Array;Math;</v>
      </c>
      <c r="L68" s="17" t="b">
        <f>Github!M$67</f>
        <v>1</v>
      </c>
      <c r="M68" s="17" t="str">
        <f>ROUND(Github!N$67, 2)&amp;"%"</f>
        <v>0%</v>
      </c>
      <c r="N68" s="17">
        <f>Github!O$67</f>
        <v>42.58383063</v>
      </c>
      <c r="O68" s="17">
        <f>Github!P$67</f>
        <v>1122398</v>
      </c>
    </row>
    <row r="69">
      <c r="A69" s="17">
        <f>Github!J$68</f>
        <v>67</v>
      </c>
      <c r="B69" s="27" t="str">
        <f>HYPERLINK(CONCAT("http://leetcode.com/problems/",Github!C$68), Github!B$68)</f>
        <v>Add Binary</v>
      </c>
      <c r="C69" s="17">
        <f>Github!F$68</f>
        <v>4689</v>
      </c>
      <c r="D69" s="17">
        <f>Github!G$68</f>
        <v>519</v>
      </c>
      <c r="E69" s="17">
        <f>Github!F$68+Github!G$68</f>
        <v>5208</v>
      </c>
      <c r="F69" s="18">
        <f t="shared" si="1"/>
        <v>9.03</v>
      </c>
      <c r="G69" s="17" t="str">
        <f>Github!H$68</f>
        <v>Algorithms</v>
      </c>
      <c r="H69" s="17" t="str">
        <f>Github!E$68</f>
        <v>Easy</v>
      </c>
      <c r="I69" s="17" t="str">
        <f>IF(TRIM(Github!D$68)="TRUE","FALSE","TRUE")</f>
        <v>TRUE</v>
      </c>
      <c r="J69" s="17"/>
      <c r="K69" s="17" t="str">
        <f>Github!L$68</f>
        <v>Math;String;Bit Manipulation;Simulation;</v>
      </c>
      <c r="L69" s="17" t="b">
        <f>Github!M$68</f>
        <v>1</v>
      </c>
      <c r="M69" s="17" t="str">
        <f>ROUND(Github!N$68, 2)&amp;"%"</f>
        <v>0%</v>
      </c>
      <c r="N69" s="17">
        <f>Github!O$68</f>
        <v>50.17587641</v>
      </c>
      <c r="O69" s="17">
        <f>Github!P$68</f>
        <v>797812</v>
      </c>
    </row>
    <row r="70">
      <c r="A70" s="17">
        <f>Github!J$69</f>
        <v>68</v>
      </c>
      <c r="B70" s="27" t="str">
        <f>HYPERLINK(CONCAT("http://leetcode.com/problems/",Github!C$69), Github!B$69)</f>
        <v>Text Justification</v>
      </c>
      <c r="C70" s="17">
        <f>Github!F$69</f>
        <v>1649</v>
      </c>
      <c r="D70" s="17">
        <f>Github!G$69</f>
        <v>2758</v>
      </c>
      <c r="E70" s="17">
        <f>Github!F$69+Github!G$69</f>
        <v>4407</v>
      </c>
      <c r="F70" s="18">
        <f t="shared" si="1"/>
        <v>0.6</v>
      </c>
      <c r="G70" s="17" t="str">
        <f>Github!H$69</f>
        <v>Algorithms</v>
      </c>
      <c r="H70" s="17" t="str">
        <f>Github!E$69</f>
        <v>Hard</v>
      </c>
      <c r="I70" s="17" t="str">
        <f>IF(TRIM(Github!D$69)="TRUE","FALSE","TRUE")</f>
        <v>TRUE</v>
      </c>
      <c r="J70" s="17"/>
      <c r="K70" s="17" t="str">
        <f>Github!L$69</f>
        <v>Array;String;Simulation;</v>
      </c>
      <c r="L70" s="17" t="b">
        <f>Github!M$69</f>
        <v>0</v>
      </c>
      <c r="M70" s="17" t="str">
        <f>ROUND(Github!N$69, 2)&amp;"%"</f>
        <v>0%</v>
      </c>
      <c r="N70" s="17">
        <f>Github!O$69</f>
        <v>34.57188513</v>
      </c>
      <c r="O70" s="17">
        <f>Github!P$69</f>
        <v>233660</v>
      </c>
    </row>
    <row r="71">
      <c r="A71" s="17">
        <f>Github!J$70</f>
        <v>69</v>
      </c>
      <c r="B71" s="27" t="str">
        <f>HYPERLINK(CONCAT("http://leetcode.com/problems/",Github!C$70), Github!B$70)</f>
        <v>Sqrt(x)</v>
      </c>
      <c r="C71" s="17">
        <f>Github!F$70</f>
        <v>3444</v>
      </c>
      <c r="D71" s="17">
        <f>Github!G$70</f>
        <v>3049</v>
      </c>
      <c r="E71" s="17">
        <f>Github!F$70+Github!G$70</f>
        <v>6493</v>
      </c>
      <c r="F71" s="18">
        <f t="shared" si="1"/>
        <v>1.13</v>
      </c>
      <c r="G71" s="17" t="str">
        <f>Github!H$70</f>
        <v>Algorithms</v>
      </c>
      <c r="H71" s="17" t="str">
        <f>Github!E$70</f>
        <v>Easy</v>
      </c>
      <c r="I71" s="17" t="str">
        <f>IF(TRIM(Github!D$70)="TRUE","FALSE","TRUE")</f>
        <v>TRUE</v>
      </c>
      <c r="J71" s="17"/>
      <c r="K71" s="17" t="str">
        <f>Github!L$70</f>
        <v>Math;Binary Search;</v>
      </c>
      <c r="L71" s="17" t="b">
        <f>Github!M$70</f>
        <v>1</v>
      </c>
      <c r="M71" s="17" t="str">
        <f>ROUND(Github!N$70, 2)&amp;"%"</f>
        <v>0%</v>
      </c>
      <c r="N71" s="17">
        <f>Github!O$70</f>
        <v>36.313167</v>
      </c>
      <c r="O71" s="17">
        <f>Github!P$70</f>
        <v>973356</v>
      </c>
    </row>
    <row r="72">
      <c r="A72" s="17">
        <f>Github!J$71</f>
        <v>70</v>
      </c>
      <c r="B72" s="27" t="str">
        <f>HYPERLINK(CONCAT("http://leetcode.com/problems/",Github!C$71), Github!B$71)</f>
        <v>Climbing Stairs</v>
      </c>
      <c r="C72" s="17">
        <f>Github!F$71</f>
        <v>10778</v>
      </c>
      <c r="D72" s="17">
        <f>Github!G$71</f>
        <v>330</v>
      </c>
      <c r="E72" s="17">
        <f>Github!F$71+Github!G$71</f>
        <v>11108</v>
      </c>
      <c r="F72" s="18">
        <f t="shared" si="1"/>
        <v>32.66</v>
      </c>
      <c r="G72" s="17" t="str">
        <f>Github!H$71</f>
        <v>Algorithms</v>
      </c>
      <c r="H72" s="17" t="str">
        <f>Github!E$71</f>
        <v>Easy</v>
      </c>
      <c r="I72" s="17" t="str">
        <f>IF(TRIM(Github!D$71)="TRUE","FALSE","TRUE")</f>
        <v>TRUE</v>
      </c>
      <c r="J72" s="17"/>
      <c r="K72" s="17" t="str">
        <f>Github!L$71</f>
        <v>Math;Dynamic Programming;Memoization;</v>
      </c>
      <c r="L72" s="17" t="b">
        <f>Github!M$71</f>
        <v>1</v>
      </c>
      <c r="M72" s="17" t="str">
        <f>ROUND(Github!N$71, 2)&amp;"%"</f>
        <v>0%</v>
      </c>
      <c r="N72" s="17">
        <f>Github!O$71</f>
        <v>50.81404534</v>
      </c>
      <c r="O72" s="17">
        <f>Github!P$71</f>
        <v>1441629</v>
      </c>
    </row>
    <row r="73">
      <c r="A73" s="17">
        <f>Github!J$72</f>
        <v>71</v>
      </c>
      <c r="B73" s="27" t="str">
        <f>HYPERLINK(CONCAT("http://leetcode.com/problems/",Github!C$72), Github!B$72)</f>
        <v>Simplify Path</v>
      </c>
      <c r="C73" s="17">
        <f>Github!F$72</f>
        <v>1416</v>
      </c>
      <c r="D73" s="17">
        <f>Github!G$72</f>
        <v>320</v>
      </c>
      <c r="E73" s="17">
        <f>Github!F$72+Github!G$72</f>
        <v>1736</v>
      </c>
      <c r="F73" s="18">
        <f t="shared" si="1"/>
        <v>4.43</v>
      </c>
      <c r="G73" s="17" t="str">
        <f>Github!H$72</f>
        <v>Algorithms</v>
      </c>
      <c r="H73" s="17" t="str">
        <f>Github!E$72</f>
        <v>Medium</v>
      </c>
      <c r="I73" s="17" t="str">
        <f>IF(TRIM(Github!D$72)="TRUE","FALSE","TRUE")</f>
        <v>TRUE</v>
      </c>
      <c r="J73" s="17"/>
      <c r="K73" s="17" t="str">
        <f>Github!L$72</f>
        <v>String;Stack;</v>
      </c>
      <c r="L73" s="17" t="b">
        <f>Github!M$72</f>
        <v>1</v>
      </c>
      <c r="M73" s="17" t="str">
        <f>ROUND(Github!N$72, 2)&amp;"%"</f>
        <v>0%</v>
      </c>
      <c r="N73" s="17">
        <f>Github!O$72</f>
        <v>37.56299038</v>
      </c>
      <c r="O73" s="17">
        <f>Github!P$72</f>
        <v>370687</v>
      </c>
    </row>
    <row r="74">
      <c r="A74" s="17">
        <f>Github!J$73</f>
        <v>72</v>
      </c>
      <c r="B74" s="27" t="str">
        <f>HYPERLINK(CONCAT("http://leetcode.com/problems/",Github!C$73), Github!B$73)</f>
        <v>Edit Distance</v>
      </c>
      <c r="C74" s="17">
        <f>Github!F$73</f>
        <v>7821</v>
      </c>
      <c r="D74" s="17">
        <f>Github!G$73</f>
        <v>92</v>
      </c>
      <c r="E74" s="17">
        <f>Github!F$73+Github!G$73</f>
        <v>7913</v>
      </c>
      <c r="F74" s="18">
        <f t="shared" si="1"/>
        <v>85.01</v>
      </c>
      <c r="G74" s="17" t="str">
        <f>Github!H$73</f>
        <v>Algorithms</v>
      </c>
      <c r="H74" s="17" t="str">
        <f>Github!E$73</f>
        <v>Hard</v>
      </c>
      <c r="I74" s="17" t="str">
        <f>IF(TRIM(Github!D$73)="TRUE","FALSE","TRUE")</f>
        <v>TRUE</v>
      </c>
      <c r="J74" s="17"/>
      <c r="K74" s="17" t="str">
        <f>Github!L$73</f>
        <v>String;Dynamic Programming;</v>
      </c>
      <c r="L74" s="17" t="b">
        <f>Github!M$73</f>
        <v>1</v>
      </c>
      <c r="M74" s="17" t="str">
        <f>ROUND(Github!N$73, 2)&amp;"%"</f>
        <v>0%</v>
      </c>
      <c r="N74" s="17">
        <f>Github!O$73</f>
        <v>50.33454376</v>
      </c>
      <c r="O74" s="17">
        <f>Github!P$73</f>
        <v>448134</v>
      </c>
    </row>
    <row r="75">
      <c r="A75" s="17">
        <f>Github!J$74</f>
        <v>73</v>
      </c>
      <c r="B75" s="27" t="str">
        <f>HYPERLINK(CONCAT("http://leetcode.com/problems/",Github!C$74), Github!B$74)</f>
        <v>Set Matrix Zeroes</v>
      </c>
      <c r="C75" s="17">
        <f>Github!F$74</f>
        <v>6243</v>
      </c>
      <c r="D75" s="17">
        <f>Github!G$74</f>
        <v>470</v>
      </c>
      <c r="E75" s="17">
        <f>Github!F$74+Github!G$74</f>
        <v>6713</v>
      </c>
      <c r="F75" s="18">
        <f t="shared" si="1"/>
        <v>13.28</v>
      </c>
      <c r="G75" s="17" t="str">
        <f>Github!H$74</f>
        <v>Algorithms</v>
      </c>
      <c r="H75" s="17" t="str">
        <f>Github!E$74</f>
        <v>Medium</v>
      </c>
      <c r="I75" s="17" t="str">
        <f>IF(TRIM(Github!D$74)="TRUE","FALSE","TRUE")</f>
        <v>TRUE</v>
      </c>
      <c r="J75" s="17"/>
      <c r="K75" s="17" t="str">
        <f>Github!L$74</f>
        <v>Array;Hash Table;Matrix;</v>
      </c>
      <c r="L75" s="17" t="b">
        <f>Github!M$74</f>
        <v>1</v>
      </c>
      <c r="M75" s="17" t="str">
        <f>ROUND(Github!N$74, 2)&amp;"%"</f>
        <v>0%</v>
      </c>
      <c r="N75" s="17">
        <f>Github!O$74</f>
        <v>47.86739193</v>
      </c>
      <c r="O75" s="17">
        <f>Github!P$74</f>
        <v>636660</v>
      </c>
    </row>
    <row r="76">
      <c r="A76" s="17">
        <f>Github!J$75</f>
        <v>74</v>
      </c>
      <c r="B76" s="27" t="str">
        <f>HYPERLINK(CONCAT("http://leetcode.com/problems/",Github!C$75), Github!B$75)</f>
        <v>Search a 2D Matrix</v>
      </c>
      <c r="C76" s="17">
        <f>Github!F$75</f>
        <v>6271</v>
      </c>
      <c r="D76" s="17">
        <f>Github!G$75</f>
        <v>247</v>
      </c>
      <c r="E76" s="17">
        <f>Github!F$75+Github!G$75</f>
        <v>6518</v>
      </c>
      <c r="F76" s="18">
        <f t="shared" si="1"/>
        <v>25.39</v>
      </c>
      <c r="G76" s="17" t="str">
        <f>Github!H$75</f>
        <v>Algorithms</v>
      </c>
      <c r="H76" s="17" t="str">
        <f>Github!E$75</f>
        <v>Medium</v>
      </c>
      <c r="I76" s="17" t="str">
        <f>IF(TRIM(Github!D$75)="TRUE","FALSE","TRUE")</f>
        <v>TRUE</v>
      </c>
      <c r="J76" s="17"/>
      <c r="K76" s="17" t="str">
        <f>Github!L$75</f>
        <v>Array;Binary Search;Matrix;</v>
      </c>
      <c r="L76" s="17" t="b">
        <f>Github!M$75</f>
        <v>1</v>
      </c>
      <c r="M76" s="17" t="str">
        <f>ROUND(Github!N$75, 2)&amp;"%"</f>
        <v>0%</v>
      </c>
      <c r="N76" s="17">
        <f>Github!O$75</f>
        <v>42.7225335</v>
      </c>
      <c r="O76" s="17">
        <f>Github!P$75</f>
        <v>675106</v>
      </c>
    </row>
    <row r="77">
      <c r="A77" s="17">
        <f>Github!J$76</f>
        <v>75</v>
      </c>
      <c r="B77" s="27" t="str">
        <f>HYPERLINK(CONCAT("http://leetcode.com/problems/",Github!C$76), Github!B$76)</f>
        <v>Sort Colors</v>
      </c>
      <c r="C77" s="17">
        <f>Github!F$76</f>
        <v>9014</v>
      </c>
      <c r="D77" s="17">
        <f>Github!G$76</f>
        <v>393</v>
      </c>
      <c r="E77" s="17">
        <f>Github!F$76+Github!G$76</f>
        <v>9407</v>
      </c>
      <c r="F77" s="18">
        <f t="shared" si="1"/>
        <v>22.94</v>
      </c>
      <c r="G77" s="17" t="str">
        <f>Github!H$76</f>
        <v>Algorithms</v>
      </c>
      <c r="H77" s="17" t="str">
        <f>Github!E$76</f>
        <v>Medium</v>
      </c>
      <c r="I77" s="17" t="str">
        <f>IF(TRIM(Github!D$76)="TRUE","FALSE","TRUE")</f>
        <v>TRUE</v>
      </c>
      <c r="J77" s="17"/>
      <c r="K77" s="17" t="str">
        <f>Github!L$76</f>
        <v>Array;Two Pointers;Sorting;</v>
      </c>
      <c r="L77" s="17" t="b">
        <f>Github!M$76</f>
        <v>1</v>
      </c>
      <c r="M77" s="17" t="str">
        <f>ROUND(Github!N$76, 2)&amp;"%"</f>
        <v>0%</v>
      </c>
      <c r="N77" s="17">
        <f>Github!O$76</f>
        <v>54.24340948</v>
      </c>
      <c r="O77" s="17">
        <f>Github!P$76</f>
        <v>945444</v>
      </c>
    </row>
    <row r="78">
      <c r="A78" s="17">
        <f>Github!J$77</f>
        <v>76</v>
      </c>
      <c r="B78" s="27" t="str">
        <f>HYPERLINK(CONCAT("http://leetcode.com/problems/",Github!C$77), Github!B$77)</f>
        <v>Minimum Window Substring</v>
      </c>
      <c r="C78" s="17">
        <f>Github!F$77</f>
        <v>9628</v>
      </c>
      <c r="D78" s="17">
        <f>Github!G$77</f>
        <v>520</v>
      </c>
      <c r="E78" s="17">
        <f>Github!F$77+Github!G$77</f>
        <v>10148</v>
      </c>
      <c r="F78" s="18">
        <f t="shared" si="1"/>
        <v>18.52</v>
      </c>
      <c r="G78" s="17" t="str">
        <f>Github!H$77</f>
        <v>Algorithms</v>
      </c>
      <c r="H78" s="17" t="str">
        <f>Github!E$77</f>
        <v>Hard</v>
      </c>
      <c r="I78" s="17" t="str">
        <f>IF(TRIM(Github!D$77)="TRUE","FALSE","TRUE")</f>
        <v>TRUE</v>
      </c>
      <c r="J78" s="17"/>
      <c r="K78" s="17" t="str">
        <f>Github!L$77</f>
        <v>Hash Table;String;Sliding Window;</v>
      </c>
      <c r="L78" s="17" t="b">
        <f>Github!M$77</f>
        <v>1</v>
      </c>
      <c r="M78" s="17" t="str">
        <f>ROUND(Github!N$77, 2)&amp;"%"</f>
        <v>0%</v>
      </c>
      <c r="N78" s="17">
        <f>Github!O$77</f>
        <v>38.69776264</v>
      </c>
      <c r="O78" s="17">
        <f>Github!P$77</f>
        <v>713261</v>
      </c>
    </row>
    <row r="79">
      <c r="A79" s="17">
        <f>Github!J$78</f>
        <v>77</v>
      </c>
      <c r="B79" s="27" t="str">
        <f>HYPERLINK(CONCAT("http://leetcode.com/problems/",Github!C$78), Github!B$78)</f>
        <v>Combinations</v>
      </c>
      <c r="C79" s="17">
        <f>Github!F$78</f>
        <v>3851</v>
      </c>
      <c r="D79" s="17">
        <f>Github!G$78</f>
        <v>127</v>
      </c>
      <c r="E79" s="17">
        <f>Github!F$78+Github!G$78</f>
        <v>3978</v>
      </c>
      <c r="F79" s="18">
        <f t="shared" si="1"/>
        <v>30.32</v>
      </c>
      <c r="G79" s="17" t="str">
        <f>Github!H$78</f>
        <v>Algorithms</v>
      </c>
      <c r="H79" s="17" t="str">
        <f>Github!E$78</f>
        <v>Medium</v>
      </c>
      <c r="I79" s="17" t="str">
        <f>IF(TRIM(Github!D$78)="TRUE","FALSE","TRUE")</f>
        <v>TRUE</v>
      </c>
      <c r="J79" s="17"/>
      <c r="K79" s="17" t="str">
        <f>Github!L$78</f>
        <v>Array;Backtracking;</v>
      </c>
      <c r="L79" s="17" t="b">
        <f>Github!M$78</f>
        <v>1</v>
      </c>
      <c r="M79" s="17" t="str">
        <f>ROUND(Github!N$78, 2)&amp;"%"</f>
        <v>0%</v>
      </c>
      <c r="N79" s="17">
        <f>Github!O$78</f>
        <v>63.20906765</v>
      </c>
      <c r="O79" s="17">
        <f>Github!P$78</f>
        <v>492579</v>
      </c>
    </row>
    <row r="80">
      <c r="A80" s="17">
        <f>Github!J$79</f>
        <v>78</v>
      </c>
      <c r="B80" s="27" t="str">
        <f>HYPERLINK(CONCAT("http://leetcode.com/problems/",Github!C$79), Github!B$79)</f>
        <v>Subsets</v>
      </c>
      <c r="C80" s="17">
        <f>Github!F$79</f>
        <v>9358</v>
      </c>
      <c r="D80" s="17">
        <f>Github!G$79</f>
        <v>148</v>
      </c>
      <c r="E80" s="17">
        <f>Github!F$79+Github!G$79</f>
        <v>9506</v>
      </c>
      <c r="F80" s="18">
        <f t="shared" si="1"/>
        <v>63.23</v>
      </c>
      <c r="G80" s="17" t="str">
        <f>Github!H$79</f>
        <v>Algorithms</v>
      </c>
      <c r="H80" s="17" t="str">
        <f>Github!E$79</f>
        <v>Medium</v>
      </c>
      <c r="I80" s="17" t="str">
        <f>IF(TRIM(Github!D$79)="TRUE","FALSE","TRUE")</f>
        <v>TRUE</v>
      </c>
      <c r="J80" s="17"/>
      <c r="K80" s="17" t="str">
        <f>Github!L$79</f>
        <v>Array;Backtracking;Bit Manipulation;</v>
      </c>
      <c r="L80" s="17" t="b">
        <f>Github!M$79</f>
        <v>1</v>
      </c>
      <c r="M80" s="17" t="str">
        <f>ROUND(Github!N$79, 2)&amp;"%"</f>
        <v>0%</v>
      </c>
      <c r="N80" s="17">
        <f>Github!O$79</f>
        <v>70.79865485</v>
      </c>
      <c r="O80" s="17">
        <f>Github!P$79</f>
        <v>1032004</v>
      </c>
    </row>
    <row r="81">
      <c r="A81" s="17">
        <f>Github!J$80</f>
        <v>79</v>
      </c>
      <c r="B81" s="27" t="str">
        <f>HYPERLINK(CONCAT("http://leetcode.com/problems/",Github!C$80), Github!B$80)</f>
        <v>Word Search</v>
      </c>
      <c r="C81" s="17">
        <f>Github!F$80</f>
        <v>8696</v>
      </c>
      <c r="D81" s="17">
        <f>Github!G$80</f>
        <v>329</v>
      </c>
      <c r="E81" s="17">
        <f>Github!F$80+Github!G$80</f>
        <v>9025</v>
      </c>
      <c r="F81" s="18">
        <f t="shared" si="1"/>
        <v>26.43</v>
      </c>
      <c r="G81" s="17" t="str">
        <f>Github!H$80</f>
        <v>Algorithms</v>
      </c>
      <c r="H81" s="17" t="str">
        <f>Github!E$80</f>
        <v>Medium</v>
      </c>
      <c r="I81" s="17" t="str">
        <f>IF(TRIM(Github!D$80)="TRUE","FALSE","TRUE")</f>
        <v>TRUE</v>
      </c>
      <c r="J81" s="17"/>
      <c r="K81" s="17" t="str">
        <f>Github!L$80</f>
        <v>Array;Backtracking;Matrix;</v>
      </c>
      <c r="L81" s="17" t="b">
        <f>Github!M$80</f>
        <v>1</v>
      </c>
      <c r="M81" s="17" t="str">
        <f>ROUND(Github!N$80, 2)&amp;"%"</f>
        <v>0%</v>
      </c>
      <c r="N81" s="17">
        <f>Github!O$80</f>
        <v>39.46599687</v>
      </c>
      <c r="O81" s="17">
        <f>Github!P$80</f>
        <v>910847</v>
      </c>
    </row>
    <row r="82">
      <c r="A82" s="17">
        <f>Github!J$81</f>
        <v>80</v>
      </c>
      <c r="B82" s="27" t="str">
        <f>HYPERLINK(CONCAT("http://leetcode.com/problems/",Github!C$81), Github!B$81)</f>
        <v>Remove Duplicates from Sorted Array II</v>
      </c>
      <c r="C82" s="17">
        <f>Github!F$81</f>
        <v>3446</v>
      </c>
      <c r="D82" s="17">
        <f>Github!G$81</f>
        <v>908</v>
      </c>
      <c r="E82" s="17">
        <f>Github!F$81+Github!G$81</f>
        <v>4354</v>
      </c>
      <c r="F82" s="18">
        <f t="shared" si="1"/>
        <v>3.8</v>
      </c>
      <c r="G82" s="17" t="str">
        <f>Github!H$81</f>
        <v>Algorithms</v>
      </c>
      <c r="H82" s="17" t="str">
        <f>Github!E$81</f>
        <v>Medium</v>
      </c>
      <c r="I82" s="17" t="str">
        <f>IF(TRIM(Github!D$81)="TRUE","FALSE","TRUE")</f>
        <v>TRUE</v>
      </c>
      <c r="J82" s="17"/>
      <c r="K82" s="17" t="str">
        <f>Github!L$81</f>
        <v>Array;Two Pointers;</v>
      </c>
      <c r="L82" s="17" t="b">
        <f>Github!M$81</f>
        <v>1</v>
      </c>
      <c r="M82" s="17" t="str">
        <f>ROUND(Github!N$81, 2)&amp;"%"</f>
        <v>0%</v>
      </c>
      <c r="N82" s="17">
        <f>Github!O$81</f>
        <v>50.28557963</v>
      </c>
      <c r="O82" s="17">
        <f>Github!P$81</f>
        <v>420396</v>
      </c>
    </row>
    <row r="83">
      <c r="A83" s="17">
        <f>Github!J$82</f>
        <v>81</v>
      </c>
      <c r="B83" s="27" t="str">
        <f>HYPERLINK(CONCAT("http://leetcode.com/problems/",Github!C$82), Github!B$82)</f>
        <v>Search in Rotated Sorted Array II</v>
      </c>
      <c r="C83" s="17">
        <f>Github!F$82</f>
        <v>3420</v>
      </c>
      <c r="D83" s="17">
        <f>Github!G$82</f>
        <v>655</v>
      </c>
      <c r="E83" s="17">
        <f>Github!F$82+Github!G$82</f>
        <v>4075</v>
      </c>
      <c r="F83" s="18">
        <f t="shared" si="1"/>
        <v>5.22</v>
      </c>
      <c r="G83" s="17" t="str">
        <f>Github!H$82</f>
        <v>Algorithms</v>
      </c>
      <c r="H83" s="17" t="str">
        <f>Github!E$82</f>
        <v>Medium</v>
      </c>
      <c r="I83" s="17" t="str">
        <f>IF(TRIM(Github!D$82)="TRUE","FALSE","TRUE")</f>
        <v>TRUE</v>
      </c>
      <c r="J83" s="17"/>
      <c r="K83" s="17" t="str">
        <f>Github!L$82</f>
        <v>Array;Binary Search;</v>
      </c>
      <c r="L83" s="17" t="b">
        <f>Github!M$82</f>
        <v>1</v>
      </c>
      <c r="M83" s="17" t="str">
        <f>ROUND(Github!N$82, 2)&amp;"%"</f>
        <v>0%</v>
      </c>
      <c r="N83" s="17">
        <f>Github!O$82</f>
        <v>34.44331101</v>
      </c>
      <c r="O83" s="17">
        <f>Github!P$82</f>
        <v>373095</v>
      </c>
    </row>
    <row r="84">
      <c r="A84" s="17">
        <f>Github!J$83</f>
        <v>82</v>
      </c>
      <c r="B84" s="27" t="str">
        <f>HYPERLINK(CONCAT("http://leetcode.com/problems/",Github!C$83), Github!B$83)</f>
        <v>Remove Duplicates from Sorted List II</v>
      </c>
      <c r="C84" s="17">
        <f>Github!F$83</f>
        <v>5401</v>
      </c>
      <c r="D84" s="17">
        <f>Github!G$83</f>
        <v>161</v>
      </c>
      <c r="E84" s="17">
        <f>Github!F$83+Github!G$83</f>
        <v>5562</v>
      </c>
      <c r="F84" s="18">
        <f t="shared" si="1"/>
        <v>33.55</v>
      </c>
      <c r="G84" s="17" t="str">
        <f>Github!H$83</f>
        <v>Algorithms</v>
      </c>
      <c r="H84" s="17" t="str">
        <f>Github!E$83</f>
        <v>Medium</v>
      </c>
      <c r="I84" s="17" t="str">
        <f>IF(TRIM(Github!D$83)="TRUE","FALSE","TRUE")</f>
        <v>TRUE</v>
      </c>
      <c r="J84" s="17"/>
      <c r="K84" s="17" t="str">
        <f>Github!L$83</f>
        <v>Linked List;Two Pointers;</v>
      </c>
      <c r="L84" s="17" t="b">
        <f>Github!M$83</f>
        <v>1</v>
      </c>
      <c r="M84" s="17" t="str">
        <f>ROUND(Github!N$83, 2)&amp;"%"</f>
        <v>0%</v>
      </c>
      <c r="N84" s="17">
        <f>Github!O$83</f>
        <v>43.92611435</v>
      </c>
      <c r="O84" s="17">
        <f>Github!P$83</f>
        <v>466583</v>
      </c>
    </row>
    <row r="85">
      <c r="A85" s="17">
        <f>Github!J$84</f>
        <v>83</v>
      </c>
      <c r="B85" s="27" t="str">
        <f>HYPERLINK(CONCAT("http://leetcode.com/problems/",Github!C$84), Github!B$84)</f>
        <v>Remove Duplicates from Sorted List</v>
      </c>
      <c r="C85" s="17">
        <f>Github!F$84</f>
        <v>4420</v>
      </c>
      <c r="D85" s="17">
        <f>Github!G$84</f>
        <v>179</v>
      </c>
      <c r="E85" s="17">
        <f>Github!F$84+Github!G$84</f>
        <v>4599</v>
      </c>
      <c r="F85" s="18">
        <f t="shared" si="1"/>
        <v>24.69</v>
      </c>
      <c r="G85" s="17" t="str">
        <f>Github!H$84</f>
        <v>Algorithms</v>
      </c>
      <c r="H85" s="17" t="str">
        <f>Github!E$84</f>
        <v>Easy</v>
      </c>
      <c r="I85" s="17" t="str">
        <f>IF(TRIM(Github!D$84)="TRUE","FALSE","TRUE")</f>
        <v>TRUE</v>
      </c>
      <c r="J85" s="17"/>
      <c r="K85" s="17" t="str">
        <f>Github!L$84</f>
        <v>Linked List;</v>
      </c>
      <c r="L85" s="17" t="b">
        <f>Github!M$84</f>
        <v>1</v>
      </c>
      <c r="M85" s="17" t="str">
        <f>ROUND(Github!N$84, 2)&amp;"%"</f>
        <v>0%</v>
      </c>
      <c r="N85" s="17">
        <f>Github!O$84</f>
        <v>48.76765471</v>
      </c>
      <c r="O85" s="17">
        <f>Github!P$84</f>
        <v>810067</v>
      </c>
    </row>
    <row r="86">
      <c r="A86" s="17">
        <f>Github!J$85</f>
        <v>84</v>
      </c>
      <c r="B86" s="27" t="str">
        <f>HYPERLINK(CONCAT("http://leetcode.com/problems/",Github!C$85), Github!B$85)</f>
        <v>Largest Rectangle in Histogram</v>
      </c>
      <c r="C86" s="17">
        <f>Github!F$85</f>
        <v>9284</v>
      </c>
      <c r="D86" s="17">
        <f>Github!G$85</f>
        <v>137</v>
      </c>
      <c r="E86" s="17">
        <f>Github!F$85+Github!G$85</f>
        <v>9421</v>
      </c>
      <c r="F86" s="18">
        <f t="shared" si="1"/>
        <v>67.77</v>
      </c>
      <c r="G86" s="17" t="str">
        <f>Github!H$85</f>
        <v>Algorithms</v>
      </c>
      <c r="H86" s="17" t="str">
        <f>Github!E$85</f>
        <v>Hard</v>
      </c>
      <c r="I86" s="17" t="str">
        <f>IF(TRIM(Github!D$85)="TRUE","FALSE","TRUE")</f>
        <v>TRUE</v>
      </c>
      <c r="J86" s="17"/>
      <c r="K86" s="17" t="str">
        <f>Github!L$85</f>
        <v>Array;Stack;Monotonic Stack;</v>
      </c>
      <c r="L86" s="17" t="b">
        <f>Github!M$85</f>
        <v>1</v>
      </c>
      <c r="M86" s="17" t="str">
        <f>ROUND(Github!N$85, 2)&amp;"%"</f>
        <v>1%</v>
      </c>
      <c r="N86" s="17">
        <f>Github!O$85</f>
        <v>40.50836548</v>
      </c>
      <c r="O86" s="17">
        <f>Github!P$85</f>
        <v>483957</v>
      </c>
    </row>
    <row r="87">
      <c r="A87" s="17">
        <f>Github!J$86</f>
        <v>85</v>
      </c>
      <c r="B87" s="27" t="str">
        <f>HYPERLINK(CONCAT("http://leetcode.com/problems/",Github!C$86), Github!B$86)</f>
        <v>Maximal Rectangle</v>
      </c>
      <c r="C87" s="17">
        <f>Github!F$86</f>
        <v>6281</v>
      </c>
      <c r="D87" s="17">
        <f>Github!G$86</f>
        <v>106</v>
      </c>
      <c r="E87" s="17">
        <f>Github!F$86+Github!G$86</f>
        <v>6387</v>
      </c>
      <c r="F87" s="18">
        <f t="shared" si="1"/>
        <v>59.25</v>
      </c>
      <c r="G87" s="17" t="str">
        <f>Github!H$86</f>
        <v>Algorithms</v>
      </c>
      <c r="H87" s="17" t="str">
        <f>Github!E$86</f>
        <v>Hard</v>
      </c>
      <c r="I87" s="17" t="str">
        <f>IF(TRIM(Github!D$86)="TRUE","FALSE","TRUE")</f>
        <v>TRUE</v>
      </c>
      <c r="J87" s="17"/>
      <c r="K87" s="17" t="str">
        <f>Github!L$86</f>
        <v>Array;Dynamic Programming;Stack;Matrix;Monotonic Stack;</v>
      </c>
      <c r="L87" s="17" t="b">
        <f>Github!M$86</f>
        <v>1</v>
      </c>
      <c r="M87" s="17" t="str">
        <f>ROUND(Github!N$86, 2)&amp;"%"</f>
        <v>0%</v>
      </c>
      <c r="N87" s="17">
        <f>Github!O$86</f>
        <v>42.4601605</v>
      </c>
      <c r="O87" s="17">
        <f>Github!P$86</f>
        <v>286615</v>
      </c>
    </row>
    <row r="88">
      <c r="A88" s="17">
        <f>Github!J$87</f>
        <v>86</v>
      </c>
      <c r="B88" s="27" t="str">
        <f>HYPERLINK(CONCAT("http://leetcode.com/problems/",Github!C$87), Github!B$87)</f>
        <v>Partition List</v>
      </c>
      <c r="C88" s="17">
        <f>Github!F$87</f>
        <v>3258</v>
      </c>
      <c r="D88" s="17">
        <f>Github!G$87</f>
        <v>465</v>
      </c>
      <c r="E88" s="17">
        <f>Github!F$87+Github!G$87</f>
        <v>3723</v>
      </c>
      <c r="F88" s="18">
        <f t="shared" si="1"/>
        <v>7.01</v>
      </c>
      <c r="G88" s="17" t="str">
        <f>Github!H$87</f>
        <v>Algorithms</v>
      </c>
      <c r="H88" s="17" t="str">
        <f>Github!E$87</f>
        <v>Medium</v>
      </c>
      <c r="I88" s="17" t="str">
        <f>IF(TRIM(Github!D$87)="TRUE","FALSE","TRUE")</f>
        <v>TRUE</v>
      </c>
      <c r="J88" s="17"/>
      <c r="K88" s="17" t="str">
        <f>Github!L$87</f>
        <v>Linked List;Two Pointers;</v>
      </c>
      <c r="L88" s="17" t="b">
        <f>Github!M$87</f>
        <v>1</v>
      </c>
      <c r="M88" s="17" t="str">
        <f>ROUND(Github!N$87, 2)&amp;"%"</f>
        <v>0%</v>
      </c>
      <c r="N88" s="17">
        <f>Github!O$87</f>
        <v>47.51316593</v>
      </c>
      <c r="O88" s="17">
        <f>Github!P$87</f>
        <v>329838</v>
      </c>
    </row>
    <row r="89">
      <c r="A89" s="17">
        <f>Github!J$88</f>
        <v>87</v>
      </c>
      <c r="B89" s="27" t="str">
        <f>HYPERLINK(CONCAT("http://leetcode.com/problems/",Github!C$88), Github!B$88)</f>
        <v>Scramble String</v>
      </c>
      <c r="C89" s="17">
        <f>Github!F$88</f>
        <v>1359</v>
      </c>
      <c r="D89" s="17">
        <f>Github!G$88</f>
        <v>920</v>
      </c>
      <c r="E89" s="17">
        <f>Github!F$88+Github!G$88</f>
        <v>2279</v>
      </c>
      <c r="F89" s="18">
        <f t="shared" si="1"/>
        <v>1.48</v>
      </c>
      <c r="G89" s="17" t="str">
        <f>Github!H$88</f>
        <v>Algorithms</v>
      </c>
      <c r="H89" s="17" t="str">
        <f>Github!E$88</f>
        <v>Hard</v>
      </c>
      <c r="I89" s="17" t="str">
        <f>IF(TRIM(Github!D$88)="TRUE","FALSE","TRUE")</f>
        <v>TRUE</v>
      </c>
      <c r="J89" s="17"/>
      <c r="K89" s="17" t="str">
        <f>Github!L$88</f>
        <v>String;Dynamic Programming;</v>
      </c>
      <c r="L89" s="17" t="b">
        <f>Github!M$88</f>
        <v>0</v>
      </c>
      <c r="M89" s="17" t="str">
        <f>ROUND(Github!N$88, 2)&amp;"%"</f>
        <v>0%</v>
      </c>
      <c r="N89" s="17">
        <f>Github!O$88</f>
        <v>35.4870643</v>
      </c>
      <c r="O89" s="17">
        <f>Github!P$88</f>
        <v>141239</v>
      </c>
    </row>
    <row r="90">
      <c r="A90" s="17">
        <f>Github!J$89</f>
        <v>88</v>
      </c>
      <c r="B90" s="27" t="str">
        <f>HYPERLINK(CONCAT("http://leetcode.com/problems/",Github!C$89), Github!B$89)</f>
        <v>Merge Sorted Array</v>
      </c>
      <c r="C90" s="17">
        <f>Github!F$89</f>
        <v>3736</v>
      </c>
      <c r="D90" s="17">
        <f>Github!G$89</f>
        <v>352</v>
      </c>
      <c r="E90" s="17">
        <f>Github!F$89+Github!G$89</f>
        <v>4088</v>
      </c>
      <c r="F90" s="18">
        <f t="shared" si="1"/>
        <v>10.61</v>
      </c>
      <c r="G90" s="17" t="str">
        <f>Github!H$89</f>
        <v>Algorithms</v>
      </c>
      <c r="H90" s="17" t="str">
        <f>Github!E$89</f>
        <v>Easy</v>
      </c>
      <c r="I90" s="17" t="str">
        <f>IF(TRIM(Github!D$89)="TRUE","FALSE","TRUE")</f>
        <v>TRUE</v>
      </c>
      <c r="J90" s="17"/>
      <c r="K90" s="17" t="str">
        <f>Github!L$89</f>
        <v>Array;Two Pointers;Sorting;</v>
      </c>
      <c r="L90" s="17" t="b">
        <f>Github!M$89</f>
        <v>1</v>
      </c>
      <c r="M90" s="17" t="str">
        <f>ROUND(Github!N$89, 2)&amp;"%"</f>
        <v>0%</v>
      </c>
      <c r="N90" s="17">
        <f>Github!O$89</f>
        <v>43.45102111</v>
      </c>
      <c r="O90" s="17">
        <f>Github!P$89</f>
        <v>1285509</v>
      </c>
    </row>
    <row r="91">
      <c r="A91" s="17">
        <f>Github!J$90</f>
        <v>89</v>
      </c>
      <c r="B91" s="27" t="str">
        <f>HYPERLINK(CONCAT("http://leetcode.com/problems/",Github!C$90), Github!B$90)</f>
        <v>Gray Code</v>
      </c>
      <c r="C91" s="17">
        <f>Github!F$90</f>
        <v>1376</v>
      </c>
      <c r="D91" s="17">
        <f>Github!G$90</f>
        <v>2223</v>
      </c>
      <c r="E91" s="17">
        <f>Github!F$90+Github!G$90</f>
        <v>3599</v>
      </c>
      <c r="F91" s="18">
        <f t="shared" si="1"/>
        <v>0.62</v>
      </c>
      <c r="G91" s="17" t="str">
        <f>Github!H$90</f>
        <v>Algorithms</v>
      </c>
      <c r="H91" s="17" t="str">
        <f>Github!E$90</f>
        <v>Medium</v>
      </c>
      <c r="I91" s="17" t="str">
        <f>IF(TRIM(Github!D$90)="TRUE","FALSE","TRUE")</f>
        <v>TRUE</v>
      </c>
      <c r="J91" s="17"/>
      <c r="K91" s="17" t="str">
        <f>Github!L$90</f>
        <v>Math;Backtracking;Bit Manipulation;</v>
      </c>
      <c r="L91" s="17" t="b">
        <f>Github!M$90</f>
        <v>1</v>
      </c>
      <c r="M91" s="17" t="str">
        <f>ROUND(Github!N$90, 2)&amp;"%"</f>
        <v>0%</v>
      </c>
      <c r="N91" s="17">
        <f>Github!O$90</f>
        <v>54.97378039</v>
      </c>
      <c r="O91" s="17">
        <f>Github!P$90</f>
        <v>228326</v>
      </c>
    </row>
    <row r="92">
      <c r="A92" s="17">
        <f>Github!J$91</f>
        <v>90</v>
      </c>
      <c r="B92" s="27" t="str">
        <f>HYPERLINK(CONCAT("http://leetcode.com/problems/",Github!C$91), Github!B$91)</f>
        <v>Subsets II</v>
      </c>
      <c r="C92" s="17">
        <f>Github!F$91</f>
        <v>4615</v>
      </c>
      <c r="D92" s="17">
        <f>Github!G$91</f>
        <v>144</v>
      </c>
      <c r="E92" s="17">
        <f>Github!F$91+Github!G$91</f>
        <v>4759</v>
      </c>
      <c r="F92" s="18">
        <f t="shared" si="1"/>
        <v>32.05</v>
      </c>
      <c r="G92" s="17" t="str">
        <f>Github!H$91</f>
        <v>Algorithms</v>
      </c>
      <c r="H92" s="17" t="str">
        <f>Github!E$91</f>
        <v>Medium</v>
      </c>
      <c r="I92" s="17" t="str">
        <f>IF(TRIM(Github!D$91)="TRUE","FALSE","TRUE")</f>
        <v>TRUE</v>
      </c>
      <c r="J92" s="17"/>
      <c r="K92" s="17" t="str">
        <f>Github!L$91</f>
        <v>Array;Backtracking;Bit Manipulation;</v>
      </c>
      <c r="L92" s="17" t="b">
        <f>Github!M$91</f>
        <v>1</v>
      </c>
      <c r="M92" s="17" t="str">
        <f>ROUND(Github!N$91, 2)&amp;"%"</f>
        <v>0%</v>
      </c>
      <c r="N92" s="17">
        <f>Github!O$91</f>
        <v>52.77305965</v>
      </c>
      <c r="O92" s="17">
        <f>Github!P$91</f>
        <v>475668</v>
      </c>
    </row>
    <row r="93">
      <c r="A93" s="17">
        <f>Github!J$92</f>
        <v>91</v>
      </c>
      <c r="B93" s="27" t="str">
        <f>HYPERLINK(CONCAT("http://leetcode.com/problems/",Github!C$92), Github!B$92)</f>
        <v>Decode Ways</v>
      </c>
      <c r="C93" s="17">
        <f>Github!F$92</f>
        <v>6485</v>
      </c>
      <c r="D93" s="17">
        <f>Github!G$92</f>
        <v>3750</v>
      </c>
      <c r="E93" s="17">
        <f>Github!F$92+Github!G$92</f>
        <v>10235</v>
      </c>
      <c r="F93" s="18">
        <f t="shared" si="1"/>
        <v>1.73</v>
      </c>
      <c r="G93" s="17" t="str">
        <f>Github!H$92</f>
        <v>Algorithms</v>
      </c>
      <c r="H93" s="17" t="str">
        <f>Github!E$92</f>
        <v>Medium</v>
      </c>
      <c r="I93" s="17" t="str">
        <f>IF(TRIM(Github!D$92)="TRUE","FALSE","TRUE")</f>
        <v>TRUE</v>
      </c>
      <c r="J93" s="17"/>
      <c r="K93" s="17" t="str">
        <f>Github!L$92</f>
        <v>String;Dynamic Programming;</v>
      </c>
      <c r="L93" s="17" t="b">
        <f>Github!M$92</f>
        <v>1</v>
      </c>
      <c r="M93" s="17" t="str">
        <f>ROUND(Github!N$92, 2)&amp;"%"</f>
        <v>1%</v>
      </c>
      <c r="N93" s="17">
        <f>Github!O$92</f>
        <v>29.88629567</v>
      </c>
      <c r="O93" s="17">
        <f>Github!P$92</f>
        <v>744070</v>
      </c>
    </row>
    <row r="94">
      <c r="A94" s="17">
        <f>Github!J$93</f>
        <v>92</v>
      </c>
      <c r="B94" s="27" t="str">
        <f>HYPERLINK(CONCAT("http://leetcode.com/problems/",Github!C$93), Github!B$93)</f>
        <v>Reverse Linked List II</v>
      </c>
      <c r="C94" s="17">
        <f>Github!F$93</f>
        <v>5731</v>
      </c>
      <c r="D94" s="17">
        <f>Github!G$93</f>
        <v>271</v>
      </c>
      <c r="E94" s="17">
        <f>Github!F$93+Github!G$93</f>
        <v>6002</v>
      </c>
      <c r="F94" s="18">
        <f t="shared" si="1"/>
        <v>21.15</v>
      </c>
      <c r="G94" s="17" t="str">
        <f>Github!H$93</f>
        <v>Algorithms</v>
      </c>
      <c r="H94" s="17" t="str">
        <f>Github!E$93</f>
        <v>Medium</v>
      </c>
      <c r="I94" s="17" t="str">
        <f>IF(TRIM(Github!D$93)="TRUE","FALSE","TRUE")</f>
        <v>TRUE</v>
      </c>
      <c r="J94" s="17"/>
      <c r="K94" s="17" t="str">
        <f>Github!L$93</f>
        <v>Linked List;</v>
      </c>
      <c r="L94" s="17" t="b">
        <f>Github!M$93</f>
        <v>1</v>
      </c>
      <c r="M94" s="17" t="str">
        <f>ROUND(Github!N$93, 2)&amp;"%"</f>
        <v>0%</v>
      </c>
      <c r="N94" s="17">
        <f>Github!O$93</f>
        <v>43.15310602</v>
      </c>
      <c r="O94" s="17">
        <f>Github!P$93</f>
        <v>459385</v>
      </c>
    </row>
    <row r="95">
      <c r="A95" s="17">
        <f>Github!J$94</f>
        <v>93</v>
      </c>
      <c r="B95" s="27" t="str">
        <f>HYPERLINK(CONCAT("http://leetcode.com/problems/",Github!C$94), Github!B$94)</f>
        <v>Restore IP Addresses</v>
      </c>
      <c r="C95" s="17">
        <f>Github!F$94</f>
        <v>2564</v>
      </c>
      <c r="D95" s="17">
        <f>Github!G$94</f>
        <v>620</v>
      </c>
      <c r="E95" s="17">
        <f>Github!F$94+Github!G$94</f>
        <v>3184</v>
      </c>
      <c r="F95" s="18">
        <f t="shared" si="1"/>
        <v>4.14</v>
      </c>
      <c r="G95" s="17" t="str">
        <f>Github!H$94</f>
        <v>Algorithms</v>
      </c>
      <c r="H95" s="17" t="str">
        <f>Github!E$94</f>
        <v>Medium</v>
      </c>
      <c r="I95" s="17" t="str">
        <f>IF(TRIM(Github!D$94)="TRUE","FALSE","TRUE")</f>
        <v>TRUE</v>
      </c>
      <c r="J95" s="17"/>
      <c r="K95" s="17" t="str">
        <f>Github!L$94</f>
        <v>String;Backtracking;</v>
      </c>
      <c r="L95" s="17" t="b">
        <f>Github!M$94</f>
        <v>1</v>
      </c>
      <c r="M95" s="17" t="str">
        <f>ROUND(Github!N$94, 2)&amp;"%"</f>
        <v>0%</v>
      </c>
      <c r="N95" s="17">
        <f>Github!O$94</f>
        <v>41.36535058</v>
      </c>
      <c r="O95" s="17">
        <f>Github!P$94</f>
        <v>288141</v>
      </c>
    </row>
    <row r="96">
      <c r="A96" s="17">
        <f>Github!J$95</f>
        <v>94</v>
      </c>
      <c r="B96" s="27" t="str">
        <f>HYPERLINK(CONCAT("http://leetcode.com/problems/",Github!C$95), Github!B$95)</f>
        <v>Binary Tree Inorder Traversal</v>
      </c>
      <c r="C96" s="17">
        <f>Github!F$95</f>
        <v>7131</v>
      </c>
      <c r="D96" s="17">
        <f>Github!G$95</f>
        <v>315</v>
      </c>
      <c r="E96" s="17">
        <f>Github!F$95+Github!G$95</f>
        <v>7446</v>
      </c>
      <c r="F96" s="18">
        <f t="shared" si="1"/>
        <v>22.64</v>
      </c>
      <c r="G96" s="17" t="str">
        <f>Github!H$95</f>
        <v>Algorithms</v>
      </c>
      <c r="H96" s="17" t="str">
        <f>Github!E$95</f>
        <v>Easy</v>
      </c>
      <c r="I96" s="17" t="str">
        <f>IF(TRIM(Github!D$95)="TRUE","FALSE","TRUE")</f>
        <v>TRUE</v>
      </c>
      <c r="J96" s="17"/>
      <c r="K96" s="17" t="str">
        <f>Github!L$95</f>
        <v>Stack;Tree;Depth-First Search;Binary Tree;</v>
      </c>
      <c r="L96" s="17" t="b">
        <f>Github!M$95</f>
        <v>1</v>
      </c>
      <c r="M96" s="17" t="str">
        <f>ROUND(Github!N$95, 2)&amp;"%"</f>
        <v>0%</v>
      </c>
      <c r="N96" s="17">
        <f>Github!O$95</f>
        <v>70.26099701</v>
      </c>
      <c r="O96" s="17">
        <f>Github!P$95</f>
        <v>1374840</v>
      </c>
    </row>
    <row r="97">
      <c r="A97" s="17">
        <f>Github!J$96</f>
        <v>95</v>
      </c>
      <c r="B97" s="27" t="str">
        <f>HYPERLINK(CONCAT("http://leetcode.com/problems/",Github!C$96), Github!B$96)</f>
        <v>Unique Binary Search Trees II</v>
      </c>
      <c r="C97" s="17">
        <f>Github!F$96</f>
        <v>4511</v>
      </c>
      <c r="D97" s="17">
        <f>Github!G$96</f>
        <v>293</v>
      </c>
      <c r="E97" s="17">
        <f>Github!F$96+Github!G$96</f>
        <v>4804</v>
      </c>
      <c r="F97" s="18">
        <f t="shared" si="1"/>
        <v>15.4</v>
      </c>
      <c r="G97" s="17" t="str">
        <f>Github!H$96</f>
        <v>Algorithms</v>
      </c>
      <c r="H97" s="17" t="str">
        <f>Github!E$96</f>
        <v>Medium</v>
      </c>
      <c r="I97" s="17" t="str">
        <f>IF(TRIM(Github!D$96)="TRUE","FALSE","TRUE")</f>
        <v>TRUE</v>
      </c>
      <c r="J97" s="17"/>
      <c r="K97" s="17" t="str">
        <f>Github!L$96</f>
        <v>Dynamic Programming;Backtracking;Tree;Binary Search Tree;Binary Tree;</v>
      </c>
      <c r="L97" s="17" t="b">
        <f>Github!M$96</f>
        <v>1</v>
      </c>
      <c r="M97" s="17" t="str">
        <f>ROUND(Github!N$96, 2)&amp;"%"</f>
        <v>0%</v>
      </c>
      <c r="N97" s="17">
        <f>Github!O$96</f>
        <v>48.90895559</v>
      </c>
      <c r="O97" s="17">
        <f>Github!P$96</f>
        <v>296377</v>
      </c>
    </row>
    <row r="98">
      <c r="A98" s="17">
        <f>Github!J$97</f>
        <v>96</v>
      </c>
      <c r="B98" s="27" t="str">
        <f>HYPERLINK(CONCAT("http://leetcode.com/problems/",Github!C$97), Github!B$97)</f>
        <v>Unique Binary Search Trees</v>
      </c>
      <c r="C98" s="17">
        <f>Github!F$97</f>
        <v>6836</v>
      </c>
      <c r="D98" s="17">
        <f>Github!G$97</f>
        <v>270</v>
      </c>
      <c r="E98" s="17">
        <f>Github!F$97+Github!G$97</f>
        <v>7106</v>
      </c>
      <c r="F98" s="18">
        <f t="shared" si="1"/>
        <v>25.32</v>
      </c>
      <c r="G98" s="17" t="str">
        <f>Github!H$97</f>
        <v>Algorithms</v>
      </c>
      <c r="H98" s="17" t="str">
        <f>Github!E$97</f>
        <v>Medium</v>
      </c>
      <c r="I98" s="17" t="str">
        <f>IF(TRIM(Github!D$97)="TRUE","FALSE","TRUE")</f>
        <v>TRUE</v>
      </c>
      <c r="J98" s="17"/>
      <c r="K98" s="17" t="str">
        <f>Github!L$97</f>
        <v>Math;Dynamic Programming;Tree;Binary Search Tree;Binary Tree;</v>
      </c>
      <c r="L98" s="17" t="b">
        <f>Github!M$97</f>
        <v>1</v>
      </c>
      <c r="M98" s="17" t="str">
        <f>ROUND(Github!N$97, 2)&amp;"%"</f>
        <v>0%</v>
      </c>
      <c r="N98" s="17">
        <f>Github!O$97</f>
        <v>58.00664319</v>
      </c>
      <c r="O98" s="17">
        <f>Github!P$97</f>
        <v>464873</v>
      </c>
    </row>
    <row r="99">
      <c r="A99" s="17">
        <f>Github!J$98</f>
        <v>97</v>
      </c>
      <c r="B99" s="27" t="str">
        <f>HYPERLINK(CONCAT("http://leetcode.com/problems/",Github!C$98), Github!B$98)</f>
        <v>Interleaving String</v>
      </c>
      <c r="C99" s="17">
        <f>Github!F$98</f>
        <v>3650</v>
      </c>
      <c r="D99" s="17">
        <f>Github!G$98</f>
        <v>194</v>
      </c>
      <c r="E99" s="17">
        <f>Github!F$98+Github!G$98</f>
        <v>3844</v>
      </c>
      <c r="F99" s="18">
        <f t="shared" si="1"/>
        <v>18.81</v>
      </c>
      <c r="G99" s="17" t="str">
        <f>Github!H$98</f>
        <v>Algorithms</v>
      </c>
      <c r="H99" s="17" t="str">
        <f>Github!E$98</f>
        <v>Medium</v>
      </c>
      <c r="I99" s="17" t="str">
        <f>IF(TRIM(Github!D$98)="TRUE","FALSE","TRUE")</f>
        <v>TRUE</v>
      </c>
      <c r="J99" s="17"/>
      <c r="K99" s="17" t="str">
        <f>Github!L$98</f>
        <v>String;Dynamic Programming;</v>
      </c>
      <c r="L99" s="17" t="b">
        <f>Github!M$98</f>
        <v>1</v>
      </c>
      <c r="M99" s="17" t="str">
        <f>ROUND(Github!N$98, 2)&amp;"%"</f>
        <v>0%</v>
      </c>
      <c r="N99" s="17">
        <f>Github!O$98</f>
        <v>34.55826173</v>
      </c>
      <c r="O99" s="17">
        <f>Github!P$98</f>
        <v>253743</v>
      </c>
    </row>
    <row r="100">
      <c r="A100" s="17">
        <f>Github!J$99</f>
        <v>98</v>
      </c>
      <c r="B100" s="27" t="str">
        <f>HYPERLINK(CONCAT("http://leetcode.com/problems/",Github!C$99), Github!B$99)</f>
        <v>Validate Binary Search Tree</v>
      </c>
      <c r="C100" s="17">
        <f>Github!F$99</f>
        <v>9093</v>
      </c>
      <c r="D100" s="17">
        <f>Github!G$99</f>
        <v>861</v>
      </c>
      <c r="E100" s="17">
        <f>Github!F$99+Github!G$99</f>
        <v>9954</v>
      </c>
      <c r="F100" s="18">
        <f t="shared" si="1"/>
        <v>10.56</v>
      </c>
      <c r="G100" s="17" t="str">
        <f>Github!H$99</f>
        <v>Algorithms</v>
      </c>
      <c r="H100" s="17" t="str">
        <f>Github!E$99</f>
        <v>Medium</v>
      </c>
      <c r="I100" s="17" t="str">
        <f>IF(TRIM(Github!D$99)="TRUE","FALSE","TRUE")</f>
        <v>TRUE</v>
      </c>
      <c r="J100" s="17"/>
      <c r="K100" s="17" t="str">
        <f>Github!L$99</f>
        <v>Tree;Depth-First Search;Binary Search Tree;Binary Tree;</v>
      </c>
      <c r="L100" s="17" t="b">
        <f>Github!M$99</f>
        <v>1</v>
      </c>
      <c r="M100" s="17" t="str">
        <f>ROUND(Github!N$99, 2)&amp;"%"</f>
        <v>1%</v>
      </c>
      <c r="N100" s="17">
        <f>Github!O$99</f>
        <v>30.31346833</v>
      </c>
      <c r="O100" s="17">
        <f>Github!P$99</f>
        <v>1320659</v>
      </c>
    </row>
    <row r="101">
      <c r="A101" s="17">
        <f>Github!J$100</f>
        <v>99</v>
      </c>
      <c r="B101" s="27" t="str">
        <f>HYPERLINK(CONCAT("http://leetcode.com/problems/",Github!C$100), Github!B$100)</f>
        <v>Recover Binary Search Tree</v>
      </c>
      <c r="C101" s="17">
        <f>Github!F$100</f>
        <v>3986</v>
      </c>
      <c r="D101" s="17">
        <f>Github!G$100</f>
        <v>149</v>
      </c>
      <c r="E101" s="17">
        <f>Github!F$100+Github!G$100</f>
        <v>4135</v>
      </c>
      <c r="F101" s="18">
        <f t="shared" si="1"/>
        <v>26.75</v>
      </c>
      <c r="G101" s="17" t="str">
        <f>Github!H$100</f>
        <v>Algorithms</v>
      </c>
      <c r="H101" s="17" t="str">
        <f>Github!E$100</f>
        <v>Medium</v>
      </c>
      <c r="I101" s="17" t="str">
        <f>IF(TRIM(Github!D$100)="TRUE","FALSE","TRUE")</f>
        <v>TRUE</v>
      </c>
      <c r="J101" s="17"/>
      <c r="K101" s="17" t="str">
        <f>Github!L$100</f>
        <v>Tree;Depth-First Search;Binary Search Tree;Binary Tree;</v>
      </c>
      <c r="L101" s="17" t="b">
        <f>Github!M$100</f>
        <v>1</v>
      </c>
      <c r="M101" s="17" t="str">
        <f>ROUND(Github!N$100, 2)&amp;"%"</f>
        <v>0%</v>
      </c>
      <c r="N101" s="17">
        <f>Github!O$100</f>
        <v>45.97796329</v>
      </c>
      <c r="O101" s="17">
        <f>Github!P$100</f>
        <v>272068</v>
      </c>
    </row>
    <row r="102">
      <c r="A102" s="17">
        <f>Github!J$101</f>
        <v>100</v>
      </c>
      <c r="B102" s="27" t="str">
        <f>HYPERLINK(CONCAT("http://leetcode.com/problems/",Github!C$101), Github!B$101)</f>
        <v>Same Tree</v>
      </c>
      <c r="C102" s="17">
        <f>Github!F$101</f>
        <v>5220</v>
      </c>
      <c r="D102" s="17">
        <f>Github!G$101</f>
        <v>127</v>
      </c>
      <c r="E102" s="17">
        <f>Github!F$101+Github!G$101</f>
        <v>5347</v>
      </c>
      <c r="F102" s="18">
        <f t="shared" si="1"/>
        <v>41.1</v>
      </c>
      <c r="G102" s="17" t="str">
        <f>Github!H$101</f>
        <v>Algorithms</v>
      </c>
      <c r="H102" s="17" t="str">
        <f>Github!E$101</f>
        <v>Easy</v>
      </c>
      <c r="I102" s="17" t="str">
        <f>IF(TRIM(Github!D$101)="TRUE","FALSE","TRUE")</f>
        <v>TRUE</v>
      </c>
      <c r="J102" s="17"/>
      <c r="K102" s="17" t="str">
        <f>Github!L$101</f>
        <v>Tree;Depth-First Search;Breadth-First Search;Binary Tree;</v>
      </c>
      <c r="L102" s="17" t="b">
        <f>Github!M$101</f>
        <v>1</v>
      </c>
      <c r="M102" s="17" t="str">
        <f>ROUND(Github!N$101, 2)&amp;"%"</f>
        <v>0%</v>
      </c>
      <c r="N102" s="17">
        <f>Github!O$101</f>
        <v>55.33839666</v>
      </c>
      <c r="O102" s="17">
        <f>Github!P$101</f>
        <v>971446</v>
      </c>
    </row>
    <row r="103">
      <c r="A103" s="17">
        <f>Github!J$102</f>
        <v>101</v>
      </c>
      <c r="B103" s="27" t="str">
        <f>HYPERLINK(CONCAT("http://leetcode.com/problems/",Github!C$102), Github!B$102)</f>
        <v>Symmetric Tree</v>
      </c>
      <c r="C103" s="17">
        <f>Github!F$102</f>
        <v>8849</v>
      </c>
      <c r="D103" s="17">
        <f>Github!G$102</f>
        <v>220</v>
      </c>
      <c r="E103" s="17">
        <f>Github!F$102+Github!G$102</f>
        <v>9069</v>
      </c>
      <c r="F103" s="18">
        <f t="shared" si="1"/>
        <v>40.22</v>
      </c>
      <c r="G103" s="17" t="str">
        <f>Github!H$102</f>
        <v>Algorithms</v>
      </c>
      <c r="H103" s="17" t="str">
        <f>Github!E$102</f>
        <v>Easy</v>
      </c>
      <c r="I103" s="17" t="str">
        <f>IF(TRIM(Github!D$102)="TRUE","FALSE","TRUE")</f>
        <v>TRUE</v>
      </c>
      <c r="J103" s="17"/>
      <c r="K103" s="17" t="str">
        <f>Github!L$102</f>
        <v>Tree;Depth-First Search;Breadth-First Search;Binary Tree;</v>
      </c>
      <c r="L103" s="17" t="b">
        <f>Github!M$102</f>
        <v>1</v>
      </c>
      <c r="M103" s="17" t="str">
        <f>ROUND(Github!N$102, 2)&amp;"%"</f>
        <v>0%</v>
      </c>
      <c r="N103" s="17">
        <f>Github!O$102</f>
        <v>51.24567722</v>
      </c>
      <c r="O103" s="17">
        <f>Github!P$102</f>
        <v>1173018</v>
      </c>
    </row>
    <row r="104">
      <c r="A104" s="17">
        <f>Github!J$103</f>
        <v>102</v>
      </c>
      <c r="B104" s="27" t="str">
        <f>HYPERLINK(CONCAT("http://leetcode.com/problems/",Github!C$103), Github!B$103)</f>
        <v>Binary Tree Level Order Traversal</v>
      </c>
      <c r="C104" s="17">
        <f>Github!F$103</f>
        <v>7541</v>
      </c>
      <c r="D104" s="17">
        <f>Github!G$103</f>
        <v>151</v>
      </c>
      <c r="E104" s="17">
        <f>Github!F$103+Github!G$103</f>
        <v>7692</v>
      </c>
      <c r="F104" s="18">
        <f t="shared" si="1"/>
        <v>49.94</v>
      </c>
      <c r="G104" s="17" t="str">
        <f>Github!H$103</f>
        <v>Algorithms</v>
      </c>
      <c r="H104" s="17" t="str">
        <f>Github!E$103</f>
        <v>Medium</v>
      </c>
      <c r="I104" s="17" t="str">
        <f>IF(TRIM(Github!D$103)="TRUE","FALSE","TRUE")</f>
        <v>TRUE</v>
      </c>
      <c r="J104" s="17"/>
      <c r="K104" s="17" t="str">
        <f>Github!L$103</f>
        <v>Tree;Breadth-First Search;Binary Tree;</v>
      </c>
      <c r="L104" s="17" t="b">
        <f>Github!M$103</f>
        <v>1</v>
      </c>
      <c r="M104" s="17" t="str">
        <f>ROUND(Github!N$103, 2)&amp;"%"</f>
        <v>0%</v>
      </c>
      <c r="N104" s="17">
        <f>Github!O$103</f>
        <v>60.46561038</v>
      </c>
      <c r="O104" s="17">
        <f>Github!P$103</f>
        <v>1161110</v>
      </c>
    </row>
    <row r="105">
      <c r="A105" s="17">
        <f>Github!J$104</f>
        <v>103</v>
      </c>
      <c r="B105" s="27" t="str">
        <f>HYPERLINK(CONCAT("http://leetcode.com/problems/",Github!C$104), Github!B$104)</f>
        <v>Binary Tree Zigzag Level Order Traversal</v>
      </c>
      <c r="C105" s="17">
        <f>Github!F$104</f>
        <v>5430</v>
      </c>
      <c r="D105" s="17">
        <f>Github!G$104</f>
        <v>167</v>
      </c>
      <c r="E105" s="17">
        <f>Github!F$104+Github!G$104</f>
        <v>5597</v>
      </c>
      <c r="F105" s="18">
        <f t="shared" si="1"/>
        <v>32.51</v>
      </c>
      <c r="G105" s="17" t="str">
        <f>Github!H$104</f>
        <v>Algorithms</v>
      </c>
      <c r="H105" s="17" t="str">
        <f>Github!E$104</f>
        <v>Medium</v>
      </c>
      <c r="I105" s="17" t="str">
        <f>IF(TRIM(Github!D$104)="TRUE","FALSE","TRUE")</f>
        <v>TRUE</v>
      </c>
      <c r="J105" s="17"/>
      <c r="K105" s="17" t="str">
        <f>Github!L$104</f>
        <v>Tree;Breadth-First Search;Binary Tree;</v>
      </c>
      <c r="L105" s="17" t="b">
        <f>Github!M$104</f>
        <v>1</v>
      </c>
      <c r="M105" s="17" t="str">
        <f>ROUND(Github!N$104, 2)&amp;"%"</f>
        <v>0%</v>
      </c>
      <c r="N105" s="17">
        <f>Github!O$104</f>
        <v>53.20397273</v>
      </c>
      <c r="O105" s="17">
        <f>Github!P$104</f>
        <v>672658</v>
      </c>
    </row>
    <row r="106">
      <c r="A106" s="17">
        <f>Github!J$105</f>
        <v>104</v>
      </c>
      <c r="B106" s="27" t="str">
        <f>HYPERLINK(CONCAT("http://leetcode.com/problems/",Github!C$105), Github!B$105)</f>
        <v>Maximum Depth of Binary Tree</v>
      </c>
      <c r="C106" s="17">
        <f>Github!F$105</f>
        <v>6484</v>
      </c>
      <c r="D106" s="17">
        <f>Github!G$105</f>
        <v>123</v>
      </c>
      <c r="E106" s="17">
        <f>Github!F$105+Github!G$105</f>
        <v>6607</v>
      </c>
      <c r="F106" s="18">
        <f t="shared" si="1"/>
        <v>52.72</v>
      </c>
      <c r="G106" s="17" t="str">
        <f>Github!H$105</f>
        <v>Algorithms</v>
      </c>
      <c r="H106" s="17" t="str">
        <f>Github!E$105</f>
        <v>Easy</v>
      </c>
      <c r="I106" s="17" t="str">
        <f>IF(TRIM(Github!D$105)="TRUE","FALSE","TRUE")</f>
        <v>TRUE</v>
      </c>
      <c r="J106" s="17"/>
      <c r="K106" s="17" t="str">
        <f>Github!L$105</f>
        <v>Tree;Depth-First Search;Breadth-First Search;Binary Tree;</v>
      </c>
      <c r="L106" s="17" t="b">
        <f>Github!M$105</f>
        <v>1</v>
      </c>
      <c r="M106" s="17" t="str">
        <f>ROUND(Github!N$105, 2)&amp;"%"</f>
        <v>0%</v>
      </c>
      <c r="N106" s="17">
        <f>Github!O$105</f>
        <v>71.5222093</v>
      </c>
      <c r="O106" s="17">
        <f>Github!P$105</f>
        <v>1564817</v>
      </c>
    </row>
    <row r="107">
      <c r="A107" s="17">
        <f>Github!J$106</f>
        <v>105</v>
      </c>
      <c r="B107" s="27" t="str">
        <f>HYPERLINK(CONCAT("http://leetcode.com/problems/",Github!C$106), Github!B$106)</f>
        <v>Construct Binary Tree from Preorder and Inorder Traversal</v>
      </c>
      <c r="C107" s="17">
        <f>Github!F$106</f>
        <v>7901</v>
      </c>
      <c r="D107" s="17">
        <f>Github!G$106</f>
        <v>204</v>
      </c>
      <c r="E107" s="17">
        <f>Github!F$106+Github!G$106</f>
        <v>8105</v>
      </c>
      <c r="F107" s="18">
        <f t="shared" si="1"/>
        <v>38.73</v>
      </c>
      <c r="G107" s="17" t="str">
        <f>Github!H$106</f>
        <v>Algorithms</v>
      </c>
      <c r="H107" s="17" t="str">
        <f>Github!E$106</f>
        <v>Medium</v>
      </c>
      <c r="I107" s="17" t="str">
        <f>IF(TRIM(Github!D$106)="TRUE","FALSE","TRUE")</f>
        <v>TRUE</v>
      </c>
      <c r="J107" s="17"/>
      <c r="K107" s="17" t="str">
        <f>Github!L$106</f>
        <v>Array;Hash Table;Divide and Conquer;Tree;Binary Tree;</v>
      </c>
      <c r="L107" s="17" t="b">
        <f>Github!M$106</f>
        <v>1</v>
      </c>
      <c r="M107" s="17" t="str">
        <f>ROUND(Github!N$106, 2)&amp;"%"</f>
        <v>0%</v>
      </c>
      <c r="N107" s="17">
        <f>Github!O$106</f>
        <v>57.03323368</v>
      </c>
      <c r="O107" s="17">
        <f>Github!P$106</f>
        <v>668461</v>
      </c>
    </row>
    <row r="108">
      <c r="A108" s="17">
        <f>Github!J$107</f>
        <v>106</v>
      </c>
      <c r="B108" s="27" t="str">
        <f>HYPERLINK(CONCAT("http://leetcode.com/problems/",Github!C$107), Github!B$107)</f>
        <v>Construct Binary Tree from Inorder and Postorder Traversal</v>
      </c>
      <c r="C108" s="17">
        <f>Github!F$107</f>
        <v>4227</v>
      </c>
      <c r="D108" s="17">
        <f>Github!G$107</f>
        <v>70</v>
      </c>
      <c r="E108" s="17">
        <f>Github!F$107+Github!G$107</f>
        <v>4297</v>
      </c>
      <c r="F108" s="18">
        <f t="shared" si="1"/>
        <v>60.39</v>
      </c>
      <c r="G108" s="17" t="str">
        <f>Github!H$107</f>
        <v>Algorithms</v>
      </c>
      <c r="H108" s="17" t="str">
        <f>Github!E$107</f>
        <v>Medium</v>
      </c>
      <c r="I108" s="17" t="str">
        <f>IF(TRIM(Github!D$107)="TRUE","FALSE","TRUE")</f>
        <v>TRUE</v>
      </c>
      <c r="J108" s="17"/>
      <c r="K108" s="17" t="str">
        <f>Github!L$107</f>
        <v>Array;Hash Table;Divide and Conquer;Tree;Binary Tree;</v>
      </c>
      <c r="L108" s="17" t="b">
        <f>Github!M$107</f>
        <v>1</v>
      </c>
      <c r="M108" s="17" t="str">
        <f>ROUND(Github!N$107, 2)&amp;"%"</f>
        <v>0%</v>
      </c>
      <c r="N108" s="17">
        <f>Github!O$107</f>
        <v>54.8610015</v>
      </c>
      <c r="O108" s="17">
        <f>Github!P$107</f>
        <v>382327</v>
      </c>
    </row>
    <row r="109">
      <c r="A109" s="17">
        <f>Github!J$108</f>
        <v>107</v>
      </c>
      <c r="B109" s="27" t="str">
        <f>HYPERLINK(CONCAT("http://leetcode.com/problems/",Github!C$108), Github!B$108)</f>
        <v>Binary Tree Level Order Traversal II</v>
      </c>
      <c r="C109" s="17">
        <f>Github!F$108</f>
        <v>3016</v>
      </c>
      <c r="D109" s="17">
        <f>Github!G$108</f>
        <v>274</v>
      </c>
      <c r="E109" s="17">
        <f>Github!F$108+Github!G$108</f>
        <v>3290</v>
      </c>
      <c r="F109" s="18">
        <f t="shared" si="1"/>
        <v>11.01</v>
      </c>
      <c r="G109" s="17" t="str">
        <f>Github!H$108</f>
        <v>Algorithms</v>
      </c>
      <c r="H109" s="17" t="str">
        <f>Github!E$108</f>
        <v>Medium</v>
      </c>
      <c r="I109" s="17" t="str">
        <f>IF(TRIM(Github!D$108)="TRUE","FALSE","TRUE")</f>
        <v>TRUE</v>
      </c>
      <c r="J109" s="17"/>
      <c r="K109" s="17" t="str">
        <f>Github!L$108</f>
        <v>Tree;Breadth-First Search;Binary Tree;</v>
      </c>
      <c r="L109" s="17" t="b">
        <f>Github!M$108</f>
        <v>1</v>
      </c>
      <c r="M109" s="17" t="str">
        <f>ROUND(Github!N$108, 2)&amp;"%"</f>
        <v>0%</v>
      </c>
      <c r="N109" s="17">
        <f>Github!O$108</f>
        <v>58.26543184</v>
      </c>
      <c r="O109" s="17">
        <f>Github!P$108</f>
        <v>484744</v>
      </c>
    </row>
    <row r="110">
      <c r="A110" s="17">
        <f>Github!J$109</f>
        <v>108</v>
      </c>
      <c r="B110" s="27" t="str">
        <f>HYPERLINK(CONCAT("http://leetcode.com/problems/",Github!C$109), Github!B$109)</f>
        <v>Convert Sorted Array to Binary Search Tree</v>
      </c>
      <c r="C110" s="17">
        <f>Github!F$109</f>
        <v>5927</v>
      </c>
      <c r="D110" s="17">
        <f>Github!G$109</f>
        <v>343</v>
      </c>
      <c r="E110" s="17">
        <f>Github!F$109+Github!G$109</f>
        <v>6270</v>
      </c>
      <c r="F110" s="18">
        <f t="shared" si="1"/>
        <v>17.28</v>
      </c>
      <c r="G110" s="17" t="str">
        <f>Github!H$109</f>
        <v>Algorithms</v>
      </c>
      <c r="H110" s="17" t="str">
        <f>Github!E$109</f>
        <v>Easy</v>
      </c>
      <c r="I110" s="17" t="str">
        <f>IF(TRIM(Github!D$109)="TRUE","FALSE","TRUE")</f>
        <v>TRUE</v>
      </c>
      <c r="J110" s="17"/>
      <c r="K110" s="17" t="str">
        <f>Github!L$109</f>
        <v>Array;Divide and Conquer;Tree;Binary Search Tree;Binary Tree;</v>
      </c>
      <c r="L110" s="17" t="b">
        <f>Github!M$109</f>
        <v>1</v>
      </c>
      <c r="M110" s="17" t="str">
        <f>ROUND(Github!N$109, 2)&amp;"%"</f>
        <v>0%</v>
      </c>
      <c r="N110" s="17">
        <f>Github!O$109</f>
        <v>65.53979894</v>
      </c>
      <c r="O110" s="17">
        <f>Github!P$109</f>
        <v>704012</v>
      </c>
    </row>
    <row r="111">
      <c r="A111" s="17">
        <f>Github!J$110</f>
        <v>109</v>
      </c>
      <c r="B111" s="27" t="str">
        <f>HYPERLINK(CONCAT("http://leetcode.com/problems/",Github!C$110), Github!B$110)</f>
        <v>Convert Sorted List to Binary Search Tree</v>
      </c>
      <c r="C111" s="17">
        <f>Github!F$110</f>
        <v>4326</v>
      </c>
      <c r="D111" s="17">
        <f>Github!G$110</f>
        <v>111</v>
      </c>
      <c r="E111" s="17">
        <f>Github!F$110+Github!G$110</f>
        <v>4437</v>
      </c>
      <c r="F111" s="18">
        <f t="shared" si="1"/>
        <v>38.97</v>
      </c>
      <c r="G111" s="17" t="str">
        <f>Github!H$110</f>
        <v>Algorithms</v>
      </c>
      <c r="H111" s="17" t="str">
        <f>Github!E$110</f>
        <v>Medium</v>
      </c>
      <c r="I111" s="17" t="str">
        <f>IF(TRIM(Github!D$110)="TRUE","FALSE","TRUE")</f>
        <v>TRUE</v>
      </c>
      <c r="J111" s="17"/>
      <c r="K111" s="17" t="str">
        <f>Github!L$110</f>
        <v>Linked List;Divide and Conquer;Tree;Binary Search Tree;Binary Tree;</v>
      </c>
      <c r="L111" s="17" t="b">
        <f>Github!M$110</f>
        <v>1</v>
      </c>
      <c r="M111" s="17" t="str">
        <f>ROUND(Github!N$110, 2)&amp;"%"</f>
        <v>0%</v>
      </c>
      <c r="N111" s="17">
        <f>Github!O$110</f>
        <v>55.05322027</v>
      </c>
      <c r="O111" s="17">
        <f>Github!P$110</f>
        <v>361174</v>
      </c>
    </row>
    <row r="112">
      <c r="A112" s="17">
        <f>Github!J$111</f>
        <v>110</v>
      </c>
      <c r="B112" s="27" t="str">
        <f>HYPERLINK(CONCAT("http://leetcode.com/problems/",Github!C$111), Github!B$111)</f>
        <v>Balanced Binary Tree</v>
      </c>
      <c r="C112" s="17">
        <f>Github!F$111</f>
        <v>5317</v>
      </c>
      <c r="D112" s="17">
        <f>Github!G$111</f>
        <v>289</v>
      </c>
      <c r="E112" s="17">
        <f>Github!F$111+Github!G$111</f>
        <v>5606</v>
      </c>
      <c r="F112" s="18">
        <f t="shared" si="1"/>
        <v>18.4</v>
      </c>
      <c r="G112" s="17" t="str">
        <f>Github!H$111</f>
        <v>Algorithms</v>
      </c>
      <c r="H112" s="17" t="str">
        <f>Github!E$111</f>
        <v>Easy</v>
      </c>
      <c r="I112" s="17" t="str">
        <f>IF(TRIM(Github!D$111)="TRUE","FALSE","TRUE")</f>
        <v>TRUE</v>
      </c>
      <c r="J112" s="17"/>
      <c r="K112" s="17" t="str">
        <f>Github!L$111</f>
        <v>Tree;Depth-First Search;Binary Tree;</v>
      </c>
      <c r="L112" s="17" t="b">
        <f>Github!M$111</f>
        <v>1</v>
      </c>
      <c r="M112" s="17" t="str">
        <f>ROUND(Github!N$111, 2)&amp;"%"</f>
        <v>0%</v>
      </c>
      <c r="N112" s="17">
        <f>Github!O$111</f>
        <v>46.48793292</v>
      </c>
      <c r="O112" s="17">
        <f>Github!P$111</f>
        <v>718872</v>
      </c>
    </row>
    <row r="113">
      <c r="A113" s="17">
        <f>Github!J$112</f>
        <v>111</v>
      </c>
      <c r="B113" s="27" t="str">
        <f>HYPERLINK(CONCAT("http://leetcode.com/problems/",Github!C$112), Github!B$112)</f>
        <v>Minimum Depth of Binary Tree</v>
      </c>
      <c r="C113" s="17">
        <f>Github!F$112</f>
        <v>3821</v>
      </c>
      <c r="D113" s="17">
        <f>Github!G$112</f>
        <v>934</v>
      </c>
      <c r="E113" s="17">
        <f>Github!F$112+Github!G$112</f>
        <v>4755</v>
      </c>
      <c r="F113" s="18">
        <f t="shared" si="1"/>
        <v>4.09</v>
      </c>
      <c r="G113" s="17" t="str">
        <f>Github!H$112</f>
        <v>Algorithms</v>
      </c>
      <c r="H113" s="17" t="str">
        <f>Github!E$112</f>
        <v>Easy</v>
      </c>
      <c r="I113" s="17" t="str">
        <f>IF(TRIM(Github!D$112)="TRUE","FALSE","TRUE")</f>
        <v>TRUE</v>
      </c>
      <c r="J113" s="17"/>
      <c r="K113" s="17" t="str">
        <f>Github!L$112</f>
        <v>Tree;Depth-First Search;Breadth-First Search;Binary Tree;</v>
      </c>
      <c r="L113" s="17" t="b">
        <f>Github!M$112</f>
        <v>1</v>
      </c>
      <c r="M113" s="17" t="str">
        <f>ROUND(Github!N$112, 2)&amp;"%"</f>
        <v>0%</v>
      </c>
      <c r="N113" s="17">
        <f>Github!O$112</f>
        <v>42.1960412</v>
      </c>
      <c r="O113" s="17">
        <f>Github!P$112</f>
        <v>717412</v>
      </c>
    </row>
    <row r="114">
      <c r="A114" s="17">
        <f>Github!J$113</f>
        <v>112</v>
      </c>
      <c r="B114" s="27" t="str">
        <f>HYPERLINK(CONCAT("http://leetcode.com/problems/",Github!C$113), Github!B$113)</f>
        <v>Path Sum</v>
      </c>
      <c r="C114" s="17">
        <f>Github!F$113</f>
        <v>5083</v>
      </c>
      <c r="D114" s="17">
        <f>Github!G$113</f>
        <v>763</v>
      </c>
      <c r="E114" s="17">
        <f>Github!F$113+Github!G$113</f>
        <v>5846</v>
      </c>
      <c r="F114" s="18">
        <f t="shared" si="1"/>
        <v>6.66</v>
      </c>
      <c r="G114" s="17" t="str">
        <f>Github!H$113</f>
        <v>Algorithms</v>
      </c>
      <c r="H114" s="17" t="str">
        <f>Github!E$113</f>
        <v>Easy</v>
      </c>
      <c r="I114" s="17" t="str">
        <f>IF(TRIM(Github!D$113)="TRUE","FALSE","TRUE")</f>
        <v>TRUE</v>
      </c>
      <c r="J114" s="17"/>
      <c r="K114" s="17" t="str">
        <f>Github!L$113</f>
        <v>Tree;Depth-First Search;Breadth-First Search;Binary Tree;</v>
      </c>
      <c r="L114" s="17" t="b">
        <f>Github!M$113</f>
        <v>1</v>
      </c>
      <c r="M114" s="17" t="str">
        <f>ROUND(Github!N$113, 2)&amp;"%"</f>
        <v>0%</v>
      </c>
      <c r="N114" s="17">
        <f>Github!O$113</f>
        <v>45.1581487</v>
      </c>
      <c r="O114" s="17">
        <f>Github!P$113</f>
        <v>828596</v>
      </c>
    </row>
    <row r="115">
      <c r="A115" s="17">
        <f>Github!J$114</f>
        <v>113</v>
      </c>
      <c r="B115" s="27" t="str">
        <f>HYPERLINK(CONCAT("http://leetcode.com/problems/",Github!C$114), Github!B$114)</f>
        <v>Path Sum II</v>
      </c>
      <c r="C115" s="17">
        <f>Github!F$114</f>
        <v>4440</v>
      </c>
      <c r="D115" s="17">
        <f>Github!G$114</f>
        <v>104</v>
      </c>
      <c r="E115" s="17">
        <f>Github!F$114+Github!G$114</f>
        <v>4544</v>
      </c>
      <c r="F115" s="18">
        <f t="shared" si="1"/>
        <v>42.69</v>
      </c>
      <c r="G115" s="17" t="str">
        <f>Github!H$114</f>
        <v>Algorithms</v>
      </c>
      <c r="H115" s="17" t="str">
        <f>Github!E$114</f>
        <v>Medium</v>
      </c>
      <c r="I115" s="17" t="str">
        <f>IF(TRIM(Github!D$114)="TRUE","FALSE","TRUE")</f>
        <v>TRUE</v>
      </c>
      <c r="J115" s="17"/>
      <c r="K115" s="17" t="str">
        <f>Github!L$114</f>
        <v>Backtracking;Tree;Depth-First Search;Binary Tree;</v>
      </c>
      <c r="L115" s="17" t="b">
        <f>Github!M$114</f>
        <v>1</v>
      </c>
      <c r="M115" s="17" t="str">
        <f>ROUND(Github!N$114, 2)&amp;"%"</f>
        <v>0%</v>
      </c>
      <c r="N115" s="17">
        <f>Github!O$114</f>
        <v>53.56260149</v>
      </c>
      <c r="O115" s="17">
        <f>Github!P$114</f>
        <v>553479</v>
      </c>
    </row>
    <row r="116">
      <c r="A116" s="17">
        <f>Github!J$115</f>
        <v>114</v>
      </c>
      <c r="B116" s="27" t="str">
        <f>HYPERLINK(CONCAT("http://leetcode.com/problems/",Github!C$115), Github!B$115)</f>
        <v>Flatten Binary Tree to Linked List</v>
      </c>
      <c r="C116" s="17">
        <f>Github!F$115</f>
        <v>6654</v>
      </c>
      <c r="D116" s="17">
        <f>Github!G$115</f>
        <v>455</v>
      </c>
      <c r="E116" s="17">
        <f>Github!F$115+Github!G$115</f>
        <v>7109</v>
      </c>
      <c r="F116" s="18">
        <f t="shared" si="1"/>
        <v>14.62</v>
      </c>
      <c r="G116" s="17" t="str">
        <f>Github!H$115</f>
        <v>Algorithms</v>
      </c>
      <c r="H116" s="17" t="str">
        <f>Github!E$115</f>
        <v>Medium</v>
      </c>
      <c r="I116" s="17" t="str">
        <f>IF(TRIM(Github!D$115)="TRUE","FALSE","TRUE")</f>
        <v>TRUE</v>
      </c>
      <c r="J116" s="17"/>
      <c r="K116" s="17" t="str">
        <f>Github!L$115</f>
        <v>Linked List;Stack;Tree;Depth-First Search;Binary Tree;</v>
      </c>
      <c r="L116" s="17" t="b">
        <f>Github!M$115</f>
        <v>1</v>
      </c>
      <c r="M116" s="17" t="str">
        <f>ROUND(Github!N$115, 2)&amp;"%"</f>
        <v>0%</v>
      </c>
      <c r="N116" s="17">
        <f>Github!O$115</f>
        <v>57.25987484</v>
      </c>
      <c r="O116" s="17">
        <f>Github!P$115</f>
        <v>576979</v>
      </c>
    </row>
    <row r="117">
      <c r="A117" s="17">
        <f>Github!J$116</f>
        <v>115</v>
      </c>
      <c r="B117" s="27" t="str">
        <f>HYPERLINK(CONCAT("http://leetcode.com/problems/",Github!C$116), Github!B$116)</f>
        <v>Distinct Subsequences</v>
      </c>
      <c r="C117" s="17">
        <f>Github!F$116</f>
        <v>3149</v>
      </c>
      <c r="D117" s="17">
        <f>Github!G$116</f>
        <v>140</v>
      </c>
      <c r="E117" s="17">
        <f>Github!F$116+Github!G$116</f>
        <v>3289</v>
      </c>
      <c r="F117" s="18">
        <f t="shared" si="1"/>
        <v>22.49</v>
      </c>
      <c r="G117" s="17" t="str">
        <f>Github!H$116</f>
        <v>Algorithms</v>
      </c>
      <c r="H117" s="17" t="str">
        <f>Github!E$116</f>
        <v>Hard</v>
      </c>
      <c r="I117" s="17" t="str">
        <f>IF(TRIM(Github!D$116)="TRUE","FALSE","TRUE")</f>
        <v>TRUE</v>
      </c>
      <c r="J117" s="17"/>
      <c r="K117" s="17" t="str">
        <f>Github!L$116</f>
        <v>String;Dynamic Programming;</v>
      </c>
      <c r="L117" s="17" t="b">
        <f>Github!M$116</f>
        <v>1</v>
      </c>
      <c r="M117" s="17" t="str">
        <f>ROUND(Github!N$116, 2)&amp;"%"</f>
        <v>0%</v>
      </c>
      <c r="N117" s="17">
        <f>Github!O$116</f>
        <v>42.06491163</v>
      </c>
      <c r="O117" s="17">
        <f>Github!P$116</f>
        <v>210240</v>
      </c>
    </row>
    <row r="118">
      <c r="A118" s="17">
        <f>Github!J$117</f>
        <v>116</v>
      </c>
      <c r="B118" s="27" t="str">
        <f>HYPERLINK(CONCAT("http://leetcode.com/problems/",Github!C$117), Github!B$117)</f>
        <v>Populating Next Right Pointers in Each Node</v>
      </c>
      <c r="C118" s="17">
        <f>Github!F$117</f>
        <v>6026</v>
      </c>
      <c r="D118" s="17">
        <f>Github!G$117</f>
        <v>220</v>
      </c>
      <c r="E118" s="17">
        <f>Github!F$117+Github!G$117</f>
        <v>6246</v>
      </c>
      <c r="F118" s="18">
        <f t="shared" si="1"/>
        <v>27.39</v>
      </c>
      <c r="G118" s="17" t="str">
        <f>Github!H$117</f>
        <v>Algorithms</v>
      </c>
      <c r="H118" s="17" t="str">
        <f>Github!E$117</f>
        <v>Medium</v>
      </c>
      <c r="I118" s="17" t="str">
        <f>IF(TRIM(Github!D$117)="TRUE","FALSE","TRUE")</f>
        <v>TRUE</v>
      </c>
      <c r="J118" s="17"/>
      <c r="K118" s="17" t="str">
        <f>Github!L$117</f>
        <v>Linked List;Tree;Depth-First Search;Breadth-First Search;Binary Tree;</v>
      </c>
      <c r="L118" s="17" t="b">
        <f>Github!M$117</f>
        <v>1</v>
      </c>
      <c r="M118" s="17" t="str">
        <f>ROUND(Github!N$117, 2)&amp;"%"</f>
        <v>0%</v>
      </c>
      <c r="N118" s="17">
        <f>Github!O$117</f>
        <v>56.23394182</v>
      </c>
      <c r="O118" s="17">
        <f>Github!P$117</f>
        <v>701245</v>
      </c>
    </row>
    <row r="119">
      <c r="A119" s="17">
        <f>Github!J$118</f>
        <v>117</v>
      </c>
      <c r="B119" s="27" t="str">
        <f>HYPERLINK(CONCAT("http://leetcode.com/problems/",Github!C$118), Github!B$118)</f>
        <v>Populating Next Right Pointers in Each Node II</v>
      </c>
      <c r="C119" s="17">
        <f>Github!F$118</f>
        <v>3490</v>
      </c>
      <c r="D119" s="17">
        <f>Github!G$118</f>
        <v>231</v>
      </c>
      <c r="E119" s="17">
        <f>Github!F$118+Github!G$118</f>
        <v>3721</v>
      </c>
      <c r="F119" s="18">
        <f t="shared" si="1"/>
        <v>15.11</v>
      </c>
      <c r="G119" s="17" t="str">
        <f>Github!H$118</f>
        <v>Algorithms</v>
      </c>
      <c r="H119" s="17" t="str">
        <f>Github!E$118</f>
        <v>Medium</v>
      </c>
      <c r="I119" s="17" t="str">
        <f>IF(TRIM(Github!D$118)="TRUE","FALSE","TRUE")</f>
        <v>TRUE</v>
      </c>
      <c r="J119" s="17"/>
      <c r="K119" s="17" t="str">
        <f>Github!L$118</f>
        <v>Linked List;Tree;Depth-First Search;Breadth-First Search;Binary Tree;</v>
      </c>
      <c r="L119" s="17" t="b">
        <f>Github!M$118</f>
        <v>1</v>
      </c>
      <c r="M119" s="17" t="str">
        <f>ROUND(Github!N$118, 2)&amp;"%"</f>
        <v>0%</v>
      </c>
      <c r="N119" s="17">
        <f>Github!O$118</f>
        <v>46.0669468</v>
      </c>
      <c r="O119" s="17">
        <f>Github!P$118</f>
        <v>418342</v>
      </c>
    </row>
    <row r="120">
      <c r="A120" s="17">
        <f>Github!J$119</f>
        <v>118</v>
      </c>
      <c r="B120" s="27" t="str">
        <f>HYPERLINK(CONCAT("http://leetcode.com/problems/",Github!C$119), Github!B$119)</f>
        <v>Pascal's Triangle</v>
      </c>
      <c r="C120" s="17">
        <f>Github!F$119</f>
        <v>5134</v>
      </c>
      <c r="D120" s="17">
        <f>Github!G$119</f>
        <v>198</v>
      </c>
      <c r="E120" s="17">
        <f>Github!F$119+Github!G$119</f>
        <v>5332</v>
      </c>
      <c r="F120" s="18">
        <f t="shared" si="1"/>
        <v>25.93</v>
      </c>
      <c r="G120" s="17" t="str">
        <f>Github!H$119</f>
        <v>Algorithms</v>
      </c>
      <c r="H120" s="17" t="str">
        <f>Github!E$119</f>
        <v>Easy</v>
      </c>
      <c r="I120" s="17" t="str">
        <f>IF(TRIM(Github!D$119)="TRUE","FALSE","TRUE")</f>
        <v>TRUE</v>
      </c>
      <c r="J120" s="17"/>
      <c r="K120" s="17" t="str">
        <f>Github!L$119</f>
        <v>Array;Dynamic Programming;</v>
      </c>
      <c r="L120" s="17" t="b">
        <f>Github!M$119</f>
        <v>1</v>
      </c>
      <c r="M120" s="17" t="str">
        <f>ROUND(Github!N$119, 2)&amp;"%"</f>
        <v>1%</v>
      </c>
      <c r="N120" s="17">
        <f>Github!O$119</f>
        <v>63.44732524</v>
      </c>
      <c r="O120" s="17">
        <f>Github!P$119</f>
        <v>735080</v>
      </c>
    </row>
    <row r="121">
      <c r="A121" s="17">
        <f>Github!J$120</f>
        <v>119</v>
      </c>
      <c r="B121" s="27" t="str">
        <f>HYPERLINK(CONCAT("http://leetcode.com/problems/",Github!C$120), Github!B$120)</f>
        <v>Pascal's Triangle II</v>
      </c>
      <c r="C121" s="17">
        <f>Github!F$120</f>
        <v>2333</v>
      </c>
      <c r="D121" s="17">
        <f>Github!G$120</f>
        <v>258</v>
      </c>
      <c r="E121" s="17">
        <f>Github!F$120+Github!G$120</f>
        <v>2591</v>
      </c>
      <c r="F121" s="18">
        <f t="shared" si="1"/>
        <v>9.04</v>
      </c>
      <c r="G121" s="17" t="str">
        <f>Github!H$120</f>
        <v>Algorithms</v>
      </c>
      <c r="H121" s="17" t="str">
        <f>Github!E$120</f>
        <v>Easy</v>
      </c>
      <c r="I121" s="17" t="str">
        <f>IF(TRIM(Github!D$120)="TRUE","FALSE","TRUE")</f>
        <v>TRUE</v>
      </c>
      <c r="J121" s="17"/>
      <c r="K121" s="17" t="str">
        <f>Github!L$120</f>
        <v>Array;Dynamic Programming;</v>
      </c>
      <c r="L121" s="17" t="b">
        <f>Github!M$120</f>
        <v>1</v>
      </c>
      <c r="M121" s="17" t="str">
        <f>ROUND(Github!N$120, 2)&amp;"%"</f>
        <v>0%</v>
      </c>
      <c r="N121" s="17">
        <f>Github!O$120</f>
        <v>56.89358018</v>
      </c>
      <c r="O121" s="17">
        <f>Github!P$120</f>
        <v>493501</v>
      </c>
    </row>
    <row r="122">
      <c r="A122" s="17">
        <f>Github!J$121</f>
        <v>120</v>
      </c>
      <c r="B122" s="27" t="str">
        <f>HYPERLINK(CONCAT("http://leetcode.com/problems/",Github!C$121), Github!B$121)</f>
        <v>Triangle</v>
      </c>
      <c r="C122" s="17">
        <f>Github!F$121</f>
        <v>4578</v>
      </c>
      <c r="D122" s="17">
        <f>Github!G$121</f>
        <v>376</v>
      </c>
      <c r="E122" s="17">
        <f>Github!F$121+Github!G$121</f>
        <v>4954</v>
      </c>
      <c r="F122" s="18">
        <f t="shared" si="1"/>
        <v>12.18</v>
      </c>
      <c r="G122" s="17" t="str">
        <f>Github!H$121</f>
        <v>Algorithms</v>
      </c>
      <c r="H122" s="17" t="str">
        <f>Github!E$121</f>
        <v>Medium</v>
      </c>
      <c r="I122" s="17" t="str">
        <f>IF(TRIM(Github!D$121)="TRUE","FALSE","TRUE")</f>
        <v>TRUE</v>
      </c>
      <c r="J122" s="17"/>
      <c r="K122" s="17" t="str">
        <f>Github!L$121</f>
        <v>Array;Dynamic Programming;</v>
      </c>
      <c r="L122" s="17" t="b">
        <f>Github!M$121</f>
        <v>1</v>
      </c>
      <c r="M122" s="17" t="str">
        <f>ROUND(Github!N$121, 2)&amp;"%"</f>
        <v>0%</v>
      </c>
      <c r="N122" s="17">
        <f>Github!O$121</f>
        <v>50.2371251</v>
      </c>
      <c r="O122" s="17">
        <f>Github!P$121</f>
        <v>397125</v>
      </c>
    </row>
    <row r="123">
      <c r="A123" s="17">
        <f>Github!J$122</f>
        <v>121</v>
      </c>
      <c r="B123" s="27" t="str">
        <f>HYPERLINK(CONCAT("http://leetcode.com/problems/",Github!C$122), Github!B$122)</f>
        <v>Best Time to Buy and Sell Stock</v>
      </c>
      <c r="C123" s="17">
        <f>Github!F$122</f>
        <v>14798</v>
      </c>
      <c r="D123" s="17">
        <f>Github!G$122</f>
        <v>500</v>
      </c>
      <c r="E123" s="17">
        <f>Github!F$122+Github!G$122</f>
        <v>15298</v>
      </c>
      <c r="F123" s="18">
        <f t="shared" si="1"/>
        <v>29.6</v>
      </c>
      <c r="G123" s="17" t="str">
        <f>Github!H$122</f>
        <v>Algorithms</v>
      </c>
      <c r="H123" s="17" t="str">
        <f>Github!E$122</f>
        <v>Easy</v>
      </c>
      <c r="I123" s="17" t="str">
        <f>IF(TRIM(Github!D$122)="TRUE","FALSE","TRUE")</f>
        <v>TRUE</v>
      </c>
      <c r="J123" s="17"/>
      <c r="K123" s="17" t="str">
        <f>Github!L$122</f>
        <v>Array;Dynamic Programming;</v>
      </c>
      <c r="L123" s="17" t="b">
        <f>Github!M$122</f>
        <v>1</v>
      </c>
      <c r="M123" s="17" t="str">
        <f>ROUND(Github!N$122, 2)&amp;"%"</f>
        <v>1%</v>
      </c>
      <c r="N123" s="17">
        <f>Github!O$122</f>
        <v>53.87868769</v>
      </c>
      <c r="O123" s="17">
        <f>Github!P$122</f>
        <v>1994646</v>
      </c>
    </row>
    <row r="124">
      <c r="A124" s="17">
        <f>Github!J$123</f>
        <v>122</v>
      </c>
      <c r="B124" s="27" t="str">
        <f>HYPERLINK(CONCAT("http://leetcode.com/problems/",Github!C$123), Github!B$123)</f>
        <v>Best Time to Buy and Sell Stock II</v>
      </c>
      <c r="C124" s="17">
        <f>Github!F$123</f>
        <v>6996</v>
      </c>
      <c r="D124" s="17">
        <f>Github!G$123</f>
        <v>2337</v>
      </c>
      <c r="E124" s="17">
        <f>Github!F$123+Github!G$123</f>
        <v>9333</v>
      </c>
      <c r="F124" s="18">
        <f t="shared" si="1"/>
        <v>2.99</v>
      </c>
      <c r="G124" s="17" t="str">
        <f>Github!H$123</f>
        <v>Algorithms</v>
      </c>
      <c r="H124" s="17" t="str">
        <f>Github!E$123</f>
        <v>Medium</v>
      </c>
      <c r="I124" s="17" t="str">
        <f>IF(TRIM(Github!D$123)="TRUE","FALSE","TRUE")</f>
        <v>TRUE</v>
      </c>
      <c r="J124" s="17"/>
      <c r="K124" s="17" t="str">
        <f>Github!L$123</f>
        <v>Array;Dynamic Programming;Greedy;</v>
      </c>
      <c r="L124" s="17" t="b">
        <f>Github!M$123</f>
        <v>1</v>
      </c>
      <c r="M124" s="17" t="str">
        <f>ROUND(Github!N$123, 2)&amp;"%"</f>
        <v>1%</v>
      </c>
      <c r="N124" s="17">
        <f>Github!O$123</f>
        <v>61.64232163</v>
      </c>
      <c r="O124" s="17">
        <f>Github!P$123</f>
        <v>1094840</v>
      </c>
    </row>
    <row r="125">
      <c r="A125" s="17">
        <f>Github!J$124</f>
        <v>123</v>
      </c>
      <c r="B125" s="27" t="str">
        <f>HYPERLINK(CONCAT("http://leetcode.com/problems/",Github!C$124), Github!B$124)</f>
        <v>Best Time to Buy and Sell Stock III</v>
      </c>
      <c r="C125" s="17">
        <f>Github!F$124</f>
        <v>5452</v>
      </c>
      <c r="D125" s="17">
        <f>Github!G$124</f>
        <v>114</v>
      </c>
      <c r="E125" s="17">
        <f>Github!F$124+Github!G$124</f>
        <v>5566</v>
      </c>
      <c r="F125" s="18">
        <f t="shared" si="1"/>
        <v>47.82</v>
      </c>
      <c r="G125" s="17" t="str">
        <f>Github!H$124</f>
        <v>Algorithms</v>
      </c>
      <c r="H125" s="17" t="str">
        <f>Github!E$124</f>
        <v>Hard</v>
      </c>
      <c r="I125" s="17" t="str">
        <f>IF(TRIM(Github!D$124)="TRUE","FALSE","TRUE")</f>
        <v>TRUE</v>
      </c>
      <c r="J125" s="17"/>
      <c r="K125" s="17" t="str">
        <f>Github!L$124</f>
        <v>Array;Dynamic Programming;</v>
      </c>
      <c r="L125" s="17" t="b">
        <f>Github!M$124</f>
        <v>1</v>
      </c>
      <c r="M125" s="17" t="str">
        <f>ROUND(Github!N$124, 2)&amp;"%"</f>
        <v>0%</v>
      </c>
      <c r="N125" s="17">
        <f>Github!O$124</f>
        <v>42.85311837</v>
      </c>
      <c r="O125" s="17">
        <f>Github!P$124</f>
        <v>366596</v>
      </c>
    </row>
    <row r="126">
      <c r="A126" s="17">
        <f>Github!J$125</f>
        <v>124</v>
      </c>
      <c r="B126" s="27" t="str">
        <f>HYPERLINK(CONCAT("http://leetcode.com/problems/",Github!C$125), Github!B$125)</f>
        <v>Binary Tree Maximum Path Sum</v>
      </c>
      <c r="C126" s="17">
        <f>Github!F$125</f>
        <v>8797</v>
      </c>
      <c r="D126" s="17">
        <f>Github!G$125</f>
        <v>513</v>
      </c>
      <c r="E126" s="17">
        <f>Github!F$125+Github!G$125</f>
        <v>9310</v>
      </c>
      <c r="F126" s="18">
        <f t="shared" si="1"/>
        <v>17.15</v>
      </c>
      <c r="G126" s="17" t="str">
        <f>Github!H$125</f>
        <v>Algorithms</v>
      </c>
      <c r="H126" s="17" t="str">
        <f>Github!E$125</f>
        <v>Hard</v>
      </c>
      <c r="I126" s="17" t="str">
        <f>IF(TRIM(Github!D$125)="TRUE","FALSE","TRUE")</f>
        <v>TRUE</v>
      </c>
      <c r="J126" s="17"/>
      <c r="K126" s="17" t="str">
        <f>Github!L$125</f>
        <v>Dynamic Programming;Tree;Depth-First Search;Binary Tree;</v>
      </c>
      <c r="L126" s="17" t="b">
        <f>Github!M$125</f>
        <v>1</v>
      </c>
      <c r="M126" s="17" t="str">
        <f>ROUND(Github!N$125, 2)&amp;"%"</f>
        <v>0%</v>
      </c>
      <c r="N126" s="17">
        <f>Github!O$125</f>
        <v>37.45735045</v>
      </c>
      <c r="O126" s="17">
        <f>Github!P$125</f>
        <v>691608</v>
      </c>
    </row>
    <row r="127">
      <c r="A127" s="17">
        <f>Github!J$126</f>
        <v>125</v>
      </c>
      <c r="B127" s="27" t="str">
        <f>HYPERLINK(CONCAT("http://leetcode.com/problems/",Github!C$126), Github!B$126)</f>
        <v>Valid Palindrome</v>
      </c>
      <c r="C127" s="17">
        <f>Github!F$126</f>
        <v>3223</v>
      </c>
      <c r="D127" s="17">
        <f>Github!G$126</f>
        <v>4936</v>
      </c>
      <c r="E127" s="17">
        <f>Github!F$126+Github!G$126</f>
        <v>8159</v>
      </c>
      <c r="F127" s="18">
        <f t="shared" si="1"/>
        <v>0.65</v>
      </c>
      <c r="G127" s="17" t="str">
        <f>Github!H$126</f>
        <v>Algorithms</v>
      </c>
      <c r="H127" s="17" t="str">
        <f>Github!E$126</f>
        <v>Easy</v>
      </c>
      <c r="I127" s="17" t="str">
        <f>IF(TRIM(Github!D$126)="TRUE","FALSE","TRUE")</f>
        <v>TRUE</v>
      </c>
      <c r="J127" s="17"/>
      <c r="K127" s="17" t="str">
        <f>Github!L$126</f>
        <v>Two Pointers;String;</v>
      </c>
      <c r="L127" s="17" t="b">
        <f>Github!M$126</f>
        <v>1</v>
      </c>
      <c r="M127" s="17" t="str">
        <f>ROUND(Github!N$126, 2)&amp;"%"</f>
        <v>0%</v>
      </c>
      <c r="N127" s="17">
        <f>Github!O$126</f>
        <v>41.09094298</v>
      </c>
      <c r="O127" s="17">
        <f>Github!P$126</f>
        <v>1168555</v>
      </c>
    </row>
    <row r="128">
      <c r="A128" s="17">
        <f>Github!J$127</f>
        <v>126</v>
      </c>
      <c r="B128" s="27" t="str">
        <f>HYPERLINK(CONCAT("http://leetcode.com/problems/",Github!C$127), Github!B$127)</f>
        <v>Word Ladder II</v>
      </c>
      <c r="C128" s="17">
        <f>Github!F$127</f>
        <v>3508</v>
      </c>
      <c r="D128" s="17">
        <f>Github!G$127</f>
        <v>331</v>
      </c>
      <c r="E128" s="17">
        <f>Github!F$127+Github!G$127</f>
        <v>3839</v>
      </c>
      <c r="F128" s="18">
        <f t="shared" si="1"/>
        <v>10.6</v>
      </c>
      <c r="G128" s="17" t="str">
        <f>Github!H$127</f>
        <v>Algorithms</v>
      </c>
      <c r="H128" s="17" t="str">
        <f>Github!E$127</f>
        <v>Hard</v>
      </c>
      <c r="I128" s="17" t="str">
        <f>IF(TRIM(Github!D$127)="TRUE","FALSE","TRUE")</f>
        <v>TRUE</v>
      </c>
      <c r="J128" s="17"/>
      <c r="K128" s="17" t="str">
        <f>Github!L$127</f>
        <v>Hash Table;String;Backtracking;Breadth-First Search;</v>
      </c>
      <c r="L128" s="17" t="b">
        <f>Github!M$127</f>
        <v>1</v>
      </c>
      <c r="M128" s="17" t="str">
        <f>ROUND(Github!N$127, 2)&amp;"%"</f>
        <v>0%</v>
      </c>
      <c r="N128" s="17">
        <f>Github!O$127</f>
        <v>26.70135927</v>
      </c>
      <c r="O128" s="17">
        <f>Github!P$127</f>
        <v>281694</v>
      </c>
    </row>
    <row r="129">
      <c r="A129" s="17">
        <f>Github!J$128</f>
        <v>127</v>
      </c>
      <c r="B129" s="27" t="str">
        <f>HYPERLINK(CONCAT("http://leetcode.com/problems/",Github!C$128), Github!B$128)</f>
        <v>Word Ladder</v>
      </c>
      <c r="C129" s="17">
        <f>Github!F$128</f>
        <v>7578</v>
      </c>
      <c r="D129" s="17">
        <f>Github!G$128</f>
        <v>1625</v>
      </c>
      <c r="E129" s="17">
        <f>Github!F$128+Github!G$128</f>
        <v>9203</v>
      </c>
      <c r="F129" s="18">
        <f t="shared" si="1"/>
        <v>4.66</v>
      </c>
      <c r="G129" s="17" t="str">
        <f>Github!H$128</f>
        <v>Algorithms</v>
      </c>
      <c r="H129" s="17" t="str">
        <f>Github!E$128</f>
        <v>Hard</v>
      </c>
      <c r="I129" s="17" t="str">
        <f>IF(TRIM(Github!D$128)="TRUE","FALSE","TRUE")</f>
        <v>TRUE</v>
      </c>
      <c r="J129" s="17"/>
      <c r="K129" s="17" t="str">
        <f>Github!L$128</f>
        <v>Hash Table;String;Breadth-First Search;</v>
      </c>
      <c r="L129" s="17" t="b">
        <f>Github!M$128</f>
        <v>1</v>
      </c>
      <c r="M129" s="17" t="str">
        <f>ROUND(Github!N$128, 2)&amp;"%"</f>
        <v>1%</v>
      </c>
      <c r="N129" s="17">
        <f>Github!O$128</f>
        <v>35.13210852</v>
      </c>
      <c r="O129" s="17">
        <f>Github!P$128</f>
        <v>738815</v>
      </c>
    </row>
    <row r="130">
      <c r="A130" s="17">
        <f>Github!J$129</f>
        <v>128</v>
      </c>
      <c r="B130" s="27" t="str">
        <f>HYPERLINK(CONCAT("http://leetcode.com/problems/",Github!C$129), Github!B$129)</f>
        <v>Longest Consecutive Sequence</v>
      </c>
      <c r="C130" s="17">
        <f>Github!F$129</f>
        <v>8625</v>
      </c>
      <c r="D130" s="17">
        <f>Github!G$129</f>
        <v>375</v>
      </c>
      <c r="E130" s="17">
        <f>Github!F$129+Github!G$129</f>
        <v>9000</v>
      </c>
      <c r="F130" s="18">
        <f t="shared" si="1"/>
        <v>23</v>
      </c>
      <c r="G130" s="17" t="str">
        <f>Github!H$129</f>
        <v>Algorithms</v>
      </c>
      <c r="H130" s="17" t="str">
        <f>Github!E$129</f>
        <v>Medium</v>
      </c>
      <c r="I130" s="17" t="str">
        <f>IF(TRIM(Github!D$129)="TRUE","FALSE","TRUE")</f>
        <v>TRUE</v>
      </c>
      <c r="J130" s="17"/>
      <c r="K130" s="17" t="str">
        <f>Github!L$129</f>
        <v>Array;Hash Table;Union Find;</v>
      </c>
      <c r="L130" s="17" t="b">
        <f>Github!M$129</f>
        <v>1</v>
      </c>
      <c r="M130" s="17" t="str">
        <f>ROUND(Github!N$129, 2)&amp;"%"</f>
        <v>0%</v>
      </c>
      <c r="N130" s="17">
        <f>Github!O$129</f>
        <v>48.51582473</v>
      </c>
      <c r="O130" s="17">
        <f>Github!P$129</f>
        <v>614467</v>
      </c>
    </row>
    <row r="131">
      <c r="A131" s="17">
        <f>Github!J$130</f>
        <v>129</v>
      </c>
      <c r="B131" s="27" t="str">
        <f>HYPERLINK(CONCAT("http://leetcode.com/problems/",Github!C$130), Github!B$130)</f>
        <v>Sum Root to Leaf Numbers</v>
      </c>
      <c r="C131" s="17">
        <f>Github!F$130</f>
        <v>3929</v>
      </c>
      <c r="D131" s="17">
        <f>Github!G$130</f>
        <v>77</v>
      </c>
      <c r="E131" s="17">
        <f>Github!F$130+Github!G$130</f>
        <v>4006</v>
      </c>
      <c r="F131" s="18">
        <f t="shared" si="1"/>
        <v>51.03</v>
      </c>
      <c r="G131" s="17" t="str">
        <f>Github!H$130</f>
        <v>Algorithms</v>
      </c>
      <c r="H131" s="17" t="str">
        <f>Github!E$130</f>
        <v>Medium</v>
      </c>
      <c r="I131" s="17" t="str">
        <f>IF(TRIM(Github!D$130)="TRUE","FALSE","TRUE")</f>
        <v>TRUE</v>
      </c>
      <c r="J131" s="17"/>
      <c r="K131" s="17" t="str">
        <f>Github!L$130</f>
        <v>Tree;Depth-First Search;Binary Tree;</v>
      </c>
      <c r="L131" s="17" t="b">
        <f>Github!M$130</f>
        <v>1</v>
      </c>
      <c r="M131" s="17" t="str">
        <f>ROUND(Github!N$130, 2)&amp;"%"</f>
        <v>0%</v>
      </c>
      <c r="N131" s="17">
        <f>Github!O$130</f>
        <v>56.34773363</v>
      </c>
      <c r="O131" s="17">
        <f>Github!P$130</f>
        <v>438784</v>
      </c>
    </row>
    <row r="132">
      <c r="A132" s="17">
        <f>Github!J$131</f>
        <v>130</v>
      </c>
      <c r="B132" s="27" t="str">
        <f>HYPERLINK(CONCAT("http://leetcode.com/problems/",Github!C$131), Github!B$131)</f>
        <v>Surrounded Regions</v>
      </c>
      <c r="C132" s="17">
        <f>Github!F$131</f>
        <v>4538</v>
      </c>
      <c r="D132" s="17">
        <f>Github!G$131</f>
        <v>1121</v>
      </c>
      <c r="E132" s="17">
        <f>Github!F$131+Github!G$131</f>
        <v>5659</v>
      </c>
      <c r="F132" s="18">
        <f t="shared" si="1"/>
        <v>4.05</v>
      </c>
      <c r="G132" s="17" t="str">
        <f>Github!H$131</f>
        <v>Algorithms</v>
      </c>
      <c r="H132" s="17" t="str">
        <f>Github!E$131</f>
        <v>Medium</v>
      </c>
      <c r="I132" s="17" t="str">
        <f>IF(TRIM(Github!D$131)="TRUE","FALSE","TRUE")</f>
        <v>TRUE</v>
      </c>
      <c r="J132" s="17"/>
      <c r="K132" s="17" t="str">
        <f>Github!L$131</f>
        <v>Array;Depth-First Search;Breadth-First Search;Union Find;Matrix;</v>
      </c>
      <c r="L132" s="17" t="b">
        <f>Github!M$131</f>
        <v>1</v>
      </c>
      <c r="M132" s="17" t="str">
        <f>ROUND(Github!N$131, 2)&amp;"%"</f>
        <v>0%</v>
      </c>
      <c r="N132" s="17">
        <f>Github!O$131</f>
        <v>33.58490406</v>
      </c>
      <c r="O132" s="17">
        <f>Github!P$131</f>
        <v>395562</v>
      </c>
    </row>
    <row r="133">
      <c r="A133" s="17">
        <f>Github!J$132</f>
        <v>131</v>
      </c>
      <c r="B133" s="27" t="str">
        <f>HYPERLINK(CONCAT("http://leetcode.com/problems/",Github!C$132), Github!B$132)</f>
        <v>Palindrome Partitioning</v>
      </c>
      <c r="C133" s="17">
        <f>Github!F$132</f>
        <v>6237</v>
      </c>
      <c r="D133" s="17">
        <f>Github!G$132</f>
        <v>193</v>
      </c>
      <c r="E133" s="17">
        <f>Github!F$132+Github!G$132</f>
        <v>6430</v>
      </c>
      <c r="F133" s="18">
        <f t="shared" si="1"/>
        <v>32.32</v>
      </c>
      <c r="G133" s="17" t="str">
        <f>Github!H$132</f>
        <v>Algorithms</v>
      </c>
      <c r="H133" s="17" t="str">
        <f>Github!E$132</f>
        <v>Medium</v>
      </c>
      <c r="I133" s="17" t="str">
        <f>IF(TRIM(Github!D$132)="TRUE","FALSE","TRUE")</f>
        <v>TRUE</v>
      </c>
      <c r="J133" s="17"/>
      <c r="K133" s="17" t="str">
        <f>Github!L$132</f>
        <v>String;Dynamic Programming;Backtracking;</v>
      </c>
      <c r="L133" s="17" t="b">
        <f>Github!M$132</f>
        <v>1</v>
      </c>
      <c r="M133" s="17" t="str">
        <f>ROUND(Github!N$132, 2)&amp;"%"</f>
        <v>0%</v>
      </c>
      <c r="N133" s="17">
        <f>Github!O$132</f>
        <v>58.83038637</v>
      </c>
      <c r="O133" s="17">
        <f>Github!P$132</f>
        <v>430997</v>
      </c>
    </row>
    <row r="134">
      <c r="A134" s="17">
        <f>Github!J$133</f>
        <v>132</v>
      </c>
      <c r="B134" s="27" t="str">
        <f>HYPERLINK(CONCAT("http://leetcode.com/problems/",Github!C$133), Github!B$133)</f>
        <v>Palindrome Partitioning II</v>
      </c>
      <c r="C134" s="17">
        <f>Github!F$133</f>
        <v>3167</v>
      </c>
      <c r="D134" s="17">
        <f>Github!G$133</f>
        <v>77</v>
      </c>
      <c r="E134" s="17">
        <f>Github!F$133+Github!G$133</f>
        <v>3244</v>
      </c>
      <c r="F134" s="18">
        <f t="shared" si="1"/>
        <v>41.13</v>
      </c>
      <c r="G134" s="17" t="str">
        <f>Github!H$133</f>
        <v>Algorithms</v>
      </c>
      <c r="H134" s="17" t="str">
        <f>Github!E$133</f>
        <v>Hard</v>
      </c>
      <c r="I134" s="17" t="str">
        <f>IF(TRIM(Github!D$133)="TRUE","FALSE","TRUE")</f>
        <v>TRUE</v>
      </c>
      <c r="J134" s="17"/>
      <c r="K134" s="17" t="str">
        <f>Github!L$133</f>
        <v>String;Dynamic Programming;</v>
      </c>
      <c r="L134" s="17" t="b">
        <f>Github!M$133</f>
        <v>1</v>
      </c>
      <c r="M134" s="17" t="str">
        <f>ROUND(Github!N$133, 2)&amp;"%"</f>
        <v>0%</v>
      </c>
      <c r="N134" s="17">
        <f>Github!O$133</f>
        <v>33.06804842</v>
      </c>
      <c r="O134" s="17">
        <f>Github!P$133</f>
        <v>198026</v>
      </c>
    </row>
    <row r="135">
      <c r="A135" s="17">
        <f>Github!J$134</f>
        <v>133</v>
      </c>
      <c r="B135" s="27" t="str">
        <f>HYPERLINK(CONCAT("http://leetcode.com/problems/",Github!C$134), Github!B$134)</f>
        <v>Clone Graph</v>
      </c>
      <c r="C135" s="17">
        <f>Github!F$134</f>
        <v>5344</v>
      </c>
      <c r="D135" s="17">
        <f>Github!G$134</f>
        <v>2390</v>
      </c>
      <c r="E135" s="17">
        <f>Github!F$134+Github!G$134</f>
        <v>7734</v>
      </c>
      <c r="F135" s="18">
        <f t="shared" si="1"/>
        <v>2.24</v>
      </c>
      <c r="G135" s="17" t="str">
        <f>Github!H$134</f>
        <v>Algorithms</v>
      </c>
      <c r="H135" s="17" t="str">
        <f>Github!E$134</f>
        <v>Medium</v>
      </c>
      <c r="I135" s="17" t="str">
        <f>IF(TRIM(Github!D$134)="TRUE","FALSE","TRUE")</f>
        <v>TRUE</v>
      </c>
      <c r="J135" s="17"/>
      <c r="K135" s="17" t="str">
        <f>Github!L$134</f>
        <v>Hash Table;Depth-First Search;Breadth-First Search;Graph;</v>
      </c>
      <c r="L135" s="17" t="b">
        <f>Github!M$134</f>
        <v>1</v>
      </c>
      <c r="M135" s="17" t="str">
        <f>ROUND(Github!N$134, 2)&amp;"%"</f>
        <v>0%</v>
      </c>
      <c r="N135" s="17">
        <f>Github!O$134</f>
        <v>46.8226601</v>
      </c>
      <c r="O135" s="17">
        <f>Github!P$134</f>
        <v>674843</v>
      </c>
    </row>
    <row r="136">
      <c r="A136" s="17">
        <f>Github!J$135</f>
        <v>134</v>
      </c>
      <c r="B136" s="27" t="str">
        <f>HYPERLINK(CONCAT("http://leetcode.com/problems/",Github!C$135), Github!B$135)</f>
        <v>Gas Station</v>
      </c>
      <c r="C136" s="17">
        <f>Github!F$135</f>
        <v>5507</v>
      </c>
      <c r="D136" s="17">
        <f>Github!G$135</f>
        <v>582</v>
      </c>
      <c r="E136" s="17">
        <f>Github!F$135+Github!G$135</f>
        <v>6089</v>
      </c>
      <c r="F136" s="18">
        <f t="shared" si="1"/>
        <v>9.46</v>
      </c>
      <c r="G136" s="17" t="str">
        <f>Github!H$135</f>
        <v>Algorithms</v>
      </c>
      <c r="H136" s="17" t="str">
        <f>Github!E$135</f>
        <v>Medium</v>
      </c>
      <c r="I136" s="17" t="str">
        <f>IF(TRIM(Github!D$135)="TRUE","FALSE","TRUE")</f>
        <v>TRUE</v>
      </c>
      <c r="J136" s="17"/>
      <c r="K136" s="17" t="str">
        <f>Github!L$135</f>
        <v>Array;Greedy;</v>
      </c>
      <c r="L136" s="17" t="b">
        <f>Github!M$135</f>
        <v>1</v>
      </c>
      <c r="M136" s="17" t="str">
        <f>ROUND(Github!N$135, 2)&amp;"%"</f>
        <v>0%</v>
      </c>
      <c r="N136" s="17">
        <f>Github!O$135</f>
        <v>44.35634089</v>
      </c>
      <c r="O136" s="17">
        <f>Github!P$135</f>
        <v>389337</v>
      </c>
    </row>
    <row r="137">
      <c r="A137" s="17">
        <f>Github!J$136</f>
        <v>135</v>
      </c>
      <c r="B137" s="27" t="str">
        <f>HYPERLINK(CONCAT("http://leetcode.com/problems/",Github!C$136), Github!B$136)</f>
        <v>Candy</v>
      </c>
      <c r="C137" s="17">
        <f>Github!F$136</f>
        <v>2623</v>
      </c>
      <c r="D137" s="17">
        <f>Github!G$136</f>
        <v>245</v>
      </c>
      <c r="E137" s="17">
        <f>Github!F$136+Github!G$136</f>
        <v>2868</v>
      </c>
      <c r="F137" s="18">
        <f t="shared" si="1"/>
        <v>10.71</v>
      </c>
      <c r="G137" s="17" t="str">
        <f>Github!H$136</f>
        <v>Algorithms</v>
      </c>
      <c r="H137" s="17" t="str">
        <f>Github!E$136</f>
        <v>Hard</v>
      </c>
      <c r="I137" s="17" t="str">
        <f>IF(TRIM(Github!D$136)="TRUE","FALSE","TRUE")</f>
        <v>TRUE</v>
      </c>
      <c r="J137" s="17"/>
      <c r="K137" s="17" t="str">
        <f>Github!L$136</f>
        <v>Array;Greedy;</v>
      </c>
      <c r="L137" s="17" t="b">
        <f>Github!M$136</f>
        <v>1</v>
      </c>
      <c r="M137" s="17" t="str">
        <f>ROUND(Github!N$136, 2)&amp;"%"</f>
        <v>0%</v>
      </c>
      <c r="N137" s="17">
        <f>Github!O$136</f>
        <v>36.74397769</v>
      </c>
      <c r="O137" s="17">
        <f>Github!P$136</f>
        <v>206695</v>
      </c>
    </row>
    <row r="138">
      <c r="A138" s="17">
        <f>Github!J$137</f>
        <v>136</v>
      </c>
      <c r="B138" s="27" t="str">
        <f>HYPERLINK(CONCAT("http://leetcode.com/problems/",Github!C$137), Github!B$137)</f>
        <v>Single Number</v>
      </c>
      <c r="C138" s="17">
        <f>Github!F$137</f>
        <v>9281</v>
      </c>
      <c r="D138" s="17">
        <f>Github!G$137</f>
        <v>327</v>
      </c>
      <c r="E138" s="17">
        <f>Github!F$137+Github!G$137</f>
        <v>9608</v>
      </c>
      <c r="F138" s="18">
        <f t="shared" si="1"/>
        <v>28.38</v>
      </c>
      <c r="G138" s="17" t="str">
        <f>Github!H$137</f>
        <v>Algorithms</v>
      </c>
      <c r="H138" s="17" t="str">
        <f>Github!E$137</f>
        <v>Easy</v>
      </c>
      <c r="I138" s="17" t="str">
        <f>IF(TRIM(Github!D$137)="TRUE","FALSE","TRUE")</f>
        <v>TRUE</v>
      </c>
      <c r="J138" s="17"/>
      <c r="K138" s="17" t="str">
        <f>Github!L$137</f>
        <v>Array;Bit Manipulation;</v>
      </c>
      <c r="L138" s="17" t="b">
        <f>Github!M$137</f>
        <v>1</v>
      </c>
      <c r="M138" s="17" t="str">
        <f>ROUND(Github!N$137, 2)&amp;"%"</f>
        <v>0%</v>
      </c>
      <c r="N138" s="17">
        <f>Github!O$137</f>
        <v>69.13829507</v>
      </c>
      <c r="O138" s="17">
        <f>Github!P$137</f>
        <v>1563541</v>
      </c>
    </row>
    <row r="139">
      <c r="A139" s="17">
        <f>Github!J$138</f>
        <v>137</v>
      </c>
      <c r="B139" s="27" t="str">
        <f>HYPERLINK(CONCAT("http://leetcode.com/problems/",Github!C$138), Github!B$138)</f>
        <v>Single Number II</v>
      </c>
      <c r="C139" s="17">
        <f>Github!F$138</f>
        <v>3867</v>
      </c>
      <c r="D139" s="17">
        <f>Github!G$138</f>
        <v>470</v>
      </c>
      <c r="E139" s="17">
        <f>Github!F$138+Github!G$138</f>
        <v>4337</v>
      </c>
      <c r="F139" s="18">
        <f t="shared" si="1"/>
        <v>8.23</v>
      </c>
      <c r="G139" s="17" t="str">
        <f>Github!H$138</f>
        <v>Algorithms</v>
      </c>
      <c r="H139" s="17" t="str">
        <f>Github!E$138</f>
        <v>Medium</v>
      </c>
      <c r="I139" s="17" t="str">
        <f>IF(TRIM(Github!D$138)="TRUE","FALSE","TRUE")</f>
        <v>TRUE</v>
      </c>
      <c r="J139" s="17"/>
      <c r="K139" s="17" t="str">
        <f>Github!L$138</f>
        <v>Array;Bit Manipulation;</v>
      </c>
      <c r="L139" s="17" t="b">
        <f>Github!M$138</f>
        <v>1</v>
      </c>
      <c r="M139" s="17" t="str">
        <f>ROUND(Github!N$138, 2)&amp;"%"</f>
        <v>0%</v>
      </c>
      <c r="N139" s="17">
        <f>Github!O$138</f>
        <v>56.33858182</v>
      </c>
      <c r="O139" s="17">
        <f>Github!P$138</f>
        <v>336803</v>
      </c>
    </row>
    <row r="140">
      <c r="A140" s="17">
        <f>Github!J$139</f>
        <v>138</v>
      </c>
      <c r="B140" s="27" t="str">
        <f>HYPERLINK(CONCAT("http://leetcode.com/problems/",Github!C$139), Github!B$139)</f>
        <v>Copy List with Random Pointer</v>
      </c>
      <c r="C140" s="17">
        <f>Github!F$139</f>
        <v>7465</v>
      </c>
      <c r="D140" s="17">
        <f>Github!G$139</f>
        <v>933</v>
      </c>
      <c r="E140" s="17">
        <f>Github!F$139+Github!G$139</f>
        <v>8398</v>
      </c>
      <c r="F140" s="18">
        <f t="shared" si="1"/>
        <v>8</v>
      </c>
      <c r="G140" s="17" t="str">
        <f>Github!H$139</f>
        <v>Algorithms</v>
      </c>
      <c r="H140" s="17" t="str">
        <f>Github!E$139</f>
        <v>Medium</v>
      </c>
      <c r="I140" s="17" t="str">
        <f>IF(TRIM(Github!D$139)="TRUE","FALSE","TRUE")</f>
        <v>TRUE</v>
      </c>
      <c r="J140" s="17"/>
      <c r="K140" s="17" t="str">
        <f>Github!L$139</f>
        <v>Hash Table;Linked List;</v>
      </c>
      <c r="L140" s="17" t="b">
        <f>Github!M$139</f>
        <v>1</v>
      </c>
      <c r="M140" s="17" t="str">
        <f>ROUND(Github!N$139, 2)&amp;"%"</f>
        <v>0%</v>
      </c>
      <c r="N140" s="17">
        <f>Github!O$139</f>
        <v>46.58358817</v>
      </c>
      <c r="O140" s="17">
        <f>Github!P$139</f>
        <v>722337</v>
      </c>
    </row>
    <row r="141">
      <c r="A141" s="17">
        <f>Github!J$140</f>
        <v>139</v>
      </c>
      <c r="B141" s="27" t="str">
        <f>HYPERLINK(CONCAT("http://leetcode.com/problems/",Github!C$140), Github!B$140)</f>
        <v>Word Break</v>
      </c>
      <c r="C141" s="17">
        <f>Github!F$140</f>
        <v>9808</v>
      </c>
      <c r="D141" s="17">
        <f>Github!G$140</f>
        <v>439</v>
      </c>
      <c r="E141" s="17">
        <f>Github!F$140+Github!G$140</f>
        <v>10247</v>
      </c>
      <c r="F141" s="18">
        <f t="shared" si="1"/>
        <v>22.34</v>
      </c>
      <c r="G141" s="17" t="str">
        <f>Github!H$140</f>
        <v>Algorithms</v>
      </c>
      <c r="H141" s="17" t="str">
        <f>Github!E$140</f>
        <v>Medium</v>
      </c>
      <c r="I141" s="17" t="str">
        <f>IF(TRIM(Github!D$140)="TRUE","FALSE","TRUE")</f>
        <v>TRUE</v>
      </c>
      <c r="J141" s="17"/>
      <c r="K141" s="17" t="str">
        <f>Github!L$140</f>
        <v>Hash Table;String;Dynamic Programming;Trie;Memoization;</v>
      </c>
      <c r="L141" s="17" t="b">
        <f>Github!M$140</f>
        <v>1</v>
      </c>
      <c r="M141" s="17" t="str">
        <f>ROUND(Github!N$140, 2)&amp;"%"</f>
        <v>1%</v>
      </c>
      <c r="N141" s="17">
        <f>Github!O$140</f>
        <v>44.26473046</v>
      </c>
      <c r="O141" s="17">
        <f>Github!P$140</f>
        <v>1019611</v>
      </c>
    </row>
    <row r="142">
      <c r="A142" s="17">
        <f>Github!J$141</f>
        <v>140</v>
      </c>
      <c r="B142" s="27" t="str">
        <f>HYPERLINK(CONCAT("http://leetcode.com/problems/",Github!C$141), Github!B$141)</f>
        <v>Word Break II</v>
      </c>
      <c r="C142" s="17">
        <f>Github!F$141</f>
        <v>4468</v>
      </c>
      <c r="D142" s="17">
        <f>Github!G$141</f>
        <v>473</v>
      </c>
      <c r="E142" s="17">
        <f>Github!F$141+Github!G$141</f>
        <v>4941</v>
      </c>
      <c r="F142" s="18">
        <f t="shared" si="1"/>
        <v>9.45</v>
      </c>
      <c r="G142" s="17" t="str">
        <f>Github!H$141</f>
        <v>Algorithms</v>
      </c>
      <c r="H142" s="17" t="str">
        <f>Github!E$141</f>
        <v>Hard</v>
      </c>
      <c r="I142" s="17" t="str">
        <f>IF(TRIM(Github!D$141)="TRUE","FALSE","TRUE")</f>
        <v>TRUE</v>
      </c>
      <c r="J142" s="17"/>
      <c r="K142" s="17" t="str">
        <f>Github!L$141</f>
        <v>Hash Table;String;Dynamic Programming;Backtracking;Trie;Memoization;</v>
      </c>
      <c r="L142" s="17" t="b">
        <f>Github!M$141</f>
        <v>1</v>
      </c>
      <c r="M142" s="17" t="str">
        <f>ROUND(Github!N$141, 2)&amp;"%"</f>
        <v>0%</v>
      </c>
      <c r="N142" s="17">
        <f>Github!O$141</f>
        <v>41.46041175</v>
      </c>
      <c r="O142" s="17">
        <f>Github!P$141</f>
        <v>424643</v>
      </c>
    </row>
    <row r="143">
      <c r="A143" s="17">
        <f>Github!J$142</f>
        <v>141</v>
      </c>
      <c r="B143" s="27" t="str">
        <f>HYPERLINK(CONCAT("http://leetcode.com/problems/",Github!C$142), Github!B$142)</f>
        <v>Linked List Cycle</v>
      </c>
      <c r="C143" s="17">
        <f>Github!F$142</f>
        <v>7541</v>
      </c>
      <c r="D143" s="17">
        <f>Github!G$142</f>
        <v>757</v>
      </c>
      <c r="E143" s="17">
        <f>Github!F$142+Github!G$142</f>
        <v>8298</v>
      </c>
      <c r="F143" s="18">
        <f t="shared" si="1"/>
        <v>9.96</v>
      </c>
      <c r="G143" s="17" t="str">
        <f>Github!H$142</f>
        <v>Algorithms</v>
      </c>
      <c r="H143" s="17" t="str">
        <f>Github!E$142</f>
        <v>Easy</v>
      </c>
      <c r="I143" s="17" t="str">
        <f>IF(TRIM(Github!D$142)="TRUE","FALSE","TRUE")</f>
        <v>TRUE</v>
      </c>
      <c r="J143" s="17"/>
      <c r="K143" s="17" t="str">
        <f>Github!L$142</f>
        <v>Hash Table;Linked List;Two Pointers;</v>
      </c>
      <c r="L143" s="17" t="b">
        <f>Github!M$142</f>
        <v>1</v>
      </c>
      <c r="M143" s="17" t="str">
        <f>ROUND(Github!N$142, 2)&amp;"%"</f>
        <v>1%</v>
      </c>
      <c r="N143" s="17">
        <f>Github!O$142</f>
        <v>45.58939646</v>
      </c>
      <c r="O143" s="17">
        <f>Github!P$142</f>
        <v>1342958</v>
      </c>
    </row>
    <row r="144">
      <c r="A144" s="17">
        <f>Github!J$143</f>
        <v>142</v>
      </c>
      <c r="B144" s="27" t="str">
        <f>HYPERLINK(CONCAT("http://leetcode.com/problems/",Github!C$143), Github!B$143)</f>
        <v>Linked List Cycle II</v>
      </c>
      <c r="C144" s="17">
        <f>Github!F$143</f>
        <v>6814</v>
      </c>
      <c r="D144" s="17">
        <f>Github!G$143</f>
        <v>451</v>
      </c>
      <c r="E144" s="17">
        <f>Github!F$143+Github!G$143</f>
        <v>7265</v>
      </c>
      <c r="F144" s="18">
        <f t="shared" si="1"/>
        <v>15.11</v>
      </c>
      <c r="G144" s="17" t="str">
        <f>Github!H$143</f>
        <v>Algorithms</v>
      </c>
      <c r="H144" s="17" t="str">
        <f>Github!E$143</f>
        <v>Medium</v>
      </c>
      <c r="I144" s="17" t="str">
        <f>IF(TRIM(Github!D$143)="TRUE","FALSE","TRUE")</f>
        <v>TRUE</v>
      </c>
      <c r="J144" s="17"/>
      <c r="K144" s="17" t="str">
        <f>Github!L$143</f>
        <v>Hash Table;Linked List;Two Pointers;</v>
      </c>
      <c r="L144" s="17" t="b">
        <f>Github!M$143</f>
        <v>1</v>
      </c>
      <c r="M144" s="17" t="str">
        <f>ROUND(Github!N$143, 2)&amp;"%"</f>
        <v>0%</v>
      </c>
      <c r="N144" s="17">
        <f>Github!O$143</f>
        <v>43.8835916</v>
      </c>
      <c r="O144" s="17">
        <f>Github!P$143</f>
        <v>636032</v>
      </c>
    </row>
    <row r="145">
      <c r="A145" s="17">
        <f>Github!J$144</f>
        <v>143</v>
      </c>
      <c r="B145" s="27" t="str">
        <f>HYPERLINK(CONCAT("http://leetcode.com/problems/",Github!C$144), Github!B$144)</f>
        <v>Reorder List</v>
      </c>
      <c r="C145" s="17">
        <f>Github!F$144</f>
        <v>5458</v>
      </c>
      <c r="D145" s="17">
        <f>Github!G$144</f>
        <v>202</v>
      </c>
      <c r="E145" s="17">
        <f>Github!F$144+Github!G$144</f>
        <v>5660</v>
      </c>
      <c r="F145" s="18">
        <f t="shared" si="1"/>
        <v>27.02</v>
      </c>
      <c r="G145" s="17" t="str">
        <f>Github!H$144</f>
        <v>Algorithms</v>
      </c>
      <c r="H145" s="17" t="str">
        <f>Github!E$144</f>
        <v>Medium</v>
      </c>
      <c r="I145" s="17" t="str">
        <f>IF(TRIM(Github!D$144)="TRUE","FALSE","TRUE")</f>
        <v>TRUE</v>
      </c>
      <c r="J145" s="17"/>
      <c r="K145" s="17" t="str">
        <f>Github!L$144</f>
        <v>Linked List;Two Pointers;Stack;Recursion;</v>
      </c>
      <c r="L145" s="17" t="b">
        <f>Github!M$144</f>
        <v>1</v>
      </c>
      <c r="M145" s="17" t="str">
        <f>ROUND(Github!N$144, 2)&amp;"%"</f>
        <v>0%</v>
      </c>
      <c r="N145" s="17">
        <f>Github!O$144</f>
        <v>47.08762736</v>
      </c>
      <c r="O145" s="17">
        <f>Github!P$144</f>
        <v>452150</v>
      </c>
    </row>
    <row r="146">
      <c r="A146" s="17">
        <f>Github!J$145</f>
        <v>144</v>
      </c>
      <c r="B146" s="27" t="str">
        <f>HYPERLINK(CONCAT("http://leetcode.com/problems/",Github!C$145), Github!B$145)</f>
        <v>Binary Tree Preorder Traversal</v>
      </c>
      <c r="C146" s="17">
        <f>Github!F$145</f>
        <v>3785</v>
      </c>
      <c r="D146" s="17">
        <f>Github!G$145</f>
        <v>117</v>
      </c>
      <c r="E146" s="17">
        <f>Github!F$145+Github!G$145</f>
        <v>3902</v>
      </c>
      <c r="F146" s="18">
        <f t="shared" si="1"/>
        <v>32.35</v>
      </c>
      <c r="G146" s="17" t="str">
        <f>Github!H$145</f>
        <v>Algorithms</v>
      </c>
      <c r="H146" s="17" t="str">
        <f>Github!E$145</f>
        <v>Easy</v>
      </c>
      <c r="I146" s="17" t="str">
        <f>IF(TRIM(Github!D$145)="TRUE","FALSE","TRUE")</f>
        <v>TRUE</v>
      </c>
      <c r="J146" s="17"/>
      <c r="K146" s="17" t="str">
        <f>Github!L$145</f>
        <v>Stack;Tree;Depth-First Search;Binary Tree;</v>
      </c>
      <c r="L146" s="17" t="b">
        <f>Github!M$145</f>
        <v>1</v>
      </c>
      <c r="M146" s="17" t="str">
        <f>ROUND(Github!N$145, 2)&amp;"%"</f>
        <v>0%</v>
      </c>
      <c r="N146" s="17">
        <f>Github!O$145</f>
        <v>61.96984416</v>
      </c>
      <c r="O146" s="17">
        <f>Github!P$145</f>
        <v>884736</v>
      </c>
    </row>
    <row r="147">
      <c r="A147" s="17">
        <f>Github!J$146</f>
        <v>145</v>
      </c>
      <c r="B147" s="27" t="str">
        <f>HYPERLINK(CONCAT("http://leetcode.com/problems/",Github!C$146), Github!B$146)</f>
        <v>Binary Tree Postorder Traversal</v>
      </c>
      <c r="C147" s="17">
        <f>Github!F$146</f>
        <v>3892</v>
      </c>
      <c r="D147" s="17">
        <f>Github!G$146</f>
        <v>134</v>
      </c>
      <c r="E147" s="17">
        <f>Github!F$146+Github!G$146</f>
        <v>4026</v>
      </c>
      <c r="F147" s="18">
        <f t="shared" si="1"/>
        <v>29.04</v>
      </c>
      <c r="G147" s="17" t="str">
        <f>Github!H$146</f>
        <v>Algorithms</v>
      </c>
      <c r="H147" s="17" t="str">
        <f>Github!E$146</f>
        <v>Easy</v>
      </c>
      <c r="I147" s="17" t="str">
        <f>IF(TRIM(Github!D$146)="TRUE","FALSE","TRUE")</f>
        <v>TRUE</v>
      </c>
      <c r="J147" s="17"/>
      <c r="K147" s="17" t="str">
        <f>Github!L$146</f>
        <v>Stack;Tree;Depth-First Search;Binary Tree;</v>
      </c>
      <c r="L147" s="17" t="b">
        <f>Github!M$146</f>
        <v>0</v>
      </c>
      <c r="M147" s="17" t="str">
        <f>ROUND(Github!N$146, 2)&amp;"%"</f>
        <v>0%</v>
      </c>
      <c r="N147" s="17">
        <f>Github!O$146</f>
        <v>63.36715252</v>
      </c>
      <c r="O147" s="17">
        <f>Github!P$146</f>
        <v>675144</v>
      </c>
    </row>
    <row r="148">
      <c r="A148" s="17">
        <f>Github!J$147</f>
        <v>146</v>
      </c>
      <c r="B148" s="27" t="str">
        <f>HYPERLINK(CONCAT("http://leetcode.com/problems/",Github!C$147), Github!B$147)</f>
        <v>LRU Cache</v>
      </c>
      <c r="C148" s="17">
        <f>Github!F$147</f>
        <v>12371</v>
      </c>
      <c r="D148" s="17">
        <f>Github!G$147</f>
        <v>484</v>
      </c>
      <c r="E148" s="17">
        <f>Github!F$147+Github!G$147</f>
        <v>12855</v>
      </c>
      <c r="F148" s="18">
        <f t="shared" si="1"/>
        <v>25.56</v>
      </c>
      <c r="G148" s="17" t="str">
        <f>Github!H$147</f>
        <v>Algorithms</v>
      </c>
      <c r="H148" s="17" t="str">
        <f>Github!E$147</f>
        <v>Medium</v>
      </c>
      <c r="I148" s="17" t="str">
        <f>IF(TRIM(Github!D$147)="TRUE","FALSE","TRUE")</f>
        <v>TRUE</v>
      </c>
      <c r="J148" s="17"/>
      <c r="K148" s="17" t="str">
        <f>Github!L$147</f>
        <v>Hash Table;Linked List;Design;Doubly-Linked List;</v>
      </c>
      <c r="L148" s="17" t="b">
        <f>Github!M$147</f>
        <v>1</v>
      </c>
      <c r="M148" s="17" t="str">
        <f>ROUND(Github!N$147, 2)&amp;"%"</f>
        <v>0%</v>
      </c>
      <c r="N148" s="17">
        <f>Github!O$147</f>
        <v>39.4693941</v>
      </c>
      <c r="O148" s="17">
        <f>Github!P$147</f>
        <v>1010544</v>
      </c>
    </row>
    <row r="149">
      <c r="A149" s="17">
        <f>Github!J$148</f>
        <v>147</v>
      </c>
      <c r="B149" s="27" t="str">
        <f>HYPERLINK(CONCAT("http://leetcode.com/problems/",Github!C$148), Github!B$148)</f>
        <v>Insertion Sort List</v>
      </c>
      <c r="C149" s="17">
        <f>Github!F$148</f>
        <v>1914</v>
      </c>
      <c r="D149" s="17">
        <f>Github!G$148</f>
        <v>783</v>
      </c>
      <c r="E149" s="17">
        <f>Github!F$148+Github!G$148</f>
        <v>2697</v>
      </c>
      <c r="F149" s="18">
        <f t="shared" si="1"/>
        <v>2.44</v>
      </c>
      <c r="G149" s="17" t="str">
        <f>Github!H$148</f>
        <v>Algorithms</v>
      </c>
      <c r="H149" s="17" t="str">
        <f>Github!E$148</f>
        <v>Medium</v>
      </c>
      <c r="I149" s="17" t="str">
        <f>IF(TRIM(Github!D$148)="TRUE","FALSE","TRUE")</f>
        <v>TRUE</v>
      </c>
      <c r="J149" s="17"/>
      <c r="K149" s="17" t="str">
        <f>Github!L$148</f>
        <v>Linked List;Sorting;</v>
      </c>
      <c r="L149" s="17" t="b">
        <f>Github!M$148</f>
        <v>1</v>
      </c>
      <c r="M149" s="17" t="str">
        <f>ROUND(Github!N$148, 2)&amp;"%"</f>
        <v>1%</v>
      </c>
      <c r="N149" s="17">
        <f>Github!O$148</f>
        <v>48.54524201</v>
      </c>
      <c r="O149" s="17">
        <f>Github!P$148</f>
        <v>278655</v>
      </c>
    </row>
    <row r="150">
      <c r="A150" s="17">
        <f>Github!J$149</f>
        <v>148</v>
      </c>
      <c r="B150" s="27" t="str">
        <f>HYPERLINK(CONCAT("http://leetcode.com/problems/",Github!C$149), Github!B$149)</f>
        <v>Sort List</v>
      </c>
      <c r="C150" s="17">
        <f>Github!F$149</f>
        <v>6813</v>
      </c>
      <c r="D150" s="17">
        <f>Github!G$149</f>
        <v>225</v>
      </c>
      <c r="E150" s="17">
        <f>Github!F$149+Github!G$149</f>
        <v>7038</v>
      </c>
      <c r="F150" s="18">
        <f t="shared" si="1"/>
        <v>30.28</v>
      </c>
      <c r="G150" s="17" t="str">
        <f>Github!H$149</f>
        <v>Algorithms</v>
      </c>
      <c r="H150" s="17" t="str">
        <f>Github!E$149</f>
        <v>Medium</v>
      </c>
      <c r="I150" s="17" t="str">
        <f>IF(TRIM(Github!D$149)="TRUE","FALSE","TRUE")</f>
        <v>TRUE</v>
      </c>
      <c r="J150" s="17"/>
      <c r="K150" s="17" t="str">
        <f>Github!L$149</f>
        <v>Linked List;Two Pointers;Divide and Conquer;Sorting;Merge Sort;</v>
      </c>
      <c r="L150" s="17" t="b">
        <f>Github!M$149</f>
        <v>1</v>
      </c>
      <c r="M150" s="17" t="str">
        <f>ROUND(Github!N$149, 2)&amp;"%"</f>
        <v>0%</v>
      </c>
      <c r="N150" s="17">
        <f>Github!O$149</f>
        <v>51.6292506</v>
      </c>
      <c r="O150" s="17">
        <f>Github!P$149</f>
        <v>472707</v>
      </c>
    </row>
    <row r="151">
      <c r="A151" s="17">
        <f>Github!J$150</f>
        <v>149</v>
      </c>
      <c r="B151" s="27" t="str">
        <f>HYPERLINK(CONCAT("http://leetcode.com/problems/",Github!C$150), Github!B$150)</f>
        <v>Max Points on a Line</v>
      </c>
      <c r="C151" s="17">
        <f>Github!F$150</f>
        <v>899</v>
      </c>
      <c r="D151" s="17">
        <f>Github!G$150</f>
        <v>163</v>
      </c>
      <c r="E151" s="17">
        <f>Github!F$150+Github!G$150</f>
        <v>1062</v>
      </c>
      <c r="F151" s="18">
        <f t="shared" si="1"/>
        <v>5.52</v>
      </c>
      <c r="G151" s="17" t="str">
        <f>Github!H$150</f>
        <v>Algorithms</v>
      </c>
      <c r="H151" s="17" t="str">
        <f>Github!E$150</f>
        <v>Hard</v>
      </c>
      <c r="I151" s="17" t="str">
        <f>IF(TRIM(Github!D$150)="TRUE","FALSE","TRUE")</f>
        <v>TRUE</v>
      </c>
      <c r="J151" s="17"/>
      <c r="K151" s="17" t="str">
        <f>Github!L$150</f>
        <v>Array;Hash Table;Math;Geometry;</v>
      </c>
      <c r="L151" s="17" t="b">
        <f>Github!M$150</f>
        <v>1</v>
      </c>
      <c r="M151" s="17" t="str">
        <f>ROUND(Github!N$150, 2)&amp;"%"</f>
        <v>0%</v>
      </c>
      <c r="N151" s="17">
        <f>Github!O$150</f>
        <v>20.11455385</v>
      </c>
      <c r="O151" s="17">
        <f>Github!P$150</f>
        <v>221857</v>
      </c>
    </row>
    <row r="152">
      <c r="A152" s="17">
        <f>Github!J$151</f>
        <v>150</v>
      </c>
      <c r="B152" s="27" t="str">
        <f>HYPERLINK(CONCAT("http://leetcode.com/problems/",Github!C$151), Github!B$151)</f>
        <v>Evaluate Reverse Polish Notation</v>
      </c>
      <c r="C152" s="17">
        <f>Github!F$151</f>
        <v>2696</v>
      </c>
      <c r="D152" s="17">
        <f>Github!G$151</f>
        <v>603</v>
      </c>
      <c r="E152" s="17">
        <f>Github!F$151+Github!G$151</f>
        <v>3299</v>
      </c>
      <c r="F152" s="18">
        <f t="shared" si="1"/>
        <v>4.47</v>
      </c>
      <c r="G152" s="17" t="str">
        <f>Github!H$151</f>
        <v>Algorithms</v>
      </c>
      <c r="H152" s="17" t="str">
        <f>Github!E$151</f>
        <v>Medium</v>
      </c>
      <c r="I152" s="17" t="str">
        <f>IF(TRIM(Github!D$151)="TRUE","FALSE","TRUE")</f>
        <v>TRUE</v>
      </c>
      <c r="J152" s="17"/>
      <c r="K152" s="17" t="str">
        <f>Github!L$151</f>
        <v>Array;Math;Stack;</v>
      </c>
      <c r="L152" s="17" t="b">
        <f>Github!M$151</f>
        <v>1</v>
      </c>
      <c r="M152" s="17" t="str">
        <f>ROUND(Github!N$151, 2)&amp;"%"</f>
        <v>0%</v>
      </c>
      <c r="N152" s="17">
        <f>Github!O$151</f>
        <v>41.86113353</v>
      </c>
      <c r="O152" s="17">
        <f>Github!P$151</f>
        <v>378673</v>
      </c>
    </row>
    <row r="153">
      <c r="A153" s="17">
        <f>Github!J$152</f>
        <v>151</v>
      </c>
      <c r="B153" s="27" t="str">
        <f>HYPERLINK(CONCAT("http://leetcode.com/problems/",Github!C$152), Github!B$152)</f>
        <v>Reverse Words in a String</v>
      </c>
      <c r="C153" s="17">
        <f>Github!F$152</f>
        <v>2878</v>
      </c>
      <c r="D153" s="17">
        <f>Github!G$152</f>
        <v>3795</v>
      </c>
      <c r="E153" s="17">
        <f>Github!F$152+Github!G$152</f>
        <v>6673</v>
      </c>
      <c r="F153" s="18">
        <f t="shared" si="1"/>
        <v>0.76</v>
      </c>
      <c r="G153" s="17" t="str">
        <f>Github!H$152</f>
        <v>Algorithms</v>
      </c>
      <c r="H153" s="17" t="str">
        <f>Github!E$152</f>
        <v>Medium</v>
      </c>
      <c r="I153" s="17" t="str">
        <f>IF(TRIM(Github!D$152)="TRUE","FALSE","TRUE")</f>
        <v>TRUE</v>
      </c>
      <c r="J153" s="17"/>
      <c r="K153" s="17" t="str">
        <f>Github!L$152</f>
        <v>Two Pointers;String;</v>
      </c>
      <c r="L153" s="17" t="b">
        <f>Github!M$152</f>
        <v>1</v>
      </c>
      <c r="M153" s="17" t="str">
        <f>ROUND(Github!N$152, 2)&amp;"%"</f>
        <v>0%</v>
      </c>
      <c r="N153" s="17">
        <f>Github!O$152</f>
        <v>28.02266542</v>
      </c>
      <c r="O153" s="17">
        <f>Github!P$152</f>
        <v>674203</v>
      </c>
    </row>
    <row r="154">
      <c r="A154" s="17">
        <f>Github!J$153</f>
        <v>152</v>
      </c>
      <c r="B154" s="27" t="str">
        <f>HYPERLINK(CONCAT("http://leetcode.com/problems/",Github!C$153), Github!B$153)</f>
        <v>Maximum Product Subarray</v>
      </c>
      <c r="C154" s="17">
        <f>Github!F$153</f>
        <v>10708</v>
      </c>
      <c r="D154" s="17">
        <f>Github!G$153</f>
        <v>333</v>
      </c>
      <c r="E154" s="17">
        <f>Github!F$153+Github!G$153</f>
        <v>11041</v>
      </c>
      <c r="F154" s="18">
        <f t="shared" si="1"/>
        <v>32.16</v>
      </c>
      <c r="G154" s="17" t="str">
        <f>Github!H$153</f>
        <v>Algorithms</v>
      </c>
      <c r="H154" s="17" t="str">
        <f>Github!E$153</f>
        <v>Medium</v>
      </c>
      <c r="I154" s="17" t="str">
        <f>IF(TRIM(Github!D$153)="TRUE","FALSE","TRUE")</f>
        <v>TRUE</v>
      </c>
      <c r="J154" s="17"/>
      <c r="K154" s="17" t="str">
        <f>Github!L$153</f>
        <v>Array;Dynamic Programming;</v>
      </c>
      <c r="L154" s="17" t="b">
        <f>Github!M$153</f>
        <v>1</v>
      </c>
      <c r="M154" s="17" t="str">
        <f>ROUND(Github!N$153, 2)&amp;"%"</f>
        <v>0%</v>
      </c>
      <c r="N154" s="17">
        <f>Github!O$153</f>
        <v>34.44638184</v>
      </c>
      <c r="O154" s="17">
        <f>Github!P$153</f>
        <v>693991</v>
      </c>
    </row>
    <row r="155">
      <c r="A155" s="17">
        <f>Github!J$154</f>
        <v>153</v>
      </c>
      <c r="B155" s="27" t="str">
        <f>HYPERLINK(CONCAT("http://leetcode.com/problems/",Github!C$154), Github!B$154)</f>
        <v>Find Minimum in Rotated Sorted Array</v>
      </c>
      <c r="C155" s="17">
        <f>Github!F$154</f>
        <v>6189</v>
      </c>
      <c r="D155" s="17">
        <f>Github!G$154</f>
        <v>375</v>
      </c>
      <c r="E155" s="17">
        <f>Github!F$154+Github!G$154</f>
        <v>6564</v>
      </c>
      <c r="F155" s="18">
        <f t="shared" si="1"/>
        <v>16.5</v>
      </c>
      <c r="G155" s="17" t="str">
        <f>Github!H$154</f>
        <v>Algorithms</v>
      </c>
      <c r="H155" s="17" t="str">
        <f>Github!E$154</f>
        <v>Medium</v>
      </c>
      <c r="I155" s="17" t="str">
        <f>IF(TRIM(Github!D$154)="TRUE","FALSE","TRUE")</f>
        <v>TRUE</v>
      </c>
      <c r="J155" s="17"/>
      <c r="K155" s="17" t="str">
        <f>Github!L$154</f>
        <v>Array;Binary Search;</v>
      </c>
      <c r="L155" s="17" t="b">
        <f>Github!M$154</f>
        <v>1</v>
      </c>
      <c r="M155" s="17" t="str">
        <f>ROUND(Github!N$154, 2)&amp;"%"</f>
        <v>0%</v>
      </c>
      <c r="N155" s="17">
        <f>Github!O$154</f>
        <v>47.76416682</v>
      </c>
      <c r="O155" s="17">
        <f>Github!P$154</f>
        <v>858741</v>
      </c>
    </row>
    <row r="156">
      <c r="A156" s="17">
        <f>Github!J$155</f>
        <v>154</v>
      </c>
      <c r="B156" s="27" t="str">
        <f>HYPERLINK(CONCAT("http://leetcode.com/problems/",Github!C$155), Github!B$155)</f>
        <v>Find Minimum in Rotated Sorted Array II</v>
      </c>
      <c r="C156" s="17">
        <f>Github!F$155</f>
        <v>2713</v>
      </c>
      <c r="D156" s="17">
        <f>Github!G$155</f>
        <v>365</v>
      </c>
      <c r="E156" s="17">
        <f>Github!F$155+Github!G$155</f>
        <v>3078</v>
      </c>
      <c r="F156" s="18">
        <f t="shared" si="1"/>
        <v>7.43</v>
      </c>
      <c r="G156" s="17" t="str">
        <f>Github!H$155</f>
        <v>Algorithms</v>
      </c>
      <c r="H156" s="17" t="str">
        <f>Github!E$155</f>
        <v>Hard</v>
      </c>
      <c r="I156" s="17" t="str">
        <f>IF(TRIM(Github!D$155)="TRUE","FALSE","TRUE")</f>
        <v>TRUE</v>
      </c>
      <c r="J156" s="17"/>
      <c r="K156" s="17" t="str">
        <f>Github!L$155</f>
        <v>Array;Binary Search;</v>
      </c>
      <c r="L156" s="17" t="b">
        <f>Github!M$155</f>
        <v>1</v>
      </c>
      <c r="M156" s="17" t="str">
        <f>ROUND(Github!N$155, 2)&amp;"%"</f>
        <v>0%</v>
      </c>
      <c r="N156" s="17">
        <f>Github!O$155</f>
        <v>43.23767175</v>
      </c>
      <c r="O156" s="17">
        <f>Github!P$155</f>
        <v>315230</v>
      </c>
    </row>
    <row r="157">
      <c r="A157" s="17">
        <f>Github!J$156</f>
        <v>155</v>
      </c>
      <c r="B157" s="27" t="str">
        <f>HYPERLINK(CONCAT("http://leetcode.com/problems/",Github!C$156), Github!B$156)</f>
        <v>Min Stack</v>
      </c>
      <c r="C157" s="17">
        <f>Github!F$156</f>
        <v>7527</v>
      </c>
      <c r="D157" s="17">
        <f>Github!G$156</f>
        <v>593</v>
      </c>
      <c r="E157" s="17">
        <f>Github!F$156+Github!G$156</f>
        <v>8120</v>
      </c>
      <c r="F157" s="18">
        <f t="shared" si="1"/>
        <v>12.69</v>
      </c>
      <c r="G157" s="17" t="str">
        <f>Github!H$156</f>
        <v>Algorithms</v>
      </c>
      <c r="H157" s="17" t="str">
        <f>Github!E$156</f>
        <v>Easy</v>
      </c>
      <c r="I157" s="17" t="str">
        <f>IF(TRIM(Github!D$156)="TRUE","FALSE","TRUE")</f>
        <v>TRUE</v>
      </c>
      <c r="J157" s="17"/>
      <c r="K157" s="17" t="str">
        <f>Github!L$156</f>
        <v>Stack;Design;</v>
      </c>
      <c r="L157" s="17" t="b">
        <f>Github!M$156</f>
        <v>1</v>
      </c>
      <c r="M157" s="17" t="str">
        <f>ROUND(Github!N$156, 2)&amp;"%"</f>
        <v>0%</v>
      </c>
      <c r="N157" s="17">
        <f>Github!O$156</f>
        <v>49.76476503</v>
      </c>
      <c r="O157" s="17">
        <f>Github!P$156</f>
        <v>927548</v>
      </c>
    </row>
    <row r="158">
      <c r="A158" s="17">
        <f>Github!J$157</f>
        <v>156</v>
      </c>
      <c r="B158" s="27" t="str">
        <f>HYPERLINK(CONCAT("http://leetcode.com/problems/",Github!C$157), Github!B$157)</f>
        <v>Binary Tree Upside Down</v>
      </c>
      <c r="C158" s="17">
        <f>Github!F$157</f>
        <v>104</v>
      </c>
      <c r="D158" s="17">
        <f>Github!G$157</f>
        <v>188</v>
      </c>
      <c r="E158" s="17">
        <f>Github!F$157+Github!G$157</f>
        <v>292</v>
      </c>
      <c r="F158" s="18">
        <f t="shared" si="1"/>
        <v>0.55</v>
      </c>
      <c r="G158" s="17" t="str">
        <f>Github!H$157</f>
        <v>Algorithms</v>
      </c>
      <c r="H158" s="17" t="str">
        <f>Github!E$157</f>
        <v>Medium</v>
      </c>
      <c r="I158" s="17" t="str">
        <f>IF(TRIM(Github!D$157)="TRUE","FALSE","TRUE")</f>
        <v>FALSE</v>
      </c>
      <c r="J158" s="17"/>
      <c r="K158" s="17" t="str">
        <f>Github!L$157</f>
        <v>Tree;Depth-First Search;Binary Tree;</v>
      </c>
      <c r="L158" s="17" t="b">
        <f>Github!M$157</f>
        <v>0</v>
      </c>
      <c r="M158" s="17" t="str">
        <f>ROUND(Github!N$157, 2)&amp;"%"</f>
        <v>0%</v>
      </c>
      <c r="N158" s="17">
        <f>Github!O$157</f>
        <v>59.81298382</v>
      </c>
      <c r="O158" s="17">
        <f>Github!P$157</f>
        <v>83602</v>
      </c>
    </row>
    <row r="159">
      <c r="A159" s="17">
        <f>Github!J$158</f>
        <v>157</v>
      </c>
      <c r="B159" s="27" t="str">
        <f>HYPERLINK(CONCAT("http://leetcode.com/problems/",Github!C$158), Github!B$158)</f>
        <v>Read N Characters Given Read4</v>
      </c>
      <c r="C159" s="17">
        <f>Github!F$158</f>
        <v>486</v>
      </c>
      <c r="D159" s="17">
        <f>Github!G$158</f>
        <v>2918</v>
      </c>
      <c r="E159" s="17">
        <f>Github!F$158+Github!G$158</f>
        <v>3404</v>
      </c>
      <c r="F159" s="18">
        <f t="shared" si="1"/>
        <v>0.17</v>
      </c>
      <c r="G159" s="17" t="str">
        <f>Github!H$158</f>
        <v>Algorithms</v>
      </c>
      <c r="H159" s="17" t="str">
        <f>Github!E$158</f>
        <v>Easy</v>
      </c>
      <c r="I159" s="17" t="str">
        <f>IF(TRIM(Github!D$158)="TRUE","FALSE","TRUE")</f>
        <v>FALSE</v>
      </c>
      <c r="J159" s="17"/>
      <c r="K159" s="17" t="str">
        <f>Github!L$158</f>
        <v>String;Simulation;Interactive;</v>
      </c>
      <c r="L159" s="17" t="b">
        <f>Github!M$158</f>
        <v>1</v>
      </c>
      <c r="M159" s="17" t="str">
        <f>ROUND(Github!N$158, 2)&amp;"%"</f>
        <v>0%</v>
      </c>
      <c r="N159" s="17">
        <f>Github!O$158</f>
        <v>40.13002551</v>
      </c>
      <c r="O159" s="17">
        <f>Github!P$158</f>
        <v>165364</v>
      </c>
    </row>
    <row r="160">
      <c r="A160" s="17">
        <f>Github!J$159</f>
        <v>158</v>
      </c>
      <c r="B160" s="27" t="str">
        <f>HYPERLINK(CONCAT("http://leetcode.com/problems/",Github!C$159), Github!B$159)</f>
        <v>Read N Characters Given read4 II - Call Multiple Times</v>
      </c>
      <c r="C160" s="17">
        <f>Github!F$159</f>
        <v>791</v>
      </c>
      <c r="D160" s="17">
        <f>Github!G$159</f>
        <v>1615</v>
      </c>
      <c r="E160" s="17">
        <f>Github!F$159+Github!G$159</f>
        <v>2406</v>
      </c>
      <c r="F160" s="18">
        <f t="shared" si="1"/>
        <v>0.49</v>
      </c>
      <c r="G160" s="17" t="str">
        <f>Github!H$159</f>
        <v>Algorithms</v>
      </c>
      <c r="H160" s="17" t="str">
        <f>Github!E$159</f>
        <v>Hard</v>
      </c>
      <c r="I160" s="17" t="str">
        <f>IF(TRIM(Github!D$159)="TRUE","FALSE","TRUE")</f>
        <v>FALSE</v>
      </c>
      <c r="J160" s="17"/>
      <c r="K160" s="17" t="str">
        <f>Github!L$159</f>
        <v>String;Simulation;Interactive;</v>
      </c>
      <c r="L160" s="17" t="b">
        <f>Github!M$159</f>
        <v>0</v>
      </c>
      <c r="M160" s="17" t="str">
        <f>ROUND(Github!N$159, 2)&amp;"%"</f>
        <v>0%</v>
      </c>
      <c r="N160" s="17">
        <f>Github!O$159</f>
        <v>40.57148442</v>
      </c>
      <c r="O160" s="17">
        <f>Github!P$159</f>
        <v>161907</v>
      </c>
    </row>
    <row r="161">
      <c r="A161" s="17">
        <f>Github!J$160</f>
        <v>159</v>
      </c>
      <c r="B161" s="27" t="str">
        <f>HYPERLINK(CONCAT("http://leetcode.com/problems/",Github!C$160), Github!B$160)</f>
        <v>Longest Substring with At Most Two Distinct Characters</v>
      </c>
      <c r="C161" s="17">
        <f>Github!F$160</f>
        <v>1646</v>
      </c>
      <c r="D161" s="17">
        <f>Github!G$160</f>
        <v>25</v>
      </c>
      <c r="E161" s="17">
        <f>Github!F$160+Github!G$160</f>
        <v>1671</v>
      </c>
      <c r="F161" s="18">
        <f t="shared" si="1"/>
        <v>65.84</v>
      </c>
      <c r="G161" s="17" t="str">
        <f>Github!H$160</f>
        <v>Algorithms</v>
      </c>
      <c r="H161" s="17" t="str">
        <f>Github!E$160</f>
        <v>Medium</v>
      </c>
      <c r="I161" s="17" t="str">
        <f>IF(TRIM(Github!D$160)="TRUE","FALSE","TRUE")</f>
        <v>FALSE</v>
      </c>
      <c r="J161" s="17"/>
      <c r="K161" s="17" t="str">
        <f>Github!L$160</f>
        <v>Hash Table;String;Sliding Window;</v>
      </c>
      <c r="L161" s="17" t="b">
        <f>Github!M$160</f>
        <v>1</v>
      </c>
      <c r="M161" s="17" t="str">
        <f>ROUND(Github!N$160, 2)&amp;"%"</f>
        <v>1%</v>
      </c>
      <c r="N161" s="17">
        <f>Github!O$160</f>
        <v>52.45821868</v>
      </c>
      <c r="O161" s="17">
        <f>Github!P$160</f>
        <v>184345</v>
      </c>
    </row>
    <row r="162">
      <c r="A162" s="17">
        <f>Github!J$161</f>
        <v>160</v>
      </c>
      <c r="B162" s="27" t="str">
        <f>HYPERLINK(CONCAT("http://leetcode.com/problems/",Github!C$161), Github!B$161)</f>
        <v>Intersection of Two Linked Lists</v>
      </c>
      <c r="C162" s="17">
        <f>Github!F$161</f>
        <v>8235</v>
      </c>
      <c r="D162" s="17">
        <f>Github!G$161</f>
        <v>830</v>
      </c>
      <c r="E162" s="17">
        <f>Github!F$161+Github!G$161</f>
        <v>9065</v>
      </c>
      <c r="F162" s="18">
        <f t="shared" si="1"/>
        <v>9.92</v>
      </c>
      <c r="G162" s="17" t="str">
        <f>Github!H$161</f>
        <v>Algorithms</v>
      </c>
      <c r="H162" s="17" t="str">
        <f>Github!E$161</f>
        <v>Easy</v>
      </c>
      <c r="I162" s="17" t="str">
        <f>IF(TRIM(Github!D$161)="TRUE","FALSE","TRUE")</f>
        <v>TRUE</v>
      </c>
      <c r="J162" s="17"/>
      <c r="K162" s="17" t="str">
        <f>Github!L$161</f>
        <v>Hash Table;Linked List;Two Pointers;</v>
      </c>
      <c r="L162" s="17" t="b">
        <f>Github!M$161</f>
        <v>1</v>
      </c>
      <c r="M162" s="17" t="str">
        <f>ROUND(Github!N$161, 2)&amp;"%"</f>
        <v>1%</v>
      </c>
      <c r="N162" s="17">
        <f>Github!O$161</f>
        <v>49.27755588</v>
      </c>
      <c r="O162" s="17">
        <f>Github!P$161</f>
        <v>885557</v>
      </c>
    </row>
    <row r="163">
      <c r="A163" s="17">
        <f>Github!J$162</f>
        <v>161</v>
      </c>
      <c r="B163" s="27" t="str">
        <f>HYPERLINK(CONCAT("http://leetcode.com/problems/",Github!C$162), Github!B$162)</f>
        <v>One Edit Distance</v>
      </c>
      <c r="C163" s="17">
        <f>Github!F$162</f>
        <v>1081</v>
      </c>
      <c r="D163" s="17">
        <f>Github!G$162</f>
        <v>160</v>
      </c>
      <c r="E163" s="17">
        <f>Github!F$162+Github!G$162</f>
        <v>1241</v>
      </c>
      <c r="F163" s="18">
        <f t="shared" si="1"/>
        <v>6.76</v>
      </c>
      <c r="G163" s="17" t="str">
        <f>Github!H$162</f>
        <v>Algorithms</v>
      </c>
      <c r="H163" s="17" t="str">
        <f>Github!E$162</f>
        <v>Medium</v>
      </c>
      <c r="I163" s="17" t="str">
        <f>IF(TRIM(Github!D$162)="TRUE","FALSE","TRUE")</f>
        <v>FALSE</v>
      </c>
      <c r="J163" s="17"/>
      <c r="K163" s="17" t="str">
        <f>Github!L$162</f>
        <v>Two Pointers;String;</v>
      </c>
      <c r="L163" s="17" t="b">
        <f>Github!M$162</f>
        <v>1</v>
      </c>
      <c r="M163" s="17" t="str">
        <f>ROUND(Github!N$162, 2)&amp;"%"</f>
        <v>0%</v>
      </c>
      <c r="N163" s="17">
        <f>Github!O$162</f>
        <v>33.88678514</v>
      </c>
      <c r="O163" s="17">
        <f>Github!P$162</f>
        <v>167968</v>
      </c>
    </row>
    <row r="164">
      <c r="A164" s="17">
        <f>Github!J$163</f>
        <v>162</v>
      </c>
      <c r="B164" s="27" t="str">
        <f>HYPERLINK(CONCAT("http://leetcode.com/problems/",Github!C$163), Github!B$163)</f>
        <v>Find Peak Element</v>
      </c>
      <c r="C164" s="17">
        <f>Github!F$163</f>
        <v>5533</v>
      </c>
      <c r="D164" s="17">
        <f>Github!G$163</f>
        <v>3570</v>
      </c>
      <c r="E164" s="17">
        <f>Github!F$163+Github!G$163</f>
        <v>9103</v>
      </c>
      <c r="F164" s="18">
        <f t="shared" si="1"/>
        <v>1.55</v>
      </c>
      <c r="G164" s="17" t="str">
        <f>Github!H$163</f>
        <v>Algorithms</v>
      </c>
      <c r="H164" s="17" t="str">
        <f>Github!E$163</f>
        <v>Medium</v>
      </c>
      <c r="I164" s="17" t="str">
        <f>IF(TRIM(Github!D$163)="TRUE","FALSE","TRUE")</f>
        <v>TRUE</v>
      </c>
      <c r="J164" s="17"/>
      <c r="K164" s="17" t="str">
        <f>Github!L$163</f>
        <v>Array;Binary Search;</v>
      </c>
      <c r="L164" s="17" t="b">
        <f>Github!M$163</f>
        <v>1</v>
      </c>
      <c r="M164" s="17" t="str">
        <f>ROUND(Github!N$163, 2)&amp;"%"</f>
        <v>0%</v>
      </c>
      <c r="N164" s="17">
        <f>Github!O$163</f>
        <v>45.73333707</v>
      </c>
      <c r="O164" s="17">
        <f>Github!P$163</f>
        <v>733863</v>
      </c>
    </row>
    <row r="165">
      <c r="A165" s="17">
        <f>Github!J$164</f>
        <v>163</v>
      </c>
      <c r="B165" s="27" t="str">
        <f>HYPERLINK(CONCAT("http://leetcode.com/problems/",Github!C$164), Github!B$164)</f>
        <v>Missing Ranges</v>
      </c>
      <c r="C165" s="17">
        <f>Github!F$164</f>
        <v>741</v>
      </c>
      <c r="D165" s="17">
        <f>Github!G$164</f>
        <v>2457</v>
      </c>
      <c r="E165" s="17">
        <f>Github!F$164+Github!G$164</f>
        <v>3198</v>
      </c>
      <c r="F165" s="18">
        <f t="shared" si="1"/>
        <v>0.3</v>
      </c>
      <c r="G165" s="17" t="str">
        <f>Github!H$164</f>
        <v>Algorithms</v>
      </c>
      <c r="H165" s="17" t="str">
        <f>Github!E$164</f>
        <v>Easy</v>
      </c>
      <c r="I165" s="17" t="str">
        <f>IF(TRIM(Github!D$164)="TRUE","FALSE","TRUE")</f>
        <v>FALSE</v>
      </c>
      <c r="J165" s="17"/>
      <c r="K165" s="17" t="str">
        <f>Github!L$164</f>
        <v>Array;</v>
      </c>
      <c r="L165" s="17" t="b">
        <f>Github!M$164</f>
        <v>1</v>
      </c>
      <c r="M165" s="17" t="str">
        <f>ROUND(Github!N$164, 2)&amp;"%"</f>
        <v>1%</v>
      </c>
      <c r="N165" s="17">
        <f>Github!O$164</f>
        <v>30.99094452</v>
      </c>
      <c r="O165" s="17">
        <f>Github!P$164</f>
        <v>162217</v>
      </c>
    </row>
    <row r="166">
      <c r="A166" s="17">
        <f>Github!J$165</f>
        <v>164</v>
      </c>
      <c r="B166" s="27" t="str">
        <f>HYPERLINK(CONCAT("http://leetcode.com/problems/",Github!C$165), Github!B$165)</f>
        <v>Maximum Gap</v>
      </c>
      <c r="C166" s="17">
        <f>Github!F$165</f>
        <v>1994</v>
      </c>
      <c r="D166" s="17">
        <f>Github!G$165</f>
        <v>277</v>
      </c>
      <c r="E166" s="17">
        <f>Github!F$165+Github!G$165</f>
        <v>2271</v>
      </c>
      <c r="F166" s="18">
        <f t="shared" si="1"/>
        <v>7.2</v>
      </c>
      <c r="G166" s="17" t="str">
        <f>Github!H$165</f>
        <v>Algorithms</v>
      </c>
      <c r="H166" s="17" t="str">
        <f>Github!E$165</f>
        <v>Hard</v>
      </c>
      <c r="I166" s="17" t="str">
        <f>IF(TRIM(Github!D$165)="TRUE","FALSE","TRUE")</f>
        <v>TRUE</v>
      </c>
      <c r="J166" s="17"/>
      <c r="K166" s="17" t="str">
        <f>Github!L$165</f>
        <v>Array;Sorting;Bucket Sort;Radix Sort;</v>
      </c>
      <c r="L166" s="17" t="b">
        <f>Github!M$165</f>
        <v>1</v>
      </c>
      <c r="M166" s="17" t="str">
        <f>ROUND(Github!N$165, 2)&amp;"%"</f>
        <v>0%</v>
      </c>
      <c r="N166" s="17">
        <f>Github!O$165</f>
        <v>41.14218584</v>
      </c>
      <c r="O166" s="17">
        <f>Github!P$165</f>
        <v>135531</v>
      </c>
    </row>
    <row r="167">
      <c r="A167" s="17">
        <f>Github!J$166</f>
        <v>165</v>
      </c>
      <c r="B167" s="27" t="str">
        <f>HYPERLINK(CONCAT("http://leetcode.com/problems/",Github!C$166), Github!B$166)</f>
        <v>Compare Version Numbers</v>
      </c>
      <c r="C167" s="17">
        <f>Github!F$166</f>
        <v>1531</v>
      </c>
      <c r="D167" s="17">
        <f>Github!G$166</f>
        <v>2212</v>
      </c>
      <c r="E167" s="17">
        <f>Github!F$166+Github!G$166</f>
        <v>3743</v>
      </c>
      <c r="F167" s="18">
        <f t="shared" si="1"/>
        <v>0.69</v>
      </c>
      <c r="G167" s="17" t="str">
        <f>Github!H$166</f>
        <v>Algorithms</v>
      </c>
      <c r="H167" s="17" t="str">
        <f>Github!E$166</f>
        <v>Medium</v>
      </c>
      <c r="I167" s="17" t="str">
        <f>IF(TRIM(Github!D$166)="TRUE","FALSE","TRUE")</f>
        <v>TRUE</v>
      </c>
      <c r="J167" s="17"/>
      <c r="K167" s="17" t="str">
        <f>Github!L$166</f>
        <v>Two Pointers;String;</v>
      </c>
      <c r="L167" s="17" t="b">
        <f>Github!M$166</f>
        <v>1</v>
      </c>
      <c r="M167" s="17" t="str">
        <f>ROUND(Github!N$166, 2)&amp;"%"</f>
        <v>0%</v>
      </c>
      <c r="N167" s="17">
        <f>Github!O$166</f>
        <v>34.318588</v>
      </c>
      <c r="O167" s="17">
        <f>Github!P$166</f>
        <v>309158</v>
      </c>
    </row>
    <row r="168">
      <c r="A168" s="17">
        <f>Github!J$167</f>
        <v>166</v>
      </c>
      <c r="B168" s="27" t="str">
        <f>HYPERLINK(CONCAT("http://leetcode.com/problems/",Github!C$167), Github!B$167)</f>
        <v>Fraction to Recurring Decimal</v>
      </c>
      <c r="C168" s="17">
        <f>Github!F$167</f>
        <v>1511</v>
      </c>
      <c r="D168" s="17">
        <f>Github!G$167</f>
        <v>2857</v>
      </c>
      <c r="E168" s="17">
        <f>Github!F$167+Github!G$167</f>
        <v>4368</v>
      </c>
      <c r="F168" s="18">
        <f t="shared" si="1"/>
        <v>0.53</v>
      </c>
      <c r="G168" s="17" t="str">
        <f>Github!H$167</f>
        <v>Algorithms</v>
      </c>
      <c r="H168" s="17" t="str">
        <f>Github!E$167</f>
        <v>Medium</v>
      </c>
      <c r="I168" s="17" t="str">
        <f>IF(TRIM(Github!D$167)="TRUE","FALSE","TRUE")</f>
        <v>TRUE</v>
      </c>
      <c r="J168" s="17"/>
      <c r="K168" s="17" t="str">
        <f>Github!L$167</f>
        <v>Hash Table;Math;String;</v>
      </c>
      <c r="L168" s="17" t="b">
        <f>Github!M$167</f>
        <v>1</v>
      </c>
      <c r="M168" s="17" t="str">
        <f>ROUND(Github!N$167, 2)&amp;"%"</f>
        <v>0%</v>
      </c>
      <c r="N168" s="17">
        <f>Github!O$167</f>
        <v>23.45156321</v>
      </c>
      <c r="O168" s="17">
        <f>Github!P$167</f>
        <v>178249</v>
      </c>
    </row>
    <row r="169">
      <c r="A169" s="17">
        <f>Github!J$168</f>
        <v>167</v>
      </c>
      <c r="B169" s="27" t="str">
        <f>HYPERLINK(CONCAT("http://leetcode.com/problems/",Github!C$168), Github!B$168)</f>
        <v>Two Sum II - Input Array Is Sorted</v>
      </c>
      <c r="C169" s="17">
        <f>Github!F$168</f>
        <v>4854</v>
      </c>
      <c r="D169" s="17">
        <f>Github!G$168</f>
        <v>897</v>
      </c>
      <c r="E169" s="17">
        <f>Github!F$168+Github!G$168</f>
        <v>5751</v>
      </c>
      <c r="F169" s="18">
        <f t="shared" si="1"/>
        <v>5.41</v>
      </c>
      <c r="G169" s="17" t="str">
        <f>Github!H$168</f>
        <v>Algorithms</v>
      </c>
      <c r="H169" s="17" t="str">
        <f>Github!E$168</f>
        <v>Medium</v>
      </c>
      <c r="I169" s="17" t="str">
        <f>IF(TRIM(Github!D$168)="TRUE","FALSE","TRUE")</f>
        <v>TRUE</v>
      </c>
      <c r="J169" s="17"/>
      <c r="K169" s="17" t="str">
        <f>Github!L$168</f>
        <v>Array;Two Pointers;Binary Search;</v>
      </c>
      <c r="L169" s="17" t="b">
        <f>Github!M$168</f>
        <v>1</v>
      </c>
      <c r="M169" s="17" t="str">
        <f>ROUND(Github!N$168, 2)&amp;"%"</f>
        <v>0%</v>
      </c>
      <c r="N169" s="17">
        <f>Github!O$168</f>
        <v>58.36448836</v>
      </c>
      <c r="O169" s="17">
        <f>Github!P$168</f>
        <v>883416</v>
      </c>
    </row>
    <row r="170">
      <c r="A170" s="17">
        <f>Github!J$169</f>
        <v>168</v>
      </c>
      <c r="B170" s="27" t="str">
        <f>HYPERLINK(CONCAT("http://leetcode.com/problems/",Github!C$169), Github!B$169)</f>
        <v>Excel Sheet Column Title</v>
      </c>
      <c r="C170" s="17">
        <f>Github!F$169</f>
        <v>2623</v>
      </c>
      <c r="D170" s="17">
        <f>Github!G$169</f>
        <v>395</v>
      </c>
      <c r="E170" s="17">
        <f>Github!F$169+Github!G$169</f>
        <v>3018</v>
      </c>
      <c r="F170" s="18">
        <f t="shared" si="1"/>
        <v>6.64</v>
      </c>
      <c r="G170" s="17" t="str">
        <f>Github!H$169</f>
        <v>Algorithms</v>
      </c>
      <c r="H170" s="17" t="str">
        <f>Github!E$169</f>
        <v>Easy</v>
      </c>
      <c r="I170" s="17" t="str">
        <f>IF(TRIM(Github!D$169)="TRUE","FALSE","TRUE")</f>
        <v>TRUE</v>
      </c>
      <c r="J170" s="17"/>
      <c r="K170" s="17" t="str">
        <f>Github!L$169</f>
        <v>Math;String;</v>
      </c>
      <c r="L170" s="17" t="b">
        <f>Github!M$169</f>
        <v>0</v>
      </c>
      <c r="M170" s="17" t="str">
        <f>ROUND(Github!N$169, 2)&amp;"%"</f>
        <v>0%</v>
      </c>
      <c r="N170" s="17">
        <f>Github!O$169</f>
        <v>33.7031071</v>
      </c>
      <c r="O170" s="17">
        <f>Github!P$169</f>
        <v>304424</v>
      </c>
    </row>
    <row r="171">
      <c r="A171" s="17">
        <f>Github!J$170</f>
        <v>169</v>
      </c>
      <c r="B171" s="27" t="str">
        <f>HYPERLINK(CONCAT("http://leetcode.com/problems/",Github!C$170), Github!B$170)</f>
        <v>Majority Element</v>
      </c>
      <c r="C171" s="17">
        <f>Github!F$170</f>
        <v>8978</v>
      </c>
      <c r="D171" s="17">
        <f>Github!G$170</f>
        <v>323</v>
      </c>
      <c r="E171" s="17">
        <f>Github!F$170+Github!G$170</f>
        <v>9301</v>
      </c>
      <c r="F171" s="18">
        <f t="shared" si="1"/>
        <v>27.8</v>
      </c>
      <c r="G171" s="17" t="str">
        <f>Github!H$170</f>
        <v>Algorithms</v>
      </c>
      <c r="H171" s="17" t="str">
        <f>Github!E$170</f>
        <v>Easy</v>
      </c>
      <c r="I171" s="17" t="str">
        <f>IF(TRIM(Github!D$170)="TRUE","FALSE","TRUE")</f>
        <v>TRUE</v>
      </c>
      <c r="J171" s="17"/>
      <c r="K171" s="17" t="str">
        <f>Github!L$170</f>
        <v>Array;Hash Table;Divide and Conquer;Sorting;Counting;</v>
      </c>
      <c r="L171" s="17" t="b">
        <f>Github!M$170</f>
        <v>1</v>
      </c>
      <c r="M171" s="17" t="str">
        <f>ROUND(Github!N$170, 2)&amp;"%"</f>
        <v>0%</v>
      </c>
      <c r="N171" s="17">
        <f>Github!O$170</f>
        <v>62.67554489</v>
      </c>
      <c r="O171" s="17">
        <f>Github!P$170</f>
        <v>1163296</v>
      </c>
    </row>
    <row r="172">
      <c r="A172" s="17">
        <f>Github!J$171</f>
        <v>170</v>
      </c>
      <c r="B172" s="27" t="str">
        <f>HYPERLINK(CONCAT("http://leetcode.com/problems/",Github!C$171), Github!B$171)</f>
        <v>Two Sum III - Data structure design</v>
      </c>
      <c r="C172" s="17">
        <f>Github!F$171</f>
        <v>514</v>
      </c>
      <c r="D172" s="17">
        <f>Github!G$171</f>
        <v>361</v>
      </c>
      <c r="E172" s="17">
        <f>Github!F$171+Github!G$171</f>
        <v>875</v>
      </c>
      <c r="F172" s="18">
        <f t="shared" si="1"/>
        <v>1.42</v>
      </c>
      <c r="G172" s="17" t="str">
        <f>Github!H$171</f>
        <v>Algorithms</v>
      </c>
      <c r="H172" s="17" t="str">
        <f>Github!E$171</f>
        <v>Easy</v>
      </c>
      <c r="I172" s="17" t="str">
        <f>IF(TRIM(Github!D$171)="TRUE","FALSE","TRUE")</f>
        <v>FALSE</v>
      </c>
      <c r="J172" s="17"/>
      <c r="K172" s="17" t="str">
        <f>Github!L$171</f>
        <v>Array;Hash Table;Two Pointers;Design;Data Stream;</v>
      </c>
      <c r="L172" s="17" t="b">
        <f>Github!M$171</f>
        <v>1</v>
      </c>
      <c r="M172" s="17" t="str">
        <f>ROUND(Github!N$171, 2)&amp;"%"</f>
        <v>0%</v>
      </c>
      <c r="N172" s="17">
        <f>Github!O$171</f>
        <v>36.55724904</v>
      </c>
      <c r="O172" s="17">
        <f>Github!P$171</f>
        <v>120786</v>
      </c>
    </row>
    <row r="173">
      <c r="A173" s="17">
        <f>Github!J$172</f>
        <v>171</v>
      </c>
      <c r="B173" s="27" t="str">
        <f>HYPERLINK(CONCAT("http://leetcode.com/problems/",Github!C$172), Github!B$172)</f>
        <v>Excel Sheet Column Number</v>
      </c>
      <c r="C173" s="17">
        <f>Github!F$172</f>
        <v>3141</v>
      </c>
      <c r="D173" s="17">
        <f>Github!G$172</f>
        <v>263</v>
      </c>
      <c r="E173" s="17">
        <f>Github!F$172+Github!G$172</f>
        <v>3404</v>
      </c>
      <c r="F173" s="18">
        <f t="shared" si="1"/>
        <v>11.94</v>
      </c>
      <c r="G173" s="17" t="str">
        <f>Github!H$172</f>
        <v>Algorithms</v>
      </c>
      <c r="H173" s="17" t="str">
        <f>Github!E$172</f>
        <v>Easy</v>
      </c>
      <c r="I173" s="17" t="str">
        <f>IF(TRIM(Github!D$172)="TRUE","FALSE","TRUE")</f>
        <v>TRUE</v>
      </c>
      <c r="J173" s="17"/>
      <c r="K173" s="17" t="str">
        <f>Github!L$172</f>
        <v>Math;String;</v>
      </c>
      <c r="L173" s="17" t="b">
        <f>Github!M$172</f>
        <v>1</v>
      </c>
      <c r="M173" s="17" t="str">
        <f>ROUND(Github!N$172, 2)&amp;"%"</f>
        <v>0%</v>
      </c>
      <c r="N173" s="17">
        <f>Github!O$172</f>
        <v>60.45052001</v>
      </c>
      <c r="O173" s="17">
        <f>Github!P$172</f>
        <v>486964</v>
      </c>
    </row>
    <row r="174">
      <c r="A174" s="17">
        <f>Github!J$173</f>
        <v>172</v>
      </c>
      <c r="B174" s="27" t="str">
        <f>HYPERLINK(CONCAT("http://leetcode.com/problems/",Github!C$173), Github!B$173)</f>
        <v>Factorial Trailing Zeroes</v>
      </c>
      <c r="C174" s="17">
        <f>Github!F$173</f>
        <v>1896</v>
      </c>
      <c r="D174" s="17">
        <f>Github!G$173</f>
        <v>1639</v>
      </c>
      <c r="E174" s="17">
        <f>Github!F$173+Github!G$173</f>
        <v>3535</v>
      </c>
      <c r="F174" s="18">
        <f t="shared" si="1"/>
        <v>1.16</v>
      </c>
      <c r="G174" s="17" t="str">
        <f>Github!H$173</f>
        <v>Algorithms</v>
      </c>
      <c r="H174" s="17" t="str">
        <f>Github!E$173</f>
        <v>Medium</v>
      </c>
      <c r="I174" s="17" t="str">
        <f>IF(TRIM(Github!D$173)="TRUE","FALSE","TRUE")</f>
        <v>TRUE</v>
      </c>
      <c r="J174" s="17"/>
      <c r="K174" s="17" t="str">
        <f>Github!L$173</f>
        <v>Math;</v>
      </c>
      <c r="L174" s="17" t="b">
        <f>Github!M$173</f>
        <v>1</v>
      </c>
      <c r="M174" s="17" t="str">
        <f>ROUND(Github!N$173, 2)&amp;"%"</f>
        <v>0%</v>
      </c>
      <c r="N174" s="17">
        <f>Github!O$173</f>
        <v>40.55732269</v>
      </c>
      <c r="O174" s="17">
        <f>Github!P$173</f>
        <v>308942</v>
      </c>
    </row>
    <row r="175">
      <c r="A175" s="17">
        <f>Github!J$174</f>
        <v>173</v>
      </c>
      <c r="B175" s="27" t="str">
        <f>HYPERLINK(CONCAT("http://leetcode.com/problems/",Github!C$174), Github!B$174)</f>
        <v>Binary Search Tree Iterator</v>
      </c>
      <c r="C175" s="17">
        <f>Github!F$174</f>
        <v>5013</v>
      </c>
      <c r="D175" s="17">
        <f>Github!G$174</f>
        <v>360</v>
      </c>
      <c r="E175" s="17">
        <f>Github!F$174+Github!G$174</f>
        <v>5373</v>
      </c>
      <c r="F175" s="18">
        <f t="shared" si="1"/>
        <v>13.93</v>
      </c>
      <c r="G175" s="17" t="str">
        <f>Github!H$174</f>
        <v>Algorithms</v>
      </c>
      <c r="H175" s="17" t="str">
        <f>Github!E$174</f>
        <v>Medium</v>
      </c>
      <c r="I175" s="17" t="str">
        <f>IF(TRIM(Github!D$174)="TRUE","FALSE","TRUE")</f>
        <v>TRUE</v>
      </c>
      <c r="J175" s="17"/>
      <c r="K175" s="17" t="str">
        <f>Github!L$174</f>
        <v>Stack;Tree;Design;Binary Search Tree;Binary Tree;Iterator;</v>
      </c>
      <c r="L175" s="17" t="b">
        <f>Github!M$174</f>
        <v>1</v>
      </c>
      <c r="M175" s="17" t="str">
        <f>ROUND(Github!N$174, 2)&amp;"%"</f>
        <v>0%</v>
      </c>
      <c r="N175" s="17">
        <f>Github!O$174</f>
        <v>65.17010259</v>
      </c>
      <c r="O175" s="17">
        <f>Github!P$174</f>
        <v>510563</v>
      </c>
    </row>
    <row r="176">
      <c r="A176" s="17">
        <f>Github!J$175</f>
        <v>174</v>
      </c>
      <c r="B176" s="27" t="str">
        <f>HYPERLINK(CONCAT("http://leetcode.com/problems/",Github!C$175), Github!B$175)</f>
        <v>Dungeon Game</v>
      </c>
      <c r="C176" s="17">
        <f>Github!F$175</f>
        <v>3857</v>
      </c>
      <c r="D176" s="17">
        <f>Github!G$175</f>
        <v>81</v>
      </c>
      <c r="E176" s="17">
        <f>Github!F$175+Github!G$175</f>
        <v>3938</v>
      </c>
      <c r="F176" s="18">
        <f t="shared" si="1"/>
        <v>47.62</v>
      </c>
      <c r="G176" s="17" t="str">
        <f>Github!H$175</f>
        <v>Algorithms</v>
      </c>
      <c r="H176" s="17" t="str">
        <f>Github!E$175</f>
        <v>Hard</v>
      </c>
      <c r="I176" s="17" t="str">
        <f>IF(TRIM(Github!D$175)="TRUE","FALSE","TRUE")</f>
        <v>TRUE</v>
      </c>
      <c r="J176" s="17"/>
      <c r="K176" s="17" t="str">
        <f>Github!L$175</f>
        <v>Array;Dynamic Programming;Matrix;</v>
      </c>
      <c r="L176" s="17" t="b">
        <f>Github!M$175</f>
        <v>1</v>
      </c>
      <c r="M176" s="17" t="str">
        <f>ROUND(Github!N$175, 2)&amp;"%"</f>
        <v>0%</v>
      </c>
      <c r="N176" s="17">
        <f>Github!O$175</f>
        <v>36.27419183</v>
      </c>
      <c r="O176" s="17">
        <f>Github!P$175</f>
        <v>166639</v>
      </c>
    </row>
    <row r="177">
      <c r="A177" s="17">
        <f>Github!J$176</f>
        <v>175</v>
      </c>
      <c r="B177" s="27" t="str">
        <f>HYPERLINK(CONCAT("http://leetcode.com/problems/",Github!C$176), Github!B$176)</f>
        <v>Combine Two Tables</v>
      </c>
      <c r="C177" s="17">
        <f>Github!F$176</f>
        <v>1790</v>
      </c>
      <c r="D177" s="17">
        <f>Github!G$176</f>
        <v>183</v>
      </c>
      <c r="E177" s="17">
        <f>Github!F$176+Github!G$176</f>
        <v>1973</v>
      </c>
      <c r="F177" s="18">
        <f t="shared" si="1"/>
        <v>9.78</v>
      </c>
      <c r="G177" s="17" t="str">
        <f>Github!H$176</f>
        <v>Database</v>
      </c>
      <c r="H177" s="17" t="str">
        <f>Github!E$176</f>
        <v>Easy</v>
      </c>
      <c r="I177" s="17" t="str">
        <f>IF(TRIM(Github!D$176)="TRUE","FALSE","TRUE")</f>
        <v>TRUE</v>
      </c>
      <c r="J177" s="17"/>
      <c r="K177" s="17" t="str">
        <f>Github!L$176</f>
        <v>Database;</v>
      </c>
      <c r="L177" s="17" t="b">
        <f>Github!M$176</f>
        <v>1</v>
      </c>
      <c r="M177" s="17" t="str">
        <f>ROUND(Github!N$176, 2)&amp;"%"</f>
        <v>0%</v>
      </c>
      <c r="N177" s="17">
        <f>Github!O$176</f>
        <v>69.45218968</v>
      </c>
      <c r="O177" s="17">
        <f>Github!P$176</f>
        <v>502896</v>
      </c>
    </row>
    <row r="178">
      <c r="A178" s="17">
        <f>Github!J$177</f>
        <v>176</v>
      </c>
      <c r="B178" s="27" t="str">
        <f>HYPERLINK(CONCAT("http://leetcode.com/problems/",Github!C$177), Github!B$177)</f>
        <v>Second Highest Salary</v>
      </c>
      <c r="C178" s="17">
        <f>Github!F$177</f>
        <v>1691</v>
      </c>
      <c r="D178" s="17">
        <f>Github!G$177</f>
        <v>687</v>
      </c>
      <c r="E178" s="17">
        <f>Github!F$177+Github!G$177</f>
        <v>2378</v>
      </c>
      <c r="F178" s="18">
        <f t="shared" si="1"/>
        <v>2.46</v>
      </c>
      <c r="G178" s="17" t="str">
        <f>Github!H$177</f>
        <v>Database</v>
      </c>
      <c r="H178" s="17" t="str">
        <f>Github!E$177</f>
        <v>Medium</v>
      </c>
      <c r="I178" s="17" t="str">
        <f>IF(TRIM(Github!D$177)="TRUE","FALSE","TRUE")</f>
        <v>TRUE</v>
      </c>
      <c r="J178" s="17"/>
      <c r="K178" s="17" t="str">
        <f>Github!L$177</f>
        <v>Database;</v>
      </c>
      <c r="L178" s="17" t="b">
        <f>Github!M$177</f>
        <v>1</v>
      </c>
      <c r="M178" s="17" t="str">
        <f>ROUND(Github!N$177, 2)&amp;"%"</f>
        <v>0%</v>
      </c>
      <c r="N178" s="17">
        <f>Github!O$177</f>
        <v>35.07019502</v>
      </c>
      <c r="O178" s="17">
        <f>Github!P$177</f>
        <v>446801</v>
      </c>
    </row>
    <row r="179">
      <c r="A179" s="17">
        <f>Github!J$178</f>
        <v>177</v>
      </c>
      <c r="B179" s="27" t="str">
        <f>HYPERLINK(CONCAT("http://leetcode.com/problems/",Github!C$178), Github!B$178)</f>
        <v>Nth Highest Salary</v>
      </c>
      <c r="C179" s="17">
        <f>Github!F$178</f>
        <v>979</v>
      </c>
      <c r="D179" s="17">
        <f>Github!G$178</f>
        <v>630</v>
      </c>
      <c r="E179" s="17">
        <f>Github!F$178+Github!G$178</f>
        <v>1609</v>
      </c>
      <c r="F179" s="18">
        <f t="shared" si="1"/>
        <v>1.55</v>
      </c>
      <c r="G179" s="17" t="str">
        <f>Github!H$178</f>
        <v>Database</v>
      </c>
      <c r="H179" s="17" t="str">
        <f>Github!E$178</f>
        <v>Medium</v>
      </c>
      <c r="I179" s="17" t="str">
        <f>IF(TRIM(Github!D$178)="TRUE","FALSE","TRUE")</f>
        <v>TRUE</v>
      </c>
      <c r="J179" s="17"/>
      <c r="K179" s="17" t="str">
        <f>Github!L$178</f>
        <v>Database;</v>
      </c>
      <c r="L179" s="17" t="b">
        <f>Github!M$178</f>
        <v>0</v>
      </c>
      <c r="M179" s="17" t="str">
        <f>ROUND(Github!N$178, 2)&amp;"%"</f>
        <v>0%</v>
      </c>
      <c r="N179" s="17">
        <f>Github!O$178</f>
        <v>35.8212658</v>
      </c>
      <c r="O179" s="17">
        <f>Github!P$178</f>
        <v>225249</v>
      </c>
    </row>
    <row r="180">
      <c r="A180" s="17">
        <f>Github!J$179</f>
        <v>178</v>
      </c>
      <c r="B180" s="27" t="str">
        <f>HYPERLINK(CONCAT("http://leetcode.com/problems/",Github!C$179), Github!B$179)</f>
        <v>Rank Scores</v>
      </c>
      <c r="C180" s="17">
        <f>Github!F$179</f>
        <v>1239</v>
      </c>
      <c r="D180" s="17">
        <f>Github!G$179</f>
        <v>200</v>
      </c>
      <c r="E180" s="17">
        <f>Github!F$179+Github!G$179</f>
        <v>1439</v>
      </c>
      <c r="F180" s="18">
        <f t="shared" si="1"/>
        <v>6.2</v>
      </c>
      <c r="G180" s="17" t="str">
        <f>Github!H$179</f>
        <v>Database</v>
      </c>
      <c r="H180" s="17" t="str">
        <f>Github!E$179</f>
        <v>Medium</v>
      </c>
      <c r="I180" s="17" t="str">
        <f>IF(TRIM(Github!D$179)="TRUE","FALSE","TRUE")</f>
        <v>TRUE</v>
      </c>
      <c r="J180" s="17"/>
      <c r="K180" s="17" t="str">
        <f>Github!L$179</f>
        <v>Database;</v>
      </c>
      <c r="L180" s="17" t="b">
        <f>Github!M$179</f>
        <v>0</v>
      </c>
      <c r="M180" s="17" t="str">
        <f>ROUND(Github!N$179, 2)&amp;"%"</f>
        <v>0%</v>
      </c>
      <c r="N180" s="17">
        <f>Github!O$179</f>
        <v>56.72183868</v>
      </c>
      <c r="O180" s="17">
        <f>Github!P$179</f>
        <v>212710</v>
      </c>
    </row>
    <row r="181">
      <c r="A181" s="17">
        <f>Github!J$180</f>
        <v>179</v>
      </c>
      <c r="B181" s="27" t="str">
        <f>HYPERLINK(CONCAT("http://leetcode.com/problems/",Github!C$180), Github!B$180)</f>
        <v>Largest Number</v>
      </c>
      <c r="C181" s="17">
        <f>Github!F$180</f>
        <v>4588</v>
      </c>
      <c r="D181" s="17">
        <f>Github!G$180</f>
        <v>392</v>
      </c>
      <c r="E181" s="17">
        <f>Github!F$180+Github!G$180</f>
        <v>4980</v>
      </c>
      <c r="F181" s="18">
        <f t="shared" si="1"/>
        <v>11.7</v>
      </c>
      <c r="G181" s="17" t="str">
        <f>Github!H$180</f>
        <v>Algorithms</v>
      </c>
      <c r="H181" s="17" t="str">
        <f>Github!E$180</f>
        <v>Medium</v>
      </c>
      <c r="I181" s="17" t="str">
        <f>IF(TRIM(Github!D$180)="TRUE","FALSE","TRUE")</f>
        <v>TRUE</v>
      </c>
      <c r="J181" s="17"/>
      <c r="K181" s="17" t="str">
        <f>Github!L$180</f>
        <v>String;Greedy;Sorting;</v>
      </c>
      <c r="L181" s="17" t="b">
        <f>Github!M$180</f>
        <v>1</v>
      </c>
      <c r="M181" s="17" t="str">
        <f>ROUND(Github!N$180, 2)&amp;"%"</f>
        <v>0%</v>
      </c>
      <c r="N181" s="17">
        <f>Github!O$180</f>
        <v>32.65031274</v>
      </c>
      <c r="O181" s="17">
        <f>Github!P$180</f>
        <v>304734</v>
      </c>
    </row>
    <row r="182">
      <c r="A182" s="17">
        <f>Github!J$181</f>
        <v>180</v>
      </c>
      <c r="B182" s="27" t="str">
        <f>HYPERLINK(CONCAT("http://leetcode.com/problems/",Github!C$181), Github!B$181)</f>
        <v>Consecutive Numbers</v>
      </c>
      <c r="C182" s="17">
        <f>Github!F$181</f>
        <v>915</v>
      </c>
      <c r="D182" s="17">
        <f>Github!G$181</f>
        <v>179</v>
      </c>
      <c r="E182" s="17">
        <f>Github!F$181+Github!G$181</f>
        <v>1094</v>
      </c>
      <c r="F182" s="18">
        <f t="shared" si="1"/>
        <v>5.11</v>
      </c>
      <c r="G182" s="17" t="str">
        <f>Github!H$181</f>
        <v>Database</v>
      </c>
      <c r="H182" s="17" t="str">
        <f>Github!E$181</f>
        <v>Medium</v>
      </c>
      <c r="I182" s="17" t="str">
        <f>IF(TRIM(Github!D$181)="TRUE","FALSE","TRUE")</f>
        <v>TRUE</v>
      </c>
      <c r="J182" s="17"/>
      <c r="K182" s="17" t="str">
        <f>Github!L$181</f>
        <v>Database;</v>
      </c>
      <c r="L182" s="17" t="b">
        <f>Github!M$181</f>
        <v>1</v>
      </c>
      <c r="M182" s="17" t="str">
        <f>ROUND(Github!N$181, 2)&amp;"%"</f>
        <v>0%</v>
      </c>
      <c r="N182" s="17">
        <f>Github!O$181</f>
        <v>45.33154149</v>
      </c>
      <c r="O182" s="17">
        <f>Github!P$181</f>
        <v>178103</v>
      </c>
    </row>
    <row r="183">
      <c r="A183" s="17">
        <f>Github!J$182</f>
        <v>181</v>
      </c>
      <c r="B183" s="27" t="str">
        <f>HYPERLINK(CONCAT("http://leetcode.com/problems/",Github!C$182), Github!B$182)</f>
        <v>Employees Earning More Than Their Managers</v>
      </c>
      <c r="C183" s="17">
        <f>Github!F$182</f>
        <v>1281</v>
      </c>
      <c r="D183" s="17">
        <f>Github!G$182</f>
        <v>150</v>
      </c>
      <c r="E183" s="17">
        <f>Github!F$182+Github!G$182</f>
        <v>1431</v>
      </c>
      <c r="F183" s="18">
        <f t="shared" si="1"/>
        <v>8.54</v>
      </c>
      <c r="G183" s="17" t="str">
        <f>Github!H$182</f>
        <v>Database</v>
      </c>
      <c r="H183" s="17" t="str">
        <f>Github!E$182</f>
        <v>Easy</v>
      </c>
      <c r="I183" s="17" t="str">
        <f>IF(TRIM(Github!D$182)="TRUE","FALSE","TRUE")</f>
        <v>TRUE</v>
      </c>
      <c r="J183" s="17"/>
      <c r="K183" s="17" t="str">
        <f>Github!L$182</f>
        <v>Database;</v>
      </c>
      <c r="L183" s="17" t="b">
        <f>Github!M$182</f>
        <v>1</v>
      </c>
      <c r="M183" s="17" t="str">
        <f>ROUND(Github!N$182, 2)&amp;"%"</f>
        <v>0%</v>
      </c>
      <c r="N183" s="17">
        <f>Github!O$182</f>
        <v>65.77360114</v>
      </c>
      <c r="O183" s="17">
        <f>Github!P$182</f>
        <v>336303</v>
      </c>
    </row>
    <row r="184">
      <c r="A184" s="17">
        <f>Github!J$183</f>
        <v>182</v>
      </c>
      <c r="B184" s="27" t="str">
        <f>HYPERLINK(CONCAT("http://leetcode.com/problems/",Github!C$183), Github!B$183)</f>
        <v>Duplicate Emails</v>
      </c>
      <c r="C184" s="17">
        <f>Github!F$183</f>
        <v>990</v>
      </c>
      <c r="D184" s="17">
        <f>Github!G$183</f>
        <v>45</v>
      </c>
      <c r="E184" s="17">
        <f>Github!F$183+Github!G$183</f>
        <v>1035</v>
      </c>
      <c r="F184" s="18">
        <f t="shared" si="1"/>
        <v>22</v>
      </c>
      <c r="G184" s="17" t="str">
        <f>Github!H$183</f>
        <v>Database</v>
      </c>
      <c r="H184" s="17" t="str">
        <f>Github!E$183</f>
        <v>Easy</v>
      </c>
      <c r="I184" s="17" t="str">
        <f>IF(TRIM(Github!D$183)="TRUE","FALSE","TRUE")</f>
        <v>TRUE</v>
      </c>
      <c r="J184" s="17"/>
      <c r="K184" s="17" t="str">
        <f>Github!L$183</f>
        <v>Database;</v>
      </c>
      <c r="L184" s="17" t="b">
        <f>Github!M$183</f>
        <v>1</v>
      </c>
      <c r="M184" s="17" t="str">
        <f>ROUND(Github!N$183, 2)&amp;"%"</f>
        <v>0%</v>
      </c>
      <c r="N184" s="17">
        <f>Github!O$183</f>
        <v>68.45270279</v>
      </c>
      <c r="O184" s="17">
        <f>Github!P$183</f>
        <v>331704</v>
      </c>
    </row>
    <row r="185">
      <c r="A185" s="17">
        <f>Github!J$184</f>
        <v>183</v>
      </c>
      <c r="B185" s="27" t="str">
        <f>HYPERLINK(CONCAT("http://leetcode.com/problems/",Github!C$184), Github!B$184)</f>
        <v>Customers Who Never Order</v>
      </c>
      <c r="C185" s="17">
        <f>Github!F$184</f>
        <v>826</v>
      </c>
      <c r="D185" s="17">
        <f>Github!G$184</f>
        <v>69</v>
      </c>
      <c r="E185" s="17">
        <f>Github!F$184+Github!G$184</f>
        <v>895</v>
      </c>
      <c r="F185" s="18">
        <f t="shared" si="1"/>
        <v>11.97</v>
      </c>
      <c r="G185" s="17" t="str">
        <f>Github!H$184</f>
        <v>Database</v>
      </c>
      <c r="H185" s="17" t="str">
        <f>Github!E$184</f>
        <v>Easy</v>
      </c>
      <c r="I185" s="17" t="str">
        <f>IF(TRIM(Github!D$184)="TRUE","FALSE","TRUE")</f>
        <v>TRUE</v>
      </c>
      <c r="J185" s="17"/>
      <c r="K185" s="17" t="str">
        <f>Github!L$184</f>
        <v>Database;</v>
      </c>
      <c r="L185" s="17" t="b">
        <f>Github!M$184</f>
        <v>1</v>
      </c>
      <c r="M185" s="17" t="str">
        <f>ROUND(Github!N$184, 2)&amp;"%"</f>
        <v>0%</v>
      </c>
      <c r="N185" s="17">
        <f>Github!O$184</f>
        <v>62.12179385</v>
      </c>
      <c r="O185" s="17">
        <f>Github!P$184</f>
        <v>315506</v>
      </c>
    </row>
    <row r="186">
      <c r="A186" s="17">
        <f>Github!J$185</f>
        <v>184</v>
      </c>
      <c r="B186" s="27" t="str">
        <f>HYPERLINK(CONCAT("http://leetcode.com/problems/",Github!C$185), Github!B$185)</f>
        <v>Department Highest Salary</v>
      </c>
      <c r="C186" s="17">
        <f>Github!F$185</f>
        <v>1029</v>
      </c>
      <c r="D186" s="17">
        <f>Github!G$185</f>
        <v>163</v>
      </c>
      <c r="E186" s="17">
        <f>Github!F$185+Github!G$185</f>
        <v>1192</v>
      </c>
      <c r="F186" s="18">
        <f t="shared" si="1"/>
        <v>6.31</v>
      </c>
      <c r="G186" s="17" t="str">
        <f>Github!H$185</f>
        <v>Database</v>
      </c>
      <c r="H186" s="17" t="str">
        <f>Github!E$185</f>
        <v>Medium</v>
      </c>
      <c r="I186" s="17" t="str">
        <f>IF(TRIM(Github!D$185)="TRUE","FALSE","TRUE")</f>
        <v>TRUE</v>
      </c>
      <c r="J186" s="17"/>
      <c r="K186" s="17" t="str">
        <f>Github!L$185</f>
        <v>Database;</v>
      </c>
      <c r="L186" s="17" t="b">
        <f>Github!M$185</f>
        <v>1</v>
      </c>
      <c r="M186" s="17" t="str">
        <f>ROUND(Github!N$185, 2)&amp;"%"</f>
        <v>0%</v>
      </c>
      <c r="N186" s="17">
        <f>Github!O$185</f>
        <v>46.09053135</v>
      </c>
      <c r="O186" s="17">
        <f>Github!P$185</f>
        <v>208867</v>
      </c>
    </row>
    <row r="187">
      <c r="A187" s="17">
        <f>Github!J$186</f>
        <v>185</v>
      </c>
      <c r="B187" s="27" t="str">
        <f>HYPERLINK(CONCAT("http://leetcode.com/problems/",Github!C$186), Github!B$186)</f>
        <v>Department Top Three Salaries</v>
      </c>
      <c r="C187" s="17">
        <f>Github!F$186</f>
        <v>1012</v>
      </c>
      <c r="D187" s="17">
        <f>Github!G$186</f>
        <v>180</v>
      </c>
      <c r="E187" s="17">
        <f>Github!F$186+Github!G$186</f>
        <v>1192</v>
      </c>
      <c r="F187" s="18">
        <f t="shared" si="1"/>
        <v>5.62</v>
      </c>
      <c r="G187" s="17" t="str">
        <f>Github!H$186</f>
        <v>Database</v>
      </c>
      <c r="H187" s="17" t="str">
        <f>Github!E$186</f>
        <v>Hard</v>
      </c>
      <c r="I187" s="17" t="str">
        <f>IF(TRIM(Github!D$186)="TRUE","FALSE","TRUE")</f>
        <v>TRUE</v>
      </c>
      <c r="J187" s="17"/>
      <c r="K187" s="17" t="str">
        <f>Github!L$186</f>
        <v>Database;</v>
      </c>
      <c r="L187" s="17" t="b">
        <f>Github!M$186</f>
        <v>1</v>
      </c>
      <c r="M187" s="17" t="str">
        <f>ROUND(Github!N$186, 2)&amp;"%"</f>
        <v>0%</v>
      </c>
      <c r="N187" s="17">
        <f>Github!O$186</f>
        <v>46.27406815</v>
      </c>
      <c r="O187" s="17">
        <f>Github!P$186</f>
        <v>157366</v>
      </c>
    </row>
    <row r="188">
      <c r="A188" s="17">
        <f>Github!J$187</f>
        <v>186</v>
      </c>
      <c r="B188" s="27" t="str">
        <f>HYPERLINK(CONCAT("http://leetcode.com/problems/",Github!C$187), Github!B$187)</f>
        <v>Reverse Words in a String II</v>
      </c>
      <c r="C188" s="17">
        <f>Github!F$187</f>
        <v>826</v>
      </c>
      <c r="D188" s="17">
        <f>Github!G$187</f>
        <v>125</v>
      </c>
      <c r="E188" s="17">
        <f>Github!F$187+Github!G$187</f>
        <v>951</v>
      </c>
      <c r="F188" s="18">
        <f t="shared" si="1"/>
        <v>6.61</v>
      </c>
      <c r="G188" s="17" t="str">
        <f>Github!H$187</f>
        <v>Algorithms</v>
      </c>
      <c r="H188" s="17" t="str">
        <f>Github!E$187</f>
        <v>Medium</v>
      </c>
      <c r="I188" s="17" t="str">
        <f>IF(TRIM(Github!D$187)="TRUE","FALSE","TRUE")</f>
        <v>FALSE</v>
      </c>
      <c r="J188" s="17"/>
      <c r="K188" s="17" t="str">
        <f>Github!L$187</f>
        <v>Two Pointers;String;</v>
      </c>
      <c r="L188" s="17" t="b">
        <f>Github!M$187</f>
        <v>1</v>
      </c>
      <c r="M188" s="17" t="str">
        <f>ROUND(Github!N$187, 2)&amp;"%"</f>
        <v>0%</v>
      </c>
      <c r="N188" s="17">
        <f>Github!O$187</f>
        <v>50.51099049</v>
      </c>
      <c r="O188" s="17">
        <f>Github!P$187</f>
        <v>129442</v>
      </c>
    </row>
    <row r="189">
      <c r="A189" s="17">
        <f>Github!J$188</f>
        <v>187</v>
      </c>
      <c r="B189" s="27" t="str">
        <f>HYPERLINK(CONCAT("http://leetcode.com/problems/",Github!C$188), Github!B$188)</f>
        <v>Repeated DNA Sequences</v>
      </c>
      <c r="C189" s="17">
        <f>Github!F$188</f>
        <v>1846</v>
      </c>
      <c r="D189" s="17">
        <f>Github!G$188</f>
        <v>399</v>
      </c>
      <c r="E189" s="17">
        <f>Github!F$188+Github!G$188</f>
        <v>2245</v>
      </c>
      <c r="F189" s="18">
        <f t="shared" si="1"/>
        <v>4.63</v>
      </c>
      <c r="G189" s="17" t="str">
        <f>Github!H$188</f>
        <v>Algorithms</v>
      </c>
      <c r="H189" s="17" t="str">
        <f>Github!E$188</f>
        <v>Medium</v>
      </c>
      <c r="I189" s="17" t="str">
        <f>IF(TRIM(Github!D$188)="TRUE","FALSE","TRUE")</f>
        <v>TRUE</v>
      </c>
      <c r="J189" s="17"/>
      <c r="K189" s="17" t="str">
        <f>Github!L$188</f>
        <v>Hash Table;String;Bit Manipulation;Sliding Window;Rolling Hash;Hash Function;</v>
      </c>
      <c r="L189" s="17" t="b">
        <f>Github!M$188</f>
        <v>1</v>
      </c>
      <c r="M189" s="17" t="str">
        <f>ROUND(Github!N$188, 2)&amp;"%"</f>
        <v>0%</v>
      </c>
      <c r="N189" s="17">
        <f>Github!O$188</f>
        <v>44.25296146</v>
      </c>
      <c r="O189" s="17">
        <f>Github!P$188</f>
        <v>254624</v>
      </c>
    </row>
    <row r="190">
      <c r="A190" s="17">
        <f>Github!J$189</f>
        <v>188</v>
      </c>
      <c r="B190" s="27" t="str">
        <f>HYPERLINK(CONCAT("http://leetcode.com/problems/",Github!C$189), Github!B$189)</f>
        <v>Best Time to Buy and Sell Stock IV</v>
      </c>
      <c r="C190" s="17">
        <f>Github!F$189</f>
        <v>3631</v>
      </c>
      <c r="D190" s="17">
        <f>Github!G$189</f>
        <v>150</v>
      </c>
      <c r="E190" s="17">
        <f>Github!F$189+Github!G$189</f>
        <v>3781</v>
      </c>
      <c r="F190" s="18">
        <f t="shared" si="1"/>
        <v>24.21</v>
      </c>
      <c r="G190" s="17" t="str">
        <f>Github!H$189</f>
        <v>Algorithms</v>
      </c>
      <c r="H190" s="17" t="str">
        <f>Github!E$189</f>
        <v>Hard</v>
      </c>
      <c r="I190" s="17" t="str">
        <f>IF(TRIM(Github!D$189)="TRUE","FALSE","TRUE")</f>
        <v>TRUE</v>
      </c>
      <c r="J190" s="17"/>
      <c r="K190" s="17" t="str">
        <f>Github!L$189</f>
        <v>Array;Dynamic Programming;</v>
      </c>
      <c r="L190" s="17" t="b">
        <f>Github!M$189</f>
        <v>1</v>
      </c>
      <c r="M190" s="17" t="str">
        <f>ROUND(Github!N$189, 2)&amp;"%"</f>
        <v>0%</v>
      </c>
      <c r="N190" s="17">
        <f>Github!O$189</f>
        <v>33.14983936</v>
      </c>
      <c r="O190" s="17">
        <f>Github!P$189</f>
        <v>233288</v>
      </c>
    </row>
    <row r="191">
      <c r="A191" s="17">
        <f>Github!J$190</f>
        <v>189</v>
      </c>
      <c r="B191" s="27" t="str">
        <f>HYPERLINK(CONCAT("http://leetcode.com/problems/",Github!C$190), Github!B$190)</f>
        <v>Rotate Array</v>
      </c>
      <c r="C191" s="17">
        <f>Github!F$190</f>
        <v>8703</v>
      </c>
      <c r="D191" s="17">
        <f>Github!G$190</f>
        <v>1238</v>
      </c>
      <c r="E191" s="17">
        <f>Github!F$190+Github!G$190</f>
        <v>9941</v>
      </c>
      <c r="F191" s="18">
        <f t="shared" si="1"/>
        <v>7.03</v>
      </c>
      <c r="G191" s="17" t="str">
        <f>Github!H$190</f>
        <v>Algorithms</v>
      </c>
      <c r="H191" s="17" t="str">
        <f>Github!E$190</f>
        <v>Medium</v>
      </c>
      <c r="I191" s="17" t="str">
        <f>IF(TRIM(Github!D$190)="TRUE","FALSE","TRUE")</f>
        <v>TRUE</v>
      </c>
      <c r="J191" s="17"/>
      <c r="K191" s="17" t="str">
        <f>Github!L$190</f>
        <v>Array;Math;Two Pointers;</v>
      </c>
      <c r="L191" s="17" t="b">
        <f>Github!M$190</f>
        <v>1</v>
      </c>
      <c r="M191" s="17" t="str">
        <f>ROUND(Github!N$190, 2)&amp;"%"</f>
        <v>0%</v>
      </c>
      <c r="N191" s="17">
        <f>Github!O$190</f>
        <v>38.38707561</v>
      </c>
      <c r="O191" s="17">
        <f>Github!P$190</f>
        <v>1035688</v>
      </c>
    </row>
    <row r="192">
      <c r="A192" s="17">
        <f>Github!J$191</f>
        <v>190</v>
      </c>
      <c r="B192" s="27" t="str">
        <f>HYPERLINK(CONCAT("http://leetcode.com/problems/",Github!C$191), Github!B$191)</f>
        <v>Reverse Bits</v>
      </c>
      <c r="C192" s="17">
        <f>Github!F$191</f>
        <v>2832</v>
      </c>
      <c r="D192" s="17">
        <f>Github!G$191</f>
        <v>768</v>
      </c>
      <c r="E192" s="17">
        <f>Github!F$191+Github!G$191</f>
        <v>3600</v>
      </c>
      <c r="F192" s="18">
        <f t="shared" si="1"/>
        <v>3.69</v>
      </c>
      <c r="G192" s="17" t="str">
        <f>Github!H$191</f>
        <v>Algorithms</v>
      </c>
      <c r="H192" s="17" t="str">
        <f>Github!E$191</f>
        <v>Easy</v>
      </c>
      <c r="I192" s="17" t="str">
        <f>IF(TRIM(Github!D$191)="TRUE","FALSE","TRUE")</f>
        <v>TRUE</v>
      </c>
      <c r="J192" s="17"/>
      <c r="K192" s="17" t="str">
        <f>Github!L$191</f>
        <v>Divide and Conquer;Bit Manipulation;</v>
      </c>
      <c r="L192" s="17" t="b">
        <f>Github!M$191</f>
        <v>1</v>
      </c>
      <c r="M192" s="17" t="str">
        <f>ROUND(Github!N$191, 2)&amp;"%"</f>
        <v>0%</v>
      </c>
      <c r="N192" s="17">
        <f>Github!O$191</f>
        <v>48.03686919</v>
      </c>
      <c r="O192" s="17">
        <f>Github!P$191</f>
        <v>444745</v>
      </c>
    </row>
    <row r="193">
      <c r="A193" s="17">
        <f>Github!J$192</f>
        <v>191</v>
      </c>
      <c r="B193" s="27" t="str">
        <f>HYPERLINK(CONCAT("http://leetcode.com/problems/",Github!C$192), Github!B$192)</f>
        <v>Number of 1 Bits</v>
      </c>
      <c r="C193" s="17">
        <f>Github!F$192</f>
        <v>2722</v>
      </c>
      <c r="D193" s="17">
        <f>Github!G$192</f>
        <v>763</v>
      </c>
      <c r="E193" s="17">
        <f>Github!F$192+Github!G$192</f>
        <v>3485</v>
      </c>
      <c r="F193" s="18">
        <f t="shared" si="1"/>
        <v>3.57</v>
      </c>
      <c r="G193" s="17" t="str">
        <f>Github!H$192</f>
        <v>Algorithms</v>
      </c>
      <c r="H193" s="17" t="str">
        <f>Github!E$192</f>
        <v>Easy</v>
      </c>
      <c r="I193" s="17" t="str">
        <f>IF(TRIM(Github!D$192)="TRUE","FALSE","TRUE")</f>
        <v>TRUE</v>
      </c>
      <c r="J193" s="17"/>
      <c r="K193" s="17" t="str">
        <f>Github!L$192</f>
        <v>Bit Manipulation;</v>
      </c>
      <c r="L193" s="17" t="b">
        <f>Github!M$192</f>
        <v>1</v>
      </c>
      <c r="M193" s="17" t="str">
        <f>ROUND(Github!N$192, 2)&amp;"%"</f>
        <v>0%</v>
      </c>
      <c r="N193" s="17">
        <f>Github!O$192</f>
        <v>59.4889424</v>
      </c>
      <c r="O193" s="17">
        <f>Github!P$192</f>
        <v>663108</v>
      </c>
    </row>
    <row r="194">
      <c r="A194" s="17">
        <f>Github!J$193</f>
        <v>192</v>
      </c>
      <c r="B194" s="27" t="str">
        <f>HYPERLINK(CONCAT("http://leetcode.com/problems/",Github!C$193), Github!B$193)</f>
        <v>Word Frequency</v>
      </c>
      <c r="C194" s="17">
        <f>Github!F$193</f>
        <v>343</v>
      </c>
      <c r="D194" s="17">
        <f>Github!G$193</f>
        <v>232</v>
      </c>
      <c r="E194" s="17">
        <f>Github!F$193+Github!G$193</f>
        <v>575</v>
      </c>
      <c r="F194" s="18">
        <f t="shared" si="1"/>
        <v>1.48</v>
      </c>
      <c r="G194" s="17" t="str">
        <f>Github!H$193</f>
        <v>Shell</v>
      </c>
      <c r="H194" s="17" t="str">
        <f>Github!E$193</f>
        <v>Medium</v>
      </c>
      <c r="I194" s="17" t="str">
        <f>IF(TRIM(Github!D$193)="TRUE","FALSE","TRUE")</f>
        <v>TRUE</v>
      </c>
      <c r="J194" s="17"/>
      <c r="K194" s="17" t="str">
        <f>Github!L$193</f>
        <v>Shell;</v>
      </c>
      <c r="L194" s="17" t="b">
        <f>Github!M$193</f>
        <v>0</v>
      </c>
      <c r="M194" s="17" t="str">
        <f>ROUND(Github!N$193, 2)&amp;"%"</f>
        <v>0%</v>
      </c>
      <c r="N194" s="17">
        <f>Github!O$193</f>
        <v>25.59252442</v>
      </c>
      <c r="O194" s="17">
        <f>Github!P$193</f>
        <v>36152</v>
      </c>
    </row>
    <row r="195">
      <c r="A195" s="17">
        <f>Github!J$194</f>
        <v>193</v>
      </c>
      <c r="B195" s="27" t="str">
        <f>HYPERLINK(CONCAT("http://leetcode.com/problems/",Github!C$194), Github!B$194)</f>
        <v>Valid Phone Numbers</v>
      </c>
      <c r="C195" s="17">
        <f>Github!F$194</f>
        <v>256</v>
      </c>
      <c r="D195" s="17">
        <f>Github!G$194</f>
        <v>687</v>
      </c>
      <c r="E195" s="17">
        <f>Github!F$194+Github!G$194</f>
        <v>943</v>
      </c>
      <c r="F195" s="18">
        <f t="shared" si="1"/>
        <v>0.37</v>
      </c>
      <c r="G195" s="17" t="str">
        <f>Github!H$194</f>
        <v>Shell</v>
      </c>
      <c r="H195" s="17" t="str">
        <f>Github!E$194</f>
        <v>Easy</v>
      </c>
      <c r="I195" s="17" t="str">
        <f>IF(TRIM(Github!D$194)="TRUE","FALSE","TRUE")</f>
        <v>TRUE</v>
      </c>
      <c r="J195" s="17"/>
      <c r="K195" s="17" t="str">
        <f>Github!L$194</f>
        <v>Shell;</v>
      </c>
      <c r="L195" s="17" t="b">
        <f>Github!M$194</f>
        <v>0</v>
      </c>
      <c r="M195" s="17" t="str">
        <f>ROUND(Github!N$194, 2)&amp;"%"</f>
        <v>0%</v>
      </c>
      <c r="N195" s="17">
        <f>Github!O$194</f>
        <v>25.79389127</v>
      </c>
      <c r="O195" s="17">
        <f>Github!P$194</f>
        <v>54055</v>
      </c>
    </row>
    <row r="196">
      <c r="A196" s="17">
        <f>Github!J$195</f>
        <v>194</v>
      </c>
      <c r="B196" s="27" t="str">
        <f>HYPERLINK(CONCAT("http://leetcode.com/problems/",Github!C$195), Github!B$195)</f>
        <v>Transpose File</v>
      </c>
      <c r="C196" s="17">
        <f>Github!F$195</f>
        <v>98</v>
      </c>
      <c r="D196" s="17">
        <f>Github!G$195</f>
        <v>237</v>
      </c>
      <c r="E196" s="17">
        <f>Github!F$195+Github!G$195</f>
        <v>335</v>
      </c>
      <c r="F196" s="18">
        <f t="shared" si="1"/>
        <v>0.41</v>
      </c>
      <c r="G196" s="17" t="str">
        <f>Github!H$195</f>
        <v>Shell</v>
      </c>
      <c r="H196" s="17" t="str">
        <f>Github!E$195</f>
        <v>Medium</v>
      </c>
      <c r="I196" s="17" t="str">
        <f>IF(TRIM(Github!D$195)="TRUE","FALSE","TRUE")</f>
        <v>TRUE</v>
      </c>
      <c r="J196" s="17"/>
      <c r="K196" s="17" t="str">
        <f>Github!L$195</f>
        <v>Shell;</v>
      </c>
      <c r="L196" s="17" t="b">
        <f>Github!M$195</f>
        <v>0</v>
      </c>
      <c r="M196" s="17" t="str">
        <f>ROUND(Github!N$195, 2)&amp;"%"</f>
        <v>0%</v>
      </c>
      <c r="N196" s="17">
        <f>Github!O$195</f>
        <v>24.99860833</v>
      </c>
      <c r="O196" s="17">
        <f>Github!P$195</f>
        <v>17963</v>
      </c>
    </row>
    <row r="197">
      <c r="A197" s="17">
        <f>Github!J$196</f>
        <v>195</v>
      </c>
      <c r="B197" s="27" t="str">
        <f>HYPERLINK(CONCAT("http://leetcode.com/problems/",Github!C$196), Github!B$196)</f>
        <v>Tenth Line</v>
      </c>
      <c r="C197" s="17">
        <f>Github!F$196</f>
        <v>250</v>
      </c>
      <c r="D197" s="17">
        <f>Github!G$196</f>
        <v>326</v>
      </c>
      <c r="E197" s="17">
        <f>Github!F$196+Github!G$196</f>
        <v>576</v>
      </c>
      <c r="F197" s="18">
        <f t="shared" si="1"/>
        <v>0.77</v>
      </c>
      <c r="G197" s="17" t="str">
        <f>Github!H$196</f>
        <v>Shell</v>
      </c>
      <c r="H197" s="17" t="str">
        <f>Github!E$196</f>
        <v>Easy</v>
      </c>
      <c r="I197" s="17" t="str">
        <f>IF(TRIM(Github!D$196)="TRUE","FALSE","TRUE")</f>
        <v>TRUE</v>
      </c>
      <c r="J197" s="17"/>
      <c r="K197" s="17" t="str">
        <f>Github!L$196</f>
        <v>Shell;</v>
      </c>
      <c r="L197" s="17" t="b">
        <f>Github!M$196</f>
        <v>0</v>
      </c>
      <c r="M197" s="17" t="str">
        <f>ROUND(Github!N$196, 2)&amp;"%"</f>
        <v>0%</v>
      </c>
      <c r="N197" s="17">
        <f>Github!O$196</f>
        <v>32.84156806</v>
      </c>
      <c r="O197" s="17">
        <f>Github!P$196</f>
        <v>71302</v>
      </c>
    </row>
    <row r="198">
      <c r="A198" s="17">
        <f>Github!J$197</f>
        <v>196</v>
      </c>
      <c r="B198" s="27" t="str">
        <f>HYPERLINK(CONCAT("http://leetcode.com/problems/",Github!C$197), Github!B$197)</f>
        <v>Delete Duplicate Emails</v>
      </c>
      <c r="C198" s="17">
        <f>Github!F$197</f>
        <v>765</v>
      </c>
      <c r="D198" s="17">
        <f>Github!G$197</f>
        <v>1233</v>
      </c>
      <c r="E198" s="17">
        <f>Github!F$197+Github!G$197</f>
        <v>1998</v>
      </c>
      <c r="F198" s="18">
        <f t="shared" si="1"/>
        <v>0.62</v>
      </c>
      <c r="G198" s="17" t="str">
        <f>Github!H$197</f>
        <v>Database</v>
      </c>
      <c r="H198" s="17" t="str">
        <f>Github!E$197</f>
        <v>Easy</v>
      </c>
      <c r="I198" s="17" t="str">
        <f>IF(TRIM(Github!D$197)="TRUE","FALSE","TRUE")</f>
        <v>TRUE</v>
      </c>
      <c r="J198" s="17"/>
      <c r="K198" s="17" t="str">
        <f>Github!L$197</f>
        <v>Database;</v>
      </c>
      <c r="L198" s="17" t="b">
        <f>Github!M$197</f>
        <v>1</v>
      </c>
      <c r="M198" s="17" t="str">
        <f>ROUND(Github!N$197, 2)&amp;"%"</f>
        <v>0%</v>
      </c>
      <c r="N198" s="17">
        <f>Github!O$197</f>
        <v>51.12491986</v>
      </c>
      <c r="O198" s="17">
        <f>Github!P$197</f>
        <v>202558</v>
      </c>
    </row>
    <row r="199">
      <c r="A199" s="17">
        <f>Github!J$198</f>
        <v>197</v>
      </c>
      <c r="B199" s="27" t="str">
        <f>HYPERLINK(CONCAT("http://leetcode.com/problems/",Github!C$198), Github!B$198)</f>
        <v>Rising Temperature</v>
      </c>
      <c r="C199" s="17">
        <f>Github!F$198</f>
        <v>814</v>
      </c>
      <c r="D199" s="17">
        <f>Github!G$198</f>
        <v>341</v>
      </c>
      <c r="E199" s="17">
        <f>Github!F$198+Github!G$198</f>
        <v>1155</v>
      </c>
      <c r="F199" s="18">
        <f t="shared" si="1"/>
        <v>2.39</v>
      </c>
      <c r="G199" s="17" t="str">
        <f>Github!H$198</f>
        <v>Database</v>
      </c>
      <c r="H199" s="17" t="str">
        <f>Github!E$198</f>
        <v>Easy</v>
      </c>
      <c r="I199" s="17" t="str">
        <f>IF(TRIM(Github!D$198)="TRUE","FALSE","TRUE")</f>
        <v>TRUE</v>
      </c>
      <c r="J199" s="17"/>
      <c r="K199" s="17" t="str">
        <f>Github!L$198</f>
        <v>Database;</v>
      </c>
      <c r="L199" s="17" t="b">
        <f>Github!M$198</f>
        <v>1</v>
      </c>
      <c r="M199" s="17" t="str">
        <f>ROUND(Github!N$198, 2)&amp;"%"</f>
        <v>0%</v>
      </c>
      <c r="N199" s="17">
        <f>Github!O$198</f>
        <v>42.14159489</v>
      </c>
      <c r="O199" s="17">
        <f>Github!P$198</f>
        <v>208661</v>
      </c>
    </row>
    <row r="200">
      <c r="A200" s="17">
        <f>Github!J$199</f>
        <v>198</v>
      </c>
      <c r="B200" s="27" t="str">
        <f>HYPERLINK(CONCAT("http://leetcode.com/problems/",Github!C$199), Github!B$199)</f>
        <v>House Robber</v>
      </c>
      <c r="C200" s="17">
        <f>Github!F$199</f>
        <v>11433</v>
      </c>
      <c r="D200" s="17">
        <f>Github!G$199</f>
        <v>247</v>
      </c>
      <c r="E200" s="17">
        <f>Github!F$199+Github!G$199</f>
        <v>11680</v>
      </c>
      <c r="F200" s="18">
        <f t="shared" si="1"/>
        <v>46.29</v>
      </c>
      <c r="G200" s="17" t="str">
        <f>Github!H$199</f>
        <v>Algorithms</v>
      </c>
      <c r="H200" s="17" t="str">
        <f>Github!E$199</f>
        <v>Medium</v>
      </c>
      <c r="I200" s="17" t="str">
        <f>IF(TRIM(Github!D$199)="TRUE","FALSE","TRUE")</f>
        <v>TRUE</v>
      </c>
      <c r="J200" s="17"/>
      <c r="K200" s="17" t="str">
        <f>Github!L$199</f>
        <v>Array;Dynamic Programming;</v>
      </c>
      <c r="L200" s="17" t="b">
        <f>Github!M$199</f>
        <v>1</v>
      </c>
      <c r="M200" s="17" t="str">
        <f>ROUND(Github!N$199, 2)&amp;"%"</f>
        <v>0%</v>
      </c>
      <c r="N200" s="17">
        <f>Github!O$199</f>
        <v>46.72767457</v>
      </c>
      <c r="O200" s="17">
        <f>Github!P$199</f>
        <v>1054565</v>
      </c>
    </row>
    <row r="201">
      <c r="A201" s="17">
        <f>Github!J$200</f>
        <v>199</v>
      </c>
      <c r="B201" s="27" t="str">
        <f>HYPERLINK(CONCAT("http://leetcode.com/problems/",Github!C$200), Github!B$200)</f>
        <v>Binary Tree Right Side View</v>
      </c>
      <c r="C201" s="17">
        <f>Github!F$200</f>
        <v>6062</v>
      </c>
      <c r="D201" s="17">
        <f>Github!G$200</f>
        <v>327</v>
      </c>
      <c r="E201" s="17">
        <f>Github!F$200+Github!G$200</f>
        <v>6389</v>
      </c>
      <c r="F201" s="18">
        <f t="shared" si="1"/>
        <v>18.54</v>
      </c>
      <c r="G201" s="17" t="str">
        <f>Github!H$200</f>
        <v>Algorithms</v>
      </c>
      <c r="H201" s="17" t="str">
        <f>Github!E$200</f>
        <v>Medium</v>
      </c>
      <c r="I201" s="17" t="str">
        <f>IF(TRIM(Github!D$200)="TRUE","FALSE","TRUE")</f>
        <v>TRUE</v>
      </c>
      <c r="J201" s="17"/>
      <c r="K201" s="17" t="str">
        <f>Github!L$200</f>
        <v>Tree;Depth-First Search;Breadth-First Search;Binary Tree;</v>
      </c>
      <c r="L201" s="17" t="b">
        <f>Github!M$200</f>
        <v>1</v>
      </c>
      <c r="M201" s="17" t="str">
        <f>ROUND(Github!N$200, 2)&amp;"%"</f>
        <v>0%</v>
      </c>
      <c r="N201" s="17">
        <f>Github!O$200</f>
        <v>59.26247325</v>
      </c>
      <c r="O201" s="17">
        <f>Github!P$200</f>
        <v>630330</v>
      </c>
    </row>
    <row r="202">
      <c r="A202" s="17">
        <f>Github!J$201</f>
        <v>200</v>
      </c>
      <c r="B202" s="27" t="str">
        <f>HYPERLINK(CONCAT("http://leetcode.com/problems/",Github!C$201), Github!B$201)</f>
        <v>Number of Islands</v>
      </c>
      <c r="C202" s="17">
        <f>Github!F$201</f>
        <v>12751</v>
      </c>
      <c r="D202" s="17">
        <f>Github!G$201</f>
        <v>315</v>
      </c>
      <c r="E202" s="17">
        <f>Github!F$201+Github!G$201</f>
        <v>13066</v>
      </c>
      <c r="F202" s="18">
        <f t="shared" si="1"/>
        <v>40.48</v>
      </c>
      <c r="G202" s="17" t="str">
        <f>Github!H$201</f>
        <v>Algorithms</v>
      </c>
      <c r="H202" s="17" t="str">
        <f>Github!E$201</f>
        <v>Medium</v>
      </c>
      <c r="I202" s="17" t="str">
        <f>IF(TRIM(Github!D$201)="TRUE","FALSE","TRUE")</f>
        <v>TRUE</v>
      </c>
      <c r="J202" s="17"/>
      <c r="K202" s="17" t="str">
        <f>Github!L$201</f>
        <v>Array;Depth-First Search;Breadth-First Search;Union Find;Matrix;</v>
      </c>
      <c r="L202" s="17" t="b">
        <f>Github!M$201</f>
        <v>1</v>
      </c>
      <c r="M202" s="17" t="str">
        <f>ROUND(Github!N$201, 2)&amp;"%"</f>
        <v>0%</v>
      </c>
      <c r="N202" s="17">
        <f>Github!O$201</f>
        <v>53.38258247</v>
      </c>
      <c r="O202" s="17">
        <f>Github!P$201</f>
        <v>1461753</v>
      </c>
    </row>
    <row r="203">
      <c r="A203" s="17">
        <f>Github!J$202</f>
        <v>201</v>
      </c>
      <c r="B203" s="27" t="str">
        <f>HYPERLINK(CONCAT("http://leetcode.com/problems/",Github!C$202), Github!B$202)</f>
        <v>Bitwise AND of Numbers Range</v>
      </c>
      <c r="C203" s="17">
        <f>Github!F$202</f>
        <v>2170</v>
      </c>
      <c r="D203" s="17">
        <f>Github!G$202</f>
        <v>177</v>
      </c>
      <c r="E203" s="17">
        <f>Github!F$202+Github!G$202</f>
        <v>2347</v>
      </c>
      <c r="F203" s="18">
        <f t="shared" si="1"/>
        <v>12.26</v>
      </c>
      <c r="G203" s="17" t="str">
        <f>Github!H$202</f>
        <v>Algorithms</v>
      </c>
      <c r="H203" s="17" t="str">
        <f>Github!E$202</f>
        <v>Medium</v>
      </c>
      <c r="I203" s="17" t="str">
        <f>IF(TRIM(Github!D$202)="TRUE","FALSE","TRUE")</f>
        <v>TRUE</v>
      </c>
      <c r="J203" s="17"/>
      <c r="K203" s="17" t="str">
        <f>Github!L$202</f>
        <v>Bit Manipulation;</v>
      </c>
      <c r="L203" s="17" t="b">
        <f>Github!M$202</f>
        <v>1</v>
      </c>
      <c r="M203" s="17" t="str">
        <f>ROUND(Github!N$202, 2)&amp;"%"</f>
        <v>0%</v>
      </c>
      <c r="N203" s="17">
        <f>Github!O$202</f>
        <v>41.65873956</v>
      </c>
      <c r="O203" s="17">
        <f>Github!P$202</f>
        <v>210646</v>
      </c>
    </row>
    <row r="204">
      <c r="A204" s="17">
        <f>Github!J$203</f>
        <v>202</v>
      </c>
      <c r="B204" s="27" t="str">
        <f>HYPERLINK(CONCAT("http://leetcode.com/problems/",Github!C$203), Github!B$203)</f>
        <v>Happy Number</v>
      </c>
      <c r="C204" s="17">
        <f>Github!F$203</f>
        <v>4907</v>
      </c>
      <c r="D204" s="17">
        <f>Github!G$203</f>
        <v>674</v>
      </c>
      <c r="E204" s="17">
        <f>Github!F$203+Github!G$203</f>
        <v>5581</v>
      </c>
      <c r="F204" s="18">
        <f t="shared" si="1"/>
        <v>7.28</v>
      </c>
      <c r="G204" s="17" t="str">
        <f>Github!H$203</f>
        <v>Algorithms</v>
      </c>
      <c r="H204" s="17" t="str">
        <f>Github!E$203</f>
        <v>Easy</v>
      </c>
      <c r="I204" s="17" t="str">
        <f>IF(TRIM(Github!D$203)="TRUE","FALSE","TRUE")</f>
        <v>TRUE</v>
      </c>
      <c r="J204" s="17"/>
      <c r="K204" s="17" t="str">
        <f>Github!L$203</f>
        <v>Hash Table;Math;Two Pointers;</v>
      </c>
      <c r="L204" s="17" t="b">
        <f>Github!M$203</f>
        <v>1</v>
      </c>
      <c r="M204" s="17" t="str">
        <f>ROUND(Github!N$203, 2)&amp;"%"</f>
        <v>0%</v>
      </c>
      <c r="N204" s="17">
        <f>Github!O$203</f>
        <v>52.91904854</v>
      </c>
      <c r="O204" s="17">
        <f>Github!P$203</f>
        <v>770186</v>
      </c>
    </row>
    <row r="205">
      <c r="A205" s="17">
        <f>Github!J$204</f>
        <v>203</v>
      </c>
      <c r="B205" s="27" t="str">
        <f>HYPERLINK(CONCAT("http://leetcode.com/problems/",Github!C$204), Github!B$204)</f>
        <v>Remove Linked List Elements</v>
      </c>
      <c r="C205" s="17">
        <f>Github!F$204</f>
        <v>4596</v>
      </c>
      <c r="D205" s="17">
        <f>Github!G$204</f>
        <v>157</v>
      </c>
      <c r="E205" s="17">
        <f>Github!F$204+Github!G$204</f>
        <v>4753</v>
      </c>
      <c r="F205" s="18">
        <f t="shared" si="1"/>
        <v>29.27</v>
      </c>
      <c r="G205" s="17" t="str">
        <f>Github!H$204</f>
        <v>Algorithms</v>
      </c>
      <c r="H205" s="17" t="str">
        <f>Github!E$204</f>
        <v>Easy</v>
      </c>
      <c r="I205" s="17" t="str">
        <f>IF(TRIM(Github!D$204)="TRUE","FALSE","TRUE")</f>
        <v>TRUE</v>
      </c>
      <c r="J205" s="17"/>
      <c r="K205" s="17" t="str">
        <f>Github!L$204</f>
        <v>Linked List;Recursion;</v>
      </c>
      <c r="L205" s="17" t="b">
        <f>Github!M$204</f>
        <v>1</v>
      </c>
      <c r="M205" s="17" t="str">
        <f>ROUND(Github!N$204, 2)&amp;"%"</f>
        <v>0%</v>
      </c>
      <c r="N205" s="17">
        <f>Github!O$204</f>
        <v>43.11933574</v>
      </c>
      <c r="O205" s="17">
        <f>Github!P$204</f>
        <v>664128</v>
      </c>
    </row>
    <row r="206">
      <c r="A206" s="17">
        <f>Github!J$205</f>
        <v>204</v>
      </c>
      <c r="B206" s="27" t="str">
        <f>HYPERLINK(CONCAT("http://leetcode.com/problems/",Github!C$205), Github!B$205)</f>
        <v>Count Primes</v>
      </c>
      <c r="C206" s="17">
        <f>Github!F$205</f>
        <v>4533</v>
      </c>
      <c r="D206" s="17">
        <f>Github!G$205</f>
        <v>973</v>
      </c>
      <c r="E206" s="17">
        <f>Github!F$205+Github!G$205</f>
        <v>5506</v>
      </c>
      <c r="F206" s="18">
        <f t="shared" si="1"/>
        <v>4.66</v>
      </c>
      <c r="G206" s="17" t="str">
        <f>Github!H$205</f>
        <v>Algorithms</v>
      </c>
      <c r="H206" s="17" t="str">
        <f>Github!E$205</f>
        <v>Medium</v>
      </c>
      <c r="I206" s="17" t="str">
        <f>IF(TRIM(Github!D$205)="TRUE","FALSE","TRUE")</f>
        <v>TRUE</v>
      </c>
      <c r="J206" s="17"/>
      <c r="K206" s="17" t="str">
        <f>Github!L$205</f>
        <v>Array;Math;Enumeration;Number Theory;</v>
      </c>
      <c r="L206" s="17" t="b">
        <f>Github!M$205</f>
        <v>1</v>
      </c>
      <c r="M206" s="17" t="str">
        <f>ROUND(Github!N$205, 2)&amp;"%"</f>
        <v>0%</v>
      </c>
      <c r="N206" s="17">
        <f>Github!O$205</f>
        <v>32.96565165</v>
      </c>
      <c r="O206" s="17">
        <f>Github!P$205</f>
        <v>589280</v>
      </c>
    </row>
    <row r="207">
      <c r="A207" s="17">
        <f>Github!J$206</f>
        <v>205</v>
      </c>
      <c r="B207" s="27" t="str">
        <f>HYPERLINK(CONCAT("http://leetcode.com/problems/",Github!C$206), Github!B$206)</f>
        <v>Isomorphic Strings</v>
      </c>
      <c r="C207" s="17">
        <f>Github!F$206</f>
        <v>3304</v>
      </c>
      <c r="D207" s="17">
        <f>Github!G$206</f>
        <v>626</v>
      </c>
      <c r="E207" s="17">
        <f>Github!F$206+Github!G$206</f>
        <v>3930</v>
      </c>
      <c r="F207" s="18">
        <f t="shared" si="1"/>
        <v>5.28</v>
      </c>
      <c r="G207" s="17" t="str">
        <f>Github!H$206</f>
        <v>Algorithms</v>
      </c>
      <c r="H207" s="17" t="str">
        <f>Github!E$206</f>
        <v>Easy</v>
      </c>
      <c r="I207" s="17" t="str">
        <f>IF(TRIM(Github!D$206)="TRUE","FALSE","TRUE")</f>
        <v>TRUE</v>
      </c>
      <c r="J207" s="17"/>
      <c r="K207" s="17" t="str">
        <f>Github!L$206</f>
        <v>Hash Table;String;</v>
      </c>
      <c r="L207" s="17" t="b">
        <f>Github!M$206</f>
        <v>1</v>
      </c>
      <c r="M207" s="17" t="str">
        <f>ROUND(Github!N$206, 2)&amp;"%"</f>
        <v>0%</v>
      </c>
      <c r="N207" s="17">
        <f>Github!O$206</f>
        <v>41.97494172</v>
      </c>
      <c r="O207" s="17">
        <f>Github!P$206</f>
        <v>477364</v>
      </c>
    </row>
    <row r="208">
      <c r="A208" s="17">
        <f>Github!J$207</f>
        <v>206</v>
      </c>
      <c r="B208" s="27" t="str">
        <f>HYPERLINK(CONCAT("http://leetcode.com/problems/",Github!C$207), Github!B$207)</f>
        <v>Reverse Linked List</v>
      </c>
      <c r="C208" s="17">
        <f>Github!F$207</f>
        <v>10938</v>
      </c>
      <c r="D208" s="17">
        <f>Github!G$207</f>
        <v>185</v>
      </c>
      <c r="E208" s="17">
        <f>Github!F$207+Github!G$207</f>
        <v>11123</v>
      </c>
      <c r="F208" s="18">
        <f t="shared" si="1"/>
        <v>59.12</v>
      </c>
      <c r="G208" s="17" t="str">
        <f>Github!H$207</f>
        <v>Algorithms</v>
      </c>
      <c r="H208" s="17" t="str">
        <f>Github!E$207</f>
        <v>Easy</v>
      </c>
      <c r="I208" s="17" t="str">
        <f>IF(TRIM(Github!D$207)="TRUE","FALSE","TRUE")</f>
        <v>TRUE</v>
      </c>
      <c r="J208" s="17"/>
      <c r="K208" s="17" t="str">
        <f>Github!L$207</f>
        <v>Linked List;Recursion;</v>
      </c>
      <c r="L208" s="17" t="b">
        <f>Github!M$207</f>
        <v>1</v>
      </c>
      <c r="M208" s="17" t="str">
        <f>ROUND(Github!N$207, 2)&amp;"%"</f>
        <v>0%</v>
      </c>
      <c r="N208" s="17">
        <f>Github!O$207</f>
        <v>69.74642861</v>
      </c>
      <c r="O208" s="17">
        <f>Github!P$207</f>
        <v>1975641</v>
      </c>
    </row>
    <row r="209">
      <c r="A209" s="17">
        <f>Github!J$208</f>
        <v>207</v>
      </c>
      <c r="B209" s="27" t="str">
        <f>HYPERLINK(CONCAT("http://leetcode.com/problems/",Github!C$208), Github!B$208)</f>
        <v>Course Schedule</v>
      </c>
      <c r="C209" s="17">
        <f>Github!F$208</f>
        <v>8691</v>
      </c>
      <c r="D209" s="17">
        <f>Github!G$208</f>
        <v>351</v>
      </c>
      <c r="E209" s="17">
        <f>Github!F$208+Github!G$208</f>
        <v>9042</v>
      </c>
      <c r="F209" s="18">
        <f t="shared" si="1"/>
        <v>24.76</v>
      </c>
      <c r="G209" s="17" t="str">
        <f>Github!H$208</f>
        <v>Algorithms</v>
      </c>
      <c r="H209" s="17" t="str">
        <f>Github!E$208</f>
        <v>Medium</v>
      </c>
      <c r="I209" s="17" t="str">
        <f>IF(TRIM(Github!D$208)="TRUE","FALSE","TRUE")</f>
        <v>TRUE</v>
      </c>
      <c r="J209" s="17"/>
      <c r="K209" s="17" t="str">
        <f>Github!L$208</f>
        <v>Depth-First Search;Breadth-First Search;Graph;Topological Sort;</v>
      </c>
      <c r="L209" s="17" t="b">
        <f>Github!M$208</f>
        <v>1</v>
      </c>
      <c r="M209" s="17" t="str">
        <f>ROUND(Github!N$208, 2)&amp;"%"</f>
        <v>0%</v>
      </c>
      <c r="N209" s="17">
        <f>Github!O$208</f>
        <v>44.93735323</v>
      </c>
      <c r="O209" s="17">
        <f>Github!P$208</f>
        <v>813462</v>
      </c>
    </row>
    <row r="210">
      <c r="A210" s="17">
        <f>Github!J$209</f>
        <v>208</v>
      </c>
      <c r="B210" s="27" t="str">
        <f>HYPERLINK(CONCAT("http://leetcode.com/problems/",Github!C$209), Github!B$209)</f>
        <v>Implement Trie (Prefix Tree)</v>
      </c>
      <c r="C210" s="17">
        <f>Github!F$209</f>
        <v>6621</v>
      </c>
      <c r="D210" s="17">
        <f>Github!G$209</f>
        <v>87</v>
      </c>
      <c r="E210" s="17">
        <f>Github!F$209+Github!G$209</f>
        <v>6708</v>
      </c>
      <c r="F210" s="18">
        <f t="shared" si="1"/>
        <v>76.1</v>
      </c>
      <c r="G210" s="17" t="str">
        <f>Github!H$209</f>
        <v>Algorithms</v>
      </c>
      <c r="H210" s="17" t="str">
        <f>Github!E$209</f>
        <v>Medium</v>
      </c>
      <c r="I210" s="17" t="str">
        <f>IF(TRIM(Github!D$209)="TRUE","FALSE","TRUE")</f>
        <v>TRUE</v>
      </c>
      <c r="J210" s="17"/>
      <c r="K210" s="17" t="str">
        <f>Github!L$209</f>
        <v>Hash Table;String;Design;Trie;</v>
      </c>
      <c r="L210" s="17" t="b">
        <f>Github!M$209</f>
        <v>1</v>
      </c>
      <c r="M210" s="17" t="str">
        <f>ROUND(Github!N$209, 2)&amp;"%"</f>
        <v>0%</v>
      </c>
      <c r="N210" s="17">
        <f>Github!O$209</f>
        <v>57.48388784</v>
      </c>
      <c r="O210" s="17">
        <f>Github!P$209</f>
        <v>549425</v>
      </c>
    </row>
    <row r="211">
      <c r="A211" s="17">
        <f>Github!J$210</f>
        <v>209</v>
      </c>
      <c r="B211" s="27" t="str">
        <f>HYPERLINK(CONCAT("http://leetcode.com/problems/",Github!C$210), Github!B$210)</f>
        <v>Minimum Size Subarray Sum</v>
      </c>
      <c r="C211" s="17">
        <f>Github!F$210</f>
        <v>6043</v>
      </c>
      <c r="D211" s="17">
        <f>Github!G$210</f>
        <v>180</v>
      </c>
      <c r="E211" s="17">
        <f>Github!F$210+Github!G$210</f>
        <v>6223</v>
      </c>
      <c r="F211" s="18">
        <f t="shared" si="1"/>
        <v>33.57</v>
      </c>
      <c r="G211" s="17" t="str">
        <f>Github!H$210</f>
        <v>Algorithms</v>
      </c>
      <c r="H211" s="17" t="str">
        <f>Github!E$210</f>
        <v>Medium</v>
      </c>
      <c r="I211" s="17" t="str">
        <f>IF(TRIM(Github!D$210)="TRUE","FALSE","TRUE")</f>
        <v>TRUE</v>
      </c>
      <c r="J211" s="17"/>
      <c r="K211" s="17" t="str">
        <f>Github!L$210</f>
        <v>Array;Binary Search;Sliding Window;Prefix Sum;</v>
      </c>
      <c r="L211" s="17" t="b">
        <f>Github!M$210</f>
        <v>1</v>
      </c>
      <c r="M211" s="17" t="str">
        <f>ROUND(Github!N$210, 2)&amp;"%"</f>
        <v>0%</v>
      </c>
      <c r="N211" s="17">
        <f>Github!O$210</f>
        <v>42.84442287</v>
      </c>
      <c r="O211" s="17">
        <f>Github!P$210</f>
        <v>488876</v>
      </c>
    </row>
    <row r="212">
      <c r="A212" s="17">
        <f>Github!J$211</f>
        <v>210</v>
      </c>
      <c r="B212" s="27" t="str">
        <f>HYPERLINK(CONCAT("http://leetcode.com/problems/",Github!C$211), Github!B$211)</f>
        <v>Course Schedule II</v>
      </c>
      <c r="C212" s="17">
        <f>Github!F$211</f>
        <v>6265</v>
      </c>
      <c r="D212" s="17">
        <f>Github!G$211</f>
        <v>228</v>
      </c>
      <c r="E212" s="17">
        <f>Github!F$211+Github!G$211</f>
        <v>6493</v>
      </c>
      <c r="F212" s="18">
        <f t="shared" si="1"/>
        <v>27.48</v>
      </c>
      <c r="G212" s="17" t="str">
        <f>Github!H$211</f>
        <v>Algorithms</v>
      </c>
      <c r="H212" s="17" t="str">
        <f>Github!E$211</f>
        <v>Medium</v>
      </c>
      <c r="I212" s="17" t="str">
        <f>IF(TRIM(Github!D$211)="TRUE","FALSE","TRUE")</f>
        <v>TRUE</v>
      </c>
      <c r="J212" s="17"/>
      <c r="K212" s="17" t="str">
        <f>Github!L$211</f>
        <v>Depth-First Search;Breadth-First Search;Graph;Topological Sort;</v>
      </c>
      <c r="L212" s="17" t="b">
        <f>Github!M$211</f>
        <v>1</v>
      </c>
      <c r="M212" s="17" t="str">
        <f>ROUND(Github!N$211, 2)&amp;"%"</f>
        <v>0%</v>
      </c>
      <c r="N212" s="17">
        <f>Github!O$211</f>
        <v>46.18826714</v>
      </c>
      <c r="O212" s="17">
        <f>Github!P$211</f>
        <v>584836</v>
      </c>
    </row>
    <row r="213">
      <c r="A213" s="17">
        <f>Github!J$212</f>
        <v>211</v>
      </c>
      <c r="B213" s="27" t="str">
        <f>HYPERLINK(CONCAT("http://leetcode.com/problems/",Github!C$212), Github!B$212)</f>
        <v>Design Add and Search Words Data Structure</v>
      </c>
      <c r="C213" s="17">
        <f>Github!F$212</f>
        <v>4652</v>
      </c>
      <c r="D213" s="17">
        <f>Github!G$212</f>
        <v>194</v>
      </c>
      <c r="E213" s="17">
        <f>Github!F$212+Github!G$212</f>
        <v>4846</v>
      </c>
      <c r="F213" s="18">
        <f t="shared" si="1"/>
        <v>23.98</v>
      </c>
      <c r="G213" s="17" t="str">
        <f>Github!H$212</f>
        <v>Algorithms</v>
      </c>
      <c r="H213" s="17" t="str">
        <f>Github!E$212</f>
        <v>Medium</v>
      </c>
      <c r="I213" s="17" t="str">
        <f>IF(TRIM(Github!D$212)="TRUE","FALSE","TRUE")</f>
        <v>TRUE</v>
      </c>
      <c r="J213" s="17"/>
      <c r="K213" s="17" t="str">
        <f>Github!L$212</f>
        <v>String;Depth-First Search;Design;Trie;</v>
      </c>
      <c r="L213" s="17" t="b">
        <f>Github!M$212</f>
        <v>1</v>
      </c>
      <c r="M213" s="17" t="str">
        <f>ROUND(Github!N$212, 2)&amp;"%"</f>
        <v>0%</v>
      </c>
      <c r="N213" s="17">
        <f>Github!O$212</f>
        <v>43.99221195</v>
      </c>
      <c r="O213" s="17">
        <f>Github!P$212</f>
        <v>384785</v>
      </c>
    </row>
    <row r="214">
      <c r="A214" s="17">
        <f>Github!J$213</f>
        <v>212</v>
      </c>
      <c r="B214" s="27" t="str">
        <f>HYPERLINK(CONCAT("http://leetcode.com/problems/",Github!C$213), Github!B$213)</f>
        <v>Word Search II</v>
      </c>
      <c r="C214" s="17">
        <f>Github!F$213</f>
        <v>5653</v>
      </c>
      <c r="D214" s="17">
        <f>Github!G$213</f>
        <v>197</v>
      </c>
      <c r="E214" s="17">
        <f>Github!F$213+Github!G$213</f>
        <v>5850</v>
      </c>
      <c r="F214" s="18">
        <f t="shared" si="1"/>
        <v>28.7</v>
      </c>
      <c r="G214" s="17" t="str">
        <f>Github!H$213</f>
        <v>Algorithms</v>
      </c>
      <c r="H214" s="17" t="str">
        <f>Github!E$213</f>
        <v>Hard</v>
      </c>
      <c r="I214" s="17" t="str">
        <f>IF(TRIM(Github!D$213)="TRUE","FALSE","TRUE")</f>
        <v>TRUE</v>
      </c>
      <c r="J214" s="17"/>
      <c r="K214" s="17" t="str">
        <f>Github!L$213</f>
        <v>Array;String;Backtracking;Trie;Matrix;</v>
      </c>
      <c r="L214" s="17" t="b">
        <f>Github!M$213</f>
        <v>1</v>
      </c>
      <c r="M214" s="17" t="str">
        <f>ROUND(Github!N$213, 2)&amp;"%"</f>
        <v>0%</v>
      </c>
      <c r="N214" s="17">
        <f>Github!O$213</f>
        <v>38.28839614</v>
      </c>
      <c r="O214" s="17">
        <f>Github!P$213</f>
        <v>414190</v>
      </c>
    </row>
    <row r="215">
      <c r="A215" s="17">
        <f>Github!J$214</f>
        <v>213</v>
      </c>
      <c r="B215" s="27" t="str">
        <f>HYPERLINK(CONCAT("http://leetcode.com/problems/",Github!C$214), Github!B$214)</f>
        <v>House Robber II</v>
      </c>
      <c r="C215" s="17">
        <f>Github!F$214</f>
        <v>4999</v>
      </c>
      <c r="D215" s="17">
        <f>Github!G$214</f>
        <v>89</v>
      </c>
      <c r="E215" s="17">
        <f>Github!F$214+Github!G$214</f>
        <v>5088</v>
      </c>
      <c r="F215" s="18">
        <f t="shared" si="1"/>
        <v>56.17</v>
      </c>
      <c r="G215" s="17" t="str">
        <f>Github!H$214</f>
        <v>Algorithms</v>
      </c>
      <c r="H215" s="17" t="str">
        <f>Github!E$214</f>
        <v>Medium</v>
      </c>
      <c r="I215" s="17" t="str">
        <f>IF(TRIM(Github!D$214)="TRUE","FALSE","TRUE")</f>
        <v>TRUE</v>
      </c>
      <c r="J215" s="17"/>
      <c r="K215" s="17" t="str">
        <f>Github!L$214</f>
        <v>Array;Dynamic Programming;</v>
      </c>
      <c r="L215" s="17" t="b">
        <f>Github!M$214</f>
        <v>1</v>
      </c>
      <c r="M215" s="17" t="str">
        <f>ROUND(Github!N$214, 2)&amp;"%"</f>
        <v>0%</v>
      </c>
      <c r="N215" s="17">
        <f>Github!O$214</f>
        <v>39.61594346</v>
      </c>
      <c r="O215" s="17">
        <f>Github!P$214</f>
        <v>364792</v>
      </c>
    </row>
    <row r="216">
      <c r="A216" s="17">
        <f>Github!J$215</f>
        <v>214</v>
      </c>
      <c r="B216" s="27" t="str">
        <f>HYPERLINK(CONCAT("http://leetcode.com/problems/",Github!C$215), Github!B$215)</f>
        <v>Shortest Palindrome</v>
      </c>
      <c r="C216" s="17">
        <f>Github!F$215</f>
        <v>2262</v>
      </c>
      <c r="D216" s="17">
        <f>Github!G$215</f>
        <v>182</v>
      </c>
      <c r="E216" s="17">
        <f>Github!F$215+Github!G$215</f>
        <v>2444</v>
      </c>
      <c r="F216" s="18">
        <f t="shared" si="1"/>
        <v>12.43</v>
      </c>
      <c r="G216" s="17" t="str">
        <f>Github!H$215</f>
        <v>Algorithms</v>
      </c>
      <c r="H216" s="17" t="str">
        <f>Github!E$215</f>
        <v>Hard</v>
      </c>
      <c r="I216" s="17" t="str">
        <f>IF(TRIM(Github!D$215)="TRUE","FALSE","TRUE")</f>
        <v>TRUE</v>
      </c>
      <c r="J216" s="17"/>
      <c r="K216" s="17" t="str">
        <f>Github!L$215</f>
        <v>String;Rolling Hash;String Matching;Hash Function;</v>
      </c>
      <c r="L216" s="17" t="b">
        <f>Github!M$215</f>
        <v>1</v>
      </c>
      <c r="M216" s="17" t="str">
        <f>ROUND(Github!N$215, 2)&amp;"%"</f>
        <v>0%</v>
      </c>
      <c r="N216" s="17">
        <f>Github!O$215</f>
        <v>31.68705846</v>
      </c>
      <c r="O216" s="17">
        <f>Github!P$215</f>
        <v>132989</v>
      </c>
    </row>
    <row r="217">
      <c r="A217" s="17">
        <f>Github!J$216</f>
        <v>215</v>
      </c>
      <c r="B217" s="27" t="str">
        <f>HYPERLINK(CONCAT("http://leetcode.com/problems/",Github!C$216), Github!B$216)</f>
        <v>Kth Largest Element in an Array</v>
      </c>
      <c r="C217" s="17">
        <f>Github!F$216</f>
        <v>8522</v>
      </c>
      <c r="D217" s="17">
        <f>Github!G$216</f>
        <v>475</v>
      </c>
      <c r="E217" s="17">
        <f>Github!F$216+Github!G$216</f>
        <v>8997</v>
      </c>
      <c r="F217" s="18">
        <f t="shared" si="1"/>
        <v>17.94</v>
      </c>
      <c r="G217" s="17" t="str">
        <f>Github!H$216</f>
        <v>Algorithms</v>
      </c>
      <c r="H217" s="17" t="str">
        <f>Github!E$216</f>
        <v>Medium</v>
      </c>
      <c r="I217" s="17" t="str">
        <f>IF(TRIM(Github!D$216)="TRUE","FALSE","TRUE")</f>
        <v>TRUE</v>
      </c>
      <c r="J217" s="17"/>
      <c r="K217" s="17" t="str">
        <f>Github!L$216</f>
        <v>Array;Divide and Conquer;Sorting;Heap (Priority Queue);Quickselect;</v>
      </c>
      <c r="L217" s="17" t="b">
        <f>Github!M$216</f>
        <v>1</v>
      </c>
      <c r="M217" s="17" t="str">
        <f>ROUND(Github!N$216, 2)&amp;"%"</f>
        <v>0%</v>
      </c>
      <c r="N217" s="17">
        <f>Github!O$216</f>
        <v>62.90656118</v>
      </c>
      <c r="O217" s="17">
        <f>Github!P$216</f>
        <v>1232292</v>
      </c>
    </row>
    <row r="218">
      <c r="A218" s="17">
        <f>Github!J$217</f>
        <v>216</v>
      </c>
      <c r="B218" s="27" t="str">
        <f>HYPERLINK(CONCAT("http://leetcode.com/problems/",Github!C$217), Github!B$217)</f>
        <v>Combination Sum III</v>
      </c>
      <c r="C218" s="17">
        <f>Github!F$217</f>
        <v>2655</v>
      </c>
      <c r="D218" s="17">
        <f>Github!G$217</f>
        <v>73</v>
      </c>
      <c r="E218" s="17">
        <f>Github!F$217+Github!G$217</f>
        <v>2728</v>
      </c>
      <c r="F218" s="18">
        <f t="shared" si="1"/>
        <v>36.37</v>
      </c>
      <c r="G218" s="17" t="str">
        <f>Github!H$217</f>
        <v>Algorithms</v>
      </c>
      <c r="H218" s="17" t="str">
        <f>Github!E$217</f>
        <v>Medium</v>
      </c>
      <c r="I218" s="17" t="str">
        <f>IF(TRIM(Github!D$217)="TRUE","FALSE","TRUE")</f>
        <v>TRUE</v>
      </c>
      <c r="J218" s="17"/>
      <c r="K218" s="17" t="str">
        <f>Github!L$217</f>
        <v>Array;Backtracking;</v>
      </c>
      <c r="L218" s="17" t="b">
        <f>Github!M$217</f>
        <v>1</v>
      </c>
      <c r="M218" s="17" t="str">
        <f>ROUND(Github!N$217, 2)&amp;"%"</f>
        <v>0%</v>
      </c>
      <c r="N218" s="17">
        <f>Github!O$217</f>
        <v>63.62588032</v>
      </c>
      <c r="O218" s="17">
        <f>Github!P$217</f>
        <v>278081</v>
      </c>
    </row>
    <row r="219">
      <c r="A219" s="17">
        <f>Github!J$218</f>
        <v>217</v>
      </c>
      <c r="B219" s="27" t="str">
        <f>HYPERLINK(CONCAT("http://leetcode.com/problems/",Github!C$218), Github!B$218)</f>
        <v>Contains Duplicate</v>
      </c>
      <c r="C219" s="17">
        <f>Github!F$218</f>
        <v>4054</v>
      </c>
      <c r="D219" s="17">
        <f>Github!G$218</f>
        <v>931</v>
      </c>
      <c r="E219" s="17">
        <f>Github!F$218+Github!G$218</f>
        <v>4985</v>
      </c>
      <c r="F219" s="18">
        <f t="shared" si="1"/>
        <v>4.35</v>
      </c>
      <c r="G219" s="17" t="str">
        <f>Github!H$218</f>
        <v>Algorithms</v>
      </c>
      <c r="H219" s="17" t="str">
        <f>Github!E$218</f>
        <v>Easy</v>
      </c>
      <c r="I219" s="17" t="str">
        <f>IF(TRIM(Github!D$218)="TRUE","FALSE","TRUE")</f>
        <v>TRUE</v>
      </c>
      <c r="J219" s="17"/>
      <c r="K219" s="17" t="str">
        <f>Github!L$218</f>
        <v>Array;Hash Table;Sorting;</v>
      </c>
      <c r="L219" s="17" t="b">
        <f>Github!M$218</f>
        <v>1</v>
      </c>
      <c r="M219" s="17" t="str">
        <f>ROUND(Github!N$218, 2)&amp;"%"</f>
        <v>0%</v>
      </c>
      <c r="N219" s="17">
        <f>Github!O$218</f>
        <v>60.38529165</v>
      </c>
      <c r="O219" s="17">
        <f>Github!P$218</f>
        <v>1386740</v>
      </c>
    </row>
    <row r="220">
      <c r="A220" s="17">
        <f>Github!J$219</f>
        <v>218</v>
      </c>
      <c r="B220" s="27" t="str">
        <f>HYPERLINK(CONCAT("http://leetcode.com/problems/",Github!C$219), Github!B$219)</f>
        <v>The Skyline Problem</v>
      </c>
      <c r="C220" s="17">
        <f>Github!F$219</f>
        <v>3670</v>
      </c>
      <c r="D220" s="17">
        <f>Github!G$219</f>
        <v>190</v>
      </c>
      <c r="E220" s="17">
        <f>Github!F$219+Github!G$219</f>
        <v>3860</v>
      </c>
      <c r="F220" s="18">
        <f t="shared" si="1"/>
        <v>19.32</v>
      </c>
      <c r="G220" s="17" t="str">
        <f>Github!H$219</f>
        <v>Algorithms</v>
      </c>
      <c r="H220" s="17" t="str">
        <f>Github!E$219</f>
        <v>Hard</v>
      </c>
      <c r="I220" s="17" t="str">
        <f>IF(TRIM(Github!D$219)="TRUE","FALSE","TRUE")</f>
        <v>TRUE</v>
      </c>
      <c r="J220" s="17"/>
      <c r="K220" s="17" t="str">
        <f>Github!L$219</f>
        <v>Array;Divide and Conquer;Binary Indexed Tree;Segment Tree;Line Sweep;Heap (Priority Queue);Ordered Set;</v>
      </c>
      <c r="L220" s="17" t="b">
        <f>Github!M$219</f>
        <v>1</v>
      </c>
      <c r="M220" s="17" t="str">
        <f>ROUND(Github!N$219, 2)&amp;"%"</f>
        <v>0%</v>
      </c>
      <c r="N220" s="17">
        <f>Github!O$219</f>
        <v>38.44666483</v>
      </c>
      <c r="O220" s="17">
        <f>Github!P$219</f>
        <v>200622</v>
      </c>
    </row>
    <row r="221">
      <c r="A221" s="17">
        <f>Github!J$220</f>
        <v>219</v>
      </c>
      <c r="B221" s="27" t="str">
        <f>HYPERLINK(CONCAT("http://leetcode.com/problems/",Github!C$220), Github!B$220)</f>
        <v>Contains Duplicate II</v>
      </c>
      <c r="C221" s="17">
        <f>Github!F$220</f>
        <v>2237</v>
      </c>
      <c r="D221" s="17">
        <f>Github!G$220</f>
        <v>1805</v>
      </c>
      <c r="E221" s="17">
        <f>Github!F$220+Github!G$220</f>
        <v>4042</v>
      </c>
      <c r="F221" s="18">
        <f t="shared" si="1"/>
        <v>1.24</v>
      </c>
      <c r="G221" s="17" t="str">
        <f>Github!H$220</f>
        <v>Algorithms</v>
      </c>
      <c r="H221" s="17" t="str">
        <f>Github!E$220</f>
        <v>Easy</v>
      </c>
      <c r="I221" s="17" t="str">
        <f>IF(TRIM(Github!D$220)="TRUE","FALSE","TRUE")</f>
        <v>TRUE</v>
      </c>
      <c r="J221" s="17"/>
      <c r="K221" s="17" t="str">
        <f>Github!L$220</f>
        <v>Array;Hash Table;Sliding Window;</v>
      </c>
      <c r="L221" s="17" t="b">
        <f>Github!M$220</f>
        <v>1</v>
      </c>
      <c r="M221" s="17" t="str">
        <f>ROUND(Github!N$220, 2)&amp;"%"</f>
        <v>0%</v>
      </c>
      <c r="N221" s="17">
        <f>Github!O$220</f>
        <v>40.51871195</v>
      </c>
      <c r="O221" s="17">
        <f>Github!P$220</f>
        <v>435858</v>
      </c>
    </row>
    <row r="222">
      <c r="A222" s="17">
        <f>Github!J$221</f>
        <v>220</v>
      </c>
      <c r="B222" s="27" t="str">
        <f>HYPERLINK(CONCAT("http://leetcode.com/problems/",Github!C$221), Github!B$221)</f>
        <v>Contains Duplicate III</v>
      </c>
      <c r="C222" s="17">
        <f>Github!F$221</f>
        <v>2194</v>
      </c>
      <c r="D222" s="17">
        <f>Github!G$221</f>
        <v>2159</v>
      </c>
      <c r="E222" s="17">
        <f>Github!F$221+Github!G$221</f>
        <v>4353</v>
      </c>
      <c r="F222" s="18">
        <f t="shared" si="1"/>
        <v>1.02</v>
      </c>
      <c r="G222" s="17" t="str">
        <f>Github!H$221</f>
        <v>Algorithms</v>
      </c>
      <c r="H222" s="17" t="str">
        <f>Github!E$221</f>
        <v>Medium</v>
      </c>
      <c r="I222" s="17" t="str">
        <f>IF(TRIM(Github!D$221)="TRUE","FALSE","TRUE")</f>
        <v>TRUE</v>
      </c>
      <c r="J222" s="17"/>
      <c r="K222" s="17" t="str">
        <f>Github!L$221</f>
        <v>Array;Sliding Window;Sorting;Bucket Sort;Ordered Set;</v>
      </c>
      <c r="L222" s="17" t="b">
        <f>Github!M$221</f>
        <v>1</v>
      </c>
      <c r="M222" s="17" t="str">
        <f>ROUND(Github!N$221, 2)&amp;"%"</f>
        <v>0%</v>
      </c>
      <c r="N222" s="17">
        <f>Github!O$221</f>
        <v>21.68988529</v>
      </c>
      <c r="O222" s="17">
        <f>Github!P$221</f>
        <v>196765</v>
      </c>
    </row>
    <row r="223">
      <c r="A223" s="17">
        <f>Github!J$222</f>
        <v>221</v>
      </c>
      <c r="B223" s="27" t="str">
        <f>HYPERLINK(CONCAT("http://leetcode.com/problems/",Github!C$222), Github!B$222)</f>
        <v>Maximal Square</v>
      </c>
      <c r="C223" s="17">
        <f>Github!F$222</f>
        <v>6838</v>
      </c>
      <c r="D223" s="17">
        <f>Github!G$222</f>
        <v>144</v>
      </c>
      <c r="E223" s="17">
        <f>Github!F$222+Github!G$222</f>
        <v>6982</v>
      </c>
      <c r="F223" s="18">
        <f t="shared" si="1"/>
        <v>47.49</v>
      </c>
      <c r="G223" s="17" t="str">
        <f>Github!H$222</f>
        <v>Algorithms</v>
      </c>
      <c r="H223" s="17" t="str">
        <f>Github!E$222</f>
        <v>Medium</v>
      </c>
      <c r="I223" s="17" t="str">
        <f>IF(TRIM(Github!D$222)="TRUE","FALSE","TRUE")</f>
        <v>TRUE</v>
      </c>
      <c r="J223" s="17"/>
      <c r="K223" s="17" t="str">
        <f>Github!L$222</f>
        <v>Array;Dynamic Programming;Matrix;</v>
      </c>
      <c r="L223" s="17" t="b">
        <f>Github!M$222</f>
        <v>1</v>
      </c>
      <c r="M223" s="17" t="str">
        <f>ROUND(Github!N$222, 2)&amp;"%"</f>
        <v>0%</v>
      </c>
      <c r="N223" s="17">
        <f>Github!O$222</f>
        <v>43.15052896</v>
      </c>
      <c r="O223" s="17">
        <f>Github!P$222</f>
        <v>473712</v>
      </c>
    </row>
    <row r="224">
      <c r="A224" s="17">
        <f>Github!J$223</f>
        <v>222</v>
      </c>
      <c r="B224" s="27" t="str">
        <f>HYPERLINK(CONCAT("http://leetcode.com/problems/",Github!C$223), Github!B$223)</f>
        <v>Count Complete Tree Nodes</v>
      </c>
      <c r="C224" s="17">
        <f>Github!F$223</f>
        <v>4574</v>
      </c>
      <c r="D224" s="17">
        <f>Github!G$223</f>
        <v>305</v>
      </c>
      <c r="E224" s="17">
        <f>Github!F$223+Github!G$223</f>
        <v>4879</v>
      </c>
      <c r="F224" s="18">
        <f t="shared" si="1"/>
        <v>15</v>
      </c>
      <c r="G224" s="17" t="str">
        <f>Github!H$223</f>
        <v>Algorithms</v>
      </c>
      <c r="H224" s="17" t="str">
        <f>Github!E$223</f>
        <v>Medium</v>
      </c>
      <c r="I224" s="17" t="str">
        <f>IF(TRIM(Github!D$223)="TRUE","FALSE","TRUE")</f>
        <v>TRUE</v>
      </c>
      <c r="J224" s="17"/>
      <c r="K224" s="17" t="str">
        <f>Github!L$223</f>
        <v>Binary Search;Tree;Depth-First Search;Binary Tree;</v>
      </c>
      <c r="L224" s="17" t="b">
        <f>Github!M$223</f>
        <v>1</v>
      </c>
      <c r="M224" s="17" t="str">
        <f>ROUND(Github!N$223, 2)&amp;"%"</f>
        <v>0%</v>
      </c>
      <c r="N224" s="17">
        <f>Github!O$223</f>
        <v>54.71181104</v>
      </c>
      <c r="O224" s="17">
        <f>Github!P$223</f>
        <v>387153</v>
      </c>
    </row>
    <row r="225">
      <c r="A225" s="17">
        <f>Github!J$224</f>
        <v>223</v>
      </c>
      <c r="B225" s="27" t="str">
        <f>HYPERLINK(CONCAT("http://leetcode.com/problems/",Github!C$224), Github!B$224)</f>
        <v>Rectangle Area</v>
      </c>
      <c r="C225" s="17">
        <f>Github!F$224</f>
        <v>723</v>
      </c>
      <c r="D225" s="17">
        <f>Github!G$224</f>
        <v>997</v>
      </c>
      <c r="E225" s="17">
        <f>Github!F$224+Github!G$224</f>
        <v>1720</v>
      </c>
      <c r="F225" s="18">
        <f t="shared" si="1"/>
        <v>0.73</v>
      </c>
      <c r="G225" s="17" t="str">
        <f>Github!H$224</f>
        <v>Algorithms</v>
      </c>
      <c r="H225" s="17" t="str">
        <f>Github!E$224</f>
        <v>Medium</v>
      </c>
      <c r="I225" s="17" t="str">
        <f>IF(TRIM(Github!D$224)="TRUE","FALSE","TRUE")</f>
        <v>TRUE</v>
      </c>
      <c r="J225" s="17"/>
      <c r="K225" s="17" t="str">
        <f>Github!L$224</f>
        <v>Math;Geometry;</v>
      </c>
      <c r="L225" s="17" t="b">
        <f>Github!M$224</f>
        <v>0</v>
      </c>
      <c r="M225" s="17" t="str">
        <f>ROUND(Github!N$224, 2)&amp;"%"</f>
        <v>0%</v>
      </c>
      <c r="N225" s="17">
        <f>Github!O$224</f>
        <v>39.90849221</v>
      </c>
      <c r="O225" s="17">
        <f>Github!P$224</f>
        <v>133802</v>
      </c>
    </row>
    <row r="226">
      <c r="A226" s="17">
        <f>Github!J$225</f>
        <v>224</v>
      </c>
      <c r="B226" s="27" t="str">
        <f>HYPERLINK(CONCAT("http://leetcode.com/problems/",Github!C$225), Github!B$225)</f>
        <v>Basic Calculator</v>
      </c>
      <c r="C226" s="17">
        <f>Github!F$225</f>
        <v>3403</v>
      </c>
      <c r="D226" s="17">
        <f>Github!G$225</f>
        <v>285</v>
      </c>
      <c r="E226" s="17">
        <f>Github!F$225+Github!G$225</f>
        <v>3688</v>
      </c>
      <c r="F226" s="18">
        <f t="shared" si="1"/>
        <v>11.94</v>
      </c>
      <c r="G226" s="17" t="str">
        <f>Github!H$225</f>
        <v>Algorithms</v>
      </c>
      <c r="H226" s="17" t="str">
        <f>Github!E$225</f>
        <v>Hard</v>
      </c>
      <c r="I226" s="17" t="str">
        <f>IF(TRIM(Github!D$225)="TRUE","FALSE","TRUE")</f>
        <v>TRUE</v>
      </c>
      <c r="J226" s="17"/>
      <c r="K226" s="17" t="str">
        <f>Github!L$225</f>
        <v>Math;String;Stack;Recursion;</v>
      </c>
      <c r="L226" s="17" t="b">
        <f>Github!M$225</f>
        <v>1</v>
      </c>
      <c r="M226" s="17" t="str">
        <f>ROUND(Github!N$225, 2)&amp;"%"</f>
        <v>0%</v>
      </c>
      <c r="N226" s="17">
        <f>Github!O$225</f>
        <v>40.29072191</v>
      </c>
      <c r="O226" s="17">
        <f>Github!P$225</f>
        <v>281306</v>
      </c>
    </row>
    <row r="227">
      <c r="A227" s="17">
        <f>Github!J$226</f>
        <v>225</v>
      </c>
      <c r="B227" s="27" t="str">
        <f>HYPERLINK(CONCAT("http://leetcode.com/problems/",Github!C$226), Github!B$226)</f>
        <v>Implement Stack using Queues</v>
      </c>
      <c r="C227" s="17">
        <f>Github!F$226</f>
        <v>1913</v>
      </c>
      <c r="D227" s="17">
        <f>Github!G$226</f>
        <v>775</v>
      </c>
      <c r="E227" s="17">
        <f>Github!F$226+Github!G$226</f>
        <v>2688</v>
      </c>
      <c r="F227" s="18">
        <f t="shared" si="1"/>
        <v>2.47</v>
      </c>
      <c r="G227" s="17" t="str">
        <f>Github!H$226</f>
        <v>Algorithms</v>
      </c>
      <c r="H227" s="17" t="str">
        <f>Github!E$226</f>
        <v>Easy</v>
      </c>
      <c r="I227" s="17" t="str">
        <f>IF(TRIM(Github!D$226)="TRUE","FALSE","TRUE")</f>
        <v>TRUE</v>
      </c>
      <c r="J227" s="17"/>
      <c r="K227" s="17" t="str">
        <f>Github!L$226</f>
        <v>Stack;Design;Queue;</v>
      </c>
      <c r="L227" s="17" t="b">
        <f>Github!M$226</f>
        <v>1</v>
      </c>
      <c r="M227" s="17" t="str">
        <f>ROUND(Github!N$226, 2)&amp;"%"</f>
        <v>0%</v>
      </c>
      <c r="N227" s="17">
        <f>Github!O$226</f>
        <v>52.04705203</v>
      </c>
      <c r="O227" s="17">
        <f>Github!P$226</f>
        <v>281229</v>
      </c>
    </row>
    <row r="228">
      <c r="A228" s="17">
        <f>Github!J$227</f>
        <v>226</v>
      </c>
      <c r="B228" s="27" t="str">
        <f>HYPERLINK(CONCAT("http://leetcode.com/problems/",Github!C$227), Github!B$227)</f>
        <v>Invert Binary Tree</v>
      </c>
      <c r="C228" s="17">
        <f>Github!F$227</f>
        <v>7795</v>
      </c>
      <c r="D228" s="17">
        <f>Github!G$227</f>
        <v>105</v>
      </c>
      <c r="E228" s="17">
        <f>Github!F$227+Github!G$227</f>
        <v>7900</v>
      </c>
      <c r="F228" s="18">
        <f t="shared" si="1"/>
        <v>74.24</v>
      </c>
      <c r="G228" s="17" t="str">
        <f>Github!H$227</f>
        <v>Algorithms</v>
      </c>
      <c r="H228" s="17" t="str">
        <f>Github!E$227</f>
        <v>Easy</v>
      </c>
      <c r="I228" s="17" t="str">
        <f>IF(TRIM(Github!D$227)="TRUE","FALSE","TRUE")</f>
        <v>TRUE</v>
      </c>
      <c r="J228" s="17"/>
      <c r="K228" s="17" t="str">
        <f>Github!L$227</f>
        <v>Tree;Depth-First Search;Breadth-First Search;Binary Tree;</v>
      </c>
      <c r="L228" s="17" t="b">
        <f>Github!M$227</f>
        <v>1</v>
      </c>
      <c r="M228" s="17" t="str">
        <f>ROUND(Github!N$227, 2)&amp;"%"</f>
        <v>1%</v>
      </c>
      <c r="N228" s="17">
        <f>Github!O$227</f>
        <v>71.05821046</v>
      </c>
      <c r="O228" s="17">
        <f>Github!P$227</f>
        <v>959958</v>
      </c>
    </row>
    <row r="229">
      <c r="A229" s="17">
        <f>Github!J$228</f>
        <v>227</v>
      </c>
      <c r="B229" s="27" t="str">
        <f>HYPERLINK(CONCAT("http://leetcode.com/problems/",Github!C$228), Github!B$228)</f>
        <v>Basic Calculator II</v>
      </c>
      <c r="C229" s="17">
        <f>Github!F$228</f>
        <v>4044</v>
      </c>
      <c r="D229" s="17">
        <f>Github!G$228</f>
        <v>533</v>
      </c>
      <c r="E229" s="17">
        <f>Github!F$228+Github!G$228</f>
        <v>4577</v>
      </c>
      <c r="F229" s="18">
        <f t="shared" si="1"/>
        <v>7.59</v>
      </c>
      <c r="G229" s="17" t="str">
        <f>Github!H$228</f>
        <v>Algorithms</v>
      </c>
      <c r="H229" s="17" t="str">
        <f>Github!E$228</f>
        <v>Medium</v>
      </c>
      <c r="I229" s="17" t="str">
        <f>IF(TRIM(Github!D$228)="TRUE","FALSE","TRUE")</f>
        <v>TRUE</v>
      </c>
      <c r="J229" s="17"/>
      <c r="K229" s="17" t="str">
        <f>Github!L$228</f>
        <v>Math;String;Stack;</v>
      </c>
      <c r="L229" s="17" t="b">
        <f>Github!M$228</f>
        <v>1</v>
      </c>
      <c r="M229" s="17" t="str">
        <f>ROUND(Github!N$228, 2)&amp;"%"</f>
        <v>0%</v>
      </c>
      <c r="N229" s="17">
        <f>Github!O$228</f>
        <v>41.31013365</v>
      </c>
      <c r="O229" s="17">
        <f>Github!P$228</f>
        <v>400138</v>
      </c>
    </row>
    <row r="230">
      <c r="A230" s="17">
        <f>Github!J$229</f>
        <v>228</v>
      </c>
      <c r="B230" s="27" t="str">
        <f>HYPERLINK(CONCAT("http://leetcode.com/problems/",Github!C$229), Github!B$229)</f>
        <v>Summary Ranges</v>
      </c>
      <c r="C230" s="17">
        <f>Github!F$229</f>
        <v>1985</v>
      </c>
      <c r="D230" s="17">
        <f>Github!G$229</f>
        <v>1119</v>
      </c>
      <c r="E230" s="17">
        <f>Github!F$229+Github!G$229</f>
        <v>3104</v>
      </c>
      <c r="F230" s="18">
        <f t="shared" si="1"/>
        <v>1.77</v>
      </c>
      <c r="G230" s="17" t="str">
        <f>Github!H$229</f>
        <v>Algorithms</v>
      </c>
      <c r="H230" s="17" t="str">
        <f>Github!E$229</f>
        <v>Easy</v>
      </c>
      <c r="I230" s="17" t="str">
        <f>IF(TRIM(Github!D$229)="TRUE","FALSE","TRUE")</f>
        <v>TRUE</v>
      </c>
      <c r="J230" s="17"/>
      <c r="K230" s="17" t="str">
        <f>Github!L$229</f>
        <v>Array;</v>
      </c>
      <c r="L230" s="17" t="b">
        <f>Github!M$229</f>
        <v>1</v>
      </c>
      <c r="M230" s="17" t="str">
        <f>ROUND(Github!N$229, 2)&amp;"%"</f>
        <v>0%</v>
      </c>
      <c r="N230" s="17">
        <f>Github!O$229</f>
        <v>46.23008393</v>
      </c>
      <c r="O230" s="17">
        <f>Github!P$229</f>
        <v>286964</v>
      </c>
    </row>
    <row r="231">
      <c r="A231" s="17">
        <f>Github!J$230</f>
        <v>229</v>
      </c>
      <c r="B231" s="27" t="str">
        <f>HYPERLINK(CONCAT("http://leetcode.com/problems/",Github!C$230), Github!B$230)</f>
        <v>Majority Element II</v>
      </c>
      <c r="C231" s="17">
        <f>Github!F$230</f>
        <v>4482</v>
      </c>
      <c r="D231" s="17">
        <f>Github!G$230</f>
        <v>270</v>
      </c>
      <c r="E231" s="17">
        <f>Github!F$230+Github!G$230</f>
        <v>4752</v>
      </c>
      <c r="F231" s="18">
        <f t="shared" si="1"/>
        <v>16.6</v>
      </c>
      <c r="G231" s="17" t="str">
        <f>Github!H$230</f>
        <v>Algorithms</v>
      </c>
      <c r="H231" s="17" t="str">
        <f>Github!E$230</f>
        <v>Medium</v>
      </c>
      <c r="I231" s="17" t="str">
        <f>IF(TRIM(Github!D$230)="TRUE","FALSE","TRUE")</f>
        <v>TRUE</v>
      </c>
      <c r="J231" s="17"/>
      <c r="K231" s="17" t="str">
        <f>Github!L$230</f>
        <v>Array;Hash Table;Sorting;Counting;</v>
      </c>
      <c r="L231" s="17" t="b">
        <f>Github!M$230</f>
        <v>1</v>
      </c>
      <c r="M231" s="17" t="str">
        <f>ROUND(Github!N$230, 2)&amp;"%"</f>
        <v>0%</v>
      </c>
      <c r="N231" s="17">
        <f>Github!O$230</f>
        <v>41.96573894</v>
      </c>
      <c r="O231" s="17">
        <f>Github!P$230</f>
        <v>273562</v>
      </c>
    </row>
    <row r="232">
      <c r="A232" s="17">
        <f>Github!J$231</f>
        <v>230</v>
      </c>
      <c r="B232" s="27" t="str">
        <f>HYPERLINK(CONCAT("http://leetcode.com/problems/",Github!C$231), Github!B$231)</f>
        <v>Kth Smallest Element in a BST</v>
      </c>
      <c r="C232" s="17">
        <f>Github!F$231</f>
        <v>5908</v>
      </c>
      <c r="D232" s="17">
        <f>Github!G$231</f>
        <v>116</v>
      </c>
      <c r="E232" s="17">
        <f>Github!F$231+Github!G$231</f>
        <v>6024</v>
      </c>
      <c r="F232" s="18">
        <f t="shared" si="1"/>
        <v>50.93</v>
      </c>
      <c r="G232" s="17" t="str">
        <f>Github!H$231</f>
        <v>Algorithms</v>
      </c>
      <c r="H232" s="17" t="str">
        <f>Github!E$231</f>
        <v>Medium</v>
      </c>
      <c r="I232" s="17" t="str">
        <f>IF(TRIM(Github!D$231)="TRUE","FALSE","TRUE")</f>
        <v>TRUE</v>
      </c>
      <c r="J232" s="17"/>
      <c r="K232" s="17" t="str">
        <f>Github!L$231</f>
        <v>Tree;Depth-First Search;Binary Search Tree;Binary Tree;</v>
      </c>
      <c r="L232" s="17" t="b">
        <f>Github!M$231</f>
        <v>1</v>
      </c>
      <c r="M232" s="17" t="str">
        <f>ROUND(Github!N$231, 2)&amp;"%"</f>
        <v>0%</v>
      </c>
      <c r="N232" s="17">
        <f>Github!O$231</f>
        <v>66.31174593</v>
      </c>
      <c r="O232" s="17">
        <f>Github!P$231</f>
        <v>709648</v>
      </c>
    </row>
    <row r="233">
      <c r="A233" s="17">
        <f>Github!J$232</f>
        <v>231</v>
      </c>
      <c r="B233" s="27" t="str">
        <f>HYPERLINK(CONCAT("http://leetcode.com/problems/",Github!C$232), Github!B$232)</f>
        <v>Power of Two</v>
      </c>
      <c r="C233" s="17">
        <f>Github!F$232</f>
        <v>2950</v>
      </c>
      <c r="D233" s="17">
        <f>Github!G$232</f>
        <v>281</v>
      </c>
      <c r="E233" s="17">
        <f>Github!F$232+Github!G$232</f>
        <v>3231</v>
      </c>
      <c r="F233" s="18">
        <f t="shared" si="1"/>
        <v>10.5</v>
      </c>
      <c r="G233" s="17" t="str">
        <f>Github!H$232</f>
        <v>Algorithms</v>
      </c>
      <c r="H233" s="17" t="str">
        <f>Github!E$232</f>
        <v>Easy</v>
      </c>
      <c r="I233" s="17" t="str">
        <f>IF(TRIM(Github!D$232)="TRUE","FALSE","TRUE")</f>
        <v>TRUE</v>
      </c>
      <c r="J233" s="17"/>
      <c r="K233" s="17" t="str">
        <f>Github!L$232</f>
        <v>Math;Bit Manipulation;Recursion;</v>
      </c>
      <c r="L233" s="17" t="b">
        <f>Github!M$232</f>
        <v>1</v>
      </c>
      <c r="M233" s="17" t="str">
        <f>ROUND(Github!N$232, 2)&amp;"%"</f>
        <v>0%</v>
      </c>
      <c r="N233" s="17">
        <f>Github!O$232</f>
        <v>44.86226758</v>
      </c>
      <c r="O233" s="17">
        <f>Github!P$232</f>
        <v>588290</v>
      </c>
    </row>
    <row r="234">
      <c r="A234" s="17">
        <f>Github!J$233</f>
        <v>232</v>
      </c>
      <c r="B234" s="27" t="str">
        <f>HYPERLINK(CONCAT("http://leetcode.com/problems/",Github!C$233), Github!B$233)</f>
        <v>Implement Queue using Stacks</v>
      </c>
      <c r="C234" s="17">
        <f>Github!F$233</f>
        <v>3031</v>
      </c>
      <c r="D234" s="17">
        <f>Github!G$233</f>
        <v>211</v>
      </c>
      <c r="E234" s="17">
        <f>Github!F$233+Github!G$233</f>
        <v>3242</v>
      </c>
      <c r="F234" s="18">
        <f t="shared" si="1"/>
        <v>14.36</v>
      </c>
      <c r="G234" s="17" t="str">
        <f>Github!H$233</f>
        <v>Algorithms</v>
      </c>
      <c r="H234" s="17" t="str">
        <f>Github!E$233</f>
        <v>Easy</v>
      </c>
      <c r="I234" s="17" t="str">
        <f>IF(TRIM(Github!D$233)="TRUE","FALSE","TRUE")</f>
        <v>TRUE</v>
      </c>
      <c r="J234" s="17"/>
      <c r="K234" s="17" t="str">
        <f>Github!L$233</f>
        <v>Stack;Design;Queue;</v>
      </c>
      <c r="L234" s="17" t="b">
        <f>Github!M$233</f>
        <v>1</v>
      </c>
      <c r="M234" s="17" t="str">
        <f>ROUND(Github!N$233, 2)&amp;"%"</f>
        <v>0%</v>
      </c>
      <c r="N234" s="17">
        <f>Github!O$233</f>
        <v>57.32862362</v>
      </c>
      <c r="O234" s="17">
        <f>Github!P$233</f>
        <v>378966</v>
      </c>
    </row>
    <row r="235">
      <c r="A235" s="17">
        <f>Github!J$234</f>
        <v>233</v>
      </c>
      <c r="B235" s="27" t="str">
        <f>HYPERLINK(CONCAT("http://leetcode.com/problems/",Github!C$234), Github!B$234)</f>
        <v>Number of Digit One</v>
      </c>
      <c r="C235" s="17">
        <f>Github!F$234</f>
        <v>670</v>
      </c>
      <c r="D235" s="17">
        <f>Github!G$234</f>
        <v>985</v>
      </c>
      <c r="E235" s="17">
        <f>Github!F$234+Github!G$234</f>
        <v>1655</v>
      </c>
      <c r="F235" s="18">
        <f t="shared" si="1"/>
        <v>0.68</v>
      </c>
      <c r="G235" s="17" t="str">
        <f>Github!H$234</f>
        <v>Algorithms</v>
      </c>
      <c r="H235" s="17" t="str">
        <f>Github!E$234</f>
        <v>Hard</v>
      </c>
      <c r="I235" s="17" t="str">
        <f>IF(TRIM(Github!D$234)="TRUE","FALSE","TRUE")</f>
        <v>TRUE</v>
      </c>
      <c r="J235" s="17"/>
      <c r="K235" s="17" t="str">
        <f>Github!L$234</f>
        <v>Math;Dynamic Programming;Recursion;</v>
      </c>
      <c r="L235" s="17" t="b">
        <f>Github!M$234</f>
        <v>1</v>
      </c>
      <c r="M235" s="17" t="str">
        <f>ROUND(Github!N$234, 2)&amp;"%"</f>
        <v>0%</v>
      </c>
      <c r="N235" s="17">
        <f>Github!O$234</f>
        <v>33.33439821</v>
      </c>
      <c r="O235" s="17">
        <f>Github!P$234</f>
        <v>62607</v>
      </c>
    </row>
    <row r="236">
      <c r="A236" s="17">
        <f>Github!J$235</f>
        <v>234</v>
      </c>
      <c r="B236" s="27" t="str">
        <f>HYPERLINK(CONCAT("http://leetcode.com/problems/",Github!C$235), Github!B$235)</f>
        <v>Palindrome Linked List</v>
      </c>
      <c r="C236" s="17">
        <f>Github!F$235</f>
        <v>8193</v>
      </c>
      <c r="D236" s="17">
        <f>Github!G$235</f>
        <v>508</v>
      </c>
      <c r="E236" s="17">
        <f>Github!F$235+Github!G$235</f>
        <v>8701</v>
      </c>
      <c r="F236" s="18">
        <f t="shared" si="1"/>
        <v>16.13</v>
      </c>
      <c r="G236" s="17" t="str">
        <f>Github!H$235</f>
        <v>Algorithms</v>
      </c>
      <c r="H236" s="17" t="str">
        <f>Github!E$235</f>
        <v>Easy</v>
      </c>
      <c r="I236" s="17" t="str">
        <f>IF(TRIM(Github!D$235)="TRUE","FALSE","TRUE")</f>
        <v>TRUE</v>
      </c>
      <c r="J236" s="17"/>
      <c r="K236" s="17" t="str">
        <f>Github!L$235</f>
        <v>Linked List;Two Pointers;Stack;Recursion;</v>
      </c>
      <c r="L236" s="17" t="b">
        <f>Github!M$235</f>
        <v>1</v>
      </c>
      <c r="M236" s="17" t="str">
        <f>ROUND(Github!N$235, 2)&amp;"%"</f>
        <v>1%</v>
      </c>
      <c r="N236" s="17">
        <f>Github!O$235</f>
        <v>46.07735979</v>
      </c>
      <c r="O236" s="17">
        <f>Github!P$235</f>
        <v>899165</v>
      </c>
    </row>
    <row r="237">
      <c r="A237" s="17">
        <f>Github!J$236</f>
        <v>235</v>
      </c>
      <c r="B237" s="27" t="str">
        <f>HYPERLINK(CONCAT("http://leetcode.com/problems/",Github!C$236), Github!B$236)</f>
        <v>Lowest Common Ancestor of a Binary Search Tree</v>
      </c>
      <c r="C237" s="17">
        <f>Github!F$236</f>
        <v>5191</v>
      </c>
      <c r="D237" s="17">
        <f>Github!G$236</f>
        <v>174</v>
      </c>
      <c r="E237" s="17">
        <f>Github!F$236+Github!G$236</f>
        <v>5365</v>
      </c>
      <c r="F237" s="18">
        <f t="shared" si="1"/>
        <v>29.83</v>
      </c>
      <c r="G237" s="17" t="str">
        <f>Github!H$236</f>
        <v>Algorithms</v>
      </c>
      <c r="H237" s="17" t="str">
        <f>Github!E$236</f>
        <v>Easy</v>
      </c>
      <c r="I237" s="17" t="str">
        <f>IF(TRIM(Github!D$236)="TRUE","FALSE","TRUE")</f>
        <v>TRUE</v>
      </c>
      <c r="J237" s="17"/>
      <c r="K237" s="17" t="str">
        <f>Github!L$236</f>
        <v>Tree;Depth-First Search;Binary Search Tree;Binary Tree;</v>
      </c>
      <c r="L237" s="17" t="b">
        <f>Github!M$236</f>
        <v>1</v>
      </c>
      <c r="M237" s="17" t="str">
        <f>ROUND(Github!N$236, 2)&amp;"%"</f>
        <v>0%</v>
      </c>
      <c r="N237" s="17">
        <f>Github!O$236</f>
        <v>56.45723606</v>
      </c>
      <c r="O237" s="17">
        <f>Github!P$236</f>
        <v>701994</v>
      </c>
    </row>
    <row r="238">
      <c r="A238" s="17">
        <f>Github!J$237</f>
        <v>236</v>
      </c>
      <c r="B238" s="27" t="str">
        <f>HYPERLINK(CONCAT("http://leetcode.com/problems/",Github!C$237), Github!B$237)</f>
        <v>Lowest Common Ancestor of a Binary Tree</v>
      </c>
      <c r="C238" s="17">
        <f>Github!F$237</f>
        <v>9006</v>
      </c>
      <c r="D238" s="17">
        <f>Github!G$237</f>
        <v>260</v>
      </c>
      <c r="E238" s="17">
        <f>Github!F$237+Github!G$237</f>
        <v>9266</v>
      </c>
      <c r="F238" s="18">
        <f t="shared" si="1"/>
        <v>34.64</v>
      </c>
      <c r="G238" s="17" t="str">
        <f>Github!H$237</f>
        <v>Algorithms</v>
      </c>
      <c r="H238" s="17" t="str">
        <f>Github!E$237</f>
        <v>Medium</v>
      </c>
      <c r="I238" s="17" t="str">
        <f>IF(TRIM(Github!D$237)="TRUE","FALSE","TRUE")</f>
        <v>TRUE</v>
      </c>
      <c r="J238" s="17"/>
      <c r="K238" s="17" t="str">
        <f>Github!L$237</f>
        <v>Tree;Depth-First Search;Binary Tree;</v>
      </c>
      <c r="L238" s="17" t="b">
        <f>Github!M$237</f>
        <v>1</v>
      </c>
      <c r="M238" s="17" t="str">
        <f>ROUND(Github!N$237, 2)&amp;"%"</f>
        <v>0%</v>
      </c>
      <c r="N238" s="17">
        <f>Github!O$237</f>
        <v>54.67392879</v>
      </c>
      <c r="O238" s="17">
        <f>Github!P$237</f>
        <v>931931</v>
      </c>
    </row>
    <row r="239">
      <c r="A239" s="17">
        <f>Github!J$238</f>
        <v>237</v>
      </c>
      <c r="B239" s="27" t="str">
        <f>HYPERLINK(CONCAT("http://leetcode.com/problems/",Github!C$238), Github!B$238)</f>
        <v>Delete Node in a Linked List</v>
      </c>
      <c r="C239" s="17">
        <f>Github!F$238</f>
        <v>4080</v>
      </c>
      <c r="D239" s="17">
        <f>Github!G$238</f>
        <v>11277</v>
      </c>
      <c r="E239" s="17">
        <f>Github!F$238+Github!G$238</f>
        <v>15357</v>
      </c>
      <c r="F239" s="18">
        <f t="shared" si="1"/>
        <v>0.36</v>
      </c>
      <c r="G239" s="17" t="str">
        <f>Github!H$238</f>
        <v>Algorithms</v>
      </c>
      <c r="H239" s="17" t="str">
        <f>Github!E$238</f>
        <v>Easy</v>
      </c>
      <c r="I239" s="17" t="str">
        <f>IF(TRIM(Github!D$238)="TRUE","FALSE","TRUE")</f>
        <v>TRUE</v>
      </c>
      <c r="J239" s="17"/>
      <c r="K239" s="17" t="str">
        <f>Github!L$238</f>
        <v>Linked List;</v>
      </c>
      <c r="L239" s="17" t="b">
        <f>Github!M$238</f>
        <v>0</v>
      </c>
      <c r="M239" s="17" t="str">
        <f>ROUND(Github!N$238, 2)&amp;"%"</f>
        <v>0%</v>
      </c>
      <c r="N239" s="17">
        <f>Github!O$238</f>
        <v>71.39019501</v>
      </c>
      <c r="O239" s="17">
        <f>Github!P$238</f>
        <v>765360</v>
      </c>
    </row>
    <row r="240">
      <c r="A240" s="17">
        <f>Github!J$239</f>
        <v>238</v>
      </c>
      <c r="B240" s="27" t="str">
        <f>HYPERLINK(CONCAT("http://leetcode.com/problems/",Github!C$239), Github!B$239)</f>
        <v>Product of Array Except Self</v>
      </c>
      <c r="C240" s="17">
        <f>Github!F$239</f>
        <v>11406</v>
      </c>
      <c r="D240" s="17">
        <f>Github!G$239</f>
        <v>696</v>
      </c>
      <c r="E240" s="17">
        <f>Github!F$239+Github!G$239</f>
        <v>12102</v>
      </c>
      <c r="F240" s="18">
        <f t="shared" si="1"/>
        <v>16.39</v>
      </c>
      <c r="G240" s="17" t="str">
        <f>Github!H$239</f>
        <v>Algorithms</v>
      </c>
      <c r="H240" s="17" t="str">
        <f>Github!E$239</f>
        <v>Medium</v>
      </c>
      <c r="I240" s="17" t="str">
        <f>IF(TRIM(Github!D$239)="TRUE","FALSE","TRUE")</f>
        <v>TRUE</v>
      </c>
      <c r="J240" s="17"/>
      <c r="K240" s="17" t="str">
        <f>Github!L$239</f>
        <v>Array;Prefix Sum;</v>
      </c>
      <c r="L240" s="17" t="b">
        <f>Github!M$239</f>
        <v>1</v>
      </c>
      <c r="M240" s="17" t="str">
        <f>ROUND(Github!N$239, 2)&amp;"%"</f>
        <v>1%</v>
      </c>
      <c r="N240" s="17">
        <f>Github!O$239</f>
        <v>63.68293236</v>
      </c>
      <c r="O240" s="17">
        <f>Github!P$239</f>
        <v>1079312</v>
      </c>
    </row>
    <row r="241">
      <c r="A241" s="17">
        <f>Github!J$240</f>
        <v>239</v>
      </c>
      <c r="B241" s="27" t="str">
        <f>HYPERLINK(CONCAT("http://leetcode.com/problems/",Github!C$240), Github!B$240)</f>
        <v>Sliding Window Maximum</v>
      </c>
      <c r="C241" s="17">
        <f>Github!F$240</f>
        <v>9088</v>
      </c>
      <c r="D241" s="17">
        <f>Github!G$240</f>
        <v>317</v>
      </c>
      <c r="E241" s="17">
        <f>Github!F$240+Github!G$240</f>
        <v>9405</v>
      </c>
      <c r="F241" s="18">
        <f t="shared" si="1"/>
        <v>28.67</v>
      </c>
      <c r="G241" s="17" t="str">
        <f>Github!H$240</f>
        <v>Algorithms</v>
      </c>
      <c r="H241" s="17" t="str">
        <f>Github!E$240</f>
        <v>Hard</v>
      </c>
      <c r="I241" s="17" t="str">
        <f>IF(TRIM(Github!D$240)="TRUE","FALSE","TRUE")</f>
        <v>TRUE</v>
      </c>
      <c r="J241" s="17"/>
      <c r="K241" s="17" t="str">
        <f>Github!L$240</f>
        <v>Array;Queue;Sliding Window;Heap (Priority Queue);Monotonic Queue;</v>
      </c>
      <c r="L241" s="17" t="b">
        <f>Github!M$240</f>
        <v>1</v>
      </c>
      <c r="M241" s="17" t="str">
        <f>ROUND(Github!N$240, 2)&amp;"%"</f>
        <v>0%</v>
      </c>
      <c r="N241" s="17">
        <f>Github!O$240</f>
        <v>46.11816075</v>
      </c>
      <c r="O241" s="17">
        <f>Github!P$240</f>
        <v>537807</v>
      </c>
    </row>
    <row r="242">
      <c r="A242" s="17">
        <f>Github!J$241</f>
        <v>240</v>
      </c>
      <c r="B242" s="27" t="str">
        <f>HYPERLINK(CONCAT("http://leetcode.com/problems/",Github!C$241), Github!B$241)</f>
        <v>Search a 2D Matrix II</v>
      </c>
      <c r="C242" s="17">
        <f>Github!F$241</f>
        <v>6848</v>
      </c>
      <c r="D242" s="17">
        <f>Github!G$241</f>
        <v>119</v>
      </c>
      <c r="E242" s="17">
        <f>Github!F$241+Github!G$241</f>
        <v>6967</v>
      </c>
      <c r="F242" s="18">
        <f t="shared" si="1"/>
        <v>57.55</v>
      </c>
      <c r="G242" s="17" t="str">
        <f>Github!H$241</f>
        <v>Algorithms</v>
      </c>
      <c r="H242" s="17" t="str">
        <f>Github!E$241</f>
        <v>Medium</v>
      </c>
      <c r="I242" s="17" t="str">
        <f>IF(TRIM(Github!D$241)="TRUE","FALSE","TRUE")</f>
        <v>TRUE</v>
      </c>
      <c r="J242" s="17"/>
      <c r="K242" s="17" t="str">
        <f>Github!L$241</f>
        <v>Array;Binary Search;Divide and Conquer;Matrix;</v>
      </c>
      <c r="L242" s="17" t="b">
        <f>Github!M$241</f>
        <v>1</v>
      </c>
      <c r="M242" s="17" t="str">
        <f>ROUND(Github!N$241, 2)&amp;"%"</f>
        <v>0%</v>
      </c>
      <c r="N242" s="17">
        <f>Github!O$241</f>
        <v>47.97340379</v>
      </c>
      <c r="O242" s="17">
        <f>Github!P$241</f>
        <v>569555</v>
      </c>
    </row>
    <row r="243">
      <c r="A243" s="17">
        <f>Github!J$242</f>
        <v>241</v>
      </c>
      <c r="B243" s="27" t="str">
        <f>HYPERLINK(CONCAT("http://leetcode.com/problems/",Github!C$242), Github!B$242)</f>
        <v>Different Ways to Add Parentheses</v>
      </c>
      <c r="C243" s="17">
        <f>Github!F$242</f>
        <v>3385</v>
      </c>
      <c r="D243" s="17">
        <f>Github!G$242</f>
        <v>169</v>
      </c>
      <c r="E243" s="17">
        <f>Github!F$242+Github!G$242</f>
        <v>3554</v>
      </c>
      <c r="F243" s="18">
        <f t="shared" si="1"/>
        <v>20.03</v>
      </c>
      <c r="G243" s="17" t="str">
        <f>Github!H$242</f>
        <v>Algorithms</v>
      </c>
      <c r="H243" s="17" t="str">
        <f>Github!E$242</f>
        <v>Medium</v>
      </c>
      <c r="I243" s="17" t="str">
        <f>IF(TRIM(Github!D$242)="TRUE","FALSE","TRUE")</f>
        <v>TRUE</v>
      </c>
      <c r="J243" s="17"/>
      <c r="K243" s="17" t="str">
        <f>Github!L$242</f>
        <v>Math;String;Dynamic Programming;Recursion;Memoization;</v>
      </c>
      <c r="L243" s="17" t="b">
        <f>Github!M$242</f>
        <v>0</v>
      </c>
      <c r="M243" s="17" t="str">
        <f>ROUND(Github!N$242, 2)&amp;"%"</f>
        <v>0%</v>
      </c>
      <c r="N243" s="17">
        <f>Github!O$242</f>
        <v>61.16912769</v>
      </c>
      <c r="O243" s="17">
        <f>Github!P$242</f>
        <v>155923</v>
      </c>
    </row>
    <row r="244">
      <c r="A244" s="17">
        <f>Github!J$243</f>
        <v>242</v>
      </c>
      <c r="B244" s="27" t="str">
        <f>HYPERLINK(CONCAT("http://leetcode.com/problems/",Github!C$243), Github!B$243)</f>
        <v>Valid Anagram</v>
      </c>
      <c r="C244" s="17">
        <f>Github!F$243</f>
        <v>4367</v>
      </c>
      <c r="D244" s="17">
        <f>Github!G$243</f>
        <v>203</v>
      </c>
      <c r="E244" s="17">
        <f>Github!F$243+Github!G$243</f>
        <v>4570</v>
      </c>
      <c r="F244" s="18">
        <f t="shared" si="1"/>
        <v>21.51</v>
      </c>
      <c r="G244" s="17" t="str">
        <f>Github!H$243</f>
        <v>Algorithms</v>
      </c>
      <c r="H244" s="17" t="str">
        <f>Github!E$243</f>
        <v>Easy</v>
      </c>
      <c r="I244" s="17" t="str">
        <f>IF(TRIM(Github!D$243)="TRUE","FALSE","TRUE")</f>
        <v>TRUE</v>
      </c>
      <c r="J244" s="17"/>
      <c r="K244" s="17" t="str">
        <f>Github!L$243</f>
        <v>Hash Table;String;Sorting;</v>
      </c>
      <c r="L244" s="17" t="b">
        <f>Github!M$243</f>
        <v>1</v>
      </c>
      <c r="M244" s="17" t="str">
        <f>ROUND(Github!N$243, 2)&amp;"%"</f>
        <v>1%</v>
      </c>
      <c r="N244" s="17">
        <f>Github!O$243</f>
        <v>61.13027616</v>
      </c>
      <c r="O244" s="17">
        <f>Github!P$243</f>
        <v>1144693</v>
      </c>
    </row>
    <row r="245">
      <c r="A245" s="17">
        <f>Github!J$244</f>
        <v>243</v>
      </c>
      <c r="B245" s="27" t="str">
        <f>HYPERLINK(CONCAT("http://leetcode.com/problems/",Github!C$244), Github!B$244)</f>
        <v>Shortest Word Distance</v>
      </c>
      <c r="C245" s="17">
        <f>Github!F$244</f>
        <v>970</v>
      </c>
      <c r="D245" s="17">
        <f>Github!G$244</f>
        <v>82</v>
      </c>
      <c r="E245" s="17">
        <f>Github!F$244+Github!G$244</f>
        <v>1052</v>
      </c>
      <c r="F245" s="18">
        <f t="shared" si="1"/>
        <v>11.83</v>
      </c>
      <c r="G245" s="17" t="str">
        <f>Github!H$244</f>
        <v>Algorithms</v>
      </c>
      <c r="H245" s="17" t="str">
        <f>Github!E$244</f>
        <v>Easy</v>
      </c>
      <c r="I245" s="17" t="str">
        <f>IF(TRIM(Github!D$244)="TRUE","FALSE","TRUE")</f>
        <v>FALSE</v>
      </c>
      <c r="J245" s="17"/>
      <c r="K245" s="17" t="str">
        <f>Github!L$244</f>
        <v>Array;String;</v>
      </c>
      <c r="L245" s="17" t="b">
        <f>Github!M$244</f>
        <v>1</v>
      </c>
      <c r="M245" s="17" t="str">
        <f>ROUND(Github!N$244, 2)&amp;"%"</f>
        <v>0%</v>
      </c>
      <c r="N245" s="17">
        <f>Github!O$244</f>
        <v>64.08881645</v>
      </c>
      <c r="O245" s="17">
        <f>Github!P$244</f>
        <v>168302</v>
      </c>
    </row>
    <row r="246">
      <c r="A246" s="17">
        <f>Github!J$245</f>
        <v>244</v>
      </c>
      <c r="B246" s="27" t="str">
        <f>HYPERLINK(CONCAT("http://leetcode.com/problems/",Github!C$245), Github!B$245)</f>
        <v>Shortest Word Distance II</v>
      </c>
      <c r="C246" s="17">
        <f>Github!F$245</f>
        <v>797</v>
      </c>
      <c r="D246" s="17">
        <f>Github!G$245</f>
        <v>242</v>
      </c>
      <c r="E246" s="17">
        <f>Github!F$245+Github!G$245</f>
        <v>1039</v>
      </c>
      <c r="F246" s="18">
        <f t="shared" si="1"/>
        <v>3.29</v>
      </c>
      <c r="G246" s="17" t="str">
        <f>Github!H$245</f>
        <v>Algorithms</v>
      </c>
      <c r="H246" s="17" t="str">
        <f>Github!E$245</f>
        <v>Medium</v>
      </c>
      <c r="I246" s="17" t="str">
        <f>IF(TRIM(Github!D$245)="TRUE","FALSE","TRUE")</f>
        <v>FALSE</v>
      </c>
      <c r="J246" s="17"/>
      <c r="K246" s="17" t="str">
        <f>Github!L$245</f>
        <v>Array;Hash Table;Two Pointers;String;Design;</v>
      </c>
      <c r="L246" s="17" t="b">
        <f>Github!M$245</f>
        <v>1</v>
      </c>
      <c r="M246" s="17" t="str">
        <f>ROUND(Github!N$245, 2)&amp;"%"</f>
        <v>0%</v>
      </c>
      <c r="N246" s="17">
        <f>Github!O$245</f>
        <v>58.98343529</v>
      </c>
      <c r="O246" s="17">
        <f>Github!P$245</f>
        <v>120140</v>
      </c>
    </row>
    <row r="247">
      <c r="A247" s="17">
        <f>Github!J$246</f>
        <v>245</v>
      </c>
      <c r="B247" s="27" t="str">
        <f>HYPERLINK(CONCAT("http://leetcode.com/problems/",Github!C$246), Github!B$246)</f>
        <v>Shortest Word Distance III</v>
      </c>
      <c r="C247" s="17">
        <f>Github!F$246</f>
        <v>330</v>
      </c>
      <c r="D247" s="17">
        <f>Github!G$246</f>
        <v>82</v>
      </c>
      <c r="E247" s="17">
        <f>Github!F$246+Github!G$246</f>
        <v>412</v>
      </c>
      <c r="F247" s="18">
        <f t="shared" si="1"/>
        <v>4.02</v>
      </c>
      <c r="G247" s="17" t="str">
        <f>Github!H$246</f>
        <v>Algorithms</v>
      </c>
      <c r="H247" s="17" t="str">
        <f>Github!E$246</f>
        <v>Medium</v>
      </c>
      <c r="I247" s="17" t="str">
        <f>IF(TRIM(Github!D$246)="TRUE","FALSE","TRUE")</f>
        <v>FALSE</v>
      </c>
      <c r="J247" s="17"/>
      <c r="K247" s="17" t="str">
        <f>Github!L$246</f>
        <v>Array;String;</v>
      </c>
      <c r="L247" s="17" t="b">
        <f>Github!M$246</f>
        <v>0</v>
      </c>
      <c r="M247" s="17" t="str">
        <f>ROUND(Github!N$246, 2)&amp;"%"</f>
        <v>0%</v>
      </c>
      <c r="N247" s="17">
        <f>Github!O$246</f>
        <v>57.0778995</v>
      </c>
      <c r="O247" s="17">
        <f>Github!P$246</f>
        <v>65651</v>
      </c>
    </row>
    <row r="248">
      <c r="A248" s="17">
        <f>Github!J$247</f>
        <v>246</v>
      </c>
      <c r="B248" s="27" t="str">
        <f>HYPERLINK(CONCAT("http://leetcode.com/problems/",Github!C$247), Github!B$247)</f>
        <v>Strobogrammatic Number</v>
      </c>
      <c r="C248" s="17">
        <f>Github!F$247</f>
        <v>436</v>
      </c>
      <c r="D248" s="17">
        <f>Github!G$247</f>
        <v>719</v>
      </c>
      <c r="E248" s="17">
        <f>Github!F$247+Github!G$247</f>
        <v>1155</v>
      </c>
      <c r="F248" s="18">
        <f t="shared" si="1"/>
        <v>0.61</v>
      </c>
      <c r="G248" s="17" t="str">
        <f>Github!H$247</f>
        <v>Algorithms</v>
      </c>
      <c r="H248" s="17" t="str">
        <f>Github!E$247</f>
        <v>Easy</v>
      </c>
      <c r="I248" s="17" t="str">
        <f>IF(TRIM(Github!D$247)="TRUE","FALSE","TRUE")</f>
        <v>FALSE</v>
      </c>
      <c r="J248" s="17"/>
      <c r="K248" s="17" t="str">
        <f>Github!L$247</f>
        <v>Hash Table;Two Pointers;String;</v>
      </c>
      <c r="L248" s="17" t="b">
        <f>Github!M$247</f>
        <v>1</v>
      </c>
      <c r="M248" s="17" t="str">
        <f>ROUND(Github!N$247, 2)&amp;"%"</f>
        <v>1%</v>
      </c>
      <c r="N248" s="17">
        <f>Github!O$247</f>
        <v>47.45256259</v>
      </c>
      <c r="O248" s="17">
        <f>Github!P$247</f>
        <v>131490</v>
      </c>
    </row>
    <row r="249">
      <c r="A249" s="17">
        <f>Github!J$248</f>
        <v>247</v>
      </c>
      <c r="B249" s="27" t="str">
        <f>HYPERLINK(CONCAT("http://leetcode.com/problems/",Github!C$248), Github!B$248)</f>
        <v>Strobogrammatic Number II</v>
      </c>
      <c r="C249" s="17">
        <f>Github!F$248</f>
        <v>730</v>
      </c>
      <c r="D249" s="17">
        <f>Github!G$248</f>
        <v>187</v>
      </c>
      <c r="E249" s="17">
        <f>Github!F$248+Github!G$248</f>
        <v>917</v>
      </c>
      <c r="F249" s="18">
        <f t="shared" si="1"/>
        <v>3.9</v>
      </c>
      <c r="G249" s="17" t="str">
        <f>Github!H$248</f>
        <v>Algorithms</v>
      </c>
      <c r="H249" s="17" t="str">
        <f>Github!E$248</f>
        <v>Medium</v>
      </c>
      <c r="I249" s="17" t="str">
        <f>IF(TRIM(Github!D$248)="TRUE","FALSE","TRUE")</f>
        <v>FALSE</v>
      </c>
      <c r="J249" s="17"/>
      <c r="K249" s="17" t="str">
        <f>Github!L$248</f>
        <v>Array;String;Recursion;</v>
      </c>
      <c r="L249" s="17" t="b">
        <f>Github!M$248</f>
        <v>1</v>
      </c>
      <c r="M249" s="17" t="str">
        <f>ROUND(Github!N$248, 2)&amp;"%"</f>
        <v>0%</v>
      </c>
      <c r="N249" s="17">
        <f>Github!O$248</f>
        <v>50.59399796</v>
      </c>
      <c r="O249" s="17">
        <f>Github!P$248</f>
        <v>114132</v>
      </c>
    </row>
    <row r="250">
      <c r="A250" s="17">
        <f>Github!J$249</f>
        <v>248</v>
      </c>
      <c r="B250" s="27" t="str">
        <f>HYPERLINK(CONCAT("http://leetcode.com/problems/",Github!C$249), Github!B$249)</f>
        <v>Strobogrammatic Number III</v>
      </c>
      <c r="C250" s="17">
        <f>Github!F$249</f>
        <v>266</v>
      </c>
      <c r="D250" s="17">
        <f>Github!G$249</f>
        <v>170</v>
      </c>
      <c r="E250" s="17">
        <f>Github!F$249+Github!G$249</f>
        <v>436</v>
      </c>
      <c r="F250" s="18">
        <f t="shared" si="1"/>
        <v>1.56</v>
      </c>
      <c r="G250" s="17" t="str">
        <f>Github!H$249</f>
        <v>Algorithms</v>
      </c>
      <c r="H250" s="17" t="str">
        <f>Github!E$249</f>
        <v>Hard</v>
      </c>
      <c r="I250" s="17" t="str">
        <f>IF(TRIM(Github!D$249)="TRUE","FALSE","TRUE")</f>
        <v>FALSE</v>
      </c>
      <c r="J250" s="17"/>
      <c r="K250" s="17" t="str">
        <f>Github!L$249</f>
        <v>Array;String;Recursion;</v>
      </c>
      <c r="L250" s="17" t="b">
        <f>Github!M$249</f>
        <v>0</v>
      </c>
      <c r="M250" s="17" t="str">
        <f>ROUND(Github!N$249, 2)&amp;"%"</f>
        <v>0%</v>
      </c>
      <c r="N250" s="17">
        <f>Github!O$249</f>
        <v>41.26903553</v>
      </c>
      <c r="O250" s="17">
        <f>Github!P$249</f>
        <v>33333</v>
      </c>
    </row>
    <row r="251">
      <c r="A251" s="17">
        <f>Github!J$250</f>
        <v>249</v>
      </c>
      <c r="B251" s="27" t="str">
        <f>HYPERLINK(CONCAT("http://leetcode.com/problems/",Github!C$250), Github!B$250)</f>
        <v>Group Shifted Strings</v>
      </c>
      <c r="C251" s="17">
        <f>Github!F$250</f>
        <v>1238</v>
      </c>
      <c r="D251" s="17">
        <f>Github!G$250</f>
        <v>227</v>
      </c>
      <c r="E251" s="17">
        <f>Github!F$250+Github!G$250</f>
        <v>1465</v>
      </c>
      <c r="F251" s="18">
        <f t="shared" si="1"/>
        <v>5.45</v>
      </c>
      <c r="G251" s="17" t="str">
        <f>Github!H$250</f>
        <v>Algorithms</v>
      </c>
      <c r="H251" s="17" t="str">
        <f>Github!E$250</f>
        <v>Medium</v>
      </c>
      <c r="I251" s="17" t="str">
        <f>IF(TRIM(Github!D$250)="TRUE","FALSE","TRUE")</f>
        <v>FALSE</v>
      </c>
      <c r="J251" s="17"/>
      <c r="K251" s="17" t="str">
        <f>Github!L$250</f>
        <v>Array;Hash Table;String;</v>
      </c>
      <c r="L251" s="17" t="b">
        <f>Github!M$250</f>
        <v>1</v>
      </c>
      <c r="M251" s="17" t="str">
        <f>ROUND(Github!N$250, 2)&amp;"%"</f>
        <v>0%</v>
      </c>
      <c r="N251" s="17">
        <f>Github!O$250</f>
        <v>63.01421271</v>
      </c>
      <c r="O251" s="17">
        <f>Github!P$250</f>
        <v>157836</v>
      </c>
    </row>
    <row r="252">
      <c r="A252" s="17">
        <f>Github!J$251</f>
        <v>250</v>
      </c>
      <c r="B252" s="27" t="str">
        <f>HYPERLINK(CONCAT("http://leetcode.com/problems/",Github!C$251), Github!B$251)</f>
        <v>Count Univalue Subtrees</v>
      </c>
      <c r="C252" s="17">
        <f>Github!F$251</f>
        <v>909</v>
      </c>
      <c r="D252" s="17">
        <f>Github!G$251</f>
        <v>286</v>
      </c>
      <c r="E252" s="17">
        <f>Github!F$251+Github!G$251</f>
        <v>1195</v>
      </c>
      <c r="F252" s="18">
        <f t="shared" si="1"/>
        <v>3.18</v>
      </c>
      <c r="G252" s="17" t="str">
        <f>Github!H$251</f>
        <v>Algorithms</v>
      </c>
      <c r="H252" s="17" t="str">
        <f>Github!E$251</f>
        <v>Medium</v>
      </c>
      <c r="I252" s="17" t="str">
        <f>IF(TRIM(Github!D$251)="TRUE","FALSE","TRUE")</f>
        <v>FALSE</v>
      </c>
      <c r="J252" s="17"/>
      <c r="K252" s="17" t="str">
        <f>Github!L$251</f>
        <v>Tree;Depth-First Search;Binary Tree;</v>
      </c>
      <c r="L252" s="17" t="b">
        <f>Github!M$251</f>
        <v>1</v>
      </c>
      <c r="M252" s="17" t="str">
        <f>ROUND(Github!N$251, 2)&amp;"%"</f>
        <v>0%</v>
      </c>
      <c r="N252" s="17">
        <f>Github!O$251</f>
        <v>54.68422157</v>
      </c>
      <c r="O252" s="17">
        <f>Github!P$251</f>
        <v>114674</v>
      </c>
    </row>
    <row r="253">
      <c r="A253" s="17">
        <f>Github!J$252</f>
        <v>251</v>
      </c>
      <c r="B253" s="27" t="str">
        <f>HYPERLINK(CONCAT("http://leetcode.com/problems/",Github!C$252), Github!B$252)</f>
        <v>Flatten 2D Vector</v>
      </c>
      <c r="C253" s="17">
        <f>Github!F$252</f>
        <v>551</v>
      </c>
      <c r="D253" s="17">
        <f>Github!G$252</f>
        <v>304</v>
      </c>
      <c r="E253" s="17">
        <f>Github!F$252+Github!G$252</f>
        <v>855</v>
      </c>
      <c r="F253" s="18">
        <f t="shared" si="1"/>
        <v>1.81</v>
      </c>
      <c r="G253" s="17" t="str">
        <f>Github!H$252</f>
        <v>Algorithms</v>
      </c>
      <c r="H253" s="17" t="str">
        <f>Github!E$252</f>
        <v>Medium</v>
      </c>
      <c r="I253" s="17" t="str">
        <f>IF(TRIM(Github!D$252)="TRUE","FALSE","TRUE")</f>
        <v>FALSE</v>
      </c>
      <c r="J253" s="17"/>
      <c r="K253" s="17" t="str">
        <f>Github!L$252</f>
        <v>Array;Two Pointers;Design;Iterator;</v>
      </c>
      <c r="L253" s="17" t="b">
        <f>Github!M$252</f>
        <v>1</v>
      </c>
      <c r="M253" s="17" t="str">
        <f>ROUND(Github!N$252, 2)&amp;"%"</f>
        <v>0%</v>
      </c>
      <c r="N253" s="17">
        <f>Github!O$252</f>
        <v>47.73582678</v>
      </c>
      <c r="O253" s="17">
        <f>Github!P$252</f>
        <v>101083</v>
      </c>
    </row>
    <row r="254">
      <c r="A254" s="17">
        <f>Github!J$253</f>
        <v>252</v>
      </c>
      <c r="B254" s="27" t="str">
        <f>HYPERLINK(CONCAT("http://leetcode.com/problems/",Github!C$253), Github!B$253)</f>
        <v>Meeting Rooms</v>
      </c>
      <c r="C254" s="17">
        <f>Github!F$253</f>
        <v>1329</v>
      </c>
      <c r="D254" s="17">
        <f>Github!G$253</f>
        <v>65</v>
      </c>
      <c r="E254" s="17">
        <f>Github!F$253+Github!G$253</f>
        <v>1394</v>
      </c>
      <c r="F254" s="18">
        <f t="shared" si="1"/>
        <v>20.45</v>
      </c>
      <c r="G254" s="17" t="str">
        <f>Github!H$253</f>
        <v>Algorithms</v>
      </c>
      <c r="H254" s="17" t="str">
        <f>Github!E$253</f>
        <v>Easy</v>
      </c>
      <c r="I254" s="17" t="str">
        <f>IF(TRIM(Github!D$253)="TRUE","FALSE","TRUE")</f>
        <v>FALSE</v>
      </c>
      <c r="J254" s="17"/>
      <c r="K254" s="17" t="str">
        <f>Github!L$253</f>
        <v>Array;Sorting;</v>
      </c>
      <c r="L254" s="17" t="b">
        <f>Github!M$253</f>
        <v>1</v>
      </c>
      <c r="M254" s="17" t="str">
        <f>ROUND(Github!N$253, 2)&amp;"%"</f>
        <v>1%</v>
      </c>
      <c r="N254" s="17">
        <f>Github!O$253</f>
        <v>56.59150169</v>
      </c>
      <c r="O254" s="17">
        <f>Github!P$253</f>
        <v>254147</v>
      </c>
    </row>
    <row r="255">
      <c r="A255" s="17">
        <f>Github!J$254</f>
        <v>253</v>
      </c>
      <c r="B255" s="27" t="str">
        <f>HYPERLINK(CONCAT("http://leetcode.com/problems/",Github!C$254), Github!B$254)</f>
        <v>Meeting Rooms II</v>
      </c>
      <c r="C255" s="17">
        <f>Github!F$254</f>
        <v>5236</v>
      </c>
      <c r="D255" s="17">
        <f>Github!G$254</f>
        <v>104</v>
      </c>
      <c r="E255" s="17">
        <f>Github!F$254+Github!G$254</f>
        <v>5340</v>
      </c>
      <c r="F255" s="18">
        <f t="shared" si="1"/>
        <v>50.35</v>
      </c>
      <c r="G255" s="17" t="str">
        <f>Github!H$254</f>
        <v>Algorithms</v>
      </c>
      <c r="H255" s="17" t="str">
        <f>Github!E$254</f>
        <v>Medium</v>
      </c>
      <c r="I255" s="17" t="str">
        <f>IF(TRIM(Github!D$254)="TRUE","FALSE","TRUE")</f>
        <v>FALSE</v>
      </c>
      <c r="J255" s="17"/>
      <c r="K255" s="17" t="str">
        <f>Github!L$254</f>
        <v>Array;Two Pointers;Greedy;Sorting;Heap (Priority Queue);</v>
      </c>
      <c r="L255" s="17" t="b">
        <f>Github!M$254</f>
        <v>1</v>
      </c>
      <c r="M255" s="17" t="str">
        <f>ROUND(Github!N$254, 2)&amp;"%"</f>
        <v>0%</v>
      </c>
      <c r="N255" s="17">
        <f>Github!O$254</f>
        <v>49.4034928</v>
      </c>
      <c r="O255" s="17">
        <f>Github!P$254</f>
        <v>599198</v>
      </c>
    </row>
    <row r="256">
      <c r="A256" s="17">
        <f>Github!J$255</f>
        <v>254</v>
      </c>
      <c r="B256" s="27" t="str">
        <f>HYPERLINK(CONCAT("http://leetcode.com/problems/",Github!C$255), Github!B$255)</f>
        <v>Factor Combinations</v>
      </c>
      <c r="C256" s="17">
        <f>Github!F$255</f>
        <v>871</v>
      </c>
      <c r="D256" s="17">
        <f>Github!G$255</f>
        <v>45</v>
      </c>
      <c r="E256" s="17">
        <f>Github!F$255+Github!G$255</f>
        <v>916</v>
      </c>
      <c r="F256" s="18">
        <f t="shared" si="1"/>
        <v>19.36</v>
      </c>
      <c r="G256" s="17" t="str">
        <f>Github!H$255</f>
        <v>Algorithms</v>
      </c>
      <c r="H256" s="17" t="str">
        <f>Github!E$255</f>
        <v>Medium</v>
      </c>
      <c r="I256" s="17" t="str">
        <f>IF(TRIM(Github!D$255)="TRUE","FALSE","TRUE")</f>
        <v>FALSE</v>
      </c>
      <c r="J256" s="17"/>
      <c r="K256" s="17" t="str">
        <f>Github!L$255</f>
        <v>Array;Backtracking;</v>
      </c>
      <c r="L256" s="17" t="b">
        <f>Github!M$255</f>
        <v>0</v>
      </c>
      <c r="M256" s="17" t="str">
        <f>ROUND(Github!N$255, 2)&amp;"%"</f>
        <v>0%</v>
      </c>
      <c r="N256" s="17">
        <f>Github!O$255</f>
        <v>48.55058535</v>
      </c>
      <c r="O256" s="17">
        <f>Github!P$255</f>
        <v>103555</v>
      </c>
    </row>
    <row r="257">
      <c r="A257" s="17">
        <f>Github!J$256</f>
        <v>255</v>
      </c>
      <c r="B257" s="27" t="str">
        <f>HYPERLINK(CONCAT("http://leetcode.com/problems/",Github!C$256), Github!B$256)</f>
        <v>Verify Preorder Sequence in Binary Search Tree</v>
      </c>
      <c r="C257" s="17">
        <f>Github!F$256</f>
        <v>900</v>
      </c>
      <c r="D257" s="17">
        <f>Github!G$256</f>
        <v>68</v>
      </c>
      <c r="E257" s="17">
        <f>Github!F$256+Github!G$256</f>
        <v>968</v>
      </c>
      <c r="F257" s="18">
        <f t="shared" si="1"/>
        <v>13.24</v>
      </c>
      <c r="G257" s="17" t="str">
        <f>Github!H$256</f>
        <v>Algorithms</v>
      </c>
      <c r="H257" s="17" t="str">
        <f>Github!E$256</f>
        <v>Medium</v>
      </c>
      <c r="I257" s="17" t="str">
        <f>IF(TRIM(Github!D$256)="TRUE","FALSE","TRUE")</f>
        <v>FALSE</v>
      </c>
      <c r="J257" s="17"/>
      <c r="K257" s="17" t="str">
        <f>Github!L$256</f>
        <v>Stack;Tree;Binary Search Tree;Recursion;Monotonic Stack;Binary Tree;</v>
      </c>
      <c r="L257" s="17" t="b">
        <f>Github!M$256</f>
        <v>0</v>
      </c>
      <c r="M257" s="17" t="str">
        <f>ROUND(Github!N$256, 2)&amp;"%"</f>
        <v>0%</v>
      </c>
      <c r="N257" s="17">
        <f>Github!O$256</f>
        <v>47.40671628</v>
      </c>
      <c r="O257" s="17">
        <f>Github!P$256</f>
        <v>63004</v>
      </c>
    </row>
    <row r="258">
      <c r="A258" s="17">
        <f>Github!J$257</f>
        <v>256</v>
      </c>
      <c r="B258" s="27" t="str">
        <f>HYPERLINK(CONCAT("http://leetcode.com/problems/",Github!C$257), Github!B$257)</f>
        <v>Paint House</v>
      </c>
      <c r="C258" s="17">
        <f>Github!F$257</f>
        <v>1707</v>
      </c>
      <c r="D258" s="17">
        <f>Github!G$257</f>
        <v>117</v>
      </c>
      <c r="E258" s="17">
        <f>Github!F$257+Github!G$257</f>
        <v>1824</v>
      </c>
      <c r="F258" s="18">
        <f t="shared" si="1"/>
        <v>14.59</v>
      </c>
      <c r="G258" s="17" t="str">
        <f>Github!H$257</f>
        <v>Algorithms</v>
      </c>
      <c r="H258" s="17" t="str">
        <f>Github!E$257</f>
        <v>Medium</v>
      </c>
      <c r="I258" s="17" t="str">
        <f>IF(TRIM(Github!D$257)="TRUE","FALSE","TRUE")</f>
        <v>FALSE</v>
      </c>
      <c r="J258" s="17"/>
      <c r="K258" s="17" t="str">
        <f>Github!L$257</f>
        <v>Array;Dynamic Programming;</v>
      </c>
      <c r="L258" s="17" t="b">
        <f>Github!M$257</f>
        <v>1</v>
      </c>
      <c r="M258" s="17" t="str">
        <f>ROUND(Github!N$257, 2)&amp;"%"</f>
        <v>0%</v>
      </c>
      <c r="N258" s="17">
        <f>Github!O$257</f>
        <v>58.24335063</v>
      </c>
      <c r="O258" s="17">
        <f>Github!P$257</f>
        <v>149518</v>
      </c>
    </row>
    <row r="259">
      <c r="A259" s="17">
        <f>Github!J$258</f>
        <v>257</v>
      </c>
      <c r="B259" s="27" t="str">
        <f>HYPERLINK(CONCAT("http://leetcode.com/problems/",Github!C$258), Github!B$258)</f>
        <v>Binary Tree Paths</v>
      </c>
      <c r="C259" s="17">
        <f>Github!F$258</f>
        <v>3790</v>
      </c>
      <c r="D259" s="17">
        <f>Github!G$258</f>
        <v>175</v>
      </c>
      <c r="E259" s="17">
        <f>Github!F$258+Github!G$258</f>
        <v>3965</v>
      </c>
      <c r="F259" s="18">
        <f t="shared" si="1"/>
        <v>21.66</v>
      </c>
      <c r="G259" s="17" t="str">
        <f>Github!H$258</f>
        <v>Algorithms</v>
      </c>
      <c r="H259" s="17" t="str">
        <f>Github!E$258</f>
        <v>Easy</v>
      </c>
      <c r="I259" s="17" t="str">
        <f>IF(TRIM(Github!D$258)="TRUE","FALSE","TRUE")</f>
        <v>TRUE</v>
      </c>
      <c r="J259" s="17"/>
      <c r="K259" s="17" t="str">
        <f>Github!L$258</f>
        <v>String;Backtracking;Tree;Depth-First Search;Binary Tree;</v>
      </c>
      <c r="L259" s="17" t="b">
        <f>Github!M$258</f>
        <v>1</v>
      </c>
      <c r="M259" s="17" t="str">
        <f>ROUND(Github!N$258, 2)&amp;"%"</f>
        <v>0%</v>
      </c>
      <c r="N259" s="17">
        <f>Github!O$258</f>
        <v>58.07169993</v>
      </c>
      <c r="O259" s="17">
        <f>Github!P$258</f>
        <v>489450</v>
      </c>
    </row>
    <row r="260">
      <c r="A260" s="17">
        <f>Github!J$259</f>
        <v>258</v>
      </c>
      <c r="B260" s="27" t="str">
        <f>HYPERLINK(CONCAT("http://leetcode.com/problems/",Github!C$259), Github!B$259)</f>
        <v>Add Digits</v>
      </c>
      <c r="C260" s="17">
        <f>Github!F$259</f>
        <v>2350</v>
      </c>
      <c r="D260" s="17">
        <f>Github!G$259</f>
        <v>1635</v>
      </c>
      <c r="E260" s="17">
        <f>Github!F$259+Github!G$259</f>
        <v>3985</v>
      </c>
      <c r="F260" s="18">
        <f t="shared" si="1"/>
        <v>1.44</v>
      </c>
      <c r="G260" s="17" t="str">
        <f>Github!H$259</f>
        <v>Algorithms</v>
      </c>
      <c r="H260" s="17" t="str">
        <f>Github!E$259</f>
        <v>Easy</v>
      </c>
      <c r="I260" s="17" t="str">
        <f>IF(TRIM(Github!D$259)="TRUE","FALSE","TRUE")</f>
        <v>TRUE</v>
      </c>
      <c r="J260" s="17"/>
      <c r="K260" s="17" t="str">
        <f>Github!L$259</f>
        <v>Math;Simulation;Number Theory;</v>
      </c>
      <c r="L260" s="17" t="b">
        <f>Github!M$259</f>
        <v>1</v>
      </c>
      <c r="M260" s="17" t="str">
        <f>ROUND(Github!N$259, 2)&amp;"%"</f>
        <v>0%</v>
      </c>
      <c r="N260" s="17">
        <f>Github!O$259</f>
        <v>62.24182327</v>
      </c>
      <c r="O260" s="17">
        <f>Github!P$259</f>
        <v>457326</v>
      </c>
    </row>
    <row r="261">
      <c r="A261" s="17">
        <f>Github!J$260</f>
        <v>259</v>
      </c>
      <c r="B261" s="27" t="str">
        <f>HYPERLINK(CONCAT("http://leetcode.com/problems/",Github!C$260), Github!B$260)</f>
        <v>3Sum Smaller</v>
      </c>
      <c r="C261" s="17">
        <f>Github!F$260</f>
        <v>1195</v>
      </c>
      <c r="D261" s="17">
        <f>Github!G$260</f>
        <v>122</v>
      </c>
      <c r="E261" s="17">
        <f>Github!F$260+Github!G$260</f>
        <v>1317</v>
      </c>
      <c r="F261" s="18">
        <f t="shared" si="1"/>
        <v>9.8</v>
      </c>
      <c r="G261" s="17" t="str">
        <f>Github!H$260</f>
        <v>Algorithms</v>
      </c>
      <c r="H261" s="17" t="str">
        <f>Github!E$260</f>
        <v>Medium</v>
      </c>
      <c r="I261" s="17" t="str">
        <f>IF(TRIM(Github!D$260)="TRUE","FALSE","TRUE")</f>
        <v>FALSE</v>
      </c>
      <c r="J261" s="17"/>
      <c r="K261" s="17" t="str">
        <f>Github!L$260</f>
        <v>Array;Two Pointers;Binary Search;Sorting;</v>
      </c>
      <c r="L261" s="17" t="b">
        <f>Github!M$260</f>
        <v>1</v>
      </c>
      <c r="M261" s="17" t="str">
        <f>ROUND(Github!N$260, 2)&amp;"%"</f>
        <v>0%</v>
      </c>
      <c r="N261" s="17">
        <f>Github!O$260</f>
        <v>50.23640822</v>
      </c>
      <c r="O261" s="17">
        <f>Github!P$260</f>
        <v>111242</v>
      </c>
    </row>
    <row r="262">
      <c r="A262" s="17">
        <f>Github!J$261</f>
        <v>260</v>
      </c>
      <c r="B262" s="27" t="str">
        <f>HYPERLINK(CONCAT("http://leetcode.com/problems/",Github!C$261), Github!B$261)</f>
        <v>Single Number III</v>
      </c>
      <c r="C262" s="17">
        <f>Github!F$261</f>
        <v>3720</v>
      </c>
      <c r="D262" s="17">
        <f>Github!G$261</f>
        <v>178</v>
      </c>
      <c r="E262" s="17">
        <f>Github!F$261+Github!G$261</f>
        <v>3898</v>
      </c>
      <c r="F262" s="18">
        <f t="shared" si="1"/>
        <v>20.9</v>
      </c>
      <c r="G262" s="17" t="str">
        <f>Github!H$261</f>
        <v>Algorithms</v>
      </c>
      <c r="H262" s="17" t="str">
        <f>Github!E$261</f>
        <v>Medium</v>
      </c>
      <c r="I262" s="17" t="str">
        <f>IF(TRIM(Github!D$261)="TRUE","FALSE","TRUE")</f>
        <v>TRUE</v>
      </c>
      <c r="J262" s="17"/>
      <c r="K262" s="17" t="str">
        <f>Github!L$261</f>
        <v>Array;Bit Manipulation;</v>
      </c>
      <c r="L262" s="17" t="b">
        <f>Github!M$261</f>
        <v>1</v>
      </c>
      <c r="M262" s="17" t="str">
        <f>ROUND(Github!N$261, 2)&amp;"%"</f>
        <v>0%</v>
      </c>
      <c r="N262" s="17">
        <f>Github!O$261</f>
        <v>67.03995817</v>
      </c>
      <c r="O262" s="17">
        <f>Github!P$261</f>
        <v>246158</v>
      </c>
    </row>
    <row r="263">
      <c r="A263" s="17">
        <f>Github!J$262</f>
        <v>261</v>
      </c>
      <c r="B263" s="27" t="str">
        <f>HYPERLINK(CONCAT("http://leetcode.com/problems/",Github!C$262), Github!B$262)</f>
        <v>Graph Valid Tree</v>
      </c>
      <c r="C263" s="17">
        <f>Github!F$262</f>
        <v>2237</v>
      </c>
      <c r="D263" s="17">
        <f>Github!G$262</f>
        <v>57</v>
      </c>
      <c r="E263" s="17">
        <f>Github!F$262+Github!G$262</f>
        <v>2294</v>
      </c>
      <c r="F263" s="18">
        <f t="shared" si="1"/>
        <v>39.25</v>
      </c>
      <c r="G263" s="17" t="str">
        <f>Github!H$262</f>
        <v>Algorithms</v>
      </c>
      <c r="H263" s="17" t="str">
        <f>Github!E$262</f>
        <v>Medium</v>
      </c>
      <c r="I263" s="17" t="str">
        <f>IF(TRIM(Github!D$262)="TRUE","FALSE","TRUE")</f>
        <v>FALSE</v>
      </c>
      <c r="J263" s="17"/>
      <c r="K263" s="17" t="str">
        <f>Github!L$262</f>
        <v>Depth-First Search;Breadth-First Search;Union Find;Graph;</v>
      </c>
      <c r="L263" s="17" t="b">
        <f>Github!M$262</f>
        <v>1</v>
      </c>
      <c r="M263" s="17" t="str">
        <f>ROUND(Github!N$262, 2)&amp;"%"</f>
        <v>0%</v>
      </c>
      <c r="N263" s="17">
        <f>Github!O$262</f>
        <v>45.5105427</v>
      </c>
      <c r="O263" s="17">
        <f>Github!P$262</f>
        <v>242189</v>
      </c>
    </row>
    <row r="264">
      <c r="A264" s="17">
        <f>Github!J$263</f>
        <v>262</v>
      </c>
      <c r="B264" s="27" t="str">
        <f>HYPERLINK(CONCAT("http://leetcode.com/problems/",Github!C$263), Github!B$263)</f>
        <v>Trips and Users</v>
      </c>
      <c r="C264" s="17">
        <f>Github!F$263</f>
        <v>680</v>
      </c>
      <c r="D264" s="17">
        <f>Github!G$263</f>
        <v>443</v>
      </c>
      <c r="E264" s="17">
        <f>Github!F$263+Github!G$263</f>
        <v>1123</v>
      </c>
      <c r="F264" s="18">
        <f t="shared" si="1"/>
        <v>1.53</v>
      </c>
      <c r="G264" s="17" t="str">
        <f>Github!H$263</f>
        <v>Database</v>
      </c>
      <c r="H264" s="17" t="str">
        <f>Github!E$263</f>
        <v>Hard</v>
      </c>
      <c r="I264" s="17" t="str">
        <f>IF(TRIM(Github!D$263)="TRUE","FALSE","TRUE")</f>
        <v>TRUE</v>
      </c>
      <c r="J264" s="17"/>
      <c r="K264" s="17" t="str">
        <f>Github!L$263</f>
        <v>Database;</v>
      </c>
      <c r="L264" s="17" t="b">
        <f>Github!M$263</f>
        <v>0</v>
      </c>
      <c r="M264" s="17" t="str">
        <f>ROUND(Github!N$263, 2)&amp;"%"</f>
        <v>0%</v>
      </c>
      <c r="N264" s="17">
        <f>Github!O$263</f>
        <v>37.58496173</v>
      </c>
      <c r="O264" s="17">
        <f>Github!P$263</f>
        <v>108768</v>
      </c>
    </row>
    <row r="265">
      <c r="A265" s="17">
        <f>Github!J$264</f>
        <v>263</v>
      </c>
      <c r="B265" s="27" t="str">
        <f>HYPERLINK(CONCAT("http://leetcode.com/problems/",Github!C$264), Github!B$264)</f>
        <v>Ugly Number</v>
      </c>
      <c r="C265" s="17">
        <f>Github!F$264</f>
        <v>1300</v>
      </c>
      <c r="D265" s="17">
        <f>Github!G$264</f>
        <v>1004</v>
      </c>
      <c r="E265" s="17">
        <f>Github!F$264+Github!G$264</f>
        <v>2304</v>
      </c>
      <c r="F265" s="18">
        <f t="shared" si="1"/>
        <v>1.29</v>
      </c>
      <c r="G265" s="17" t="str">
        <f>Github!H$264</f>
        <v>Algorithms</v>
      </c>
      <c r="H265" s="17" t="str">
        <f>Github!E$264</f>
        <v>Easy</v>
      </c>
      <c r="I265" s="17" t="str">
        <f>IF(TRIM(Github!D$264)="TRUE","FALSE","TRUE")</f>
        <v>TRUE</v>
      </c>
      <c r="J265" s="17"/>
      <c r="K265" s="17" t="str">
        <f>Github!L$264</f>
        <v>Math;</v>
      </c>
      <c r="L265" s="17" t="b">
        <f>Github!M$264</f>
        <v>0</v>
      </c>
      <c r="M265" s="17" t="str">
        <f>ROUND(Github!N$264, 2)&amp;"%"</f>
        <v>0%</v>
      </c>
      <c r="N265" s="17">
        <f>Github!O$264</f>
        <v>41.85520296</v>
      </c>
      <c r="O265" s="17">
        <f>Github!P$264</f>
        <v>286527</v>
      </c>
    </row>
    <row r="266">
      <c r="A266" s="17">
        <f>Github!J$265</f>
        <v>264</v>
      </c>
      <c r="B266" s="27" t="str">
        <f>HYPERLINK(CONCAT("http://leetcode.com/problems/",Github!C$265), Github!B$265)</f>
        <v>Ugly Number II</v>
      </c>
      <c r="C266" s="17">
        <f>Github!F$265</f>
        <v>3810</v>
      </c>
      <c r="D266" s="17">
        <f>Github!G$265</f>
        <v>205</v>
      </c>
      <c r="E266" s="17">
        <f>Github!F$265+Github!G$265</f>
        <v>4015</v>
      </c>
      <c r="F266" s="18">
        <f t="shared" si="1"/>
        <v>18.59</v>
      </c>
      <c r="G266" s="17" t="str">
        <f>Github!H$265</f>
        <v>Algorithms</v>
      </c>
      <c r="H266" s="17" t="str">
        <f>Github!E$265</f>
        <v>Medium</v>
      </c>
      <c r="I266" s="17" t="str">
        <f>IF(TRIM(Github!D$265)="TRUE","FALSE","TRUE")</f>
        <v>TRUE</v>
      </c>
      <c r="J266" s="17"/>
      <c r="K266" s="17" t="str">
        <f>Github!L$265</f>
        <v>Hash Table;Math;Dynamic Programming;Heap (Priority Queue);</v>
      </c>
      <c r="L266" s="17" t="b">
        <f>Github!M$265</f>
        <v>0</v>
      </c>
      <c r="M266" s="17" t="str">
        <f>ROUND(Github!N$265, 2)&amp;"%"</f>
        <v>0%</v>
      </c>
      <c r="N266" s="17">
        <f>Github!O$265</f>
        <v>45.03023009</v>
      </c>
      <c r="O266" s="17">
        <f>Github!P$265</f>
        <v>249952</v>
      </c>
    </row>
    <row r="267">
      <c r="A267" s="17">
        <f>Github!J$266</f>
        <v>265</v>
      </c>
      <c r="B267" s="27" t="str">
        <f>HYPERLINK(CONCAT("http://leetcode.com/problems/",Github!C$266), Github!B$266)</f>
        <v>Paint House II</v>
      </c>
      <c r="C267" s="17">
        <f>Github!F$266</f>
        <v>941</v>
      </c>
      <c r="D267" s="17">
        <f>Github!G$266</f>
        <v>32</v>
      </c>
      <c r="E267" s="17">
        <f>Github!F$266+Github!G$266</f>
        <v>973</v>
      </c>
      <c r="F267" s="18">
        <f t="shared" si="1"/>
        <v>29.41</v>
      </c>
      <c r="G267" s="17" t="str">
        <f>Github!H$266</f>
        <v>Algorithms</v>
      </c>
      <c r="H267" s="17" t="str">
        <f>Github!E$266</f>
        <v>Hard</v>
      </c>
      <c r="I267" s="17" t="str">
        <f>IF(TRIM(Github!D$266)="TRUE","FALSE","TRUE")</f>
        <v>FALSE</v>
      </c>
      <c r="J267" s="17"/>
      <c r="K267" s="17" t="str">
        <f>Github!L$266</f>
        <v>Array;Dynamic Programming;</v>
      </c>
      <c r="L267" s="17" t="b">
        <f>Github!M$266</f>
        <v>1</v>
      </c>
      <c r="M267" s="17" t="str">
        <f>ROUND(Github!N$266, 2)&amp;"%"</f>
        <v>0%</v>
      </c>
      <c r="N267" s="17">
        <f>Github!O$266</f>
        <v>50.26347214</v>
      </c>
      <c r="O267" s="17">
        <f>Github!P$266</f>
        <v>91762</v>
      </c>
    </row>
    <row r="268">
      <c r="A268" s="17">
        <f>Github!J$267</f>
        <v>266</v>
      </c>
      <c r="B268" s="27" t="str">
        <f>HYPERLINK(CONCAT("http://leetcode.com/problems/",Github!C$267), Github!B$267)</f>
        <v>Palindrome Permutation</v>
      </c>
      <c r="C268" s="17">
        <f>Github!F$267</f>
        <v>843</v>
      </c>
      <c r="D268" s="17">
        <f>Github!G$267</f>
        <v>63</v>
      </c>
      <c r="E268" s="17">
        <f>Github!F$267+Github!G$267</f>
        <v>906</v>
      </c>
      <c r="F268" s="18">
        <f t="shared" si="1"/>
        <v>13.38</v>
      </c>
      <c r="G268" s="17" t="str">
        <f>Github!H$267</f>
        <v>Algorithms</v>
      </c>
      <c r="H268" s="17" t="str">
        <f>Github!E$267</f>
        <v>Easy</v>
      </c>
      <c r="I268" s="17" t="str">
        <f>IF(TRIM(Github!D$267)="TRUE","FALSE","TRUE")</f>
        <v>FALSE</v>
      </c>
      <c r="J268" s="17"/>
      <c r="K268" s="17" t="str">
        <f>Github!L$267</f>
        <v>Hash Table;String;Bit Manipulation;</v>
      </c>
      <c r="L268" s="17" t="b">
        <f>Github!M$267</f>
        <v>1</v>
      </c>
      <c r="M268" s="17" t="str">
        <f>ROUND(Github!N$267, 2)&amp;"%"</f>
        <v>0%</v>
      </c>
      <c r="N268" s="17">
        <f>Github!O$267</f>
        <v>65.11494276</v>
      </c>
      <c r="O268" s="17">
        <f>Github!P$267</f>
        <v>158641</v>
      </c>
    </row>
    <row r="269">
      <c r="A269" s="17">
        <f>Github!J$268</f>
        <v>267</v>
      </c>
      <c r="B269" s="27" t="str">
        <f>HYPERLINK(CONCAT("http://leetcode.com/problems/",Github!C$268), Github!B$268)</f>
        <v>Palindrome Permutation II</v>
      </c>
      <c r="C269" s="17">
        <f>Github!F$268</f>
        <v>696</v>
      </c>
      <c r="D269" s="17">
        <f>Github!G$268</f>
        <v>83</v>
      </c>
      <c r="E269" s="17">
        <f>Github!F$268+Github!G$268</f>
        <v>779</v>
      </c>
      <c r="F269" s="18">
        <f t="shared" si="1"/>
        <v>8.39</v>
      </c>
      <c r="G269" s="17" t="str">
        <f>Github!H$268</f>
        <v>Algorithms</v>
      </c>
      <c r="H269" s="17" t="str">
        <f>Github!E$268</f>
        <v>Medium</v>
      </c>
      <c r="I269" s="17" t="str">
        <f>IF(TRIM(Github!D$268)="TRUE","FALSE","TRUE")</f>
        <v>FALSE</v>
      </c>
      <c r="J269" s="17"/>
      <c r="K269" s="17" t="str">
        <f>Github!L$268</f>
        <v>Hash Table;String;Backtracking;</v>
      </c>
      <c r="L269" s="17" t="b">
        <f>Github!M$268</f>
        <v>1</v>
      </c>
      <c r="M269" s="17" t="str">
        <f>ROUND(Github!N$268, 2)&amp;"%"</f>
        <v>0%</v>
      </c>
      <c r="N269" s="17">
        <f>Github!O$268</f>
        <v>39.39748181</v>
      </c>
      <c r="O269" s="17">
        <f>Github!P$268</f>
        <v>52912</v>
      </c>
    </row>
    <row r="270">
      <c r="A270" s="17">
        <f>Github!J$269</f>
        <v>268</v>
      </c>
      <c r="B270" s="27" t="str">
        <f>HYPERLINK(CONCAT("http://leetcode.com/problems/",Github!C$269), Github!B$269)</f>
        <v>Missing Number</v>
      </c>
      <c r="C270" s="17">
        <f>Github!F$269</f>
        <v>5039</v>
      </c>
      <c r="D270" s="17">
        <f>Github!G$269</f>
        <v>2806</v>
      </c>
      <c r="E270" s="17">
        <f>Github!F$269+Github!G$269</f>
        <v>7845</v>
      </c>
      <c r="F270" s="18">
        <f t="shared" si="1"/>
        <v>1.8</v>
      </c>
      <c r="G270" s="17" t="str">
        <f>Github!H$269</f>
        <v>Algorithms</v>
      </c>
      <c r="H270" s="17" t="str">
        <f>Github!E$269</f>
        <v>Easy</v>
      </c>
      <c r="I270" s="17" t="str">
        <f>IF(TRIM(Github!D$269)="TRUE","FALSE","TRUE")</f>
        <v>TRUE</v>
      </c>
      <c r="J270" s="17"/>
      <c r="K270" s="17" t="str">
        <f>Github!L$269</f>
        <v>Array;Hash Table;Math;Bit Manipulation;Sorting;</v>
      </c>
      <c r="L270" s="17" t="b">
        <f>Github!M$269</f>
        <v>1</v>
      </c>
      <c r="M270" s="17" t="str">
        <f>ROUND(Github!N$269, 2)&amp;"%"</f>
        <v>0%</v>
      </c>
      <c r="N270" s="17">
        <f>Github!O$269</f>
        <v>58.97579474</v>
      </c>
      <c r="O270" s="17">
        <f>Github!P$269</f>
        <v>939465</v>
      </c>
    </row>
    <row r="271">
      <c r="A271" s="17">
        <f>Github!J$270</f>
        <v>269</v>
      </c>
      <c r="B271" s="27" t="str">
        <f>HYPERLINK(CONCAT("http://leetcode.com/problems/",Github!C$270), Github!B$270)</f>
        <v>Alien Dictionary</v>
      </c>
      <c r="C271" s="17">
        <f>Github!F$270</f>
        <v>3402</v>
      </c>
      <c r="D271" s="17">
        <f>Github!G$270</f>
        <v>694</v>
      </c>
      <c r="E271" s="17">
        <f>Github!F$270+Github!G$270</f>
        <v>4096</v>
      </c>
      <c r="F271" s="18">
        <f t="shared" si="1"/>
        <v>4.9</v>
      </c>
      <c r="G271" s="17" t="str">
        <f>Github!H$270</f>
        <v>Algorithms</v>
      </c>
      <c r="H271" s="17" t="str">
        <f>Github!E$270</f>
        <v>Hard</v>
      </c>
      <c r="I271" s="17" t="str">
        <f>IF(TRIM(Github!D$270)="TRUE","FALSE","TRUE")</f>
        <v>FALSE</v>
      </c>
      <c r="J271" s="17"/>
      <c r="K271" s="17" t="str">
        <f>Github!L$270</f>
        <v>Array;String;Depth-First Search;Breadth-First Search;Graph;Topological Sort;</v>
      </c>
      <c r="L271" s="17" t="b">
        <f>Github!M$270</f>
        <v>1</v>
      </c>
      <c r="M271" s="17" t="str">
        <f>ROUND(Github!N$270, 2)&amp;"%"</f>
        <v>0%</v>
      </c>
      <c r="N271" s="17">
        <f>Github!O$270</f>
        <v>34.70116058</v>
      </c>
      <c r="O271" s="17">
        <f>Github!P$270</f>
        <v>274986</v>
      </c>
    </row>
    <row r="272">
      <c r="A272" s="17">
        <f>Github!J$271</f>
        <v>270</v>
      </c>
      <c r="B272" s="27" t="str">
        <f>HYPERLINK(CONCAT("http://leetcode.com/problems/",Github!C$271), Github!B$271)</f>
        <v>Closest Binary Search Tree Value</v>
      </c>
      <c r="C272" s="17">
        <f>Github!F$271</f>
        <v>1370</v>
      </c>
      <c r="D272" s="17">
        <f>Github!G$271</f>
        <v>86</v>
      </c>
      <c r="E272" s="17">
        <f>Github!F$271+Github!G$271</f>
        <v>1456</v>
      </c>
      <c r="F272" s="18">
        <f t="shared" si="1"/>
        <v>15.93</v>
      </c>
      <c r="G272" s="17" t="str">
        <f>Github!H$271</f>
        <v>Algorithms</v>
      </c>
      <c r="H272" s="17" t="str">
        <f>Github!E$271</f>
        <v>Easy</v>
      </c>
      <c r="I272" s="17" t="str">
        <f>IF(TRIM(Github!D$271)="TRUE","FALSE","TRUE")</f>
        <v>FALSE</v>
      </c>
      <c r="J272" s="17"/>
      <c r="K272" s="17" t="str">
        <f>Github!L$271</f>
        <v>Binary Search;Tree;Depth-First Search;Binary Search Tree;Binary Tree;</v>
      </c>
      <c r="L272" s="17" t="b">
        <f>Github!M$271</f>
        <v>1</v>
      </c>
      <c r="M272" s="17" t="str">
        <f>ROUND(Github!N$271, 2)&amp;"%"</f>
        <v>0%</v>
      </c>
      <c r="N272" s="17">
        <f>Github!O$271</f>
        <v>53.41674708</v>
      </c>
      <c r="O272" s="17">
        <f>Github!P$271</f>
        <v>242448</v>
      </c>
    </row>
    <row r="273">
      <c r="A273" s="17">
        <f>Github!J$272</f>
        <v>271</v>
      </c>
      <c r="B273" s="27" t="str">
        <f>HYPERLINK(CONCAT("http://leetcode.com/problems/",Github!C$272), Github!B$272)</f>
        <v>Encode and Decode Strings</v>
      </c>
      <c r="C273" s="17">
        <f>Github!F$272</f>
        <v>786</v>
      </c>
      <c r="D273" s="17">
        <f>Github!G$272</f>
        <v>219</v>
      </c>
      <c r="E273" s="17">
        <f>Github!F$272+Github!G$272</f>
        <v>1005</v>
      </c>
      <c r="F273" s="18">
        <f t="shared" si="1"/>
        <v>3.59</v>
      </c>
      <c r="G273" s="17" t="str">
        <f>Github!H$272</f>
        <v>Algorithms</v>
      </c>
      <c r="H273" s="17" t="str">
        <f>Github!E$272</f>
        <v>Medium</v>
      </c>
      <c r="I273" s="17" t="str">
        <f>IF(TRIM(Github!D$272)="TRUE","FALSE","TRUE")</f>
        <v>FALSE</v>
      </c>
      <c r="J273" s="17"/>
      <c r="K273" s="17" t="str">
        <f>Github!L$272</f>
        <v>Array;String;Design;</v>
      </c>
      <c r="L273" s="17" t="b">
        <f>Github!M$272</f>
        <v>1</v>
      </c>
      <c r="M273" s="17" t="str">
        <f>ROUND(Github!N$272, 2)&amp;"%"</f>
        <v>0%</v>
      </c>
      <c r="N273" s="17">
        <f>Github!O$272</f>
        <v>37.08997314</v>
      </c>
      <c r="O273" s="17">
        <f>Github!P$272</f>
        <v>89631</v>
      </c>
    </row>
    <row r="274">
      <c r="A274" s="17">
        <f>Github!J$273</f>
        <v>272</v>
      </c>
      <c r="B274" s="27" t="str">
        <f>HYPERLINK(CONCAT("http://leetcode.com/problems/",Github!C$273), Github!B$273)</f>
        <v>Closest Binary Search Tree Value II</v>
      </c>
      <c r="C274" s="17">
        <f>Github!F$273</f>
        <v>1005</v>
      </c>
      <c r="D274" s="17">
        <f>Github!G$273</f>
        <v>32</v>
      </c>
      <c r="E274" s="17">
        <f>Github!F$273+Github!G$273</f>
        <v>1037</v>
      </c>
      <c r="F274" s="18">
        <f t="shared" si="1"/>
        <v>31.41</v>
      </c>
      <c r="G274" s="17" t="str">
        <f>Github!H$273</f>
        <v>Algorithms</v>
      </c>
      <c r="H274" s="17" t="str">
        <f>Github!E$273</f>
        <v>Hard</v>
      </c>
      <c r="I274" s="17" t="str">
        <f>IF(TRIM(Github!D$273)="TRUE","FALSE","TRUE")</f>
        <v>FALSE</v>
      </c>
      <c r="J274" s="17"/>
      <c r="K274" s="17" t="str">
        <f>Github!L$273</f>
        <v>Two Pointers;Stack;Tree;Depth-First Search;Binary Search Tree;Heap (Priority Queue);Binary Tree;</v>
      </c>
      <c r="L274" s="17" t="b">
        <f>Github!M$273</f>
        <v>1</v>
      </c>
      <c r="M274" s="17" t="str">
        <f>ROUND(Github!N$273, 2)&amp;"%"</f>
        <v>0%</v>
      </c>
      <c r="N274" s="17">
        <f>Github!O$273</f>
        <v>56.29277531</v>
      </c>
      <c r="O274" s="17">
        <f>Github!P$273</f>
        <v>91544</v>
      </c>
    </row>
    <row r="275">
      <c r="A275" s="17">
        <f>Github!J$274</f>
        <v>273</v>
      </c>
      <c r="B275" s="27" t="str">
        <f>HYPERLINK(CONCAT("http://leetcode.com/problems/",Github!C$274), Github!B$274)</f>
        <v>Integer to English Words</v>
      </c>
      <c r="C275" s="17">
        <f>Github!F$274</f>
        <v>1974</v>
      </c>
      <c r="D275" s="17">
        <f>Github!G$274</f>
        <v>4826</v>
      </c>
      <c r="E275" s="17">
        <f>Github!F$274+Github!G$274</f>
        <v>6800</v>
      </c>
      <c r="F275" s="18">
        <f t="shared" si="1"/>
        <v>0.41</v>
      </c>
      <c r="G275" s="17" t="str">
        <f>Github!H$274</f>
        <v>Algorithms</v>
      </c>
      <c r="H275" s="17" t="str">
        <f>Github!E$274</f>
        <v>Hard</v>
      </c>
      <c r="I275" s="17" t="str">
        <f>IF(TRIM(Github!D$274)="TRUE","FALSE","TRUE")</f>
        <v>TRUE</v>
      </c>
      <c r="J275" s="17"/>
      <c r="K275" s="17" t="str">
        <f>Github!L$274</f>
        <v>Math;String;Recursion;</v>
      </c>
      <c r="L275" s="17" t="b">
        <f>Github!M$274</f>
        <v>1</v>
      </c>
      <c r="M275" s="17" t="str">
        <f>ROUND(Github!N$274, 2)&amp;"%"</f>
        <v>0%</v>
      </c>
      <c r="N275" s="17">
        <f>Github!O$274</f>
        <v>29.48812321</v>
      </c>
      <c r="O275" s="17">
        <f>Github!P$274</f>
        <v>291632</v>
      </c>
    </row>
    <row r="276">
      <c r="A276" s="17">
        <f>Github!J$275</f>
        <v>274</v>
      </c>
      <c r="B276" s="27" t="str">
        <f>HYPERLINK(CONCAT("http://leetcode.com/problems/",Github!C$275), Github!B$275)</f>
        <v>H-Index</v>
      </c>
      <c r="C276" s="17">
        <f>Github!F$275</f>
        <v>1159</v>
      </c>
      <c r="D276" s="17">
        <f>Github!G$275</f>
        <v>1764</v>
      </c>
      <c r="E276" s="17">
        <f>Github!F$275+Github!G$275</f>
        <v>2923</v>
      </c>
      <c r="F276" s="18">
        <f t="shared" si="1"/>
        <v>0.66</v>
      </c>
      <c r="G276" s="17" t="str">
        <f>Github!H$275</f>
        <v>Algorithms</v>
      </c>
      <c r="H276" s="17" t="str">
        <f>Github!E$275</f>
        <v>Medium</v>
      </c>
      <c r="I276" s="17" t="str">
        <f>IF(TRIM(Github!D$275)="TRUE","FALSE","TRUE")</f>
        <v>TRUE</v>
      </c>
      <c r="J276" s="17"/>
      <c r="K276" s="17" t="str">
        <f>Github!L$275</f>
        <v>Array;Sorting;Counting Sort;</v>
      </c>
      <c r="L276" s="17" t="b">
        <f>Github!M$275</f>
        <v>1</v>
      </c>
      <c r="M276" s="17" t="str">
        <f>ROUND(Github!N$275, 2)&amp;"%"</f>
        <v>0%</v>
      </c>
      <c r="N276" s="17">
        <f>Github!O$275</f>
        <v>37.4115976</v>
      </c>
      <c r="O276" s="17">
        <f>Github!P$275</f>
        <v>227043</v>
      </c>
    </row>
    <row r="277">
      <c r="A277" s="17">
        <f>Github!J$276</f>
        <v>275</v>
      </c>
      <c r="B277" s="27" t="str">
        <f>HYPERLINK(CONCAT("http://leetcode.com/problems/",Github!C$276), Github!B$276)</f>
        <v>H-Index II</v>
      </c>
      <c r="C277" s="17">
        <f>Github!F$276</f>
        <v>683</v>
      </c>
      <c r="D277" s="17">
        <f>Github!G$276</f>
        <v>1001</v>
      </c>
      <c r="E277" s="17">
        <f>Github!F$276+Github!G$276</f>
        <v>1684</v>
      </c>
      <c r="F277" s="18">
        <f t="shared" si="1"/>
        <v>0.68</v>
      </c>
      <c r="G277" s="17" t="str">
        <f>Github!H$276</f>
        <v>Algorithms</v>
      </c>
      <c r="H277" s="17" t="str">
        <f>Github!E$276</f>
        <v>Medium</v>
      </c>
      <c r="I277" s="17" t="str">
        <f>IF(TRIM(Github!D$276)="TRUE","FALSE","TRUE")</f>
        <v>TRUE</v>
      </c>
      <c r="J277" s="17"/>
      <c r="K277" s="17" t="str">
        <f>Github!L$276</f>
        <v>Array;Binary Search;</v>
      </c>
      <c r="L277" s="17" t="b">
        <f>Github!M$276</f>
        <v>1</v>
      </c>
      <c r="M277" s="17" t="str">
        <f>ROUND(Github!N$276, 2)&amp;"%"</f>
        <v>0%</v>
      </c>
      <c r="N277" s="17">
        <f>Github!O$276</f>
        <v>36.90291073</v>
      </c>
      <c r="O277" s="17">
        <f>Github!P$276</f>
        <v>155205</v>
      </c>
    </row>
    <row r="278">
      <c r="A278" s="17">
        <f>Github!J$277</f>
        <v>276</v>
      </c>
      <c r="B278" s="27" t="str">
        <f>HYPERLINK(CONCAT("http://leetcode.com/problems/",Github!C$277), Github!B$277)</f>
        <v>Paint Fence</v>
      </c>
      <c r="C278" s="17">
        <f>Github!F$277</f>
        <v>1205</v>
      </c>
      <c r="D278" s="17">
        <f>Github!G$277</f>
        <v>350</v>
      </c>
      <c r="E278" s="17">
        <f>Github!F$277+Github!G$277</f>
        <v>1555</v>
      </c>
      <c r="F278" s="18">
        <f t="shared" si="1"/>
        <v>3.44</v>
      </c>
      <c r="G278" s="17" t="str">
        <f>Github!H$277</f>
        <v>Algorithms</v>
      </c>
      <c r="H278" s="17" t="str">
        <f>Github!E$277</f>
        <v>Medium</v>
      </c>
      <c r="I278" s="17" t="str">
        <f>IF(TRIM(Github!D$277)="TRUE","FALSE","TRUE")</f>
        <v>FALSE</v>
      </c>
      <c r="J278" s="17"/>
      <c r="K278" s="17" t="str">
        <f>Github!L$277</f>
        <v>Dynamic Programming;</v>
      </c>
      <c r="L278" s="17" t="b">
        <f>Github!M$277</f>
        <v>1</v>
      </c>
      <c r="M278" s="17" t="str">
        <f>ROUND(Github!N$277, 2)&amp;"%"</f>
        <v>0%</v>
      </c>
      <c r="N278" s="17">
        <f>Github!O$277</f>
        <v>42.45174532</v>
      </c>
      <c r="O278" s="17">
        <f>Github!P$277</f>
        <v>82322</v>
      </c>
    </row>
    <row r="279">
      <c r="A279" s="17">
        <f>Github!J$278</f>
        <v>277</v>
      </c>
      <c r="B279" s="27" t="str">
        <f>HYPERLINK(CONCAT("http://leetcode.com/problems/",Github!C$278), Github!B$278)</f>
        <v>Find the Celebrity</v>
      </c>
      <c r="C279" s="17">
        <f>Github!F$278</f>
        <v>2178</v>
      </c>
      <c r="D279" s="17">
        <f>Github!G$278</f>
        <v>199</v>
      </c>
      <c r="E279" s="17">
        <f>Github!F$278+Github!G$278</f>
        <v>2377</v>
      </c>
      <c r="F279" s="18">
        <f t="shared" si="1"/>
        <v>10.94</v>
      </c>
      <c r="G279" s="17" t="str">
        <f>Github!H$278</f>
        <v>Algorithms</v>
      </c>
      <c r="H279" s="17" t="str">
        <f>Github!E$278</f>
        <v>Medium</v>
      </c>
      <c r="I279" s="17" t="str">
        <f>IF(TRIM(Github!D$278)="TRUE","FALSE","TRUE")</f>
        <v>FALSE</v>
      </c>
      <c r="J279" s="17"/>
      <c r="K279" s="17" t="str">
        <f>Github!L$278</f>
        <v>Two Pointers;Greedy;Graph;Interactive;</v>
      </c>
      <c r="L279" s="17" t="b">
        <f>Github!M$278</f>
        <v>1</v>
      </c>
      <c r="M279" s="17" t="str">
        <f>ROUND(Github!N$278, 2)&amp;"%"</f>
        <v>1%</v>
      </c>
      <c r="N279" s="17">
        <f>Github!O$278</f>
        <v>46.23634059</v>
      </c>
      <c r="O279" s="17">
        <f>Github!P$278</f>
        <v>211558</v>
      </c>
    </row>
    <row r="280">
      <c r="A280" s="17">
        <f>Github!J$279</f>
        <v>278</v>
      </c>
      <c r="B280" s="27" t="str">
        <f>HYPERLINK(CONCAT("http://leetcode.com/problems/",Github!C$279), Github!B$279)</f>
        <v>First Bad Version</v>
      </c>
      <c r="C280" s="17">
        <f>Github!F$279</f>
        <v>4384</v>
      </c>
      <c r="D280" s="17">
        <f>Github!G$279</f>
        <v>1642</v>
      </c>
      <c r="E280" s="17">
        <f>Github!F$279+Github!G$279</f>
        <v>6026</v>
      </c>
      <c r="F280" s="18">
        <f t="shared" si="1"/>
        <v>2.67</v>
      </c>
      <c r="G280" s="17" t="str">
        <f>Github!H$279</f>
        <v>Algorithms</v>
      </c>
      <c r="H280" s="17" t="str">
        <f>Github!E$279</f>
        <v>Easy</v>
      </c>
      <c r="I280" s="17" t="str">
        <f>IF(TRIM(Github!D$279)="TRUE","FALSE","TRUE")</f>
        <v>TRUE</v>
      </c>
      <c r="J280" s="17"/>
      <c r="K280" s="17" t="str">
        <f>Github!L$279</f>
        <v>Binary Search;Interactive;</v>
      </c>
      <c r="L280" s="17" t="b">
        <f>Github!M$279</f>
        <v>1</v>
      </c>
      <c r="M280" s="17" t="str">
        <f>ROUND(Github!N$279, 2)&amp;"%"</f>
        <v>1%</v>
      </c>
      <c r="N280" s="17">
        <f>Github!O$279</f>
        <v>41.19438591</v>
      </c>
      <c r="O280" s="17">
        <f>Github!P$279</f>
        <v>906214</v>
      </c>
    </row>
    <row r="281">
      <c r="A281" s="17">
        <f>Github!J$280</f>
        <v>279</v>
      </c>
      <c r="B281" s="27" t="str">
        <f>HYPERLINK(CONCAT("http://leetcode.com/problems/",Github!C$280), Github!B$280)</f>
        <v>Perfect Squares</v>
      </c>
      <c r="C281" s="17">
        <f>Github!F$280</f>
        <v>6403</v>
      </c>
      <c r="D281" s="17">
        <f>Github!G$280</f>
        <v>286</v>
      </c>
      <c r="E281" s="17">
        <f>Github!F$280+Github!G$280</f>
        <v>6689</v>
      </c>
      <c r="F281" s="18">
        <f t="shared" si="1"/>
        <v>22.39</v>
      </c>
      <c r="G281" s="17" t="str">
        <f>Github!H$280</f>
        <v>Algorithms</v>
      </c>
      <c r="H281" s="17" t="str">
        <f>Github!E$280</f>
        <v>Medium</v>
      </c>
      <c r="I281" s="17" t="str">
        <f>IF(TRIM(Github!D$280)="TRUE","FALSE","TRUE")</f>
        <v>TRUE</v>
      </c>
      <c r="J281" s="17"/>
      <c r="K281" s="17" t="str">
        <f>Github!L$280</f>
        <v>Math;Dynamic Programming;Breadth-First Search;</v>
      </c>
      <c r="L281" s="17" t="b">
        <f>Github!M$280</f>
        <v>1</v>
      </c>
      <c r="M281" s="17" t="str">
        <f>ROUND(Github!N$280, 2)&amp;"%"</f>
        <v>0%</v>
      </c>
      <c r="N281" s="17">
        <f>Github!O$280</f>
        <v>51.64946893</v>
      </c>
      <c r="O281" s="17">
        <f>Github!P$280</f>
        <v>508501</v>
      </c>
    </row>
    <row r="282">
      <c r="A282" s="17">
        <f>Github!J$281</f>
        <v>280</v>
      </c>
      <c r="B282" s="27" t="str">
        <f>HYPERLINK(CONCAT("http://leetcode.com/problems/",Github!C$281), Github!B$281)</f>
        <v>Wiggle Sort</v>
      </c>
      <c r="C282" s="17">
        <f>Github!F$281</f>
        <v>896</v>
      </c>
      <c r="D282" s="17">
        <f>Github!G$281</f>
        <v>74</v>
      </c>
      <c r="E282" s="17">
        <f>Github!F$281+Github!G$281</f>
        <v>970</v>
      </c>
      <c r="F282" s="18">
        <f t="shared" si="1"/>
        <v>12.11</v>
      </c>
      <c r="G282" s="17" t="str">
        <f>Github!H$281</f>
        <v>Algorithms</v>
      </c>
      <c r="H282" s="17" t="str">
        <f>Github!E$281</f>
        <v>Medium</v>
      </c>
      <c r="I282" s="17" t="str">
        <f>IF(TRIM(Github!D$281)="TRUE","FALSE","TRUE")</f>
        <v>FALSE</v>
      </c>
      <c r="J282" s="17"/>
      <c r="K282" s="17" t="str">
        <f>Github!L$281</f>
        <v>Array;Greedy;Sorting;</v>
      </c>
      <c r="L282" s="17" t="b">
        <f>Github!M$281</f>
        <v>1</v>
      </c>
      <c r="M282" s="17" t="str">
        <f>ROUND(Github!N$281, 2)&amp;"%"</f>
        <v>0%</v>
      </c>
      <c r="N282" s="17">
        <f>Github!O$281</f>
        <v>65.88884847</v>
      </c>
      <c r="O282" s="17">
        <f>Github!P$281</f>
        <v>112297</v>
      </c>
    </row>
    <row r="283">
      <c r="A283" s="17">
        <f>Github!J$282</f>
        <v>281</v>
      </c>
      <c r="B283" s="27" t="str">
        <f>HYPERLINK(CONCAT("http://leetcode.com/problems/",Github!C$282), Github!B$282)</f>
        <v>Zigzag Iterator</v>
      </c>
      <c r="C283" s="17">
        <f>Github!F$282</f>
        <v>546</v>
      </c>
      <c r="D283" s="17">
        <f>Github!G$282</f>
        <v>30</v>
      </c>
      <c r="E283" s="17">
        <f>Github!F$282+Github!G$282</f>
        <v>576</v>
      </c>
      <c r="F283" s="18">
        <f t="shared" si="1"/>
        <v>18.2</v>
      </c>
      <c r="G283" s="17" t="str">
        <f>Github!H$282</f>
        <v>Algorithms</v>
      </c>
      <c r="H283" s="17" t="str">
        <f>Github!E$282</f>
        <v>Medium</v>
      </c>
      <c r="I283" s="17" t="str">
        <f>IF(TRIM(Github!D$282)="TRUE","FALSE","TRUE")</f>
        <v>FALSE</v>
      </c>
      <c r="J283" s="17"/>
      <c r="K283" s="17" t="str">
        <f>Github!L$282</f>
        <v>Array;Design;Queue;Iterator;</v>
      </c>
      <c r="L283" s="17" t="b">
        <f>Github!M$282</f>
        <v>1</v>
      </c>
      <c r="M283" s="17" t="str">
        <f>ROUND(Github!N$282, 2)&amp;"%"</f>
        <v>0%</v>
      </c>
      <c r="N283" s="17">
        <f>Github!O$282</f>
        <v>61.24818013</v>
      </c>
      <c r="O283" s="17">
        <f>Github!P$282</f>
        <v>78668</v>
      </c>
    </row>
    <row r="284">
      <c r="A284" s="17">
        <f>Github!J$283</f>
        <v>282</v>
      </c>
      <c r="B284" s="27" t="str">
        <f>HYPERLINK(CONCAT("http://leetcode.com/problems/",Github!C$283), Github!B$283)</f>
        <v>Expression Add Operators</v>
      </c>
      <c r="C284" s="17">
        <f>Github!F$283</f>
        <v>2414</v>
      </c>
      <c r="D284" s="17">
        <f>Github!G$283</f>
        <v>405</v>
      </c>
      <c r="E284" s="17">
        <f>Github!F$283+Github!G$283</f>
        <v>2819</v>
      </c>
      <c r="F284" s="18">
        <f t="shared" si="1"/>
        <v>5.96</v>
      </c>
      <c r="G284" s="17" t="str">
        <f>Github!H$283</f>
        <v>Algorithms</v>
      </c>
      <c r="H284" s="17" t="str">
        <f>Github!E$283</f>
        <v>Hard</v>
      </c>
      <c r="I284" s="17" t="str">
        <f>IF(TRIM(Github!D$283)="TRUE","FALSE","TRUE")</f>
        <v>TRUE</v>
      </c>
      <c r="J284" s="17"/>
      <c r="K284" s="17" t="str">
        <f>Github!L$283</f>
        <v>Math;String;Backtracking;</v>
      </c>
      <c r="L284" s="17" t="b">
        <f>Github!M$283</f>
        <v>1</v>
      </c>
      <c r="M284" s="17" t="str">
        <f>ROUND(Github!N$283, 2)&amp;"%"</f>
        <v>0%</v>
      </c>
      <c r="N284" s="17">
        <f>Github!O$283</f>
        <v>39.09263491</v>
      </c>
      <c r="O284" s="17">
        <f>Github!P$283</f>
        <v>175857</v>
      </c>
    </row>
    <row r="285">
      <c r="A285" s="17">
        <f>Github!J$284</f>
        <v>283</v>
      </c>
      <c r="B285" s="27" t="str">
        <f>HYPERLINK(CONCAT("http://leetcode.com/problems/",Github!C$284), Github!B$284)</f>
        <v>Move Zeroes</v>
      </c>
      <c r="C285" s="17">
        <f>Github!F$284</f>
        <v>8447</v>
      </c>
      <c r="D285" s="17">
        <f>Github!G$284</f>
        <v>230</v>
      </c>
      <c r="E285" s="17">
        <f>Github!F$284+Github!G$284</f>
        <v>8677</v>
      </c>
      <c r="F285" s="18">
        <f t="shared" si="1"/>
        <v>36.73</v>
      </c>
      <c r="G285" s="17" t="str">
        <f>Github!H$284</f>
        <v>Algorithms</v>
      </c>
      <c r="H285" s="17" t="str">
        <f>Github!E$284</f>
        <v>Easy</v>
      </c>
      <c r="I285" s="17" t="str">
        <f>IF(TRIM(Github!D$284)="TRUE","FALSE","TRUE")</f>
        <v>TRUE</v>
      </c>
      <c r="J285" s="17"/>
      <c r="K285" s="17" t="str">
        <f>Github!L$284</f>
        <v>Array;Two Pointers;</v>
      </c>
      <c r="L285" s="17" t="b">
        <f>Github!M$284</f>
        <v>1</v>
      </c>
      <c r="M285" s="17" t="str">
        <f>ROUND(Github!N$284, 2)&amp;"%"</f>
        <v>0%</v>
      </c>
      <c r="N285" s="17">
        <f>Github!O$284</f>
        <v>60.36866235</v>
      </c>
      <c r="O285" s="17">
        <f>Github!P$284</f>
        <v>1558785</v>
      </c>
    </row>
    <row r="286">
      <c r="A286" s="17">
        <f>Github!J$285</f>
        <v>284</v>
      </c>
      <c r="B286" s="27" t="str">
        <f>HYPERLINK(CONCAT("http://leetcode.com/problems/",Github!C$285), Github!B$285)</f>
        <v>Peeking Iterator</v>
      </c>
      <c r="C286" s="17">
        <f>Github!F$285</f>
        <v>979</v>
      </c>
      <c r="D286" s="17">
        <f>Github!G$285</f>
        <v>677</v>
      </c>
      <c r="E286" s="17">
        <f>Github!F$285+Github!G$285</f>
        <v>1656</v>
      </c>
      <c r="F286" s="18">
        <f t="shared" si="1"/>
        <v>1.45</v>
      </c>
      <c r="G286" s="17" t="str">
        <f>Github!H$285</f>
        <v>Algorithms</v>
      </c>
      <c r="H286" s="17" t="str">
        <f>Github!E$285</f>
        <v>Medium</v>
      </c>
      <c r="I286" s="17" t="str">
        <f>IF(TRIM(Github!D$285)="TRUE","FALSE","TRUE")</f>
        <v>TRUE</v>
      </c>
      <c r="J286" s="17"/>
      <c r="K286" s="17" t="str">
        <f>Github!L$285</f>
        <v>Array;Design;Iterator;</v>
      </c>
      <c r="L286" s="17" t="b">
        <f>Github!M$285</f>
        <v>1</v>
      </c>
      <c r="M286" s="17" t="str">
        <f>ROUND(Github!N$285, 2)&amp;"%"</f>
        <v>0%</v>
      </c>
      <c r="N286" s="17">
        <f>Github!O$285</f>
        <v>53.39620748</v>
      </c>
      <c r="O286" s="17">
        <f>Github!P$285</f>
        <v>154338</v>
      </c>
    </row>
    <row r="287">
      <c r="A287" s="17">
        <f>Github!J$286</f>
        <v>285</v>
      </c>
      <c r="B287" s="27" t="str">
        <f>HYPERLINK(CONCAT("http://leetcode.com/problems/",Github!C$286), Github!B$286)</f>
        <v>Inorder Successor in BST</v>
      </c>
      <c r="C287" s="17">
        <f>Github!F$286</f>
        <v>2044</v>
      </c>
      <c r="D287" s="17">
        <f>Github!G$286</f>
        <v>77</v>
      </c>
      <c r="E287" s="17">
        <f>Github!F$286+Github!G$286</f>
        <v>2121</v>
      </c>
      <c r="F287" s="18">
        <f t="shared" si="1"/>
        <v>26.55</v>
      </c>
      <c r="G287" s="17" t="str">
        <f>Github!H$286</f>
        <v>Algorithms</v>
      </c>
      <c r="H287" s="17" t="str">
        <f>Github!E$286</f>
        <v>Medium</v>
      </c>
      <c r="I287" s="17" t="str">
        <f>IF(TRIM(Github!D$286)="TRUE","FALSE","TRUE")</f>
        <v>FALSE</v>
      </c>
      <c r="J287" s="17"/>
      <c r="K287" s="17" t="str">
        <f>Github!L$286</f>
        <v>Tree;Depth-First Search;Binary Search Tree;Binary Tree;</v>
      </c>
      <c r="L287" s="17" t="b">
        <f>Github!M$286</f>
        <v>1</v>
      </c>
      <c r="M287" s="17" t="str">
        <f>ROUND(Github!N$286, 2)&amp;"%"</f>
        <v>0%</v>
      </c>
      <c r="N287" s="17">
        <f>Github!O$286</f>
        <v>46.64153188</v>
      </c>
      <c r="O287" s="17">
        <f>Github!P$286</f>
        <v>252493</v>
      </c>
    </row>
    <row r="288">
      <c r="A288" s="17">
        <f>Github!J$287</f>
        <v>286</v>
      </c>
      <c r="B288" s="27" t="str">
        <f>HYPERLINK(CONCAT("http://leetcode.com/problems/",Github!C$287), Github!B$287)</f>
        <v>Walls and Gates</v>
      </c>
      <c r="C288" s="17">
        <f>Github!F$287</f>
        <v>2216</v>
      </c>
      <c r="D288" s="17">
        <f>Github!G$287</f>
        <v>35</v>
      </c>
      <c r="E288" s="17">
        <f>Github!F$287+Github!G$287</f>
        <v>2251</v>
      </c>
      <c r="F288" s="18">
        <f t="shared" si="1"/>
        <v>63.31</v>
      </c>
      <c r="G288" s="17" t="str">
        <f>Github!H$287</f>
        <v>Algorithms</v>
      </c>
      <c r="H288" s="17" t="str">
        <f>Github!E$287</f>
        <v>Medium</v>
      </c>
      <c r="I288" s="17" t="str">
        <f>IF(TRIM(Github!D$287)="TRUE","FALSE","TRUE")</f>
        <v>FALSE</v>
      </c>
      <c r="J288" s="17"/>
      <c r="K288" s="17" t="str">
        <f>Github!L$287</f>
        <v>Array;Breadth-First Search;Matrix;</v>
      </c>
      <c r="L288" s="17" t="b">
        <f>Github!M$287</f>
        <v>1</v>
      </c>
      <c r="M288" s="17" t="str">
        <f>ROUND(Github!N$287, 2)&amp;"%"</f>
        <v>0%</v>
      </c>
      <c r="N288" s="17">
        <f>Github!O$287</f>
        <v>58.92741188</v>
      </c>
      <c r="O288" s="17">
        <f>Github!P$287</f>
        <v>207814</v>
      </c>
    </row>
    <row r="289">
      <c r="A289" s="17">
        <f>Github!J$288</f>
        <v>287</v>
      </c>
      <c r="B289" s="27" t="str">
        <f>HYPERLINK(CONCAT("http://leetcode.com/problems/",Github!C$288), Github!B$288)</f>
        <v>Find the Duplicate Number</v>
      </c>
      <c r="C289" s="17">
        <f>Github!F$288</f>
        <v>11972</v>
      </c>
      <c r="D289" s="17">
        <f>Github!G$288</f>
        <v>1319</v>
      </c>
      <c r="E289" s="17">
        <f>Github!F$288+Github!G$288</f>
        <v>13291</v>
      </c>
      <c r="F289" s="18">
        <f t="shared" si="1"/>
        <v>9.08</v>
      </c>
      <c r="G289" s="17" t="str">
        <f>Github!H$288</f>
        <v>Algorithms</v>
      </c>
      <c r="H289" s="17" t="str">
        <f>Github!E$288</f>
        <v>Medium</v>
      </c>
      <c r="I289" s="17" t="str">
        <f>IF(TRIM(Github!D$288)="TRUE","FALSE","TRUE")</f>
        <v>TRUE</v>
      </c>
      <c r="J289" s="17"/>
      <c r="K289" s="17" t="str">
        <f>Github!L$288</f>
        <v>Array;Two Pointers;Binary Search;Bit Manipulation;</v>
      </c>
      <c r="L289" s="17" t="b">
        <f>Github!M$288</f>
        <v>1</v>
      </c>
      <c r="M289" s="17" t="str">
        <f>ROUND(Github!N$288, 2)&amp;"%"</f>
        <v>0%</v>
      </c>
      <c r="N289" s="17">
        <f>Github!O$288</f>
        <v>58.41663759</v>
      </c>
      <c r="O289" s="17">
        <f>Github!P$288</f>
        <v>738227</v>
      </c>
    </row>
    <row r="290">
      <c r="A290" s="17">
        <f>Github!J$289</f>
        <v>288</v>
      </c>
      <c r="B290" s="27" t="str">
        <f>HYPERLINK(CONCAT("http://leetcode.com/problems/",Github!C$289), Github!B$289)</f>
        <v>Unique Word Abbreviation</v>
      </c>
      <c r="C290" s="17">
        <f>Github!F$289</f>
        <v>157</v>
      </c>
      <c r="D290" s="17">
        <f>Github!G$289</f>
        <v>1625</v>
      </c>
      <c r="E290" s="17">
        <f>Github!F$289+Github!G$289</f>
        <v>1782</v>
      </c>
      <c r="F290" s="18">
        <f t="shared" si="1"/>
        <v>0.1</v>
      </c>
      <c r="G290" s="17" t="str">
        <f>Github!H$289</f>
        <v>Algorithms</v>
      </c>
      <c r="H290" s="17" t="str">
        <f>Github!E$289</f>
        <v>Medium</v>
      </c>
      <c r="I290" s="17" t="str">
        <f>IF(TRIM(Github!D$289)="TRUE","FALSE","TRUE")</f>
        <v>FALSE</v>
      </c>
      <c r="J290" s="17"/>
      <c r="K290" s="17" t="str">
        <f>Github!L$289</f>
        <v>Array;Hash Table;String;Design;</v>
      </c>
      <c r="L290" s="17" t="b">
        <f>Github!M$289</f>
        <v>0</v>
      </c>
      <c r="M290" s="17" t="str">
        <f>ROUND(Github!N$289, 2)&amp;"%"</f>
        <v>0%</v>
      </c>
      <c r="N290" s="17">
        <f>Github!O$289</f>
        <v>24.59012594</v>
      </c>
      <c r="O290" s="17">
        <f>Github!P$289</f>
        <v>63654</v>
      </c>
    </row>
    <row r="291">
      <c r="A291" s="17">
        <f>Github!J$290</f>
        <v>289</v>
      </c>
      <c r="B291" s="27" t="str">
        <f>HYPERLINK(CONCAT("http://leetcode.com/problems/",Github!C$290), Github!B$290)</f>
        <v>Game of Life</v>
      </c>
      <c r="C291" s="17">
        <f>Github!F$290</f>
        <v>3617</v>
      </c>
      <c r="D291" s="17">
        <f>Github!G$290</f>
        <v>391</v>
      </c>
      <c r="E291" s="17">
        <f>Github!F$290+Github!G$290</f>
        <v>4008</v>
      </c>
      <c r="F291" s="18">
        <f t="shared" si="1"/>
        <v>9.25</v>
      </c>
      <c r="G291" s="17" t="str">
        <f>Github!H$290</f>
        <v>Algorithms</v>
      </c>
      <c r="H291" s="17" t="str">
        <f>Github!E$290</f>
        <v>Medium</v>
      </c>
      <c r="I291" s="17" t="str">
        <f>IF(TRIM(Github!D$290)="TRUE","FALSE","TRUE")</f>
        <v>TRUE</v>
      </c>
      <c r="J291" s="17"/>
      <c r="K291" s="17" t="str">
        <f>Github!L$290</f>
        <v>Array;Matrix;Simulation;</v>
      </c>
      <c r="L291" s="17" t="b">
        <f>Github!M$290</f>
        <v>1</v>
      </c>
      <c r="M291" s="17" t="str">
        <f>ROUND(Github!N$290, 2)&amp;"%"</f>
        <v>1%</v>
      </c>
      <c r="N291" s="17">
        <f>Github!O$290</f>
        <v>62.37322493</v>
      </c>
      <c r="O291" s="17">
        <f>Github!P$290</f>
        <v>288002</v>
      </c>
    </row>
    <row r="292">
      <c r="A292" s="17">
        <f>Github!J$291</f>
        <v>290</v>
      </c>
      <c r="B292" s="27" t="str">
        <f>HYPERLINK(CONCAT("http://leetcode.com/problems/",Github!C$291), Github!B$291)</f>
        <v>Word Pattern</v>
      </c>
      <c r="C292" s="17">
        <f>Github!F$291</f>
        <v>3380</v>
      </c>
      <c r="D292" s="17">
        <f>Github!G$291</f>
        <v>386</v>
      </c>
      <c r="E292" s="17">
        <f>Github!F$291+Github!G$291</f>
        <v>3766</v>
      </c>
      <c r="F292" s="18">
        <f t="shared" si="1"/>
        <v>8.76</v>
      </c>
      <c r="G292" s="17" t="str">
        <f>Github!H$291</f>
        <v>Algorithms</v>
      </c>
      <c r="H292" s="17" t="str">
        <f>Github!E$291</f>
        <v>Easy</v>
      </c>
      <c r="I292" s="17" t="str">
        <f>IF(TRIM(Github!D$291)="TRUE","FALSE","TRUE")</f>
        <v>TRUE</v>
      </c>
      <c r="J292" s="17"/>
      <c r="K292" s="17" t="str">
        <f>Github!L$291</f>
        <v>Hash Table;String;</v>
      </c>
      <c r="L292" s="17" t="b">
        <f>Github!M$291</f>
        <v>1</v>
      </c>
      <c r="M292" s="17" t="str">
        <f>ROUND(Github!N$291, 2)&amp;"%"</f>
        <v>0%</v>
      </c>
      <c r="N292" s="17">
        <f>Github!O$291</f>
        <v>40.1334086</v>
      </c>
      <c r="O292" s="17">
        <f>Github!P$291</f>
        <v>348358</v>
      </c>
    </row>
    <row r="293">
      <c r="A293" s="17">
        <f>Github!J$292</f>
        <v>291</v>
      </c>
      <c r="B293" s="27" t="str">
        <f>HYPERLINK(CONCAT("http://leetcode.com/problems/",Github!C$292), Github!B$292)</f>
        <v>Word Pattern II</v>
      </c>
      <c r="C293" s="17">
        <f>Github!F$292</f>
        <v>701</v>
      </c>
      <c r="D293" s="17">
        <f>Github!G$292</f>
        <v>52</v>
      </c>
      <c r="E293" s="17">
        <f>Github!F$292+Github!G$292</f>
        <v>753</v>
      </c>
      <c r="F293" s="18">
        <f t="shared" si="1"/>
        <v>13.48</v>
      </c>
      <c r="G293" s="17" t="str">
        <f>Github!H$292</f>
        <v>Algorithms</v>
      </c>
      <c r="H293" s="17" t="str">
        <f>Github!E$292</f>
        <v>Medium</v>
      </c>
      <c r="I293" s="17" t="str">
        <f>IF(TRIM(Github!D$292)="TRUE","FALSE","TRUE")</f>
        <v>FALSE</v>
      </c>
      <c r="J293" s="17"/>
      <c r="K293" s="17" t="str">
        <f>Github!L$292</f>
        <v>Hash Table;String;Backtracking;</v>
      </c>
      <c r="L293" s="17" t="b">
        <f>Github!M$292</f>
        <v>0</v>
      </c>
      <c r="M293" s="17" t="str">
        <f>ROUND(Github!N$292, 2)&amp;"%"</f>
        <v>0%</v>
      </c>
      <c r="N293" s="17">
        <f>Github!O$292</f>
        <v>46.02209035</v>
      </c>
      <c r="O293" s="17">
        <f>Github!P$292</f>
        <v>58709</v>
      </c>
    </row>
    <row r="294">
      <c r="A294" s="17">
        <f>Github!J$293</f>
        <v>292</v>
      </c>
      <c r="B294" s="27" t="str">
        <f>HYPERLINK(CONCAT("http://leetcode.com/problems/",Github!C$293), Github!B$293)</f>
        <v>Nim Game</v>
      </c>
      <c r="C294" s="17">
        <f>Github!F$293</f>
        <v>1016</v>
      </c>
      <c r="D294" s="17">
        <f>Github!G$293</f>
        <v>2169</v>
      </c>
      <c r="E294" s="17">
        <f>Github!F$293+Github!G$293</f>
        <v>3185</v>
      </c>
      <c r="F294" s="18">
        <f t="shared" si="1"/>
        <v>0.47</v>
      </c>
      <c r="G294" s="17" t="str">
        <f>Github!H$293</f>
        <v>Algorithms</v>
      </c>
      <c r="H294" s="17" t="str">
        <f>Github!E$293</f>
        <v>Easy</v>
      </c>
      <c r="I294" s="17" t="str">
        <f>IF(TRIM(Github!D$293)="TRUE","FALSE","TRUE")</f>
        <v>TRUE</v>
      </c>
      <c r="J294" s="17"/>
      <c r="K294" s="17" t="str">
        <f>Github!L$293</f>
        <v>Math;Brainteaser;Game Theory;</v>
      </c>
      <c r="L294" s="17" t="b">
        <f>Github!M$293</f>
        <v>1</v>
      </c>
      <c r="M294" s="17" t="str">
        <f>ROUND(Github!N$293, 2)&amp;"%"</f>
        <v>0%</v>
      </c>
      <c r="N294" s="17">
        <f>Github!O$293</f>
        <v>55.42654443</v>
      </c>
      <c r="O294" s="17">
        <f>Github!P$293</f>
        <v>272192</v>
      </c>
    </row>
    <row r="295">
      <c r="A295" s="17">
        <f>Github!J$294</f>
        <v>293</v>
      </c>
      <c r="B295" s="27" t="str">
        <f>HYPERLINK(CONCAT("http://leetcode.com/problems/",Github!C$294), Github!B$294)</f>
        <v>Flip Game</v>
      </c>
      <c r="C295" s="17">
        <f>Github!F$294</f>
        <v>157</v>
      </c>
      <c r="D295" s="17">
        <f>Github!G$294</f>
        <v>374</v>
      </c>
      <c r="E295" s="17">
        <f>Github!F$294+Github!G$294</f>
        <v>531</v>
      </c>
      <c r="F295" s="18">
        <f t="shared" si="1"/>
        <v>0.42</v>
      </c>
      <c r="G295" s="17" t="str">
        <f>Github!H$294</f>
        <v>Algorithms</v>
      </c>
      <c r="H295" s="17" t="str">
        <f>Github!E$294</f>
        <v>Easy</v>
      </c>
      <c r="I295" s="17" t="str">
        <f>IF(TRIM(Github!D$294)="TRUE","FALSE","TRUE")</f>
        <v>FALSE</v>
      </c>
      <c r="J295" s="17"/>
      <c r="K295" s="17" t="str">
        <f>Github!L$294</f>
        <v>String;</v>
      </c>
      <c r="L295" s="17" t="b">
        <f>Github!M$294</f>
        <v>0</v>
      </c>
      <c r="M295" s="17" t="str">
        <f>ROUND(Github!N$294, 2)&amp;"%"</f>
        <v>0%</v>
      </c>
      <c r="N295" s="17">
        <f>Github!O$294</f>
        <v>62.41556394</v>
      </c>
      <c r="O295" s="17">
        <f>Github!P$294</f>
        <v>58582</v>
      </c>
    </row>
    <row r="296">
      <c r="A296" s="17">
        <f>Github!J$295</f>
        <v>294</v>
      </c>
      <c r="B296" s="27" t="str">
        <f>HYPERLINK(CONCAT("http://leetcode.com/problems/",Github!C$295), Github!B$295)</f>
        <v>Flip Game II</v>
      </c>
      <c r="C296" s="17">
        <f>Github!F$295</f>
        <v>516</v>
      </c>
      <c r="D296" s="17">
        <f>Github!G$295</f>
        <v>49</v>
      </c>
      <c r="E296" s="17">
        <f>Github!F$295+Github!G$295</f>
        <v>565</v>
      </c>
      <c r="F296" s="18">
        <f t="shared" si="1"/>
        <v>10.53</v>
      </c>
      <c r="G296" s="17" t="str">
        <f>Github!H$295</f>
        <v>Algorithms</v>
      </c>
      <c r="H296" s="17" t="str">
        <f>Github!E$295</f>
        <v>Medium</v>
      </c>
      <c r="I296" s="17" t="str">
        <f>IF(TRIM(Github!D$295)="TRUE","FALSE","TRUE")</f>
        <v>FALSE</v>
      </c>
      <c r="J296" s="17"/>
      <c r="K296" s="17" t="str">
        <f>Github!L$295</f>
        <v>Math;Dynamic Programming;Backtracking;Memoization;Game Theory;</v>
      </c>
      <c r="L296" s="17" t="b">
        <f>Github!M$295</f>
        <v>0</v>
      </c>
      <c r="M296" s="17" t="str">
        <f>ROUND(Github!N$295, 2)&amp;"%"</f>
        <v>0%</v>
      </c>
      <c r="N296" s="17">
        <f>Github!O$295</f>
        <v>51.4075687</v>
      </c>
      <c r="O296" s="17">
        <f>Github!P$295</f>
        <v>62800</v>
      </c>
    </row>
    <row r="297">
      <c r="A297" s="17">
        <f>Github!J$296</f>
        <v>295</v>
      </c>
      <c r="B297" s="27" t="str">
        <f>HYPERLINK(CONCAT("http://leetcode.com/problems/",Github!C$296), Github!B$296)</f>
        <v>Find Median from Data Stream</v>
      </c>
      <c r="C297" s="17">
        <f>Github!F$296</f>
        <v>6401</v>
      </c>
      <c r="D297" s="17">
        <f>Github!G$296</f>
        <v>119</v>
      </c>
      <c r="E297" s="17">
        <f>Github!F$296+Github!G$296</f>
        <v>6520</v>
      </c>
      <c r="F297" s="18">
        <f t="shared" si="1"/>
        <v>53.79</v>
      </c>
      <c r="G297" s="17" t="str">
        <f>Github!H$296</f>
        <v>Algorithms</v>
      </c>
      <c r="H297" s="17" t="str">
        <f>Github!E$296</f>
        <v>Hard</v>
      </c>
      <c r="I297" s="17" t="str">
        <f>IF(TRIM(Github!D$296)="TRUE","FALSE","TRUE")</f>
        <v>TRUE</v>
      </c>
      <c r="J297" s="17"/>
      <c r="K297" s="17" t="str">
        <f>Github!L$296</f>
        <v>Two Pointers;Design;Sorting;Heap (Priority Queue);Data Stream;</v>
      </c>
      <c r="L297" s="17" t="b">
        <f>Github!M$296</f>
        <v>1</v>
      </c>
      <c r="M297" s="17" t="str">
        <f>ROUND(Github!N$296, 2)&amp;"%"</f>
        <v>0%</v>
      </c>
      <c r="N297" s="17">
        <f>Github!O$296</f>
        <v>50.07845441</v>
      </c>
      <c r="O297" s="17">
        <f>Github!P$296</f>
        <v>430532</v>
      </c>
    </row>
    <row r="298">
      <c r="A298" s="17">
        <f>Github!J$297</f>
        <v>296</v>
      </c>
      <c r="B298" s="27" t="str">
        <f>HYPERLINK(CONCAT("http://leetcode.com/problems/",Github!C$297), Github!B$297)</f>
        <v>Best Meeting Point</v>
      </c>
      <c r="C298" s="17">
        <f>Github!F$297</f>
        <v>846</v>
      </c>
      <c r="D298" s="17">
        <f>Github!G$297</f>
        <v>66</v>
      </c>
      <c r="E298" s="17">
        <f>Github!F$297+Github!G$297</f>
        <v>912</v>
      </c>
      <c r="F298" s="18">
        <f t="shared" si="1"/>
        <v>12.82</v>
      </c>
      <c r="G298" s="17" t="str">
        <f>Github!H$297</f>
        <v>Algorithms</v>
      </c>
      <c r="H298" s="17" t="str">
        <f>Github!E$297</f>
        <v>Hard</v>
      </c>
      <c r="I298" s="17" t="str">
        <f>IF(TRIM(Github!D$297)="TRUE","FALSE","TRUE")</f>
        <v>FALSE</v>
      </c>
      <c r="J298" s="17"/>
      <c r="K298" s="17" t="str">
        <f>Github!L$297</f>
        <v>Array;Math;Sorting;Matrix;</v>
      </c>
      <c r="L298" s="17" t="b">
        <f>Github!M$297</f>
        <v>1</v>
      </c>
      <c r="M298" s="17" t="str">
        <f>ROUND(Github!N$297, 2)&amp;"%"</f>
        <v>0%</v>
      </c>
      <c r="N298" s="17">
        <f>Github!O$297</f>
        <v>59.36839462</v>
      </c>
      <c r="O298" s="17">
        <f>Github!P$297</f>
        <v>56736</v>
      </c>
    </row>
    <row r="299">
      <c r="A299" s="17">
        <f>Github!J$298</f>
        <v>297</v>
      </c>
      <c r="B299" s="27" t="str">
        <f>HYPERLINK(CONCAT("http://leetcode.com/problems/",Github!C$298), Github!B$298)</f>
        <v>Serialize and Deserialize Binary Tree</v>
      </c>
      <c r="C299" s="17">
        <f>Github!F$298</f>
        <v>6203</v>
      </c>
      <c r="D299" s="17">
        <f>Github!G$298</f>
        <v>241</v>
      </c>
      <c r="E299" s="17">
        <f>Github!F$298+Github!G$298</f>
        <v>6444</v>
      </c>
      <c r="F299" s="18">
        <f t="shared" si="1"/>
        <v>25.74</v>
      </c>
      <c r="G299" s="17" t="str">
        <f>Github!H$298</f>
        <v>Algorithms</v>
      </c>
      <c r="H299" s="17" t="str">
        <f>Github!E$298</f>
        <v>Hard</v>
      </c>
      <c r="I299" s="17" t="str">
        <f>IF(TRIM(Github!D$298)="TRUE","FALSE","TRUE")</f>
        <v>TRUE</v>
      </c>
      <c r="J299" s="17"/>
      <c r="K299" s="17" t="str">
        <f>Github!L$298</f>
        <v>String;Tree;Depth-First Search;Breadth-First Search;Design;Binary Tree;</v>
      </c>
      <c r="L299" s="17" t="b">
        <f>Github!M$298</f>
        <v>1</v>
      </c>
      <c r="M299" s="17" t="str">
        <f>ROUND(Github!N$298, 2)&amp;"%"</f>
        <v>0%</v>
      </c>
      <c r="N299" s="17">
        <f>Github!O$298</f>
        <v>53.3074811</v>
      </c>
      <c r="O299" s="17">
        <f>Github!P$298</f>
        <v>576810</v>
      </c>
    </row>
    <row r="300">
      <c r="A300" s="17">
        <f>Github!J$299</f>
        <v>298</v>
      </c>
      <c r="B300" s="27" t="str">
        <f>HYPERLINK(CONCAT("http://leetcode.com/problems/",Github!C$299), Github!B$299)</f>
        <v>Binary Tree Longest Consecutive Sequence</v>
      </c>
      <c r="C300" s="17">
        <f>Github!F$299</f>
        <v>858</v>
      </c>
      <c r="D300" s="17">
        <f>Github!G$299</f>
        <v>209</v>
      </c>
      <c r="E300" s="17">
        <f>Github!F$299+Github!G$299</f>
        <v>1067</v>
      </c>
      <c r="F300" s="18">
        <f t="shared" si="1"/>
        <v>4.11</v>
      </c>
      <c r="G300" s="17" t="str">
        <f>Github!H$299</f>
        <v>Algorithms</v>
      </c>
      <c r="H300" s="17" t="str">
        <f>Github!E$299</f>
        <v>Medium</v>
      </c>
      <c r="I300" s="17" t="str">
        <f>IF(TRIM(Github!D$299)="TRUE","FALSE","TRUE")</f>
        <v>FALSE</v>
      </c>
      <c r="J300" s="17"/>
      <c r="K300" s="17" t="str">
        <f>Github!L$299</f>
        <v>Tree;Depth-First Search;Binary Tree;</v>
      </c>
      <c r="L300" s="17" t="b">
        <f>Github!M$299</f>
        <v>1</v>
      </c>
      <c r="M300" s="17" t="str">
        <f>ROUND(Github!N$299, 2)&amp;"%"</f>
        <v>0%</v>
      </c>
      <c r="N300" s="17">
        <f>Github!O$299</f>
        <v>50.90089701</v>
      </c>
      <c r="O300" s="17">
        <f>Github!P$299</f>
        <v>117802</v>
      </c>
    </row>
    <row r="301">
      <c r="A301" s="17">
        <f>Github!J$300</f>
        <v>299</v>
      </c>
      <c r="B301" s="27" t="str">
        <f>HYPERLINK(CONCAT("http://leetcode.com/problems/",Github!C$300), Github!B$300)</f>
        <v>Bulls and Cows</v>
      </c>
      <c r="C301" s="17">
        <f>Github!F$300</f>
        <v>1316</v>
      </c>
      <c r="D301" s="17">
        <f>Github!G$300</f>
        <v>1268</v>
      </c>
      <c r="E301" s="17">
        <f>Github!F$300+Github!G$300</f>
        <v>2584</v>
      </c>
      <c r="F301" s="18">
        <f t="shared" si="1"/>
        <v>1.04</v>
      </c>
      <c r="G301" s="17" t="str">
        <f>Github!H$300</f>
        <v>Algorithms</v>
      </c>
      <c r="H301" s="17" t="str">
        <f>Github!E$300</f>
        <v>Medium</v>
      </c>
      <c r="I301" s="17" t="str">
        <f>IF(TRIM(Github!D$300)="TRUE","FALSE","TRUE")</f>
        <v>TRUE</v>
      </c>
      <c r="J301" s="17"/>
      <c r="K301" s="17" t="str">
        <f>Github!L$300</f>
        <v>Hash Table;String;Counting;</v>
      </c>
      <c r="L301" s="17" t="b">
        <f>Github!M$300</f>
        <v>1</v>
      </c>
      <c r="M301" s="17" t="str">
        <f>ROUND(Github!N$300, 2)&amp;"%"</f>
        <v>0%</v>
      </c>
      <c r="N301" s="17">
        <f>Github!O$300</f>
        <v>46.95424449</v>
      </c>
      <c r="O301" s="17">
        <f>Github!P$300</f>
        <v>259618</v>
      </c>
    </row>
    <row r="302">
      <c r="A302" s="17">
        <f>Github!J$301</f>
        <v>300</v>
      </c>
      <c r="B302" s="27" t="str">
        <f>HYPERLINK(CONCAT("http://leetcode.com/problems/",Github!C$301), Github!B$301)</f>
        <v>Longest Increasing Subsequence</v>
      </c>
      <c r="C302" s="17">
        <f>Github!F$301</f>
        <v>11027</v>
      </c>
      <c r="D302" s="17">
        <f>Github!G$301</f>
        <v>217</v>
      </c>
      <c r="E302" s="17">
        <f>Github!F$301+Github!G$301</f>
        <v>11244</v>
      </c>
      <c r="F302" s="18">
        <f t="shared" si="1"/>
        <v>50.82</v>
      </c>
      <c r="G302" s="17" t="str">
        <f>Github!H$301</f>
        <v>Algorithms</v>
      </c>
      <c r="H302" s="17" t="str">
        <f>Github!E$301</f>
        <v>Medium</v>
      </c>
      <c r="I302" s="17" t="str">
        <f>IF(TRIM(Github!D$301)="TRUE","FALSE","TRUE")</f>
        <v>TRUE</v>
      </c>
      <c r="J302" s="17"/>
      <c r="K302" s="17" t="str">
        <f>Github!L$301</f>
        <v>Array;Binary Search;Dynamic Programming;</v>
      </c>
      <c r="L302" s="17" t="b">
        <f>Github!M$301</f>
        <v>1</v>
      </c>
      <c r="M302" s="17" t="str">
        <f>ROUND(Github!N$301, 2)&amp;"%"</f>
        <v>0%</v>
      </c>
      <c r="N302" s="17">
        <f>Github!O$301</f>
        <v>48.77545275</v>
      </c>
      <c r="O302" s="17">
        <f>Github!P$301</f>
        <v>796935</v>
      </c>
    </row>
    <row r="303">
      <c r="A303" s="17">
        <f>Github!J$302</f>
        <v>301</v>
      </c>
      <c r="B303" s="27" t="str">
        <f>HYPERLINK(CONCAT("http://leetcode.com/problems/",Github!C$302), Github!B$302)</f>
        <v>Remove Invalid Parentheses</v>
      </c>
      <c r="C303" s="17">
        <f>Github!F$302</f>
        <v>4448</v>
      </c>
      <c r="D303" s="17">
        <f>Github!G$302</f>
        <v>225</v>
      </c>
      <c r="E303" s="17">
        <f>Github!F$302+Github!G$302</f>
        <v>4673</v>
      </c>
      <c r="F303" s="18">
        <f t="shared" si="1"/>
        <v>19.77</v>
      </c>
      <c r="G303" s="17" t="str">
        <f>Github!H$302</f>
        <v>Algorithms</v>
      </c>
      <c r="H303" s="17" t="str">
        <f>Github!E$302</f>
        <v>Hard</v>
      </c>
      <c r="I303" s="17" t="str">
        <f>IF(TRIM(Github!D$302)="TRUE","FALSE","TRUE")</f>
        <v>TRUE</v>
      </c>
      <c r="J303" s="17"/>
      <c r="K303" s="17" t="str">
        <f>Github!L$302</f>
        <v>String;Backtracking;Breadth-First Search;</v>
      </c>
      <c r="L303" s="17" t="b">
        <f>Github!M$302</f>
        <v>1</v>
      </c>
      <c r="M303" s="17" t="str">
        <f>ROUND(Github!N$302, 2)&amp;"%"</f>
        <v>0%</v>
      </c>
      <c r="N303" s="17">
        <f>Github!O$302</f>
        <v>46.67932031</v>
      </c>
      <c r="O303" s="17">
        <f>Github!P$302</f>
        <v>336677</v>
      </c>
    </row>
    <row r="304">
      <c r="A304" s="17">
        <f>Github!J$303</f>
        <v>302</v>
      </c>
      <c r="B304" s="27" t="str">
        <f>HYPERLINK(CONCAT("http://leetcode.com/problems/",Github!C$303), Github!B$303)</f>
        <v>Smallest Rectangle Enclosing Black Pixels</v>
      </c>
      <c r="C304" s="17">
        <f>Github!F$303</f>
        <v>393</v>
      </c>
      <c r="D304" s="17">
        <f>Github!G$303</f>
        <v>80</v>
      </c>
      <c r="E304" s="17">
        <f>Github!F$303+Github!G$303</f>
        <v>473</v>
      </c>
      <c r="F304" s="18">
        <f t="shared" si="1"/>
        <v>4.91</v>
      </c>
      <c r="G304" s="17" t="str">
        <f>Github!H$303</f>
        <v>Algorithms</v>
      </c>
      <c r="H304" s="17" t="str">
        <f>Github!E$303</f>
        <v>Hard</v>
      </c>
      <c r="I304" s="17" t="str">
        <f>IF(TRIM(Github!D$303)="TRUE","FALSE","TRUE")</f>
        <v>FALSE</v>
      </c>
      <c r="J304" s="17"/>
      <c r="K304" s="17" t="str">
        <f>Github!L$303</f>
        <v>Array;Binary Search;Depth-First Search;Breadth-First Search;Matrix;</v>
      </c>
      <c r="L304" s="17" t="b">
        <f>Github!M$303</f>
        <v>1</v>
      </c>
      <c r="M304" s="17" t="str">
        <f>ROUND(Github!N$303, 2)&amp;"%"</f>
        <v>0%</v>
      </c>
      <c r="N304" s="17">
        <f>Github!O$303</f>
        <v>56.14819086</v>
      </c>
      <c r="O304" s="17">
        <f>Github!P$303</f>
        <v>38950</v>
      </c>
    </row>
    <row r="305">
      <c r="A305" s="17">
        <f>Github!J$304</f>
        <v>303</v>
      </c>
      <c r="B305" s="27" t="str">
        <f>HYPERLINK(CONCAT("http://leetcode.com/problems/",Github!C$304), Github!B$304)</f>
        <v>Range Sum Query - Immutable</v>
      </c>
      <c r="C305" s="17">
        <f>Github!F$304</f>
        <v>1845</v>
      </c>
      <c r="D305" s="17">
        <f>Github!G$304</f>
        <v>1611</v>
      </c>
      <c r="E305" s="17">
        <f>Github!F$304+Github!G$304</f>
        <v>3456</v>
      </c>
      <c r="F305" s="18">
        <f t="shared" si="1"/>
        <v>1.15</v>
      </c>
      <c r="G305" s="17" t="str">
        <f>Github!H$304</f>
        <v>Algorithms</v>
      </c>
      <c r="H305" s="17" t="str">
        <f>Github!E$304</f>
        <v>Easy</v>
      </c>
      <c r="I305" s="17" t="str">
        <f>IF(TRIM(Github!D$304)="TRUE","FALSE","TRUE")</f>
        <v>TRUE</v>
      </c>
      <c r="J305" s="17"/>
      <c r="K305" s="17" t="str">
        <f>Github!L$304</f>
        <v>Array;Design;Prefix Sum;</v>
      </c>
      <c r="L305" s="17" t="b">
        <f>Github!M$304</f>
        <v>1</v>
      </c>
      <c r="M305" s="17" t="str">
        <f>ROUND(Github!N$304, 2)&amp;"%"</f>
        <v>0%</v>
      </c>
      <c r="N305" s="17">
        <f>Github!O$304</f>
        <v>54.61336852</v>
      </c>
      <c r="O305" s="17">
        <f>Github!P$304</f>
        <v>336935</v>
      </c>
    </row>
    <row r="306">
      <c r="A306" s="17">
        <f>Github!J$305</f>
        <v>304</v>
      </c>
      <c r="B306" s="27" t="str">
        <f>HYPERLINK(CONCAT("http://leetcode.com/problems/",Github!C$305), Github!B$305)</f>
        <v>Range Sum Query 2D - Immutable</v>
      </c>
      <c r="C306" s="17">
        <f>Github!F$305</f>
        <v>2434</v>
      </c>
      <c r="D306" s="17">
        <f>Github!G$305</f>
        <v>242</v>
      </c>
      <c r="E306" s="17">
        <f>Github!F$305+Github!G$305</f>
        <v>2676</v>
      </c>
      <c r="F306" s="18">
        <f t="shared" si="1"/>
        <v>10.06</v>
      </c>
      <c r="G306" s="17" t="str">
        <f>Github!H$305</f>
        <v>Algorithms</v>
      </c>
      <c r="H306" s="17" t="str">
        <f>Github!E$305</f>
        <v>Medium</v>
      </c>
      <c r="I306" s="17" t="str">
        <f>IF(TRIM(Github!D$305)="TRUE","FALSE","TRUE")</f>
        <v>TRUE</v>
      </c>
      <c r="J306" s="17"/>
      <c r="K306" s="17" t="str">
        <f>Github!L$305</f>
        <v>Array;Design;Matrix;Prefix Sum;</v>
      </c>
      <c r="L306" s="17" t="b">
        <f>Github!M$305</f>
        <v>1</v>
      </c>
      <c r="M306" s="17" t="str">
        <f>ROUND(Github!N$305, 2)&amp;"%"</f>
        <v>0%</v>
      </c>
      <c r="N306" s="17">
        <f>Github!O$305</f>
        <v>47.07329523</v>
      </c>
      <c r="O306" s="17">
        <f>Github!P$305</f>
        <v>214874</v>
      </c>
    </row>
    <row r="307">
      <c r="A307" s="17">
        <f>Github!J$306</f>
        <v>305</v>
      </c>
      <c r="B307" s="27" t="str">
        <f>HYPERLINK(CONCAT("http://leetcode.com/problems/",Github!C$306), Github!B$306)</f>
        <v>Number of Islands II</v>
      </c>
      <c r="C307" s="17">
        <f>Github!F$306</f>
        <v>1370</v>
      </c>
      <c r="D307" s="17">
        <f>Github!G$306</f>
        <v>42</v>
      </c>
      <c r="E307" s="17">
        <f>Github!F$306+Github!G$306</f>
        <v>1412</v>
      </c>
      <c r="F307" s="18">
        <f t="shared" si="1"/>
        <v>32.62</v>
      </c>
      <c r="G307" s="17" t="str">
        <f>Github!H$306</f>
        <v>Algorithms</v>
      </c>
      <c r="H307" s="17" t="str">
        <f>Github!E$306</f>
        <v>Hard</v>
      </c>
      <c r="I307" s="17" t="str">
        <f>IF(TRIM(Github!D$306)="TRUE","FALSE","TRUE")</f>
        <v>FALSE</v>
      </c>
      <c r="J307" s="17"/>
      <c r="K307" s="17" t="str">
        <f>Github!L$306</f>
        <v>Array;Union Find;</v>
      </c>
      <c r="L307" s="17" t="b">
        <f>Github!M$306</f>
        <v>1</v>
      </c>
      <c r="M307" s="17" t="str">
        <f>ROUND(Github!N$306, 2)&amp;"%"</f>
        <v>0%</v>
      </c>
      <c r="N307" s="17">
        <f>Github!O$306</f>
        <v>39.32746387</v>
      </c>
      <c r="O307" s="17">
        <f>Github!P$306</f>
        <v>109573</v>
      </c>
    </row>
    <row r="308">
      <c r="A308" s="17">
        <f>Github!J$307</f>
        <v>306</v>
      </c>
      <c r="B308" s="27" t="str">
        <f>HYPERLINK(CONCAT("http://leetcode.com/problems/",Github!C$307), Github!B$307)</f>
        <v>Additive Number</v>
      </c>
      <c r="C308" s="17">
        <f>Github!F$307</f>
        <v>699</v>
      </c>
      <c r="D308" s="17">
        <f>Github!G$307</f>
        <v>615</v>
      </c>
      <c r="E308" s="17">
        <f>Github!F$307+Github!G$307</f>
        <v>1314</v>
      </c>
      <c r="F308" s="18">
        <f t="shared" si="1"/>
        <v>1.14</v>
      </c>
      <c r="G308" s="17" t="str">
        <f>Github!H$307</f>
        <v>Algorithms</v>
      </c>
      <c r="H308" s="17" t="str">
        <f>Github!E$307</f>
        <v>Medium</v>
      </c>
      <c r="I308" s="17" t="str">
        <f>IF(TRIM(Github!D$307)="TRUE","FALSE","TRUE")</f>
        <v>TRUE</v>
      </c>
      <c r="J308" s="17"/>
      <c r="K308" s="17" t="str">
        <f>Github!L$307</f>
        <v>String;Backtracking;</v>
      </c>
      <c r="L308" s="17" t="b">
        <f>Github!M$307</f>
        <v>0</v>
      </c>
      <c r="M308" s="17" t="str">
        <f>ROUND(Github!N$307, 2)&amp;"%"</f>
        <v>0%</v>
      </c>
      <c r="N308" s="17">
        <f>Github!O$307</f>
        <v>30.5170602</v>
      </c>
      <c r="O308" s="17">
        <f>Github!P$307</f>
        <v>67956</v>
      </c>
    </row>
    <row r="309">
      <c r="A309" s="17">
        <f>Github!J$308</f>
        <v>307</v>
      </c>
      <c r="B309" s="27" t="str">
        <f>HYPERLINK(CONCAT("http://leetcode.com/problems/",Github!C$308), Github!B$308)</f>
        <v>Range Sum Query - Mutable</v>
      </c>
      <c r="C309" s="17">
        <f>Github!F$308</f>
        <v>2623</v>
      </c>
      <c r="D309" s="17">
        <f>Github!G$308</f>
        <v>142</v>
      </c>
      <c r="E309" s="17">
        <f>Github!F$308+Github!G$308</f>
        <v>2765</v>
      </c>
      <c r="F309" s="18">
        <f t="shared" si="1"/>
        <v>18.47</v>
      </c>
      <c r="G309" s="17" t="str">
        <f>Github!H$308</f>
        <v>Algorithms</v>
      </c>
      <c r="H309" s="17" t="str">
        <f>Github!E$308</f>
        <v>Medium</v>
      </c>
      <c r="I309" s="17" t="str">
        <f>IF(TRIM(Github!D$308)="TRUE","FALSE","TRUE")</f>
        <v>TRUE</v>
      </c>
      <c r="J309" s="17"/>
      <c r="K309" s="17" t="str">
        <f>Github!L$308</f>
        <v>Array;Design;Binary Indexed Tree;Segment Tree;</v>
      </c>
      <c r="L309" s="17" t="b">
        <f>Github!M$308</f>
        <v>1</v>
      </c>
      <c r="M309" s="17" t="str">
        <f>ROUND(Github!N$308, 2)&amp;"%"</f>
        <v>0%</v>
      </c>
      <c r="N309" s="17">
        <f>Github!O$308</f>
        <v>38.53460151</v>
      </c>
      <c r="O309" s="17">
        <f>Github!P$308</f>
        <v>176521</v>
      </c>
    </row>
    <row r="310">
      <c r="A310" s="17">
        <f>Github!J$309</f>
        <v>308</v>
      </c>
      <c r="B310" s="27" t="str">
        <f>HYPERLINK(CONCAT("http://leetcode.com/problems/",Github!C$309), Github!B$309)</f>
        <v>Range Sum Query 2D - Mutable</v>
      </c>
      <c r="C310" s="17">
        <f>Github!F$309</f>
        <v>637</v>
      </c>
      <c r="D310" s="17">
        <f>Github!G$309</f>
        <v>73</v>
      </c>
      <c r="E310" s="17">
        <f>Github!F$309+Github!G$309</f>
        <v>710</v>
      </c>
      <c r="F310" s="18">
        <f t="shared" si="1"/>
        <v>8.73</v>
      </c>
      <c r="G310" s="17" t="str">
        <f>Github!H$309</f>
        <v>Algorithms</v>
      </c>
      <c r="H310" s="17" t="str">
        <f>Github!E$309</f>
        <v>Hard</v>
      </c>
      <c r="I310" s="17" t="str">
        <f>IF(TRIM(Github!D$309)="TRUE","FALSE","TRUE")</f>
        <v>FALSE</v>
      </c>
      <c r="J310" s="17"/>
      <c r="K310" s="17" t="str">
        <f>Github!L$309</f>
        <v>Array;Design;Binary Indexed Tree;Segment Tree;Matrix;</v>
      </c>
      <c r="L310" s="17" t="b">
        <f>Github!M$309</f>
        <v>1</v>
      </c>
      <c r="M310" s="17" t="str">
        <f>ROUND(Github!N$309, 2)&amp;"%"</f>
        <v>0%</v>
      </c>
      <c r="N310" s="17">
        <f>Github!O$309</f>
        <v>40.73156792</v>
      </c>
      <c r="O310" s="17">
        <f>Github!P$309</f>
        <v>64140</v>
      </c>
    </row>
    <row r="311">
      <c r="A311" s="17">
        <f>Github!J$310</f>
        <v>309</v>
      </c>
      <c r="B311" s="27" t="str">
        <f>HYPERLINK(CONCAT("http://leetcode.com/problems/",Github!C$310), Github!B$310)</f>
        <v>Best Time to Buy and Sell Stock with Cooldown</v>
      </c>
      <c r="C311" s="17">
        <f>Github!F$310</f>
        <v>5399</v>
      </c>
      <c r="D311" s="17">
        <f>Github!G$310</f>
        <v>185</v>
      </c>
      <c r="E311" s="17">
        <f>Github!F$310+Github!G$310</f>
        <v>5584</v>
      </c>
      <c r="F311" s="18">
        <f t="shared" si="1"/>
        <v>29.18</v>
      </c>
      <c r="G311" s="17" t="str">
        <f>Github!H$310</f>
        <v>Algorithms</v>
      </c>
      <c r="H311" s="17" t="str">
        <f>Github!E$310</f>
        <v>Medium</v>
      </c>
      <c r="I311" s="17" t="str">
        <f>IF(TRIM(Github!D$310)="TRUE","FALSE","TRUE")</f>
        <v>TRUE</v>
      </c>
      <c r="J311" s="17"/>
      <c r="K311" s="17" t="str">
        <f>Github!L$310</f>
        <v>Array;Dynamic Programming;</v>
      </c>
      <c r="L311" s="17" t="b">
        <f>Github!M$310</f>
        <v>1</v>
      </c>
      <c r="M311" s="17" t="str">
        <f>ROUND(Github!N$310, 2)&amp;"%"</f>
        <v>0%</v>
      </c>
      <c r="N311" s="17">
        <f>Github!O$310</f>
        <v>51.99485225</v>
      </c>
      <c r="O311" s="17">
        <f>Github!P$310</f>
        <v>263825</v>
      </c>
    </row>
    <row r="312">
      <c r="A312" s="17">
        <f>Github!J$311</f>
        <v>310</v>
      </c>
      <c r="B312" s="27" t="str">
        <f>HYPERLINK(CONCAT("http://leetcode.com/problems/",Github!C$311), Github!B$311)</f>
        <v>Minimum Height Trees</v>
      </c>
      <c r="C312" s="17">
        <f>Github!F$311</f>
        <v>4942</v>
      </c>
      <c r="D312" s="17">
        <f>Github!G$311</f>
        <v>205</v>
      </c>
      <c r="E312" s="17">
        <f>Github!F$311+Github!G$311</f>
        <v>5147</v>
      </c>
      <c r="F312" s="18">
        <f t="shared" si="1"/>
        <v>24.11</v>
      </c>
      <c r="G312" s="17" t="str">
        <f>Github!H$311</f>
        <v>Algorithms</v>
      </c>
      <c r="H312" s="17" t="str">
        <f>Github!E$311</f>
        <v>Medium</v>
      </c>
      <c r="I312" s="17" t="str">
        <f>IF(TRIM(Github!D$311)="TRUE","FALSE","TRUE")</f>
        <v>TRUE</v>
      </c>
      <c r="J312" s="17"/>
      <c r="K312" s="17" t="str">
        <f>Github!L$311</f>
        <v>Depth-First Search;Breadth-First Search;Graph;Topological Sort;</v>
      </c>
      <c r="L312" s="17" t="b">
        <f>Github!M$311</f>
        <v>1</v>
      </c>
      <c r="M312" s="17" t="str">
        <f>ROUND(Github!N$311, 2)&amp;"%"</f>
        <v>0%</v>
      </c>
      <c r="N312" s="17">
        <f>Github!O$311</f>
        <v>38.01538021</v>
      </c>
      <c r="O312" s="17">
        <f>Github!P$311</f>
        <v>188440</v>
      </c>
    </row>
    <row r="313">
      <c r="A313" s="17">
        <f>Github!J$312</f>
        <v>311</v>
      </c>
      <c r="B313" s="27" t="str">
        <f>HYPERLINK(CONCAT("http://leetcode.com/problems/",Github!C$312), Github!B$312)</f>
        <v>Sparse Matrix Multiplication</v>
      </c>
      <c r="C313" s="17">
        <f>Github!F$312</f>
        <v>780</v>
      </c>
      <c r="D313" s="17">
        <f>Github!G$312</f>
        <v>278</v>
      </c>
      <c r="E313" s="17">
        <f>Github!F$312+Github!G$312</f>
        <v>1058</v>
      </c>
      <c r="F313" s="18">
        <f t="shared" si="1"/>
        <v>2.81</v>
      </c>
      <c r="G313" s="17" t="str">
        <f>Github!H$312</f>
        <v>Algorithms</v>
      </c>
      <c r="H313" s="17" t="str">
        <f>Github!E$312</f>
        <v>Medium</v>
      </c>
      <c r="I313" s="17" t="str">
        <f>IF(TRIM(Github!D$312)="TRUE","FALSE","TRUE")</f>
        <v>FALSE</v>
      </c>
      <c r="J313" s="17"/>
      <c r="K313" s="17" t="str">
        <f>Github!L$312</f>
        <v>Array;Hash Table;Matrix;</v>
      </c>
      <c r="L313" s="17" t="b">
        <f>Github!M$312</f>
        <v>1</v>
      </c>
      <c r="M313" s="17" t="str">
        <f>ROUND(Github!N$312, 2)&amp;"%"</f>
        <v>0%</v>
      </c>
      <c r="N313" s="17">
        <f>Github!O$312</f>
        <v>65.73105051</v>
      </c>
      <c r="O313" s="17">
        <f>Github!P$312</f>
        <v>145965</v>
      </c>
    </row>
    <row r="314">
      <c r="A314" s="17">
        <f>Github!J$313</f>
        <v>312</v>
      </c>
      <c r="B314" s="27" t="str">
        <f>HYPERLINK(CONCAT("http://leetcode.com/problems/",Github!C$313), Github!B$313)</f>
        <v>Burst Balloons</v>
      </c>
      <c r="C314" s="17">
        <f>Github!F$313</f>
        <v>5666</v>
      </c>
      <c r="D314" s="17">
        <f>Github!G$313</f>
        <v>154</v>
      </c>
      <c r="E314" s="17">
        <f>Github!F$313+Github!G$313</f>
        <v>5820</v>
      </c>
      <c r="F314" s="18">
        <f t="shared" si="1"/>
        <v>36.79</v>
      </c>
      <c r="G314" s="17" t="str">
        <f>Github!H$313</f>
        <v>Algorithms</v>
      </c>
      <c r="H314" s="17" t="str">
        <f>Github!E$313</f>
        <v>Hard</v>
      </c>
      <c r="I314" s="17" t="str">
        <f>IF(TRIM(Github!D$313)="TRUE","FALSE","TRUE")</f>
        <v>TRUE</v>
      </c>
      <c r="J314" s="17"/>
      <c r="K314" s="17" t="str">
        <f>Github!L$313</f>
        <v>Array;Dynamic Programming;</v>
      </c>
      <c r="L314" s="17" t="b">
        <f>Github!M$313</f>
        <v>1</v>
      </c>
      <c r="M314" s="17" t="str">
        <f>ROUND(Github!N$313, 2)&amp;"%"</f>
        <v>0%</v>
      </c>
      <c r="N314" s="17">
        <f>Github!O$313</f>
        <v>56.16591507</v>
      </c>
      <c r="O314" s="17">
        <f>Github!P$313</f>
        <v>179349</v>
      </c>
    </row>
    <row r="315">
      <c r="A315" s="17">
        <f>Github!J$314</f>
        <v>313</v>
      </c>
      <c r="B315" s="27" t="str">
        <f>HYPERLINK(CONCAT("http://leetcode.com/problems/",Github!C$314), Github!B$314)</f>
        <v>Super Ugly Number</v>
      </c>
      <c r="C315" s="17">
        <f>Github!F$314</f>
        <v>1403</v>
      </c>
      <c r="D315" s="17">
        <f>Github!G$314</f>
        <v>261</v>
      </c>
      <c r="E315" s="17">
        <f>Github!F$314+Github!G$314</f>
        <v>1664</v>
      </c>
      <c r="F315" s="18">
        <f t="shared" si="1"/>
        <v>5.38</v>
      </c>
      <c r="G315" s="17" t="str">
        <f>Github!H$314</f>
        <v>Algorithms</v>
      </c>
      <c r="H315" s="17" t="str">
        <f>Github!E$314</f>
        <v>Medium</v>
      </c>
      <c r="I315" s="17" t="str">
        <f>IF(TRIM(Github!D$314)="TRUE","FALSE","TRUE")</f>
        <v>TRUE</v>
      </c>
      <c r="J315" s="17"/>
      <c r="K315" s="17" t="str">
        <f>Github!L$314</f>
        <v>Array;Hash Table;Math;Dynamic Programming;Heap (Priority Queue);</v>
      </c>
      <c r="L315" s="17" t="b">
        <f>Github!M$314</f>
        <v>0</v>
      </c>
      <c r="M315" s="17" t="str">
        <f>ROUND(Github!N$314, 2)&amp;"%"</f>
        <v>0%</v>
      </c>
      <c r="N315" s="17">
        <f>Github!O$314</f>
        <v>45.97594944</v>
      </c>
      <c r="O315" s="17">
        <f>Github!P$314</f>
        <v>102502</v>
      </c>
    </row>
    <row r="316">
      <c r="A316" s="17">
        <f>Github!J$315</f>
        <v>314</v>
      </c>
      <c r="B316" s="27" t="str">
        <f>HYPERLINK(CONCAT("http://leetcode.com/problems/",Github!C$315), Github!B$315)</f>
        <v>Binary Tree Vertical Order Traversal</v>
      </c>
      <c r="C316" s="17">
        <f>Github!F$315</f>
        <v>2228</v>
      </c>
      <c r="D316" s="17">
        <f>Github!G$315</f>
        <v>250</v>
      </c>
      <c r="E316" s="17">
        <f>Github!F$315+Github!G$315</f>
        <v>2478</v>
      </c>
      <c r="F316" s="18">
        <f t="shared" si="1"/>
        <v>8.91</v>
      </c>
      <c r="G316" s="17" t="str">
        <f>Github!H$315</f>
        <v>Algorithms</v>
      </c>
      <c r="H316" s="17" t="str">
        <f>Github!E$315</f>
        <v>Medium</v>
      </c>
      <c r="I316" s="17" t="str">
        <f>IF(TRIM(Github!D$315)="TRUE","FALSE","TRUE")</f>
        <v>FALSE</v>
      </c>
      <c r="J316" s="17"/>
      <c r="K316" s="17" t="str">
        <f>Github!L$315</f>
        <v>Hash Table;Tree;Depth-First Search;Breadth-First Search;Binary Tree;</v>
      </c>
      <c r="L316" s="17" t="b">
        <f>Github!M$315</f>
        <v>1</v>
      </c>
      <c r="M316" s="17" t="str">
        <f>ROUND(Github!N$315, 2)&amp;"%"</f>
        <v>0%</v>
      </c>
      <c r="N316" s="17">
        <f>Github!O$315</f>
        <v>50.78064004</v>
      </c>
      <c r="O316" s="17">
        <f>Github!P$315</f>
        <v>247805</v>
      </c>
    </row>
    <row r="317">
      <c r="A317" s="17">
        <f>Github!J$316</f>
        <v>315</v>
      </c>
      <c r="B317" s="27" t="str">
        <f>HYPERLINK(CONCAT("http://leetcode.com/problems/",Github!C$316), Github!B$316)</f>
        <v>Count of Smaller Numbers After Self</v>
      </c>
      <c r="C317" s="17">
        <f>Github!F$316</f>
        <v>5234</v>
      </c>
      <c r="D317" s="17">
        <f>Github!G$316</f>
        <v>150</v>
      </c>
      <c r="E317" s="17">
        <f>Github!F$316+Github!G$316</f>
        <v>5384</v>
      </c>
      <c r="F317" s="18">
        <f t="shared" si="1"/>
        <v>34.89</v>
      </c>
      <c r="G317" s="17" t="str">
        <f>Github!H$316</f>
        <v>Algorithms</v>
      </c>
      <c r="H317" s="17" t="str">
        <f>Github!E$316</f>
        <v>Hard</v>
      </c>
      <c r="I317" s="17" t="str">
        <f>IF(TRIM(Github!D$316)="TRUE","FALSE","TRUE")</f>
        <v>TRUE</v>
      </c>
      <c r="J317" s="17"/>
      <c r="K317" s="17" t="str">
        <f>Github!L$316</f>
        <v>Array;Binary Search;Divide and Conquer;Binary Indexed Tree;Segment Tree;Merge Sort;Ordered Set;</v>
      </c>
      <c r="L317" s="17" t="b">
        <f>Github!M$316</f>
        <v>1</v>
      </c>
      <c r="M317" s="17" t="str">
        <f>ROUND(Github!N$316, 2)&amp;"%"</f>
        <v>0%</v>
      </c>
      <c r="N317" s="17">
        <f>Github!O$316</f>
        <v>42.06376362</v>
      </c>
      <c r="O317" s="17">
        <f>Github!P$316</f>
        <v>220056</v>
      </c>
    </row>
    <row r="318">
      <c r="A318" s="17">
        <f>Github!J$317</f>
        <v>316</v>
      </c>
      <c r="B318" s="27" t="str">
        <f>HYPERLINK(CONCAT("http://leetcode.com/problems/",Github!C$317), Github!B$317)</f>
        <v>Remove Duplicate Letters</v>
      </c>
      <c r="C318" s="17">
        <f>Github!F$317</f>
        <v>3918</v>
      </c>
      <c r="D318" s="17">
        <f>Github!G$317</f>
        <v>275</v>
      </c>
      <c r="E318" s="17">
        <f>Github!F$317+Github!G$317</f>
        <v>4193</v>
      </c>
      <c r="F318" s="18">
        <f t="shared" si="1"/>
        <v>14.25</v>
      </c>
      <c r="G318" s="17" t="str">
        <f>Github!H$317</f>
        <v>Algorithms</v>
      </c>
      <c r="H318" s="17" t="str">
        <f>Github!E$317</f>
        <v>Medium</v>
      </c>
      <c r="I318" s="17" t="str">
        <f>IF(TRIM(Github!D$317)="TRUE","FALSE","TRUE")</f>
        <v>TRUE</v>
      </c>
      <c r="J318" s="17"/>
      <c r="K318" s="17" t="str">
        <f>Github!L$317</f>
        <v>String;Stack;Greedy;Monotonic Stack;</v>
      </c>
      <c r="L318" s="17" t="b">
        <f>Github!M$317</f>
        <v>1</v>
      </c>
      <c r="M318" s="17" t="str">
        <f>ROUND(Github!N$317, 2)&amp;"%"</f>
        <v>0%</v>
      </c>
      <c r="N318" s="17">
        <f>Github!O$317</f>
        <v>41.423777</v>
      </c>
      <c r="O318" s="17">
        <f>Github!P$317</f>
        <v>155026</v>
      </c>
    </row>
    <row r="319">
      <c r="A319" s="17">
        <f>Github!J$318</f>
        <v>317</v>
      </c>
      <c r="B319" s="27" t="str">
        <f>HYPERLINK(CONCAT("http://leetcode.com/problems/",Github!C$318), Github!B$318)</f>
        <v>Shortest Distance from All Buildings</v>
      </c>
      <c r="C319" s="17">
        <f>Github!F$318</f>
        <v>1470</v>
      </c>
      <c r="D319" s="17">
        <f>Github!G$318</f>
        <v>156</v>
      </c>
      <c r="E319" s="17">
        <f>Github!F$318+Github!G$318</f>
        <v>1626</v>
      </c>
      <c r="F319" s="18">
        <f t="shared" si="1"/>
        <v>9.42</v>
      </c>
      <c r="G319" s="17" t="str">
        <f>Github!H$318</f>
        <v>Algorithms</v>
      </c>
      <c r="H319" s="17" t="str">
        <f>Github!E$318</f>
        <v>Hard</v>
      </c>
      <c r="I319" s="17" t="str">
        <f>IF(TRIM(Github!D$318)="TRUE","FALSE","TRUE")</f>
        <v>FALSE</v>
      </c>
      <c r="J319" s="17"/>
      <c r="K319" s="17" t="str">
        <f>Github!L$318</f>
        <v>Array;Breadth-First Search;Matrix;</v>
      </c>
      <c r="L319" s="17" t="b">
        <f>Github!M$318</f>
        <v>1</v>
      </c>
      <c r="M319" s="17" t="str">
        <f>ROUND(Github!N$318, 2)&amp;"%"</f>
        <v>0%</v>
      </c>
      <c r="N319" s="17">
        <f>Github!O$318</f>
        <v>43.40939072</v>
      </c>
      <c r="O319" s="17">
        <f>Github!P$318</f>
        <v>130967</v>
      </c>
    </row>
    <row r="320">
      <c r="A320" s="17">
        <f>Github!J$319</f>
        <v>318</v>
      </c>
      <c r="B320" s="27" t="str">
        <f>HYPERLINK(CONCAT("http://leetcode.com/problems/",Github!C$319), Github!B$319)</f>
        <v>Maximum Product of Word Lengths</v>
      </c>
      <c r="C320" s="17">
        <f>Github!F$319</f>
        <v>1657</v>
      </c>
      <c r="D320" s="17">
        <f>Github!G$319</f>
        <v>93</v>
      </c>
      <c r="E320" s="17">
        <f>Github!F$319+Github!G$319</f>
        <v>1750</v>
      </c>
      <c r="F320" s="18">
        <f t="shared" si="1"/>
        <v>17.82</v>
      </c>
      <c r="G320" s="17" t="str">
        <f>Github!H$319</f>
        <v>Algorithms</v>
      </c>
      <c r="H320" s="17" t="str">
        <f>Github!E$319</f>
        <v>Medium</v>
      </c>
      <c r="I320" s="17" t="str">
        <f>IF(TRIM(Github!D$319)="TRUE","FALSE","TRUE")</f>
        <v>TRUE</v>
      </c>
      <c r="J320" s="17"/>
      <c r="K320" s="17" t="str">
        <f>Github!L$319</f>
        <v>Array;String;Bit Manipulation;</v>
      </c>
      <c r="L320" s="17" t="b">
        <f>Github!M$319</f>
        <v>1</v>
      </c>
      <c r="M320" s="17" t="str">
        <f>ROUND(Github!N$319, 2)&amp;"%"</f>
        <v>0%</v>
      </c>
      <c r="N320" s="17">
        <f>Github!O$319</f>
        <v>56.46024158</v>
      </c>
      <c r="O320" s="17">
        <f>Github!P$319</f>
        <v>140785</v>
      </c>
    </row>
    <row r="321">
      <c r="A321" s="17">
        <f>Github!J$320</f>
        <v>319</v>
      </c>
      <c r="B321" s="27" t="str">
        <f>HYPERLINK(CONCAT("http://leetcode.com/problems/",Github!C$320), Github!B$320)</f>
        <v>Bulb Switcher</v>
      </c>
      <c r="C321" s="17">
        <f>Github!F$320</f>
        <v>880</v>
      </c>
      <c r="D321" s="17">
        <f>Github!G$320</f>
        <v>1607</v>
      </c>
      <c r="E321" s="17">
        <f>Github!F$320+Github!G$320</f>
        <v>2487</v>
      </c>
      <c r="F321" s="18">
        <f t="shared" si="1"/>
        <v>0.55</v>
      </c>
      <c r="G321" s="17" t="str">
        <f>Github!H$320</f>
        <v>Algorithms</v>
      </c>
      <c r="H321" s="17" t="str">
        <f>Github!E$320</f>
        <v>Medium</v>
      </c>
      <c r="I321" s="17" t="str">
        <f>IF(TRIM(Github!D$320)="TRUE","FALSE","TRUE")</f>
        <v>TRUE</v>
      </c>
      <c r="J321" s="17"/>
      <c r="K321" s="17" t="str">
        <f>Github!L$320</f>
        <v>Math;Brainteaser;</v>
      </c>
      <c r="L321" s="17" t="b">
        <f>Github!M$320</f>
        <v>0</v>
      </c>
      <c r="M321" s="17" t="str">
        <f>ROUND(Github!N$320, 2)&amp;"%"</f>
        <v>0%</v>
      </c>
      <c r="N321" s="17">
        <f>Github!O$320</f>
        <v>47.09681507</v>
      </c>
      <c r="O321" s="17">
        <f>Github!P$320</f>
        <v>111496</v>
      </c>
    </row>
    <row r="322">
      <c r="A322" s="17">
        <f>Github!J$321</f>
        <v>320</v>
      </c>
      <c r="B322" s="27" t="str">
        <f>HYPERLINK(CONCAT("http://leetcode.com/problems/",Github!C$321), Github!B$321)</f>
        <v>Generalized Abbreviation</v>
      </c>
      <c r="C322" s="17">
        <f>Github!F$321</f>
        <v>586</v>
      </c>
      <c r="D322" s="17">
        <f>Github!G$321</f>
        <v>202</v>
      </c>
      <c r="E322" s="17">
        <f>Github!F$321+Github!G$321</f>
        <v>788</v>
      </c>
      <c r="F322" s="18">
        <f t="shared" si="1"/>
        <v>2.9</v>
      </c>
      <c r="G322" s="17" t="str">
        <f>Github!H$321</f>
        <v>Algorithms</v>
      </c>
      <c r="H322" s="17" t="str">
        <f>Github!E$321</f>
        <v>Medium</v>
      </c>
      <c r="I322" s="17" t="str">
        <f>IF(TRIM(Github!D$321)="TRUE","FALSE","TRUE")</f>
        <v>FALSE</v>
      </c>
      <c r="J322" s="17"/>
      <c r="K322" s="17" t="str">
        <f>Github!L$321</f>
        <v>String;Backtracking;Bit Manipulation;</v>
      </c>
      <c r="L322" s="17" t="b">
        <f>Github!M$321</f>
        <v>1</v>
      </c>
      <c r="M322" s="17" t="str">
        <f>ROUND(Github!N$321, 2)&amp;"%"</f>
        <v>0%</v>
      </c>
      <c r="N322" s="17">
        <f>Github!O$321</f>
        <v>56.02795464</v>
      </c>
      <c r="O322" s="17">
        <f>Github!P$321</f>
        <v>59485</v>
      </c>
    </row>
    <row r="323">
      <c r="A323" s="17">
        <f>Github!J$322</f>
        <v>321</v>
      </c>
      <c r="B323" s="27" t="str">
        <f>HYPERLINK(CONCAT("http://leetcode.com/problems/",Github!C$322), Github!B$322)</f>
        <v>Create Maximum Number</v>
      </c>
      <c r="C323" s="17">
        <f>Github!F$322</f>
        <v>1281</v>
      </c>
      <c r="D323" s="17">
        <f>Github!G$322</f>
        <v>306</v>
      </c>
      <c r="E323" s="17">
        <f>Github!F$322+Github!G$322</f>
        <v>1587</v>
      </c>
      <c r="F323" s="18">
        <f t="shared" si="1"/>
        <v>4.19</v>
      </c>
      <c r="G323" s="17" t="str">
        <f>Github!H$322</f>
        <v>Algorithms</v>
      </c>
      <c r="H323" s="17" t="str">
        <f>Github!E$322</f>
        <v>Hard</v>
      </c>
      <c r="I323" s="17" t="str">
        <f>IF(TRIM(Github!D$322)="TRUE","FALSE","TRUE")</f>
        <v>TRUE</v>
      </c>
      <c r="J323" s="17"/>
      <c r="K323" s="17" t="str">
        <f>Github!L$322</f>
        <v>Stack;Greedy;Monotonic Stack;</v>
      </c>
      <c r="L323" s="17" t="b">
        <f>Github!M$322</f>
        <v>0</v>
      </c>
      <c r="M323" s="17" t="str">
        <f>ROUND(Github!N$322, 2)&amp;"%"</f>
        <v>0%</v>
      </c>
      <c r="N323" s="17">
        <f>Github!O$322</f>
        <v>28.278206</v>
      </c>
      <c r="O323" s="17">
        <f>Github!P$322</f>
        <v>48757</v>
      </c>
    </row>
    <row r="324">
      <c r="A324" s="17">
        <f>Github!J$323</f>
        <v>322</v>
      </c>
      <c r="B324" s="27" t="str">
        <f>HYPERLINK(CONCAT("http://leetcode.com/problems/",Github!C$323), Github!B$323)</f>
        <v>Coin Change</v>
      </c>
      <c r="C324" s="17">
        <f>Github!F$323</f>
        <v>10362</v>
      </c>
      <c r="D324" s="17">
        <f>Github!G$323</f>
        <v>252</v>
      </c>
      <c r="E324" s="17">
        <f>Github!F$323+Github!G$323</f>
        <v>10614</v>
      </c>
      <c r="F324" s="18">
        <f t="shared" si="1"/>
        <v>41.12</v>
      </c>
      <c r="G324" s="17" t="str">
        <f>Github!H$323</f>
        <v>Algorithms</v>
      </c>
      <c r="H324" s="17" t="str">
        <f>Github!E$323</f>
        <v>Medium</v>
      </c>
      <c r="I324" s="17" t="str">
        <f>IF(TRIM(Github!D$323)="TRUE","FALSE","TRUE")</f>
        <v>TRUE</v>
      </c>
      <c r="J324" s="17"/>
      <c r="K324" s="17" t="str">
        <f>Github!L$323</f>
        <v>Array;Dynamic Programming;Breadth-First Search;</v>
      </c>
      <c r="L324" s="17" t="b">
        <f>Github!M$323</f>
        <v>1</v>
      </c>
      <c r="M324" s="17" t="str">
        <f>ROUND(Github!N$323, 2)&amp;"%"</f>
        <v>1%</v>
      </c>
      <c r="N324" s="17">
        <f>Github!O$323</f>
        <v>39.84042273</v>
      </c>
      <c r="O324" s="17">
        <f>Github!P$323</f>
        <v>914402</v>
      </c>
    </row>
    <row r="325">
      <c r="A325" s="17">
        <f>Github!J$324</f>
        <v>323</v>
      </c>
      <c r="B325" s="27" t="str">
        <f>HYPERLINK(CONCAT("http://leetcode.com/problems/",Github!C$324), Github!B$324)</f>
        <v>Number of Connected Components in an Undirected Graph</v>
      </c>
      <c r="C325" s="17">
        <f>Github!F$324</f>
        <v>1856</v>
      </c>
      <c r="D325" s="17">
        <f>Github!G$324</f>
        <v>56</v>
      </c>
      <c r="E325" s="17">
        <f>Github!F$324+Github!G$324</f>
        <v>1912</v>
      </c>
      <c r="F325" s="18">
        <f t="shared" si="1"/>
        <v>33.14</v>
      </c>
      <c r="G325" s="17" t="str">
        <f>Github!H$324</f>
        <v>Algorithms</v>
      </c>
      <c r="H325" s="17" t="str">
        <f>Github!E$324</f>
        <v>Medium</v>
      </c>
      <c r="I325" s="17" t="str">
        <f>IF(TRIM(Github!D$324)="TRUE","FALSE","TRUE")</f>
        <v>FALSE</v>
      </c>
      <c r="J325" s="17"/>
      <c r="K325" s="17" t="str">
        <f>Github!L$324</f>
        <v>Depth-First Search;Breadth-First Search;Union Find;Graph;</v>
      </c>
      <c r="L325" s="17" t="b">
        <f>Github!M$324</f>
        <v>1</v>
      </c>
      <c r="M325" s="17" t="str">
        <f>ROUND(Github!N$324, 2)&amp;"%"</f>
        <v>1%</v>
      </c>
      <c r="N325" s="17">
        <f>Github!O$324</f>
        <v>60.78479181</v>
      </c>
      <c r="O325" s="17">
        <f>Github!P$324</f>
        <v>234337</v>
      </c>
    </row>
    <row r="326">
      <c r="A326" s="17">
        <f>Github!J$325</f>
        <v>324</v>
      </c>
      <c r="B326" s="27" t="str">
        <f>HYPERLINK(CONCAT("http://leetcode.com/problems/",Github!C$325), Github!B$325)</f>
        <v>Wiggle Sort II</v>
      </c>
      <c r="C326" s="17">
        <f>Github!F$325</f>
        <v>1987</v>
      </c>
      <c r="D326" s="17">
        <f>Github!G$325</f>
        <v>780</v>
      </c>
      <c r="E326" s="17">
        <f>Github!F$325+Github!G$325</f>
        <v>2767</v>
      </c>
      <c r="F326" s="18">
        <f t="shared" si="1"/>
        <v>2.55</v>
      </c>
      <c r="G326" s="17" t="str">
        <f>Github!H$325</f>
        <v>Algorithms</v>
      </c>
      <c r="H326" s="17" t="str">
        <f>Github!E$325</f>
        <v>Medium</v>
      </c>
      <c r="I326" s="17" t="str">
        <f>IF(TRIM(Github!D$325)="TRUE","FALSE","TRUE")</f>
        <v>TRUE</v>
      </c>
      <c r="J326" s="17"/>
      <c r="K326" s="17" t="str">
        <f>Github!L$325</f>
        <v>Array;Divide and Conquer;Sorting;Quickselect;</v>
      </c>
      <c r="L326" s="17" t="b">
        <f>Github!M$325</f>
        <v>0</v>
      </c>
      <c r="M326" s="17" t="str">
        <f>ROUND(Github!N$325, 2)&amp;"%"</f>
        <v>0%</v>
      </c>
      <c r="N326" s="17">
        <f>Github!O$325</f>
        <v>32.05500952</v>
      </c>
      <c r="O326" s="17">
        <f>Github!P$325</f>
        <v>117638</v>
      </c>
    </row>
    <row r="327">
      <c r="A327" s="17">
        <f>Github!J$326</f>
        <v>325</v>
      </c>
      <c r="B327" s="27" t="str">
        <f>HYPERLINK(CONCAT("http://leetcode.com/problems/",Github!C$326), Github!B$326)</f>
        <v>Maximum Size Subarray Sum Equals k</v>
      </c>
      <c r="C327" s="17">
        <f>Github!F$326</f>
        <v>1583</v>
      </c>
      <c r="D327" s="17">
        <f>Github!G$326</f>
        <v>47</v>
      </c>
      <c r="E327" s="17">
        <f>Github!F$326+Github!G$326</f>
        <v>1630</v>
      </c>
      <c r="F327" s="18">
        <f t="shared" si="1"/>
        <v>33.68</v>
      </c>
      <c r="G327" s="17" t="str">
        <f>Github!H$326</f>
        <v>Algorithms</v>
      </c>
      <c r="H327" s="17" t="str">
        <f>Github!E$326</f>
        <v>Medium</v>
      </c>
      <c r="I327" s="17" t="str">
        <f>IF(TRIM(Github!D$326)="TRUE","FALSE","TRUE")</f>
        <v>FALSE</v>
      </c>
      <c r="J327" s="17"/>
      <c r="K327" s="17" t="str">
        <f>Github!L$326</f>
        <v>Array;Hash Table;</v>
      </c>
      <c r="L327" s="17" t="b">
        <f>Github!M$326</f>
        <v>1</v>
      </c>
      <c r="M327" s="17" t="str">
        <f>ROUND(Github!N$326, 2)&amp;"%"</f>
        <v>0%</v>
      </c>
      <c r="N327" s="17">
        <f>Github!O$326</f>
        <v>48.97027643</v>
      </c>
      <c r="O327" s="17">
        <f>Github!P$326</f>
        <v>149659</v>
      </c>
    </row>
    <row r="328">
      <c r="A328" s="17">
        <f>Github!J$327</f>
        <v>326</v>
      </c>
      <c r="B328" s="27" t="str">
        <f>HYPERLINK(CONCAT("http://leetcode.com/problems/",Github!C$327), Github!B$327)</f>
        <v>Power of Three</v>
      </c>
      <c r="C328" s="17">
        <f>Github!F$327</f>
        <v>818</v>
      </c>
      <c r="D328" s="17">
        <f>Github!G$327</f>
        <v>102</v>
      </c>
      <c r="E328" s="17">
        <f>Github!F$327+Github!G$327</f>
        <v>920</v>
      </c>
      <c r="F328" s="18">
        <f t="shared" si="1"/>
        <v>8.02</v>
      </c>
      <c r="G328" s="17" t="str">
        <f>Github!H$327</f>
        <v>Algorithms</v>
      </c>
      <c r="H328" s="17" t="str">
        <f>Github!E$327</f>
        <v>Easy</v>
      </c>
      <c r="I328" s="17" t="str">
        <f>IF(TRIM(Github!D$327)="TRUE","FALSE","TRUE")</f>
        <v>TRUE</v>
      </c>
      <c r="J328" s="17"/>
      <c r="K328" s="17" t="str">
        <f>Github!L$327</f>
        <v>Math;Recursion;</v>
      </c>
      <c r="L328" s="17" t="b">
        <f>Github!M$327</f>
        <v>1</v>
      </c>
      <c r="M328" s="17" t="str">
        <f>ROUND(Github!N$327, 2)&amp;"%"</f>
        <v>0%</v>
      </c>
      <c r="N328" s="17">
        <f>Github!O$327</f>
        <v>43.32936406</v>
      </c>
      <c r="O328" s="17">
        <f>Github!P$327</f>
        <v>443196</v>
      </c>
    </row>
    <row r="329">
      <c r="A329" s="17">
        <f>Github!J$328</f>
        <v>327</v>
      </c>
      <c r="B329" s="27" t="str">
        <f>HYPERLINK(CONCAT("http://leetcode.com/problems/",Github!C$328), Github!B$328)</f>
        <v>Count of Range Sum</v>
      </c>
      <c r="C329" s="17">
        <f>Github!F$328</f>
        <v>1464</v>
      </c>
      <c r="D329" s="17">
        <f>Github!G$328</f>
        <v>153</v>
      </c>
      <c r="E329" s="17">
        <f>Github!F$328+Github!G$328</f>
        <v>1617</v>
      </c>
      <c r="F329" s="18">
        <f t="shared" si="1"/>
        <v>9.57</v>
      </c>
      <c r="G329" s="17" t="str">
        <f>Github!H$328</f>
        <v>Algorithms</v>
      </c>
      <c r="H329" s="17" t="str">
        <f>Github!E$328</f>
        <v>Hard</v>
      </c>
      <c r="I329" s="17" t="str">
        <f>IF(TRIM(Github!D$328)="TRUE","FALSE","TRUE")</f>
        <v>TRUE</v>
      </c>
      <c r="J329" s="17"/>
      <c r="K329" s="17" t="str">
        <f>Github!L$328</f>
        <v>Array;Binary Search;Divide and Conquer;Binary Indexed Tree;Segment Tree;Merge Sort;Ordered Set;</v>
      </c>
      <c r="L329" s="17" t="b">
        <f>Github!M$328</f>
        <v>0</v>
      </c>
      <c r="M329" s="17" t="str">
        <f>ROUND(Github!N$328, 2)&amp;"%"</f>
        <v>0%</v>
      </c>
      <c r="N329" s="17">
        <f>Github!O$328</f>
        <v>36.0297776</v>
      </c>
      <c r="O329" s="17">
        <f>Github!P$328</f>
        <v>57933</v>
      </c>
    </row>
    <row r="330">
      <c r="A330" s="17">
        <f>Github!J$329</f>
        <v>328</v>
      </c>
      <c r="B330" s="27" t="str">
        <f>HYPERLINK(CONCAT("http://leetcode.com/problems/",Github!C$329), Github!B$329)</f>
        <v>Odd Even Linked List</v>
      </c>
      <c r="C330" s="17">
        <f>Github!F$329</f>
        <v>5037</v>
      </c>
      <c r="D330" s="17">
        <f>Github!G$329</f>
        <v>380</v>
      </c>
      <c r="E330" s="17">
        <f>Github!F$329+Github!G$329</f>
        <v>5417</v>
      </c>
      <c r="F330" s="18">
        <f t="shared" si="1"/>
        <v>13.26</v>
      </c>
      <c r="G330" s="17" t="str">
        <f>Github!H$329</f>
        <v>Algorithms</v>
      </c>
      <c r="H330" s="17" t="str">
        <f>Github!E$329</f>
        <v>Medium</v>
      </c>
      <c r="I330" s="17" t="str">
        <f>IF(TRIM(Github!D$329)="TRUE","FALSE","TRUE")</f>
        <v>TRUE</v>
      </c>
      <c r="J330" s="17"/>
      <c r="K330" s="17" t="str">
        <f>Github!L$329</f>
        <v>Linked List;</v>
      </c>
      <c r="L330" s="17" t="b">
        <f>Github!M$329</f>
        <v>1</v>
      </c>
      <c r="M330" s="17" t="str">
        <f>ROUND(Github!N$329, 2)&amp;"%"</f>
        <v>0%</v>
      </c>
      <c r="N330" s="17">
        <f>Github!O$329</f>
        <v>59.37136341</v>
      </c>
      <c r="O330" s="17">
        <f>Github!P$329</f>
        <v>507124</v>
      </c>
    </row>
    <row r="331">
      <c r="A331" s="17">
        <f>Github!J$330</f>
        <v>329</v>
      </c>
      <c r="B331" s="27" t="str">
        <f>HYPERLINK(CONCAT("http://leetcode.com/problems/",Github!C$330), Github!B$330)</f>
        <v>Longest Increasing Path in a Matrix</v>
      </c>
      <c r="C331" s="17">
        <f>Github!F$330</f>
        <v>4958</v>
      </c>
      <c r="D331" s="17">
        <f>Github!G$330</f>
        <v>86</v>
      </c>
      <c r="E331" s="17">
        <f>Github!F$330+Github!G$330</f>
        <v>5044</v>
      </c>
      <c r="F331" s="18">
        <f t="shared" si="1"/>
        <v>57.65</v>
      </c>
      <c r="G331" s="17" t="str">
        <f>Github!H$330</f>
        <v>Algorithms</v>
      </c>
      <c r="H331" s="17" t="str">
        <f>Github!E$330</f>
        <v>Hard</v>
      </c>
      <c r="I331" s="17" t="str">
        <f>IF(TRIM(Github!D$330)="TRUE","FALSE","TRUE")</f>
        <v>TRUE</v>
      </c>
      <c r="J331" s="17"/>
      <c r="K331" s="17" t="str">
        <f>Github!L$330</f>
        <v>Dynamic Programming;Depth-First Search;Breadth-First Search;Graph;Topological Sort;Memoization;</v>
      </c>
      <c r="L331" s="17" t="b">
        <f>Github!M$330</f>
        <v>1</v>
      </c>
      <c r="M331" s="17" t="str">
        <f>ROUND(Github!N$330, 2)&amp;"%"</f>
        <v>0%</v>
      </c>
      <c r="N331" s="17">
        <f>Github!O$330</f>
        <v>49.31456493</v>
      </c>
      <c r="O331" s="17">
        <f>Github!P$330</f>
        <v>307204</v>
      </c>
    </row>
    <row r="332">
      <c r="A332" s="17">
        <f>Github!J$331</f>
        <v>330</v>
      </c>
      <c r="B332" s="27" t="str">
        <f>HYPERLINK(CONCAT("http://leetcode.com/problems/",Github!C$331), Github!B$331)</f>
        <v>Patching Array</v>
      </c>
      <c r="C332" s="17">
        <f>Github!F$331</f>
        <v>1071</v>
      </c>
      <c r="D332" s="17">
        <f>Github!G$331</f>
        <v>113</v>
      </c>
      <c r="E332" s="17">
        <f>Github!F$331+Github!G$331</f>
        <v>1184</v>
      </c>
      <c r="F332" s="18">
        <f t="shared" si="1"/>
        <v>9.48</v>
      </c>
      <c r="G332" s="17" t="str">
        <f>Github!H$331</f>
        <v>Algorithms</v>
      </c>
      <c r="H332" s="17" t="str">
        <f>Github!E$331</f>
        <v>Hard</v>
      </c>
      <c r="I332" s="17" t="str">
        <f>IF(TRIM(Github!D$331)="TRUE","FALSE","TRUE")</f>
        <v>TRUE</v>
      </c>
      <c r="J332" s="17"/>
      <c r="K332" s="17" t="str">
        <f>Github!L$331</f>
        <v>Array;Greedy;</v>
      </c>
      <c r="L332" s="17" t="b">
        <f>Github!M$331</f>
        <v>1</v>
      </c>
      <c r="M332" s="17" t="str">
        <f>ROUND(Github!N$331, 2)&amp;"%"</f>
        <v>0%</v>
      </c>
      <c r="N332" s="17">
        <f>Github!O$331</f>
        <v>39.41288027</v>
      </c>
      <c r="O332" s="17">
        <f>Github!P$331</f>
        <v>55489</v>
      </c>
    </row>
    <row r="333">
      <c r="A333" s="17">
        <f>Github!J$332</f>
        <v>331</v>
      </c>
      <c r="B333" s="27" t="str">
        <f>HYPERLINK(CONCAT("http://leetcode.com/problems/",Github!C$332), Github!B$332)</f>
        <v>Verify Preorder Serialization of a Binary Tree</v>
      </c>
      <c r="C333" s="17">
        <f>Github!F$332</f>
        <v>1618</v>
      </c>
      <c r="D333" s="17">
        <f>Github!G$332</f>
        <v>80</v>
      </c>
      <c r="E333" s="17">
        <f>Github!F$332+Github!G$332</f>
        <v>1698</v>
      </c>
      <c r="F333" s="18">
        <f t="shared" si="1"/>
        <v>20.23</v>
      </c>
      <c r="G333" s="17" t="str">
        <f>Github!H$332</f>
        <v>Algorithms</v>
      </c>
      <c r="H333" s="17" t="str">
        <f>Github!E$332</f>
        <v>Medium</v>
      </c>
      <c r="I333" s="17" t="str">
        <f>IF(TRIM(Github!D$332)="TRUE","FALSE","TRUE")</f>
        <v>TRUE</v>
      </c>
      <c r="J333" s="17"/>
      <c r="K333" s="17" t="str">
        <f>Github!L$332</f>
        <v>String;Stack;Tree;Binary Tree;</v>
      </c>
      <c r="L333" s="17" t="b">
        <f>Github!M$332</f>
        <v>1</v>
      </c>
      <c r="M333" s="17" t="str">
        <f>ROUND(Github!N$332, 2)&amp;"%"</f>
        <v>0%</v>
      </c>
      <c r="N333" s="17">
        <f>Github!O$332</f>
        <v>43.60724076</v>
      </c>
      <c r="O333" s="17">
        <f>Github!P$332</f>
        <v>111512</v>
      </c>
    </row>
    <row r="334">
      <c r="A334" s="17">
        <f>Github!J$333</f>
        <v>332</v>
      </c>
      <c r="B334" s="27" t="str">
        <f>HYPERLINK(CONCAT("http://leetcode.com/problems/",Github!C$333), Github!B$333)</f>
        <v>Reconstruct Itinerary</v>
      </c>
      <c r="C334" s="17">
        <f>Github!F$333</f>
        <v>3674</v>
      </c>
      <c r="D334" s="17">
        <f>Github!G$333</f>
        <v>1539</v>
      </c>
      <c r="E334" s="17">
        <f>Github!F$333+Github!G$333</f>
        <v>5213</v>
      </c>
      <c r="F334" s="18">
        <f t="shared" si="1"/>
        <v>2.39</v>
      </c>
      <c r="G334" s="17" t="str">
        <f>Github!H$333</f>
        <v>Algorithms</v>
      </c>
      <c r="H334" s="17" t="str">
        <f>Github!E$333</f>
        <v>Hard</v>
      </c>
      <c r="I334" s="17" t="str">
        <f>IF(TRIM(Github!D$333)="TRUE","FALSE","TRUE")</f>
        <v>TRUE</v>
      </c>
      <c r="J334" s="17"/>
      <c r="K334" s="17" t="str">
        <f>Github!L$333</f>
        <v>Depth-First Search;Graph;Eulerian Circuit;</v>
      </c>
      <c r="L334" s="17" t="b">
        <f>Github!M$333</f>
        <v>1</v>
      </c>
      <c r="M334" s="17" t="str">
        <f>ROUND(Github!N$333, 2)&amp;"%"</f>
        <v>0%</v>
      </c>
      <c r="N334" s="17">
        <f>Github!O$333</f>
        <v>39.96315998</v>
      </c>
      <c r="O334" s="17">
        <f>Github!P$333</f>
        <v>270755</v>
      </c>
    </row>
    <row r="335">
      <c r="A335" s="17">
        <f>Github!J$334</f>
        <v>333</v>
      </c>
      <c r="B335" s="27" t="str">
        <f>HYPERLINK(CONCAT("http://leetcode.com/problems/",Github!C$334), Github!B$334)</f>
        <v>Largest BST Subtree</v>
      </c>
      <c r="C335" s="17">
        <f>Github!F$334</f>
        <v>1140</v>
      </c>
      <c r="D335" s="17">
        <f>Github!G$334</f>
        <v>94</v>
      </c>
      <c r="E335" s="17">
        <f>Github!F$334+Github!G$334</f>
        <v>1234</v>
      </c>
      <c r="F335" s="18">
        <f t="shared" si="1"/>
        <v>12.13</v>
      </c>
      <c r="G335" s="17" t="str">
        <f>Github!H$334</f>
        <v>Algorithms</v>
      </c>
      <c r="H335" s="17" t="str">
        <f>Github!E$334</f>
        <v>Medium</v>
      </c>
      <c r="I335" s="17" t="str">
        <f>IF(TRIM(Github!D$334)="TRUE","FALSE","TRUE")</f>
        <v>FALSE</v>
      </c>
      <c r="J335" s="17"/>
      <c r="K335" s="17" t="str">
        <f>Github!L$334</f>
        <v>Dynamic Programming;Tree;Depth-First Search;Binary Search Tree;Binary Tree;</v>
      </c>
      <c r="L335" s="17" t="b">
        <f>Github!M$334</f>
        <v>1</v>
      </c>
      <c r="M335" s="17" t="str">
        <f>ROUND(Github!N$334, 2)&amp;"%"</f>
        <v>0%</v>
      </c>
      <c r="N335" s="17">
        <f>Github!O$334</f>
        <v>40.93414533</v>
      </c>
      <c r="O335" s="17">
        <f>Github!P$334</f>
        <v>79314</v>
      </c>
    </row>
    <row r="336">
      <c r="A336" s="17">
        <f>Github!J$335</f>
        <v>334</v>
      </c>
      <c r="B336" s="27" t="str">
        <f>HYPERLINK(CONCAT("http://leetcode.com/problems/",Github!C$335), Github!B$335)</f>
        <v>Increasing Triplet Subsequence</v>
      </c>
      <c r="C336" s="17">
        <f>Github!F$335</f>
        <v>3655</v>
      </c>
      <c r="D336" s="17">
        <f>Github!G$335</f>
        <v>204</v>
      </c>
      <c r="E336" s="17">
        <f>Github!F$335+Github!G$335</f>
        <v>3859</v>
      </c>
      <c r="F336" s="18">
        <f t="shared" si="1"/>
        <v>17.92</v>
      </c>
      <c r="G336" s="17" t="str">
        <f>Github!H$335</f>
        <v>Algorithms</v>
      </c>
      <c r="H336" s="17" t="str">
        <f>Github!E$335</f>
        <v>Medium</v>
      </c>
      <c r="I336" s="17" t="str">
        <f>IF(TRIM(Github!D$335)="TRUE","FALSE","TRUE")</f>
        <v>TRUE</v>
      </c>
      <c r="J336" s="17"/>
      <c r="K336" s="17" t="str">
        <f>Github!L$335</f>
        <v>Array;Greedy;</v>
      </c>
      <c r="L336" s="17" t="b">
        <f>Github!M$335</f>
        <v>1</v>
      </c>
      <c r="M336" s="17" t="str">
        <f>ROUND(Github!N$335, 2)&amp;"%"</f>
        <v>0%</v>
      </c>
      <c r="N336" s="17">
        <f>Github!O$335</f>
        <v>41.41548633</v>
      </c>
      <c r="O336" s="17">
        <f>Github!P$335</f>
        <v>260349</v>
      </c>
    </row>
    <row r="337">
      <c r="A337" s="17">
        <f>Github!J$336</f>
        <v>335</v>
      </c>
      <c r="B337" s="27" t="str">
        <f>HYPERLINK(CONCAT("http://leetcode.com/problems/",Github!C$336), Github!B$336)</f>
        <v>Self Crossing</v>
      </c>
      <c r="C337" s="17">
        <f>Github!F$336</f>
        <v>242</v>
      </c>
      <c r="D337" s="17">
        <f>Github!G$336</f>
        <v>439</v>
      </c>
      <c r="E337" s="17">
        <f>Github!F$336+Github!G$336</f>
        <v>681</v>
      </c>
      <c r="F337" s="18">
        <f t="shared" si="1"/>
        <v>0.55</v>
      </c>
      <c r="G337" s="17" t="str">
        <f>Github!H$336</f>
        <v>Algorithms</v>
      </c>
      <c r="H337" s="17" t="str">
        <f>Github!E$336</f>
        <v>Hard</v>
      </c>
      <c r="I337" s="17" t="str">
        <f>IF(TRIM(Github!D$336)="TRUE","FALSE","TRUE")</f>
        <v>TRUE</v>
      </c>
      <c r="J337" s="17"/>
      <c r="K337" s="17" t="str">
        <f>Github!L$336</f>
        <v>Array;Math;Geometry;</v>
      </c>
      <c r="L337" s="17" t="b">
        <f>Github!M$336</f>
        <v>0</v>
      </c>
      <c r="M337" s="17" t="str">
        <f>ROUND(Github!N$336, 2)&amp;"%"</f>
        <v>0%</v>
      </c>
      <c r="N337" s="17">
        <f>Github!O$336</f>
        <v>29.08288847</v>
      </c>
      <c r="O337" s="17">
        <f>Github!P$336</f>
        <v>27294</v>
      </c>
    </row>
    <row r="338">
      <c r="A338" s="17">
        <f>Github!J$337</f>
        <v>336</v>
      </c>
      <c r="B338" s="27" t="str">
        <f>HYPERLINK(CONCAT("http://leetcode.com/problems/",Github!C$337), Github!B$337)</f>
        <v>Palindrome Pairs</v>
      </c>
      <c r="C338" s="17">
        <f>Github!F$337</f>
        <v>2567</v>
      </c>
      <c r="D338" s="17">
        <f>Github!G$337</f>
        <v>230</v>
      </c>
      <c r="E338" s="17">
        <f>Github!F$337+Github!G$337</f>
        <v>2797</v>
      </c>
      <c r="F338" s="18">
        <f t="shared" si="1"/>
        <v>11.16</v>
      </c>
      <c r="G338" s="17" t="str">
        <f>Github!H$337</f>
        <v>Algorithms</v>
      </c>
      <c r="H338" s="17" t="str">
        <f>Github!E$337</f>
        <v>Hard</v>
      </c>
      <c r="I338" s="17" t="str">
        <f>IF(TRIM(Github!D$337)="TRUE","FALSE","TRUE")</f>
        <v>TRUE</v>
      </c>
      <c r="J338" s="17"/>
      <c r="K338" s="17" t="str">
        <f>Github!L$337</f>
        <v>Array;Hash Table;String;Trie;</v>
      </c>
      <c r="L338" s="17" t="b">
        <f>Github!M$337</f>
        <v>1</v>
      </c>
      <c r="M338" s="17" t="str">
        <f>ROUND(Github!N$337, 2)&amp;"%"</f>
        <v>0%</v>
      </c>
      <c r="N338" s="17">
        <f>Github!O$337</f>
        <v>35.98044886</v>
      </c>
      <c r="O338" s="17">
        <f>Github!P$337</f>
        <v>144943</v>
      </c>
    </row>
    <row r="339">
      <c r="A339" s="17">
        <f>Github!J$338</f>
        <v>337</v>
      </c>
      <c r="B339" s="27" t="str">
        <f>HYPERLINK(CONCAT("http://leetcode.com/problems/",Github!C$338), Github!B$338)</f>
        <v>House Robber III</v>
      </c>
      <c r="C339" s="17">
        <f>Github!F$338</f>
        <v>6007</v>
      </c>
      <c r="D339" s="17">
        <f>Github!G$338</f>
        <v>93</v>
      </c>
      <c r="E339" s="17">
        <f>Github!F$338+Github!G$338</f>
        <v>6100</v>
      </c>
      <c r="F339" s="18">
        <f t="shared" si="1"/>
        <v>64.59</v>
      </c>
      <c r="G339" s="17" t="str">
        <f>Github!H$338</f>
        <v>Algorithms</v>
      </c>
      <c r="H339" s="17" t="str">
        <f>Github!E$338</f>
        <v>Medium</v>
      </c>
      <c r="I339" s="17" t="str">
        <f>IF(TRIM(Github!D$338)="TRUE","FALSE","TRUE")</f>
        <v>TRUE</v>
      </c>
      <c r="J339" s="17"/>
      <c r="K339" s="17" t="str">
        <f>Github!L$338</f>
        <v>Dynamic Programming;Tree;Depth-First Search;Binary Tree;</v>
      </c>
      <c r="L339" s="17" t="b">
        <f>Github!M$338</f>
        <v>1</v>
      </c>
      <c r="M339" s="17" t="str">
        <f>ROUND(Github!N$338, 2)&amp;"%"</f>
        <v>0%</v>
      </c>
      <c r="N339" s="17">
        <f>Github!O$338</f>
        <v>53.40265996</v>
      </c>
      <c r="O339" s="17">
        <f>Github!P$338</f>
        <v>277617</v>
      </c>
    </row>
    <row r="340">
      <c r="A340" s="17">
        <f>Github!J$339</f>
        <v>338</v>
      </c>
      <c r="B340" s="27" t="str">
        <f>HYPERLINK(CONCAT("http://leetcode.com/problems/",Github!C$339), Github!B$339)</f>
        <v>Counting Bits</v>
      </c>
      <c r="C340" s="17">
        <f>Github!F$339</f>
        <v>6551</v>
      </c>
      <c r="D340" s="17">
        <f>Github!G$339</f>
        <v>308</v>
      </c>
      <c r="E340" s="17">
        <f>Github!F$339+Github!G$339</f>
        <v>6859</v>
      </c>
      <c r="F340" s="18">
        <f t="shared" si="1"/>
        <v>21.27</v>
      </c>
      <c r="G340" s="17" t="str">
        <f>Github!H$339</f>
        <v>Algorithms</v>
      </c>
      <c r="H340" s="17" t="str">
        <f>Github!E$339</f>
        <v>Easy</v>
      </c>
      <c r="I340" s="17" t="str">
        <f>IF(TRIM(Github!D$339)="TRUE","FALSE","TRUE")</f>
        <v>TRUE</v>
      </c>
      <c r="J340" s="17"/>
      <c r="K340" s="17" t="str">
        <f>Github!L$339</f>
        <v>Dynamic Programming;Bit Manipulation;</v>
      </c>
      <c r="L340" s="17" t="b">
        <f>Github!M$339</f>
        <v>1</v>
      </c>
      <c r="M340" s="17" t="str">
        <f>ROUND(Github!N$339, 2)&amp;"%"</f>
        <v>0%</v>
      </c>
      <c r="N340" s="17">
        <f>Github!O$339</f>
        <v>73.99352613</v>
      </c>
      <c r="O340" s="17">
        <f>Github!P$339</f>
        <v>541978</v>
      </c>
    </row>
    <row r="341">
      <c r="A341" s="17">
        <f>Github!J$340</f>
        <v>339</v>
      </c>
      <c r="B341" s="27" t="str">
        <f>HYPERLINK(CONCAT("http://leetcode.com/problems/",Github!C$340), Github!B$340)</f>
        <v>Nested List Weight Sum</v>
      </c>
      <c r="C341" s="17">
        <f>Github!F$340</f>
        <v>1211</v>
      </c>
      <c r="D341" s="17">
        <f>Github!G$340</f>
        <v>279</v>
      </c>
      <c r="E341" s="17">
        <f>Github!F$340+Github!G$340</f>
        <v>1490</v>
      </c>
      <c r="F341" s="18">
        <f t="shared" si="1"/>
        <v>4.34</v>
      </c>
      <c r="G341" s="17" t="str">
        <f>Github!H$340</f>
        <v>Algorithms</v>
      </c>
      <c r="H341" s="17" t="str">
        <f>Github!E$340</f>
        <v>Medium</v>
      </c>
      <c r="I341" s="17" t="str">
        <f>IF(TRIM(Github!D$340)="TRUE","FALSE","TRUE")</f>
        <v>FALSE</v>
      </c>
      <c r="J341" s="17"/>
      <c r="K341" s="17" t="str">
        <f>Github!L$340</f>
        <v>Depth-First Search;Breadth-First Search;</v>
      </c>
      <c r="L341" s="17" t="b">
        <f>Github!M$340</f>
        <v>1</v>
      </c>
      <c r="M341" s="17" t="str">
        <f>ROUND(Github!N$340, 2)&amp;"%"</f>
        <v>1%</v>
      </c>
      <c r="N341" s="17">
        <f>Github!O$340</f>
        <v>80.5868264</v>
      </c>
      <c r="O341" s="17">
        <f>Github!P$340</f>
        <v>177313</v>
      </c>
    </row>
    <row r="342">
      <c r="A342" s="17">
        <f>Github!J$341</f>
        <v>340</v>
      </c>
      <c r="B342" s="27" t="str">
        <f>HYPERLINK(CONCAT("http://leetcode.com/problems/",Github!C$341), Github!B$341)</f>
        <v>Longest Substring with At Most K Distinct Characters</v>
      </c>
      <c r="C342" s="17">
        <f>Github!F$341</f>
        <v>2190</v>
      </c>
      <c r="D342" s="17">
        <f>Github!G$341</f>
        <v>67</v>
      </c>
      <c r="E342" s="17">
        <f>Github!F$341+Github!G$341</f>
        <v>2257</v>
      </c>
      <c r="F342" s="18">
        <f t="shared" si="1"/>
        <v>32.69</v>
      </c>
      <c r="G342" s="17" t="str">
        <f>Github!H$341</f>
        <v>Algorithms</v>
      </c>
      <c r="H342" s="17" t="str">
        <f>Github!E$341</f>
        <v>Medium</v>
      </c>
      <c r="I342" s="17" t="str">
        <f>IF(TRIM(Github!D$341)="TRUE","FALSE","TRUE")</f>
        <v>FALSE</v>
      </c>
      <c r="J342" s="17"/>
      <c r="K342" s="17" t="str">
        <f>Github!L$341</f>
        <v>Hash Table;String;Sliding Window;</v>
      </c>
      <c r="L342" s="17" t="b">
        <f>Github!M$341</f>
        <v>1</v>
      </c>
      <c r="M342" s="17" t="str">
        <f>ROUND(Github!N$341, 2)&amp;"%"</f>
        <v>1%</v>
      </c>
      <c r="N342" s="17">
        <f>Github!O$341</f>
        <v>47.2080338</v>
      </c>
      <c r="O342" s="17">
        <f>Github!P$341</f>
        <v>264048</v>
      </c>
    </row>
    <row r="343">
      <c r="A343" s="17">
        <f>Github!J$342</f>
        <v>341</v>
      </c>
      <c r="B343" s="27" t="str">
        <f>HYPERLINK(CONCAT("http://leetcode.com/problems/",Github!C$342), Github!B$342)</f>
        <v>Flatten Nested List Iterator</v>
      </c>
      <c r="C343" s="17">
        <f>Github!F$342</f>
        <v>2984</v>
      </c>
      <c r="D343" s="17">
        <f>Github!G$342</f>
        <v>1039</v>
      </c>
      <c r="E343" s="17">
        <f>Github!F$342+Github!G$342</f>
        <v>4023</v>
      </c>
      <c r="F343" s="18">
        <f t="shared" si="1"/>
        <v>2.87</v>
      </c>
      <c r="G343" s="17" t="str">
        <f>Github!H$342</f>
        <v>Algorithms</v>
      </c>
      <c r="H343" s="17" t="str">
        <f>Github!E$342</f>
        <v>Medium</v>
      </c>
      <c r="I343" s="17" t="str">
        <f>IF(TRIM(Github!D$342)="TRUE","FALSE","TRUE")</f>
        <v>TRUE</v>
      </c>
      <c r="J343" s="17"/>
      <c r="K343" s="17" t="str">
        <f>Github!L$342</f>
        <v>Stack;Tree;Depth-First Search;Design;Queue;Iterator;</v>
      </c>
      <c r="L343" s="17" t="b">
        <f>Github!M$342</f>
        <v>1</v>
      </c>
      <c r="M343" s="17" t="str">
        <f>ROUND(Github!N$342, 2)&amp;"%"</f>
        <v>0%</v>
      </c>
      <c r="N343" s="17">
        <f>Github!O$342</f>
        <v>58.35513006</v>
      </c>
      <c r="O343" s="17">
        <f>Github!P$342</f>
        <v>277761</v>
      </c>
    </row>
    <row r="344">
      <c r="A344" s="17">
        <f>Github!J$343</f>
        <v>342</v>
      </c>
      <c r="B344" s="27" t="str">
        <f>HYPERLINK(CONCAT("http://leetcode.com/problems/",Github!C$343), Github!B$343)</f>
        <v>Power of Four</v>
      </c>
      <c r="C344" s="17">
        <f>Github!F$343</f>
        <v>1370</v>
      </c>
      <c r="D344" s="17">
        <f>Github!G$343</f>
        <v>283</v>
      </c>
      <c r="E344" s="17">
        <f>Github!F$343+Github!G$343</f>
        <v>1653</v>
      </c>
      <c r="F344" s="18">
        <f t="shared" si="1"/>
        <v>4.84</v>
      </c>
      <c r="G344" s="17" t="str">
        <f>Github!H$343</f>
        <v>Algorithms</v>
      </c>
      <c r="H344" s="17" t="str">
        <f>Github!E$343</f>
        <v>Easy</v>
      </c>
      <c r="I344" s="17" t="str">
        <f>IF(TRIM(Github!D$343)="TRUE","FALSE","TRUE")</f>
        <v>TRUE</v>
      </c>
      <c r="J344" s="17"/>
      <c r="K344" s="17" t="str">
        <f>Github!L$343</f>
        <v>Math;Bit Manipulation;Recursion;</v>
      </c>
      <c r="L344" s="17" t="b">
        <f>Github!M$343</f>
        <v>1</v>
      </c>
      <c r="M344" s="17" t="str">
        <f>ROUND(Github!N$343, 2)&amp;"%"</f>
        <v>0%</v>
      </c>
      <c r="N344" s="17">
        <f>Github!O$343</f>
        <v>43.67995148</v>
      </c>
      <c r="O344" s="17">
        <f>Github!P$343</f>
        <v>283758</v>
      </c>
    </row>
    <row r="345">
      <c r="A345" s="17">
        <f>Github!J$344</f>
        <v>343</v>
      </c>
      <c r="B345" s="27" t="str">
        <f>HYPERLINK(CONCAT("http://leetcode.com/problems/",Github!C$344), Github!B$344)</f>
        <v>Integer Break</v>
      </c>
      <c r="C345" s="17">
        <f>Github!F$344</f>
        <v>2589</v>
      </c>
      <c r="D345" s="17">
        <f>Github!G$344</f>
        <v>317</v>
      </c>
      <c r="E345" s="17">
        <f>Github!F$344+Github!G$344</f>
        <v>2906</v>
      </c>
      <c r="F345" s="18">
        <f t="shared" si="1"/>
        <v>8.17</v>
      </c>
      <c r="G345" s="17" t="str">
        <f>Github!H$344</f>
        <v>Algorithms</v>
      </c>
      <c r="H345" s="17" t="str">
        <f>Github!E$344</f>
        <v>Medium</v>
      </c>
      <c r="I345" s="17" t="str">
        <f>IF(TRIM(Github!D$344)="TRUE","FALSE","TRUE")</f>
        <v>TRUE</v>
      </c>
      <c r="J345" s="17"/>
      <c r="K345" s="17" t="str">
        <f>Github!L$344</f>
        <v>Math;Dynamic Programming;</v>
      </c>
      <c r="L345" s="17" t="b">
        <f>Github!M$344</f>
        <v>0</v>
      </c>
      <c r="M345" s="17" t="str">
        <f>ROUND(Github!N$344, 2)&amp;"%"</f>
        <v>0%</v>
      </c>
      <c r="N345" s="17">
        <f>Github!O$344</f>
        <v>53.76422262</v>
      </c>
      <c r="O345" s="17">
        <f>Github!P$344</f>
        <v>177476</v>
      </c>
    </row>
    <row r="346">
      <c r="A346" s="17">
        <f>Github!J$345</f>
        <v>344</v>
      </c>
      <c r="B346" s="27" t="str">
        <f>HYPERLINK(CONCAT("http://leetcode.com/problems/",Github!C$345), Github!B$345)</f>
        <v>Reverse String</v>
      </c>
      <c r="C346" s="17">
        <f>Github!F$345</f>
        <v>4120</v>
      </c>
      <c r="D346" s="17">
        <f>Github!G$345</f>
        <v>901</v>
      </c>
      <c r="E346" s="17">
        <f>Github!F$345+Github!G$345</f>
        <v>5021</v>
      </c>
      <c r="F346" s="18">
        <f t="shared" si="1"/>
        <v>4.57</v>
      </c>
      <c r="G346" s="17" t="str">
        <f>Github!H$345</f>
        <v>Algorithms</v>
      </c>
      <c r="H346" s="17" t="str">
        <f>Github!E$345</f>
        <v>Easy</v>
      </c>
      <c r="I346" s="17" t="str">
        <f>IF(TRIM(Github!D$345)="TRUE","FALSE","TRUE")</f>
        <v>TRUE</v>
      </c>
      <c r="J346" s="17"/>
      <c r="K346" s="17" t="str">
        <f>Github!L$345</f>
        <v>Two Pointers;String;Recursion;</v>
      </c>
      <c r="L346" s="17" t="b">
        <f>Github!M$345</f>
        <v>1</v>
      </c>
      <c r="M346" s="17" t="str">
        <f>ROUND(Github!N$345, 2)&amp;"%"</f>
        <v>1%</v>
      </c>
      <c r="N346" s="17">
        <f>Github!O$345</f>
        <v>73.86685425</v>
      </c>
      <c r="O346" s="17">
        <f>Github!P$345</f>
        <v>1439626</v>
      </c>
    </row>
    <row r="347">
      <c r="A347" s="17">
        <f>Github!J$346</f>
        <v>345</v>
      </c>
      <c r="B347" s="27" t="str">
        <f>HYPERLINK(CONCAT("http://leetcode.com/problems/",Github!C$346), Github!B$346)</f>
        <v>Reverse Vowels of a String</v>
      </c>
      <c r="C347" s="17">
        <f>Github!F$346</f>
        <v>1480</v>
      </c>
      <c r="D347" s="17">
        <f>Github!G$346</f>
        <v>1774</v>
      </c>
      <c r="E347" s="17">
        <f>Github!F$346+Github!G$346</f>
        <v>3254</v>
      </c>
      <c r="F347" s="18">
        <f t="shared" si="1"/>
        <v>0.83</v>
      </c>
      <c r="G347" s="17" t="str">
        <f>Github!H$346</f>
        <v>Algorithms</v>
      </c>
      <c r="H347" s="17" t="str">
        <f>Github!E$346</f>
        <v>Easy</v>
      </c>
      <c r="I347" s="17" t="str">
        <f>IF(TRIM(Github!D$346)="TRUE","FALSE","TRUE")</f>
        <v>TRUE</v>
      </c>
      <c r="J347" s="17"/>
      <c r="K347" s="17" t="str">
        <f>Github!L$346</f>
        <v>Two Pointers;String;</v>
      </c>
      <c r="L347" s="17" t="b">
        <f>Github!M$346</f>
        <v>0</v>
      </c>
      <c r="M347" s="17" t="str">
        <f>ROUND(Github!N$346, 2)&amp;"%"</f>
        <v>0%</v>
      </c>
      <c r="N347" s="17">
        <f>Github!O$346</f>
        <v>46.74672065</v>
      </c>
      <c r="O347" s="17">
        <f>Github!P$346</f>
        <v>337127</v>
      </c>
    </row>
    <row r="348">
      <c r="A348" s="17">
        <f>Github!J$347</f>
        <v>346</v>
      </c>
      <c r="B348" s="27" t="str">
        <f>HYPERLINK(CONCAT("http://leetcode.com/problems/",Github!C$347), Github!B$347)</f>
        <v>Moving Average from Data Stream</v>
      </c>
      <c r="C348" s="17">
        <f>Github!F$347</f>
        <v>1204</v>
      </c>
      <c r="D348" s="17">
        <f>Github!G$347</f>
        <v>116</v>
      </c>
      <c r="E348" s="17">
        <f>Github!F$347+Github!G$347</f>
        <v>1320</v>
      </c>
      <c r="F348" s="18">
        <f t="shared" si="1"/>
        <v>10.38</v>
      </c>
      <c r="G348" s="17" t="str">
        <f>Github!H$347</f>
        <v>Algorithms</v>
      </c>
      <c r="H348" s="17" t="str">
        <f>Github!E$347</f>
        <v>Easy</v>
      </c>
      <c r="I348" s="17" t="str">
        <f>IF(TRIM(Github!D$347)="TRUE","FALSE","TRUE")</f>
        <v>FALSE</v>
      </c>
      <c r="J348" s="17"/>
      <c r="K348" s="17" t="str">
        <f>Github!L$347</f>
        <v>Array;Design;Queue;Data Stream;</v>
      </c>
      <c r="L348" s="17" t="b">
        <f>Github!M$347</f>
        <v>1</v>
      </c>
      <c r="M348" s="17" t="str">
        <f>ROUND(Github!N$347, 2)&amp;"%"</f>
        <v>0%</v>
      </c>
      <c r="N348" s="17">
        <f>Github!O$347</f>
        <v>75.90293366</v>
      </c>
      <c r="O348" s="17">
        <f>Github!P$347</f>
        <v>243127</v>
      </c>
    </row>
    <row r="349">
      <c r="A349" s="17">
        <f>Github!J$348</f>
        <v>347</v>
      </c>
      <c r="B349" s="27" t="str">
        <f>HYPERLINK(CONCAT("http://leetcode.com/problems/",Github!C$348), Github!B$348)</f>
        <v>Top K Frequent Elements</v>
      </c>
      <c r="C349" s="17">
        <f>Github!F$348</f>
        <v>7610</v>
      </c>
      <c r="D349" s="17">
        <f>Github!G$348</f>
        <v>333</v>
      </c>
      <c r="E349" s="17">
        <f>Github!F$348+Github!G$348</f>
        <v>7943</v>
      </c>
      <c r="F349" s="18">
        <f t="shared" si="1"/>
        <v>22.85</v>
      </c>
      <c r="G349" s="17" t="str">
        <f>Github!H$348</f>
        <v>Algorithms</v>
      </c>
      <c r="H349" s="17" t="str">
        <f>Github!E$348</f>
        <v>Medium</v>
      </c>
      <c r="I349" s="17" t="str">
        <f>IF(TRIM(Github!D$348)="TRUE","FALSE","TRUE")</f>
        <v>TRUE</v>
      </c>
      <c r="J349" s="17"/>
      <c r="K349" s="17" t="str">
        <f>Github!L$348</f>
        <v>Array;Hash Table;Divide and Conquer;Sorting;Heap (Priority Queue);Bucket Sort;Counting;Quickselect;</v>
      </c>
      <c r="L349" s="17" t="b">
        <f>Github!M$348</f>
        <v>1</v>
      </c>
      <c r="M349" s="17" t="str">
        <f>ROUND(Github!N$348, 2)&amp;"%"</f>
        <v>0%</v>
      </c>
      <c r="N349" s="17">
        <f>Github!O$348</f>
        <v>64.51666016</v>
      </c>
      <c r="O349" s="17">
        <f>Github!P$348</f>
        <v>834608</v>
      </c>
    </row>
    <row r="350">
      <c r="A350" s="17">
        <f>Github!J$349</f>
        <v>348</v>
      </c>
      <c r="B350" s="27" t="str">
        <f>HYPERLINK(CONCAT("http://leetcode.com/problems/",Github!C$349), Github!B$349)</f>
        <v>Design Tic-Tac-Toe</v>
      </c>
      <c r="C350" s="17">
        <f>Github!F$349</f>
        <v>1577</v>
      </c>
      <c r="D350" s="17">
        <f>Github!G$349</f>
        <v>92</v>
      </c>
      <c r="E350" s="17">
        <f>Github!F$349+Github!G$349</f>
        <v>1669</v>
      </c>
      <c r="F350" s="18">
        <f t="shared" si="1"/>
        <v>17.14</v>
      </c>
      <c r="G350" s="17" t="str">
        <f>Github!H$349</f>
        <v>Algorithms</v>
      </c>
      <c r="H350" s="17" t="str">
        <f>Github!E$349</f>
        <v>Medium</v>
      </c>
      <c r="I350" s="17" t="str">
        <f>IF(TRIM(Github!D$349)="TRUE","FALSE","TRUE")</f>
        <v>FALSE</v>
      </c>
      <c r="J350" s="17"/>
      <c r="K350" s="17" t="str">
        <f>Github!L$349</f>
        <v>Array;Hash Table;Design;Matrix;</v>
      </c>
      <c r="L350" s="17" t="b">
        <f>Github!M$349</f>
        <v>1</v>
      </c>
      <c r="M350" s="17" t="str">
        <f>ROUND(Github!N$349, 2)&amp;"%"</f>
        <v>0%</v>
      </c>
      <c r="N350" s="17">
        <f>Github!O$349</f>
        <v>57.11640368</v>
      </c>
      <c r="O350" s="17">
        <f>Github!P$349</f>
        <v>173963</v>
      </c>
    </row>
    <row r="351">
      <c r="A351" s="17">
        <f>Github!J$350</f>
        <v>349</v>
      </c>
      <c r="B351" s="27" t="str">
        <f>HYPERLINK(CONCAT("http://leetcode.com/problems/",Github!C$350), Github!B$350)</f>
        <v>Intersection of Two Arrays</v>
      </c>
      <c r="C351" s="17">
        <f>Github!F$350</f>
        <v>2580</v>
      </c>
      <c r="D351" s="17">
        <f>Github!G$350</f>
        <v>1860</v>
      </c>
      <c r="E351" s="17">
        <f>Github!F$350+Github!G$350</f>
        <v>4440</v>
      </c>
      <c r="F351" s="18">
        <f t="shared" si="1"/>
        <v>1.39</v>
      </c>
      <c r="G351" s="17" t="str">
        <f>Github!H$350</f>
        <v>Algorithms</v>
      </c>
      <c r="H351" s="17" t="str">
        <f>Github!E$350</f>
        <v>Easy</v>
      </c>
      <c r="I351" s="17" t="str">
        <f>IF(TRIM(Github!D$350)="TRUE","FALSE","TRUE")</f>
        <v>TRUE</v>
      </c>
      <c r="J351" s="17"/>
      <c r="K351" s="17" t="str">
        <f>Github!L$350</f>
        <v>Array;Hash Table;Two Pointers;Binary Search;Sorting;</v>
      </c>
      <c r="L351" s="17" t="b">
        <f>Github!M$350</f>
        <v>1</v>
      </c>
      <c r="M351" s="17" t="str">
        <f>ROUND(Github!N$350, 2)&amp;"%"</f>
        <v>0%</v>
      </c>
      <c r="N351" s="17">
        <f>Github!O$350</f>
        <v>68.61404572</v>
      </c>
      <c r="O351" s="17">
        <f>Github!P$350</f>
        <v>628357</v>
      </c>
    </row>
    <row r="352">
      <c r="A352" s="17">
        <f>Github!J$351</f>
        <v>350</v>
      </c>
      <c r="B352" s="27" t="str">
        <f>HYPERLINK(CONCAT("http://leetcode.com/problems/",Github!C$351), Github!B$351)</f>
        <v>Intersection of Two Arrays II</v>
      </c>
      <c r="C352" s="17">
        <f>Github!F$351</f>
        <v>4077</v>
      </c>
      <c r="D352" s="17">
        <f>Github!G$351</f>
        <v>669</v>
      </c>
      <c r="E352" s="17">
        <f>Github!F$351+Github!G$351</f>
        <v>4746</v>
      </c>
      <c r="F352" s="18">
        <f t="shared" si="1"/>
        <v>6.09</v>
      </c>
      <c r="G352" s="17" t="str">
        <f>Github!H$351</f>
        <v>Algorithms</v>
      </c>
      <c r="H352" s="17" t="str">
        <f>Github!E$351</f>
        <v>Easy</v>
      </c>
      <c r="I352" s="17" t="str">
        <f>IF(TRIM(Github!D$351)="TRUE","FALSE","TRUE")</f>
        <v>TRUE</v>
      </c>
      <c r="J352" s="17"/>
      <c r="K352" s="17" t="str">
        <f>Github!L$351</f>
        <v>Array;Hash Table;Two Pointers;Binary Search;Sorting;</v>
      </c>
      <c r="L352" s="17" t="b">
        <f>Github!M$351</f>
        <v>1</v>
      </c>
      <c r="M352" s="17" t="str">
        <f>ROUND(Github!N$351, 2)&amp;"%"</f>
        <v>0%</v>
      </c>
      <c r="N352" s="17">
        <f>Github!O$351</f>
        <v>54.61521996</v>
      </c>
      <c r="O352" s="17">
        <f>Github!P$351</f>
        <v>745037</v>
      </c>
    </row>
    <row r="353">
      <c r="A353" s="17">
        <f>Github!J$352</f>
        <v>351</v>
      </c>
      <c r="B353" s="27" t="str">
        <f>HYPERLINK(CONCAT("http://leetcode.com/problems/",Github!C$352), Github!B$352)</f>
        <v>Android Unlock Patterns</v>
      </c>
      <c r="C353" s="17">
        <f>Github!F$352</f>
        <v>84</v>
      </c>
      <c r="D353" s="17">
        <f>Github!G$352</f>
        <v>73</v>
      </c>
      <c r="E353" s="17">
        <f>Github!F$352+Github!G$352</f>
        <v>157</v>
      </c>
      <c r="F353" s="18">
        <f t="shared" si="1"/>
        <v>1.15</v>
      </c>
      <c r="G353" s="17" t="str">
        <f>Github!H$352</f>
        <v>Algorithms</v>
      </c>
      <c r="H353" s="17" t="str">
        <f>Github!E$352</f>
        <v>Medium</v>
      </c>
      <c r="I353" s="17" t="str">
        <f>IF(TRIM(Github!D$352)="TRUE","FALSE","TRUE")</f>
        <v>FALSE</v>
      </c>
      <c r="J353" s="17"/>
      <c r="K353" s="17" t="str">
        <f>Github!L$352</f>
        <v>Dynamic Programming;Backtracking;</v>
      </c>
      <c r="L353" s="17" t="b">
        <f>Github!M$352</f>
        <v>0</v>
      </c>
      <c r="M353" s="17" t="str">
        <f>ROUND(Github!N$352, 2)&amp;"%"</f>
        <v>0%</v>
      </c>
      <c r="N353" s="17">
        <f>Github!O$352</f>
        <v>50.87787812</v>
      </c>
      <c r="O353" s="17">
        <f>Github!P$352</f>
        <v>62533</v>
      </c>
    </row>
    <row r="354">
      <c r="A354" s="17">
        <f>Github!J$353</f>
        <v>352</v>
      </c>
      <c r="B354" s="27" t="str">
        <f>HYPERLINK(CONCAT("http://leetcode.com/problems/",Github!C$353), Github!B$353)</f>
        <v>Data Stream as Disjoint Intervals</v>
      </c>
      <c r="C354" s="17">
        <f>Github!F$353</f>
        <v>602</v>
      </c>
      <c r="D354" s="17">
        <f>Github!G$353</f>
        <v>154</v>
      </c>
      <c r="E354" s="17">
        <f>Github!F$353+Github!G$353</f>
        <v>756</v>
      </c>
      <c r="F354" s="18">
        <f t="shared" si="1"/>
        <v>3.91</v>
      </c>
      <c r="G354" s="17" t="str">
        <f>Github!H$353</f>
        <v>Algorithms</v>
      </c>
      <c r="H354" s="17" t="str">
        <f>Github!E$353</f>
        <v>Hard</v>
      </c>
      <c r="I354" s="17" t="str">
        <f>IF(TRIM(Github!D$353)="TRUE","FALSE","TRUE")</f>
        <v>TRUE</v>
      </c>
      <c r="J354" s="17"/>
      <c r="K354" s="17" t="str">
        <f>Github!L$353</f>
        <v>Binary Search;Design;Ordered Set;</v>
      </c>
      <c r="L354" s="17" t="b">
        <f>Github!M$353</f>
        <v>0</v>
      </c>
      <c r="M354" s="17" t="str">
        <f>ROUND(Github!N$353, 2)&amp;"%"</f>
        <v>0%</v>
      </c>
      <c r="N354" s="17">
        <f>Github!O$353</f>
        <v>50.384479</v>
      </c>
      <c r="O354" s="17">
        <f>Github!P$353</f>
        <v>49731</v>
      </c>
    </row>
    <row r="355">
      <c r="A355" s="17">
        <f>Github!J$354</f>
        <v>353</v>
      </c>
      <c r="B355" s="27" t="str">
        <f>HYPERLINK(CONCAT("http://leetcode.com/problems/",Github!C$354), Github!B$354)</f>
        <v>Design Snake Game</v>
      </c>
      <c r="C355" s="17">
        <f>Github!F$354</f>
        <v>688</v>
      </c>
      <c r="D355" s="17">
        <f>Github!G$354</f>
        <v>251</v>
      </c>
      <c r="E355" s="17">
        <f>Github!F$354+Github!G$354</f>
        <v>939</v>
      </c>
      <c r="F355" s="18">
        <f t="shared" si="1"/>
        <v>2.74</v>
      </c>
      <c r="G355" s="17" t="str">
        <f>Github!H$354</f>
        <v>Algorithms</v>
      </c>
      <c r="H355" s="17" t="str">
        <f>Github!E$354</f>
        <v>Medium</v>
      </c>
      <c r="I355" s="17" t="str">
        <f>IF(TRIM(Github!D$354)="TRUE","FALSE","TRUE")</f>
        <v>FALSE</v>
      </c>
      <c r="J355" s="17"/>
      <c r="K355" s="17" t="str">
        <f>Github!L$354</f>
        <v>Array;Design;Queue;Matrix;</v>
      </c>
      <c r="L355" s="17" t="b">
        <f>Github!M$354</f>
        <v>1</v>
      </c>
      <c r="M355" s="17" t="str">
        <f>ROUND(Github!N$354, 2)&amp;"%"</f>
        <v>0%</v>
      </c>
      <c r="N355" s="17">
        <f>Github!O$354</f>
        <v>37.92447722</v>
      </c>
      <c r="O355" s="17">
        <f>Github!P$354</f>
        <v>57437</v>
      </c>
    </row>
    <row r="356">
      <c r="A356" s="17">
        <f>Github!J$355</f>
        <v>354</v>
      </c>
      <c r="B356" s="27" t="str">
        <f>HYPERLINK(CONCAT("http://leetcode.com/problems/",Github!C$355), Github!B$355)</f>
        <v>Russian Doll Envelopes</v>
      </c>
      <c r="C356" s="17">
        <f>Github!F$355</f>
        <v>2894</v>
      </c>
      <c r="D356" s="17">
        <f>Github!G$355</f>
        <v>72</v>
      </c>
      <c r="E356" s="17">
        <f>Github!F$355+Github!G$355</f>
        <v>2966</v>
      </c>
      <c r="F356" s="18">
        <f t="shared" si="1"/>
        <v>40.19</v>
      </c>
      <c r="G356" s="17" t="str">
        <f>Github!H$355</f>
        <v>Algorithms</v>
      </c>
      <c r="H356" s="17" t="str">
        <f>Github!E$355</f>
        <v>Hard</v>
      </c>
      <c r="I356" s="17" t="str">
        <f>IF(TRIM(Github!D$355)="TRUE","FALSE","TRUE")</f>
        <v>TRUE</v>
      </c>
      <c r="J356" s="17"/>
      <c r="K356" s="17" t="str">
        <f>Github!L$355</f>
        <v>Array;Binary Search;Dynamic Programming;Sorting;</v>
      </c>
      <c r="L356" s="17" t="b">
        <f>Github!M$355</f>
        <v>1</v>
      </c>
      <c r="M356" s="17" t="str">
        <f>ROUND(Github!N$355, 2)&amp;"%"</f>
        <v>0%</v>
      </c>
      <c r="N356" s="17">
        <f>Github!O$355</f>
        <v>39.21536199</v>
      </c>
      <c r="O356" s="17">
        <f>Github!P$355</f>
        <v>132784</v>
      </c>
    </row>
    <row r="357">
      <c r="A357" s="17">
        <f>Github!J$356</f>
        <v>355</v>
      </c>
      <c r="B357" s="27" t="str">
        <f>HYPERLINK(CONCAT("http://leetcode.com/problems/",Github!C$356), Github!B$356)</f>
        <v>Design Twitter</v>
      </c>
      <c r="C357" s="17">
        <f>Github!F$356</f>
        <v>1903</v>
      </c>
      <c r="D357" s="17">
        <f>Github!G$356</f>
        <v>268</v>
      </c>
      <c r="E357" s="17">
        <f>Github!F$356+Github!G$356</f>
        <v>2171</v>
      </c>
      <c r="F357" s="18">
        <f t="shared" si="1"/>
        <v>7.1</v>
      </c>
      <c r="G357" s="17" t="str">
        <f>Github!H$356</f>
        <v>Algorithms</v>
      </c>
      <c r="H357" s="17" t="str">
        <f>Github!E$356</f>
        <v>Medium</v>
      </c>
      <c r="I357" s="17" t="str">
        <f>IF(TRIM(Github!D$356)="TRUE","FALSE","TRUE")</f>
        <v>TRUE</v>
      </c>
      <c r="J357" s="17"/>
      <c r="K357" s="17" t="str">
        <f>Github!L$356</f>
        <v>Hash Table;Linked List;Design;Heap (Priority Queue);</v>
      </c>
      <c r="L357" s="17" t="b">
        <f>Github!M$356</f>
        <v>0</v>
      </c>
      <c r="M357" s="17" t="str">
        <f>ROUND(Github!N$356, 2)&amp;"%"</f>
        <v>0%</v>
      </c>
      <c r="N357" s="17">
        <f>Github!O$356</f>
        <v>34.13712076</v>
      </c>
      <c r="O357" s="17">
        <f>Github!P$356</f>
        <v>82081</v>
      </c>
    </row>
    <row r="358">
      <c r="A358" s="17">
        <f>Github!J$357</f>
        <v>356</v>
      </c>
      <c r="B358" s="27" t="str">
        <f>HYPERLINK(CONCAT("http://leetcode.com/problems/",Github!C$357), Github!B$357)</f>
        <v>Line Reflection</v>
      </c>
      <c r="C358" s="17">
        <f>Github!F$357</f>
        <v>224</v>
      </c>
      <c r="D358" s="17">
        <f>Github!G$357</f>
        <v>475</v>
      </c>
      <c r="E358" s="17">
        <f>Github!F$357+Github!G$357</f>
        <v>699</v>
      </c>
      <c r="F358" s="18">
        <f t="shared" si="1"/>
        <v>0.47</v>
      </c>
      <c r="G358" s="17" t="str">
        <f>Github!H$357</f>
        <v>Algorithms</v>
      </c>
      <c r="H358" s="17" t="str">
        <f>Github!E$357</f>
        <v>Medium</v>
      </c>
      <c r="I358" s="17" t="str">
        <f>IF(TRIM(Github!D$357)="TRUE","FALSE","TRUE")</f>
        <v>FALSE</v>
      </c>
      <c r="J358" s="17"/>
      <c r="K358" s="17" t="str">
        <f>Github!L$357</f>
        <v>Array;Hash Table;Math;</v>
      </c>
      <c r="L358" s="17" t="b">
        <f>Github!M$357</f>
        <v>0</v>
      </c>
      <c r="M358" s="17" t="str">
        <f>ROUND(Github!N$357, 2)&amp;"%"</f>
        <v>0%</v>
      </c>
      <c r="N358" s="17">
        <f>Github!O$357</f>
        <v>34.26865281</v>
      </c>
      <c r="O358" s="17">
        <f>Github!P$357</f>
        <v>31448</v>
      </c>
    </row>
    <row r="359">
      <c r="A359" s="17">
        <f>Github!J$358</f>
        <v>357</v>
      </c>
      <c r="B359" s="27" t="str">
        <f>HYPERLINK(CONCAT("http://leetcode.com/problems/",Github!C$358), Github!B$358)</f>
        <v>Count Numbers with Unique Digits</v>
      </c>
      <c r="C359" s="17">
        <f>Github!F$358</f>
        <v>839</v>
      </c>
      <c r="D359" s="17">
        <f>Github!G$358</f>
        <v>1202</v>
      </c>
      <c r="E359" s="17">
        <f>Github!F$358+Github!G$358</f>
        <v>2041</v>
      </c>
      <c r="F359" s="18">
        <f t="shared" si="1"/>
        <v>0.7</v>
      </c>
      <c r="G359" s="17" t="str">
        <f>Github!H$358</f>
        <v>Algorithms</v>
      </c>
      <c r="H359" s="17" t="str">
        <f>Github!E$358</f>
        <v>Medium</v>
      </c>
      <c r="I359" s="17" t="str">
        <f>IF(TRIM(Github!D$358)="TRUE","FALSE","TRUE")</f>
        <v>TRUE</v>
      </c>
      <c r="J359" s="17"/>
      <c r="K359" s="17" t="str">
        <f>Github!L$358</f>
        <v>Math;Dynamic Programming;Backtracking;</v>
      </c>
      <c r="L359" s="17" t="b">
        <f>Github!M$358</f>
        <v>0</v>
      </c>
      <c r="M359" s="17" t="str">
        <f>ROUND(Github!N$358, 2)&amp;"%"</f>
        <v>0%</v>
      </c>
      <c r="N359" s="17">
        <f>Github!O$358</f>
        <v>50.43012162</v>
      </c>
      <c r="O359" s="17">
        <f>Github!P$358</f>
        <v>100011</v>
      </c>
    </row>
    <row r="360">
      <c r="A360" s="17">
        <f>Github!J$359</f>
        <v>358</v>
      </c>
      <c r="B360" s="27" t="str">
        <f>HYPERLINK(CONCAT("http://leetcode.com/problems/",Github!C$359), Github!B$359)</f>
        <v>Rearrange String k Distance Apart</v>
      </c>
      <c r="C360" s="17">
        <f>Github!F$359</f>
        <v>713</v>
      </c>
      <c r="D360" s="17">
        <f>Github!G$359</f>
        <v>31</v>
      </c>
      <c r="E360" s="17">
        <f>Github!F$359+Github!G$359</f>
        <v>744</v>
      </c>
      <c r="F360" s="18">
        <f t="shared" si="1"/>
        <v>23</v>
      </c>
      <c r="G360" s="17" t="str">
        <f>Github!H$359</f>
        <v>Algorithms</v>
      </c>
      <c r="H360" s="17" t="str">
        <f>Github!E$359</f>
        <v>Hard</v>
      </c>
      <c r="I360" s="17" t="str">
        <f>IF(TRIM(Github!D$359)="TRUE","FALSE","TRUE")</f>
        <v>FALSE</v>
      </c>
      <c r="J360" s="17"/>
      <c r="K360" s="17" t="str">
        <f>Github!L$359</f>
        <v>Hash Table;String;Greedy;Sorting;Heap (Priority Queue);Counting;</v>
      </c>
      <c r="L360" s="17" t="b">
        <f>Github!M$359</f>
        <v>0</v>
      </c>
      <c r="M360" s="17" t="str">
        <f>ROUND(Github!N$359, 2)&amp;"%"</f>
        <v>0%</v>
      </c>
      <c r="N360" s="17">
        <f>Github!O$359</f>
        <v>36.81352414</v>
      </c>
      <c r="O360" s="17">
        <f>Github!P$359</f>
        <v>50369</v>
      </c>
    </row>
    <row r="361">
      <c r="A361" s="17">
        <f>Github!J$360</f>
        <v>359</v>
      </c>
      <c r="B361" s="27" t="str">
        <f>HYPERLINK(CONCAT("http://leetcode.com/problems/",Github!C$360), Github!B$360)</f>
        <v>Logger Rate Limiter</v>
      </c>
      <c r="C361" s="17">
        <f>Github!F$360</f>
        <v>1169</v>
      </c>
      <c r="D361" s="17">
        <f>Github!G$360</f>
        <v>157</v>
      </c>
      <c r="E361" s="17">
        <f>Github!F$360+Github!G$360</f>
        <v>1326</v>
      </c>
      <c r="F361" s="18">
        <f t="shared" si="1"/>
        <v>7.45</v>
      </c>
      <c r="G361" s="17" t="str">
        <f>Github!H$360</f>
        <v>Algorithms</v>
      </c>
      <c r="H361" s="17" t="str">
        <f>Github!E$360</f>
        <v>Easy</v>
      </c>
      <c r="I361" s="17" t="str">
        <f>IF(TRIM(Github!D$360)="TRUE","FALSE","TRUE")</f>
        <v>FALSE</v>
      </c>
      <c r="J361" s="17"/>
      <c r="K361" s="17" t="str">
        <f>Github!L$360</f>
        <v>Hash Table;Design;</v>
      </c>
      <c r="L361" s="17" t="b">
        <f>Github!M$360</f>
        <v>1</v>
      </c>
      <c r="M361" s="17" t="str">
        <f>ROUND(Github!N$360, 2)&amp;"%"</f>
        <v>0%</v>
      </c>
      <c r="N361" s="17">
        <f>Github!O$360</f>
        <v>74.75115422</v>
      </c>
      <c r="O361" s="17">
        <f>Github!P$360</f>
        <v>211771</v>
      </c>
    </row>
    <row r="362">
      <c r="A362" s="17">
        <f>Github!J$361</f>
        <v>360</v>
      </c>
      <c r="B362" s="27" t="str">
        <f>HYPERLINK(CONCAT("http://leetcode.com/problems/",Github!C$361), Github!B$361)</f>
        <v>Sort Transformed Array</v>
      </c>
      <c r="C362" s="17">
        <f>Github!F$361</f>
        <v>534</v>
      </c>
      <c r="D362" s="17">
        <f>Github!G$361</f>
        <v>155</v>
      </c>
      <c r="E362" s="17">
        <f>Github!F$361+Github!G$361</f>
        <v>689</v>
      </c>
      <c r="F362" s="18">
        <f t="shared" si="1"/>
        <v>3.45</v>
      </c>
      <c r="G362" s="17" t="str">
        <f>Github!H$361</f>
        <v>Algorithms</v>
      </c>
      <c r="H362" s="17" t="str">
        <f>Github!E$361</f>
        <v>Medium</v>
      </c>
      <c r="I362" s="17" t="str">
        <f>IF(TRIM(Github!D$361)="TRUE","FALSE","TRUE")</f>
        <v>FALSE</v>
      </c>
      <c r="J362" s="17"/>
      <c r="K362" s="17" t="str">
        <f>Github!L$361</f>
        <v>Array;Math;Two Pointers;Sorting;</v>
      </c>
      <c r="L362" s="17" t="b">
        <f>Github!M$361</f>
        <v>0</v>
      </c>
      <c r="M362" s="17" t="str">
        <f>ROUND(Github!N$361, 2)&amp;"%"</f>
        <v>0%</v>
      </c>
      <c r="N362" s="17">
        <f>Github!O$361</f>
        <v>52.97786285</v>
      </c>
      <c r="O362" s="17">
        <f>Github!P$361</f>
        <v>51477</v>
      </c>
    </row>
    <row r="363">
      <c r="A363" s="17">
        <f>Github!J$362</f>
        <v>361</v>
      </c>
      <c r="B363" s="27" t="str">
        <f>HYPERLINK(CONCAT("http://leetcode.com/problems/",Github!C$362), Github!B$362)</f>
        <v>Bomb Enemy</v>
      </c>
      <c r="C363" s="17">
        <f>Github!F$362</f>
        <v>750</v>
      </c>
      <c r="D363" s="17">
        <f>Github!G$362</f>
        <v>92</v>
      </c>
      <c r="E363" s="17">
        <f>Github!F$362+Github!G$362</f>
        <v>842</v>
      </c>
      <c r="F363" s="18">
        <f t="shared" si="1"/>
        <v>8.15</v>
      </c>
      <c r="G363" s="17" t="str">
        <f>Github!H$362</f>
        <v>Algorithms</v>
      </c>
      <c r="H363" s="17" t="str">
        <f>Github!E$362</f>
        <v>Medium</v>
      </c>
      <c r="I363" s="17" t="str">
        <f>IF(TRIM(Github!D$362)="TRUE","FALSE","TRUE")</f>
        <v>FALSE</v>
      </c>
      <c r="J363" s="17"/>
      <c r="K363" s="17" t="str">
        <f>Github!L$362</f>
        <v>Array;Dynamic Programming;Matrix;</v>
      </c>
      <c r="L363" s="17" t="b">
        <f>Github!M$362</f>
        <v>1</v>
      </c>
      <c r="M363" s="17" t="str">
        <f>ROUND(Github!N$362, 2)&amp;"%"</f>
        <v>0%</v>
      </c>
      <c r="N363" s="17">
        <f>Github!O$362</f>
        <v>49.83052701</v>
      </c>
      <c r="O363" s="17">
        <f>Github!P$362</f>
        <v>63805</v>
      </c>
    </row>
    <row r="364">
      <c r="A364" s="17">
        <f>Github!J$363</f>
        <v>362</v>
      </c>
      <c r="B364" s="27" t="str">
        <f>HYPERLINK(CONCAT("http://leetcode.com/problems/",Github!C$363), Github!B$363)</f>
        <v>Design Hit Counter</v>
      </c>
      <c r="C364" s="17">
        <f>Github!F$363</f>
        <v>1442</v>
      </c>
      <c r="D364" s="17">
        <f>Github!G$363</f>
        <v>124</v>
      </c>
      <c r="E364" s="17">
        <f>Github!F$363+Github!G$363</f>
        <v>1566</v>
      </c>
      <c r="F364" s="18">
        <f t="shared" si="1"/>
        <v>11.63</v>
      </c>
      <c r="G364" s="17" t="str">
        <f>Github!H$363</f>
        <v>Algorithms</v>
      </c>
      <c r="H364" s="17" t="str">
        <f>Github!E$363</f>
        <v>Medium</v>
      </c>
      <c r="I364" s="17" t="str">
        <f>IF(TRIM(Github!D$363)="TRUE","FALSE","TRUE")</f>
        <v>FALSE</v>
      </c>
      <c r="J364" s="17"/>
      <c r="K364" s="17" t="str">
        <f>Github!L$363</f>
        <v>Array;Hash Table;Binary Search;Design;Queue;</v>
      </c>
      <c r="L364" s="17" t="b">
        <f>Github!M$363</f>
        <v>1</v>
      </c>
      <c r="M364" s="17" t="str">
        <f>ROUND(Github!N$363, 2)&amp;"%"</f>
        <v>0%</v>
      </c>
      <c r="N364" s="17">
        <f>Github!O$363</f>
        <v>67.15347158</v>
      </c>
      <c r="O364" s="17">
        <f>Github!P$363</f>
        <v>154726</v>
      </c>
    </row>
    <row r="365">
      <c r="A365" s="17">
        <f>Github!J$364</f>
        <v>363</v>
      </c>
      <c r="B365" s="27" t="str">
        <f>HYPERLINK(CONCAT("http://leetcode.com/problems/",Github!C$364), Github!B$364)</f>
        <v>Max Sum of Rectangle No Larger Than K</v>
      </c>
      <c r="C365" s="17">
        <f>Github!F$364</f>
        <v>1858</v>
      </c>
      <c r="D365" s="17">
        <f>Github!G$364</f>
        <v>105</v>
      </c>
      <c r="E365" s="17">
        <f>Github!F$364+Github!G$364</f>
        <v>1963</v>
      </c>
      <c r="F365" s="18">
        <f t="shared" si="1"/>
        <v>17.7</v>
      </c>
      <c r="G365" s="17" t="str">
        <f>Github!H$364</f>
        <v>Algorithms</v>
      </c>
      <c r="H365" s="17" t="str">
        <f>Github!E$364</f>
        <v>Hard</v>
      </c>
      <c r="I365" s="17" t="str">
        <f>IF(TRIM(Github!D$364)="TRUE","FALSE","TRUE")</f>
        <v>TRUE</v>
      </c>
      <c r="J365" s="17"/>
      <c r="K365" s="17" t="str">
        <f>Github!L$364</f>
        <v>Array;Binary Search;Dynamic Programming;Matrix;Ordered Set;</v>
      </c>
      <c r="L365" s="17" t="b">
        <f>Github!M$364</f>
        <v>1</v>
      </c>
      <c r="M365" s="17" t="str">
        <f>ROUND(Github!N$364, 2)&amp;"%"</f>
        <v>0%</v>
      </c>
      <c r="N365" s="17">
        <f>Github!O$364</f>
        <v>40.14386184</v>
      </c>
      <c r="O365" s="17">
        <f>Github!P$364</f>
        <v>77686</v>
      </c>
    </row>
    <row r="366">
      <c r="A366" s="17">
        <f>Github!J$365</f>
        <v>364</v>
      </c>
      <c r="B366" s="27" t="str">
        <f>HYPERLINK(CONCAT("http://leetcode.com/problems/",Github!C$365), Github!B$365)</f>
        <v>Nested List Weight Sum II</v>
      </c>
      <c r="C366" s="17">
        <f>Github!F$365</f>
        <v>943</v>
      </c>
      <c r="D366" s="17">
        <f>Github!G$365</f>
        <v>286</v>
      </c>
      <c r="E366" s="17">
        <f>Github!F$365+Github!G$365</f>
        <v>1229</v>
      </c>
      <c r="F366" s="18">
        <f t="shared" si="1"/>
        <v>3.3</v>
      </c>
      <c r="G366" s="17" t="str">
        <f>Github!H$365</f>
        <v>Algorithms</v>
      </c>
      <c r="H366" s="17" t="str">
        <f>Github!E$365</f>
        <v>Medium</v>
      </c>
      <c r="I366" s="17" t="str">
        <f>IF(TRIM(Github!D$365)="TRUE","FALSE","TRUE")</f>
        <v>FALSE</v>
      </c>
      <c r="J366" s="17"/>
      <c r="K366" s="17" t="str">
        <f>Github!L$365</f>
        <v>Stack;Depth-First Search;Breadth-First Search;</v>
      </c>
      <c r="L366" s="17" t="b">
        <f>Github!M$365</f>
        <v>1</v>
      </c>
      <c r="M366" s="17" t="str">
        <f>ROUND(Github!N$365, 2)&amp;"%"</f>
        <v>0%</v>
      </c>
      <c r="N366" s="17">
        <f>Github!O$365</f>
        <v>67.96118925</v>
      </c>
      <c r="O366" s="17">
        <f>Github!P$365</f>
        <v>109058</v>
      </c>
    </row>
    <row r="367">
      <c r="A367" s="17">
        <f>Github!J$366</f>
        <v>365</v>
      </c>
      <c r="B367" s="27" t="str">
        <f>HYPERLINK(CONCAT("http://leetcode.com/problems/",Github!C$366), Github!B$366)</f>
        <v>Water and Jug Problem</v>
      </c>
      <c r="C367" s="17">
        <f>Github!F$366</f>
        <v>712</v>
      </c>
      <c r="D367" s="17">
        <f>Github!G$366</f>
        <v>1071</v>
      </c>
      <c r="E367" s="17">
        <f>Github!F$366+Github!G$366</f>
        <v>1783</v>
      </c>
      <c r="F367" s="18">
        <f t="shared" si="1"/>
        <v>0.66</v>
      </c>
      <c r="G367" s="17" t="str">
        <f>Github!H$366</f>
        <v>Algorithms</v>
      </c>
      <c r="H367" s="17" t="str">
        <f>Github!E$366</f>
        <v>Medium</v>
      </c>
      <c r="I367" s="17" t="str">
        <f>IF(TRIM(Github!D$366)="TRUE","FALSE","TRUE")</f>
        <v>TRUE</v>
      </c>
      <c r="J367" s="17"/>
      <c r="K367" s="17" t="str">
        <f>Github!L$366</f>
        <v>Math;Depth-First Search;Breadth-First Search;</v>
      </c>
      <c r="L367" s="17" t="b">
        <f>Github!M$366</f>
        <v>0</v>
      </c>
      <c r="M367" s="17" t="str">
        <f>ROUND(Github!N$366, 2)&amp;"%"</f>
        <v>0%</v>
      </c>
      <c r="N367" s="17">
        <f>Github!O$366</f>
        <v>33.88779815</v>
      </c>
      <c r="O367" s="17">
        <f>Github!P$366</f>
        <v>59201</v>
      </c>
    </row>
    <row r="368">
      <c r="A368" s="17">
        <f>Github!J$367</f>
        <v>366</v>
      </c>
      <c r="B368" s="27" t="str">
        <f>HYPERLINK(CONCAT("http://leetcode.com/problems/",Github!C$367), Github!B$367)</f>
        <v>Find Leaves of Binary Tree</v>
      </c>
      <c r="C368" s="17">
        <f>Github!F$367</f>
        <v>2188</v>
      </c>
      <c r="D368" s="17">
        <f>Github!G$367</f>
        <v>38</v>
      </c>
      <c r="E368" s="17">
        <f>Github!F$367+Github!G$367</f>
        <v>2226</v>
      </c>
      <c r="F368" s="18">
        <f t="shared" si="1"/>
        <v>57.58</v>
      </c>
      <c r="G368" s="17" t="str">
        <f>Github!H$367</f>
        <v>Algorithms</v>
      </c>
      <c r="H368" s="17" t="str">
        <f>Github!E$367</f>
        <v>Medium</v>
      </c>
      <c r="I368" s="17" t="str">
        <f>IF(TRIM(Github!D$367)="TRUE","FALSE","TRUE")</f>
        <v>FALSE</v>
      </c>
      <c r="J368" s="17"/>
      <c r="K368" s="17" t="str">
        <f>Github!L$367</f>
        <v>Tree;Depth-First Search;Binary Tree;</v>
      </c>
      <c r="L368" s="17" t="b">
        <f>Github!M$367</f>
        <v>1</v>
      </c>
      <c r="M368" s="17" t="str">
        <f>ROUND(Github!N$367, 2)&amp;"%"</f>
        <v>0%</v>
      </c>
      <c r="N368" s="17">
        <f>Github!O$367</f>
        <v>77.82452555</v>
      </c>
      <c r="O368" s="17">
        <f>Github!P$367</f>
        <v>155378</v>
      </c>
    </row>
    <row r="369">
      <c r="A369" s="17">
        <f>Github!J$368</f>
        <v>367</v>
      </c>
      <c r="B369" s="27" t="str">
        <f>HYPERLINK(CONCAT("http://leetcode.com/problems/",Github!C$368), Github!B$368)</f>
        <v>Valid Perfect Square</v>
      </c>
      <c r="C369" s="17">
        <f>Github!F$368</f>
        <v>2017</v>
      </c>
      <c r="D369" s="17">
        <f>Github!G$368</f>
        <v>224</v>
      </c>
      <c r="E369" s="17">
        <f>Github!F$368+Github!G$368</f>
        <v>2241</v>
      </c>
      <c r="F369" s="18">
        <f t="shared" si="1"/>
        <v>9</v>
      </c>
      <c r="G369" s="17" t="str">
        <f>Github!H$368</f>
        <v>Algorithms</v>
      </c>
      <c r="H369" s="17" t="str">
        <f>Github!E$368</f>
        <v>Easy</v>
      </c>
      <c r="I369" s="17" t="str">
        <f>IF(TRIM(Github!D$368)="TRUE","FALSE","TRUE")</f>
        <v>TRUE</v>
      </c>
      <c r="J369" s="17"/>
      <c r="K369" s="17" t="str">
        <f>Github!L$368</f>
        <v>Math;Binary Search;</v>
      </c>
      <c r="L369" s="17" t="b">
        <f>Github!M$368</f>
        <v>1</v>
      </c>
      <c r="M369" s="17" t="str">
        <f>ROUND(Github!N$368, 2)&amp;"%"</f>
        <v>0%</v>
      </c>
      <c r="N369" s="17">
        <f>Github!O$368</f>
        <v>42.85768435</v>
      </c>
      <c r="O369" s="17">
        <f>Github!P$368</f>
        <v>339201</v>
      </c>
    </row>
    <row r="370">
      <c r="A370" s="17">
        <f>Github!J$369</f>
        <v>368</v>
      </c>
      <c r="B370" s="27" t="str">
        <f>HYPERLINK(CONCAT("http://leetcode.com/problems/",Github!C$369), Github!B$369)</f>
        <v>Largest Divisible Subset</v>
      </c>
      <c r="C370" s="17">
        <f>Github!F$369</f>
        <v>3045</v>
      </c>
      <c r="D370" s="17">
        <f>Github!G$369</f>
        <v>141</v>
      </c>
      <c r="E370" s="17">
        <f>Github!F$369+Github!G$369</f>
        <v>3186</v>
      </c>
      <c r="F370" s="18">
        <f t="shared" si="1"/>
        <v>21.6</v>
      </c>
      <c r="G370" s="17" t="str">
        <f>Github!H$369</f>
        <v>Algorithms</v>
      </c>
      <c r="H370" s="17" t="str">
        <f>Github!E$369</f>
        <v>Medium</v>
      </c>
      <c r="I370" s="17" t="str">
        <f>IF(TRIM(Github!D$369)="TRUE","FALSE","TRUE")</f>
        <v>TRUE</v>
      </c>
      <c r="J370" s="17"/>
      <c r="K370" s="17" t="str">
        <f>Github!L$369</f>
        <v>Array;Math;Dynamic Programming;Sorting;</v>
      </c>
      <c r="L370" s="17" t="b">
        <f>Github!M$369</f>
        <v>1</v>
      </c>
      <c r="M370" s="17" t="str">
        <f>ROUND(Github!N$369, 2)&amp;"%"</f>
        <v>0%</v>
      </c>
      <c r="N370" s="17">
        <f>Github!O$369</f>
        <v>40.42154026</v>
      </c>
      <c r="O370" s="17">
        <f>Github!P$369</f>
        <v>146937</v>
      </c>
    </row>
    <row r="371">
      <c r="A371" s="17">
        <f>Github!J$370</f>
        <v>369</v>
      </c>
      <c r="B371" s="27" t="str">
        <f>HYPERLINK(CONCAT("http://leetcode.com/problems/",Github!C$370), Github!B$370)</f>
        <v>Plus One Linked List</v>
      </c>
      <c r="C371" s="17">
        <f>Github!F$370</f>
        <v>757</v>
      </c>
      <c r="D371" s="17">
        <f>Github!G$370</f>
        <v>39</v>
      </c>
      <c r="E371" s="17">
        <f>Github!F$370+Github!G$370</f>
        <v>796</v>
      </c>
      <c r="F371" s="18">
        <f t="shared" si="1"/>
        <v>19.41</v>
      </c>
      <c r="G371" s="17" t="str">
        <f>Github!H$370</f>
        <v>Algorithms</v>
      </c>
      <c r="H371" s="17" t="str">
        <f>Github!E$370</f>
        <v>Medium</v>
      </c>
      <c r="I371" s="17" t="str">
        <f>IF(TRIM(Github!D$370)="TRUE","FALSE","TRUE")</f>
        <v>FALSE</v>
      </c>
      <c r="J371" s="17"/>
      <c r="K371" s="17" t="str">
        <f>Github!L$370</f>
        <v>Linked List;Math;</v>
      </c>
      <c r="L371" s="17" t="b">
        <f>Github!M$370</f>
        <v>1</v>
      </c>
      <c r="M371" s="17" t="str">
        <f>ROUND(Github!N$370, 2)&amp;"%"</f>
        <v>1%</v>
      </c>
      <c r="N371" s="17">
        <f>Github!O$370</f>
        <v>60.34372429</v>
      </c>
      <c r="O371" s="17">
        <f>Github!P$370</f>
        <v>66010</v>
      </c>
    </row>
    <row r="372">
      <c r="A372" s="17">
        <f>Github!J$371</f>
        <v>370</v>
      </c>
      <c r="B372" s="27" t="str">
        <f>HYPERLINK(CONCAT("http://leetcode.com/problems/",Github!C$371), Github!B$371)</f>
        <v>Range Addition</v>
      </c>
      <c r="C372" s="17">
        <f>Github!F$371</f>
        <v>1190</v>
      </c>
      <c r="D372" s="17">
        <f>Github!G$371</f>
        <v>55</v>
      </c>
      <c r="E372" s="17">
        <f>Github!F$371+Github!G$371</f>
        <v>1245</v>
      </c>
      <c r="F372" s="18">
        <f t="shared" si="1"/>
        <v>21.64</v>
      </c>
      <c r="G372" s="17" t="str">
        <f>Github!H$371</f>
        <v>Algorithms</v>
      </c>
      <c r="H372" s="17" t="str">
        <f>Github!E$371</f>
        <v>Medium</v>
      </c>
      <c r="I372" s="17" t="str">
        <f>IF(TRIM(Github!D$371)="TRUE","FALSE","TRUE")</f>
        <v>FALSE</v>
      </c>
      <c r="J372" s="17"/>
      <c r="K372" s="17" t="str">
        <f>Github!L$371</f>
        <v>Array;Prefix Sum;</v>
      </c>
      <c r="L372" s="17" t="b">
        <f>Github!M$371</f>
        <v>1</v>
      </c>
      <c r="M372" s="17" t="str">
        <f>ROUND(Github!N$371, 2)&amp;"%"</f>
        <v>0%</v>
      </c>
      <c r="N372" s="17">
        <f>Github!O$371</f>
        <v>68.95366711</v>
      </c>
      <c r="O372" s="17">
        <f>Github!P$371</f>
        <v>62803</v>
      </c>
    </row>
    <row r="373">
      <c r="A373" s="17">
        <f>Github!J$372</f>
        <v>371</v>
      </c>
      <c r="B373" s="27" t="str">
        <f>HYPERLINK(CONCAT("http://leetcode.com/problems/",Github!C$372), Github!B$372)</f>
        <v>Sum of Two Integers</v>
      </c>
      <c r="C373" s="17">
        <f>Github!F$372</f>
        <v>2373</v>
      </c>
      <c r="D373" s="17">
        <f>Github!G$372</f>
        <v>3582</v>
      </c>
      <c r="E373" s="17">
        <f>Github!F$372+Github!G$372</f>
        <v>5955</v>
      </c>
      <c r="F373" s="18">
        <f t="shared" si="1"/>
        <v>0.66</v>
      </c>
      <c r="G373" s="17" t="str">
        <f>Github!H$372</f>
        <v>Algorithms</v>
      </c>
      <c r="H373" s="17" t="str">
        <f>Github!E$372</f>
        <v>Medium</v>
      </c>
      <c r="I373" s="17" t="str">
        <f>IF(TRIM(Github!D$372)="TRUE","FALSE","TRUE")</f>
        <v>TRUE</v>
      </c>
      <c r="J373" s="17"/>
      <c r="K373" s="17" t="str">
        <f>Github!L$372</f>
        <v>Math;Bit Manipulation;</v>
      </c>
      <c r="L373" s="17" t="b">
        <f>Github!M$372</f>
        <v>1</v>
      </c>
      <c r="M373" s="17" t="str">
        <f>ROUND(Github!N$372, 2)&amp;"%"</f>
        <v>0%</v>
      </c>
      <c r="N373" s="17">
        <f>Github!O$372</f>
        <v>50.65365142</v>
      </c>
      <c r="O373" s="17">
        <f>Github!P$372</f>
        <v>283429</v>
      </c>
    </row>
    <row r="374">
      <c r="A374" s="17">
        <f>Github!J$373</f>
        <v>372</v>
      </c>
      <c r="B374" s="27" t="str">
        <f>HYPERLINK(CONCAT("http://leetcode.com/problems/",Github!C$373), Github!B$373)</f>
        <v>Super Pow</v>
      </c>
      <c r="C374" s="17">
        <f>Github!F$373</f>
        <v>445</v>
      </c>
      <c r="D374" s="17">
        <f>Github!G$373</f>
        <v>1065</v>
      </c>
      <c r="E374" s="17">
        <f>Github!F$373+Github!G$373</f>
        <v>1510</v>
      </c>
      <c r="F374" s="18">
        <f t="shared" si="1"/>
        <v>0.42</v>
      </c>
      <c r="G374" s="17" t="str">
        <f>Github!H$373</f>
        <v>Algorithms</v>
      </c>
      <c r="H374" s="17" t="str">
        <f>Github!E$373</f>
        <v>Medium</v>
      </c>
      <c r="I374" s="17" t="str">
        <f>IF(TRIM(Github!D$373)="TRUE","FALSE","TRUE")</f>
        <v>TRUE</v>
      </c>
      <c r="J374" s="17"/>
      <c r="K374" s="17" t="str">
        <f>Github!L$373</f>
        <v>Math;Divide and Conquer;</v>
      </c>
      <c r="L374" s="17" t="b">
        <f>Github!M$373</f>
        <v>0</v>
      </c>
      <c r="M374" s="17" t="str">
        <f>ROUND(Github!N$373, 2)&amp;"%"</f>
        <v>0%</v>
      </c>
      <c r="N374" s="17">
        <f>Github!O$373</f>
        <v>37.58451817</v>
      </c>
      <c r="O374" s="17">
        <f>Github!P$373</f>
        <v>47582</v>
      </c>
    </row>
    <row r="375">
      <c r="A375" s="17">
        <f>Github!J$374</f>
        <v>373</v>
      </c>
      <c r="B375" s="27" t="str">
        <f>HYPERLINK(CONCAT("http://leetcode.com/problems/",Github!C$374), Github!B$374)</f>
        <v>Find K Pairs with Smallest Sums</v>
      </c>
      <c r="C375" s="17">
        <f>Github!F$374</f>
        <v>2881</v>
      </c>
      <c r="D375" s="17">
        <f>Github!G$374</f>
        <v>176</v>
      </c>
      <c r="E375" s="17">
        <f>Github!F$374+Github!G$374</f>
        <v>3057</v>
      </c>
      <c r="F375" s="18">
        <f t="shared" si="1"/>
        <v>16.37</v>
      </c>
      <c r="G375" s="17" t="str">
        <f>Github!H$374</f>
        <v>Algorithms</v>
      </c>
      <c r="H375" s="17" t="str">
        <f>Github!E$374</f>
        <v>Medium</v>
      </c>
      <c r="I375" s="17" t="str">
        <f>IF(TRIM(Github!D$374)="TRUE","FALSE","TRUE")</f>
        <v>TRUE</v>
      </c>
      <c r="J375" s="17"/>
      <c r="K375" s="17" t="str">
        <f>Github!L$374</f>
        <v>Array;Heap (Priority Queue);</v>
      </c>
      <c r="L375" s="17" t="b">
        <f>Github!M$374</f>
        <v>0</v>
      </c>
      <c r="M375" s="17" t="str">
        <f>ROUND(Github!N$374, 2)&amp;"%"</f>
        <v>0%</v>
      </c>
      <c r="N375" s="17">
        <f>Github!O$374</f>
        <v>38.87817399</v>
      </c>
      <c r="O375" s="17">
        <f>Github!P$374</f>
        <v>163277</v>
      </c>
    </row>
    <row r="376">
      <c r="A376" s="17">
        <f>Github!J$375</f>
        <v>374</v>
      </c>
      <c r="B376" s="27" t="str">
        <f>HYPERLINK(CONCAT("http://leetcode.com/problems/",Github!C$375), Github!B$375)</f>
        <v>Guess Number Higher or Lower</v>
      </c>
      <c r="C376" s="17">
        <f>Github!F$375</f>
        <v>689</v>
      </c>
      <c r="D376" s="17">
        <f>Github!G$375</f>
        <v>110</v>
      </c>
      <c r="E376" s="17">
        <f>Github!F$375+Github!G$375</f>
        <v>799</v>
      </c>
      <c r="F376" s="18">
        <f t="shared" si="1"/>
        <v>6.26</v>
      </c>
      <c r="G376" s="17" t="str">
        <f>Github!H$375</f>
        <v>Algorithms</v>
      </c>
      <c r="H376" s="17" t="str">
        <f>Github!E$375</f>
        <v>Easy</v>
      </c>
      <c r="I376" s="17" t="str">
        <f>IF(TRIM(Github!D$375)="TRUE","FALSE","TRUE")</f>
        <v>TRUE</v>
      </c>
      <c r="J376" s="17"/>
      <c r="K376" s="17" t="str">
        <f>Github!L$375</f>
        <v>Binary Search;Interactive;</v>
      </c>
      <c r="L376" s="17" t="b">
        <f>Github!M$375</f>
        <v>1</v>
      </c>
      <c r="M376" s="17" t="str">
        <f>ROUND(Github!N$375, 2)&amp;"%"</f>
        <v>0%</v>
      </c>
      <c r="N376" s="17">
        <f>Github!O$375</f>
        <v>48.48452128</v>
      </c>
      <c r="O376" s="17">
        <f>Github!P$375</f>
        <v>287373</v>
      </c>
    </row>
    <row r="377">
      <c r="A377" s="17">
        <f>Github!J$376</f>
        <v>375</v>
      </c>
      <c r="B377" s="27" t="str">
        <f>HYPERLINK(CONCAT("http://leetcode.com/problems/",Github!C$376), Github!B$376)</f>
        <v>Guess Number Higher or Lower II</v>
      </c>
      <c r="C377" s="17">
        <f>Github!F$376</f>
        <v>1406</v>
      </c>
      <c r="D377" s="17">
        <f>Github!G$376</f>
        <v>1746</v>
      </c>
      <c r="E377" s="17">
        <f>Github!F$376+Github!G$376</f>
        <v>3152</v>
      </c>
      <c r="F377" s="18">
        <f t="shared" si="1"/>
        <v>0.81</v>
      </c>
      <c r="G377" s="17" t="str">
        <f>Github!H$376</f>
        <v>Algorithms</v>
      </c>
      <c r="H377" s="17" t="str">
        <f>Github!E$376</f>
        <v>Medium</v>
      </c>
      <c r="I377" s="17" t="str">
        <f>IF(TRIM(Github!D$376)="TRUE","FALSE","TRUE")</f>
        <v>TRUE</v>
      </c>
      <c r="J377" s="17"/>
      <c r="K377" s="17" t="str">
        <f>Github!L$376</f>
        <v>Math;Dynamic Programming;Game Theory;</v>
      </c>
      <c r="L377" s="17" t="b">
        <f>Github!M$376</f>
        <v>0</v>
      </c>
      <c r="M377" s="17" t="str">
        <f>ROUND(Github!N$376, 2)&amp;"%"</f>
        <v>0%</v>
      </c>
      <c r="N377" s="17">
        <f>Github!O$376</f>
        <v>45.19367868</v>
      </c>
      <c r="O377" s="17">
        <f>Github!P$376</f>
        <v>90968</v>
      </c>
    </row>
    <row r="378">
      <c r="A378" s="17">
        <f>Github!J$377</f>
        <v>376</v>
      </c>
      <c r="B378" s="27" t="str">
        <f>HYPERLINK(CONCAT("http://leetcode.com/problems/",Github!C$377), Github!B$377)</f>
        <v>Wiggle Subsequence</v>
      </c>
      <c r="C378" s="17">
        <f>Github!F$377</f>
        <v>2538</v>
      </c>
      <c r="D378" s="17">
        <f>Github!G$377</f>
        <v>88</v>
      </c>
      <c r="E378" s="17">
        <f>Github!F$377+Github!G$377</f>
        <v>2626</v>
      </c>
      <c r="F378" s="18">
        <f t="shared" si="1"/>
        <v>28.84</v>
      </c>
      <c r="G378" s="17" t="str">
        <f>Github!H$377</f>
        <v>Algorithms</v>
      </c>
      <c r="H378" s="17" t="str">
        <f>Github!E$377</f>
        <v>Medium</v>
      </c>
      <c r="I378" s="17" t="str">
        <f>IF(TRIM(Github!D$377)="TRUE","FALSE","TRUE")</f>
        <v>TRUE</v>
      </c>
      <c r="J378" s="17"/>
      <c r="K378" s="17" t="str">
        <f>Github!L$377</f>
        <v>Array;Dynamic Programming;Greedy;</v>
      </c>
      <c r="L378" s="17" t="b">
        <f>Github!M$377</f>
        <v>1</v>
      </c>
      <c r="M378" s="17" t="str">
        <f>ROUND(Github!N$377, 2)&amp;"%"</f>
        <v>0%</v>
      </c>
      <c r="N378" s="17">
        <f>Github!O$377</f>
        <v>44.61903941</v>
      </c>
      <c r="O378" s="17">
        <f>Github!P$377</f>
        <v>132038</v>
      </c>
    </row>
    <row r="379">
      <c r="A379" s="17">
        <f>Github!J$378</f>
        <v>377</v>
      </c>
      <c r="B379" s="27" t="str">
        <f>HYPERLINK(CONCAT("http://leetcode.com/problems/",Github!C$378), Github!B$378)</f>
        <v>Combination Sum IV</v>
      </c>
      <c r="C379" s="17">
        <f>Github!F$378</f>
        <v>3212</v>
      </c>
      <c r="D379" s="17">
        <f>Github!G$378</f>
        <v>371</v>
      </c>
      <c r="E379" s="17">
        <f>Github!F$378+Github!G$378</f>
        <v>3583</v>
      </c>
      <c r="F379" s="18">
        <f t="shared" si="1"/>
        <v>8.66</v>
      </c>
      <c r="G379" s="17" t="str">
        <f>Github!H$378</f>
        <v>Algorithms</v>
      </c>
      <c r="H379" s="17" t="str">
        <f>Github!E$378</f>
        <v>Medium</v>
      </c>
      <c r="I379" s="17" t="str">
        <f>IF(TRIM(Github!D$378)="TRUE","FALSE","TRUE")</f>
        <v>TRUE</v>
      </c>
      <c r="J379" s="17"/>
      <c r="K379" s="17" t="str">
        <f>Github!L$378</f>
        <v>Array;Dynamic Programming;</v>
      </c>
      <c r="L379" s="17" t="b">
        <f>Github!M$378</f>
        <v>1</v>
      </c>
      <c r="M379" s="17" t="str">
        <f>ROUND(Github!N$378, 2)&amp;"%"</f>
        <v>0%</v>
      </c>
      <c r="N379" s="17">
        <f>Github!O$378</f>
        <v>49.05659573</v>
      </c>
      <c r="O379" s="17">
        <f>Github!P$378</f>
        <v>230147</v>
      </c>
    </row>
    <row r="380">
      <c r="A380" s="17">
        <f>Github!J$379</f>
        <v>378</v>
      </c>
      <c r="B380" s="27" t="str">
        <f>HYPERLINK(CONCAT("http://leetcode.com/problems/",Github!C$379), Github!B$379)</f>
        <v>Kth Smallest Element in a Sorted Matrix</v>
      </c>
      <c r="C380" s="17">
        <f>Github!F$379</f>
        <v>5509</v>
      </c>
      <c r="D380" s="17">
        <f>Github!G$379</f>
        <v>230</v>
      </c>
      <c r="E380" s="17">
        <f>Github!F$379+Github!G$379</f>
        <v>5739</v>
      </c>
      <c r="F380" s="18">
        <f t="shared" si="1"/>
        <v>23.95</v>
      </c>
      <c r="G380" s="17" t="str">
        <f>Github!H$379</f>
        <v>Algorithms</v>
      </c>
      <c r="H380" s="17" t="str">
        <f>Github!E$379</f>
        <v>Medium</v>
      </c>
      <c r="I380" s="17" t="str">
        <f>IF(TRIM(Github!D$379)="TRUE","FALSE","TRUE")</f>
        <v>TRUE</v>
      </c>
      <c r="J380" s="17"/>
      <c r="K380" s="17" t="str">
        <f>Github!L$379</f>
        <v>Array;Binary Search;Sorting;Heap (Priority Queue);Matrix;</v>
      </c>
      <c r="L380" s="17" t="b">
        <f>Github!M$379</f>
        <v>1</v>
      </c>
      <c r="M380" s="17" t="str">
        <f>ROUND(Github!N$379, 2)&amp;"%"</f>
        <v>0%</v>
      </c>
      <c r="N380" s="17">
        <f>Github!O$379</f>
        <v>59.34489465</v>
      </c>
      <c r="O380" s="17">
        <f>Github!P$379</f>
        <v>365538</v>
      </c>
    </row>
    <row r="381">
      <c r="A381" s="17">
        <f>Github!J$380</f>
        <v>379</v>
      </c>
      <c r="B381" s="27" t="str">
        <f>HYPERLINK(CONCAT("http://leetcode.com/problems/",Github!C$380), Github!B$380)</f>
        <v>Design Phone Directory</v>
      </c>
      <c r="C381" s="17">
        <f>Github!F$380</f>
        <v>276</v>
      </c>
      <c r="D381" s="17">
        <f>Github!G$380</f>
        <v>384</v>
      </c>
      <c r="E381" s="17">
        <f>Github!F$380+Github!G$380</f>
        <v>660</v>
      </c>
      <c r="F381" s="18">
        <f t="shared" si="1"/>
        <v>0.72</v>
      </c>
      <c r="G381" s="17" t="str">
        <f>Github!H$380</f>
        <v>Algorithms</v>
      </c>
      <c r="H381" s="17" t="str">
        <f>Github!E$380</f>
        <v>Medium</v>
      </c>
      <c r="I381" s="17" t="str">
        <f>IF(TRIM(Github!D$380)="TRUE","FALSE","TRUE")</f>
        <v>FALSE</v>
      </c>
      <c r="J381" s="17"/>
      <c r="K381" s="17" t="str">
        <f>Github!L$380</f>
        <v>Array;Hash Table;Linked List;Design;Queue;</v>
      </c>
      <c r="L381" s="17" t="b">
        <f>Github!M$380</f>
        <v>0</v>
      </c>
      <c r="M381" s="17" t="str">
        <f>ROUND(Github!N$380, 2)&amp;"%"</f>
        <v>0%</v>
      </c>
      <c r="N381" s="17">
        <f>Github!O$380</f>
        <v>50.16592609</v>
      </c>
      <c r="O381" s="17">
        <f>Github!P$380</f>
        <v>53514</v>
      </c>
    </row>
    <row r="382">
      <c r="A382" s="17">
        <f>Github!J$381</f>
        <v>380</v>
      </c>
      <c r="B382" s="27" t="str">
        <f>HYPERLINK(CONCAT("http://leetcode.com/problems/",Github!C$381), Github!B$381)</f>
        <v>Insert Delete GetRandom O(1)</v>
      </c>
      <c r="C382" s="17">
        <f>Github!F$381</f>
        <v>5135</v>
      </c>
      <c r="D382" s="17">
        <f>Github!G$381</f>
        <v>272</v>
      </c>
      <c r="E382" s="17">
        <f>Github!F$381+Github!G$381</f>
        <v>5407</v>
      </c>
      <c r="F382" s="18">
        <f t="shared" si="1"/>
        <v>18.88</v>
      </c>
      <c r="G382" s="17" t="str">
        <f>Github!H$381</f>
        <v>Algorithms</v>
      </c>
      <c r="H382" s="17" t="str">
        <f>Github!E$381</f>
        <v>Medium</v>
      </c>
      <c r="I382" s="17" t="str">
        <f>IF(TRIM(Github!D$381)="TRUE","FALSE","TRUE")</f>
        <v>TRUE</v>
      </c>
      <c r="J382" s="17"/>
      <c r="K382" s="17" t="str">
        <f>Github!L$381</f>
        <v>Array;Hash Table;Math;Design;Randomized;</v>
      </c>
      <c r="L382" s="17" t="b">
        <f>Github!M$381</f>
        <v>1</v>
      </c>
      <c r="M382" s="17" t="str">
        <f>ROUND(Github!N$381, 2)&amp;"%"</f>
        <v>0%</v>
      </c>
      <c r="N382" s="17">
        <f>Github!O$381</f>
        <v>51.14584692</v>
      </c>
      <c r="O382" s="17">
        <f>Github!P$381</f>
        <v>454744</v>
      </c>
    </row>
    <row r="383">
      <c r="A383" s="17">
        <f>Github!J$382</f>
        <v>381</v>
      </c>
      <c r="B383" s="27" t="str">
        <f>HYPERLINK(CONCAT("http://leetcode.com/problems/",Github!C$382), Github!B$382)</f>
        <v>Insert Delete GetRandom O(1) - Duplicates allowed</v>
      </c>
      <c r="C383" s="17">
        <f>Github!F$382</f>
        <v>1540</v>
      </c>
      <c r="D383" s="17">
        <f>Github!G$382</f>
        <v>112</v>
      </c>
      <c r="E383" s="17">
        <f>Github!F$382+Github!G$382</f>
        <v>1652</v>
      </c>
      <c r="F383" s="18">
        <f t="shared" si="1"/>
        <v>13.75</v>
      </c>
      <c r="G383" s="17" t="str">
        <f>Github!H$382</f>
        <v>Algorithms</v>
      </c>
      <c r="H383" s="17" t="str">
        <f>Github!E$382</f>
        <v>Hard</v>
      </c>
      <c r="I383" s="17" t="str">
        <f>IF(TRIM(Github!D$382)="TRUE","FALSE","TRUE")</f>
        <v>TRUE</v>
      </c>
      <c r="J383" s="17"/>
      <c r="K383" s="17" t="str">
        <f>Github!L$382</f>
        <v>Array;Hash Table;Math;Design;Randomized;</v>
      </c>
      <c r="L383" s="17" t="b">
        <f>Github!M$382</f>
        <v>1</v>
      </c>
      <c r="M383" s="17" t="str">
        <f>ROUND(Github!N$382, 2)&amp;"%"</f>
        <v>0%</v>
      </c>
      <c r="N383" s="17">
        <f>Github!O$382</f>
        <v>35.42385969</v>
      </c>
      <c r="O383" s="17">
        <f>Github!P$382</f>
        <v>104138</v>
      </c>
    </row>
    <row r="384">
      <c r="A384" s="17">
        <f>Github!J$383</f>
        <v>382</v>
      </c>
      <c r="B384" s="27" t="str">
        <f>HYPERLINK(CONCAT("http://leetcode.com/problems/",Github!C$383), Github!B$383)</f>
        <v>Linked List Random Node</v>
      </c>
      <c r="C384" s="17">
        <f>Github!F$383</f>
        <v>1682</v>
      </c>
      <c r="D384" s="17">
        <f>Github!G$383</f>
        <v>428</v>
      </c>
      <c r="E384" s="17">
        <f>Github!F$383+Github!G$383</f>
        <v>2110</v>
      </c>
      <c r="F384" s="18">
        <f t="shared" si="1"/>
        <v>3.93</v>
      </c>
      <c r="G384" s="17" t="str">
        <f>Github!H$383</f>
        <v>Algorithms</v>
      </c>
      <c r="H384" s="17" t="str">
        <f>Github!E$383</f>
        <v>Medium</v>
      </c>
      <c r="I384" s="17" t="str">
        <f>IF(TRIM(Github!D$383)="TRUE","FALSE","TRUE")</f>
        <v>TRUE</v>
      </c>
      <c r="J384" s="17"/>
      <c r="K384" s="17" t="str">
        <f>Github!L$383</f>
        <v>Linked List;Math;Reservoir Sampling;Randomized;</v>
      </c>
      <c r="L384" s="17" t="b">
        <f>Github!M$383</f>
        <v>1</v>
      </c>
      <c r="M384" s="17" t="str">
        <f>ROUND(Github!N$383, 2)&amp;"%"</f>
        <v>0%</v>
      </c>
      <c r="N384" s="17">
        <f>Github!O$383</f>
        <v>58.81364908</v>
      </c>
      <c r="O384" s="17">
        <f>Github!P$383</f>
        <v>148815</v>
      </c>
    </row>
    <row r="385">
      <c r="A385" s="17">
        <f>Github!J$384</f>
        <v>383</v>
      </c>
      <c r="B385" s="27" t="str">
        <f>HYPERLINK(CONCAT("http://leetcode.com/problems/",Github!C$384), Github!B$384)</f>
        <v>Ransom Note</v>
      </c>
      <c r="C385" s="17">
        <f>Github!F$384</f>
        <v>1549</v>
      </c>
      <c r="D385" s="17">
        <f>Github!G$384</f>
        <v>287</v>
      </c>
      <c r="E385" s="17">
        <f>Github!F$384+Github!G$384</f>
        <v>1836</v>
      </c>
      <c r="F385" s="18">
        <f t="shared" si="1"/>
        <v>5.4</v>
      </c>
      <c r="G385" s="17" t="str">
        <f>Github!H$384</f>
        <v>Algorithms</v>
      </c>
      <c r="H385" s="17" t="str">
        <f>Github!E$384</f>
        <v>Easy</v>
      </c>
      <c r="I385" s="17" t="str">
        <f>IF(TRIM(Github!D$384)="TRUE","FALSE","TRUE")</f>
        <v>TRUE</v>
      </c>
      <c r="J385" s="17"/>
      <c r="K385" s="17" t="str">
        <f>Github!L$384</f>
        <v>Hash Table;String;Counting;</v>
      </c>
      <c r="L385" s="17" t="b">
        <f>Github!M$384</f>
        <v>1</v>
      </c>
      <c r="M385" s="17" t="str">
        <f>ROUND(Github!N$384, 2)&amp;"%"</f>
        <v>0%</v>
      </c>
      <c r="N385" s="17">
        <f>Github!O$384</f>
        <v>55.64293241</v>
      </c>
      <c r="O385" s="17">
        <f>Github!P$384</f>
        <v>350094</v>
      </c>
    </row>
    <row r="386">
      <c r="A386" s="17">
        <f>Github!J$385</f>
        <v>384</v>
      </c>
      <c r="B386" s="27" t="str">
        <f>HYPERLINK(CONCAT("http://leetcode.com/problems/",Github!C$385), Github!B$385)</f>
        <v>Shuffle an Array</v>
      </c>
      <c r="C386" s="17">
        <f>Github!F$385</f>
        <v>697</v>
      </c>
      <c r="D386" s="17">
        <f>Github!G$385</f>
        <v>606</v>
      </c>
      <c r="E386" s="17">
        <f>Github!F$385+Github!G$385</f>
        <v>1303</v>
      </c>
      <c r="F386" s="18">
        <f t="shared" si="1"/>
        <v>1.15</v>
      </c>
      <c r="G386" s="17" t="str">
        <f>Github!H$385</f>
        <v>Algorithms</v>
      </c>
      <c r="H386" s="17" t="str">
        <f>Github!E$385</f>
        <v>Medium</v>
      </c>
      <c r="I386" s="17" t="str">
        <f>IF(TRIM(Github!D$385)="TRUE","FALSE","TRUE")</f>
        <v>TRUE</v>
      </c>
      <c r="J386" s="17"/>
      <c r="K386" s="17" t="str">
        <f>Github!L$385</f>
        <v>Array;Math;Randomized;</v>
      </c>
      <c r="L386" s="17" t="b">
        <f>Github!M$385</f>
        <v>1</v>
      </c>
      <c r="M386" s="17" t="str">
        <f>ROUND(Github!N$385, 2)&amp;"%"</f>
        <v>0%</v>
      </c>
      <c r="N386" s="17">
        <f>Github!O$385</f>
        <v>56.86511165</v>
      </c>
      <c r="O386" s="17">
        <f>Github!P$385</f>
        <v>251591</v>
      </c>
    </row>
    <row r="387">
      <c r="A387" s="17">
        <f>Github!J$386</f>
        <v>385</v>
      </c>
      <c r="B387" s="27" t="str">
        <f>HYPERLINK(CONCAT("http://leetcode.com/problems/",Github!C$386), Github!B$386)</f>
        <v>Mini Parser</v>
      </c>
      <c r="C387" s="17">
        <f>Github!F$386</f>
        <v>354</v>
      </c>
      <c r="D387" s="17">
        <f>Github!G$386</f>
        <v>1111</v>
      </c>
      <c r="E387" s="17">
        <f>Github!F$386+Github!G$386</f>
        <v>1465</v>
      </c>
      <c r="F387" s="18">
        <f t="shared" si="1"/>
        <v>0.32</v>
      </c>
      <c r="G387" s="17" t="str">
        <f>Github!H$386</f>
        <v>Algorithms</v>
      </c>
      <c r="H387" s="17" t="str">
        <f>Github!E$386</f>
        <v>Medium</v>
      </c>
      <c r="I387" s="17" t="str">
        <f>IF(TRIM(Github!D$386)="TRUE","FALSE","TRUE")</f>
        <v>TRUE</v>
      </c>
      <c r="J387" s="17"/>
      <c r="K387" s="17" t="str">
        <f>Github!L$386</f>
        <v>String;Stack;Depth-First Search;</v>
      </c>
      <c r="L387" s="17" t="b">
        <f>Github!M$386</f>
        <v>0</v>
      </c>
      <c r="M387" s="17" t="str">
        <f>ROUND(Github!N$386, 2)&amp;"%"</f>
        <v>0%</v>
      </c>
      <c r="N387" s="17">
        <f>Github!O$386</f>
        <v>35.72592441</v>
      </c>
      <c r="O387" s="17">
        <f>Github!P$386</f>
        <v>47139</v>
      </c>
    </row>
    <row r="388">
      <c r="A388" s="17">
        <f>Github!J$387</f>
        <v>386</v>
      </c>
      <c r="B388" s="27" t="str">
        <f>HYPERLINK(CONCAT("http://leetcode.com/problems/",Github!C$387), Github!B$387)</f>
        <v>Lexicographical Numbers</v>
      </c>
      <c r="C388" s="17">
        <f>Github!F$387</f>
        <v>1148</v>
      </c>
      <c r="D388" s="17">
        <f>Github!G$387</f>
        <v>112</v>
      </c>
      <c r="E388" s="17">
        <f>Github!F$387+Github!G$387</f>
        <v>1260</v>
      </c>
      <c r="F388" s="18">
        <f t="shared" si="1"/>
        <v>10.25</v>
      </c>
      <c r="G388" s="17" t="str">
        <f>Github!H$387</f>
        <v>Algorithms</v>
      </c>
      <c r="H388" s="17" t="str">
        <f>Github!E$387</f>
        <v>Medium</v>
      </c>
      <c r="I388" s="17" t="str">
        <f>IF(TRIM(Github!D$387)="TRUE","FALSE","TRUE")</f>
        <v>TRUE</v>
      </c>
      <c r="J388" s="17"/>
      <c r="K388" s="17" t="str">
        <f>Github!L$387</f>
        <v>Depth-First Search;Trie;</v>
      </c>
      <c r="L388" s="17" t="b">
        <f>Github!M$387</f>
        <v>0</v>
      </c>
      <c r="M388" s="17" t="str">
        <f>ROUND(Github!N$387, 2)&amp;"%"</f>
        <v>0%</v>
      </c>
      <c r="N388" s="17">
        <f>Github!O$387</f>
        <v>58.40331268</v>
      </c>
      <c r="O388" s="17">
        <f>Github!P$387</f>
        <v>80674</v>
      </c>
    </row>
    <row r="389">
      <c r="A389" s="17">
        <f>Github!J$388</f>
        <v>387</v>
      </c>
      <c r="B389" s="27" t="str">
        <f>HYPERLINK(CONCAT("http://leetcode.com/problems/",Github!C$388), Github!B$388)</f>
        <v>First Unique Character in a String</v>
      </c>
      <c r="C389" s="17">
        <f>Github!F$388</f>
        <v>4647</v>
      </c>
      <c r="D389" s="17">
        <f>Github!G$388</f>
        <v>187</v>
      </c>
      <c r="E389" s="17">
        <f>Github!F$388+Github!G$388</f>
        <v>4834</v>
      </c>
      <c r="F389" s="18">
        <f t="shared" si="1"/>
        <v>24.85</v>
      </c>
      <c r="G389" s="17" t="str">
        <f>Github!H$388</f>
        <v>Algorithms</v>
      </c>
      <c r="H389" s="17" t="str">
        <f>Github!E$388</f>
        <v>Easy</v>
      </c>
      <c r="I389" s="17" t="str">
        <f>IF(TRIM(Github!D$388)="TRUE","FALSE","TRUE")</f>
        <v>TRUE</v>
      </c>
      <c r="J389" s="17"/>
      <c r="K389" s="17" t="str">
        <f>Github!L$388</f>
        <v>Hash Table;String;Queue;Counting;</v>
      </c>
      <c r="L389" s="17" t="b">
        <f>Github!M$388</f>
        <v>1</v>
      </c>
      <c r="M389" s="17" t="str">
        <f>ROUND(Github!N$388, 2)&amp;"%"</f>
        <v>0%</v>
      </c>
      <c r="N389" s="17">
        <f>Github!O$388</f>
        <v>56.74742856</v>
      </c>
      <c r="O389" s="17">
        <f>Github!P$388</f>
        <v>993384</v>
      </c>
    </row>
    <row r="390">
      <c r="A390" s="17">
        <f>Github!J$389</f>
        <v>388</v>
      </c>
      <c r="B390" s="27" t="str">
        <f>HYPERLINK(CONCAT("http://leetcode.com/problems/",Github!C$389), Github!B$389)</f>
        <v>Longest Absolute File Path</v>
      </c>
      <c r="C390" s="17">
        <f>Github!F$389</f>
        <v>954</v>
      </c>
      <c r="D390" s="17">
        <f>Github!G$389</f>
        <v>2092</v>
      </c>
      <c r="E390" s="17">
        <f>Github!F$389+Github!G$389</f>
        <v>3046</v>
      </c>
      <c r="F390" s="18">
        <f t="shared" si="1"/>
        <v>0.46</v>
      </c>
      <c r="G390" s="17" t="str">
        <f>Github!H$389</f>
        <v>Algorithms</v>
      </c>
      <c r="H390" s="17" t="str">
        <f>Github!E$389</f>
        <v>Medium</v>
      </c>
      <c r="I390" s="17" t="str">
        <f>IF(TRIM(Github!D$389)="TRUE","FALSE","TRUE")</f>
        <v>TRUE</v>
      </c>
      <c r="J390" s="17"/>
      <c r="K390" s="17" t="str">
        <f>Github!L$389</f>
        <v>String;Stack;Depth-First Search;</v>
      </c>
      <c r="L390" s="17" t="b">
        <f>Github!M$389</f>
        <v>0</v>
      </c>
      <c r="M390" s="17" t="str">
        <f>ROUND(Github!N$389, 2)&amp;"%"</f>
        <v>0%</v>
      </c>
      <c r="N390" s="17">
        <f>Github!O$389</f>
        <v>45.67257066</v>
      </c>
      <c r="O390" s="17">
        <f>Github!P$389</f>
        <v>125345</v>
      </c>
    </row>
    <row r="391">
      <c r="A391" s="17">
        <f>Github!J$390</f>
        <v>389</v>
      </c>
      <c r="B391" s="27" t="str">
        <f>HYPERLINK(CONCAT("http://leetcode.com/problems/",Github!C$390), Github!B$390)</f>
        <v>Find the Difference</v>
      </c>
      <c r="C391" s="17">
        <f>Github!F$390</f>
        <v>2607</v>
      </c>
      <c r="D391" s="17">
        <f>Github!G$390</f>
        <v>373</v>
      </c>
      <c r="E391" s="17">
        <f>Github!F$390+Github!G$390</f>
        <v>2980</v>
      </c>
      <c r="F391" s="18">
        <f t="shared" si="1"/>
        <v>6.99</v>
      </c>
      <c r="G391" s="17" t="str">
        <f>Github!H$390</f>
        <v>Algorithms</v>
      </c>
      <c r="H391" s="17" t="str">
        <f>Github!E$390</f>
        <v>Easy</v>
      </c>
      <c r="I391" s="17" t="str">
        <f>IF(TRIM(Github!D$390)="TRUE","FALSE","TRUE")</f>
        <v>TRUE</v>
      </c>
      <c r="J391" s="17"/>
      <c r="K391" s="17" t="str">
        <f>Github!L$390</f>
        <v>Hash Table;String;Bit Manipulation;Sorting;</v>
      </c>
      <c r="L391" s="17" t="b">
        <f>Github!M$390</f>
        <v>1</v>
      </c>
      <c r="M391" s="17" t="str">
        <f>ROUND(Github!N$390, 2)&amp;"%"</f>
        <v>0%</v>
      </c>
      <c r="N391" s="17">
        <f>Github!O$390</f>
        <v>60.4817817</v>
      </c>
      <c r="O391" s="17">
        <f>Github!P$390</f>
        <v>373292</v>
      </c>
    </row>
    <row r="392">
      <c r="A392" s="17">
        <f>Github!J$391</f>
        <v>390</v>
      </c>
      <c r="B392" s="27" t="str">
        <f>HYPERLINK(CONCAT("http://leetcode.com/problems/",Github!C$391), Github!B$391)</f>
        <v>Elimination Game</v>
      </c>
      <c r="C392" s="17">
        <f>Github!F$391</f>
        <v>735</v>
      </c>
      <c r="D392" s="17">
        <f>Github!G$391</f>
        <v>489</v>
      </c>
      <c r="E392" s="17">
        <f>Github!F$391+Github!G$391</f>
        <v>1224</v>
      </c>
      <c r="F392" s="18">
        <f t="shared" si="1"/>
        <v>1.5</v>
      </c>
      <c r="G392" s="17" t="str">
        <f>Github!H$391</f>
        <v>Algorithms</v>
      </c>
      <c r="H392" s="17" t="str">
        <f>Github!E$391</f>
        <v>Medium</v>
      </c>
      <c r="I392" s="17" t="str">
        <f>IF(TRIM(Github!D$391)="TRUE","FALSE","TRUE")</f>
        <v>TRUE</v>
      </c>
      <c r="J392" s="17"/>
      <c r="K392" s="17" t="str">
        <f>Github!L$391</f>
        <v>Math;</v>
      </c>
      <c r="L392" s="17" t="b">
        <f>Github!M$391</f>
        <v>0</v>
      </c>
      <c r="M392" s="17" t="str">
        <f>ROUND(Github!N$391, 2)&amp;"%"</f>
        <v>0%</v>
      </c>
      <c r="N392" s="17">
        <f>Github!O$391</f>
        <v>46.30944898</v>
      </c>
      <c r="O392" s="17">
        <f>Github!P$391</f>
        <v>44207</v>
      </c>
    </row>
    <row r="393">
      <c r="A393" s="17">
        <f>Github!J$392</f>
        <v>391</v>
      </c>
      <c r="B393" s="27" t="str">
        <f>HYPERLINK(CONCAT("http://leetcode.com/problems/",Github!C$392), Github!B$392)</f>
        <v>Perfect Rectangle</v>
      </c>
      <c r="C393" s="17">
        <f>Github!F$392</f>
        <v>579</v>
      </c>
      <c r="D393" s="17">
        <f>Github!G$392</f>
        <v>96</v>
      </c>
      <c r="E393" s="17">
        <f>Github!F$392+Github!G$392</f>
        <v>675</v>
      </c>
      <c r="F393" s="18">
        <f t="shared" si="1"/>
        <v>6.03</v>
      </c>
      <c r="G393" s="17" t="str">
        <f>Github!H$392</f>
        <v>Algorithms</v>
      </c>
      <c r="H393" s="17" t="str">
        <f>Github!E$392</f>
        <v>Hard</v>
      </c>
      <c r="I393" s="17" t="str">
        <f>IF(TRIM(Github!D$392)="TRUE","FALSE","TRUE")</f>
        <v>TRUE</v>
      </c>
      <c r="J393" s="17"/>
      <c r="K393" s="17" t="str">
        <f>Github!L$392</f>
        <v>Array;Line Sweep;</v>
      </c>
      <c r="L393" s="17" t="b">
        <f>Github!M$392</f>
        <v>0</v>
      </c>
      <c r="M393" s="17" t="str">
        <f>ROUND(Github!N$392, 2)&amp;"%"</f>
        <v>0%</v>
      </c>
      <c r="N393" s="17">
        <f>Github!O$392</f>
        <v>32.0036593</v>
      </c>
      <c r="O393" s="17">
        <f>Github!P$392</f>
        <v>33583</v>
      </c>
    </row>
    <row r="394">
      <c r="A394" s="17">
        <f>Github!J$393</f>
        <v>392</v>
      </c>
      <c r="B394" s="27" t="str">
        <f>HYPERLINK(CONCAT("http://leetcode.com/problems/",Github!C$393), Github!B$393)</f>
        <v>Is Subsequence</v>
      </c>
      <c r="C394" s="17">
        <f>Github!F$393</f>
        <v>4488</v>
      </c>
      <c r="D394" s="17">
        <f>Github!G$393</f>
        <v>280</v>
      </c>
      <c r="E394" s="17">
        <f>Github!F$393+Github!G$393</f>
        <v>4768</v>
      </c>
      <c r="F394" s="18">
        <f t="shared" si="1"/>
        <v>16.03</v>
      </c>
      <c r="G394" s="17" t="str">
        <f>Github!H$393</f>
        <v>Algorithms</v>
      </c>
      <c r="H394" s="17" t="str">
        <f>Github!E$393</f>
        <v>Easy</v>
      </c>
      <c r="I394" s="17" t="str">
        <f>IF(TRIM(Github!D$393)="TRUE","FALSE","TRUE")</f>
        <v>TRUE</v>
      </c>
      <c r="J394" s="17"/>
      <c r="K394" s="17" t="str">
        <f>Github!L$393</f>
        <v>Two Pointers;String;Dynamic Programming;</v>
      </c>
      <c r="L394" s="17" t="b">
        <f>Github!M$393</f>
        <v>1</v>
      </c>
      <c r="M394" s="17" t="str">
        <f>ROUND(Github!N$393, 2)&amp;"%"</f>
        <v>0%</v>
      </c>
      <c r="N394" s="17">
        <f>Github!O$393</f>
        <v>50.93994537</v>
      </c>
      <c r="O394" s="17">
        <f>Github!P$393</f>
        <v>442008</v>
      </c>
    </row>
    <row r="395">
      <c r="A395" s="17">
        <f>Github!J$394</f>
        <v>393</v>
      </c>
      <c r="B395" s="27" t="str">
        <f>HYPERLINK(CONCAT("http://leetcode.com/problems/",Github!C$394), Github!B$394)</f>
        <v>UTF-8 Validation</v>
      </c>
      <c r="C395" s="17">
        <f>Github!F$394</f>
        <v>359</v>
      </c>
      <c r="D395" s="17">
        <f>Github!G$394</f>
        <v>1489</v>
      </c>
      <c r="E395" s="17">
        <f>Github!F$394+Github!G$394</f>
        <v>1848</v>
      </c>
      <c r="F395" s="18">
        <f t="shared" si="1"/>
        <v>0.24</v>
      </c>
      <c r="G395" s="17" t="str">
        <f>Github!H$394</f>
        <v>Algorithms</v>
      </c>
      <c r="H395" s="17" t="str">
        <f>Github!E$394</f>
        <v>Medium</v>
      </c>
      <c r="I395" s="17" t="str">
        <f>IF(TRIM(Github!D$394)="TRUE","FALSE","TRUE")</f>
        <v>TRUE</v>
      </c>
      <c r="J395" s="17"/>
      <c r="K395" s="17" t="str">
        <f>Github!L$394</f>
        <v>Array;Bit Manipulation;</v>
      </c>
      <c r="L395" s="17" t="b">
        <f>Github!M$394</f>
        <v>1</v>
      </c>
      <c r="M395" s="17" t="str">
        <f>ROUND(Github!N$394, 2)&amp;"%"</f>
        <v>0%</v>
      </c>
      <c r="N395" s="17">
        <f>Github!O$394</f>
        <v>39.09209263</v>
      </c>
      <c r="O395" s="17">
        <f>Github!P$394</f>
        <v>66359</v>
      </c>
    </row>
    <row r="396">
      <c r="A396" s="17">
        <f>Github!J$395</f>
        <v>394</v>
      </c>
      <c r="B396" s="27" t="str">
        <f>HYPERLINK(CONCAT("http://leetcode.com/problems/",Github!C$395), Github!B$395)</f>
        <v>Decode String</v>
      </c>
      <c r="C396" s="17">
        <f>Github!F$395</f>
        <v>7682</v>
      </c>
      <c r="D396" s="17">
        <f>Github!G$395</f>
        <v>326</v>
      </c>
      <c r="E396" s="17">
        <f>Github!F$395+Github!G$395</f>
        <v>8008</v>
      </c>
      <c r="F396" s="18">
        <f t="shared" si="1"/>
        <v>23.56</v>
      </c>
      <c r="G396" s="17" t="str">
        <f>Github!H$395</f>
        <v>Algorithms</v>
      </c>
      <c r="H396" s="17" t="str">
        <f>Github!E$395</f>
        <v>Medium</v>
      </c>
      <c r="I396" s="17" t="str">
        <f>IF(TRIM(Github!D$395)="TRUE","FALSE","TRUE")</f>
        <v>TRUE</v>
      </c>
      <c r="J396" s="17"/>
      <c r="K396" s="17" t="str">
        <f>Github!L$395</f>
        <v>String;Stack;Recursion;</v>
      </c>
      <c r="L396" s="17" t="b">
        <f>Github!M$395</f>
        <v>1</v>
      </c>
      <c r="M396" s="17" t="str">
        <f>ROUND(Github!N$395, 2)&amp;"%"</f>
        <v>0%</v>
      </c>
      <c r="N396" s="17">
        <f>Github!O$395</f>
        <v>56.0253756</v>
      </c>
      <c r="O396" s="17">
        <f>Github!P$395</f>
        <v>463551</v>
      </c>
    </row>
    <row r="397">
      <c r="A397" s="17">
        <f>Github!J$396</f>
        <v>395</v>
      </c>
      <c r="B397" s="27" t="str">
        <f>HYPERLINK(CONCAT("http://leetcode.com/problems/",Github!C$396), Github!B$396)</f>
        <v>Longest Substring with At Least K Repeating Characters</v>
      </c>
      <c r="C397" s="17">
        <f>Github!F$396</f>
        <v>3717</v>
      </c>
      <c r="D397" s="17">
        <f>Github!G$396</f>
        <v>315</v>
      </c>
      <c r="E397" s="17">
        <f>Github!F$396+Github!G$396</f>
        <v>4032</v>
      </c>
      <c r="F397" s="18">
        <f t="shared" si="1"/>
        <v>11.8</v>
      </c>
      <c r="G397" s="17" t="str">
        <f>Github!H$396</f>
        <v>Algorithms</v>
      </c>
      <c r="H397" s="17" t="str">
        <f>Github!E$396</f>
        <v>Medium</v>
      </c>
      <c r="I397" s="17" t="str">
        <f>IF(TRIM(Github!D$396)="TRUE","FALSE","TRUE")</f>
        <v>TRUE</v>
      </c>
      <c r="J397" s="17"/>
      <c r="K397" s="17" t="str">
        <f>Github!L$396</f>
        <v>Hash Table;String;Divide and Conquer;Sliding Window;</v>
      </c>
      <c r="L397" s="17" t="b">
        <f>Github!M$396</f>
        <v>1</v>
      </c>
      <c r="M397" s="17" t="str">
        <f>ROUND(Github!N$396, 2)&amp;"%"</f>
        <v>0%</v>
      </c>
      <c r="N397" s="17">
        <f>Github!O$396</f>
        <v>44.48864392</v>
      </c>
      <c r="O397" s="17">
        <f>Github!P$396</f>
        <v>150533</v>
      </c>
    </row>
    <row r="398">
      <c r="A398" s="17">
        <f>Github!J$397</f>
        <v>396</v>
      </c>
      <c r="B398" s="27" t="str">
        <f>HYPERLINK(CONCAT("http://leetcode.com/problems/",Github!C$397), Github!B$397)</f>
        <v>Rotate Function</v>
      </c>
      <c r="C398" s="17">
        <f>Github!F$397</f>
        <v>783</v>
      </c>
      <c r="D398" s="17">
        <f>Github!G$397</f>
        <v>206</v>
      </c>
      <c r="E398" s="17">
        <f>Github!F$397+Github!G$397</f>
        <v>989</v>
      </c>
      <c r="F398" s="18">
        <f t="shared" si="1"/>
        <v>3.8</v>
      </c>
      <c r="G398" s="17" t="str">
        <f>Github!H$397</f>
        <v>Algorithms</v>
      </c>
      <c r="H398" s="17" t="str">
        <f>Github!E$397</f>
        <v>Medium</v>
      </c>
      <c r="I398" s="17" t="str">
        <f>IF(TRIM(Github!D$397)="TRUE","FALSE","TRUE")</f>
        <v>TRUE</v>
      </c>
      <c r="J398" s="17"/>
      <c r="K398" s="17" t="str">
        <f>Github!L$397</f>
        <v>Math;Dynamic Programming;</v>
      </c>
      <c r="L398" s="17" t="b">
        <f>Github!M$397</f>
        <v>0</v>
      </c>
      <c r="M398" s="17" t="str">
        <f>ROUND(Github!N$397, 2)&amp;"%"</f>
        <v>0%</v>
      </c>
      <c r="N398" s="17">
        <f>Github!O$397</f>
        <v>38.94950953</v>
      </c>
      <c r="O398" s="17">
        <f>Github!P$397</f>
        <v>59360</v>
      </c>
    </row>
    <row r="399">
      <c r="A399" s="17">
        <f>Github!J$398</f>
        <v>397</v>
      </c>
      <c r="B399" s="27" t="str">
        <f>HYPERLINK(CONCAT("http://leetcode.com/problems/",Github!C$398), Github!B$398)</f>
        <v>Integer Replacement</v>
      </c>
      <c r="C399" s="17">
        <f>Github!F$398</f>
        <v>777</v>
      </c>
      <c r="D399" s="17">
        <f>Github!G$398</f>
        <v>415</v>
      </c>
      <c r="E399" s="17">
        <f>Github!F$398+Github!G$398</f>
        <v>1192</v>
      </c>
      <c r="F399" s="18">
        <f t="shared" si="1"/>
        <v>1.87</v>
      </c>
      <c r="G399" s="17" t="str">
        <f>Github!H$398</f>
        <v>Algorithms</v>
      </c>
      <c r="H399" s="17" t="str">
        <f>Github!E$398</f>
        <v>Medium</v>
      </c>
      <c r="I399" s="17" t="str">
        <f>IF(TRIM(Github!D$398)="TRUE","FALSE","TRUE")</f>
        <v>TRUE</v>
      </c>
      <c r="J399" s="17"/>
      <c r="K399" s="17" t="str">
        <f>Github!L$398</f>
        <v>Dynamic Programming;Greedy;Bit Manipulation;Memoization;</v>
      </c>
      <c r="L399" s="17" t="b">
        <f>Github!M$398</f>
        <v>0</v>
      </c>
      <c r="M399" s="17" t="str">
        <f>ROUND(Github!N$398, 2)&amp;"%"</f>
        <v>0%</v>
      </c>
      <c r="N399" s="17">
        <f>Github!O$398</f>
        <v>34.58796655</v>
      </c>
      <c r="O399" s="17">
        <f>Github!P$398</f>
        <v>79038</v>
      </c>
    </row>
    <row r="400">
      <c r="A400" s="17">
        <f>Github!J$399</f>
        <v>398</v>
      </c>
      <c r="B400" s="27" t="str">
        <f>HYPERLINK(CONCAT("http://leetcode.com/problems/",Github!C$399), Github!B$399)</f>
        <v>Random Pick Index</v>
      </c>
      <c r="C400" s="17">
        <f>Github!F$399</f>
        <v>927</v>
      </c>
      <c r="D400" s="17">
        <f>Github!G$399</f>
        <v>1003</v>
      </c>
      <c r="E400" s="17">
        <f>Github!F$399+Github!G$399</f>
        <v>1930</v>
      </c>
      <c r="F400" s="18">
        <f t="shared" si="1"/>
        <v>0.92</v>
      </c>
      <c r="G400" s="17" t="str">
        <f>Github!H$399</f>
        <v>Algorithms</v>
      </c>
      <c r="H400" s="17" t="str">
        <f>Github!E$399</f>
        <v>Medium</v>
      </c>
      <c r="I400" s="17" t="str">
        <f>IF(TRIM(Github!D$399)="TRUE","FALSE","TRUE")</f>
        <v>TRUE</v>
      </c>
      <c r="J400" s="17"/>
      <c r="K400" s="17" t="str">
        <f>Github!L$399</f>
        <v>Hash Table;Math;Reservoir Sampling;Randomized;</v>
      </c>
      <c r="L400" s="17" t="b">
        <f>Github!M$399</f>
        <v>1</v>
      </c>
      <c r="M400" s="17" t="str">
        <f>ROUND(Github!N$399, 2)&amp;"%"</f>
        <v>0%</v>
      </c>
      <c r="N400" s="17">
        <f>Github!O$399</f>
        <v>63.2297528</v>
      </c>
      <c r="O400" s="17">
        <f>Github!P$399</f>
        <v>162596</v>
      </c>
    </row>
    <row r="401">
      <c r="A401" s="17">
        <f>Github!J$400</f>
        <v>399</v>
      </c>
      <c r="B401" s="27" t="str">
        <f>HYPERLINK(CONCAT("http://leetcode.com/problems/",Github!C$400), Github!B$400)</f>
        <v>Evaluate Division</v>
      </c>
      <c r="C401" s="17">
        <f>Github!F$400</f>
        <v>4743</v>
      </c>
      <c r="D401" s="17">
        <f>Github!G$400</f>
        <v>398</v>
      </c>
      <c r="E401" s="17">
        <f>Github!F$400+Github!G$400</f>
        <v>5141</v>
      </c>
      <c r="F401" s="18">
        <f t="shared" si="1"/>
        <v>11.92</v>
      </c>
      <c r="G401" s="17" t="str">
        <f>Github!H$400</f>
        <v>Algorithms</v>
      </c>
      <c r="H401" s="17" t="str">
        <f>Github!E$400</f>
        <v>Medium</v>
      </c>
      <c r="I401" s="17" t="str">
        <f>IF(TRIM(Github!D$400)="TRUE","FALSE","TRUE")</f>
        <v>TRUE</v>
      </c>
      <c r="J401" s="17"/>
      <c r="K401" s="17" t="str">
        <f>Github!L$400</f>
        <v>Array;Depth-First Search;Breadth-First Search;Union Find;Graph;Shortest Path;</v>
      </c>
      <c r="L401" s="17" t="b">
        <f>Github!M$400</f>
        <v>1</v>
      </c>
      <c r="M401" s="17" t="str">
        <f>ROUND(Github!N$400, 2)&amp;"%"</f>
        <v>0%</v>
      </c>
      <c r="N401" s="17">
        <f>Github!O$400</f>
        <v>56.80807418</v>
      </c>
      <c r="O401" s="17">
        <f>Github!P$400</f>
        <v>238990</v>
      </c>
    </row>
    <row r="402">
      <c r="A402" s="17">
        <f>Github!J$401</f>
        <v>400</v>
      </c>
      <c r="B402" s="27" t="str">
        <f>HYPERLINK(CONCAT("http://leetcode.com/problems/",Github!C$401), Github!B$401)</f>
        <v>Nth Digit</v>
      </c>
      <c r="C402" s="17">
        <f>Github!F$401</f>
        <v>638</v>
      </c>
      <c r="D402" s="17">
        <f>Github!G$401</f>
        <v>1463</v>
      </c>
      <c r="E402" s="17">
        <f>Github!F$401+Github!G$401</f>
        <v>2101</v>
      </c>
      <c r="F402" s="18">
        <f t="shared" si="1"/>
        <v>0.44</v>
      </c>
      <c r="G402" s="17" t="str">
        <f>Github!H$401</f>
        <v>Algorithms</v>
      </c>
      <c r="H402" s="17" t="str">
        <f>Github!E$401</f>
        <v>Medium</v>
      </c>
      <c r="I402" s="17" t="str">
        <f>IF(TRIM(Github!D$401)="TRUE","FALSE","TRUE")</f>
        <v>TRUE</v>
      </c>
      <c r="J402" s="17"/>
      <c r="K402" s="17" t="str">
        <f>Github!L$401</f>
        <v>Math;Binary Search;</v>
      </c>
      <c r="L402" s="17" t="b">
        <f>Github!M$401</f>
        <v>0</v>
      </c>
      <c r="M402" s="17" t="str">
        <f>ROUND(Github!N$401, 2)&amp;"%"</f>
        <v>0%</v>
      </c>
      <c r="N402" s="17">
        <f>Github!O$401</f>
        <v>33.40574746</v>
      </c>
      <c r="O402" s="17">
        <f>Github!P$401</f>
        <v>74117</v>
      </c>
    </row>
    <row r="403">
      <c r="A403" s="17">
        <f>Github!J$402</f>
        <v>401</v>
      </c>
      <c r="B403" s="27" t="str">
        <f>HYPERLINK(CONCAT("http://leetcode.com/problems/",Github!C$402), Github!B$402)</f>
        <v>Binary Watch</v>
      </c>
      <c r="C403" s="17">
        <f>Github!F$402</f>
        <v>907</v>
      </c>
      <c r="D403" s="17">
        <f>Github!G$402</f>
        <v>1707</v>
      </c>
      <c r="E403" s="17">
        <f>Github!F$402+Github!G$402</f>
        <v>2614</v>
      </c>
      <c r="F403" s="18">
        <f t="shared" si="1"/>
        <v>0.53</v>
      </c>
      <c r="G403" s="17" t="str">
        <f>Github!H$402</f>
        <v>Algorithms</v>
      </c>
      <c r="H403" s="17" t="str">
        <f>Github!E$402</f>
        <v>Easy</v>
      </c>
      <c r="I403" s="17" t="str">
        <f>IF(TRIM(Github!D$402)="TRUE","FALSE","TRUE")</f>
        <v>TRUE</v>
      </c>
      <c r="J403" s="17"/>
      <c r="K403" s="17" t="str">
        <f>Github!L$402</f>
        <v>Backtracking;Bit Manipulation;</v>
      </c>
      <c r="L403" s="17" t="b">
        <f>Github!M$402</f>
        <v>0</v>
      </c>
      <c r="M403" s="17" t="str">
        <f>ROUND(Github!N$402, 2)&amp;"%"</f>
        <v>0%</v>
      </c>
      <c r="N403" s="17">
        <f>Github!O$402</f>
        <v>50.2700228</v>
      </c>
      <c r="O403" s="17">
        <f>Github!P$402</f>
        <v>107606</v>
      </c>
    </row>
    <row r="404">
      <c r="A404" s="17">
        <f>Github!J$403</f>
        <v>402</v>
      </c>
      <c r="B404" s="27" t="str">
        <f>HYPERLINK(CONCAT("http://leetcode.com/problems/",Github!C$403), Github!B$403)</f>
        <v>Remove K Digits</v>
      </c>
      <c r="C404" s="17">
        <f>Github!F$403</f>
        <v>5830</v>
      </c>
      <c r="D404" s="17">
        <f>Github!G$403</f>
        <v>243</v>
      </c>
      <c r="E404" s="17">
        <f>Github!F$403+Github!G$403</f>
        <v>6073</v>
      </c>
      <c r="F404" s="18">
        <f t="shared" si="1"/>
        <v>23.99</v>
      </c>
      <c r="G404" s="17" t="str">
        <f>Github!H$403</f>
        <v>Algorithms</v>
      </c>
      <c r="H404" s="17" t="str">
        <f>Github!E$403</f>
        <v>Medium</v>
      </c>
      <c r="I404" s="17" t="str">
        <f>IF(TRIM(Github!D$403)="TRUE","FALSE","TRUE")</f>
        <v>TRUE</v>
      </c>
      <c r="J404" s="17"/>
      <c r="K404" s="17" t="str">
        <f>Github!L$403</f>
        <v>String;Stack;Greedy;Monotonic Stack;</v>
      </c>
      <c r="L404" s="17" t="b">
        <f>Github!M$403</f>
        <v>1</v>
      </c>
      <c r="M404" s="17" t="str">
        <f>ROUND(Github!N$403, 2)&amp;"%"</f>
        <v>0%</v>
      </c>
      <c r="N404" s="17">
        <f>Github!O$403</f>
        <v>30.472488</v>
      </c>
      <c r="O404" s="17">
        <f>Github!P$403</f>
        <v>253412</v>
      </c>
    </row>
    <row r="405">
      <c r="A405" s="17">
        <f>Github!J$404</f>
        <v>403</v>
      </c>
      <c r="B405" s="27" t="str">
        <f>HYPERLINK(CONCAT("http://leetcode.com/problems/",Github!C$404), Github!B$404)</f>
        <v>Frog Jump</v>
      </c>
      <c r="C405" s="17">
        <f>Github!F$404</f>
        <v>2333</v>
      </c>
      <c r="D405" s="17">
        <f>Github!G$404</f>
        <v>158</v>
      </c>
      <c r="E405" s="17">
        <f>Github!F$404+Github!G$404</f>
        <v>2491</v>
      </c>
      <c r="F405" s="18">
        <f t="shared" si="1"/>
        <v>14.77</v>
      </c>
      <c r="G405" s="17" t="str">
        <f>Github!H$404</f>
        <v>Algorithms</v>
      </c>
      <c r="H405" s="17" t="str">
        <f>Github!E$404</f>
        <v>Hard</v>
      </c>
      <c r="I405" s="17" t="str">
        <f>IF(TRIM(Github!D$404)="TRUE","FALSE","TRUE")</f>
        <v>TRUE</v>
      </c>
      <c r="J405" s="17"/>
      <c r="K405" s="17" t="str">
        <f>Github!L$404</f>
        <v>Array;Dynamic Programming;</v>
      </c>
      <c r="L405" s="17" t="b">
        <f>Github!M$404</f>
        <v>1</v>
      </c>
      <c r="M405" s="17" t="str">
        <f>ROUND(Github!N$404, 2)&amp;"%"</f>
        <v>0%</v>
      </c>
      <c r="N405" s="17">
        <f>Github!O$404</f>
        <v>42.81101713</v>
      </c>
      <c r="O405" s="17">
        <f>Github!P$404</f>
        <v>148502</v>
      </c>
    </row>
    <row r="406">
      <c r="A406" s="17">
        <f>Github!J$405</f>
        <v>404</v>
      </c>
      <c r="B406" s="27" t="str">
        <f>HYPERLINK(CONCAT("http://leetcode.com/problems/",Github!C$405), Github!B$405)</f>
        <v>Sum of Left Leaves</v>
      </c>
      <c r="C406" s="17">
        <f>Github!F$405</f>
        <v>3108</v>
      </c>
      <c r="D406" s="17">
        <f>Github!G$405</f>
        <v>240</v>
      </c>
      <c r="E406" s="17">
        <f>Github!F$405+Github!G$405</f>
        <v>3348</v>
      </c>
      <c r="F406" s="18">
        <f t="shared" si="1"/>
        <v>12.95</v>
      </c>
      <c r="G406" s="17" t="str">
        <f>Github!H$405</f>
        <v>Algorithms</v>
      </c>
      <c r="H406" s="17" t="str">
        <f>Github!E$405</f>
        <v>Easy</v>
      </c>
      <c r="I406" s="17" t="str">
        <f>IF(TRIM(Github!D$405)="TRUE","FALSE","TRUE")</f>
        <v>TRUE</v>
      </c>
      <c r="J406" s="17"/>
      <c r="K406" s="17" t="str">
        <f>Github!L$405</f>
        <v>Tree;Depth-First Search;Breadth-First Search;Binary Tree;</v>
      </c>
      <c r="L406" s="17" t="b">
        <f>Github!M$405</f>
        <v>1</v>
      </c>
      <c r="M406" s="17" t="str">
        <f>ROUND(Github!N$405, 2)&amp;"%"</f>
        <v>0%</v>
      </c>
      <c r="N406" s="17">
        <f>Github!O$405</f>
        <v>54.73402001</v>
      </c>
      <c r="O406" s="17">
        <f>Github!P$405</f>
        <v>331957</v>
      </c>
    </row>
    <row r="407">
      <c r="A407" s="17">
        <f>Github!J$406</f>
        <v>405</v>
      </c>
      <c r="B407" s="27" t="str">
        <f>HYPERLINK(CONCAT("http://leetcode.com/problems/",Github!C$406), Github!B$406)</f>
        <v>Convert a Number to Hexadecimal</v>
      </c>
      <c r="C407" s="17">
        <f>Github!F$406</f>
        <v>836</v>
      </c>
      <c r="D407" s="17">
        <f>Github!G$406</f>
        <v>164</v>
      </c>
      <c r="E407" s="17">
        <f>Github!F$406+Github!G$406</f>
        <v>1000</v>
      </c>
      <c r="F407" s="18">
        <f t="shared" si="1"/>
        <v>5.1</v>
      </c>
      <c r="G407" s="17" t="str">
        <f>Github!H$406</f>
        <v>Algorithms</v>
      </c>
      <c r="H407" s="17" t="str">
        <f>Github!E$406</f>
        <v>Easy</v>
      </c>
      <c r="I407" s="17" t="str">
        <f>IF(TRIM(Github!D$406)="TRUE","FALSE","TRUE")</f>
        <v>TRUE</v>
      </c>
      <c r="J407" s="17"/>
      <c r="K407" s="17" t="str">
        <f>Github!L$406</f>
        <v>Math;Bit Manipulation;</v>
      </c>
      <c r="L407" s="17" t="b">
        <f>Github!M$406</f>
        <v>0</v>
      </c>
      <c r="M407" s="17" t="str">
        <f>ROUND(Github!N$406, 2)&amp;"%"</f>
        <v>0%</v>
      </c>
      <c r="N407" s="17">
        <f>Github!O$406</f>
        <v>45.65478746</v>
      </c>
      <c r="O407" s="17">
        <f>Github!P$406</f>
        <v>95695</v>
      </c>
    </row>
    <row r="408">
      <c r="A408" s="17">
        <f>Github!J$407</f>
        <v>406</v>
      </c>
      <c r="B408" s="27" t="str">
        <f>HYPERLINK(CONCAT("http://leetcode.com/problems/",Github!C$407), Github!B$407)</f>
        <v>Queue Reconstruction by Height</v>
      </c>
      <c r="C408" s="17">
        <f>Github!F$407</f>
        <v>4726</v>
      </c>
      <c r="D408" s="17">
        <f>Github!G$407</f>
        <v>508</v>
      </c>
      <c r="E408" s="17">
        <f>Github!F$407+Github!G$407</f>
        <v>5234</v>
      </c>
      <c r="F408" s="18">
        <f t="shared" si="1"/>
        <v>9.3</v>
      </c>
      <c r="G408" s="17" t="str">
        <f>Github!H$407</f>
        <v>Algorithms</v>
      </c>
      <c r="H408" s="17" t="str">
        <f>Github!E$407</f>
        <v>Medium</v>
      </c>
      <c r="I408" s="17" t="str">
        <f>IF(TRIM(Github!D$407)="TRUE","FALSE","TRUE")</f>
        <v>TRUE</v>
      </c>
      <c r="J408" s="17"/>
      <c r="K408" s="17" t="str">
        <f>Github!L$407</f>
        <v>Array;Greedy;Sorting;</v>
      </c>
      <c r="L408" s="17" t="b">
        <f>Github!M$407</f>
        <v>1</v>
      </c>
      <c r="M408" s="17" t="str">
        <f>ROUND(Github!N$407, 2)&amp;"%"</f>
        <v>0%</v>
      </c>
      <c r="N408" s="17">
        <f>Github!O$407</f>
        <v>69.93157161</v>
      </c>
      <c r="O408" s="17">
        <f>Github!P$407</f>
        <v>218189</v>
      </c>
    </row>
    <row r="409">
      <c r="A409" s="17">
        <f>Github!J$408</f>
        <v>407</v>
      </c>
      <c r="B409" s="27" t="str">
        <f>HYPERLINK(CONCAT("http://leetcode.com/problems/",Github!C$408), Github!B$408)</f>
        <v>Trapping Rain Water II</v>
      </c>
      <c r="C409" s="17">
        <f>Github!F$408</f>
        <v>2576</v>
      </c>
      <c r="D409" s="17">
        <f>Github!G$408</f>
        <v>57</v>
      </c>
      <c r="E409" s="17">
        <f>Github!F$408+Github!G$408</f>
        <v>2633</v>
      </c>
      <c r="F409" s="18">
        <f t="shared" si="1"/>
        <v>45.19</v>
      </c>
      <c r="G409" s="17" t="str">
        <f>Github!H$408</f>
        <v>Algorithms</v>
      </c>
      <c r="H409" s="17" t="str">
        <f>Github!E$408</f>
        <v>Hard</v>
      </c>
      <c r="I409" s="17" t="str">
        <f>IF(TRIM(Github!D$408)="TRUE","FALSE","TRUE")</f>
        <v>TRUE</v>
      </c>
      <c r="J409" s="17"/>
      <c r="K409" s="17" t="str">
        <f>Github!L$408</f>
        <v>Array;Breadth-First Search;Heap (Priority Queue);Matrix;</v>
      </c>
      <c r="L409" s="17" t="b">
        <f>Github!M$408</f>
        <v>0</v>
      </c>
      <c r="M409" s="17" t="str">
        <f>ROUND(Github!N$408, 2)&amp;"%"</f>
        <v>0%</v>
      </c>
      <c r="N409" s="17">
        <f>Github!O$408</f>
        <v>46.74594078</v>
      </c>
      <c r="O409" s="17">
        <f>Github!P$408</f>
        <v>66476</v>
      </c>
    </row>
    <row r="410">
      <c r="A410" s="17">
        <f>Github!J$409</f>
        <v>408</v>
      </c>
      <c r="B410" s="27" t="str">
        <f>HYPERLINK(CONCAT("http://leetcode.com/problems/",Github!C$409), Github!B$409)</f>
        <v>Valid Word Abbreviation</v>
      </c>
      <c r="C410" s="17">
        <f>Github!F$409</f>
        <v>404</v>
      </c>
      <c r="D410" s="17">
        <f>Github!G$409</f>
        <v>1474</v>
      </c>
      <c r="E410" s="17">
        <f>Github!F$409+Github!G$409</f>
        <v>1878</v>
      </c>
      <c r="F410" s="18">
        <f t="shared" si="1"/>
        <v>0.27</v>
      </c>
      <c r="G410" s="17" t="str">
        <f>Github!H$409</f>
        <v>Algorithms</v>
      </c>
      <c r="H410" s="17" t="str">
        <f>Github!E$409</f>
        <v>Easy</v>
      </c>
      <c r="I410" s="17" t="str">
        <f>IF(TRIM(Github!D$409)="TRUE","FALSE","TRUE")</f>
        <v>FALSE</v>
      </c>
      <c r="J410" s="17"/>
      <c r="K410" s="17" t="str">
        <f>Github!L$409</f>
        <v>Two Pointers;String;</v>
      </c>
      <c r="L410" s="17" t="b">
        <f>Github!M$409</f>
        <v>0</v>
      </c>
      <c r="M410" s="17" t="str">
        <f>ROUND(Github!N$409, 2)&amp;"%"</f>
        <v>0%</v>
      </c>
      <c r="N410" s="17">
        <f>Github!O$409</f>
        <v>34.33235447</v>
      </c>
      <c r="O410" s="17">
        <f>Github!P$409</f>
        <v>83474</v>
      </c>
    </row>
    <row r="411">
      <c r="A411" s="17">
        <f>Github!J$410</f>
        <v>409</v>
      </c>
      <c r="B411" s="27" t="str">
        <f>HYPERLINK(CONCAT("http://leetcode.com/problems/",Github!C$410), Github!B$410)</f>
        <v>Longest Palindrome</v>
      </c>
      <c r="C411" s="17">
        <f>Github!F$410</f>
        <v>2479</v>
      </c>
      <c r="D411" s="17">
        <f>Github!G$410</f>
        <v>146</v>
      </c>
      <c r="E411" s="17">
        <f>Github!F$410+Github!G$410</f>
        <v>2625</v>
      </c>
      <c r="F411" s="18">
        <f t="shared" si="1"/>
        <v>16.98</v>
      </c>
      <c r="G411" s="17" t="str">
        <f>Github!H$410</f>
        <v>Algorithms</v>
      </c>
      <c r="H411" s="17" t="str">
        <f>Github!E$410</f>
        <v>Easy</v>
      </c>
      <c r="I411" s="17" t="str">
        <f>IF(TRIM(Github!D$410)="TRUE","FALSE","TRUE")</f>
        <v>TRUE</v>
      </c>
      <c r="J411" s="17"/>
      <c r="K411" s="17" t="str">
        <f>Github!L$410</f>
        <v>Hash Table;String;Greedy;</v>
      </c>
      <c r="L411" s="17" t="b">
        <f>Github!M$410</f>
        <v>1</v>
      </c>
      <c r="M411" s="17" t="str">
        <f>ROUND(Github!N$410, 2)&amp;"%"</f>
        <v>0%</v>
      </c>
      <c r="N411" s="17">
        <f>Github!O$410</f>
        <v>53.36185768</v>
      </c>
      <c r="O411" s="17">
        <f>Github!P$410</f>
        <v>257789</v>
      </c>
    </row>
    <row r="412">
      <c r="A412" s="17">
        <f>Github!J$411</f>
        <v>410</v>
      </c>
      <c r="B412" s="27" t="str">
        <f>HYPERLINK(CONCAT("http://leetcode.com/problems/",Github!C$411), Github!B$411)</f>
        <v>Split Array Largest Sum</v>
      </c>
      <c r="C412" s="17">
        <f>Github!F$411</f>
        <v>4474</v>
      </c>
      <c r="D412" s="17">
        <f>Github!G$411</f>
        <v>128</v>
      </c>
      <c r="E412" s="17">
        <f>Github!F$411+Github!G$411</f>
        <v>4602</v>
      </c>
      <c r="F412" s="18">
        <f t="shared" si="1"/>
        <v>34.95</v>
      </c>
      <c r="G412" s="17" t="str">
        <f>Github!H$411</f>
        <v>Algorithms</v>
      </c>
      <c r="H412" s="17" t="str">
        <f>Github!E$411</f>
        <v>Hard</v>
      </c>
      <c r="I412" s="17" t="str">
        <f>IF(TRIM(Github!D$411)="TRUE","FALSE","TRUE")</f>
        <v>TRUE</v>
      </c>
      <c r="J412" s="17"/>
      <c r="K412" s="17" t="str">
        <f>Github!L$411</f>
        <v>Array;Binary Search;Dynamic Programming;Greedy;</v>
      </c>
      <c r="L412" s="17" t="b">
        <f>Github!M$411</f>
        <v>1</v>
      </c>
      <c r="M412" s="17" t="str">
        <f>ROUND(Github!N$411, 2)&amp;"%"</f>
        <v>0%</v>
      </c>
      <c r="N412" s="17">
        <f>Github!O$411</f>
        <v>49.97761303</v>
      </c>
      <c r="O412" s="17">
        <f>Github!P$411</f>
        <v>171893</v>
      </c>
    </row>
    <row r="413">
      <c r="A413" s="17">
        <f>Github!J$412</f>
        <v>411</v>
      </c>
      <c r="B413" s="27" t="str">
        <f>HYPERLINK(CONCAT("http://leetcode.com/problems/",Github!C$412), Github!B$412)</f>
        <v>Minimum Unique Word Abbreviation</v>
      </c>
      <c r="C413" s="17">
        <f>Github!F$412</f>
        <v>163</v>
      </c>
      <c r="D413" s="17">
        <f>Github!G$412</f>
        <v>135</v>
      </c>
      <c r="E413" s="17">
        <f>Github!F$412+Github!G$412</f>
        <v>298</v>
      </c>
      <c r="F413" s="18">
        <f t="shared" si="1"/>
        <v>1.21</v>
      </c>
      <c r="G413" s="17" t="str">
        <f>Github!H$412</f>
        <v>Algorithms</v>
      </c>
      <c r="H413" s="17" t="str">
        <f>Github!E$412</f>
        <v>Hard</v>
      </c>
      <c r="I413" s="17" t="str">
        <f>IF(TRIM(Github!D$412)="TRUE","FALSE","TRUE")</f>
        <v>FALSE</v>
      </c>
      <c r="J413" s="17"/>
      <c r="K413" s="17" t="str">
        <f>Github!L$412</f>
        <v>String;Backtracking;Bit Manipulation;</v>
      </c>
      <c r="L413" s="17" t="b">
        <f>Github!M$412</f>
        <v>0</v>
      </c>
      <c r="M413" s="17" t="str">
        <f>ROUND(Github!N$412, 2)&amp;"%"</f>
        <v>0%</v>
      </c>
      <c r="N413" s="17">
        <f>Github!O$412</f>
        <v>38.35967287</v>
      </c>
      <c r="O413" s="17">
        <f>Github!P$412</f>
        <v>13180</v>
      </c>
    </row>
    <row r="414">
      <c r="A414" s="17">
        <f>Github!J$413</f>
        <v>412</v>
      </c>
      <c r="B414" s="27" t="str">
        <f>HYPERLINK(CONCAT("http://leetcode.com/problems/",Github!C$413), Github!B$413)</f>
        <v>Fizz Buzz</v>
      </c>
      <c r="C414" s="17">
        <f>Github!F$413</f>
        <v>253</v>
      </c>
      <c r="D414" s="17">
        <f>Github!G$413</f>
        <v>44</v>
      </c>
      <c r="E414" s="17">
        <f>Github!F$413+Github!G$413</f>
        <v>297</v>
      </c>
      <c r="F414" s="18">
        <f t="shared" si="1"/>
        <v>5.75</v>
      </c>
      <c r="G414" s="17" t="str">
        <f>Github!H$413</f>
        <v>Algorithms</v>
      </c>
      <c r="H414" s="17" t="str">
        <f>Github!E$413</f>
        <v>Easy</v>
      </c>
      <c r="I414" s="17" t="str">
        <f>IF(TRIM(Github!D$413)="TRUE","FALSE","TRUE")</f>
        <v>TRUE</v>
      </c>
      <c r="J414" s="17"/>
      <c r="K414" s="17" t="str">
        <f>Github!L$413</f>
        <v>Math;String;Simulation;</v>
      </c>
      <c r="L414" s="17" t="b">
        <f>Github!M$413</f>
        <v>1</v>
      </c>
      <c r="M414" s="17" t="str">
        <f>ROUND(Github!N$413, 2)&amp;"%"</f>
        <v>0%</v>
      </c>
      <c r="N414" s="17">
        <f>Github!O$413</f>
        <v>66.23258266</v>
      </c>
      <c r="O414" s="17">
        <f>Github!P$413</f>
        <v>587929</v>
      </c>
    </row>
    <row r="415">
      <c r="A415" s="17">
        <f>Github!J$414</f>
        <v>413</v>
      </c>
      <c r="B415" s="27" t="str">
        <f>HYPERLINK(CONCAT("http://leetcode.com/problems/",Github!C$414), Github!B$414)</f>
        <v>Arithmetic Slices</v>
      </c>
      <c r="C415" s="17">
        <f>Github!F$414</f>
        <v>3743</v>
      </c>
      <c r="D415" s="17">
        <f>Github!G$414</f>
        <v>247</v>
      </c>
      <c r="E415" s="17">
        <f>Github!F$414+Github!G$414</f>
        <v>3990</v>
      </c>
      <c r="F415" s="18">
        <f t="shared" si="1"/>
        <v>15.15</v>
      </c>
      <c r="G415" s="17" t="str">
        <f>Github!H$414</f>
        <v>Algorithms</v>
      </c>
      <c r="H415" s="17" t="str">
        <f>Github!E$414</f>
        <v>Medium</v>
      </c>
      <c r="I415" s="17" t="str">
        <f>IF(TRIM(Github!D$414)="TRUE","FALSE","TRUE")</f>
        <v>TRUE</v>
      </c>
      <c r="J415" s="17"/>
      <c r="K415" s="17" t="str">
        <f>Github!L$414</f>
        <v>Array;Dynamic Programming;</v>
      </c>
      <c r="L415" s="17" t="b">
        <f>Github!M$414</f>
        <v>1</v>
      </c>
      <c r="M415" s="17" t="str">
        <f>ROUND(Github!N$414, 2)&amp;"%"</f>
        <v>0%</v>
      </c>
      <c r="N415" s="17">
        <f>Github!O$414</f>
        <v>64.23000978</v>
      </c>
      <c r="O415" s="17">
        <f>Github!P$414</f>
        <v>219243</v>
      </c>
    </row>
    <row r="416">
      <c r="A416" s="17">
        <f>Github!J$415</f>
        <v>414</v>
      </c>
      <c r="B416" s="27" t="str">
        <f>HYPERLINK(CONCAT("http://leetcode.com/problems/",Github!C$415), Github!B$415)</f>
        <v>Third Maximum Number</v>
      </c>
      <c r="C416" s="17">
        <f>Github!F$415</f>
        <v>1563</v>
      </c>
      <c r="D416" s="17">
        <f>Github!G$415</f>
        <v>2232</v>
      </c>
      <c r="E416" s="17">
        <f>Github!F$415+Github!G$415</f>
        <v>3795</v>
      </c>
      <c r="F416" s="18">
        <f t="shared" si="1"/>
        <v>0.7</v>
      </c>
      <c r="G416" s="17" t="str">
        <f>Github!H$415</f>
        <v>Algorithms</v>
      </c>
      <c r="H416" s="17" t="str">
        <f>Github!E$415</f>
        <v>Easy</v>
      </c>
      <c r="I416" s="17" t="str">
        <f>IF(TRIM(Github!D$415)="TRUE","FALSE","TRUE")</f>
        <v>TRUE</v>
      </c>
      <c r="J416" s="17"/>
      <c r="K416" s="17" t="str">
        <f>Github!L$415</f>
        <v>Array;Sorting;</v>
      </c>
      <c r="L416" s="17" t="b">
        <f>Github!M$415</f>
        <v>1</v>
      </c>
      <c r="M416" s="17" t="str">
        <f>ROUND(Github!N$415, 2)&amp;"%"</f>
        <v>0%</v>
      </c>
      <c r="N416" s="17">
        <f>Github!O$415</f>
        <v>31.63858489</v>
      </c>
      <c r="O416" s="17">
        <f>Github!P$415</f>
        <v>309677</v>
      </c>
    </row>
    <row r="417">
      <c r="A417" s="17">
        <f>Github!J$416</f>
        <v>415</v>
      </c>
      <c r="B417" s="27" t="str">
        <f>HYPERLINK(CONCAT("http://leetcode.com/problems/",Github!C$416), Github!B$416)</f>
        <v>Add Strings</v>
      </c>
      <c r="C417" s="17">
        <f>Github!F$416</f>
        <v>3015</v>
      </c>
      <c r="D417" s="17">
        <f>Github!G$416</f>
        <v>532</v>
      </c>
      <c r="E417" s="17">
        <f>Github!F$416+Github!G$416</f>
        <v>3547</v>
      </c>
      <c r="F417" s="18">
        <f t="shared" si="1"/>
        <v>5.67</v>
      </c>
      <c r="G417" s="17" t="str">
        <f>Github!H$416</f>
        <v>Algorithms</v>
      </c>
      <c r="H417" s="17" t="str">
        <f>Github!E$416</f>
        <v>Easy</v>
      </c>
      <c r="I417" s="17" t="str">
        <f>IF(TRIM(Github!D$416)="TRUE","FALSE","TRUE")</f>
        <v>TRUE</v>
      </c>
      <c r="J417" s="17"/>
      <c r="K417" s="17" t="str">
        <f>Github!L$416</f>
        <v>Math;String;Simulation;</v>
      </c>
      <c r="L417" s="17" t="b">
        <f>Github!M$416</f>
        <v>1</v>
      </c>
      <c r="M417" s="17" t="str">
        <f>ROUND(Github!N$416, 2)&amp;"%"</f>
        <v>0%</v>
      </c>
      <c r="N417" s="17">
        <f>Github!O$416</f>
        <v>51.85711443</v>
      </c>
      <c r="O417" s="17">
        <f>Github!P$416</f>
        <v>448161</v>
      </c>
    </row>
    <row r="418">
      <c r="A418" s="17">
        <f>Github!J$417</f>
        <v>416</v>
      </c>
      <c r="B418" s="27" t="str">
        <f>HYPERLINK(CONCAT("http://leetcode.com/problems/",Github!C$417), Github!B$417)</f>
        <v>Partition Equal Subset Sum</v>
      </c>
      <c r="C418" s="17">
        <f>Github!F$417</f>
        <v>7025</v>
      </c>
      <c r="D418" s="17">
        <f>Github!G$417</f>
        <v>112</v>
      </c>
      <c r="E418" s="17">
        <f>Github!F$417+Github!G$417</f>
        <v>7137</v>
      </c>
      <c r="F418" s="18">
        <f t="shared" si="1"/>
        <v>62.72</v>
      </c>
      <c r="G418" s="17" t="str">
        <f>Github!H$417</f>
        <v>Algorithms</v>
      </c>
      <c r="H418" s="17" t="str">
        <f>Github!E$417</f>
        <v>Medium</v>
      </c>
      <c r="I418" s="17" t="str">
        <f>IF(TRIM(Github!D$417)="TRUE","FALSE","TRUE")</f>
        <v>TRUE</v>
      </c>
      <c r="J418" s="17"/>
      <c r="K418" s="17" t="str">
        <f>Github!L$417</f>
        <v>Array;Dynamic Programming;</v>
      </c>
      <c r="L418" s="17" t="b">
        <f>Github!M$417</f>
        <v>1</v>
      </c>
      <c r="M418" s="17" t="str">
        <f>ROUND(Github!N$417, 2)&amp;"%"</f>
        <v>1%</v>
      </c>
      <c r="N418" s="17">
        <f>Github!O$417</f>
        <v>46.30316702</v>
      </c>
      <c r="O418" s="17">
        <f>Github!P$417</f>
        <v>414211</v>
      </c>
    </row>
    <row r="419">
      <c r="A419" s="17">
        <f>Github!J$418</f>
        <v>417</v>
      </c>
      <c r="B419" s="27" t="str">
        <f>HYPERLINK(CONCAT("http://leetcode.com/problems/",Github!C$418), Github!B$418)</f>
        <v>Pacific Atlantic Water Flow</v>
      </c>
      <c r="C419" s="17">
        <f>Github!F$418</f>
        <v>3287</v>
      </c>
      <c r="D419" s="17">
        <f>Github!G$418</f>
        <v>758</v>
      </c>
      <c r="E419" s="17">
        <f>Github!F$418+Github!G$418</f>
        <v>4045</v>
      </c>
      <c r="F419" s="18">
        <f t="shared" si="1"/>
        <v>4.34</v>
      </c>
      <c r="G419" s="17" t="str">
        <f>Github!H$418</f>
        <v>Algorithms</v>
      </c>
      <c r="H419" s="17" t="str">
        <f>Github!E$418</f>
        <v>Medium</v>
      </c>
      <c r="I419" s="17" t="str">
        <f>IF(TRIM(Github!D$418)="TRUE","FALSE","TRUE")</f>
        <v>TRUE</v>
      </c>
      <c r="J419" s="17"/>
      <c r="K419" s="17" t="str">
        <f>Github!L$418</f>
        <v>Array;Depth-First Search;Breadth-First Search;Matrix;</v>
      </c>
      <c r="L419" s="17" t="b">
        <f>Github!M$418</f>
        <v>1</v>
      </c>
      <c r="M419" s="17" t="str">
        <f>ROUND(Github!N$418, 2)&amp;"%"</f>
        <v>0%</v>
      </c>
      <c r="N419" s="17">
        <f>Github!O$418</f>
        <v>48.30149159</v>
      </c>
      <c r="O419" s="17">
        <f>Github!P$418</f>
        <v>180785</v>
      </c>
    </row>
    <row r="420">
      <c r="A420" s="17">
        <f>Github!J$419</f>
        <v>418</v>
      </c>
      <c r="B420" s="27" t="str">
        <f>HYPERLINK(CONCAT("http://leetcode.com/problems/",Github!C$419), Github!B$419)</f>
        <v>Sentence Screen Fitting</v>
      </c>
      <c r="C420" s="17">
        <f>Github!F$419</f>
        <v>850</v>
      </c>
      <c r="D420" s="17">
        <f>Github!G$419</f>
        <v>425</v>
      </c>
      <c r="E420" s="17">
        <f>Github!F$419+Github!G$419</f>
        <v>1275</v>
      </c>
      <c r="F420" s="18">
        <f t="shared" si="1"/>
        <v>2</v>
      </c>
      <c r="G420" s="17" t="str">
        <f>Github!H$419</f>
        <v>Algorithms</v>
      </c>
      <c r="H420" s="17" t="str">
        <f>Github!E$419</f>
        <v>Medium</v>
      </c>
      <c r="I420" s="17" t="str">
        <f>IF(TRIM(Github!D$419)="TRUE","FALSE","TRUE")</f>
        <v>FALSE</v>
      </c>
      <c r="J420" s="17"/>
      <c r="K420" s="17" t="str">
        <f>Github!L$419</f>
        <v>String;Dynamic Programming;Simulation;</v>
      </c>
      <c r="L420" s="17" t="b">
        <f>Github!M$419</f>
        <v>0</v>
      </c>
      <c r="M420" s="17" t="str">
        <f>ROUND(Github!N$419, 2)&amp;"%"</f>
        <v>0%</v>
      </c>
      <c r="N420" s="17">
        <f>Github!O$419</f>
        <v>35.29050401</v>
      </c>
      <c r="O420" s="17">
        <f>Github!P$419</f>
        <v>77553</v>
      </c>
    </row>
    <row r="421">
      <c r="A421" s="17">
        <f>Github!J$420</f>
        <v>419</v>
      </c>
      <c r="B421" s="27" t="str">
        <f>HYPERLINK(CONCAT("http://leetcode.com/problems/",Github!C$420), Github!B$420)</f>
        <v>Battleships in a Board</v>
      </c>
      <c r="C421" s="17">
        <f>Github!F$420</f>
        <v>1399</v>
      </c>
      <c r="D421" s="17">
        <f>Github!G$420</f>
        <v>714</v>
      </c>
      <c r="E421" s="17">
        <f>Github!F$420+Github!G$420</f>
        <v>2113</v>
      </c>
      <c r="F421" s="18">
        <f t="shared" si="1"/>
        <v>1.96</v>
      </c>
      <c r="G421" s="17" t="str">
        <f>Github!H$420</f>
        <v>Algorithms</v>
      </c>
      <c r="H421" s="17" t="str">
        <f>Github!E$420</f>
        <v>Medium</v>
      </c>
      <c r="I421" s="17" t="str">
        <f>IF(TRIM(Github!D$420)="TRUE","FALSE","TRUE")</f>
        <v>TRUE</v>
      </c>
      <c r="J421" s="17"/>
      <c r="K421" s="17" t="str">
        <f>Github!L$420</f>
        <v>Array;Depth-First Search;Matrix;</v>
      </c>
      <c r="L421" s="17" t="b">
        <f>Github!M$420</f>
        <v>0</v>
      </c>
      <c r="M421" s="17" t="str">
        <f>ROUND(Github!N$420, 2)&amp;"%"</f>
        <v>0%</v>
      </c>
      <c r="N421" s="17">
        <f>Github!O$420</f>
        <v>73.16349259</v>
      </c>
      <c r="O421" s="17">
        <f>Github!P$420</f>
        <v>140261</v>
      </c>
    </row>
    <row r="422">
      <c r="A422" s="17">
        <f>Github!J$421</f>
        <v>420</v>
      </c>
      <c r="B422" s="27" t="str">
        <f>HYPERLINK(CONCAT("http://leetcode.com/problems/",Github!C$421), Github!B$421)</f>
        <v>Strong Password Checker</v>
      </c>
      <c r="C422" s="17">
        <f>Github!F$421</f>
        <v>453</v>
      </c>
      <c r="D422" s="17">
        <f>Github!G$421</f>
        <v>1224</v>
      </c>
      <c r="E422" s="17">
        <f>Github!F$421+Github!G$421</f>
        <v>1677</v>
      </c>
      <c r="F422" s="18">
        <f t="shared" si="1"/>
        <v>0.37</v>
      </c>
      <c r="G422" s="17" t="str">
        <f>Github!H$421</f>
        <v>Algorithms</v>
      </c>
      <c r="H422" s="17" t="str">
        <f>Github!E$421</f>
        <v>Hard</v>
      </c>
      <c r="I422" s="17" t="str">
        <f>IF(TRIM(Github!D$421)="TRUE","FALSE","TRUE")</f>
        <v>TRUE</v>
      </c>
      <c r="J422" s="17"/>
      <c r="K422" s="17" t="str">
        <f>Github!L$421</f>
        <v>String;Greedy;Heap (Priority Queue);</v>
      </c>
      <c r="L422" s="17" t="b">
        <f>Github!M$421</f>
        <v>0</v>
      </c>
      <c r="M422" s="17" t="str">
        <f>ROUND(Github!N$421, 2)&amp;"%"</f>
        <v>0%</v>
      </c>
      <c r="N422" s="17">
        <f>Github!O$421</f>
        <v>14.09807144</v>
      </c>
      <c r="O422" s="17">
        <f>Github!P$421</f>
        <v>23334</v>
      </c>
    </row>
    <row r="423">
      <c r="A423" s="17">
        <f>Github!J$422</f>
        <v>421</v>
      </c>
      <c r="B423" s="27" t="str">
        <f>HYPERLINK(CONCAT("http://leetcode.com/problems/",Github!C$422), Github!B$422)</f>
        <v>Maximum XOR of Two Numbers in an Array</v>
      </c>
      <c r="C423" s="17">
        <f>Github!F$422</f>
        <v>3759</v>
      </c>
      <c r="D423" s="17">
        <f>Github!G$422</f>
        <v>319</v>
      </c>
      <c r="E423" s="17">
        <f>Github!F$422+Github!G$422</f>
        <v>4078</v>
      </c>
      <c r="F423" s="18">
        <f t="shared" si="1"/>
        <v>11.78</v>
      </c>
      <c r="G423" s="17" t="str">
        <f>Github!H$422</f>
        <v>Algorithms</v>
      </c>
      <c r="H423" s="17" t="str">
        <f>Github!E$422</f>
        <v>Medium</v>
      </c>
      <c r="I423" s="17" t="str">
        <f>IF(TRIM(Github!D$422)="TRUE","FALSE","TRUE")</f>
        <v>TRUE</v>
      </c>
      <c r="J423" s="17"/>
      <c r="K423" s="17" t="str">
        <f>Github!L$422</f>
        <v>Array;Hash Table;Bit Manipulation;Trie;</v>
      </c>
      <c r="L423" s="17" t="b">
        <f>Github!M$422</f>
        <v>1</v>
      </c>
      <c r="M423" s="17" t="str">
        <f>ROUND(Github!N$422, 2)&amp;"%"</f>
        <v>0%</v>
      </c>
      <c r="N423" s="17">
        <f>Github!O$422</f>
        <v>54.22907449</v>
      </c>
      <c r="O423" s="17">
        <f>Github!P$422</f>
        <v>119625</v>
      </c>
    </row>
    <row r="424">
      <c r="A424" s="17">
        <f>Github!J$423</f>
        <v>422</v>
      </c>
      <c r="B424" s="27" t="str">
        <f>HYPERLINK(CONCAT("http://leetcode.com/problems/",Github!C$423), Github!B$423)</f>
        <v>Valid Word Square</v>
      </c>
      <c r="C424" s="17">
        <f>Github!F$423</f>
        <v>274</v>
      </c>
      <c r="D424" s="17">
        <f>Github!G$423</f>
        <v>169</v>
      </c>
      <c r="E424" s="17">
        <f>Github!F$423+Github!G$423</f>
        <v>443</v>
      </c>
      <c r="F424" s="18">
        <f t="shared" si="1"/>
        <v>1.62</v>
      </c>
      <c r="G424" s="17" t="str">
        <f>Github!H$423</f>
        <v>Algorithms</v>
      </c>
      <c r="H424" s="17" t="str">
        <f>Github!E$423</f>
        <v>Easy</v>
      </c>
      <c r="I424" s="17" t="str">
        <f>IF(TRIM(Github!D$423)="TRUE","FALSE","TRUE")</f>
        <v>FALSE</v>
      </c>
      <c r="J424" s="17"/>
      <c r="K424" s="17" t="str">
        <f>Github!L$423</f>
        <v>Array;Matrix;</v>
      </c>
      <c r="L424" s="17" t="b">
        <f>Github!M$423</f>
        <v>0</v>
      </c>
      <c r="M424" s="17" t="str">
        <f>ROUND(Github!N$423, 2)&amp;"%"</f>
        <v>0%</v>
      </c>
      <c r="N424" s="17">
        <f>Github!O$423</f>
        <v>38.58588242</v>
      </c>
      <c r="O424" s="17">
        <f>Github!P$423</f>
        <v>39243</v>
      </c>
    </row>
    <row r="425">
      <c r="A425" s="17">
        <f>Github!J$424</f>
        <v>423</v>
      </c>
      <c r="B425" s="27" t="str">
        <f>HYPERLINK(CONCAT("http://leetcode.com/problems/",Github!C$424), Github!B$424)</f>
        <v>Reconstruct Original Digits from English</v>
      </c>
      <c r="C425" s="17">
        <f>Github!F$424</f>
        <v>582</v>
      </c>
      <c r="D425" s="17">
        <f>Github!G$424</f>
        <v>1881</v>
      </c>
      <c r="E425" s="17">
        <f>Github!F$424+Github!G$424</f>
        <v>2463</v>
      </c>
      <c r="F425" s="18">
        <f t="shared" si="1"/>
        <v>0.31</v>
      </c>
      <c r="G425" s="17" t="str">
        <f>Github!H$424</f>
        <v>Algorithms</v>
      </c>
      <c r="H425" s="17" t="str">
        <f>Github!E$424</f>
        <v>Medium</v>
      </c>
      <c r="I425" s="17" t="str">
        <f>IF(TRIM(Github!D$424)="TRUE","FALSE","TRUE")</f>
        <v>TRUE</v>
      </c>
      <c r="J425" s="17"/>
      <c r="K425" s="17" t="str">
        <f>Github!L$424</f>
        <v>Hash Table;Math;String;</v>
      </c>
      <c r="L425" s="17" t="b">
        <f>Github!M$424</f>
        <v>1</v>
      </c>
      <c r="M425" s="17" t="str">
        <f>ROUND(Github!N$424, 2)&amp;"%"</f>
        <v>0%</v>
      </c>
      <c r="N425" s="17">
        <f>Github!O$424</f>
        <v>51.22393472</v>
      </c>
      <c r="O425" s="17">
        <f>Github!P$424</f>
        <v>59324</v>
      </c>
    </row>
    <row r="426">
      <c r="A426" s="17">
        <f>Github!J$425</f>
        <v>424</v>
      </c>
      <c r="B426" s="27" t="str">
        <f>HYPERLINK(CONCAT("http://leetcode.com/problems/",Github!C$425), Github!B$425)</f>
        <v>Longest Repeating Character Replacement</v>
      </c>
      <c r="C426" s="17">
        <f>Github!F$425</f>
        <v>3982</v>
      </c>
      <c r="D426" s="17">
        <f>Github!G$425</f>
        <v>156</v>
      </c>
      <c r="E426" s="17">
        <f>Github!F$425+Github!G$425</f>
        <v>4138</v>
      </c>
      <c r="F426" s="18">
        <f t="shared" si="1"/>
        <v>25.53</v>
      </c>
      <c r="G426" s="17" t="str">
        <f>Github!H$425</f>
        <v>Algorithms</v>
      </c>
      <c r="H426" s="17" t="str">
        <f>Github!E$425</f>
        <v>Medium</v>
      </c>
      <c r="I426" s="17" t="str">
        <f>IF(TRIM(Github!D$425)="TRUE","FALSE","TRUE")</f>
        <v>TRUE</v>
      </c>
      <c r="J426" s="17"/>
      <c r="K426" s="17" t="str">
        <f>Github!L$425</f>
        <v>Hash Table;String;Sliding Window;</v>
      </c>
      <c r="L426" s="17" t="b">
        <f>Github!M$425</f>
        <v>0</v>
      </c>
      <c r="M426" s="17" t="str">
        <f>ROUND(Github!N$425, 2)&amp;"%"</f>
        <v>0%</v>
      </c>
      <c r="N426" s="17">
        <f>Github!O$425</f>
        <v>50.59112532</v>
      </c>
      <c r="O426" s="17">
        <f>Github!P$425</f>
        <v>191318</v>
      </c>
    </row>
    <row r="427">
      <c r="A427" s="17">
        <f>Github!J$426</f>
        <v>425</v>
      </c>
      <c r="B427" s="27" t="str">
        <f>HYPERLINK(CONCAT("http://leetcode.com/problems/",Github!C$426), Github!B$426)</f>
        <v>Word Squares</v>
      </c>
      <c r="C427" s="17">
        <f>Github!F$426</f>
        <v>909</v>
      </c>
      <c r="D427" s="17">
        <f>Github!G$426</f>
        <v>58</v>
      </c>
      <c r="E427" s="17">
        <f>Github!F$426+Github!G$426</f>
        <v>967</v>
      </c>
      <c r="F427" s="18">
        <f t="shared" si="1"/>
        <v>15.67</v>
      </c>
      <c r="G427" s="17" t="str">
        <f>Github!H$426</f>
        <v>Algorithms</v>
      </c>
      <c r="H427" s="17" t="str">
        <f>Github!E$426</f>
        <v>Hard</v>
      </c>
      <c r="I427" s="17" t="str">
        <f>IF(TRIM(Github!D$426)="TRUE","FALSE","TRUE")</f>
        <v>FALSE</v>
      </c>
      <c r="J427" s="17"/>
      <c r="K427" s="17" t="str">
        <f>Github!L$426</f>
        <v>Array;String;Backtracking;Trie;</v>
      </c>
      <c r="L427" s="17" t="b">
        <f>Github!M$426</f>
        <v>1</v>
      </c>
      <c r="M427" s="17" t="str">
        <f>ROUND(Github!N$426, 2)&amp;"%"</f>
        <v>0%</v>
      </c>
      <c r="N427" s="17">
        <f>Github!O$426</f>
        <v>52.06989896</v>
      </c>
      <c r="O427" s="17">
        <f>Github!P$426</f>
        <v>60399</v>
      </c>
    </row>
    <row r="428">
      <c r="A428" s="17">
        <f>Github!J$427</f>
        <v>426</v>
      </c>
      <c r="B428" s="27" t="str">
        <f>HYPERLINK(CONCAT("http://leetcode.com/problems/",Github!C$427), Github!B$427)</f>
        <v>Convert Binary Search Tree to Sorted Doubly Linked List</v>
      </c>
      <c r="C428" s="17">
        <f>Github!F$427</f>
        <v>2071</v>
      </c>
      <c r="D428" s="17">
        <f>Github!G$427</f>
        <v>168</v>
      </c>
      <c r="E428" s="17">
        <f>Github!F$427+Github!G$427</f>
        <v>2239</v>
      </c>
      <c r="F428" s="18">
        <f t="shared" si="1"/>
        <v>12.33</v>
      </c>
      <c r="G428" s="17" t="str">
        <f>Github!H$427</f>
        <v>Algorithms</v>
      </c>
      <c r="H428" s="17" t="str">
        <f>Github!E$427</f>
        <v>Medium</v>
      </c>
      <c r="I428" s="17" t="str">
        <f>IF(TRIM(Github!D$427)="TRUE","FALSE","TRUE")</f>
        <v>FALSE</v>
      </c>
      <c r="J428" s="17"/>
      <c r="K428" s="17" t="str">
        <f>Github!L$427</f>
        <v>Linked List;Stack;Tree;Depth-First Search;Binary Search Tree;Binary Tree;Doubly-Linked List;</v>
      </c>
      <c r="L428" s="17" t="b">
        <f>Github!M$427</f>
        <v>1</v>
      </c>
      <c r="M428" s="17" t="str">
        <f>ROUND(Github!N$427, 2)&amp;"%"</f>
        <v>0%</v>
      </c>
      <c r="N428" s="17">
        <f>Github!O$427</f>
        <v>64.17028835</v>
      </c>
      <c r="O428" s="17">
        <f>Github!P$427</f>
        <v>196523</v>
      </c>
    </row>
    <row r="429">
      <c r="A429" s="17">
        <f>Github!J$428</f>
        <v>427</v>
      </c>
      <c r="B429" s="27" t="str">
        <f>HYPERLINK(CONCAT("http://leetcode.com/problems/",Github!C$428), Github!B$428)</f>
        <v>Construct Quad Tree</v>
      </c>
      <c r="C429" s="17">
        <f>Github!F$428</f>
        <v>459</v>
      </c>
      <c r="D429" s="17">
        <f>Github!G$428</f>
        <v>644</v>
      </c>
      <c r="E429" s="17">
        <f>Github!F$428+Github!G$428</f>
        <v>1103</v>
      </c>
      <c r="F429" s="18">
        <f t="shared" si="1"/>
        <v>0.71</v>
      </c>
      <c r="G429" s="17" t="str">
        <f>Github!H$428</f>
        <v>Algorithms</v>
      </c>
      <c r="H429" s="17" t="str">
        <f>Github!E$428</f>
        <v>Medium</v>
      </c>
      <c r="I429" s="17" t="str">
        <f>IF(TRIM(Github!D$428)="TRUE","FALSE","TRUE")</f>
        <v>TRUE</v>
      </c>
      <c r="J429" s="17"/>
      <c r="K429" s="17" t="str">
        <f>Github!L$428</f>
        <v>Array;Divide and Conquer;Tree;Matrix;</v>
      </c>
      <c r="L429" s="17" t="b">
        <f>Github!M$428</f>
        <v>0</v>
      </c>
      <c r="M429" s="17" t="str">
        <f>ROUND(Github!N$428, 2)&amp;"%"</f>
        <v>0%</v>
      </c>
      <c r="N429" s="17">
        <f>Github!O$428</f>
        <v>64.94729723</v>
      </c>
      <c r="O429" s="17">
        <f>Github!P$428</f>
        <v>39373</v>
      </c>
    </row>
    <row r="430">
      <c r="A430" s="17">
        <f>Github!J$429</f>
        <v>428</v>
      </c>
      <c r="B430" s="27" t="str">
        <f>HYPERLINK(CONCAT("http://leetcode.com/problems/",Github!C$429), Github!B$429)</f>
        <v>Serialize and Deserialize N-ary Tree</v>
      </c>
      <c r="C430" s="17">
        <f>Github!F$429</f>
        <v>801</v>
      </c>
      <c r="D430" s="17">
        <f>Github!G$429</f>
        <v>48</v>
      </c>
      <c r="E430" s="17">
        <f>Github!F$429+Github!G$429</f>
        <v>849</v>
      </c>
      <c r="F430" s="18">
        <f t="shared" si="1"/>
        <v>16.69</v>
      </c>
      <c r="G430" s="17" t="str">
        <f>Github!H$429</f>
        <v>Algorithms</v>
      </c>
      <c r="H430" s="17" t="str">
        <f>Github!E$429</f>
        <v>Hard</v>
      </c>
      <c r="I430" s="17" t="str">
        <f>IF(TRIM(Github!D$429)="TRUE","FALSE","TRUE")</f>
        <v>FALSE</v>
      </c>
      <c r="J430" s="17"/>
      <c r="K430" s="17" t="str">
        <f>Github!L$429</f>
        <v>String;Tree;Depth-First Search;Breadth-First Search;</v>
      </c>
      <c r="L430" s="17" t="b">
        <f>Github!M$429</f>
        <v>1</v>
      </c>
      <c r="M430" s="17" t="str">
        <f>ROUND(Github!N$429, 2)&amp;"%"</f>
        <v>0%</v>
      </c>
      <c r="N430" s="17">
        <f>Github!O$429</f>
        <v>64.05994104</v>
      </c>
      <c r="O430" s="17">
        <f>Github!P$429</f>
        <v>62583</v>
      </c>
    </row>
    <row r="431">
      <c r="A431" s="17">
        <f>Github!J$430</f>
        <v>429</v>
      </c>
      <c r="B431" s="27" t="str">
        <f>HYPERLINK(CONCAT("http://leetcode.com/problems/",Github!C$430), Github!B$430)</f>
        <v>N-ary Tree Level Order Traversal</v>
      </c>
      <c r="C431" s="17">
        <f>Github!F$430</f>
        <v>1702</v>
      </c>
      <c r="D431" s="17">
        <f>Github!G$430</f>
        <v>82</v>
      </c>
      <c r="E431" s="17">
        <f>Github!F$430+Github!G$430</f>
        <v>1784</v>
      </c>
      <c r="F431" s="18">
        <f t="shared" si="1"/>
        <v>20.76</v>
      </c>
      <c r="G431" s="17" t="str">
        <f>Github!H$430</f>
        <v>Algorithms</v>
      </c>
      <c r="H431" s="17" t="str">
        <f>Github!E$430</f>
        <v>Medium</v>
      </c>
      <c r="I431" s="17" t="str">
        <f>IF(TRIM(Github!D$430)="TRUE","FALSE","TRUE")</f>
        <v>TRUE</v>
      </c>
      <c r="J431" s="17"/>
      <c r="K431" s="17" t="str">
        <f>Github!L$430</f>
        <v>Tree;Breadth-First Search;</v>
      </c>
      <c r="L431" s="17" t="b">
        <f>Github!M$430</f>
        <v>1</v>
      </c>
      <c r="M431" s="17" t="str">
        <f>ROUND(Github!N$430, 2)&amp;"%"</f>
        <v>0%</v>
      </c>
      <c r="N431" s="17">
        <f>Github!O$430</f>
        <v>68.67024228</v>
      </c>
      <c r="O431" s="17">
        <f>Github!P$430</f>
        <v>167085</v>
      </c>
    </row>
    <row r="432">
      <c r="A432" s="17">
        <f>Github!J$431</f>
        <v>430</v>
      </c>
      <c r="B432" s="27" t="str">
        <f>HYPERLINK(CONCAT("http://leetcode.com/problems/",Github!C$431), Github!B$431)</f>
        <v>Flatten a Multilevel Doubly Linked List</v>
      </c>
      <c r="C432" s="17">
        <f>Github!F$431</f>
        <v>3490</v>
      </c>
      <c r="D432" s="17">
        <f>Github!G$431</f>
        <v>246</v>
      </c>
      <c r="E432" s="17">
        <f>Github!F$431+Github!G$431</f>
        <v>3736</v>
      </c>
      <c r="F432" s="18">
        <f t="shared" si="1"/>
        <v>14.19</v>
      </c>
      <c r="G432" s="17" t="str">
        <f>Github!H$431</f>
        <v>Algorithms</v>
      </c>
      <c r="H432" s="17" t="str">
        <f>Github!E$431</f>
        <v>Medium</v>
      </c>
      <c r="I432" s="17" t="str">
        <f>IF(TRIM(Github!D$431)="TRUE","FALSE","TRUE")</f>
        <v>TRUE</v>
      </c>
      <c r="J432" s="17"/>
      <c r="K432" s="17" t="str">
        <f>Github!L$431</f>
        <v>Linked List;Depth-First Search;Doubly-Linked List;</v>
      </c>
      <c r="L432" s="17" t="b">
        <f>Github!M$431</f>
        <v>1</v>
      </c>
      <c r="M432" s="17" t="str">
        <f>ROUND(Github!N$431, 2)&amp;"%"</f>
        <v>0%</v>
      </c>
      <c r="N432" s="17">
        <f>Github!O$431</f>
        <v>58.81792887</v>
      </c>
      <c r="O432" s="17">
        <f>Github!P$431</f>
        <v>223013</v>
      </c>
    </row>
    <row r="433">
      <c r="A433" s="17">
        <f>Github!J$432</f>
        <v>431</v>
      </c>
      <c r="B433" s="27" t="str">
        <f>HYPERLINK(CONCAT("http://leetcode.com/problems/",Github!C$432), Github!B$432)</f>
        <v>Encode N-ary Tree to Binary Tree</v>
      </c>
      <c r="C433" s="17">
        <f>Github!F$432</f>
        <v>379</v>
      </c>
      <c r="D433" s="17">
        <f>Github!G$432</f>
        <v>20</v>
      </c>
      <c r="E433" s="17">
        <f>Github!F$432+Github!G$432</f>
        <v>399</v>
      </c>
      <c r="F433" s="18">
        <f t="shared" si="1"/>
        <v>18.95</v>
      </c>
      <c r="G433" s="17" t="str">
        <f>Github!H$432</f>
        <v>Algorithms</v>
      </c>
      <c r="H433" s="17" t="str">
        <f>Github!E$432</f>
        <v>Hard</v>
      </c>
      <c r="I433" s="17" t="str">
        <f>IF(TRIM(Github!D$432)="TRUE","FALSE","TRUE")</f>
        <v>FALSE</v>
      </c>
      <c r="J433" s="17"/>
      <c r="K433" s="17" t="str">
        <f>Github!L$432</f>
        <v>Tree;Depth-First Search;Breadth-First Search;Design;Binary Tree;</v>
      </c>
      <c r="L433" s="17" t="b">
        <f>Github!M$432</f>
        <v>1</v>
      </c>
      <c r="M433" s="17" t="str">
        <f>ROUND(Github!N$432, 2)&amp;"%"</f>
        <v>0%</v>
      </c>
      <c r="N433" s="17">
        <f>Github!O$432</f>
        <v>76.16934642</v>
      </c>
      <c r="O433" s="17">
        <f>Github!P$432</f>
        <v>14590</v>
      </c>
    </row>
    <row r="434">
      <c r="A434" s="17">
        <f>Github!J$433</f>
        <v>432</v>
      </c>
      <c r="B434" s="27" t="str">
        <f>HYPERLINK(CONCAT("http://leetcode.com/problems/",Github!C$433), Github!B$433)</f>
        <v>All O`one Data Structure</v>
      </c>
      <c r="C434" s="17">
        <f>Github!F$433</f>
        <v>1039</v>
      </c>
      <c r="D434" s="17">
        <f>Github!G$433</f>
        <v>124</v>
      </c>
      <c r="E434" s="17">
        <f>Github!F$433+Github!G$433</f>
        <v>1163</v>
      </c>
      <c r="F434" s="18">
        <f t="shared" si="1"/>
        <v>8.38</v>
      </c>
      <c r="G434" s="17" t="str">
        <f>Github!H$433</f>
        <v>Algorithms</v>
      </c>
      <c r="H434" s="17" t="str">
        <f>Github!E$433</f>
        <v>Hard</v>
      </c>
      <c r="I434" s="17" t="str">
        <f>IF(TRIM(Github!D$433)="TRUE","FALSE","TRUE")</f>
        <v>TRUE</v>
      </c>
      <c r="J434" s="17"/>
      <c r="K434" s="17" t="str">
        <f>Github!L$433</f>
        <v>Hash Table;Linked List;Design;Doubly-Linked List;</v>
      </c>
      <c r="L434" s="17" t="b">
        <f>Github!M$433</f>
        <v>0</v>
      </c>
      <c r="M434" s="17" t="str">
        <f>ROUND(Github!N$433, 2)&amp;"%"</f>
        <v>0%</v>
      </c>
      <c r="N434" s="17">
        <f>Github!O$433</f>
        <v>35.48626188</v>
      </c>
      <c r="O434" s="17">
        <f>Github!P$433</f>
        <v>54102</v>
      </c>
    </row>
    <row r="435">
      <c r="A435" s="17">
        <f>Github!J$434</f>
        <v>433</v>
      </c>
      <c r="B435" s="27" t="str">
        <f>HYPERLINK(CONCAT("http://leetcode.com/problems/",Github!C$434), Github!B$434)</f>
        <v>Minimum Genetic Mutation</v>
      </c>
      <c r="C435" s="17">
        <f>Github!F$434</f>
        <v>816</v>
      </c>
      <c r="D435" s="17">
        <f>Github!G$434</f>
        <v>96</v>
      </c>
      <c r="E435" s="17">
        <f>Github!F$434+Github!G$434</f>
        <v>912</v>
      </c>
      <c r="F435" s="18">
        <f t="shared" si="1"/>
        <v>8.5</v>
      </c>
      <c r="G435" s="17" t="str">
        <f>Github!H$434</f>
        <v>Algorithms</v>
      </c>
      <c r="H435" s="17" t="str">
        <f>Github!E$434</f>
        <v>Medium</v>
      </c>
      <c r="I435" s="17" t="str">
        <f>IF(TRIM(Github!D$434)="TRUE","FALSE","TRUE")</f>
        <v>TRUE</v>
      </c>
      <c r="J435" s="17"/>
      <c r="K435" s="17" t="str">
        <f>Github!L$434</f>
        <v>Hash Table;String;Breadth-First Search;</v>
      </c>
      <c r="L435" s="17" t="b">
        <f>Github!M$434</f>
        <v>0</v>
      </c>
      <c r="M435" s="17" t="str">
        <f>ROUND(Github!N$434, 2)&amp;"%"</f>
        <v>0%</v>
      </c>
      <c r="N435" s="17">
        <f>Github!O$434</f>
        <v>45.9321459</v>
      </c>
      <c r="O435" s="17">
        <f>Github!P$434</f>
        <v>50105</v>
      </c>
    </row>
    <row r="436">
      <c r="A436" s="17">
        <f>Github!J$435</f>
        <v>434</v>
      </c>
      <c r="B436" s="27" t="str">
        <f>HYPERLINK(CONCAT("http://leetcode.com/problems/",Github!C$435), Github!B$435)</f>
        <v>Number of Segments in a String</v>
      </c>
      <c r="C436" s="17">
        <f>Github!F$435</f>
        <v>418</v>
      </c>
      <c r="D436" s="17">
        <f>Github!G$435</f>
        <v>986</v>
      </c>
      <c r="E436" s="17">
        <f>Github!F$435+Github!G$435</f>
        <v>1404</v>
      </c>
      <c r="F436" s="18">
        <f t="shared" si="1"/>
        <v>0.42</v>
      </c>
      <c r="G436" s="17" t="str">
        <f>Github!H$435</f>
        <v>Algorithms</v>
      </c>
      <c r="H436" s="17" t="str">
        <f>Github!E$435</f>
        <v>Easy</v>
      </c>
      <c r="I436" s="17" t="str">
        <f>IF(TRIM(Github!D$435)="TRUE","FALSE","TRUE")</f>
        <v>TRUE</v>
      </c>
      <c r="J436" s="17"/>
      <c r="K436" s="17" t="str">
        <f>Github!L$435</f>
        <v>String;</v>
      </c>
      <c r="L436" s="17" t="b">
        <f>Github!M$435</f>
        <v>1</v>
      </c>
      <c r="M436" s="17" t="str">
        <f>ROUND(Github!N$435, 2)&amp;"%"</f>
        <v>0%</v>
      </c>
      <c r="N436" s="17">
        <f>Github!O$435</f>
        <v>37.91058023</v>
      </c>
      <c r="O436" s="17">
        <f>Github!P$435</f>
        <v>111909</v>
      </c>
    </row>
    <row r="437">
      <c r="A437" s="17">
        <f>Github!J$436</f>
        <v>435</v>
      </c>
      <c r="B437" s="27" t="str">
        <f>HYPERLINK(CONCAT("http://leetcode.com/problems/",Github!C$436), Github!B$436)</f>
        <v>Non-overlapping Intervals</v>
      </c>
      <c r="C437" s="17">
        <f>Github!F$436</f>
        <v>3643</v>
      </c>
      <c r="D437" s="17">
        <f>Github!G$436</f>
        <v>101</v>
      </c>
      <c r="E437" s="17">
        <f>Github!F$436+Github!G$436</f>
        <v>3744</v>
      </c>
      <c r="F437" s="18">
        <f t="shared" si="1"/>
        <v>36.07</v>
      </c>
      <c r="G437" s="17" t="str">
        <f>Github!H$436</f>
        <v>Algorithms</v>
      </c>
      <c r="H437" s="17" t="str">
        <f>Github!E$436</f>
        <v>Medium</v>
      </c>
      <c r="I437" s="17" t="str">
        <f>IF(TRIM(Github!D$436)="TRUE","FALSE","TRUE")</f>
        <v>TRUE</v>
      </c>
      <c r="J437" s="17"/>
      <c r="K437" s="17" t="str">
        <f>Github!L$436</f>
        <v>Array;Dynamic Programming;Greedy;Sorting;</v>
      </c>
      <c r="L437" s="17" t="b">
        <f>Github!M$436</f>
        <v>1</v>
      </c>
      <c r="M437" s="17" t="str">
        <f>ROUND(Github!N$436, 2)&amp;"%"</f>
        <v>0%</v>
      </c>
      <c r="N437" s="17">
        <f>Github!O$436</f>
        <v>47.80439016</v>
      </c>
      <c r="O437" s="17">
        <f>Github!P$436</f>
        <v>226071</v>
      </c>
    </row>
    <row r="438">
      <c r="A438" s="17">
        <f>Github!J$437</f>
        <v>436</v>
      </c>
      <c r="B438" s="27" t="str">
        <f>HYPERLINK(CONCAT("http://leetcode.com/problems/",Github!C$437), Github!B$437)</f>
        <v>Find Right Interval</v>
      </c>
      <c r="C438" s="17">
        <f>Github!F$437</f>
        <v>1115</v>
      </c>
      <c r="D438" s="17">
        <f>Github!G$437</f>
        <v>240</v>
      </c>
      <c r="E438" s="17">
        <f>Github!F$437+Github!G$437</f>
        <v>1355</v>
      </c>
      <c r="F438" s="18">
        <f t="shared" si="1"/>
        <v>4.65</v>
      </c>
      <c r="G438" s="17" t="str">
        <f>Github!H$437</f>
        <v>Algorithms</v>
      </c>
      <c r="H438" s="17" t="str">
        <f>Github!E$437</f>
        <v>Medium</v>
      </c>
      <c r="I438" s="17" t="str">
        <f>IF(TRIM(Github!D$437)="TRUE","FALSE","TRUE")</f>
        <v>TRUE</v>
      </c>
      <c r="J438" s="17"/>
      <c r="K438" s="17" t="str">
        <f>Github!L$437</f>
        <v>Array;Binary Search;Sorting;</v>
      </c>
      <c r="L438" s="17" t="b">
        <f>Github!M$437</f>
        <v>1</v>
      </c>
      <c r="M438" s="17" t="str">
        <f>ROUND(Github!N$437, 2)&amp;"%"</f>
        <v>0%</v>
      </c>
      <c r="N438" s="17">
        <f>Github!O$437</f>
        <v>49.29779174</v>
      </c>
      <c r="O438" s="17">
        <f>Github!P$437</f>
        <v>74697</v>
      </c>
    </row>
    <row r="439">
      <c r="A439" s="17">
        <f>Github!J$438</f>
        <v>437</v>
      </c>
      <c r="B439" s="27" t="str">
        <f>HYPERLINK(CONCAT("http://leetcode.com/problems/",Github!C$438), Github!B$438)</f>
        <v>Path Sum III</v>
      </c>
      <c r="C439" s="17">
        <f>Github!F$438</f>
        <v>7174</v>
      </c>
      <c r="D439" s="17">
        <f>Github!G$438</f>
        <v>357</v>
      </c>
      <c r="E439" s="17">
        <f>Github!F$438+Github!G$438</f>
        <v>7531</v>
      </c>
      <c r="F439" s="18">
        <f t="shared" si="1"/>
        <v>20.1</v>
      </c>
      <c r="G439" s="17" t="str">
        <f>Github!H$438</f>
        <v>Algorithms</v>
      </c>
      <c r="H439" s="17" t="str">
        <f>Github!E$438</f>
        <v>Medium</v>
      </c>
      <c r="I439" s="17" t="str">
        <f>IF(TRIM(Github!D$438)="TRUE","FALSE","TRUE")</f>
        <v>TRUE</v>
      </c>
      <c r="J439" s="17"/>
      <c r="K439" s="17" t="str">
        <f>Github!L$438</f>
        <v>Tree;Depth-First Search;Binary Tree;</v>
      </c>
      <c r="L439" s="17" t="b">
        <f>Github!M$438</f>
        <v>1</v>
      </c>
      <c r="M439" s="17" t="str">
        <f>ROUND(Github!N$438, 2)&amp;"%"</f>
        <v>0%</v>
      </c>
      <c r="N439" s="17">
        <f>Github!O$438</f>
        <v>50.12576536</v>
      </c>
      <c r="O439" s="17">
        <f>Github!P$438</f>
        <v>350137</v>
      </c>
    </row>
    <row r="440">
      <c r="A440" s="17">
        <f>Github!J$439</f>
        <v>438</v>
      </c>
      <c r="B440" s="27" t="str">
        <f>HYPERLINK(CONCAT("http://leetcode.com/problems/",Github!C$439), Github!B$439)</f>
        <v>Find All Anagrams in a String</v>
      </c>
      <c r="C440" s="17">
        <f>Github!F$439</f>
        <v>7088</v>
      </c>
      <c r="D440" s="17">
        <f>Github!G$439</f>
        <v>248</v>
      </c>
      <c r="E440" s="17">
        <f>Github!F$439+Github!G$439</f>
        <v>7336</v>
      </c>
      <c r="F440" s="18">
        <f t="shared" si="1"/>
        <v>28.58</v>
      </c>
      <c r="G440" s="17" t="str">
        <f>Github!H$439</f>
        <v>Algorithms</v>
      </c>
      <c r="H440" s="17" t="str">
        <f>Github!E$439</f>
        <v>Medium</v>
      </c>
      <c r="I440" s="17" t="str">
        <f>IF(TRIM(Github!D$439)="TRUE","FALSE","TRUE")</f>
        <v>TRUE</v>
      </c>
      <c r="J440" s="17"/>
      <c r="K440" s="17" t="str">
        <f>Github!L$439</f>
        <v>Hash Table;String;Sliding Window;</v>
      </c>
      <c r="L440" s="17" t="b">
        <f>Github!M$439</f>
        <v>1</v>
      </c>
      <c r="M440" s="17" t="str">
        <f>ROUND(Github!N$439, 2)&amp;"%"</f>
        <v>0%</v>
      </c>
      <c r="N440" s="17">
        <f>Github!O$439</f>
        <v>47.99132766</v>
      </c>
      <c r="O440" s="17">
        <f>Github!P$439</f>
        <v>503352</v>
      </c>
    </row>
    <row r="441">
      <c r="A441" s="17">
        <f>Github!J$440</f>
        <v>439</v>
      </c>
      <c r="B441" s="27" t="str">
        <f>HYPERLINK(CONCAT("http://leetcode.com/problems/",Github!C$440), Github!B$440)</f>
        <v>Ternary Expression Parser</v>
      </c>
      <c r="C441" s="17">
        <f>Github!F$440</f>
        <v>329</v>
      </c>
      <c r="D441" s="17">
        <f>Github!G$440</f>
        <v>41</v>
      </c>
      <c r="E441" s="17">
        <f>Github!F$440+Github!G$440</f>
        <v>370</v>
      </c>
      <c r="F441" s="18">
        <f t="shared" si="1"/>
        <v>8.02</v>
      </c>
      <c r="G441" s="17" t="str">
        <f>Github!H$440</f>
        <v>Algorithms</v>
      </c>
      <c r="H441" s="17" t="str">
        <f>Github!E$440</f>
        <v>Medium</v>
      </c>
      <c r="I441" s="17" t="str">
        <f>IF(TRIM(Github!D$440)="TRUE","FALSE","TRUE")</f>
        <v>FALSE</v>
      </c>
      <c r="J441" s="17"/>
      <c r="K441" s="17" t="str">
        <f>Github!L$440</f>
        <v>String;Stack;Recursion;</v>
      </c>
      <c r="L441" s="17" t="b">
        <f>Github!M$440</f>
        <v>0</v>
      </c>
      <c r="M441" s="17" t="str">
        <f>ROUND(Github!N$440, 2)&amp;"%"</f>
        <v>0%</v>
      </c>
      <c r="N441" s="17">
        <f>Github!O$440</f>
        <v>57.75786454</v>
      </c>
      <c r="O441" s="17">
        <f>Github!P$440</f>
        <v>24364</v>
      </c>
    </row>
    <row r="442">
      <c r="A442" s="17">
        <f>Github!J$441</f>
        <v>440</v>
      </c>
      <c r="B442" s="27" t="str">
        <f>HYPERLINK(CONCAT("http://leetcode.com/problems/",Github!C$441), Github!B$441)</f>
        <v>K-th Smallest in Lexicographical Order</v>
      </c>
      <c r="C442" s="17">
        <f>Github!F$441</f>
        <v>533</v>
      </c>
      <c r="D442" s="17">
        <f>Github!G$441</f>
        <v>72</v>
      </c>
      <c r="E442" s="17">
        <f>Github!F$441+Github!G$441</f>
        <v>605</v>
      </c>
      <c r="F442" s="18">
        <f t="shared" si="1"/>
        <v>7.4</v>
      </c>
      <c r="G442" s="17" t="str">
        <f>Github!H$441</f>
        <v>Algorithms</v>
      </c>
      <c r="H442" s="17" t="str">
        <f>Github!E$441</f>
        <v>Hard</v>
      </c>
      <c r="I442" s="17" t="str">
        <f>IF(TRIM(Github!D$441)="TRUE","FALSE","TRUE")</f>
        <v>TRUE</v>
      </c>
      <c r="J442" s="17"/>
      <c r="K442" s="17" t="str">
        <f>Github!L$441</f>
        <v>Trie;</v>
      </c>
      <c r="L442" s="17" t="b">
        <f>Github!M$441</f>
        <v>0</v>
      </c>
      <c r="M442" s="17" t="str">
        <f>ROUND(Github!N$441, 2)&amp;"%"</f>
        <v>0%</v>
      </c>
      <c r="N442" s="17">
        <f>Github!O$441</f>
        <v>30.44693732</v>
      </c>
      <c r="O442" s="17">
        <f>Github!P$441</f>
        <v>17099</v>
      </c>
    </row>
    <row r="443">
      <c r="A443" s="17">
        <f>Github!J$442</f>
        <v>441</v>
      </c>
      <c r="B443" s="27" t="str">
        <f>HYPERLINK(CONCAT("http://leetcode.com/problems/",Github!C$442), Github!B$442)</f>
        <v>Arranging Coins</v>
      </c>
      <c r="C443" s="17">
        <f>Github!F$442</f>
        <v>2007</v>
      </c>
      <c r="D443" s="17">
        <f>Github!G$442</f>
        <v>996</v>
      </c>
      <c r="E443" s="17">
        <f>Github!F$442+Github!G$442</f>
        <v>3003</v>
      </c>
      <c r="F443" s="18">
        <f t="shared" si="1"/>
        <v>2.02</v>
      </c>
      <c r="G443" s="17" t="str">
        <f>Github!H$442</f>
        <v>Algorithms</v>
      </c>
      <c r="H443" s="17" t="str">
        <f>Github!E$442</f>
        <v>Easy</v>
      </c>
      <c r="I443" s="17" t="str">
        <f>IF(TRIM(Github!D$442)="TRUE","FALSE","TRUE")</f>
        <v>TRUE</v>
      </c>
      <c r="J443" s="17"/>
      <c r="K443" s="17" t="str">
        <f>Github!L$442</f>
        <v>Math;Binary Search;</v>
      </c>
      <c r="L443" s="17" t="b">
        <f>Github!M$442</f>
        <v>1</v>
      </c>
      <c r="M443" s="17" t="str">
        <f>ROUND(Github!N$442, 2)&amp;"%"</f>
        <v>0%</v>
      </c>
      <c r="N443" s="17">
        <f>Github!O$442</f>
        <v>45.07013888</v>
      </c>
      <c r="O443" s="17">
        <f>Github!P$442</f>
        <v>264066</v>
      </c>
    </row>
    <row r="444">
      <c r="A444" s="17">
        <f>Github!J$443</f>
        <v>442</v>
      </c>
      <c r="B444" s="27" t="str">
        <f>HYPERLINK(CONCAT("http://leetcode.com/problems/",Github!C$443), Github!B$443)</f>
        <v>Find All Duplicates in an Array</v>
      </c>
      <c r="C444" s="17">
        <f>Github!F$443</f>
        <v>5820</v>
      </c>
      <c r="D444" s="17">
        <f>Github!G$443</f>
        <v>242</v>
      </c>
      <c r="E444" s="17">
        <f>Github!F$443+Github!G$443</f>
        <v>6062</v>
      </c>
      <c r="F444" s="18">
        <f t="shared" si="1"/>
        <v>24.05</v>
      </c>
      <c r="G444" s="17" t="str">
        <f>Github!H$443</f>
        <v>Algorithms</v>
      </c>
      <c r="H444" s="17" t="str">
        <f>Github!E$443</f>
        <v>Medium</v>
      </c>
      <c r="I444" s="17" t="str">
        <f>IF(TRIM(Github!D$443)="TRUE","FALSE","TRUE")</f>
        <v>TRUE</v>
      </c>
      <c r="J444" s="17"/>
      <c r="K444" s="17" t="str">
        <f>Github!L$443</f>
        <v>Array;Hash Table;</v>
      </c>
      <c r="L444" s="17" t="b">
        <f>Github!M$443</f>
        <v>1</v>
      </c>
      <c r="M444" s="17" t="str">
        <f>ROUND(Github!N$443, 2)&amp;"%"</f>
        <v>0%</v>
      </c>
      <c r="N444" s="17">
        <f>Github!O$443</f>
        <v>72.1591835</v>
      </c>
      <c r="O444" s="17">
        <f>Github!P$443</f>
        <v>380789</v>
      </c>
    </row>
    <row r="445">
      <c r="A445" s="17">
        <f>Github!J$444</f>
        <v>443</v>
      </c>
      <c r="B445" s="27" t="str">
        <f>HYPERLINK(CONCAT("http://leetcode.com/problems/",Github!C$444), Github!B$444)</f>
        <v>String Compression</v>
      </c>
      <c r="C445" s="17">
        <f>Github!F$444</f>
        <v>1947</v>
      </c>
      <c r="D445" s="17">
        <f>Github!G$444</f>
        <v>4066</v>
      </c>
      <c r="E445" s="17">
        <f>Github!F$444+Github!G$444</f>
        <v>6013</v>
      </c>
      <c r="F445" s="18">
        <f t="shared" si="1"/>
        <v>0.48</v>
      </c>
      <c r="G445" s="17" t="str">
        <f>Github!H$444</f>
        <v>Algorithms</v>
      </c>
      <c r="H445" s="17" t="str">
        <f>Github!E$444</f>
        <v>Medium</v>
      </c>
      <c r="I445" s="17" t="str">
        <f>IF(TRIM(Github!D$444)="TRUE","FALSE","TRUE")</f>
        <v>TRUE</v>
      </c>
      <c r="J445" s="17"/>
      <c r="K445" s="17" t="str">
        <f>Github!L$444</f>
        <v>Two Pointers;String;</v>
      </c>
      <c r="L445" s="17" t="b">
        <f>Github!M$444</f>
        <v>0</v>
      </c>
      <c r="M445" s="17" t="str">
        <f>ROUND(Github!N$444, 2)&amp;"%"</f>
        <v>0%</v>
      </c>
      <c r="N445" s="17">
        <f>Github!O$444</f>
        <v>47.24561737</v>
      </c>
      <c r="O445" s="17">
        <f>Github!P$444</f>
        <v>236220</v>
      </c>
    </row>
    <row r="446">
      <c r="A446" s="17">
        <f>Github!J$445</f>
        <v>444</v>
      </c>
      <c r="B446" s="27" t="str">
        <f>HYPERLINK(CONCAT("http://leetcode.com/problems/",Github!C$445), Github!B$445)</f>
        <v>Sequence Reconstruction</v>
      </c>
      <c r="C446" s="17">
        <f>Github!F$445</f>
        <v>441</v>
      </c>
      <c r="D446" s="17">
        <f>Github!G$445</f>
        <v>1374</v>
      </c>
      <c r="E446" s="17">
        <f>Github!F$445+Github!G$445</f>
        <v>1815</v>
      </c>
      <c r="F446" s="18">
        <f t="shared" si="1"/>
        <v>0.32</v>
      </c>
      <c r="G446" s="17" t="str">
        <f>Github!H$445</f>
        <v>Algorithms</v>
      </c>
      <c r="H446" s="17" t="str">
        <f>Github!E$445</f>
        <v>Medium</v>
      </c>
      <c r="I446" s="17" t="str">
        <f>IF(TRIM(Github!D$445)="TRUE","FALSE","TRUE")</f>
        <v>FALSE</v>
      </c>
      <c r="J446" s="17"/>
      <c r="K446" s="17" t="str">
        <f>Github!L$445</f>
        <v>Array;Graph;Topological Sort;</v>
      </c>
      <c r="L446" s="17" t="b">
        <f>Github!M$445</f>
        <v>0</v>
      </c>
      <c r="M446" s="17" t="str">
        <f>ROUND(Github!N$445, 2)&amp;"%"</f>
        <v>0%</v>
      </c>
      <c r="N446" s="17">
        <f>Github!O$445</f>
        <v>24.67707243</v>
      </c>
      <c r="O446" s="17">
        <f>Github!P$445</f>
        <v>42907</v>
      </c>
    </row>
    <row r="447">
      <c r="A447" s="17">
        <f>Github!J$446</f>
        <v>445</v>
      </c>
      <c r="B447" s="27" t="str">
        <f>HYPERLINK(CONCAT("http://leetcode.com/problems/",Github!C$446), Github!B$446)</f>
        <v>Add Two Numbers II</v>
      </c>
      <c r="C447" s="17">
        <f>Github!F$446</f>
        <v>3313</v>
      </c>
      <c r="D447" s="17">
        <f>Github!G$446</f>
        <v>225</v>
      </c>
      <c r="E447" s="17">
        <f>Github!F$446+Github!G$446</f>
        <v>3538</v>
      </c>
      <c r="F447" s="18">
        <f t="shared" si="1"/>
        <v>14.72</v>
      </c>
      <c r="G447" s="17" t="str">
        <f>Github!H$446</f>
        <v>Algorithms</v>
      </c>
      <c r="H447" s="17" t="str">
        <f>Github!E$446</f>
        <v>Medium</v>
      </c>
      <c r="I447" s="17" t="str">
        <f>IF(TRIM(Github!D$446)="TRUE","FALSE","TRUE")</f>
        <v>TRUE</v>
      </c>
      <c r="J447" s="17"/>
      <c r="K447" s="17" t="str">
        <f>Github!L$446</f>
        <v>Linked List;Math;Stack;</v>
      </c>
      <c r="L447" s="17" t="b">
        <f>Github!M$446</f>
        <v>1</v>
      </c>
      <c r="M447" s="17" t="str">
        <f>ROUND(Github!N$446, 2)&amp;"%"</f>
        <v>0%</v>
      </c>
      <c r="N447" s="17">
        <f>Github!O$446</f>
        <v>58.36131593</v>
      </c>
      <c r="O447" s="17">
        <f>Github!P$446</f>
        <v>299111</v>
      </c>
    </row>
    <row r="448">
      <c r="A448" s="17">
        <f>Github!J$447</f>
        <v>446</v>
      </c>
      <c r="B448" s="27" t="str">
        <f>HYPERLINK(CONCAT("http://leetcode.com/problems/",Github!C$447), Github!B$447)</f>
        <v>Arithmetic Slices II - Subsequence</v>
      </c>
      <c r="C448" s="17">
        <f>Github!F$447</f>
        <v>1313</v>
      </c>
      <c r="D448" s="17">
        <f>Github!G$447</f>
        <v>84</v>
      </c>
      <c r="E448" s="17">
        <f>Github!F$447+Github!G$447</f>
        <v>1397</v>
      </c>
      <c r="F448" s="18">
        <f t="shared" si="1"/>
        <v>15.63</v>
      </c>
      <c r="G448" s="17" t="str">
        <f>Github!H$447</f>
        <v>Algorithms</v>
      </c>
      <c r="H448" s="17" t="str">
        <f>Github!E$447</f>
        <v>Hard</v>
      </c>
      <c r="I448" s="17" t="str">
        <f>IF(TRIM(Github!D$447)="TRUE","FALSE","TRUE")</f>
        <v>TRUE</v>
      </c>
      <c r="J448" s="17"/>
      <c r="K448" s="17" t="str">
        <f>Github!L$447</f>
        <v>Array;Dynamic Programming;</v>
      </c>
      <c r="L448" s="17" t="b">
        <f>Github!M$447</f>
        <v>1</v>
      </c>
      <c r="M448" s="17" t="str">
        <f>ROUND(Github!N$447, 2)&amp;"%"</f>
        <v>0%</v>
      </c>
      <c r="N448" s="17">
        <f>Github!O$447</f>
        <v>39.33926512</v>
      </c>
      <c r="O448" s="17">
        <f>Github!P$447</f>
        <v>42973</v>
      </c>
    </row>
    <row r="449">
      <c r="A449" s="17">
        <f>Github!J$448</f>
        <v>447</v>
      </c>
      <c r="B449" s="27" t="str">
        <f>HYPERLINK(CONCAT("http://leetcode.com/problems/",Github!C$448), Github!B$448)</f>
        <v>Number of Boomerangs</v>
      </c>
      <c r="C449" s="17">
        <f>Github!F$448</f>
        <v>590</v>
      </c>
      <c r="D449" s="17">
        <f>Github!G$448</f>
        <v>857</v>
      </c>
      <c r="E449" s="17">
        <f>Github!F$448+Github!G$448</f>
        <v>1447</v>
      </c>
      <c r="F449" s="18">
        <f t="shared" si="1"/>
        <v>0.69</v>
      </c>
      <c r="G449" s="17" t="str">
        <f>Github!H$448</f>
        <v>Algorithms</v>
      </c>
      <c r="H449" s="17" t="str">
        <f>Github!E$448</f>
        <v>Medium</v>
      </c>
      <c r="I449" s="17" t="str">
        <f>IF(TRIM(Github!D$448)="TRUE","FALSE","TRUE")</f>
        <v>TRUE</v>
      </c>
      <c r="J449" s="17"/>
      <c r="K449" s="17" t="str">
        <f>Github!L$448</f>
        <v>Array;Hash Table;Math;</v>
      </c>
      <c r="L449" s="17" t="b">
        <f>Github!M$448</f>
        <v>0</v>
      </c>
      <c r="M449" s="17" t="str">
        <f>ROUND(Github!N$448, 2)&amp;"%"</f>
        <v>0%</v>
      </c>
      <c r="N449" s="17">
        <f>Github!O$448</f>
        <v>53.81911216</v>
      </c>
      <c r="O449" s="17">
        <f>Github!P$448</f>
        <v>82671</v>
      </c>
    </row>
    <row r="450">
      <c r="A450" s="17">
        <f>Github!J$449</f>
        <v>448</v>
      </c>
      <c r="B450" s="27" t="str">
        <f>HYPERLINK(CONCAT("http://leetcode.com/problems/",Github!C$449), Github!B$449)</f>
        <v>Find All Numbers Disappeared in an Array</v>
      </c>
      <c r="C450" s="17">
        <f>Github!F$449</f>
        <v>6226</v>
      </c>
      <c r="D450" s="17">
        <f>Github!G$449</f>
        <v>368</v>
      </c>
      <c r="E450" s="17">
        <f>Github!F$449+Github!G$449</f>
        <v>6594</v>
      </c>
      <c r="F450" s="18">
        <f t="shared" si="1"/>
        <v>16.92</v>
      </c>
      <c r="G450" s="17" t="str">
        <f>Github!H$449</f>
        <v>Algorithms</v>
      </c>
      <c r="H450" s="17" t="str">
        <f>Github!E$449</f>
        <v>Easy</v>
      </c>
      <c r="I450" s="17" t="str">
        <f>IF(TRIM(Github!D$449)="TRUE","FALSE","TRUE")</f>
        <v>TRUE</v>
      </c>
      <c r="J450" s="17"/>
      <c r="K450" s="17" t="str">
        <f>Github!L$449</f>
        <v>Array;Hash Table;</v>
      </c>
      <c r="L450" s="17" t="b">
        <f>Github!M$449</f>
        <v>1</v>
      </c>
      <c r="M450" s="17" t="str">
        <f>ROUND(Github!N$449, 2)&amp;"%"</f>
        <v>0%</v>
      </c>
      <c r="N450" s="17">
        <f>Github!O$449</f>
        <v>58.87138098</v>
      </c>
      <c r="O450" s="17">
        <f>Github!P$449</f>
        <v>544578</v>
      </c>
    </row>
    <row r="451">
      <c r="A451" s="17">
        <f>Github!J$450</f>
        <v>449</v>
      </c>
      <c r="B451" s="27" t="str">
        <f>HYPERLINK(CONCAT("http://leetcode.com/problems/",Github!C$450), Github!B$450)</f>
        <v>Serialize and Deserialize BST</v>
      </c>
      <c r="C451" s="17">
        <f>Github!F$450</f>
        <v>2564</v>
      </c>
      <c r="D451" s="17">
        <f>Github!G$450</f>
        <v>127</v>
      </c>
      <c r="E451" s="17">
        <f>Github!F$450+Github!G$450</f>
        <v>2691</v>
      </c>
      <c r="F451" s="18">
        <f t="shared" si="1"/>
        <v>20.19</v>
      </c>
      <c r="G451" s="17" t="str">
        <f>Github!H$450</f>
        <v>Algorithms</v>
      </c>
      <c r="H451" s="17" t="str">
        <f>Github!E$450</f>
        <v>Medium</v>
      </c>
      <c r="I451" s="17" t="str">
        <f>IF(TRIM(Github!D$450)="TRUE","FALSE","TRUE")</f>
        <v>TRUE</v>
      </c>
      <c r="J451" s="17"/>
      <c r="K451" s="17" t="str">
        <f>Github!L$450</f>
        <v>String;Tree;Depth-First Search;Breadth-First Search;Design;Binary Search Tree;Binary Tree;</v>
      </c>
      <c r="L451" s="17" t="b">
        <f>Github!M$450</f>
        <v>1</v>
      </c>
      <c r="M451" s="17" t="str">
        <f>ROUND(Github!N$450, 2)&amp;"%"</f>
        <v>0%</v>
      </c>
      <c r="N451" s="17">
        <f>Github!O$450</f>
        <v>55.99012556</v>
      </c>
      <c r="O451" s="17">
        <f>Github!P$450</f>
        <v>186883</v>
      </c>
    </row>
    <row r="452">
      <c r="A452" s="17">
        <f>Github!J$451</f>
        <v>450</v>
      </c>
      <c r="B452" s="27" t="str">
        <f>HYPERLINK(CONCAT("http://leetcode.com/problems/",Github!C$451), Github!B$451)</f>
        <v>Delete Node in a BST</v>
      </c>
      <c r="C452" s="17">
        <f>Github!F$451</f>
        <v>4980</v>
      </c>
      <c r="D452" s="17">
        <f>Github!G$451</f>
        <v>146</v>
      </c>
      <c r="E452" s="17">
        <f>Github!F$451+Github!G$451</f>
        <v>5126</v>
      </c>
      <c r="F452" s="18">
        <f t="shared" si="1"/>
        <v>34.11</v>
      </c>
      <c r="G452" s="17" t="str">
        <f>Github!H$451</f>
        <v>Algorithms</v>
      </c>
      <c r="H452" s="17" t="str">
        <f>Github!E$451</f>
        <v>Medium</v>
      </c>
      <c r="I452" s="17" t="str">
        <f>IF(TRIM(Github!D$451)="TRUE","FALSE","TRUE")</f>
        <v>TRUE</v>
      </c>
      <c r="J452" s="17"/>
      <c r="K452" s="17" t="str">
        <f>Github!L$451</f>
        <v>Tree;Binary Search Tree;Binary Tree;</v>
      </c>
      <c r="L452" s="17" t="b">
        <f>Github!M$451</f>
        <v>1</v>
      </c>
      <c r="M452" s="17" t="str">
        <f>ROUND(Github!N$451, 2)&amp;"%"</f>
        <v>0%</v>
      </c>
      <c r="N452" s="17">
        <f>Github!O$451</f>
        <v>48.65347825</v>
      </c>
      <c r="O452" s="17">
        <f>Github!P$451</f>
        <v>258382</v>
      </c>
    </row>
    <row r="453">
      <c r="A453" s="17">
        <f>Github!J$452</f>
        <v>451</v>
      </c>
      <c r="B453" s="27" t="str">
        <f>HYPERLINK(CONCAT("http://leetcode.com/problems/",Github!C$452), Github!B$452)</f>
        <v>Sort Characters By Frequency</v>
      </c>
      <c r="C453" s="17">
        <f>Github!F$452</f>
        <v>3832</v>
      </c>
      <c r="D453" s="17">
        <f>Github!G$452</f>
        <v>177</v>
      </c>
      <c r="E453" s="17">
        <f>Github!F$452+Github!G$452</f>
        <v>4009</v>
      </c>
      <c r="F453" s="18">
        <f t="shared" si="1"/>
        <v>21.65</v>
      </c>
      <c r="G453" s="17" t="str">
        <f>Github!H$452</f>
        <v>Algorithms</v>
      </c>
      <c r="H453" s="17" t="str">
        <f>Github!E$452</f>
        <v>Medium</v>
      </c>
      <c r="I453" s="17" t="str">
        <f>IF(TRIM(Github!D$452)="TRUE","FALSE","TRUE")</f>
        <v>TRUE</v>
      </c>
      <c r="J453" s="17"/>
      <c r="K453" s="17" t="str">
        <f>Github!L$452</f>
        <v>Hash Table;String;Sorting;Heap (Priority Queue);Bucket Sort;Counting;</v>
      </c>
      <c r="L453" s="17" t="b">
        <f>Github!M$452</f>
        <v>1</v>
      </c>
      <c r="M453" s="17" t="str">
        <f>ROUND(Github!N$452, 2)&amp;"%"</f>
        <v>0%</v>
      </c>
      <c r="N453" s="17">
        <f>Github!O$452</f>
        <v>67.49382656</v>
      </c>
      <c r="O453" s="17">
        <f>Github!P$452</f>
        <v>345752</v>
      </c>
    </row>
    <row r="454">
      <c r="A454" s="17">
        <f>Github!J$453</f>
        <v>452</v>
      </c>
      <c r="B454" s="27" t="str">
        <f>HYPERLINK(CONCAT("http://leetcode.com/problems/",Github!C$453), Github!B$453)</f>
        <v>Minimum Number of Arrows to Burst Balloons</v>
      </c>
      <c r="C454" s="17">
        <f>Github!F$453</f>
        <v>3291</v>
      </c>
      <c r="D454" s="17">
        <f>Github!G$453</f>
        <v>96</v>
      </c>
      <c r="E454" s="17">
        <f>Github!F$453+Github!G$453</f>
        <v>3387</v>
      </c>
      <c r="F454" s="18">
        <f t="shared" si="1"/>
        <v>34.28</v>
      </c>
      <c r="G454" s="17" t="str">
        <f>Github!H$453</f>
        <v>Algorithms</v>
      </c>
      <c r="H454" s="17" t="str">
        <f>Github!E$453</f>
        <v>Medium</v>
      </c>
      <c r="I454" s="17" t="str">
        <f>IF(TRIM(Github!D$453)="TRUE","FALSE","TRUE")</f>
        <v>TRUE</v>
      </c>
      <c r="J454" s="17"/>
      <c r="K454" s="17" t="str">
        <f>Github!L$453</f>
        <v>Array;Greedy;Sorting;</v>
      </c>
      <c r="L454" s="17" t="b">
        <f>Github!M$453</f>
        <v>1</v>
      </c>
      <c r="M454" s="17" t="str">
        <f>ROUND(Github!N$453, 2)&amp;"%"</f>
        <v>0%</v>
      </c>
      <c r="N454" s="17">
        <f>Github!O$453</f>
        <v>52.78219581</v>
      </c>
      <c r="O454" s="17">
        <f>Github!P$453</f>
        <v>181526</v>
      </c>
    </row>
    <row r="455">
      <c r="A455" s="17">
        <f>Github!J$454</f>
        <v>453</v>
      </c>
      <c r="B455" s="27" t="str">
        <f>HYPERLINK(CONCAT("http://leetcode.com/problems/",Github!C$454), Github!B$454)</f>
        <v>Minimum Moves to Equal Array Elements</v>
      </c>
      <c r="C455" s="17">
        <f>Github!F$454</f>
        <v>1372</v>
      </c>
      <c r="D455" s="17">
        <f>Github!G$454</f>
        <v>1516</v>
      </c>
      <c r="E455" s="17">
        <f>Github!F$454+Github!G$454</f>
        <v>2888</v>
      </c>
      <c r="F455" s="18">
        <f t="shared" si="1"/>
        <v>0.91</v>
      </c>
      <c r="G455" s="17" t="str">
        <f>Github!H$454</f>
        <v>Algorithms</v>
      </c>
      <c r="H455" s="17" t="str">
        <f>Github!E$454</f>
        <v>Medium</v>
      </c>
      <c r="I455" s="17" t="str">
        <f>IF(TRIM(Github!D$454)="TRUE","FALSE","TRUE")</f>
        <v>TRUE</v>
      </c>
      <c r="J455" s="17"/>
      <c r="K455" s="17" t="str">
        <f>Github!L$454</f>
        <v>Array;Math;</v>
      </c>
      <c r="L455" s="17" t="b">
        <f>Github!M$454</f>
        <v>1</v>
      </c>
      <c r="M455" s="17" t="str">
        <f>ROUND(Github!N$454, 2)&amp;"%"</f>
        <v>0%</v>
      </c>
      <c r="N455" s="17">
        <f>Github!O$454</f>
        <v>53.74254692</v>
      </c>
      <c r="O455" s="17">
        <f>Github!P$454</f>
        <v>118345</v>
      </c>
    </row>
    <row r="456">
      <c r="A456" s="17">
        <f>Github!J$455</f>
        <v>454</v>
      </c>
      <c r="B456" s="27" t="str">
        <f>HYPERLINK(CONCAT("http://leetcode.com/problems/",Github!C$455), Github!B$455)</f>
        <v>4Sum II</v>
      </c>
      <c r="C456" s="17">
        <f>Github!F$455</f>
        <v>3684</v>
      </c>
      <c r="D456" s="17">
        <f>Github!G$455</f>
        <v>111</v>
      </c>
      <c r="E456" s="17">
        <f>Github!F$455+Github!G$455</f>
        <v>3795</v>
      </c>
      <c r="F456" s="18">
        <f t="shared" si="1"/>
        <v>33.19</v>
      </c>
      <c r="G456" s="17" t="str">
        <f>Github!H$455</f>
        <v>Algorithms</v>
      </c>
      <c r="H456" s="17" t="str">
        <f>Github!E$455</f>
        <v>Medium</v>
      </c>
      <c r="I456" s="17" t="str">
        <f>IF(TRIM(Github!D$455)="TRUE","FALSE","TRUE")</f>
        <v>TRUE</v>
      </c>
      <c r="J456" s="17"/>
      <c r="K456" s="17" t="str">
        <f>Github!L$455</f>
        <v>Array;Hash Table;</v>
      </c>
      <c r="L456" s="17" t="b">
        <f>Github!M$455</f>
        <v>1</v>
      </c>
      <c r="M456" s="17" t="str">
        <f>ROUND(Github!N$455, 2)&amp;"%"</f>
        <v>0%</v>
      </c>
      <c r="N456" s="17">
        <f>Github!O$455</f>
        <v>56.94132616</v>
      </c>
      <c r="O456" s="17">
        <f>Github!P$455</f>
        <v>245245</v>
      </c>
    </row>
    <row r="457">
      <c r="A457" s="17">
        <f>Github!J$456</f>
        <v>455</v>
      </c>
      <c r="B457" s="27" t="str">
        <f>HYPERLINK(CONCAT("http://leetcode.com/problems/",Github!C$456), Github!B$456)</f>
        <v>Assign Cookies</v>
      </c>
      <c r="C457" s="17">
        <f>Github!F$456</f>
        <v>1348</v>
      </c>
      <c r="D457" s="17">
        <f>Github!G$456</f>
        <v>150</v>
      </c>
      <c r="E457" s="17">
        <f>Github!F$456+Github!G$456</f>
        <v>1498</v>
      </c>
      <c r="F457" s="18">
        <f t="shared" si="1"/>
        <v>8.99</v>
      </c>
      <c r="G457" s="17" t="str">
        <f>Github!H$456</f>
        <v>Algorithms</v>
      </c>
      <c r="H457" s="17" t="str">
        <f>Github!E$456</f>
        <v>Easy</v>
      </c>
      <c r="I457" s="17" t="str">
        <f>IF(TRIM(Github!D$456)="TRUE","FALSE","TRUE")</f>
        <v>TRUE</v>
      </c>
      <c r="J457" s="17"/>
      <c r="K457" s="17" t="str">
        <f>Github!L$456</f>
        <v>Array;Greedy;Sorting;</v>
      </c>
      <c r="L457" s="17" t="b">
        <f>Github!M$456</f>
        <v>0</v>
      </c>
      <c r="M457" s="17" t="str">
        <f>ROUND(Github!N$456, 2)&amp;"%"</f>
        <v>0%</v>
      </c>
      <c r="N457" s="17">
        <f>Github!O$456</f>
        <v>50.72794151</v>
      </c>
      <c r="O457" s="17">
        <f>Github!P$456</f>
        <v>157768</v>
      </c>
    </row>
    <row r="458">
      <c r="A458" s="17">
        <f>Github!J$457</f>
        <v>456</v>
      </c>
      <c r="B458" s="27" t="str">
        <f>HYPERLINK(CONCAT("http://leetcode.com/problems/",Github!C$457), Github!B$457)</f>
        <v>132 Pattern</v>
      </c>
      <c r="C458" s="17">
        <f>Github!F$457</f>
        <v>3112</v>
      </c>
      <c r="D458" s="17">
        <f>Github!G$457</f>
        <v>171</v>
      </c>
      <c r="E458" s="17">
        <f>Github!F$457+Github!G$457</f>
        <v>3283</v>
      </c>
      <c r="F458" s="18">
        <f t="shared" si="1"/>
        <v>18.2</v>
      </c>
      <c r="G458" s="17" t="str">
        <f>Github!H$457</f>
        <v>Algorithms</v>
      </c>
      <c r="H458" s="17" t="str">
        <f>Github!E$457</f>
        <v>Medium</v>
      </c>
      <c r="I458" s="17" t="str">
        <f>IF(TRIM(Github!D$457)="TRUE","FALSE","TRUE")</f>
        <v>TRUE</v>
      </c>
      <c r="J458" s="17"/>
      <c r="K458" s="17" t="str">
        <f>Github!L$457</f>
        <v>Array;Binary Search;Stack;Monotonic Stack;Ordered Set;</v>
      </c>
      <c r="L458" s="17" t="b">
        <f>Github!M$457</f>
        <v>1</v>
      </c>
      <c r="M458" s="17" t="str">
        <f>ROUND(Github!N$457, 2)&amp;"%"</f>
        <v>1%</v>
      </c>
      <c r="N458" s="17">
        <f>Github!O$457</f>
        <v>30.91559743</v>
      </c>
      <c r="O458" s="17">
        <f>Github!P$457</f>
        <v>104619</v>
      </c>
    </row>
    <row r="459">
      <c r="A459" s="17">
        <f>Github!J$458</f>
        <v>457</v>
      </c>
      <c r="B459" s="27" t="str">
        <f>HYPERLINK(CONCAT("http://leetcode.com/problems/",Github!C$458), Github!B$458)</f>
        <v>Circular Array Loop</v>
      </c>
      <c r="C459" s="17">
        <f>Github!F$458</f>
        <v>319</v>
      </c>
      <c r="D459" s="17">
        <f>Github!G$458</f>
        <v>270</v>
      </c>
      <c r="E459" s="17">
        <f>Github!F$458+Github!G$458</f>
        <v>589</v>
      </c>
      <c r="F459" s="18">
        <f t="shared" si="1"/>
        <v>1.18</v>
      </c>
      <c r="G459" s="17" t="str">
        <f>Github!H$458</f>
        <v>Algorithms</v>
      </c>
      <c r="H459" s="17" t="str">
        <f>Github!E$458</f>
        <v>Medium</v>
      </c>
      <c r="I459" s="17" t="str">
        <f>IF(TRIM(Github!D$458)="TRUE","FALSE","TRUE")</f>
        <v>TRUE</v>
      </c>
      <c r="J459" s="17"/>
      <c r="K459" s="17" t="str">
        <f>Github!L$458</f>
        <v>Array;Hash Table;Two Pointers;</v>
      </c>
      <c r="L459" s="17" t="b">
        <f>Github!M$458</f>
        <v>0</v>
      </c>
      <c r="M459" s="17" t="str">
        <f>ROUND(Github!N$458, 2)&amp;"%"</f>
        <v>0%</v>
      </c>
      <c r="N459" s="17">
        <f>Github!O$458</f>
        <v>31.51337506</v>
      </c>
      <c r="O459" s="17">
        <f>Github!P$458</f>
        <v>57089</v>
      </c>
    </row>
    <row r="460">
      <c r="A460" s="17">
        <f>Github!J$459</f>
        <v>458</v>
      </c>
      <c r="B460" s="27" t="str">
        <f>HYPERLINK(CONCAT("http://leetcode.com/problems/",Github!C$459), Github!B$459)</f>
        <v>Poor Pigs</v>
      </c>
      <c r="C460" s="17">
        <f>Github!F$459</f>
        <v>626</v>
      </c>
      <c r="D460" s="17">
        <f>Github!G$459</f>
        <v>1128</v>
      </c>
      <c r="E460" s="17">
        <f>Github!F$459+Github!G$459</f>
        <v>1754</v>
      </c>
      <c r="F460" s="18">
        <f t="shared" si="1"/>
        <v>0.55</v>
      </c>
      <c r="G460" s="17" t="str">
        <f>Github!H$459</f>
        <v>Algorithms</v>
      </c>
      <c r="H460" s="17" t="str">
        <f>Github!E$459</f>
        <v>Hard</v>
      </c>
      <c r="I460" s="17" t="str">
        <f>IF(TRIM(Github!D$459)="TRUE","FALSE","TRUE")</f>
        <v>TRUE</v>
      </c>
      <c r="J460" s="17"/>
      <c r="K460" s="17" t="str">
        <f>Github!L$459</f>
        <v>Math;Dynamic Programming;Combinatorics;</v>
      </c>
      <c r="L460" s="17" t="b">
        <f>Github!M$459</f>
        <v>1</v>
      </c>
      <c r="M460" s="17" t="str">
        <f>ROUND(Github!N$459, 2)&amp;"%"</f>
        <v>0%</v>
      </c>
      <c r="N460" s="17">
        <f>Github!O$459</f>
        <v>55.43483711</v>
      </c>
      <c r="O460" s="17">
        <f>Github!P$459</f>
        <v>33165</v>
      </c>
    </row>
    <row r="461">
      <c r="A461" s="17">
        <f>Github!J$460</f>
        <v>459</v>
      </c>
      <c r="B461" s="27" t="str">
        <f>HYPERLINK(CONCAT("http://leetcode.com/problems/",Github!C$460), Github!B$460)</f>
        <v>Repeated Substring Pattern</v>
      </c>
      <c r="C461" s="17">
        <f>Github!F$460</f>
        <v>3131</v>
      </c>
      <c r="D461" s="17">
        <f>Github!G$460</f>
        <v>302</v>
      </c>
      <c r="E461" s="17">
        <f>Github!F$460+Github!G$460</f>
        <v>3433</v>
      </c>
      <c r="F461" s="18">
        <f t="shared" si="1"/>
        <v>10.37</v>
      </c>
      <c r="G461" s="17" t="str">
        <f>Github!H$460</f>
        <v>Algorithms</v>
      </c>
      <c r="H461" s="17" t="str">
        <f>Github!E$460</f>
        <v>Easy</v>
      </c>
      <c r="I461" s="17" t="str">
        <f>IF(TRIM(Github!D$460)="TRUE","FALSE","TRUE")</f>
        <v>TRUE</v>
      </c>
      <c r="J461" s="17"/>
      <c r="K461" s="17" t="str">
        <f>Github!L$460</f>
        <v>String;String Matching;</v>
      </c>
      <c r="L461" s="17" t="b">
        <f>Github!M$460</f>
        <v>0</v>
      </c>
      <c r="M461" s="17" t="str">
        <f>ROUND(Github!N$460, 2)&amp;"%"</f>
        <v>0%</v>
      </c>
      <c r="N461" s="17">
        <f>Github!O$460</f>
        <v>43.51955602</v>
      </c>
      <c r="O461" s="17">
        <f>Github!P$460</f>
        <v>230703</v>
      </c>
    </row>
    <row r="462">
      <c r="A462" s="17">
        <f>Github!J$461</f>
        <v>460</v>
      </c>
      <c r="B462" s="27" t="str">
        <f>HYPERLINK(CONCAT("http://leetcode.com/problems/",Github!C$461), Github!B$461)</f>
        <v>LFU Cache</v>
      </c>
      <c r="C462" s="17">
        <f>Github!F$461</f>
        <v>3009</v>
      </c>
      <c r="D462" s="17">
        <f>Github!G$461</f>
        <v>200</v>
      </c>
      <c r="E462" s="17">
        <f>Github!F$461+Github!G$461</f>
        <v>3209</v>
      </c>
      <c r="F462" s="18">
        <f t="shared" si="1"/>
        <v>15.05</v>
      </c>
      <c r="G462" s="17" t="str">
        <f>Github!H$461</f>
        <v>Algorithms</v>
      </c>
      <c r="H462" s="17" t="str">
        <f>Github!E$461</f>
        <v>Hard</v>
      </c>
      <c r="I462" s="17" t="str">
        <f>IF(TRIM(Github!D$461)="TRUE","FALSE","TRUE")</f>
        <v>TRUE</v>
      </c>
      <c r="J462" s="17"/>
      <c r="K462" s="17" t="str">
        <f>Github!L$461</f>
        <v>Hash Table;Linked List;Design;Doubly-Linked List;</v>
      </c>
      <c r="L462" s="17" t="b">
        <f>Github!M$461</f>
        <v>0</v>
      </c>
      <c r="M462" s="17" t="str">
        <f>ROUND(Github!N$461, 2)&amp;"%"</f>
        <v>0%</v>
      </c>
      <c r="N462" s="17">
        <f>Github!O$461</f>
        <v>39.10714478</v>
      </c>
      <c r="O462" s="17">
        <f>Github!P$461</f>
        <v>145570</v>
      </c>
    </row>
    <row r="463">
      <c r="A463" s="17">
        <f>Github!J$462</f>
        <v>461</v>
      </c>
      <c r="B463" s="27" t="str">
        <f>HYPERLINK(CONCAT("http://leetcode.com/problems/",Github!C$462), Github!B$462)</f>
        <v>Hamming Distance</v>
      </c>
      <c r="C463" s="17">
        <f>Github!F$462</f>
        <v>2972</v>
      </c>
      <c r="D463" s="17">
        <f>Github!G$462</f>
        <v>197</v>
      </c>
      <c r="E463" s="17">
        <f>Github!F$462+Github!G$462</f>
        <v>3169</v>
      </c>
      <c r="F463" s="18">
        <f t="shared" si="1"/>
        <v>15.09</v>
      </c>
      <c r="G463" s="17" t="str">
        <f>Github!H$462</f>
        <v>Algorithms</v>
      </c>
      <c r="H463" s="17" t="str">
        <f>Github!E$462</f>
        <v>Easy</v>
      </c>
      <c r="I463" s="17" t="str">
        <f>IF(TRIM(Github!D$462)="TRUE","FALSE","TRUE")</f>
        <v>TRUE</v>
      </c>
      <c r="J463" s="17"/>
      <c r="K463" s="17" t="str">
        <f>Github!L$462</f>
        <v>Bit Manipulation;</v>
      </c>
      <c r="L463" s="17" t="b">
        <f>Github!M$462</f>
        <v>1</v>
      </c>
      <c r="M463" s="17" t="str">
        <f>ROUND(Github!N$462, 2)&amp;"%"</f>
        <v>0%</v>
      </c>
      <c r="N463" s="17">
        <f>Github!O$462</f>
        <v>74.43430257</v>
      </c>
      <c r="O463" s="17">
        <f>Github!P$462</f>
        <v>464904</v>
      </c>
    </row>
    <row r="464">
      <c r="A464" s="17">
        <f>Github!J$463</f>
        <v>462</v>
      </c>
      <c r="B464" s="27" t="str">
        <f>HYPERLINK(CONCAT("http://leetcode.com/problems/",Github!C$463), Github!B$463)</f>
        <v>Minimum Moves to Equal Array Elements II</v>
      </c>
      <c r="C464" s="17">
        <f>Github!F$463</f>
        <v>1326</v>
      </c>
      <c r="D464" s="17">
        <f>Github!G$463</f>
        <v>72</v>
      </c>
      <c r="E464" s="17">
        <f>Github!F$463+Github!G$463</f>
        <v>1398</v>
      </c>
      <c r="F464" s="18">
        <f t="shared" si="1"/>
        <v>18.42</v>
      </c>
      <c r="G464" s="17" t="str">
        <f>Github!H$463</f>
        <v>Algorithms</v>
      </c>
      <c r="H464" s="17" t="str">
        <f>Github!E$463</f>
        <v>Medium</v>
      </c>
      <c r="I464" s="17" t="str">
        <f>IF(TRIM(Github!D$463)="TRUE","FALSE","TRUE")</f>
        <v>TRUE</v>
      </c>
      <c r="J464" s="17"/>
      <c r="K464" s="17" t="str">
        <f>Github!L$463</f>
        <v>Array;Math;Sorting;</v>
      </c>
      <c r="L464" s="17" t="b">
        <f>Github!M$463</f>
        <v>1</v>
      </c>
      <c r="M464" s="17" t="str">
        <f>ROUND(Github!N$463, 2)&amp;"%"</f>
        <v>0%</v>
      </c>
      <c r="N464" s="17">
        <f>Github!O$463</f>
        <v>56.73699741</v>
      </c>
      <c r="O464" s="17">
        <f>Github!P$463</f>
        <v>85754</v>
      </c>
    </row>
    <row r="465">
      <c r="A465" s="17">
        <f>Github!J$464</f>
        <v>463</v>
      </c>
      <c r="B465" s="27" t="str">
        <f>HYPERLINK(CONCAT("http://leetcode.com/problems/",Github!C$464), Github!B$464)</f>
        <v>Island Perimeter</v>
      </c>
      <c r="C465" s="17">
        <f>Github!F$464</f>
        <v>4156</v>
      </c>
      <c r="D465" s="17">
        <f>Github!G$464</f>
        <v>231</v>
      </c>
      <c r="E465" s="17">
        <f>Github!F$464+Github!G$464</f>
        <v>4387</v>
      </c>
      <c r="F465" s="18">
        <f t="shared" si="1"/>
        <v>17.99</v>
      </c>
      <c r="G465" s="17" t="str">
        <f>Github!H$464</f>
        <v>Algorithms</v>
      </c>
      <c r="H465" s="17" t="str">
        <f>Github!E$464</f>
        <v>Easy</v>
      </c>
      <c r="I465" s="17" t="str">
        <f>IF(TRIM(Github!D$464)="TRUE","FALSE","TRUE")</f>
        <v>TRUE</v>
      </c>
      <c r="J465" s="17"/>
      <c r="K465" s="17" t="str">
        <f>Github!L$464</f>
        <v>Array;Depth-First Search;Breadth-First Search;Matrix;</v>
      </c>
      <c r="L465" s="17" t="b">
        <f>Github!M$464</f>
        <v>1</v>
      </c>
      <c r="M465" s="17" t="str">
        <f>ROUND(Github!N$464, 2)&amp;"%"</f>
        <v>0%</v>
      </c>
      <c r="N465" s="17">
        <f>Github!O$464</f>
        <v>68.77577618</v>
      </c>
      <c r="O465" s="17">
        <f>Github!P$464</f>
        <v>353032</v>
      </c>
    </row>
    <row r="466">
      <c r="A466" s="17">
        <f>Github!J$465</f>
        <v>464</v>
      </c>
      <c r="B466" s="27" t="str">
        <f>HYPERLINK(CONCAT("http://leetcode.com/problems/",Github!C$465), Github!B$465)</f>
        <v>Can I Win</v>
      </c>
      <c r="C466" s="17">
        <f>Github!F$465</f>
        <v>1780</v>
      </c>
      <c r="D466" s="17">
        <f>Github!G$465</f>
        <v>288</v>
      </c>
      <c r="E466" s="17">
        <f>Github!F$465+Github!G$465</f>
        <v>2068</v>
      </c>
      <c r="F466" s="18">
        <f t="shared" si="1"/>
        <v>6.18</v>
      </c>
      <c r="G466" s="17" t="str">
        <f>Github!H$465</f>
        <v>Algorithms</v>
      </c>
      <c r="H466" s="17" t="str">
        <f>Github!E$465</f>
        <v>Medium</v>
      </c>
      <c r="I466" s="17" t="str">
        <f>IF(TRIM(Github!D$465)="TRUE","FALSE","TRUE")</f>
        <v>TRUE</v>
      </c>
      <c r="J466" s="17"/>
      <c r="K466" s="17" t="str">
        <f>Github!L$465</f>
        <v>Math;Dynamic Programming;Bit Manipulation;Memoization;Game Theory;Bitmask;</v>
      </c>
      <c r="L466" s="17" t="b">
        <f>Github!M$465</f>
        <v>0</v>
      </c>
      <c r="M466" s="17" t="str">
        <f>ROUND(Github!N$465, 2)&amp;"%"</f>
        <v>0%</v>
      </c>
      <c r="N466" s="17">
        <f>Github!O$465</f>
        <v>29.85145013</v>
      </c>
      <c r="O466" s="17">
        <f>Github!P$465</f>
        <v>73428</v>
      </c>
    </row>
    <row r="467">
      <c r="A467" s="17">
        <f>Github!J$466</f>
        <v>465</v>
      </c>
      <c r="B467" s="27" t="str">
        <f>HYPERLINK(CONCAT("http://leetcode.com/problems/",Github!C$466), Github!B$466)</f>
        <v>Optimal Account Balancing</v>
      </c>
      <c r="C467" s="17">
        <f>Github!F$466</f>
        <v>1099</v>
      </c>
      <c r="D467" s="17">
        <f>Github!G$466</f>
        <v>104</v>
      </c>
      <c r="E467" s="17">
        <f>Github!F$466+Github!G$466</f>
        <v>1203</v>
      </c>
      <c r="F467" s="18">
        <f t="shared" si="1"/>
        <v>10.57</v>
      </c>
      <c r="G467" s="17" t="str">
        <f>Github!H$466</f>
        <v>Algorithms</v>
      </c>
      <c r="H467" s="17" t="str">
        <f>Github!E$466</f>
        <v>Hard</v>
      </c>
      <c r="I467" s="17" t="str">
        <f>IF(TRIM(Github!D$466)="TRUE","FALSE","TRUE")</f>
        <v>FALSE</v>
      </c>
      <c r="J467" s="17"/>
      <c r="K467" s="17" t="str">
        <f>Github!L$466</f>
        <v>Array;Backtracking;</v>
      </c>
      <c r="L467" s="17" t="b">
        <f>Github!M$466</f>
        <v>0</v>
      </c>
      <c r="M467" s="17" t="str">
        <f>ROUND(Github!N$466, 2)&amp;"%"</f>
        <v>0%</v>
      </c>
      <c r="N467" s="17">
        <f>Github!O$466</f>
        <v>48.75913994</v>
      </c>
      <c r="O467" s="17">
        <f>Github!P$466</f>
        <v>67349</v>
      </c>
    </row>
    <row r="468">
      <c r="A468" s="17">
        <f>Github!J$467</f>
        <v>466</v>
      </c>
      <c r="B468" s="27" t="str">
        <f>HYPERLINK(CONCAT("http://leetcode.com/problems/",Github!C$467), Github!B$467)</f>
        <v>Count The Repetitions</v>
      </c>
      <c r="C468" s="17">
        <f>Github!F$467</f>
        <v>285</v>
      </c>
      <c r="D468" s="17">
        <f>Github!G$467</f>
        <v>255</v>
      </c>
      <c r="E468" s="17">
        <f>Github!F$467+Github!G$467</f>
        <v>540</v>
      </c>
      <c r="F468" s="18">
        <f t="shared" si="1"/>
        <v>1.12</v>
      </c>
      <c r="G468" s="17" t="str">
        <f>Github!H$467</f>
        <v>Algorithms</v>
      </c>
      <c r="H468" s="17" t="str">
        <f>Github!E$467</f>
        <v>Hard</v>
      </c>
      <c r="I468" s="17" t="str">
        <f>IF(TRIM(Github!D$467)="TRUE","FALSE","TRUE")</f>
        <v>TRUE</v>
      </c>
      <c r="J468" s="17"/>
      <c r="K468" s="17" t="str">
        <f>Github!L$467</f>
        <v>String;Dynamic Programming;</v>
      </c>
      <c r="L468" s="17" t="b">
        <f>Github!M$467</f>
        <v>1</v>
      </c>
      <c r="M468" s="17" t="str">
        <f>ROUND(Github!N$467, 2)&amp;"%"</f>
        <v>0%</v>
      </c>
      <c r="N468" s="17">
        <f>Github!O$467</f>
        <v>28.97003745</v>
      </c>
      <c r="O468" s="17">
        <f>Github!P$467</f>
        <v>13923</v>
      </c>
    </row>
    <row r="469">
      <c r="A469" s="17">
        <f>Github!J$468</f>
        <v>467</v>
      </c>
      <c r="B469" s="27" t="str">
        <f>HYPERLINK(CONCAT("http://leetcode.com/problems/",Github!C$468), Github!B$468)</f>
        <v>Unique Substrings in Wraparound String</v>
      </c>
      <c r="C469" s="17">
        <f>Github!F$468</f>
        <v>1035</v>
      </c>
      <c r="D469" s="17">
        <f>Github!G$468</f>
        <v>131</v>
      </c>
      <c r="E469" s="17">
        <f>Github!F$468+Github!G$468</f>
        <v>1166</v>
      </c>
      <c r="F469" s="18">
        <f t="shared" si="1"/>
        <v>7.9</v>
      </c>
      <c r="G469" s="17" t="str">
        <f>Github!H$468</f>
        <v>Algorithms</v>
      </c>
      <c r="H469" s="17" t="str">
        <f>Github!E$468</f>
        <v>Medium</v>
      </c>
      <c r="I469" s="17" t="str">
        <f>IF(TRIM(Github!D$468)="TRUE","FALSE","TRUE")</f>
        <v>TRUE</v>
      </c>
      <c r="J469" s="17"/>
      <c r="K469" s="17" t="str">
        <f>Github!L$468</f>
        <v>String;Dynamic Programming;</v>
      </c>
      <c r="L469" s="17" t="b">
        <f>Github!M$468</f>
        <v>0</v>
      </c>
      <c r="M469" s="17" t="str">
        <f>ROUND(Github!N$468, 2)&amp;"%"</f>
        <v>0%</v>
      </c>
      <c r="N469" s="17">
        <f>Github!O$468</f>
        <v>37.3467295</v>
      </c>
      <c r="O469" s="17">
        <f>Github!P$468</f>
        <v>34235</v>
      </c>
    </row>
    <row r="470">
      <c r="A470" s="17">
        <f>Github!J$469</f>
        <v>468</v>
      </c>
      <c r="B470" s="27" t="str">
        <f>HYPERLINK(CONCAT("http://leetcode.com/problems/",Github!C$469), Github!B$469)</f>
        <v>Validate IP Address</v>
      </c>
      <c r="C470" s="17">
        <f>Github!F$469</f>
        <v>652</v>
      </c>
      <c r="D470" s="17">
        <f>Github!G$469</f>
        <v>2304</v>
      </c>
      <c r="E470" s="17">
        <f>Github!F$469+Github!G$469</f>
        <v>2956</v>
      </c>
      <c r="F470" s="18">
        <f t="shared" si="1"/>
        <v>0.28</v>
      </c>
      <c r="G470" s="17" t="str">
        <f>Github!H$469</f>
        <v>Algorithms</v>
      </c>
      <c r="H470" s="17" t="str">
        <f>Github!E$469</f>
        <v>Medium</v>
      </c>
      <c r="I470" s="17" t="str">
        <f>IF(TRIM(Github!D$469)="TRUE","FALSE","TRUE")</f>
        <v>TRUE</v>
      </c>
      <c r="J470" s="17"/>
      <c r="K470" s="17" t="str">
        <f>Github!L$469</f>
        <v>String;</v>
      </c>
      <c r="L470" s="17" t="b">
        <f>Github!M$469</f>
        <v>1</v>
      </c>
      <c r="M470" s="17" t="str">
        <f>ROUND(Github!N$469, 2)&amp;"%"</f>
        <v>0%</v>
      </c>
      <c r="N470" s="17">
        <f>Github!O$469</f>
        <v>26.11430181</v>
      </c>
      <c r="O470" s="17">
        <f>Github!P$469</f>
        <v>122404</v>
      </c>
    </row>
    <row r="471">
      <c r="A471" s="17">
        <f>Github!J$470</f>
        <v>469</v>
      </c>
      <c r="B471" s="27" t="str">
        <f>HYPERLINK(CONCAT("http://leetcode.com/problems/",Github!C$470), Github!B$470)</f>
        <v>Convex Polygon</v>
      </c>
      <c r="C471" s="17">
        <f>Github!F$470</f>
        <v>83</v>
      </c>
      <c r="D471" s="17">
        <f>Github!G$470</f>
        <v>214</v>
      </c>
      <c r="E471" s="17">
        <f>Github!F$470+Github!G$470</f>
        <v>297</v>
      </c>
      <c r="F471" s="18">
        <f t="shared" si="1"/>
        <v>0.39</v>
      </c>
      <c r="G471" s="17" t="str">
        <f>Github!H$470</f>
        <v>Algorithms</v>
      </c>
      <c r="H471" s="17" t="str">
        <f>Github!E$470</f>
        <v>Medium</v>
      </c>
      <c r="I471" s="17" t="str">
        <f>IF(TRIM(Github!D$470)="TRUE","FALSE","TRUE")</f>
        <v>FALSE</v>
      </c>
      <c r="J471" s="17"/>
      <c r="K471" s="17" t="str">
        <f>Github!L$470</f>
        <v>Math;Geometry;</v>
      </c>
      <c r="L471" s="17" t="b">
        <f>Github!M$470</f>
        <v>0</v>
      </c>
      <c r="M471" s="17" t="str">
        <f>ROUND(Github!N$470, 2)&amp;"%"</f>
        <v>0%</v>
      </c>
      <c r="N471" s="17">
        <f>Github!O$470</f>
        <v>38.21671526</v>
      </c>
      <c r="O471" s="17">
        <f>Github!P$470</f>
        <v>9438</v>
      </c>
    </row>
    <row r="472">
      <c r="A472" s="17">
        <f>Github!J$471</f>
        <v>470</v>
      </c>
      <c r="B472" s="27" t="str">
        <f>HYPERLINK(CONCAT("http://leetcode.com/problems/",Github!C$471), Github!B$471)</f>
        <v>Implement Rand10() Using Rand7()</v>
      </c>
      <c r="C472" s="17">
        <f>Github!F$471</f>
        <v>853</v>
      </c>
      <c r="D472" s="17">
        <f>Github!G$471</f>
        <v>280</v>
      </c>
      <c r="E472" s="17">
        <f>Github!F$471+Github!G$471</f>
        <v>1133</v>
      </c>
      <c r="F472" s="18">
        <f t="shared" si="1"/>
        <v>3.05</v>
      </c>
      <c r="G472" s="17" t="str">
        <f>Github!H$471</f>
        <v>Algorithms</v>
      </c>
      <c r="H472" s="17" t="str">
        <f>Github!E$471</f>
        <v>Medium</v>
      </c>
      <c r="I472" s="17" t="str">
        <f>IF(TRIM(Github!D$471)="TRUE","FALSE","TRUE")</f>
        <v>TRUE</v>
      </c>
      <c r="J472" s="17"/>
      <c r="K472" s="17" t="str">
        <f>Github!L$471</f>
        <v>Math;Rejection Sampling;Randomized;Probability and Statistics;</v>
      </c>
      <c r="L472" s="17" t="b">
        <f>Github!M$471</f>
        <v>1</v>
      </c>
      <c r="M472" s="17" t="str">
        <f>ROUND(Github!N$471, 2)&amp;"%"</f>
        <v>0%</v>
      </c>
      <c r="N472" s="17">
        <f>Github!O$471</f>
        <v>46.70392266</v>
      </c>
      <c r="O472" s="17">
        <f>Github!P$471</f>
        <v>60674</v>
      </c>
    </row>
    <row r="473">
      <c r="A473" s="17">
        <f>Github!J$472</f>
        <v>471</v>
      </c>
      <c r="B473" s="27" t="str">
        <f>HYPERLINK(CONCAT("http://leetcode.com/problems/",Github!C$472), Github!B$472)</f>
        <v>Encode String with Shortest Length</v>
      </c>
      <c r="C473" s="17">
        <f>Github!F$472</f>
        <v>547</v>
      </c>
      <c r="D473" s="17">
        <f>Github!G$472</f>
        <v>33</v>
      </c>
      <c r="E473" s="17">
        <f>Github!F$472+Github!G$472</f>
        <v>580</v>
      </c>
      <c r="F473" s="18">
        <f t="shared" si="1"/>
        <v>16.58</v>
      </c>
      <c r="G473" s="17" t="str">
        <f>Github!H$472</f>
        <v>Algorithms</v>
      </c>
      <c r="H473" s="17" t="str">
        <f>Github!E$472</f>
        <v>Hard</v>
      </c>
      <c r="I473" s="17" t="str">
        <f>IF(TRIM(Github!D$472)="TRUE","FALSE","TRUE")</f>
        <v>FALSE</v>
      </c>
      <c r="J473" s="17"/>
      <c r="K473" s="17" t="str">
        <f>Github!L$472</f>
        <v>String;Dynamic Programming;</v>
      </c>
      <c r="L473" s="17" t="b">
        <f>Github!M$472</f>
        <v>0</v>
      </c>
      <c r="M473" s="17" t="str">
        <f>ROUND(Github!N$472, 2)&amp;"%"</f>
        <v>0%</v>
      </c>
      <c r="N473" s="17">
        <f>Github!O$472</f>
        <v>50.65127569</v>
      </c>
      <c r="O473" s="17">
        <f>Github!P$472</f>
        <v>27337</v>
      </c>
    </row>
    <row r="474">
      <c r="A474" s="17">
        <f>Github!J$473</f>
        <v>472</v>
      </c>
      <c r="B474" s="27" t="str">
        <f>HYPERLINK(CONCAT("http://leetcode.com/problems/",Github!C$473), Github!B$473)</f>
        <v>Concatenated Words</v>
      </c>
      <c r="C474" s="17">
        <f>Github!F$473</f>
        <v>1788</v>
      </c>
      <c r="D474" s="17">
        <f>Github!G$473</f>
        <v>208</v>
      </c>
      <c r="E474" s="17">
        <f>Github!F$473+Github!G$473</f>
        <v>1996</v>
      </c>
      <c r="F474" s="18">
        <f t="shared" si="1"/>
        <v>8.6</v>
      </c>
      <c r="G474" s="17" t="str">
        <f>Github!H$473</f>
        <v>Algorithms</v>
      </c>
      <c r="H474" s="17" t="str">
        <f>Github!E$473</f>
        <v>Hard</v>
      </c>
      <c r="I474" s="17" t="str">
        <f>IF(TRIM(Github!D$473)="TRUE","FALSE","TRUE")</f>
        <v>TRUE</v>
      </c>
      <c r="J474" s="17"/>
      <c r="K474" s="17" t="str">
        <f>Github!L$473</f>
        <v>Array;String;Dynamic Programming;Depth-First Search;Trie;</v>
      </c>
      <c r="L474" s="17" t="b">
        <f>Github!M$473</f>
        <v>0</v>
      </c>
      <c r="M474" s="17" t="str">
        <f>ROUND(Github!N$473, 2)&amp;"%"</f>
        <v>0%</v>
      </c>
      <c r="N474" s="17">
        <f>Github!O$473</f>
        <v>42.47250366</v>
      </c>
      <c r="O474" s="17">
        <f>Github!P$473</f>
        <v>124459</v>
      </c>
    </row>
    <row r="475">
      <c r="A475" s="17">
        <f>Github!J$474</f>
        <v>473</v>
      </c>
      <c r="B475" s="27" t="str">
        <f>HYPERLINK(CONCAT("http://leetcode.com/problems/",Github!C$474), Github!B$474)</f>
        <v>Matchsticks to Square</v>
      </c>
      <c r="C475" s="17">
        <f>Github!F$474</f>
        <v>1526</v>
      </c>
      <c r="D475" s="17">
        <f>Github!G$474</f>
        <v>119</v>
      </c>
      <c r="E475" s="17">
        <f>Github!F$474+Github!G$474</f>
        <v>1645</v>
      </c>
      <c r="F475" s="18">
        <f t="shared" si="1"/>
        <v>12.82</v>
      </c>
      <c r="G475" s="17" t="str">
        <f>Github!H$474</f>
        <v>Algorithms</v>
      </c>
      <c r="H475" s="17" t="str">
        <f>Github!E$474</f>
        <v>Medium</v>
      </c>
      <c r="I475" s="17" t="str">
        <f>IF(TRIM(Github!D$474)="TRUE","FALSE","TRUE")</f>
        <v>TRUE</v>
      </c>
      <c r="J475" s="17"/>
      <c r="K475" s="17" t="str">
        <f>Github!L$474</f>
        <v>Array;Dynamic Programming;Backtracking;Bit Manipulation;Bitmask;</v>
      </c>
      <c r="L475" s="17" t="b">
        <f>Github!M$474</f>
        <v>1</v>
      </c>
      <c r="M475" s="17" t="str">
        <f>ROUND(Github!N$474, 2)&amp;"%"</f>
        <v>0%</v>
      </c>
      <c r="N475" s="17">
        <f>Github!O$474</f>
        <v>40.37654868</v>
      </c>
      <c r="O475" s="17">
        <f>Github!P$474</f>
        <v>74695</v>
      </c>
    </row>
    <row r="476">
      <c r="A476" s="17">
        <f>Github!J$475</f>
        <v>474</v>
      </c>
      <c r="B476" s="27" t="str">
        <f>HYPERLINK(CONCAT("http://leetcode.com/problems/",Github!C$475), Github!B$475)</f>
        <v>Ones and Zeroes</v>
      </c>
      <c r="C476" s="17">
        <f>Github!F$475</f>
        <v>2719</v>
      </c>
      <c r="D476" s="17">
        <f>Github!G$475</f>
        <v>317</v>
      </c>
      <c r="E476" s="17">
        <f>Github!F$475+Github!G$475</f>
        <v>3036</v>
      </c>
      <c r="F476" s="18">
        <f t="shared" si="1"/>
        <v>8.58</v>
      </c>
      <c r="G476" s="17" t="str">
        <f>Github!H$475</f>
        <v>Algorithms</v>
      </c>
      <c r="H476" s="17" t="str">
        <f>Github!E$475</f>
        <v>Medium</v>
      </c>
      <c r="I476" s="17" t="str">
        <f>IF(TRIM(Github!D$475)="TRUE","FALSE","TRUE")</f>
        <v>TRUE</v>
      </c>
      <c r="J476" s="17"/>
      <c r="K476" s="17" t="str">
        <f>Github!L$475</f>
        <v>Array;String;Dynamic Programming;</v>
      </c>
      <c r="L476" s="17" t="b">
        <f>Github!M$475</f>
        <v>1</v>
      </c>
      <c r="M476" s="17" t="str">
        <f>ROUND(Github!N$475, 2)&amp;"%"</f>
        <v>0%</v>
      </c>
      <c r="N476" s="17">
        <f>Github!O$475</f>
        <v>44.42124079</v>
      </c>
      <c r="O476" s="17">
        <f>Github!P$475</f>
        <v>103376</v>
      </c>
    </row>
    <row r="477">
      <c r="A477" s="17">
        <f>Github!J$476</f>
        <v>475</v>
      </c>
      <c r="B477" s="27" t="str">
        <f>HYPERLINK(CONCAT("http://leetcode.com/problems/",Github!C$476), Github!B$476)</f>
        <v>Heaters</v>
      </c>
      <c r="C477" s="17">
        <f>Github!F$476</f>
        <v>1289</v>
      </c>
      <c r="D477" s="17">
        <f>Github!G$476</f>
        <v>1012</v>
      </c>
      <c r="E477" s="17">
        <f>Github!F$476+Github!G$476</f>
        <v>2301</v>
      </c>
      <c r="F477" s="18">
        <f t="shared" si="1"/>
        <v>1.27</v>
      </c>
      <c r="G477" s="17" t="str">
        <f>Github!H$476</f>
        <v>Algorithms</v>
      </c>
      <c r="H477" s="17" t="str">
        <f>Github!E$476</f>
        <v>Medium</v>
      </c>
      <c r="I477" s="17" t="str">
        <f>IF(TRIM(Github!D$476)="TRUE","FALSE","TRUE")</f>
        <v>TRUE</v>
      </c>
      <c r="J477" s="17"/>
      <c r="K477" s="17" t="str">
        <f>Github!L$476</f>
        <v>Array;Two Pointers;Binary Search;Sorting;</v>
      </c>
      <c r="L477" s="17" t="b">
        <f>Github!M$476</f>
        <v>0</v>
      </c>
      <c r="M477" s="17" t="str">
        <f>ROUND(Github!N$476, 2)&amp;"%"</f>
        <v>0%</v>
      </c>
      <c r="N477" s="17">
        <f>Github!O$476</f>
        <v>35.06340784</v>
      </c>
      <c r="O477" s="17">
        <f>Github!P$476</f>
        <v>85574</v>
      </c>
    </row>
    <row r="478">
      <c r="A478" s="17">
        <f>Github!J$477</f>
        <v>476</v>
      </c>
      <c r="B478" s="27" t="str">
        <f>HYPERLINK(CONCAT("http://leetcode.com/problems/",Github!C$477), Github!B$477)</f>
        <v>Number Complement</v>
      </c>
      <c r="C478" s="17">
        <f>Github!F$477</f>
        <v>1918</v>
      </c>
      <c r="D478" s="17">
        <f>Github!G$477</f>
        <v>103</v>
      </c>
      <c r="E478" s="17">
        <f>Github!F$477+Github!G$477</f>
        <v>2021</v>
      </c>
      <c r="F478" s="18">
        <f t="shared" si="1"/>
        <v>18.62</v>
      </c>
      <c r="G478" s="17" t="str">
        <f>Github!H$477</f>
        <v>Algorithms</v>
      </c>
      <c r="H478" s="17" t="str">
        <f>Github!E$477</f>
        <v>Easy</v>
      </c>
      <c r="I478" s="17" t="str">
        <f>IF(TRIM(Github!D$477)="TRUE","FALSE","TRUE")</f>
        <v>TRUE</v>
      </c>
      <c r="J478" s="17"/>
      <c r="K478" s="17" t="str">
        <f>Github!L$477</f>
        <v>Bit Manipulation;</v>
      </c>
      <c r="L478" s="17" t="b">
        <f>Github!M$477</f>
        <v>1</v>
      </c>
      <c r="M478" s="17" t="str">
        <f>ROUND(Github!N$477, 2)&amp;"%"</f>
        <v>0%</v>
      </c>
      <c r="N478" s="17">
        <f>Github!O$477</f>
        <v>66.61340581</v>
      </c>
      <c r="O478" s="17">
        <f>Github!P$477</f>
        <v>259311</v>
      </c>
    </row>
    <row r="479">
      <c r="A479" s="17">
        <f>Github!J$478</f>
        <v>477</v>
      </c>
      <c r="B479" s="27" t="str">
        <f>HYPERLINK(CONCAT("http://leetcode.com/problems/",Github!C$478), Github!B$478)</f>
        <v>Total Hamming Distance</v>
      </c>
      <c r="C479" s="17">
        <f>Github!F$478</f>
        <v>1575</v>
      </c>
      <c r="D479" s="17">
        <f>Github!G$478</f>
        <v>79</v>
      </c>
      <c r="E479" s="17">
        <f>Github!F$478+Github!G$478</f>
        <v>1654</v>
      </c>
      <c r="F479" s="18">
        <f t="shared" si="1"/>
        <v>19.94</v>
      </c>
      <c r="G479" s="17" t="str">
        <f>Github!H$478</f>
        <v>Algorithms</v>
      </c>
      <c r="H479" s="17" t="str">
        <f>Github!E$478</f>
        <v>Medium</v>
      </c>
      <c r="I479" s="17" t="str">
        <f>IF(TRIM(Github!D$478)="TRUE","FALSE","TRUE")</f>
        <v>TRUE</v>
      </c>
      <c r="J479" s="17"/>
      <c r="K479" s="17" t="str">
        <f>Github!L$478</f>
        <v>Array;Math;Bit Manipulation;</v>
      </c>
      <c r="L479" s="17" t="b">
        <f>Github!M$478</f>
        <v>1</v>
      </c>
      <c r="M479" s="17" t="str">
        <f>ROUND(Github!N$478, 2)&amp;"%"</f>
        <v>0%</v>
      </c>
      <c r="N479" s="17">
        <f>Github!O$478</f>
        <v>51.88650751</v>
      </c>
      <c r="O479" s="17">
        <f>Github!P$478</f>
        <v>85893</v>
      </c>
    </row>
    <row r="480">
      <c r="A480" s="17">
        <f>Github!J$479</f>
        <v>478</v>
      </c>
      <c r="B480" s="27" t="str">
        <f>HYPERLINK(CONCAT("http://leetcode.com/problems/",Github!C$479), Github!B$479)</f>
        <v>Generate Random Point in a Circle</v>
      </c>
      <c r="C480" s="17">
        <f>Github!F$479</f>
        <v>354</v>
      </c>
      <c r="D480" s="17">
        <f>Github!G$479</f>
        <v>664</v>
      </c>
      <c r="E480" s="17">
        <f>Github!F$479+Github!G$479</f>
        <v>1018</v>
      </c>
      <c r="F480" s="18">
        <f t="shared" si="1"/>
        <v>0.53</v>
      </c>
      <c r="G480" s="17" t="str">
        <f>Github!H$479</f>
        <v>Algorithms</v>
      </c>
      <c r="H480" s="17" t="str">
        <f>Github!E$479</f>
        <v>Medium</v>
      </c>
      <c r="I480" s="17" t="str">
        <f>IF(TRIM(Github!D$479)="TRUE","FALSE","TRUE")</f>
        <v>TRUE</v>
      </c>
      <c r="J480" s="17"/>
      <c r="K480" s="17" t="str">
        <f>Github!L$479</f>
        <v>Math;Geometry;Rejection Sampling;Randomized;</v>
      </c>
      <c r="L480" s="17" t="b">
        <f>Github!M$479</f>
        <v>1</v>
      </c>
      <c r="M480" s="17" t="str">
        <f>ROUND(Github!N$479, 2)&amp;"%"</f>
        <v>0%</v>
      </c>
      <c r="N480" s="17">
        <f>Github!O$479</f>
        <v>39.33925663</v>
      </c>
      <c r="O480" s="17">
        <f>Github!P$479</f>
        <v>32853</v>
      </c>
    </row>
    <row r="481">
      <c r="A481" s="17">
        <f>Github!J$480</f>
        <v>479</v>
      </c>
      <c r="B481" s="27" t="str">
        <f>HYPERLINK(CONCAT("http://leetcode.com/problems/",Github!C$480), Github!B$480)</f>
        <v>Largest Palindrome Product</v>
      </c>
      <c r="C481" s="17">
        <f>Github!F$480</f>
        <v>121</v>
      </c>
      <c r="D481" s="17">
        <f>Github!G$480</f>
        <v>1437</v>
      </c>
      <c r="E481" s="17">
        <f>Github!F$480+Github!G$480</f>
        <v>1558</v>
      </c>
      <c r="F481" s="18">
        <f t="shared" si="1"/>
        <v>0.08</v>
      </c>
      <c r="G481" s="17" t="str">
        <f>Github!H$480</f>
        <v>Algorithms</v>
      </c>
      <c r="H481" s="17" t="str">
        <f>Github!E$480</f>
        <v>Hard</v>
      </c>
      <c r="I481" s="17" t="str">
        <f>IF(TRIM(Github!D$480)="TRUE","FALSE","TRUE")</f>
        <v>TRUE</v>
      </c>
      <c r="J481" s="17"/>
      <c r="K481" s="17" t="str">
        <f>Github!L$480</f>
        <v>Math;</v>
      </c>
      <c r="L481" s="17" t="b">
        <f>Github!M$480</f>
        <v>0</v>
      </c>
      <c r="M481" s="17" t="str">
        <f>ROUND(Github!N$480, 2)&amp;"%"</f>
        <v>0%</v>
      </c>
      <c r="N481" s="17">
        <f>Github!O$480</f>
        <v>30.82351478</v>
      </c>
      <c r="O481" s="17">
        <f>Github!P$480</f>
        <v>19830</v>
      </c>
    </row>
    <row r="482">
      <c r="A482" s="17">
        <f>Github!J$481</f>
        <v>480</v>
      </c>
      <c r="B482" s="27" t="str">
        <f>HYPERLINK(CONCAT("http://leetcode.com/problems/",Github!C$481), Github!B$481)</f>
        <v>Sliding Window Median</v>
      </c>
      <c r="C482" s="17">
        <f>Github!F$481</f>
        <v>2034</v>
      </c>
      <c r="D482" s="17">
        <f>Github!G$481</f>
        <v>125</v>
      </c>
      <c r="E482" s="17">
        <f>Github!F$481+Github!G$481</f>
        <v>2159</v>
      </c>
      <c r="F482" s="18">
        <f t="shared" si="1"/>
        <v>16.27</v>
      </c>
      <c r="G482" s="17" t="str">
        <f>Github!H$481</f>
        <v>Algorithms</v>
      </c>
      <c r="H482" s="17" t="str">
        <f>Github!E$481</f>
        <v>Hard</v>
      </c>
      <c r="I482" s="17" t="str">
        <f>IF(TRIM(Github!D$481)="TRUE","FALSE","TRUE")</f>
        <v>TRUE</v>
      </c>
      <c r="J482" s="17"/>
      <c r="K482" s="17" t="str">
        <f>Github!L$481</f>
        <v>Array;Hash Table;Sliding Window;Heap (Priority Queue);</v>
      </c>
      <c r="L482" s="17" t="b">
        <f>Github!M$481</f>
        <v>1</v>
      </c>
      <c r="M482" s="17" t="str">
        <f>ROUND(Github!N$481, 2)&amp;"%"</f>
        <v>0%</v>
      </c>
      <c r="N482" s="17">
        <f>Github!O$481</f>
        <v>40.71239053</v>
      </c>
      <c r="O482" s="17">
        <f>Github!P$481</f>
        <v>100045</v>
      </c>
    </row>
    <row r="483">
      <c r="A483" s="17">
        <f>Github!J$482</f>
        <v>481</v>
      </c>
      <c r="B483" s="27" t="str">
        <f>HYPERLINK(CONCAT("http://leetcode.com/problems/",Github!C$482), Github!B$482)</f>
        <v>Magical String</v>
      </c>
      <c r="C483" s="17">
        <f>Github!F$482</f>
        <v>174</v>
      </c>
      <c r="D483" s="17">
        <f>Github!G$482</f>
        <v>910</v>
      </c>
      <c r="E483" s="17">
        <f>Github!F$482+Github!G$482</f>
        <v>1084</v>
      </c>
      <c r="F483" s="18">
        <f t="shared" si="1"/>
        <v>0.19</v>
      </c>
      <c r="G483" s="17" t="str">
        <f>Github!H$482</f>
        <v>Algorithms</v>
      </c>
      <c r="H483" s="17" t="str">
        <f>Github!E$482</f>
        <v>Medium</v>
      </c>
      <c r="I483" s="17" t="str">
        <f>IF(TRIM(Github!D$482)="TRUE","FALSE","TRUE")</f>
        <v>TRUE</v>
      </c>
      <c r="J483" s="17"/>
      <c r="K483" s="17" t="str">
        <f>Github!L$482</f>
        <v>Two Pointers;String;</v>
      </c>
      <c r="L483" s="17" t="b">
        <f>Github!M$482</f>
        <v>0</v>
      </c>
      <c r="M483" s="17" t="str">
        <f>ROUND(Github!N$482, 2)&amp;"%"</f>
        <v>0%</v>
      </c>
      <c r="N483" s="17">
        <f>Github!O$482</f>
        <v>49.49340887</v>
      </c>
      <c r="O483" s="17">
        <f>Github!P$482</f>
        <v>27251</v>
      </c>
    </row>
    <row r="484">
      <c r="A484" s="17">
        <f>Github!J$483</f>
        <v>482</v>
      </c>
      <c r="B484" s="27" t="str">
        <f>HYPERLINK(CONCAT("http://leetcode.com/problems/",Github!C$483), Github!B$483)</f>
        <v>License Key Formatting</v>
      </c>
      <c r="C484" s="17">
        <f>Github!F$483</f>
        <v>733</v>
      </c>
      <c r="D484" s="17">
        <f>Github!G$483</f>
        <v>1057</v>
      </c>
      <c r="E484" s="17">
        <f>Github!F$483+Github!G$483</f>
        <v>1790</v>
      </c>
      <c r="F484" s="18">
        <f t="shared" si="1"/>
        <v>0.69</v>
      </c>
      <c r="G484" s="17" t="str">
        <f>Github!H$483</f>
        <v>Algorithms</v>
      </c>
      <c r="H484" s="17" t="str">
        <f>Github!E$483</f>
        <v>Easy</v>
      </c>
      <c r="I484" s="17" t="str">
        <f>IF(TRIM(Github!D$483)="TRUE","FALSE","TRUE")</f>
        <v>TRUE</v>
      </c>
      <c r="J484" s="17"/>
      <c r="K484" s="17" t="str">
        <f>Github!L$483</f>
        <v>String;</v>
      </c>
      <c r="L484" s="17" t="b">
        <f>Github!M$483</f>
        <v>0</v>
      </c>
      <c r="M484" s="17" t="str">
        <f>ROUND(Github!N$483, 2)&amp;"%"</f>
        <v>0%</v>
      </c>
      <c r="N484" s="17">
        <f>Github!O$483</f>
        <v>43.12549197</v>
      </c>
      <c r="O484" s="17">
        <f>Github!P$483</f>
        <v>205452</v>
      </c>
    </row>
    <row r="485">
      <c r="A485" s="17">
        <f>Github!J$484</f>
        <v>483</v>
      </c>
      <c r="B485" s="27" t="str">
        <f>HYPERLINK(CONCAT("http://leetcode.com/problems/",Github!C$484), Github!B$484)</f>
        <v>Smallest Good Base</v>
      </c>
      <c r="C485" s="17">
        <f>Github!F$484</f>
        <v>261</v>
      </c>
      <c r="D485" s="17">
        <f>Github!G$484</f>
        <v>424</v>
      </c>
      <c r="E485" s="17">
        <f>Github!F$484+Github!G$484</f>
        <v>685</v>
      </c>
      <c r="F485" s="18">
        <f t="shared" si="1"/>
        <v>0.62</v>
      </c>
      <c r="G485" s="17" t="str">
        <f>Github!H$484</f>
        <v>Algorithms</v>
      </c>
      <c r="H485" s="17" t="str">
        <f>Github!E$484</f>
        <v>Hard</v>
      </c>
      <c r="I485" s="17" t="str">
        <f>IF(TRIM(Github!D$484)="TRUE","FALSE","TRUE")</f>
        <v>TRUE</v>
      </c>
      <c r="J485" s="17"/>
      <c r="K485" s="17" t="str">
        <f>Github!L$484</f>
        <v>Math;Binary Search;</v>
      </c>
      <c r="L485" s="17" t="b">
        <f>Github!M$484</f>
        <v>0</v>
      </c>
      <c r="M485" s="17" t="str">
        <f>ROUND(Github!N$484, 2)&amp;"%"</f>
        <v>0%</v>
      </c>
      <c r="N485" s="17">
        <f>Github!O$484</f>
        <v>37.7681424</v>
      </c>
      <c r="O485" s="17">
        <f>Github!P$484</f>
        <v>16550</v>
      </c>
    </row>
    <row r="486">
      <c r="A486" s="17">
        <f>Github!J$485</f>
        <v>484</v>
      </c>
      <c r="B486" s="27" t="str">
        <f>HYPERLINK(CONCAT("http://leetcode.com/problems/",Github!C$485), Github!B$485)</f>
        <v>Find Permutation</v>
      </c>
      <c r="C486" s="17">
        <f>Github!F$485</f>
        <v>480</v>
      </c>
      <c r="D486" s="17">
        <f>Github!G$485</f>
        <v>79</v>
      </c>
      <c r="E486" s="17">
        <f>Github!F$485+Github!G$485</f>
        <v>559</v>
      </c>
      <c r="F486" s="18">
        <f t="shared" si="1"/>
        <v>6.08</v>
      </c>
      <c r="G486" s="17" t="str">
        <f>Github!H$485</f>
        <v>Algorithms</v>
      </c>
      <c r="H486" s="17" t="str">
        <f>Github!E$485</f>
        <v>Medium</v>
      </c>
      <c r="I486" s="17" t="str">
        <f>IF(TRIM(Github!D$485)="TRUE","FALSE","TRUE")</f>
        <v>FALSE</v>
      </c>
      <c r="J486" s="17"/>
      <c r="K486" s="17" t="str">
        <f>Github!L$485</f>
        <v>Array;Stack;Greedy;</v>
      </c>
      <c r="L486" s="17" t="b">
        <f>Github!M$485</f>
        <v>1</v>
      </c>
      <c r="M486" s="17" t="str">
        <f>ROUND(Github!N$485, 2)&amp;"%"</f>
        <v>0%</v>
      </c>
      <c r="N486" s="17">
        <f>Github!O$485</f>
        <v>64.30138293</v>
      </c>
      <c r="O486" s="17">
        <f>Github!P$485</f>
        <v>26968</v>
      </c>
    </row>
    <row r="487">
      <c r="A487" s="17">
        <f>Github!J$486</f>
        <v>485</v>
      </c>
      <c r="B487" s="27" t="str">
        <f>HYPERLINK(CONCAT("http://leetcode.com/problems/",Github!C$486), Github!B$486)</f>
        <v>Max Consecutive Ones</v>
      </c>
      <c r="C487" s="17">
        <f>Github!F$486</f>
        <v>2409</v>
      </c>
      <c r="D487" s="17">
        <f>Github!G$486</f>
        <v>394</v>
      </c>
      <c r="E487" s="17">
        <f>Github!F$486+Github!G$486</f>
        <v>2803</v>
      </c>
      <c r="F487" s="18">
        <f t="shared" si="1"/>
        <v>6.11</v>
      </c>
      <c r="G487" s="17" t="str">
        <f>Github!H$486</f>
        <v>Algorithms</v>
      </c>
      <c r="H487" s="17" t="str">
        <f>Github!E$486</f>
        <v>Easy</v>
      </c>
      <c r="I487" s="17" t="str">
        <f>IF(TRIM(Github!D$486)="TRUE","FALSE","TRUE")</f>
        <v>TRUE</v>
      </c>
      <c r="J487" s="17"/>
      <c r="K487" s="17" t="str">
        <f>Github!L$486</f>
        <v>Array;</v>
      </c>
      <c r="L487" s="17" t="b">
        <f>Github!M$486</f>
        <v>1</v>
      </c>
      <c r="M487" s="17" t="str">
        <f>ROUND(Github!N$486, 2)&amp;"%"</f>
        <v>0%</v>
      </c>
      <c r="N487" s="17">
        <f>Github!O$486</f>
        <v>54.8905164</v>
      </c>
      <c r="O487" s="17">
        <f>Github!P$486</f>
        <v>617867</v>
      </c>
    </row>
    <row r="488">
      <c r="A488" s="17">
        <f>Github!J$487</f>
        <v>486</v>
      </c>
      <c r="B488" s="27" t="str">
        <f>HYPERLINK(CONCAT("http://leetcode.com/problems/",Github!C$487), Github!B$487)</f>
        <v>Predict the Winner</v>
      </c>
      <c r="C488" s="17">
        <f>Github!F$487</f>
        <v>2753</v>
      </c>
      <c r="D488" s="17">
        <f>Github!G$487</f>
        <v>143</v>
      </c>
      <c r="E488" s="17">
        <f>Github!F$487+Github!G$487</f>
        <v>2896</v>
      </c>
      <c r="F488" s="18">
        <f t="shared" si="1"/>
        <v>19.25</v>
      </c>
      <c r="G488" s="17" t="str">
        <f>Github!H$487</f>
        <v>Algorithms</v>
      </c>
      <c r="H488" s="17" t="str">
        <f>Github!E$487</f>
        <v>Medium</v>
      </c>
      <c r="I488" s="17" t="str">
        <f>IF(TRIM(Github!D$487)="TRUE","FALSE","TRUE")</f>
        <v>TRUE</v>
      </c>
      <c r="J488" s="17"/>
      <c r="K488" s="17" t="str">
        <f>Github!L$487</f>
        <v>Array;Math;Dynamic Programming;Recursion;Game Theory;</v>
      </c>
      <c r="L488" s="17" t="b">
        <f>Github!M$487</f>
        <v>1</v>
      </c>
      <c r="M488" s="17" t="str">
        <f>ROUND(Github!N$487, 2)&amp;"%"</f>
        <v>0%</v>
      </c>
      <c r="N488" s="17">
        <f>Github!O$487</f>
        <v>50.11332813</v>
      </c>
      <c r="O488" s="17">
        <f>Github!P$487</f>
        <v>107896</v>
      </c>
    </row>
    <row r="489">
      <c r="A489" s="17">
        <f>Github!J$488</f>
        <v>487</v>
      </c>
      <c r="B489" s="27" t="str">
        <f>HYPERLINK(CONCAT("http://leetcode.com/problems/",Github!C$488), Github!B$488)</f>
        <v>Max Consecutive Ones II</v>
      </c>
      <c r="C489" s="17">
        <f>Github!F$488</f>
        <v>1024</v>
      </c>
      <c r="D489" s="17">
        <f>Github!G$488</f>
        <v>21</v>
      </c>
      <c r="E489" s="17">
        <f>Github!F$488+Github!G$488</f>
        <v>1045</v>
      </c>
      <c r="F489" s="18">
        <f t="shared" si="1"/>
        <v>48.76</v>
      </c>
      <c r="G489" s="17" t="str">
        <f>Github!H$488</f>
        <v>Algorithms</v>
      </c>
      <c r="H489" s="17" t="str">
        <f>Github!E$488</f>
        <v>Medium</v>
      </c>
      <c r="I489" s="17" t="str">
        <f>IF(TRIM(Github!D$488)="TRUE","FALSE","TRUE")</f>
        <v>FALSE</v>
      </c>
      <c r="J489" s="17"/>
      <c r="K489" s="17" t="str">
        <f>Github!L$488</f>
        <v>Array;Dynamic Programming;Sliding Window;</v>
      </c>
      <c r="L489" s="17" t="b">
        <f>Github!M$488</f>
        <v>1</v>
      </c>
      <c r="M489" s="17" t="str">
        <f>ROUND(Github!N$488, 2)&amp;"%"</f>
        <v>0%</v>
      </c>
      <c r="N489" s="17">
        <f>Github!O$488</f>
        <v>48.78221483</v>
      </c>
      <c r="O489" s="17">
        <f>Github!P$488</f>
        <v>86803</v>
      </c>
    </row>
    <row r="490">
      <c r="A490" s="17">
        <f>Github!J$489</f>
        <v>488</v>
      </c>
      <c r="B490" s="27" t="str">
        <f>HYPERLINK(CONCAT("http://leetcode.com/problems/",Github!C$489), Github!B$489)</f>
        <v>Zuma Game</v>
      </c>
      <c r="C490" s="17">
        <f>Github!F$489</f>
        <v>329</v>
      </c>
      <c r="D490" s="17">
        <f>Github!G$489</f>
        <v>386</v>
      </c>
      <c r="E490" s="17">
        <f>Github!F$489+Github!G$489</f>
        <v>715</v>
      </c>
      <c r="F490" s="18">
        <f t="shared" si="1"/>
        <v>0.85</v>
      </c>
      <c r="G490" s="17" t="str">
        <f>Github!H$489</f>
        <v>Algorithms</v>
      </c>
      <c r="H490" s="17" t="str">
        <f>Github!E$489</f>
        <v>Hard</v>
      </c>
      <c r="I490" s="17" t="str">
        <f>IF(TRIM(Github!D$489)="TRUE","FALSE","TRUE")</f>
        <v>TRUE</v>
      </c>
      <c r="J490" s="17"/>
      <c r="K490" s="17" t="str">
        <f>Github!L$489</f>
        <v>String;Dynamic Programming;Breadth-First Search;Memoization;</v>
      </c>
      <c r="L490" s="17" t="b">
        <f>Github!M$489</f>
        <v>0</v>
      </c>
      <c r="M490" s="17" t="str">
        <f>ROUND(Github!N$489, 2)&amp;"%"</f>
        <v>0%</v>
      </c>
      <c r="N490" s="17">
        <f>Github!O$489</f>
        <v>36.58033974</v>
      </c>
      <c r="O490" s="17">
        <f>Github!P$489</f>
        <v>19704</v>
      </c>
    </row>
    <row r="491">
      <c r="A491" s="17">
        <f>Github!J$490</f>
        <v>489</v>
      </c>
      <c r="B491" s="27" t="str">
        <f>HYPERLINK(CONCAT("http://leetcode.com/problems/",Github!C$490), Github!B$490)</f>
        <v>Robot Room Cleaner</v>
      </c>
      <c r="C491" s="17">
        <f>Github!F$490</f>
        <v>2083</v>
      </c>
      <c r="D491" s="17">
        <f>Github!G$490</f>
        <v>122</v>
      </c>
      <c r="E491" s="17">
        <f>Github!F$490+Github!G$490</f>
        <v>2205</v>
      </c>
      <c r="F491" s="18">
        <f t="shared" si="1"/>
        <v>17.07</v>
      </c>
      <c r="G491" s="17" t="str">
        <f>Github!H$490</f>
        <v>Algorithms</v>
      </c>
      <c r="H491" s="17" t="str">
        <f>Github!E$490</f>
        <v>Hard</v>
      </c>
      <c r="I491" s="17" t="str">
        <f>IF(TRIM(Github!D$490)="TRUE","FALSE","TRUE")</f>
        <v>FALSE</v>
      </c>
      <c r="J491" s="17"/>
      <c r="K491" s="17" t="str">
        <f>Github!L$490</f>
        <v>Backtracking;Interactive;</v>
      </c>
      <c r="L491" s="17" t="b">
        <f>Github!M$490</f>
        <v>1</v>
      </c>
      <c r="M491" s="17" t="str">
        <f>ROUND(Github!N$490, 2)&amp;"%"</f>
        <v>0%</v>
      </c>
      <c r="N491" s="17">
        <f>Github!O$490</f>
        <v>75.37922829</v>
      </c>
      <c r="O491" s="17">
        <f>Github!P$490</f>
        <v>111510</v>
      </c>
    </row>
    <row r="492">
      <c r="A492" s="17">
        <f>Github!J$491</f>
        <v>490</v>
      </c>
      <c r="B492" s="27" t="str">
        <f>HYPERLINK(CONCAT("http://leetcode.com/problems/",Github!C$491), Github!B$491)</f>
        <v>The Maze</v>
      </c>
      <c r="C492" s="17">
        <f>Github!F$491</f>
        <v>1361</v>
      </c>
      <c r="D492" s="17">
        <f>Github!G$491</f>
        <v>148</v>
      </c>
      <c r="E492" s="17">
        <f>Github!F$491+Github!G$491</f>
        <v>1509</v>
      </c>
      <c r="F492" s="18">
        <f t="shared" si="1"/>
        <v>9.2</v>
      </c>
      <c r="G492" s="17" t="str">
        <f>Github!H$491</f>
        <v>Algorithms</v>
      </c>
      <c r="H492" s="17" t="str">
        <f>Github!E$491</f>
        <v>Medium</v>
      </c>
      <c r="I492" s="17" t="str">
        <f>IF(TRIM(Github!D$491)="TRUE","FALSE","TRUE")</f>
        <v>FALSE</v>
      </c>
      <c r="J492" s="17"/>
      <c r="K492" s="17" t="str">
        <f>Github!L$491</f>
        <v>Depth-First Search;Breadth-First Search;Graph;</v>
      </c>
      <c r="L492" s="17" t="b">
        <f>Github!M$491</f>
        <v>1</v>
      </c>
      <c r="M492" s="17" t="str">
        <f>ROUND(Github!N$491, 2)&amp;"%"</f>
        <v>0%</v>
      </c>
      <c r="N492" s="17">
        <f>Github!O$491</f>
        <v>54.49384555</v>
      </c>
      <c r="O492" s="17">
        <f>Github!P$491</f>
        <v>114133</v>
      </c>
    </row>
    <row r="493">
      <c r="A493" s="17">
        <f>Github!J$492</f>
        <v>491</v>
      </c>
      <c r="B493" s="27" t="str">
        <f>HYPERLINK(CONCAT("http://leetcode.com/problems/",Github!C$492), Github!B$492)</f>
        <v>Increasing Subsequences</v>
      </c>
      <c r="C493" s="17">
        <f>Github!F$492</f>
        <v>1387</v>
      </c>
      <c r="D493" s="17">
        <f>Github!G$492</f>
        <v>147</v>
      </c>
      <c r="E493" s="17">
        <f>Github!F$492+Github!G$492</f>
        <v>1534</v>
      </c>
      <c r="F493" s="18">
        <f t="shared" si="1"/>
        <v>9.44</v>
      </c>
      <c r="G493" s="17" t="str">
        <f>Github!H$492</f>
        <v>Algorithms</v>
      </c>
      <c r="H493" s="17" t="str">
        <f>Github!E$492</f>
        <v>Medium</v>
      </c>
      <c r="I493" s="17" t="str">
        <f>IF(TRIM(Github!D$492)="TRUE","FALSE","TRUE")</f>
        <v>TRUE</v>
      </c>
      <c r="J493" s="17"/>
      <c r="K493" s="17" t="str">
        <f>Github!L$492</f>
        <v>Array;Hash Table;Backtracking;Bit Manipulation;</v>
      </c>
      <c r="L493" s="17" t="b">
        <f>Github!M$492</f>
        <v>0</v>
      </c>
      <c r="M493" s="17" t="str">
        <f>ROUND(Github!N$492, 2)&amp;"%"</f>
        <v>0%</v>
      </c>
      <c r="N493" s="17">
        <f>Github!O$492</f>
        <v>50.54395601</v>
      </c>
      <c r="O493" s="17">
        <f>Github!P$492</f>
        <v>71872</v>
      </c>
    </row>
    <row r="494">
      <c r="A494" s="17">
        <f>Github!J$493</f>
        <v>492</v>
      </c>
      <c r="B494" s="27" t="str">
        <f>HYPERLINK(CONCAT("http://leetcode.com/problems/",Github!C$493), Github!B$493)</f>
        <v>Construct the Rectangle</v>
      </c>
      <c r="C494" s="17">
        <f>Github!F$493</f>
        <v>385</v>
      </c>
      <c r="D494" s="17">
        <f>Github!G$493</f>
        <v>319</v>
      </c>
      <c r="E494" s="17">
        <f>Github!F$493+Github!G$493</f>
        <v>704</v>
      </c>
      <c r="F494" s="18">
        <f t="shared" si="1"/>
        <v>1.21</v>
      </c>
      <c r="G494" s="17" t="str">
        <f>Github!H$493</f>
        <v>Algorithms</v>
      </c>
      <c r="H494" s="17" t="str">
        <f>Github!E$493</f>
        <v>Easy</v>
      </c>
      <c r="I494" s="17" t="str">
        <f>IF(TRIM(Github!D$493)="TRUE","FALSE","TRUE")</f>
        <v>TRUE</v>
      </c>
      <c r="J494" s="17"/>
      <c r="K494" s="17" t="str">
        <f>Github!L$493</f>
        <v>Math;</v>
      </c>
      <c r="L494" s="17" t="b">
        <f>Github!M$493</f>
        <v>0</v>
      </c>
      <c r="M494" s="17" t="str">
        <f>ROUND(Github!N$493, 2)&amp;"%"</f>
        <v>0%</v>
      </c>
      <c r="N494" s="17">
        <f>Github!O$493</f>
        <v>52.41386892</v>
      </c>
      <c r="O494" s="17">
        <f>Github!P$493</f>
        <v>76280</v>
      </c>
    </row>
    <row r="495">
      <c r="A495" s="17">
        <f>Github!J$494</f>
        <v>493</v>
      </c>
      <c r="B495" s="27" t="str">
        <f>HYPERLINK(CONCAT("http://leetcode.com/problems/",Github!C$494), Github!B$494)</f>
        <v>Reverse Pairs</v>
      </c>
      <c r="C495" s="17">
        <f>Github!F$494</f>
        <v>2573</v>
      </c>
      <c r="D495" s="17">
        <f>Github!G$494</f>
        <v>174</v>
      </c>
      <c r="E495" s="17">
        <f>Github!F$494+Github!G$494</f>
        <v>2747</v>
      </c>
      <c r="F495" s="18">
        <f t="shared" si="1"/>
        <v>14.79</v>
      </c>
      <c r="G495" s="17" t="str">
        <f>Github!H$494</f>
        <v>Algorithms</v>
      </c>
      <c r="H495" s="17" t="str">
        <f>Github!E$494</f>
        <v>Hard</v>
      </c>
      <c r="I495" s="17" t="str">
        <f>IF(TRIM(Github!D$494)="TRUE","FALSE","TRUE")</f>
        <v>TRUE</v>
      </c>
      <c r="J495" s="17"/>
      <c r="K495" s="17" t="str">
        <f>Github!L$494</f>
        <v>Array;Binary Search;Divide and Conquer;Binary Indexed Tree;Segment Tree;Merge Sort;Ordered Set;</v>
      </c>
      <c r="L495" s="17" t="b">
        <f>Github!M$494</f>
        <v>0</v>
      </c>
      <c r="M495" s="17" t="str">
        <f>ROUND(Github!N$494, 2)&amp;"%"</f>
        <v>0%</v>
      </c>
      <c r="N495" s="17">
        <f>Github!O$494</f>
        <v>29.67540327</v>
      </c>
      <c r="O495" s="17">
        <f>Github!P$494</f>
        <v>77962</v>
      </c>
    </row>
    <row r="496">
      <c r="A496" s="17">
        <f>Github!J$495</f>
        <v>494</v>
      </c>
      <c r="B496" s="27" t="str">
        <f>HYPERLINK(CONCAT("http://leetcode.com/problems/",Github!C$495), Github!B$495)</f>
        <v>Target Sum</v>
      </c>
      <c r="C496" s="17">
        <f>Github!F$495</f>
        <v>6366</v>
      </c>
      <c r="D496" s="17">
        <f>Github!G$495</f>
        <v>246</v>
      </c>
      <c r="E496" s="17">
        <f>Github!F$495+Github!G$495</f>
        <v>6612</v>
      </c>
      <c r="F496" s="18">
        <f t="shared" si="1"/>
        <v>25.88</v>
      </c>
      <c r="G496" s="17" t="str">
        <f>Github!H$495</f>
        <v>Algorithms</v>
      </c>
      <c r="H496" s="17" t="str">
        <f>Github!E$495</f>
        <v>Medium</v>
      </c>
      <c r="I496" s="17" t="str">
        <f>IF(TRIM(Github!D$495)="TRUE","FALSE","TRUE")</f>
        <v>TRUE</v>
      </c>
      <c r="J496" s="17"/>
      <c r="K496" s="17" t="str">
        <f>Github!L$495</f>
        <v>Array;Dynamic Programming;Backtracking;</v>
      </c>
      <c r="L496" s="17" t="b">
        <f>Github!M$495</f>
        <v>1</v>
      </c>
      <c r="M496" s="17" t="str">
        <f>ROUND(Github!N$495, 2)&amp;"%"</f>
        <v>0%</v>
      </c>
      <c r="N496" s="17">
        <f>Github!O$495</f>
        <v>45.33425464</v>
      </c>
      <c r="O496" s="17">
        <f>Github!P$495</f>
        <v>328693</v>
      </c>
    </row>
    <row r="497">
      <c r="A497" s="17">
        <f>Github!J$496</f>
        <v>495</v>
      </c>
      <c r="B497" s="27" t="str">
        <f>HYPERLINK(CONCAT("http://leetcode.com/problems/",Github!C$496), Github!B$496)</f>
        <v>Teemo Attacking</v>
      </c>
      <c r="C497" s="17">
        <f>Github!F$496</f>
        <v>358</v>
      </c>
      <c r="D497" s="17">
        <f>Github!G$496</f>
        <v>34</v>
      </c>
      <c r="E497" s="17">
        <f>Github!F$496+Github!G$496</f>
        <v>392</v>
      </c>
      <c r="F497" s="18">
        <f t="shared" si="1"/>
        <v>10.53</v>
      </c>
      <c r="G497" s="17" t="str">
        <f>Github!H$496</f>
        <v>Algorithms</v>
      </c>
      <c r="H497" s="17" t="str">
        <f>Github!E$496</f>
        <v>Easy</v>
      </c>
      <c r="I497" s="17" t="str">
        <f>IF(TRIM(Github!D$496)="TRUE","FALSE","TRUE")</f>
        <v>TRUE</v>
      </c>
      <c r="J497" s="17"/>
      <c r="K497" s="17" t="str">
        <f>Github!L$496</f>
        <v>Array;Simulation;</v>
      </c>
      <c r="L497" s="17" t="b">
        <f>Github!M$496</f>
        <v>1</v>
      </c>
      <c r="M497" s="17" t="str">
        <f>ROUND(Github!N$496, 2)&amp;"%"</f>
        <v>0%</v>
      </c>
      <c r="N497" s="17">
        <f>Github!O$496</f>
        <v>56.83874433</v>
      </c>
      <c r="O497" s="17">
        <f>Github!P$496</f>
        <v>95237</v>
      </c>
    </row>
    <row r="498">
      <c r="A498" s="17">
        <f>Github!J$497</f>
        <v>496</v>
      </c>
      <c r="B498" s="27" t="str">
        <f>HYPERLINK(CONCAT("http://leetcode.com/problems/",Github!C$497), Github!B$497)</f>
        <v>Next Greater Element I</v>
      </c>
      <c r="C498" s="17">
        <f>Github!F$497</f>
        <v>2276</v>
      </c>
      <c r="D498" s="17">
        <f>Github!G$497</f>
        <v>147</v>
      </c>
      <c r="E498" s="17">
        <f>Github!F$497+Github!G$497</f>
        <v>2423</v>
      </c>
      <c r="F498" s="18">
        <f t="shared" si="1"/>
        <v>15.48</v>
      </c>
      <c r="G498" s="17" t="str">
        <f>Github!H$497</f>
        <v>Algorithms</v>
      </c>
      <c r="H498" s="17" t="str">
        <f>Github!E$497</f>
        <v>Easy</v>
      </c>
      <c r="I498" s="17" t="str">
        <f>IF(TRIM(Github!D$497)="TRUE","FALSE","TRUE")</f>
        <v>TRUE</v>
      </c>
      <c r="J498" s="17"/>
      <c r="K498" s="17" t="str">
        <f>Github!L$497</f>
        <v>Array;Hash Table;Stack;Monotonic Stack;</v>
      </c>
      <c r="L498" s="17" t="b">
        <f>Github!M$497</f>
        <v>1</v>
      </c>
      <c r="M498" s="17" t="str">
        <f>ROUND(Github!N$497, 2)&amp;"%"</f>
        <v>0%</v>
      </c>
      <c r="N498" s="17">
        <f>Github!O$497</f>
        <v>69.66741299</v>
      </c>
      <c r="O498" s="17">
        <f>Github!P$497</f>
        <v>329204</v>
      </c>
    </row>
    <row r="499">
      <c r="A499" s="17">
        <f>Github!J$498</f>
        <v>497</v>
      </c>
      <c r="B499" s="27" t="str">
        <f>HYPERLINK(CONCAT("http://leetcode.com/problems/",Github!C$498), Github!B$498)</f>
        <v>Random Point in Non-overlapping Rectangles</v>
      </c>
      <c r="C499" s="17">
        <f>Github!F$498</f>
        <v>377</v>
      </c>
      <c r="D499" s="17">
        <f>Github!G$498</f>
        <v>588</v>
      </c>
      <c r="E499" s="17">
        <f>Github!F$498+Github!G$498</f>
        <v>965</v>
      </c>
      <c r="F499" s="18">
        <f t="shared" si="1"/>
        <v>0.64</v>
      </c>
      <c r="G499" s="17" t="str">
        <f>Github!H$498</f>
        <v>Algorithms</v>
      </c>
      <c r="H499" s="17" t="str">
        <f>Github!E$498</f>
        <v>Medium</v>
      </c>
      <c r="I499" s="17" t="str">
        <f>IF(TRIM(Github!D$498)="TRUE","FALSE","TRUE")</f>
        <v>TRUE</v>
      </c>
      <c r="J499" s="17"/>
      <c r="K499" s="17" t="str">
        <f>Github!L$498</f>
        <v>Math;Binary Search;Reservoir Sampling;Prefix Sum;Ordered Set;Randomized;</v>
      </c>
      <c r="L499" s="17" t="b">
        <f>Github!M$498</f>
        <v>0</v>
      </c>
      <c r="M499" s="17" t="str">
        <f>ROUND(Github!N$498, 2)&amp;"%"</f>
        <v>0%</v>
      </c>
      <c r="N499" s="17">
        <f>Github!O$498</f>
        <v>39.12046468</v>
      </c>
      <c r="O499" s="17">
        <f>Github!P$498</f>
        <v>33608</v>
      </c>
    </row>
    <row r="500">
      <c r="A500" s="17">
        <f>Github!J$499</f>
        <v>498</v>
      </c>
      <c r="B500" s="27" t="str">
        <f>HYPERLINK(CONCAT("http://leetcode.com/problems/",Github!C$499), Github!B$499)</f>
        <v>Diagonal Traverse</v>
      </c>
      <c r="C500" s="17">
        <f>Github!F$499</f>
        <v>2018</v>
      </c>
      <c r="D500" s="17">
        <f>Github!G$499</f>
        <v>512</v>
      </c>
      <c r="E500" s="17">
        <f>Github!F$499+Github!G$499</f>
        <v>2530</v>
      </c>
      <c r="F500" s="18">
        <f t="shared" si="1"/>
        <v>3.94</v>
      </c>
      <c r="G500" s="17" t="str">
        <f>Github!H$499</f>
        <v>Algorithms</v>
      </c>
      <c r="H500" s="17" t="str">
        <f>Github!E$499</f>
        <v>Medium</v>
      </c>
      <c r="I500" s="17" t="str">
        <f>IF(TRIM(Github!D$499)="TRUE","FALSE","TRUE")</f>
        <v>TRUE</v>
      </c>
      <c r="J500" s="17"/>
      <c r="K500" s="17" t="str">
        <f>Github!L$499</f>
        <v>Array;Matrix;Simulation;</v>
      </c>
      <c r="L500" s="17" t="b">
        <f>Github!M$499</f>
        <v>1</v>
      </c>
      <c r="M500" s="17" t="str">
        <f>ROUND(Github!N$499, 2)&amp;"%"</f>
        <v>0%</v>
      </c>
      <c r="N500" s="17">
        <f>Github!O$499</f>
        <v>55.97925335</v>
      </c>
      <c r="O500" s="17">
        <f>Github!P$499</f>
        <v>186070</v>
      </c>
    </row>
    <row r="501">
      <c r="A501" s="17">
        <f>Github!J$500</f>
        <v>499</v>
      </c>
      <c r="B501" s="27" t="str">
        <f>HYPERLINK(CONCAT("http://leetcode.com/problems/",Github!C$500), Github!B$500)</f>
        <v>The Maze III</v>
      </c>
      <c r="C501" s="17">
        <f>Github!F$500</f>
        <v>335</v>
      </c>
      <c r="D501" s="17">
        <f>Github!G$500</f>
        <v>60</v>
      </c>
      <c r="E501" s="17">
        <f>Github!F$500+Github!G$500</f>
        <v>395</v>
      </c>
      <c r="F501" s="18">
        <f t="shared" si="1"/>
        <v>5.58</v>
      </c>
      <c r="G501" s="17" t="str">
        <f>Github!H$500</f>
        <v>Algorithms</v>
      </c>
      <c r="H501" s="17" t="str">
        <f>Github!E$500</f>
        <v>Hard</v>
      </c>
      <c r="I501" s="17" t="str">
        <f>IF(TRIM(Github!D$500)="TRUE","FALSE","TRUE")</f>
        <v>FALSE</v>
      </c>
      <c r="J501" s="17"/>
      <c r="K501" s="17" t="str">
        <f>Github!L$500</f>
        <v>Depth-First Search;Breadth-First Search;Graph;Heap (Priority Queue);Shortest Path;</v>
      </c>
      <c r="L501" s="17" t="b">
        <f>Github!M$500</f>
        <v>0</v>
      </c>
      <c r="M501" s="17" t="str">
        <f>ROUND(Github!N$500, 2)&amp;"%"</f>
        <v>0%</v>
      </c>
      <c r="N501" s="17">
        <f>Github!O$500</f>
        <v>44.86132433</v>
      </c>
      <c r="O501" s="17">
        <f>Github!P$500</f>
        <v>21917</v>
      </c>
    </row>
    <row r="502">
      <c r="A502" s="17">
        <f>Github!J$501</f>
        <v>500</v>
      </c>
      <c r="B502" s="27" t="str">
        <f>HYPERLINK(CONCAT("http://leetcode.com/problems/",Github!C$501), Github!B$501)</f>
        <v>Keyboard Row</v>
      </c>
      <c r="C502" s="17">
        <f>Github!F$501</f>
        <v>865</v>
      </c>
      <c r="D502" s="17">
        <f>Github!G$501</f>
        <v>886</v>
      </c>
      <c r="E502" s="17">
        <f>Github!F$501+Github!G$501</f>
        <v>1751</v>
      </c>
      <c r="F502" s="18">
        <f t="shared" si="1"/>
        <v>0.98</v>
      </c>
      <c r="G502" s="17" t="str">
        <f>Github!H$501</f>
        <v>Algorithms</v>
      </c>
      <c r="H502" s="17" t="str">
        <f>Github!E$501</f>
        <v>Easy</v>
      </c>
      <c r="I502" s="17" t="str">
        <f>IF(TRIM(Github!D$501)="TRUE","FALSE","TRUE")</f>
        <v>TRUE</v>
      </c>
      <c r="J502" s="17"/>
      <c r="K502" s="17" t="str">
        <f>Github!L$501</f>
        <v>Array;Hash Table;String;</v>
      </c>
      <c r="L502" s="17" t="b">
        <f>Github!M$501</f>
        <v>0</v>
      </c>
      <c r="M502" s="17" t="str">
        <f>ROUND(Github!N$501, 2)&amp;"%"</f>
        <v>0%</v>
      </c>
      <c r="N502" s="17">
        <f>Github!O$501</f>
        <v>67.76608456</v>
      </c>
      <c r="O502" s="17">
        <f>Github!P$501</f>
        <v>147453</v>
      </c>
    </row>
    <row r="503">
      <c r="A503" s="17">
        <f>Github!J$502</f>
        <v>501</v>
      </c>
      <c r="B503" s="27" t="str">
        <f>HYPERLINK(CONCAT("http://leetcode.com/problems/",Github!C$502), Github!B$502)</f>
        <v>Find Mode in Binary Search Tree</v>
      </c>
      <c r="C503" s="17">
        <f>Github!F$502</f>
        <v>1998</v>
      </c>
      <c r="D503" s="17">
        <f>Github!G$502</f>
        <v>540</v>
      </c>
      <c r="E503" s="17">
        <f>Github!F$502+Github!G$502</f>
        <v>2538</v>
      </c>
      <c r="F503" s="18">
        <f t="shared" si="1"/>
        <v>3.7</v>
      </c>
      <c r="G503" s="17" t="str">
        <f>Github!H$502</f>
        <v>Algorithms</v>
      </c>
      <c r="H503" s="17" t="str">
        <f>Github!E$502</f>
        <v>Easy</v>
      </c>
      <c r="I503" s="17" t="str">
        <f>IF(TRIM(Github!D$502)="TRUE","FALSE","TRUE")</f>
        <v>TRUE</v>
      </c>
      <c r="J503" s="17"/>
      <c r="K503" s="17" t="str">
        <f>Github!L$502</f>
        <v>Tree;Depth-First Search;Binary Search Tree;Binary Tree;</v>
      </c>
      <c r="L503" s="17" t="b">
        <f>Github!M$502</f>
        <v>0</v>
      </c>
      <c r="M503" s="17" t="str">
        <f>ROUND(Github!N$502, 2)&amp;"%"</f>
        <v>0%</v>
      </c>
      <c r="N503" s="17">
        <f>Github!O$502</f>
        <v>46.84153777</v>
      </c>
      <c r="O503" s="17">
        <f>Github!P$502</f>
        <v>144662</v>
      </c>
    </row>
    <row r="504">
      <c r="A504" s="17">
        <f>Github!J$503</f>
        <v>502</v>
      </c>
      <c r="B504" s="27" t="str">
        <f>HYPERLINK(CONCAT("http://leetcode.com/problems/",Github!C$503), Github!B$503)</f>
        <v>IPO</v>
      </c>
      <c r="C504" s="17">
        <f>Github!F$503</f>
        <v>755</v>
      </c>
      <c r="D504" s="17">
        <f>Github!G$503</f>
        <v>68</v>
      </c>
      <c r="E504" s="17">
        <f>Github!F$503+Github!G$503</f>
        <v>823</v>
      </c>
      <c r="F504" s="18">
        <f t="shared" si="1"/>
        <v>11.1</v>
      </c>
      <c r="G504" s="17" t="str">
        <f>Github!H$503</f>
        <v>Algorithms</v>
      </c>
      <c r="H504" s="17" t="str">
        <f>Github!E$503</f>
        <v>Hard</v>
      </c>
      <c r="I504" s="17" t="str">
        <f>IF(TRIM(Github!D$503)="TRUE","FALSE","TRUE")</f>
        <v>TRUE</v>
      </c>
      <c r="J504" s="17"/>
      <c r="K504" s="17" t="str">
        <f>Github!L$503</f>
        <v>Array;Greedy;Sorting;Heap (Priority Queue);</v>
      </c>
      <c r="L504" s="17" t="b">
        <f>Github!M$503</f>
        <v>1</v>
      </c>
      <c r="M504" s="17" t="str">
        <f>ROUND(Github!N$503, 2)&amp;"%"</f>
        <v>0%</v>
      </c>
      <c r="N504" s="17">
        <f>Github!O$503</f>
        <v>43.83474934</v>
      </c>
      <c r="O504" s="17">
        <f>Github!P$503</f>
        <v>31162</v>
      </c>
    </row>
    <row r="505">
      <c r="A505" s="17">
        <f>Github!J$504</f>
        <v>503</v>
      </c>
      <c r="B505" s="27" t="str">
        <f>HYPERLINK(CONCAT("http://leetcode.com/problems/",Github!C$504), Github!B$504)</f>
        <v>Next Greater Element II</v>
      </c>
      <c r="C505" s="17">
        <f>Github!F$504</f>
        <v>4179</v>
      </c>
      <c r="D505" s="17">
        <f>Github!G$504</f>
        <v>127</v>
      </c>
      <c r="E505" s="17">
        <f>Github!F$504+Github!G$504</f>
        <v>4306</v>
      </c>
      <c r="F505" s="18">
        <f t="shared" si="1"/>
        <v>32.91</v>
      </c>
      <c r="G505" s="17" t="str">
        <f>Github!H$504</f>
        <v>Algorithms</v>
      </c>
      <c r="H505" s="17" t="str">
        <f>Github!E$504</f>
        <v>Medium</v>
      </c>
      <c r="I505" s="17" t="str">
        <f>IF(TRIM(Github!D$504)="TRUE","FALSE","TRUE")</f>
        <v>TRUE</v>
      </c>
      <c r="J505" s="17"/>
      <c r="K505" s="17" t="str">
        <f>Github!L$504</f>
        <v>Array;Stack;Monotonic Stack;</v>
      </c>
      <c r="L505" s="17" t="b">
        <f>Github!M$504</f>
        <v>1</v>
      </c>
      <c r="M505" s="17" t="str">
        <f>ROUND(Github!N$504, 2)&amp;"%"</f>
        <v>0%</v>
      </c>
      <c r="N505" s="17">
        <f>Github!O$504</f>
        <v>61.70134442</v>
      </c>
      <c r="O505" s="17">
        <f>Github!P$504</f>
        <v>202798</v>
      </c>
    </row>
    <row r="506">
      <c r="A506" s="17">
        <f>Github!J$505</f>
        <v>504</v>
      </c>
      <c r="B506" s="27" t="str">
        <f>HYPERLINK(CONCAT("http://leetcode.com/problems/",Github!C$505), Github!B$505)</f>
        <v>Base 7</v>
      </c>
      <c r="C506" s="17">
        <f>Github!F$505</f>
        <v>446</v>
      </c>
      <c r="D506" s="17">
        <f>Github!G$505</f>
        <v>189</v>
      </c>
      <c r="E506" s="17">
        <f>Github!F$505+Github!G$505</f>
        <v>635</v>
      </c>
      <c r="F506" s="18">
        <f t="shared" si="1"/>
        <v>2.36</v>
      </c>
      <c r="G506" s="17" t="str">
        <f>Github!H$505</f>
        <v>Algorithms</v>
      </c>
      <c r="H506" s="17" t="str">
        <f>Github!E$505</f>
        <v>Easy</v>
      </c>
      <c r="I506" s="17" t="str">
        <f>IF(TRIM(Github!D$505)="TRUE","FALSE","TRUE")</f>
        <v>TRUE</v>
      </c>
      <c r="J506" s="17"/>
      <c r="K506" s="17" t="str">
        <f>Github!L$505</f>
        <v>Math;</v>
      </c>
      <c r="L506" s="17" t="b">
        <f>Github!M$505</f>
        <v>0</v>
      </c>
      <c r="M506" s="17" t="str">
        <f>ROUND(Github!N$505, 2)&amp;"%"</f>
        <v>0%</v>
      </c>
      <c r="N506" s="17">
        <f>Github!O$505</f>
        <v>47.3521138</v>
      </c>
      <c r="O506" s="17">
        <f>Github!P$505</f>
        <v>82986</v>
      </c>
    </row>
    <row r="507">
      <c r="A507" s="17">
        <f>Github!J$506</f>
        <v>505</v>
      </c>
      <c r="B507" s="27" t="str">
        <f>HYPERLINK(CONCAT("http://leetcode.com/problems/",Github!C$506), Github!B$506)</f>
        <v>The Maze II</v>
      </c>
      <c r="C507" s="17">
        <f>Github!F$506</f>
        <v>1000</v>
      </c>
      <c r="D507" s="17">
        <f>Github!G$506</f>
        <v>45</v>
      </c>
      <c r="E507" s="17">
        <f>Github!F$506+Github!G$506</f>
        <v>1045</v>
      </c>
      <c r="F507" s="18">
        <f t="shared" si="1"/>
        <v>22.22</v>
      </c>
      <c r="G507" s="17" t="str">
        <f>Github!H$506</f>
        <v>Algorithms</v>
      </c>
      <c r="H507" s="17" t="str">
        <f>Github!E$506</f>
        <v>Medium</v>
      </c>
      <c r="I507" s="17" t="str">
        <f>IF(TRIM(Github!D$506)="TRUE","FALSE","TRUE")</f>
        <v>FALSE</v>
      </c>
      <c r="J507" s="17"/>
      <c r="K507" s="17" t="str">
        <f>Github!L$506</f>
        <v>Depth-First Search;Breadth-First Search;Graph;Heap (Priority Queue);Shortest Path;</v>
      </c>
      <c r="L507" s="17" t="b">
        <f>Github!M$506</f>
        <v>1</v>
      </c>
      <c r="M507" s="17" t="str">
        <f>ROUND(Github!N$506, 2)&amp;"%"</f>
        <v>0%</v>
      </c>
      <c r="N507" s="17">
        <f>Github!O$506</f>
        <v>51.11583213</v>
      </c>
      <c r="O507" s="17">
        <f>Github!P$506</f>
        <v>78197</v>
      </c>
    </row>
    <row r="508">
      <c r="A508" s="17">
        <f>Github!J$507</f>
        <v>506</v>
      </c>
      <c r="B508" s="27" t="str">
        <f>HYPERLINK(CONCAT("http://leetcode.com/problems/",Github!C$507), Github!B$507)</f>
        <v>Relative Ranks</v>
      </c>
      <c r="C508" s="17">
        <f>Github!F$507</f>
        <v>402</v>
      </c>
      <c r="D508" s="17">
        <f>Github!G$507</f>
        <v>23</v>
      </c>
      <c r="E508" s="17">
        <f>Github!F$507+Github!G$507</f>
        <v>425</v>
      </c>
      <c r="F508" s="18">
        <f t="shared" si="1"/>
        <v>17.48</v>
      </c>
      <c r="G508" s="17" t="str">
        <f>Github!H$507</f>
        <v>Algorithms</v>
      </c>
      <c r="H508" s="17" t="str">
        <f>Github!E$507</f>
        <v>Easy</v>
      </c>
      <c r="I508" s="17" t="str">
        <f>IF(TRIM(Github!D$507)="TRUE","FALSE","TRUE")</f>
        <v>TRUE</v>
      </c>
      <c r="J508" s="17"/>
      <c r="K508" s="17" t="str">
        <f>Github!L$507</f>
        <v>Array;Sorting;Heap (Priority Queue);</v>
      </c>
      <c r="L508" s="17" t="b">
        <f>Github!M$507</f>
        <v>0</v>
      </c>
      <c r="M508" s="17" t="str">
        <f>ROUND(Github!N$507, 2)&amp;"%"</f>
        <v>0%</v>
      </c>
      <c r="N508" s="17">
        <f>Github!O$507</f>
        <v>56.09384925</v>
      </c>
      <c r="O508" s="17">
        <f>Github!P$507</f>
        <v>84777</v>
      </c>
    </row>
    <row r="509">
      <c r="A509" s="17">
        <f>Github!J$508</f>
        <v>507</v>
      </c>
      <c r="B509" s="27" t="str">
        <f>HYPERLINK(CONCAT("http://leetcode.com/problems/",Github!C$508), Github!B$508)</f>
        <v>Perfect Number</v>
      </c>
      <c r="C509" s="17">
        <f>Github!F$508</f>
        <v>529</v>
      </c>
      <c r="D509" s="17">
        <f>Github!G$508</f>
        <v>824</v>
      </c>
      <c r="E509" s="17">
        <f>Github!F$508+Github!G$508</f>
        <v>1353</v>
      </c>
      <c r="F509" s="18">
        <f t="shared" si="1"/>
        <v>0.64</v>
      </c>
      <c r="G509" s="17" t="str">
        <f>Github!H$508</f>
        <v>Algorithms</v>
      </c>
      <c r="H509" s="17" t="str">
        <f>Github!E$508</f>
        <v>Easy</v>
      </c>
      <c r="I509" s="17" t="str">
        <f>IF(TRIM(Github!D$508)="TRUE","FALSE","TRUE")</f>
        <v>TRUE</v>
      </c>
      <c r="J509" s="17"/>
      <c r="K509" s="17" t="str">
        <f>Github!L$508</f>
        <v>Math;</v>
      </c>
      <c r="L509" s="17" t="b">
        <f>Github!M$508</f>
        <v>1</v>
      </c>
      <c r="M509" s="17" t="str">
        <f>ROUND(Github!N$508, 2)&amp;"%"</f>
        <v>0%</v>
      </c>
      <c r="N509" s="17">
        <f>Github!O$508</f>
        <v>37.5300819</v>
      </c>
      <c r="O509" s="17">
        <f>Github!P$508</f>
        <v>99028</v>
      </c>
    </row>
    <row r="510">
      <c r="A510" s="17">
        <f>Github!J$509</f>
        <v>508</v>
      </c>
      <c r="B510" s="27" t="str">
        <f>HYPERLINK(CONCAT("http://leetcode.com/problems/",Github!C$509), Github!B$509)</f>
        <v>Most Frequent Subtree Sum</v>
      </c>
      <c r="C510" s="17">
        <f>Github!F$509</f>
        <v>1409</v>
      </c>
      <c r="D510" s="17">
        <f>Github!G$509</f>
        <v>211</v>
      </c>
      <c r="E510" s="17">
        <f>Github!F$509+Github!G$509</f>
        <v>1620</v>
      </c>
      <c r="F510" s="18">
        <f t="shared" si="1"/>
        <v>6.68</v>
      </c>
      <c r="G510" s="17" t="str">
        <f>Github!H$509</f>
        <v>Algorithms</v>
      </c>
      <c r="H510" s="17" t="str">
        <f>Github!E$509</f>
        <v>Medium</v>
      </c>
      <c r="I510" s="17" t="str">
        <f>IF(TRIM(Github!D$509)="TRUE","FALSE","TRUE")</f>
        <v>TRUE</v>
      </c>
      <c r="J510" s="17"/>
      <c r="K510" s="17" t="str">
        <f>Github!L$509</f>
        <v>Hash Table;Tree;Depth-First Search;Binary Tree;</v>
      </c>
      <c r="L510" s="17" t="b">
        <f>Github!M$509</f>
        <v>0</v>
      </c>
      <c r="M510" s="17" t="str">
        <f>ROUND(Github!N$509, 2)&amp;"%"</f>
        <v>0%</v>
      </c>
      <c r="N510" s="17">
        <f>Github!O$509</f>
        <v>62.42265759</v>
      </c>
      <c r="O510" s="17">
        <f>Github!P$509</f>
        <v>104315</v>
      </c>
    </row>
    <row r="511">
      <c r="A511" s="17">
        <f>Github!J$510</f>
        <v>509</v>
      </c>
      <c r="B511" s="27" t="str">
        <f>HYPERLINK(CONCAT("http://leetcode.com/problems/",Github!C$510), Github!B$510)</f>
        <v>Fibonacci Number</v>
      </c>
      <c r="C511" s="17">
        <f>Github!F$510</f>
        <v>3084</v>
      </c>
      <c r="D511" s="17">
        <f>Github!G$510</f>
        <v>256</v>
      </c>
      <c r="E511" s="17">
        <f>Github!F$510+Github!G$510</f>
        <v>3340</v>
      </c>
      <c r="F511" s="18">
        <f t="shared" si="1"/>
        <v>12.05</v>
      </c>
      <c r="G511" s="17" t="str">
        <f>Github!H$510</f>
        <v>Algorithms</v>
      </c>
      <c r="H511" s="17" t="str">
        <f>Github!E$510</f>
        <v>Easy</v>
      </c>
      <c r="I511" s="17" t="str">
        <f>IF(TRIM(Github!D$510)="TRUE","FALSE","TRUE")</f>
        <v>TRUE</v>
      </c>
      <c r="J511" s="17"/>
      <c r="K511" s="17" t="str">
        <f>Github!L$510</f>
        <v>Math;Dynamic Programming;Recursion;Memoization;</v>
      </c>
      <c r="L511" s="17" t="b">
        <f>Github!M$510</f>
        <v>1</v>
      </c>
      <c r="M511" s="17" t="str">
        <f>ROUND(Github!N$510, 2)&amp;"%"</f>
        <v>0%</v>
      </c>
      <c r="N511" s="17">
        <f>Github!O$510</f>
        <v>68.08785275</v>
      </c>
      <c r="O511" s="17">
        <f>Github!P$510</f>
        <v>689399</v>
      </c>
    </row>
    <row r="512">
      <c r="A512" s="17">
        <f>Github!J$511</f>
        <v>510</v>
      </c>
      <c r="B512" s="27" t="str">
        <f>HYPERLINK(CONCAT("http://leetcode.com/problems/",Github!C$511), Github!B$511)</f>
        <v>Inorder Successor in BST II</v>
      </c>
      <c r="C512" s="17">
        <f>Github!F$511</f>
        <v>640</v>
      </c>
      <c r="D512" s="17">
        <f>Github!G$511</f>
        <v>34</v>
      </c>
      <c r="E512" s="17">
        <f>Github!F$511+Github!G$511</f>
        <v>674</v>
      </c>
      <c r="F512" s="18">
        <f t="shared" si="1"/>
        <v>18.82</v>
      </c>
      <c r="G512" s="17" t="str">
        <f>Github!H$511</f>
        <v>Algorithms</v>
      </c>
      <c r="H512" s="17" t="str">
        <f>Github!E$511</f>
        <v>Medium</v>
      </c>
      <c r="I512" s="17" t="str">
        <f>IF(TRIM(Github!D$511)="TRUE","FALSE","TRUE")</f>
        <v>FALSE</v>
      </c>
      <c r="J512" s="17"/>
      <c r="K512" s="17" t="str">
        <f>Github!L$511</f>
        <v>Tree;Binary Search Tree;Binary Tree;</v>
      </c>
      <c r="L512" s="17" t="b">
        <f>Github!M$511</f>
        <v>1</v>
      </c>
      <c r="M512" s="17" t="str">
        <f>ROUND(Github!N$511, 2)&amp;"%"</f>
        <v>0%</v>
      </c>
      <c r="N512" s="17">
        <f>Github!O$511</f>
        <v>61.48776273</v>
      </c>
      <c r="O512" s="17">
        <f>Github!P$511</f>
        <v>45899</v>
      </c>
    </row>
    <row r="513">
      <c r="A513" s="17">
        <f>Github!J$512</f>
        <v>511</v>
      </c>
      <c r="B513" s="27" t="str">
        <f>HYPERLINK(CONCAT("http://leetcode.com/problems/",Github!C$512), Github!B$512)</f>
        <v>Game Play Analysis I</v>
      </c>
      <c r="C513" s="17">
        <f>Github!F$512</f>
        <v>123</v>
      </c>
      <c r="D513" s="17">
        <f>Github!G$512</f>
        <v>8</v>
      </c>
      <c r="E513" s="17">
        <f>Github!F$512+Github!G$512</f>
        <v>131</v>
      </c>
      <c r="F513" s="18">
        <f t="shared" si="1"/>
        <v>15.38</v>
      </c>
      <c r="G513" s="17" t="str">
        <f>Github!H$512</f>
        <v>Database</v>
      </c>
      <c r="H513" s="17" t="str">
        <f>Github!E$512</f>
        <v>Easy</v>
      </c>
      <c r="I513" s="17" t="str">
        <f>IF(TRIM(Github!D$512)="TRUE","FALSE","TRUE")</f>
        <v>FALSE</v>
      </c>
      <c r="J513" s="17"/>
      <c r="K513" s="17" t="str">
        <f>Github!L$512</f>
        <v>Database;</v>
      </c>
      <c r="L513" s="17" t="b">
        <f>Github!M$512</f>
        <v>0</v>
      </c>
      <c r="M513" s="17" t="str">
        <f>ROUND(Github!N$512, 2)&amp;"%"</f>
        <v>0%</v>
      </c>
      <c r="N513" s="17">
        <f>Github!O$512</f>
        <v>80.86668951</v>
      </c>
      <c r="O513" s="17">
        <f>Github!P$512</f>
        <v>54285</v>
      </c>
    </row>
    <row r="514">
      <c r="A514" s="17">
        <f>Github!J$513</f>
        <v>512</v>
      </c>
      <c r="B514" s="27" t="str">
        <f>HYPERLINK(CONCAT("http://leetcode.com/problems/",Github!C$513), Github!B$513)</f>
        <v>Game Play Analysis II</v>
      </c>
      <c r="C514" s="17">
        <f>Github!F$513</f>
        <v>160</v>
      </c>
      <c r="D514" s="17">
        <f>Github!G$513</f>
        <v>26</v>
      </c>
      <c r="E514" s="17">
        <f>Github!F$513+Github!G$513</f>
        <v>186</v>
      </c>
      <c r="F514" s="18">
        <f t="shared" si="1"/>
        <v>6.15</v>
      </c>
      <c r="G514" s="17" t="str">
        <f>Github!H$513</f>
        <v>Database</v>
      </c>
      <c r="H514" s="17" t="str">
        <f>Github!E$513</f>
        <v>Easy</v>
      </c>
      <c r="I514" s="17" t="str">
        <f>IF(TRIM(Github!D$513)="TRUE","FALSE","TRUE")</f>
        <v>FALSE</v>
      </c>
      <c r="J514" s="17"/>
      <c r="K514" s="17" t="str">
        <f>Github!L$513</f>
        <v>Database;</v>
      </c>
      <c r="L514" s="17" t="b">
        <f>Github!M$513</f>
        <v>0</v>
      </c>
      <c r="M514" s="17" t="str">
        <f>ROUND(Github!N$513, 2)&amp;"%"</f>
        <v>0%</v>
      </c>
      <c r="N514" s="17">
        <f>Github!O$513</f>
        <v>54.45976666</v>
      </c>
      <c r="O514" s="17">
        <f>Github!P$513</f>
        <v>50783</v>
      </c>
    </row>
    <row r="515">
      <c r="A515" s="17">
        <f>Github!J$514</f>
        <v>513</v>
      </c>
      <c r="B515" s="27" t="str">
        <f>HYPERLINK(CONCAT("http://leetcode.com/problems/",Github!C$514), Github!B$514)</f>
        <v>Find Bottom Left Tree Value</v>
      </c>
      <c r="C515" s="17">
        <f>Github!F$514</f>
        <v>1981</v>
      </c>
      <c r="D515" s="17">
        <f>Github!G$514</f>
        <v>207</v>
      </c>
      <c r="E515" s="17">
        <f>Github!F$514+Github!G$514</f>
        <v>2188</v>
      </c>
      <c r="F515" s="18">
        <f t="shared" si="1"/>
        <v>9.57</v>
      </c>
      <c r="G515" s="17" t="str">
        <f>Github!H$514</f>
        <v>Algorithms</v>
      </c>
      <c r="H515" s="17" t="str">
        <f>Github!E$514</f>
        <v>Medium</v>
      </c>
      <c r="I515" s="17" t="str">
        <f>IF(TRIM(Github!D$514)="TRUE","FALSE","TRUE")</f>
        <v>TRUE</v>
      </c>
      <c r="J515" s="17"/>
      <c r="K515" s="17" t="str">
        <f>Github!L$514</f>
        <v>Tree;Depth-First Search;Breadth-First Search;Binary Tree;</v>
      </c>
      <c r="L515" s="17" t="b">
        <f>Github!M$514</f>
        <v>0</v>
      </c>
      <c r="M515" s="17" t="str">
        <f>ROUND(Github!N$514, 2)&amp;"%"</f>
        <v>0%</v>
      </c>
      <c r="N515" s="17">
        <f>Github!O$514</f>
        <v>64.93643194</v>
      </c>
      <c r="O515" s="17">
        <f>Github!P$514</f>
        <v>165331</v>
      </c>
    </row>
    <row r="516">
      <c r="A516" s="17">
        <f>Github!J$515</f>
        <v>514</v>
      </c>
      <c r="B516" s="27" t="str">
        <f>HYPERLINK(CONCAT("http://leetcode.com/problems/",Github!C$515), Github!B$515)</f>
        <v>Freedom Trail</v>
      </c>
      <c r="C516" s="17">
        <f>Github!F$515</f>
        <v>665</v>
      </c>
      <c r="D516" s="17">
        <f>Github!G$515</f>
        <v>31</v>
      </c>
      <c r="E516" s="17">
        <f>Github!F$515+Github!G$515</f>
        <v>696</v>
      </c>
      <c r="F516" s="18">
        <f t="shared" si="1"/>
        <v>21.45</v>
      </c>
      <c r="G516" s="17" t="str">
        <f>Github!H$515</f>
        <v>Algorithms</v>
      </c>
      <c r="H516" s="17" t="str">
        <f>Github!E$515</f>
        <v>Hard</v>
      </c>
      <c r="I516" s="17" t="str">
        <f>IF(TRIM(Github!D$515)="TRUE","FALSE","TRUE")</f>
        <v>TRUE</v>
      </c>
      <c r="J516" s="17"/>
      <c r="K516" s="17" t="str">
        <f>Github!L$515</f>
        <v>String;Dynamic Programming;Depth-First Search;Breadth-First Search;</v>
      </c>
      <c r="L516" s="17" t="b">
        <f>Github!M$515</f>
        <v>0</v>
      </c>
      <c r="M516" s="17" t="str">
        <f>ROUND(Github!N$515, 2)&amp;"%"</f>
        <v>0%</v>
      </c>
      <c r="N516" s="17">
        <f>Github!O$515</f>
        <v>46.02235371</v>
      </c>
      <c r="O516" s="17">
        <f>Github!P$515</f>
        <v>26600</v>
      </c>
    </row>
    <row r="517">
      <c r="A517" s="17">
        <f>Github!J$516</f>
        <v>515</v>
      </c>
      <c r="B517" s="27" t="str">
        <f>HYPERLINK(CONCAT("http://leetcode.com/problems/",Github!C$516), Github!B$516)</f>
        <v>Find Largest Value in Each Tree Row</v>
      </c>
      <c r="C517" s="17">
        <f>Github!F$516</f>
        <v>1907</v>
      </c>
      <c r="D517" s="17">
        <f>Github!G$516</f>
        <v>80</v>
      </c>
      <c r="E517" s="17">
        <f>Github!F$516+Github!G$516</f>
        <v>1987</v>
      </c>
      <c r="F517" s="18">
        <f t="shared" si="1"/>
        <v>23.84</v>
      </c>
      <c r="G517" s="17" t="str">
        <f>Github!H$516</f>
        <v>Algorithms</v>
      </c>
      <c r="H517" s="17" t="str">
        <f>Github!E$516</f>
        <v>Medium</v>
      </c>
      <c r="I517" s="17" t="str">
        <f>IF(TRIM(Github!D$516)="TRUE","FALSE","TRUE")</f>
        <v>TRUE</v>
      </c>
      <c r="J517" s="17"/>
      <c r="K517" s="17" t="str">
        <f>Github!L$516</f>
        <v>Tree;Depth-First Search;Breadth-First Search;Binary Tree;</v>
      </c>
      <c r="L517" s="17" t="b">
        <f>Github!M$516</f>
        <v>0</v>
      </c>
      <c r="M517" s="17" t="str">
        <f>ROUND(Github!N$516, 2)&amp;"%"</f>
        <v>0%</v>
      </c>
      <c r="N517" s="17">
        <f>Github!O$516</f>
        <v>64.27490471</v>
      </c>
      <c r="O517" s="17">
        <f>Github!P$516</f>
        <v>181778</v>
      </c>
    </row>
    <row r="518">
      <c r="A518" s="17">
        <f>Github!J$517</f>
        <v>516</v>
      </c>
      <c r="B518" s="27" t="str">
        <f>HYPERLINK(CONCAT("http://leetcode.com/problems/",Github!C$517), Github!B$517)</f>
        <v>Longest Palindromic Subsequence</v>
      </c>
      <c r="C518" s="17">
        <f>Github!F$517</f>
        <v>4848</v>
      </c>
      <c r="D518" s="17">
        <f>Github!G$517</f>
        <v>244</v>
      </c>
      <c r="E518" s="17">
        <f>Github!F$517+Github!G$517</f>
        <v>5092</v>
      </c>
      <c r="F518" s="18">
        <f t="shared" si="1"/>
        <v>19.87</v>
      </c>
      <c r="G518" s="17" t="str">
        <f>Github!H$517</f>
        <v>Algorithms</v>
      </c>
      <c r="H518" s="17" t="str">
        <f>Github!E$517</f>
        <v>Medium</v>
      </c>
      <c r="I518" s="17" t="str">
        <f>IF(TRIM(Github!D$517)="TRUE","FALSE","TRUE")</f>
        <v>TRUE</v>
      </c>
      <c r="J518" s="17"/>
      <c r="K518" s="17" t="str">
        <f>Github!L$517</f>
        <v>String;Dynamic Programming;</v>
      </c>
      <c r="L518" s="17" t="b">
        <f>Github!M$517</f>
        <v>0</v>
      </c>
      <c r="M518" s="17" t="str">
        <f>ROUND(Github!N$517, 2)&amp;"%"</f>
        <v>0%</v>
      </c>
      <c r="N518" s="17">
        <f>Github!O$517</f>
        <v>58.99789225</v>
      </c>
      <c r="O518" s="17">
        <f>Github!P$517</f>
        <v>239319</v>
      </c>
    </row>
    <row r="519">
      <c r="A519" s="17">
        <f>Github!J$518</f>
        <v>517</v>
      </c>
      <c r="B519" s="27" t="str">
        <f>HYPERLINK(CONCAT("http://leetcode.com/problems/",Github!C$518), Github!B$518)</f>
        <v>Super Washing Machines</v>
      </c>
      <c r="C519" s="17">
        <f>Github!F$518</f>
        <v>524</v>
      </c>
      <c r="D519" s="17">
        <f>Github!G$518</f>
        <v>176</v>
      </c>
      <c r="E519" s="17">
        <f>Github!F$518+Github!G$518</f>
        <v>700</v>
      </c>
      <c r="F519" s="18">
        <f t="shared" si="1"/>
        <v>2.98</v>
      </c>
      <c r="G519" s="17" t="str">
        <f>Github!H$518</f>
        <v>Algorithms</v>
      </c>
      <c r="H519" s="17" t="str">
        <f>Github!E$518</f>
        <v>Hard</v>
      </c>
      <c r="I519" s="17" t="str">
        <f>IF(TRIM(Github!D$518)="TRUE","FALSE","TRUE")</f>
        <v>TRUE</v>
      </c>
      <c r="J519" s="17"/>
      <c r="K519" s="17" t="str">
        <f>Github!L$518</f>
        <v>Array;Greedy;</v>
      </c>
      <c r="L519" s="17" t="b">
        <f>Github!M$518</f>
        <v>0</v>
      </c>
      <c r="M519" s="17" t="str">
        <f>ROUND(Github!N$518, 2)&amp;"%"</f>
        <v>0%</v>
      </c>
      <c r="N519" s="17">
        <f>Github!O$518</f>
        <v>39.28434154</v>
      </c>
      <c r="O519" s="17">
        <f>Github!P$518</f>
        <v>21463</v>
      </c>
    </row>
    <row r="520">
      <c r="A520" s="17">
        <f>Github!J$519</f>
        <v>518</v>
      </c>
      <c r="B520" s="27" t="str">
        <f>HYPERLINK(CONCAT("http://leetcode.com/problems/",Github!C$519), Github!B$519)</f>
        <v>Coin Change 2</v>
      </c>
      <c r="C520" s="17">
        <f>Github!F$519</f>
        <v>4817</v>
      </c>
      <c r="D520" s="17">
        <f>Github!G$519</f>
        <v>99</v>
      </c>
      <c r="E520" s="17">
        <f>Github!F$519+Github!G$519</f>
        <v>4916</v>
      </c>
      <c r="F520" s="18">
        <f t="shared" si="1"/>
        <v>48.66</v>
      </c>
      <c r="G520" s="17" t="str">
        <f>Github!H$519</f>
        <v>Algorithms</v>
      </c>
      <c r="H520" s="17" t="str">
        <f>Github!E$519</f>
        <v>Medium</v>
      </c>
      <c r="I520" s="17" t="str">
        <f>IF(TRIM(Github!D$519)="TRUE","FALSE","TRUE")</f>
        <v>TRUE</v>
      </c>
      <c r="J520" s="17"/>
      <c r="K520" s="17" t="str">
        <f>Github!L$519</f>
        <v>Array;Dynamic Programming;</v>
      </c>
      <c r="L520" s="17" t="b">
        <f>Github!M$519</f>
        <v>1</v>
      </c>
      <c r="M520" s="17" t="str">
        <f>ROUND(Github!N$519, 2)&amp;"%"</f>
        <v>0%</v>
      </c>
      <c r="N520" s="17">
        <f>Github!O$519</f>
        <v>56.92221921</v>
      </c>
      <c r="O520" s="17">
        <f>Github!P$519</f>
        <v>274645</v>
      </c>
    </row>
    <row r="521">
      <c r="A521" s="17">
        <f>Github!J$520</f>
        <v>519</v>
      </c>
      <c r="B521" s="27" t="str">
        <f>HYPERLINK(CONCAT("http://leetcode.com/problems/",Github!C$520), Github!B$520)</f>
        <v>Random Flip Matrix</v>
      </c>
      <c r="C521" s="17">
        <f>Github!F$520</f>
        <v>286</v>
      </c>
      <c r="D521" s="17">
        <f>Github!G$520</f>
        <v>86</v>
      </c>
      <c r="E521" s="17">
        <f>Github!F$520+Github!G$520</f>
        <v>372</v>
      </c>
      <c r="F521" s="18">
        <f t="shared" si="1"/>
        <v>3.33</v>
      </c>
      <c r="G521" s="17" t="str">
        <f>Github!H$520</f>
        <v>Algorithms</v>
      </c>
      <c r="H521" s="17" t="str">
        <f>Github!E$520</f>
        <v>Medium</v>
      </c>
      <c r="I521" s="17" t="str">
        <f>IF(TRIM(Github!D$520)="TRUE","FALSE","TRUE")</f>
        <v>TRUE</v>
      </c>
      <c r="J521" s="17"/>
      <c r="K521" s="17" t="str">
        <f>Github!L$520</f>
        <v>Hash Table;Math;Reservoir Sampling;Randomized;</v>
      </c>
      <c r="L521" s="17" t="b">
        <f>Github!M$520</f>
        <v>0</v>
      </c>
      <c r="M521" s="17" t="str">
        <f>ROUND(Github!N$520, 2)&amp;"%"</f>
        <v>0%</v>
      </c>
      <c r="N521" s="17">
        <f>Github!O$520</f>
        <v>38.92168909</v>
      </c>
      <c r="O521" s="17">
        <f>Github!P$520</f>
        <v>12987</v>
      </c>
    </row>
    <row r="522">
      <c r="A522" s="17">
        <f>Github!J$521</f>
        <v>520</v>
      </c>
      <c r="B522" s="27" t="str">
        <f>HYPERLINK(CONCAT("http://leetcode.com/problems/",Github!C$521), Github!B$521)</f>
        <v>Detect Capital</v>
      </c>
      <c r="C522" s="17">
        <f>Github!F$521</f>
        <v>1562</v>
      </c>
      <c r="D522" s="17">
        <f>Github!G$521</f>
        <v>358</v>
      </c>
      <c r="E522" s="17">
        <f>Github!F$521+Github!G$521</f>
        <v>1920</v>
      </c>
      <c r="F522" s="18">
        <f t="shared" si="1"/>
        <v>4.36</v>
      </c>
      <c r="G522" s="17" t="str">
        <f>Github!H$521</f>
        <v>Algorithms</v>
      </c>
      <c r="H522" s="17" t="str">
        <f>Github!E$521</f>
        <v>Easy</v>
      </c>
      <c r="I522" s="17" t="str">
        <f>IF(TRIM(Github!D$521)="TRUE","FALSE","TRUE")</f>
        <v>TRUE</v>
      </c>
      <c r="J522" s="17"/>
      <c r="K522" s="17" t="str">
        <f>Github!L$521</f>
        <v>String;</v>
      </c>
      <c r="L522" s="17" t="b">
        <f>Github!M$521</f>
        <v>1</v>
      </c>
      <c r="M522" s="17" t="str">
        <f>ROUND(Github!N$521, 2)&amp;"%"</f>
        <v>0%</v>
      </c>
      <c r="N522" s="17">
        <f>Github!O$521</f>
        <v>55.71365166</v>
      </c>
      <c r="O522" s="17">
        <f>Github!P$521</f>
        <v>258586</v>
      </c>
    </row>
    <row r="523">
      <c r="A523" s="17">
        <f>Github!J$522</f>
        <v>521</v>
      </c>
      <c r="B523" s="27" t="str">
        <f>HYPERLINK(CONCAT("http://leetcode.com/problems/",Github!C$522), Github!B$522)</f>
        <v>Longest Uncommon Subsequence I</v>
      </c>
      <c r="C523" s="17">
        <f>Github!F$522</f>
        <v>567</v>
      </c>
      <c r="D523" s="17">
        <f>Github!G$522</f>
        <v>5499</v>
      </c>
      <c r="E523" s="17">
        <f>Github!F$522+Github!G$522</f>
        <v>6066</v>
      </c>
      <c r="F523" s="18">
        <f t="shared" si="1"/>
        <v>0.1</v>
      </c>
      <c r="G523" s="17" t="str">
        <f>Github!H$522</f>
        <v>Algorithms</v>
      </c>
      <c r="H523" s="17" t="str">
        <f>Github!E$522</f>
        <v>Easy</v>
      </c>
      <c r="I523" s="17" t="str">
        <f>IF(TRIM(Github!D$522)="TRUE","FALSE","TRUE")</f>
        <v>TRUE</v>
      </c>
      <c r="J523" s="17"/>
      <c r="K523" s="17" t="str">
        <f>Github!L$522</f>
        <v>String;</v>
      </c>
      <c r="L523" s="17" t="b">
        <f>Github!M$522</f>
        <v>1</v>
      </c>
      <c r="M523" s="17" t="str">
        <f>ROUND(Github!N$522, 2)&amp;"%"</f>
        <v>0%</v>
      </c>
      <c r="N523" s="17">
        <f>Github!O$522</f>
        <v>60.0304383</v>
      </c>
      <c r="O523" s="17">
        <f>Github!P$522</f>
        <v>82437</v>
      </c>
    </row>
    <row r="524">
      <c r="A524" s="17">
        <f>Github!J$523</f>
        <v>522</v>
      </c>
      <c r="B524" s="27" t="str">
        <f>HYPERLINK(CONCAT("http://leetcode.com/problems/",Github!C$523), Github!B$523)</f>
        <v>Longest Uncommon Subsequence II</v>
      </c>
      <c r="C524" s="17">
        <f>Github!F$523</f>
        <v>361</v>
      </c>
      <c r="D524" s="17">
        <f>Github!G$523</f>
        <v>1043</v>
      </c>
      <c r="E524" s="17">
        <f>Github!F$523+Github!G$523</f>
        <v>1404</v>
      </c>
      <c r="F524" s="18">
        <f t="shared" si="1"/>
        <v>0.35</v>
      </c>
      <c r="G524" s="17" t="str">
        <f>Github!H$523</f>
        <v>Algorithms</v>
      </c>
      <c r="H524" s="17" t="str">
        <f>Github!E$523</f>
        <v>Medium</v>
      </c>
      <c r="I524" s="17" t="str">
        <f>IF(TRIM(Github!D$523)="TRUE","FALSE","TRUE")</f>
        <v>TRUE</v>
      </c>
      <c r="J524" s="17"/>
      <c r="K524" s="17" t="str">
        <f>Github!L$523</f>
        <v>Array;Hash Table;Two Pointers;String;Sorting;</v>
      </c>
      <c r="L524" s="17" t="b">
        <f>Github!M$523</f>
        <v>1</v>
      </c>
      <c r="M524" s="17" t="str">
        <f>ROUND(Github!N$523, 2)&amp;"%"</f>
        <v>0%</v>
      </c>
      <c r="N524" s="17">
        <f>Github!O$523</f>
        <v>40.06392375</v>
      </c>
      <c r="O524" s="17">
        <f>Github!P$523</f>
        <v>42368</v>
      </c>
    </row>
    <row r="525">
      <c r="A525" s="17">
        <f>Github!J$524</f>
        <v>523</v>
      </c>
      <c r="B525" s="27" t="str">
        <f>HYPERLINK(CONCAT("http://leetcode.com/problems/",Github!C$524), Github!B$524)</f>
        <v>Continuous Subarray Sum</v>
      </c>
      <c r="C525" s="17">
        <f>Github!F$524</f>
        <v>1599</v>
      </c>
      <c r="D525" s="17">
        <f>Github!G$524</f>
        <v>226</v>
      </c>
      <c r="E525" s="17">
        <f>Github!F$524+Github!G$524</f>
        <v>1825</v>
      </c>
      <c r="F525" s="18">
        <f t="shared" si="1"/>
        <v>7.08</v>
      </c>
      <c r="G525" s="17" t="str">
        <f>Github!H$524</f>
        <v>Algorithms</v>
      </c>
      <c r="H525" s="17" t="str">
        <f>Github!E$524</f>
        <v>Medium</v>
      </c>
      <c r="I525" s="17" t="str">
        <f>IF(TRIM(Github!D$524)="TRUE","FALSE","TRUE")</f>
        <v>TRUE</v>
      </c>
      <c r="J525" s="17"/>
      <c r="K525" s="17" t="str">
        <f>Github!L$524</f>
        <v>Array;Hash Table;Math;Prefix Sum;</v>
      </c>
      <c r="L525" s="17" t="b">
        <f>Github!M$524</f>
        <v>0</v>
      </c>
      <c r="M525" s="17" t="str">
        <f>ROUND(Github!N$524, 2)&amp;"%"</f>
        <v>0%</v>
      </c>
      <c r="N525" s="17">
        <f>Github!O$524</f>
        <v>26.99479052</v>
      </c>
      <c r="O525" s="17">
        <f>Github!P$524</f>
        <v>273962</v>
      </c>
    </row>
    <row r="526">
      <c r="A526" s="17">
        <f>Github!J$525</f>
        <v>524</v>
      </c>
      <c r="B526" s="27" t="str">
        <f>HYPERLINK(CONCAT("http://leetcode.com/problems/",Github!C$525), Github!B$525)</f>
        <v>Longest Word in Dictionary through Deleting</v>
      </c>
      <c r="C526" s="17">
        <f>Github!F$525</f>
        <v>1282</v>
      </c>
      <c r="D526" s="17">
        <f>Github!G$525</f>
        <v>323</v>
      </c>
      <c r="E526" s="17">
        <f>Github!F$525+Github!G$525</f>
        <v>1605</v>
      </c>
      <c r="F526" s="18">
        <f t="shared" si="1"/>
        <v>3.97</v>
      </c>
      <c r="G526" s="17" t="str">
        <f>Github!H$525</f>
        <v>Algorithms</v>
      </c>
      <c r="H526" s="17" t="str">
        <f>Github!E$525</f>
        <v>Medium</v>
      </c>
      <c r="I526" s="17" t="str">
        <f>IF(TRIM(Github!D$525)="TRUE","FALSE","TRUE")</f>
        <v>TRUE</v>
      </c>
      <c r="J526" s="17"/>
      <c r="K526" s="17" t="str">
        <f>Github!L$525</f>
        <v>Array;Two Pointers;String;Sorting;</v>
      </c>
      <c r="L526" s="17" t="b">
        <f>Github!M$525</f>
        <v>1</v>
      </c>
      <c r="M526" s="17" t="str">
        <f>ROUND(Github!N$525, 2)&amp;"%"</f>
        <v>0%</v>
      </c>
      <c r="N526" s="17">
        <f>Github!O$525</f>
        <v>50.82028768</v>
      </c>
      <c r="O526" s="17">
        <f>Github!P$525</f>
        <v>123165</v>
      </c>
    </row>
    <row r="527">
      <c r="A527" s="17">
        <f>Github!J$526</f>
        <v>525</v>
      </c>
      <c r="B527" s="27" t="str">
        <f>HYPERLINK(CONCAT("http://leetcode.com/problems/",Github!C$526), Github!B$526)</f>
        <v>Contiguous Array</v>
      </c>
      <c r="C527" s="17">
        <f>Github!F$526</f>
        <v>5144</v>
      </c>
      <c r="D527" s="17">
        <f>Github!G$526</f>
        <v>221</v>
      </c>
      <c r="E527" s="17">
        <f>Github!F$526+Github!G$526</f>
        <v>5365</v>
      </c>
      <c r="F527" s="18">
        <f t="shared" si="1"/>
        <v>23.28</v>
      </c>
      <c r="G527" s="17" t="str">
        <f>Github!H$526</f>
        <v>Algorithms</v>
      </c>
      <c r="H527" s="17" t="str">
        <f>Github!E$526</f>
        <v>Medium</v>
      </c>
      <c r="I527" s="17" t="str">
        <f>IF(TRIM(Github!D$526)="TRUE","FALSE","TRUE")</f>
        <v>TRUE</v>
      </c>
      <c r="J527" s="17"/>
      <c r="K527" s="17" t="str">
        <f>Github!L$526</f>
        <v>Array;Hash Table;Prefix Sum;</v>
      </c>
      <c r="L527" s="17" t="b">
        <f>Github!M$526</f>
        <v>1</v>
      </c>
      <c r="M527" s="17" t="str">
        <f>ROUND(Github!N$526, 2)&amp;"%"</f>
        <v>0%</v>
      </c>
      <c r="N527" s="17">
        <f>Github!O$526</f>
        <v>46.20299618</v>
      </c>
      <c r="O527" s="17">
        <f>Github!P$526</f>
        <v>254317</v>
      </c>
    </row>
    <row r="528">
      <c r="A528" s="17">
        <f>Github!J$527</f>
        <v>526</v>
      </c>
      <c r="B528" s="27" t="str">
        <f>HYPERLINK(CONCAT("http://leetcode.com/problems/",Github!C$527), Github!B$527)</f>
        <v>Beautiful Arrangement</v>
      </c>
      <c r="C528" s="17">
        <f>Github!F$527</f>
        <v>2042</v>
      </c>
      <c r="D528" s="17">
        <f>Github!G$527</f>
        <v>283</v>
      </c>
      <c r="E528" s="17">
        <f>Github!F$527+Github!G$527</f>
        <v>2325</v>
      </c>
      <c r="F528" s="18">
        <f t="shared" si="1"/>
        <v>7.22</v>
      </c>
      <c r="G528" s="17" t="str">
        <f>Github!H$527</f>
        <v>Algorithms</v>
      </c>
      <c r="H528" s="17" t="str">
        <f>Github!E$527</f>
        <v>Medium</v>
      </c>
      <c r="I528" s="17" t="str">
        <f>IF(TRIM(Github!D$527)="TRUE","FALSE","TRUE")</f>
        <v>TRUE</v>
      </c>
      <c r="J528" s="17"/>
      <c r="K528" s="17" t="str">
        <f>Github!L$527</f>
        <v>Array;Dynamic Programming;Backtracking;Bit Manipulation;Bitmask;</v>
      </c>
      <c r="L528" s="17" t="b">
        <f>Github!M$527</f>
        <v>1</v>
      </c>
      <c r="M528" s="17" t="str">
        <f>ROUND(Github!N$527, 2)&amp;"%"</f>
        <v>0%</v>
      </c>
      <c r="N528" s="17">
        <f>Github!O$527</f>
        <v>64.18853804</v>
      </c>
      <c r="O528" s="17">
        <f>Github!P$527</f>
        <v>125219</v>
      </c>
    </row>
    <row r="529">
      <c r="A529" s="17">
        <f>Github!J$528</f>
        <v>527</v>
      </c>
      <c r="B529" s="27" t="str">
        <f>HYPERLINK(CONCAT("http://leetcode.com/problems/",Github!C$528), Github!B$528)</f>
        <v>Word Abbreviation</v>
      </c>
      <c r="C529" s="17">
        <f>Github!F$528</f>
        <v>289</v>
      </c>
      <c r="D529" s="17">
        <f>Github!G$528</f>
        <v>194</v>
      </c>
      <c r="E529" s="17">
        <f>Github!F$528+Github!G$528</f>
        <v>483</v>
      </c>
      <c r="F529" s="18">
        <f t="shared" si="1"/>
        <v>1.49</v>
      </c>
      <c r="G529" s="17" t="str">
        <f>Github!H$528</f>
        <v>Algorithms</v>
      </c>
      <c r="H529" s="17" t="str">
        <f>Github!E$528</f>
        <v>Hard</v>
      </c>
      <c r="I529" s="17" t="str">
        <f>IF(TRIM(Github!D$528)="TRUE","FALSE","TRUE")</f>
        <v>FALSE</v>
      </c>
      <c r="J529" s="17"/>
      <c r="K529" s="17" t="str">
        <f>Github!L$528</f>
        <v>Array;String;Greedy;Trie;Sorting;</v>
      </c>
      <c r="L529" s="17" t="b">
        <f>Github!M$528</f>
        <v>1</v>
      </c>
      <c r="M529" s="17" t="str">
        <f>ROUND(Github!N$528, 2)&amp;"%"</f>
        <v>0%</v>
      </c>
      <c r="N529" s="17">
        <f>Github!O$528</f>
        <v>58.02090067</v>
      </c>
      <c r="O529" s="17">
        <f>Github!P$528</f>
        <v>21542</v>
      </c>
    </row>
    <row r="530">
      <c r="A530" s="17">
        <f>Github!J$529</f>
        <v>528</v>
      </c>
      <c r="B530" s="27" t="str">
        <f>HYPERLINK(CONCAT("http://leetcode.com/problems/",Github!C$529), Github!B$529)</f>
        <v>Random Pick with Weight</v>
      </c>
      <c r="C530" s="17">
        <f>Github!F$529</f>
        <v>565</v>
      </c>
      <c r="D530" s="17">
        <f>Github!G$529</f>
        <v>181</v>
      </c>
      <c r="E530" s="17">
        <f>Github!F$529+Github!G$529</f>
        <v>746</v>
      </c>
      <c r="F530" s="18">
        <f t="shared" si="1"/>
        <v>3.12</v>
      </c>
      <c r="G530" s="17" t="str">
        <f>Github!H$529</f>
        <v>Algorithms</v>
      </c>
      <c r="H530" s="17" t="str">
        <f>Github!E$529</f>
        <v>Medium</v>
      </c>
      <c r="I530" s="17" t="str">
        <f>IF(TRIM(Github!D$529)="TRUE","FALSE","TRUE")</f>
        <v>TRUE</v>
      </c>
      <c r="J530" s="17"/>
      <c r="K530" s="17" t="str">
        <f>Github!L$529</f>
        <v>Math;Binary Search;Prefix Sum;Randomized;</v>
      </c>
      <c r="L530" s="17" t="b">
        <f>Github!M$529</f>
        <v>1</v>
      </c>
      <c r="M530" s="17" t="str">
        <f>ROUND(Github!N$529, 2)&amp;"%"</f>
        <v>0%</v>
      </c>
      <c r="N530" s="17">
        <f>Github!O$529</f>
        <v>46.00214104</v>
      </c>
      <c r="O530" s="17">
        <f>Github!P$529</f>
        <v>271567</v>
      </c>
    </row>
    <row r="531">
      <c r="A531" s="17">
        <f>Github!J$530</f>
        <v>529</v>
      </c>
      <c r="B531" s="27" t="str">
        <f>HYPERLINK(CONCAT("http://leetcode.com/problems/",Github!C$530), Github!B$530)</f>
        <v>Minesweeper</v>
      </c>
      <c r="C531" s="17">
        <f>Github!F$530</f>
        <v>1310</v>
      </c>
      <c r="D531" s="17">
        <f>Github!G$530</f>
        <v>836</v>
      </c>
      <c r="E531" s="17">
        <f>Github!F$530+Github!G$530</f>
        <v>2146</v>
      </c>
      <c r="F531" s="18">
        <f t="shared" si="1"/>
        <v>1.57</v>
      </c>
      <c r="G531" s="17" t="str">
        <f>Github!H$530</f>
        <v>Algorithms</v>
      </c>
      <c r="H531" s="17" t="str">
        <f>Github!E$530</f>
        <v>Medium</v>
      </c>
      <c r="I531" s="17" t="str">
        <f>IF(TRIM(Github!D$530)="TRUE","FALSE","TRUE")</f>
        <v>TRUE</v>
      </c>
      <c r="J531" s="17"/>
      <c r="K531" s="17" t="str">
        <f>Github!L$530</f>
        <v>Array;Depth-First Search;Breadth-First Search;Matrix;</v>
      </c>
      <c r="L531" s="17" t="b">
        <f>Github!M$530</f>
        <v>0</v>
      </c>
      <c r="M531" s="17" t="str">
        <f>ROUND(Github!N$530, 2)&amp;"%"</f>
        <v>0%</v>
      </c>
      <c r="N531" s="17">
        <f>Github!O$530</f>
        <v>64.35538298</v>
      </c>
      <c r="O531" s="17">
        <f>Github!P$530</f>
        <v>111375</v>
      </c>
    </row>
    <row r="532">
      <c r="A532" s="17">
        <f>Github!J$531</f>
        <v>530</v>
      </c>
      <c r="B532" s="27" t="str">
        <f>HYPERLINK(CONCAT("http://leetcode.com/problems/",Github!C$531), Github!B$531)</f>
        <v>Minimum Absolute Difference in BST</v>
      </c>
      <c r="C532" s="17">
        <f>Github!F$531</f>
        <v>1929</v>
      </c>
      <c r="D532" s="17">
        <f>Github!G$531</f>
        <v>113</v>
      </c>
      <c r="E532" s="17">
        <f>Github!F$531+Github!G$531</f>
        <v>2042</v>
      </c>
      <c r="F532" s="18">
        <f t="shared" si="1"/>
        <v>17.07</v>
      </c>
      <c r="G532" s="17" t="str">
        <f>Github!H$531</f>
        <v>Algorithms</v>
      </c>
      <c r="H532" s="17" t="str">
        <f>Github!E$531</f>
        <v>Easy</v>
      </c>
      <c r="I532" s="17" t="str">
        <f>IF(TRIM(Github!D$531)="TRUE","FALSE","TRUE")</f>
        <v>TRUE</v>
      </c>
      <c r="J532" s="17"/>
      <c r="K532" s="17" t="str">
        <f>Github!L$531</f>
        <v>Tree;Depth-First Search;Breadth-First Search;Binary Search Tree;Binary Tree;</v>
      </c>
      <c r="L532" s="17" t="b">
        <f>Github!M$531</f>
        <v>0</v>
      </c>
      <c r="M532" s="17" t="str">
        <f>ROUND(Github!N$531, 2)&amp;"%"</f>
        <v>0%</v>
      </c>
      <c r="N532" s="17">
        <f>Github!O$531</f>
        <v>56.12559637</v>
      </c>
      <c r="O532" s="17">
        <f>Github!P$531</f>
        <v>149756</v>
      </c>
    </row>
    <row r="533">
      <c r="A533" s="17">
        <f>Github!J$532</f>
        <v>531</v>
      </c>
      <c r="B533" s="27" t="str">
        <f>HYPERLINK(CONCAT("http://leetcode.com/problems/",Github!C$532), Github!B$532)</f>
        <v>Lonely Pixel I</v>
      </c>
      <c r="C533" s="17">
        <f>Github!F$532</f>
        <v>294</v>
      </c>
      <c r="D533" s="17">
        <f>Github!G$532</f>
        <v>35</v>
      </c>
      <c r="E533" s="17">
        <f>Github!F$532+Github!G$532</f>
        <v>329</v>
      </c>
      <c r="F533" s="18">
        <f t="shared" si="1"/>
        <v>8.4</v>
      </c>
      <c r="G533" s="17" t="str">
        <f>Github!H$532</f>
        <v>Algorithms</v>
      </c>
      <c r="H533" s="17" t="str">
        <f>Github!E$532</f>
        <v>Medium</v>
      </c>
      <c r="I533" s="17" t="str">
        <f>IF(TRIM(Github!D$532)="TRUE","FALSE","TRUE")</f>
        <v>FALSE</v>
      </c>
      <c r="J533" s="17"/>
      <c r="K533" s="17" t="str">
        <f>Github!L$532</f>
        <v>Array;Hash Table;Matrix;</v>
      </c>
      <c r="L533" s="17" t="b">
        <f>Github!M$532</f>
        <v>0</v>
      </c>
      <c r="M533" s="17" t="str">
        <f>ROUND(Github!N$532, 2)&amp;"%"</f>
        <v>0%</v>
      </c>
      <c r="N533" s="17">
        <f>Github!O$532</f>
        <v>60.61753627</v>
      </c>
      <c r="O533" s="17">
        <f>Github!P$532</f>
        <v>30253</v>
      </c>
    </row>
    <row r="534">
      <c r="A534" s="17">
        <f>Github!J$533</f>
        <v>532</v>
      </c>
      <c r="B534" s="27" t="str">
        <f>HYPERLINK(CONCAT("http://leetcode.com/problems/",Github!C$533), Github!B$533)</f>
        <v>K-diff Pairs in an Array</v>
      </c>
      <c r="C534" s="17">
        <f>Github!F$533</f>
        <v>2490</v>
      </c>
      <c r="D534" s="17">
        <f>Github!G$533</f>
        <v>2036</v>
      </c>
      <c r="E534" s="17">
        <f>Github!F$533+Github!G$533</f>
        <v>4526</v>
      </c>
      <c r="F534" s="18">
        <f t="shared" si="1"/>
        <v>1.22</v>
      </c>
      <c r="G534" s="17" t="str">
        <f>Github!H$533</f>
        <v>Algorithms</v>
      </c>
      <c r="H534" s="17" t="str">
        <f>Github!E$533</f>
        <v>Medium</v>
      </c>
      <c r="I534" s="17" t="str">
        <f>IF(TRIM(Github!D$533)="TRUE","FALSE","TRUE")</f>
        <v>TRUE</v>
      </c>
      <c r="J534" s="17"/>
      <c r="K534" s="17" t="str">
        <f>Github!L$533</f>
        <v>Array;Hash Table;Two Pointers;Binary Search;Sorting;</v>
      </c>
      <c r="L534" s="17" t="b">
        <f>Github!M$533</f>
        <v>1</v>
      </c>
      <c r="M534" s="17" t="str">
        <f>ROUND(Github!N$533, 2)&amp;"%"</f>
        <v>0%</v>
      </c>
      <c r="N534" s="17">
        <f>Github!O$533</f>
        <v>39.92295613</v>
      </c>
      <c r="O534" s="17">
        <f>Github!P$533</f>
        <v>246345</v>
      </c>
    </row>
    <row r="535">
      <c r="A535" s="17">
        <f>Github!J$534</f>
        <v>533</v>
      </c>
      <c r="B535" s="27" t="str">
        <f>HYPERLINK(CONCAT("http://leetcode.com/problems/",Github!C$534), Github!B$534)</f>
        <v>Lonely Pixel II</v>
      </c>
      <c r="C535" s="17">
        <f>Github!F$534</f>
        <v>71</v>
      </c>
      <c r="D535" s="17">
        <f>Github!G$534</f>
        <v>672</v>
      </c>
      <c r="E535" s="17">
        <f>Github!F$534+Github!G$534</f>
        <v>743</v>
      </c>
      <c r="F535" s="18">
        <f t="shared" si="1"/>
        <v>0.11</v>
      </c>
      <c r="G535" s="17" t="str">
        <f>Github!H$534</f>
        <v>Algorithms</v>
      </c>
      <c r="H535" s="17" t="str">
        <f>Github!E$534</f>
        <v>Medium</v>
      </c>
      <c r="I535" s="17" t="str">
        <f>IF(TRIM(Github!D$534)="TRUE","FALSE","TRUE")</f>
        <v>FALSE</v>
      </c>
      <c r="J535" s="17"/>
      <c r="K535" s="17" t="str">
        <f>Github!L$534</f>
        <v>Array;Hash Table;Matrix;</v>
      </c>
      <c r="L535" s="17" t="b">
        <f>Github!M$534</f>
        <v>0</v>
      </c>
      <c r="M535" s="17" t="str">
        <f>ROUND(Github!N$534, 2)&amp;"%"</f>
        <v>0%</v>
      </c>
      <c r="N535" s="17">
        <f>Github!O$534</f>
        <v>48.38067374</v>
      </c>
      <c r="O535" s="17">
        <f>Github!P$534</f>
        <v>11906</v>
      </c>
    </row>
    <row r="536">
      <c r="A536" s="17">
        <f>Github!J$535</f>
        <v>534</v>
      </c>
      <c r="B536" s="27" t="str">
        <f>HYPERLINK(CONCAT("http://leetcode.com/problems/",Github!C$535), Github!B$535)</f>
        <v>Game Play Analysis III</v>
      </c>
      <c r="C536" s="17">
        <f>Github!F$535</f>
        <v>253</v>
      </c>
      <c r="D536" s="17">
        <f>Github!G$535</f>
        <v>10</v>
      </c>
      <c r="E536" s="17">
        <f>Github!F$535+Github!G$535</f>
        <v>263</v>
      </c>
      <c r="F536" s="18">
        <f t="shared" si="1"/>
        <v>25.3</v>
      </c>
      <c r="G536" s="17" t="str">
        <f>Github!H$535</f>
        <v>Database</v>
      </c>
      <c r="H536" s="17" t="str">
        <f>Github!E$535</f>
        <v>Medium</v>
      </c>
      <c r="I536" s="17" t="str">
        <f>IF(TRIM(Github!D$535)="TRUE","FALSE","TRUE")</f>
        <v>FALSE</v>
      </c>
      <c r="J536" s="17"/>
      <c r="K536" s="17" t="str">
        <f>Github!L$535</f>
        <v>Database;</v>
      </c>
      <c r="L536" s="17" t="b">
        <f>Github!M$535</f>
        <v>0</v>
      </c>
      <c r="M536" s="17" t="str">
        <f>ROUND(Github!N$535, 2)&amp;"%"</f>
        <v>0%</v>
      </c>
      <c r="N536" s="17">
        <f>Github!O$535</f>
        <v>81.67765107</v>
      </c>
      <c r="O536" s="17">
        <f>Github!P$535</f>
        <v>44118</v>
      </c>
    </row>
    <row r="537">
      <c r="A537" s="17">
        <f>Github!J$536</f>
        <v>535</v>
      </c>
      <c r="B537" s="27" t="str">
        <f>HYPERLINK(CONCAT("http://leetcode.com/problems/",Github!C$536), Github!B$536)</f>
        <v>Encode and Decode TinyURL</v>
      </c>
      <c r="C537" s="17">
        <f>Github!F$536</f>
        <v>1132</v>
      </c>
      <c r="D537" s="17">
        <f>Github!G$536</f>
        <v>2171</v>
      </c>
      <c r="E537" s="17">
        <f>Github!F$536+Github!G$536</f>
        <v>3303</v>
      </c>
      <c r="F537" s="18">
        <f t="shared" si="1"/>
        <v>0.52</v>
      </c>
      <c r="G537" s="17" t="str">
        <f>Github!H$536</f>
        <v>Algorithms</v>
      </c>
      <c r="H537" s="17" t="str">
        <f>Github!E$536</f>
        <v>Medium</v>
      </c>
      <c r="I537" s="17" t="str">
        <f>IF(TRIM(Github!D$536)="TRUE","FALSE","TRUE")</f>
        <v>TRUE</v>
      </c>
      <c r="J537" s="17"/>
      <c r="K537" s="17" t="str">
        <f>Github!L$536</f>
        <v>Hash Table;String;Design;Hash Function;</v>
      </c>
      <c r="L537" s="17" t="b">
        <f>Github!M$536</f>
        <v>1</v>
      </c>
      <c r="M537" s="17" t="str">
        <f>ROUND(Github!N$536, 2)&amp;"%"</f>
        <v>0%</v>
      </c>
      <c r="N537" s="17">
        <f>Github!O$536</f>
        <v>83.36120742</v>
      </c>
      <c r="O537" s="17">
        <f>Github!P$536</f>
        <v>163487</v>
      </c>
    </row>
    <row r="538">
      <c r="A538" s="17">
        <f>Github!J$537</f>
        <v>536</v>
      </c>
      <c r="B538" s="27" t="str">
        <f>HYPERLINK(CONCAT("http://leetcode.com/problems/",Github!C$537), Github!B$537)</f>
        <v>Construct Binary Tree from String</v>
      </c>
      <c r="C538" s="17">
        <f>Github!F$537</f>
        <v>871</v>
      </c>
      <c r="D538" s="17">
        <f>Github!G$537</f>
        <v>139</v>
      </c>
      <c r="E538" s="17">
        <f>Github!F$537+Github!G$537</f>
        <v>1010</v>
      </c>
      <c r="F538" s="18">
        <f t="shared" si="1"/>
        <v>6.27</v>
      </c>
      <c r="G538" s="17" t="str">
        <f>Github!H$537</f>
        <v>Algorithms</v>
      </c>
      <c r="H538" s="17" t="str">
        <f>Github!E$537</f>
        <v>Medium</v>
      </c>
      <c r="I538" s="17" t="str">
        <f>IF(TRIM(Github!D$537)="TRUE","FALSE","TRUE")</f>
        <v>FALSE</v>
      </c>
      <c r="J538" s="17"/>
      <c r="K538" s="17" t="str">
        <f>Github!L$537</f>
        <v>String;Tree;Depth-First Search;Binary Tree;</v>
      </c>
      <c r="L538" s="17" t="b">
        <f>Github!M$537</f>
        <v>1</v>
      </c>
      <c r="M538" s="17" t="str">
        <f>ROUND(Github!N$537, 2)&amp;"%"</f>
        <v>0%</v>
      </c>
      <c r="N538" s="17">
        <f>Github!O$537</f>
        <v>55.49335951</v>
      </c>
      <c r="O538" s="17">
        <f>Github!P$537</f>
        <v>72367</v>
      </c>
    </row>
    <row r="539">
      <c r="A539" s="17">
        <f>Github!J$538</f>
        <v>537</v>
      </c>
      <c r="B539" s="27" t="str">
        <f>HYPERLINK(CONCAT("http://leetcode.com/problems/",Github!C$538), Github!B$538)</f>
        <v>Complex Number Multiplication</v>
      </c>
      <c r="C539" s="17">
        <f>Github!F$538</f>
        <v>486</v>
      </c>
      <c r="D539" s="17">
        <f>Github!G$538</f>
        <v>1109</v>
      </c>
      <c r="E539" s="17">
        <f>Github!F$538+Github!G$538</f>
        <v>1595</v>
      </c>
      <c r="F539" s="18">
        <f t="shared" si="1"/>
        <v>0.44</v>
      </c>
      <c r="G539" s="17" t="str">
        <f>Github!H$538</f>
        <v>Algorithms</v>
      </c>
      <c r="H539" s="17" t="str">
        <f>Github!E$538</f>
        <v>Medium</v>
      </c>
      <c r="I539" s="17" t="str">
        <f>IF(TRIM(Github!D$538)="TRUE","FALSE","TRUE")</f>
        <v>TRUE</v>
      </c>
      <c r="J539" s="17"/>
      <c r="K539" s="17" t="str">
        <f>Github!L$538</f>
        <v>Math;String;Simulation;</v>
      </c>
      <c r="L539" s="17" t="b">
        <f>Github!M$538</f>
        <v>1</v>
      </c>
      <c r="M539" s="17" t="str">
        <f>ROUND(Github!N$538, 2)&amp;"%"</f>
        <v>0%</v>
      </c>
      <c r="N539" s="17">
        <f>Github!O$538</f>
        <v>71.07990074</v>
      </c>
      <c r="O539" s="17">
        <f>Github!P$538</f>
        <v>79913</v>
      </c>
    </row>
    <row r="540">
      <c r="A540" s="17">
        <f>Github!J$539</f>
        <v>538</v>
      </c>
      <c r="B540" s="27" t="str">
        <f>HYPERLINK(CONCAT("http://leetcode.com/problems/",Github!C$539), Github!B$539)</f>
        <v>Convert BST to Greater Tree</v>
      </c>
      <c r="C540" s="17">
        <f>Github!F$539</f>
        <v>3150</v>
      </c>
      <c r="D540" s="17">
        <f>Github!G$539</f>
        <v>148</v>
      </c>
      <c r="E540" s="17">
        <f>Github!F$539+Github!G$539</f>
        <v>3298</v>
      </c>
      <c r="F540" s="18">
        <f t="shared" si="1"/>
        <v>21.28</v>
      </c>
      <c r="G540" s="17" t="str">
        <f>Github!H$539</f>
        <v>Algorithms</v>
      </c>
      <c r="H540" s="17" t="str">
        <f>Github!E$539</f>
        <v>Medium</v>
      </c>
      <c r="I540" s="17" t="str">
        <f>IF(TRIM(Github!D$539)="TRUE","FALSE","TRUE")</f>
        <v>TRUE</v>
      </c>
      <c r="J540" s="17"/>
      <c r="K540" s="17" t="str">
        <f>Github!L$539</f>
        <v>Tree;Depth-First Search;Binary Search Tree;Binary Tree;</v>
      </c>
      <c r="L540" s="17" t="b">
        <f>Github!M$539</f>
        <v>1</v>
      </c>
      <c r="M540" s="17" t="str">
        <f>ROUND(Github!N$539, 2)&amp;"%"</f>
        <v>0%</v>
      </c>
      <c r="N540" s="17">
        <f>Github!O$539</f>
        <v>62.57502621</v>
      </c>
      <c r="O540" s="17">
        <f>Github!P$539</f>
        <v>192768</v>
      </c>
    </row>
    <row r="541">
      <c r="A541" s="17">
        <f>Github!J$540</f>
        <v>539</v>
      </c>
      <c r="B541" s="27" t="str">
        <f>HYPERLINK(CONCAT("http://leetcode.com/problems/",Github!C$540), Github!B$540)</f>
        <v>Minimum Time Difference</v>
      </c>
      <c r="C541" s="17">
        <f>Github!F$540</f>
        <v>941</v>
      </c>
      <c r="D541" s="17">
        <f>Github!G$540</f>
        <v>192</v>
      </c>
      <c r="E541" s="17">
        <f>Github!F$540+Github!G$540</f>
        <v>1133</v>
      </c>
      <c r="F541" s="18">
        <f t="shared" si="1"/>
        <v>4.9</v>
      </c>
      <c r="G541" s="17" t="str">
        <f>Github!H$540</f>
        <v>Algorithms</v>
      </c>
      <c r="H541" s="17" t="str">
        <f>Github!E$540</f>
        <v>Medium</v>
      </c>
      <c r="I541" s="17" t="str">
        <f>IF(TRIM(Github!D$540)="TRUE","FALSE","TRUE")</f>
        <v>TRUE</v>
      </c>
      <c r="J541" s="17"/>
      <c r="K541" s="17" t="str">
        <f>Github!L$540</f>
        <v>Array;Math;String;Sorting;</v>
      </c>
      <c r="L541" s="17" t="b">
        <f>Github!M$540</f>
        <v>0</v>
      </c>
      <c r="M541" s="17" t="str">
        <f>ROUND(Github!N$540, 2)&amp;"%"</f>
        <v>0%</v>
      </c>
      <c r="N541" s="17">
        <f>Github!O$540</f>
        <v>54.01379253</v>
      </c>
      <c r="O541" s="17">
        <f>Github!P$540</f>
        <v>77772</v>
      </c>
    </row>
    <row r="542">
      <c r="A542" s="17">
        <f>Github!J$541</f>
        <v>540</v>
      </c>
      <c r="B542" s="27" t="str">
        <f>HYPERLINK(CONCAT("http://leetcode.com/problems/",Github!C$541), Github!B$541)</f>
        <v>Single Element in a Sorted Array</v>
      </c>
      <c r="C542" s="17">
        <f>Github!F$541</f>
        <v>4766</v>
      </c>
      <c r="D542" s="17">
        <f>Github!G$541</f>
        <v>109</v>
      </c>
      <c r="E542" s="17">
        <f>Github!F$541+Github!G$541</f>
        <v>4875</v>
      </c>
      <c r="F542" s="18">
        <f t="shared" si="1"/>
        <v>43.72</v>
      </c>
      <c r="G542" s="17" t="str">
        <f>Github!H$541</f>
        <v>Algorithms</v>
      </c>
      <c r="H542" s="17" t="str">
        <f>Github!E$541</f>
        <v>Medium</v>
      </c>
      <c r="I542" s="17" t="str">
        <f>IF(TRIM(Github!D$541)="TRUE","FALSE","TRUE")</f>
        <v>TRUE</v>
      </c>
      <c r="J542" s="17"/>
      <c r="K542" s="17" t="str">
        <f>Github!L$541</f>
        <v>Array;Binary Search;</v>
      </c>
      <c r="L542" s="17" t="b">
        <f>Github!M$541</f>
        <v>1</v>
      </c>
      <c r="M542" s="17" t="str">
        <f>ROUND(Github!N$541, 2)&amp;"%"</f>
        <v>0%</v>
      </c>
      <c r="N542" s="17">
        <f>Github!O$541</f>
        <v>58.70057503</v>
      </c>
      <c r="O542" s="17">
        <f>Github!P$541</f>
        <v>276845</v>
      </c>
    </row>
    <row r="543">
      <c r="A543" s="17">
        <f>Github!J$542</f>
        <v>541</v>
      </c>
      <c r="B543" s="27" t="str">
        <f>HYPERLINK(CONCAT("http://leetcode.com/problems/",Github!C$542), Github!B$542)</f>
        <v>Reverse String II</v>
      </c>
      <c r="C543" s="17">
        <f>Github!F$542</f>
        <v>891</v>
      </c>
      <c r="D543" s="17">
        <f>Github!G$542</f>
        <v>2256</v>
      </c>
      <c r="E543" s="17">
        <f>Github!F$542+Github!G$542</f>
        <v>3147</v>
      </c>
      <c r="F543" s="18">
        <f t="shared" si="1"/>
        <v>0.39</v>
      </c>
      <c r="G543" s="17" t="str">
        <f>Github!H$542</f>
        <v>Algorithms</v>
      </c>
      <c r="H543" s="17" t="str">
        <f>Github!E$542</f>
        <v>Easy</v>
      </c>
      <c r="I543" s="17" t="str">
        <f>IF(TRIM(Github!D$542)="TRUE","FALSE","TRUE")</f>
        <v>TRUE</v>
      </c>
      <c r="J543" s="17"/>
      <c r="K543" s="17" t="str">
        <f>Github!L$542</f>
        <v>Two Pointers;String;</v>
      </c>
      <c r="L543" s="17" t="b">
        <f>Github!M$542</f>
        <v>1</v>
      </c>
      <c r="M543" s="17" t="str">
        <f>ROUND(Github!N$542, 2)&amp;"%"</f>
        <v>0%</v>
      </c>
      <c r="N543" s="17">
        <f>Github!O$542</f>
        <v>50.0495681</v>
      </c>
      <c r="O543" s="17">
        <f>Github!P$542</f>
        <v>144388</v>
      </c>
    </row>
    <row r="544">
      <c r="A544" s="17">
        <f>Github!J$543</f>
        <v>542</v>
      </c>
      <c r="B544" s="27" t="str">
        <f>HYPERLINK(CONCAT("http://leetcode.com/problems/",Github!C$543), Github!B$543)</f>
        <v>01 Matrix</v>
      </c>
      <c r="C544" s="17">
        <f>Github!F$543</f>
        <v>4245</v>
      </c>
      <c r="D544" s="17">
        <f>Github!G$543</f>
        <v>208</v>
      </c>
      <c r="E544" s="17">
        <f>Github!F$543+Github!G$543</f>
        <v>4453</v>
      </c>
      <c r="F544" s="18">
        <f t="shared" si="1"/>
        <v>20.41</v>
      </c>
      <c r="G544" s="17" t="str">
        <f>Github!H$543</f>
        <v>Algorithms</v>
      </c>
      <c r="H544" s="17" t="str">
        <f>Github!E$543</f>
        <v>Medium</v>
      </c>
      <c r="I544" s="17" t="str">
        <f>IF(TRIM(Github!D$543)="TRUE","FALSE","TRUE")</f>
        <v>TRUE</v>
      </c>
      <c r="J544" s="17"/>
      <c r="K544" s="17" t="str">
        <f>Github!L$543</f>
        <v>Array;Dynamic Programming;Breadth-First Search;Matrix;</v>
      </c>
      <c r="L544" s="17" t="b">
        <f>Github!M$543</f>
        <v>1</v>
      </c>
      <c r="M544" s="17" t="str">
        <f>ROUND(Github!N$543, 2)&amp;"%"</f>
        <v>0%</v>
      </c>
      <c r="N544" s="17">
        <f>Github!O$543</f>
        <v>43.55992404</v>
      </c>
      <c r="O544" s="17">
        <f>Github!P$543</f>
        <v>221361</v>
      </c>
    </row>
    <row r="545">
      <c r="A545" s="17">
        <f>Github!J$544</f>
        <v>543</v>
      </c>
      <c r="B545" s="27" t="str">
        <f>HYPERLINK(CONCAT("http://leetcode.com/problems/",Github!C$544), Github!B$544)</f>
        <v>Diameter of Binary Tree</v>
      </c>
      <c r="C545" s="17">
        <f>Github!F$544</f>
        <v>7320</v>
      </c>
      <c r="D545" s="17">
        <f>Github!G$544</f>
        <v>455</v>
      </c>
      <c r="E545" s="17">
        <f>Github!F$544+Github!G$544</f>
        <v>7775</v>
      </c>
      <c r="F545" s="18">
        <f t="shared" si="1"/>
        <v>16.09</v>
      </c>
      <c r="G545" s="17" t="str">
        <f>Github!H$544</f>
        <v>Algorithms</v>
      </c>
      <c r="H545" s="17" t="str">
        <f>Github!E$544</f>
        <v>Easy</v>
      </c>
      <c r="I545" s="17" t="str">
        <f>IF(TRIM(Github!D$544)="TRUE","FALSE","TRUE")</f>
        <v>TRUE</v>
      </c>
      <c r="J545" s="17"/>
      <c r="K545" s="17" t="str">
        <f>Github!L$544</f>
        <v>Tree;Depth-First Search;Binary Tree;</v>
      </c>
      <c r="L545" s="17" t="b">
        <f>Github!M$544</f>
        <v>1</v>
      </c>
      <c r="M545" s="17" t="str">
        <f>ROUND(Github!N$544, 2)&amp;"%"</f>
        <v>0%</v>
      </c>
      <c r="N545" s="17">
        <f>Github!O$544</f>
        <v>53.71511671</v>
      </c>
      <c r="O545" s="17">
        <f>Github!P$544</f>
        <v>681467</v>
      </c>
    </row>
    <row r="546">
      <c r="A546" s="17">
        <f>Github!J$545</f>
        <v>544</v>
      </c>
      <c r="B546" s="27" t="str">
        <f>HYPERLINK(CONCAT("http://leetcode.com/problems/",Github!C$545), Github!B$545)</f>
        <v>Output Contest Matches</v>
      </c>
      <c r="C546" s="17">
        <f>Github!F$545</f>
        <v>355</v>
      </c>
      <c r="D546" s="17">
        <f>Github!G$545</f>
        <v>114</v>
      </c>
      <c r="E546" s="17">
        <f>Github!F$545+Github!G$545</f>
        <v>469</v>
      </c>
      <c r="F546" s="18">
        <f t="shared" si="1"/>
        <v>3.11</v>
      </c>
      <c r="G546" s="17" t="str">
        <f>Github!H$545</f>
        <v>Algorithms</v>
      </c>
      <c r="H546" s="17" t="str">
        <f>Github!E$545</f>
        <v>Medium</v>
      </c>
      <c r="I546" s="17" t="str">
        <f>IF(TRIM(Github!D$545)="TRUE","FALSE","TRUE")</f>
        <v>FALSE</v>
      </c>
      <c r="J546" s="17"/>
      <c r="K546" s="17" t="str">
        <f>Github!L$545</f>
        <v>String;Recursion;Simulation;</v>
      </c>
      <c r="L546" s="17" t="b">
        <f>Github!M$545</f>
        <v>0</v>
      </c>
      <c r="M546" s="17" t="str">
        <f>ROUND(Github!N$545, 2)&amp;"%"</f>
        <v>0%</v>
      </c>
      <c r="N546" s="17">
        <f>Github!O$545</f>
        <v>76.36698049</v>
      </c>
      <c r="O546" s="17">
        <f>Github!P$545</f>
        <v>24497</v>
      </c>
    </row>
    <row r="547">
      <c r="A547" s="17">
        <f>Github!J$546</f>
        <v>545</v>
      </c>
      <c r="B547" s="27" t="str">
        <f>HYPERLINK(CONCAT("http://leetcode.com/problems/",Github!C$546), Github!B$546)</f>
        <v>Boundary of Binary Tree</v>
      </c>
      <c r="C547" s="17">
        <f>Github!F$546</f>
        <v>999</v>
      </c>
      <c r="D547" s="17">
        <f>Github!G$546</f>
        <v>1628</v>
      </c>
      <c r="E547" s="17">
        <f>Github!F$546+Github!G$546</f>
        <v>2627</v>
      </c>
      <c r="F547" s="18">
        <f t="shared" si="1"/>
        <v>0.61</v>
      </c>
      <c r="G547" s="17" t="str">
        <f>Github!H$546</f>
        <v>Algorithms</v>
      </c>
      <c r="H547" s="17" t="str">
        <f>Github!E$546</f>
        <v>Medium</v>
      </c>
      <c r="I547" s="17" t="str">
        <f>IF(TRIM(Github!D$546)="TRUE","FALSE","TRUE")</f>
        <v>FALSE</v>
      </c>
      <c r="J547" s="17"/>
      <c r="K547" s="17" t="str">
        <f>Github!L$546</f>
        <v>Tree;Depth-First Search;Binary Tree;</v>
      </c>
      <c r="L547" s="17" t="b">
        <f>Github!M$546</f>
        <v>1</v>
      </c>
      <c r="M547" s="17" t="str">
        <f>ROUND(Github!N$546, 2)&amp;"%"</f>
        <v>0%</v>
      </c>
      <c r="N547" s="17">
        <f>Github!O$546</f>
        <v>42.84776637</v>
      </c>
      <c r="O547" s="17">
        <f>Github!P$546</f>
        <v>95309</v>
      </c>
    </row>
    <row r="548">
      <c r="A548" s="17">
        <f>Github!J$547</f>
        <v>546</v>
      </c>
      <c r="B548" s="27" t="str">
        <f>HYPERLINK(CONCAT("http://leetcode.com/problems/",Github!C$547), Github!B$547)</f>
        <v>Remove Boxes</v>
      </c>
      <c r="C548" s="17">
        <f>Github!F$547</f>
        <v>1456</v>
      </c>
      <c r="D548" s="17">
        <f>Github!G$547</f>
        <v>92</v>
      </c>
      <c r="E548" s="17">
        <f>Github!F$547+Github!G$547</f>
        <v>1548</v>
      </c>
      <c r="F548" s="18">
        <f t="shared" si="1"/>
        <v>15.83</v>
      </c>
      <c r="G548" s="17" t="str">
        <f>Github!H$547</f>
        <v>Algorithms</v>
      </c>
      <c r="H548" s="17" t="str">
        <f>Github!E$547</f>
        <v>Hard</v>
      </c>
      <c r="I548" s="17" t="str">
        <f>IF(TRIM(Github!D$547)="TRUE","FALSE","TRUE")</f>
        <v>TRUE</v>
      </c>
      <c r="J548" s="17"/>
      <c r="K548" s="17" t="str">
        <f>Github!L$547</f>
        <v>Array;Dynamic Programming;Memoization;</v>
      </c>
      <c r="L548" s="17" t="b">
        <f>Github!M$547</f>
        <v>1</v>
      </c>
      <c r="M548" s="17" t="str">
        <f>ROUND(Github!N$547, 2)&amp;"%"</f>
        <v>0%</v>
      </c>
      <c r="N548" s="17">
        <f>Github!O$547</f>
        <v>47.31889808</v>
      </c>
      <c r="O548" s="17">
        <f>Github!P$547</f>
        <v>33392</v>
      </c>
    </row>
    <row r="549">
      <c r="A549" s="17">
        <f>Github!J$548</f>
        <v>547</v>
      </c>
      <c r="B549" s="27" t="str">
        <f>HYPERLINK(CONCAT("http://leetcode.com/problems/",Github!C$548), Github!B$548)</f>
        <v>Number of Provinces</v>
      </c>
      <c r="C549" s="17">
        <f>Github!F$548</f>
        <v>4811</v>
      </c>
      <c r="D549" s="17">
        <f>Github!G$548</f>
        <v>229</v>
      </c>
      <c r="E549" s="17">
        <f>Github!F$548+Github!G$548</f>
        <v>5040</v>
      </c>
      <c r="F549" s="18">
        <f t="shared" si="1"/>
        <v>21.01</v>
      </c>
      <c r="G549" s="17" t="str">
        <f>Github!H$548</f>
        <v>Algorithms</v>
      </c>
      <c r="H549" s="17" t="str">
        <f>Github!E$548</f>
        <v>Medium</v>
      </c>
      <c r="I549" s="17" t="str">
        <f>IF(TRIM(Github!D$548)="TRUE","FALSE","TRUE")</f>
        <v>TRUE</v>
      </c>
      <c r="J549" s="17"/>
      <c r="K549" s="17" t="str">
        <f>Github!L$548</f>
        <v>Depth-First Search;Breadth-First Search;Union Find;Graph;</v>
      </c>
      <c r="L549" s="17" t="b">
        <f>Github!M$548</f>
        <v>1</v>
      </c>
      <c r="M549" s="17" t="str">
        <f>ROUND(Github!N$548, 2)&amp;"%"</f>
        <v>0%</v>
      </c>
      <c r="N549" s="17">
        <f>Github!O$548</f>
        <v>62.5068695</v>
      </c>
      <c r="O549" s="17">
        <f>Github!P$548</f>
        <v>427656</v>
      </c>
    </row>
    <row r="550">
      <c r="A550" s="17">
        <f>Github!J$549</f>
        <v>548</v>
      </c>
      <c r="B550" s="27" t="str">
        <f>HYPERLINK(CONCAT("http://leetcode.com/problems/",Github!C$549), Github!B$549)</f>
        <v>Split Array with Equal Sum</v>
      </c>
      <c r="C550" s="17">
        <f>Github!F$549</f>
        <v>380</v>
      </c>
      <c r="D550" s="17">
        <f>Github!G$549</f>
        <v>124</v>
      </c>
      <c r="E550" s="17">
        <f>Github!F$549+Github!G$549</f>
        <v>504</v>
      </c>
      <c r="F550" s="18">
        <f t="shared" si="1"/>
        <v>3.06</v>
      </c>
      <c r="G550" s="17" t="str">
        <f>Github!H$549</f>
        <v>Algorithms</v>
      </c>
      <c r="H550" s="17" t="str">
        <f>Github!E$549</f>
        <v>Hard</v>
      </c>
      <c r="I550" s="17" t="str">
        <f>IF(TRIM(Github!D$549)="TRUE","FALSE","TRUE")</f>
        <v>FALSE</v>
      </c>
      <c r="J550" s="17"/>
      <c r="K550" s="17" t="str">
        <f>Github!L$549</f>
        <v>Array;Prefix Sum;</v>
      </c>
      <c r="L550" s="17" t="b">
        <f>Github!M$549</f>
        <v>1</v>
      </c>
      <c r="M550" s="17" t="str">
        <f>ROUND(Github!N$549, 2)&amp;"%"</f>
        <v>0%</v>
      </c>
      <c r="N550" s="17">
        <f>Github!O$549</f>
        <v>49.75456061</v>
      </c>
      <c r="O550" s="17">
        <f>Github!P$549</f>
        <v>21792</v>
      </c>
    </row>
    <row r="551">
      <c r="A551" s="17">
        <f>Github!J$550</f>
        <v>549</v>
      </c>
      <c r="B551" s="27" t="str">
        <f>HYPERLINK(CONCAT("http://leetcode.com/problems/",Github!C$550), Github!B$550)</f>
        <v>Binary Tree Longest Consecutive Sequence II</v>
      </c>
      <c r="C551" s="17">
        <f>Github!F$550</f>
        <v>882</v>
      </c>
      <c r="D551" s="17">
        <f>Github!G$550</f>
        <v>70</v>
      </c>
      <c r="E551" s="17">
        <f>Github!F$550+Github!G$550</f>
        <v>952</v>
      </c>
      <c r="F551" s="18">
        <f t="shared" si="1"/>
        <v>12.6</v>
      </c>
      <c r="G551" s="17" t="str">
        <f>Github!H$550</f>
        <v>Algorithms</v>
      </c>
      <c r="H551" s="17" t="str">
        <f>Github!E$550</f>
        <v>Medium</v>
      </c>
      <c r="I551" s="17" t="str">
        <f>IF(TRIM(Github!D$550)="TRUE","FALSE","TRUE")</f>
        <v>FALSE</v>
      </c>
      <c r="J551" s="17"/>
      <c r="K551" s="17" t="str">
        <f>Github!L$550</f>
        <v>Tree;Depth-First Search;Binary Tree;</v>
      </c>
      <c r="L551" s="17" t="b">
        <f>Github!M$550</f>
        <v>1</v>
      </c>
      <c r="M551" s="17" t="str">
        <f>ROUND(Github!N$550, 2)&amp;"%"</f>
        <v>0%</v>
      </c>
      <c r="N551" s="17">
        <f>Github!O$550</f>
        <v>48.55029864</v>
      </c>
      <c r="O551" s="17">
        <f>Github!P$550</f>
        <v>41293</v>
      </c>
    </row>
    <row r="552">
      <c r="A552" s="17">
        <f>Github!J$551</f>
        <v>550</v>
      </c>
      <c r="B552" s="27" t="str">
        <f>HYPERLINK(CONCAT("http://leetcode.com/problems/",Github!C$551), Github!B$551)</f>
        <v>Game Play Analysis IV</v>
      </c>
      <c r="C552" s="17">
        <f>Github!F$551</f>
        <v>203</v>
      </c>
      <c r="D552" s="17">
        <f>Github!G$551</f>
        <v>59</v>
      </c>
      <c r="E552" s="17">
        <f>Github!F$551+Github!G$551</f>
        <v>262</v>
      </c>
      <c r="F552" s="18">
        <f t="shared" si="1"/>
        <v>3.44</v>
      </c>
      <c r="G552" s="17" t="str">
        <f>Github!H$551</f>
        <v>Database</v>
      </c>
      <c r="H552" s="17" t="str">
        <f>Github!E$551</f>
        <v>Medium</v>
      </c>
      <c r="I552" s="17" t="str">
        <f>IF(TRIM(Github!D$551)="TRUE","FALSE","TRUE")</f>
        <v>FALSE</v>
      </c>
      <c r="J552" s="17"/>
      <c r="K552" s="17" t="str">
        <f>Github!L$551</f>
        <v>Database;</v>
      </c>
      <c r="L552" s="17" t="b">
        <f>Github!M$551</f>
        <v>0</v>
      </c>
      <c r="M552" s="17" t="str">
        <f>ROUND(Github!N$551, 2)&amp;"%"</f>
        <v>0%</v>
      </c>
      <c r="N552" s="17">
        <f>Github!O$551</f>
        <v>44.17630179</v>
      </c>
      <c r="O552" s="17">
        <f>Github!P$551</f>
        <v>36794</v>
      </c>
    </row>
    <row r="553">
      <c r="A553" s="17">
        <f>Github!J$552</f>
        <v>551</v>
      </c>
      <c r="B553" s="27" t="str">
        <f>HYPERLINK(CONCAT("http://leetcode.com/problems/",Github!C$552), Github!B$552)</f>
        <v>Student Attendance Record I</v>
      </c>
      <c r="C553" s="17">
        <f>Github!F$552</f>
        <v>265</v>
      </c>
      <c r="D553" s="17">
        <f>Github!G$552</f>
        <v>15</v>
      </c>
      <c r="E553" s="17">
        <f>Github!F$552+Github!G$552</f>
        <v>280</v>
      </c>
      <c r="F553" s="18">
        <f t="shared" si="1"/>
        <v>17.67</v>
      </c>
      <c r="G553" s="17" t="str">
        <f>Github!H$552</f>
        <v>Algorithms</v>
      </c>
      <c r="H553" s="17" t="str">
        <f>Github!E$552</f>
        <v>Easy</v>
      </c>
      <c r="I553" s="17" t="str">
        <f>IF(TRIM(Github!D$552)="TRUE","FALSE","TRUE")</f>
        <v>TRUE</v>
      </c>
      <c r="J553" s="17"/>
      <c r="K553" s="17" t="str">
        <f>Github!L$552</f>
        <v>String;</v>
      </c>
      <c r="L553" s="17" t="b">
        <f>Github!M$552</f>
        <v>1</v>
      </c>
      <c r="M553" s="17" t="str">
        <f>ROUND(Github!N$552, 2)&amp;"%"</f>
        <v>0%</v>
      </c>
      <c r="N553" s="17">
        <f>Github!O$552</f>
        <v>47.43337777</v>
      </c>
      <c r="O553" s="17">
        <f>Github!P$552</f>
        <v>138048</v>
      </c>
    </row>
    <row r="554">
      <c r="A554" s="17">
        <f>Github!J$553</f>
        <v>552</v>
      </c>
      <c r="B554" s="27" t="str">
        <f>HYPERLINK(CONCAT("http://leetcode.com/problems/",Github!C$553), Github!B$553)</f>
        <v>Student Attendance Record II</v>
      </c>
      <c r="C554" s="17">
        <f>Github!F$553</f>
        <v>1097</v>
      </c>
      <c r="D554" s="17">
        <f>Github!G$553</f>
        <v>189</v>
      </c>
      <c r="E554" s="17">
        <f>Github!F$553+Github!G$553</f>
        <v>1286</v>
      </c>
      <c r="F554" s="18">
        <f t="shared" si="1"/>
        <v>5.8</v>
      </c>
      <c r="G554" s="17" t="str">
        <f>Github!H$553</f>
        <v>Algorithms</v>
      </c>
      <c r="H554" s="17" t="str">
        <f>Github!E$553</f>
        <v>Hard</v>
      </c>
      <c r="I554" s="17" t="str">
        <f>IF(TRIM(Github!D$553)="TRUE","FALSE","TRUE")</f>
        <v>TRUE</v>
      </c>
      <c r="J554" s="17"/>
      <c r="K554" s="17" t="str">
        <f>Github!L$553</f>
        <v>Dynamic Programming;</v>
      </c>
      <c r="L554" s="17" t="b">
        <f>Github!M$553</f>
        <v>1</v>
      </c>
      <c r="M554" s="17" t="str">
        <f>ROUND(Github!N$553, 2)&amp;"%"</f>
        <v>0%</v>
      </c>
      <c r="N554" s="17">
        <f>Github!O$553</f>
        <v>40.31113335</v>
      </c>
      <c r="O554" s="17">
        <f>Github!P$553</f>
        <v>43506</v>
      </c>
    </row>
    <row r="555">
      <c r="A555" s="17">
        <f>Github!J$554</f>
        <v>553</v>
      </c>
      <c r="B555" s="27" t="str">
        <f>HYPERLINK(CONCAT("http://leetcode.com/problems/",Github!C$554), Github!B$554)</f>
        <v>Optimal Division</v>
      </c>
      <c r="C555" s="17">
        <f>Github!F$554</f>
        <v>255</v>
      </c>
      <c r="D555" s="17">
        <f>Github!G$554</f>
        <v>1359</v>
      </c>
      <c r="E555" s="17">
        <f>Github!F$554+Github!G$554</f>
        <v>1614</v>
      </c>
      <c r="F555" s="18">
        <f t="shared" si="1"/>
        <v>0.19</v>
      </c>
      <c r="G555" s="17" t="str">
        <f>Github!H$554</f>
        <v>Algorithms</v>
      </c>
      <c r="H555" s="17" t="str">
        <f>Github!E$554</f>
        <v>Medium</v>
      </c>
      <c r="I555" s="17" t="str">
        <f>IF(TRIM(Github!D$554)="TRUE","FALSE","TRUE")</f>
        <v>TRUE</v>
      </c>
      <c r="J555" s="17"/>
      <c r="K555" s="17" t="str">
        <f>Github!L$554</f>
        <v>Array;Math;Dynamic Programming;</v>
      </c>
      <c r="L555" s="17" t="b">
        <f>Github!M$554</f>
        <v>1</v>
      </c>
      <c r="M555" s="17" t="str">
        <f>ROUND(Github!N$554, 2)&amp;"%"</f>
        <v>0%</v>
      </c>
      <c r="N555" s="17">
        <f>Github!O$554</f>
        <v>58.77627401</v>
      </c>
      <c r="O555" s="17">
        <f>Github!P$554</f>
        <v>31095</v>
      </c>
    </row>
    <row r="556">
      <c r="A556" s="17">
        <f>Github!J$555</f>
        <v>554</v>
      </c>
      <c r="B556" s="27" t="str">
        <f>HYPERLINK(CONCAT("http://leetcode.com/problems/",Github!C$555), Github!B$555)</f>
        <v>Brick Wall</v>
      </c>
      <c r="C556" s="17">
        <f>Github!F$555</f>
        <v>1750</v>
      </c>
      <c r="D556" s="17">
        <f>Github!G$555</f>
        <v>97</v>
      </c>
      <c r="E556" s="17">
        <f>Github!F$555+Github!G$555</f>
        <v>1847</v>
      </c>
      <c r="F556" s="18">
        <f t="shared" si="1"/>
        <v>18.04</v>
      </c>
      <c r="G556" s="17" t="str">
        <f>Github!H$555</f>
        <v>Algorithms</v>
      </c>
      <c r="H556" s="17" t="str">
        <f>Github!E$555</f>
        <v>Medium</v>
      </c>
      <c r="I556" s="17" t="str">
        <f>IF(TRIM(Github!D$555)="TRUE","FALSE","TRUE")</f>
        <v>TRUE</v>
      </c>
      <c r="J556" s="17"/>
      <c r="K556" s="17" t="str">
        <f>Github!L$555</f>
        <v>Array;Hash Table;</v>
      </c>
      <c r="L556" s="17" t="b">
        <f>Github!M$555</f>
        <v>1</v>
      </c>
      <c r="M556" s="17" t="str">
        <f>ROUND(Github!N$555, 2)&amp;"%"</f>
        <v>1%</v>
      </c>
      <c r="N556" s="17">
        <f>Github!O$555</f>
        <v>52.50147741</v>
      </c>
      <c r="O556" s="17">
        <f>Github!P$555</f>
        <v>98611</v>
      </c>
    </row>
    <row r="557">
      <c r="A557" s="17">
        <f>Github!J$556</f>
        <v>555</v>
      </c>
      <c r="B557" s="27" t="str">
        <f>HYPERLINK(CONCAT("http://leetcode.com/problems/",Github!C$556), Github!B$556)</f>
        <v>Split Concatenated Strings</v>
      </c>
      <c r="C557" s="17">
        <f>Github!F$556</f>
        <v>62</v>
      </c>
      <c r="D557" s="17">
        <f>Github!G$556</f>
        <v>233</v>
      </c>
      <c r="E557" s="17">
        <f>Github!F$556+Github!G$556</f>
        <v>295</v>
      </c>
      <c r="F557" s="18">
        <f t="shared" si="1"/>
        <v>0.27</v>
      </c>
      <c r="G557" s="17" t="str">
        <f>Github!H$556</f>
        <v>Algorithms</v>
      </c>
      <c r="H557" s="17" t="str">
        <f>Github!E$556</f>
        <v>Medium</v>
      </c>
      <c r="I557" s="17" t="str">
        <f>IF(TRIM(Github!D$556)="TRUE","FALSE","TRUE")</f>
        <v>FALSE</v>
      </c>
      <c r="J557" s="17"/>
      <c r="K557" s="17" t="str">
        <f>Github!L$556</f>
        <v>Array;String;Greedy;</v>
      </c>
      <c r="L557" s="17" t="b">
        <f>Github!M$556</f>
        <v>0</v>
      </c>
      <c r="M557" s="17" t="str">
        <f>ROUND(Github!N$556, 2)&amp;"%"</f>
        <v>0%</v>
      </c>
      <c r="N557" s="17">
        <f>Github!O$556</f>
        <v>43.18701586</v>
      </c>
      <c r="O557" s="17">
        <f>Github!P$556</f>
        <v>5854</v>
      </c>
    </row>
    <row r="558">
      <c r="A558" s="17">
        <f>Github!J$557</f>
        <v>556</v>
      </c>
      <c r="B558" s="27" t="str">
        <f>HYPERLINK(CONCAT("http://leetcode.com/problems/",Github!C$557), Github!B$557)</f>
        <v>Next Greater Element III</v>
      </c>
      <c r="C558" s="17">
        <f>Github!F$557</f>
        <v>2044</v>
      </c>
      <c r="D558" s="17">
        <f>Github!G$557</f>
        <v>327</v>
      </c>
      <c r="E558" s="17">
        <f>Github!F$557+Github!G$557</f>
        <v>2371</v>
      </c>
      <c r="F558" s="18">
        <f t="shared" si="1"/>
        <v>6.25</v>
      </c>
      <c r="G558" s="17" t="str">
        <f>Github!H$557</f>
        <v>Algorithms</v>
      </c>
      <c r="H558" s="17" t="str">
        <f>Github!E$557</f>
        <v>Medium</v>
      </c>
      <c r="I558" s="17" t="str">
        <f>IF(TRIM(Github!D$557)="TRUE","FALSE","TRUE")</f>
        <v>TRUE</v>
      </c>
      <c r="J558" s="17"/>
      <c r="K558" s="17" t="str">
        <f>Github!L$557</f>
        <v>Math;Two Pointers;String;</v>
      </c>
      <c r="L558" s="17" t="b">
        <f>Github!M$557</f>
        <v>1</v>
      </c>
      <c r="M558" s="17" t="str">
        <f>ROUND(Github!N$557, 2)&amp;"%"</f>
        <v>0%</v>
      </c>
      <c r="N558" s="17">
        <f>Github!O$557</f>
        <v>33.63886844</v>
      </c>
      <c r="O558" s="17">
        <f>Github!P$557</f>
        <v>92295</v>
      </c>
    </row>
    <row r="559">
      <c r="A559" s="17">
        <f>Github!J$558</f>
        <v>557</v>
      </c>
      <c r="B559" s="27" t="str">
        <f>HYPERLINK(CONCAT("http://leetcode.com/problems/",Github!C$558), Github!B$558)</f>
        <v>Reverse Words in a String III</v>
      </c>
      <c r="C559" s="17">
        <f>Github!F$558</f>
        <v>2526</v>
      </c>
      <c r="D559" s="17">
        <f>Github!G$558</f>
        <v>151</v>
      </c>
      <c r="E559" s="17">
        <f>Github!F$558+Github!G$558</f>
        <v>2677</v>
      </c>
      <c r="F559" s="18">
        <f t="shared" si="1"/>
        <v>16.73</v>
      </c>
      <c r="G559" s="17" t="str">
        <f>Github!H$558</f>
        <v>Algorithms</v>
      </c>
      <c r="H559" s="17" t="str">
        <f>Github!E$558</f>
        <v>Easy</v>
      </c>
      <c r="I559" s="17" t="str">
        <f>IF(TRIM(Github!D$558)="TRUE","FALSE","TRUE")</f>
        <v>TRUE</v>
      </c>
      <c r="J559" s="17"/>
      <c r="K559" s="17" t="str">
        <f>Github!L$558</f>
        <v>Two Pointers;String;</v>
      </c>
      <c r="L559" s="17" t="b">
        <f>Github!M$558</f>
        <v>1</v>
      </c>
      <c r="M559" s="17" t="str">
        <f>ROUND(Github!N$558, 2)&amp;"%"</f>
        <v>0%</v>
      </c>
      <c r="N559" s="17">
        <f>Github!O$558</f>
        <v>78.01246868</v>
      </c>
      <c r="O559" s="17">
        <f>Github!P$558</f>
        <v>407915</v>
      </c>
    </row>
    <row r="560">
      <c r="A560" s="17">
        <f>Github!J$559</f>
        <v>558</v>
      </c>
      <c r="B560" s="27" t="str">
        <f>HYPERLINK(CONCAT("http://leetcode.com/problems/",Github!C$559), Github!B$559)</f>
        <v>Logical OR of Two Binary Grids Represented as Quad-Trees</v>
      </c>
      <c r="C560" s="17">
        <f>Github!F$559</f>
        <v>125</v>
      </c>
      <c r="D560" s="17">
        <f>Github!G$559</f>
        <v>403</v>
      </c>
      <c r="E560" s="17">
        <f>Github!F$559+Github!G$559</f>
        <v>528</v>
      </c>
      <c r="F560" s="18">
        <f t="shared" si="1"/>
        <v>0.31</v>
      </c>
      <c r="G560" s="17" t="str">
        <f>Github!H$559</f>
        <v>Algorithms</v>
      </c>
      <c r="H560" s="17" t="str">
        <f>Github!E$559</f>
        <v>Medium</v>
      </c>
      <c r="I560" s="17" t="str">
        <f>IF(TRIM(Github!D$559)="TRUE","FALSE","TRUE")</f>
        <v>TRUE</v>
      </c>
      <c r="J560" s="17"/>
      <c r="K560" s="17" t="str">
        <f>Github!L$559</f>
        <v>Divide and Conquer;Tree;</v>
      </c>
      <c r="L560" s="17" t="b">
        <f>Github!M$559</f>
        <v>0</v>
      </c>
      <c r="M560" s="17" t="str">
        <f>ROUND(Github!N$559, 2)&amp;"%"</f>
        <v>0%</v>
      </c>
      <c r="N560" s="17">
        <f>Github!O$559</f>
        <v>47.07650039</v>
      </c>
      <c r="O560" s="17">
        <f>Github!P$559</f>
        <v>10966</v>
      </c>
    </row>
    <row r="561">
      <c r="A561" s="17">
        <f>Github!J$560</f>
        <v>559</v>
      </c>
      <c r="B561" s="27" t="str">
        <f>HYPERLINK(CONCAT("http://leetcode.com/problems/",Github!C$560), Github!B$560)</f>
        <v>Maximum Depth of N-ary Tree</v>
      </c>
      <c r="C561" s="17">
        <f>Github!F$560</f>
        <v>1903</v>
      </c>
      <c r="D561" s="17">
        <f>Github!G$560</f>
        <v>68</v>
      </c>
      <c r="E561" s="17">
        <f>Github!F$560+Github!G$560</f>
        <v>1971</v>
      </c>
      <c r="F561" s="18">
        <f t="shared" si="1"/>
        <v>27.99</v>
      </c>
      <c r="G561" s="17" t="str">
        <f>Github!H$560</f>
        <v>Algorithms</v>
      </c>
      <c r="H561" s="17" t="str">
        <f>Github!E$560</f>
        <v>Easy</v>
      </c>
      <c r="I561" s="17" t="str">
        <f>IF(TRIM(Github!D$560)="TRUE","FALSE","TRUE")</f>
        <v>TRUE</v>
      </c>
      <c r="J561" s="17"/>
      <c r="K561" s="17" t="str">
        <f>Github!L$560</f>
        <v>Tree;Depth-First Search;Breadth-First Search;</v>
      </c>
      <c r="L561" s="17" t="b">
        <f>Github!M$560</f>
        <v>1</v>
      </c>
      <c r="M561" s="17" t="str">
        <f>ROUND(Github!N$560, 2)&amp;"%"</f>
        <v>0%</v>
      </c>
      <c r="N561" s="17">
        <f>Github!O$560</f>
        <v>70.87741241</v>
      </c>
      <c r="O561" s="17">
        <f>Github!P$560</f>
        <v>202869</v>
      </c>
    </row>
    <row r="562">
      <c r="A562" s="17">
        <f>Github!J$561</f>
        <v>560</v>
      </c>
      <c r="B562" s="27" t="str">
        <f>HYPERLINK(CONCAT("http://leetcode.com/problems/",Github!C$561), Github!B$561)</f>
        <v>Subarray Sum Equals K</v>
      </c>
      <c r="C562" s="17">
        <f>Github!F$561</f>
        <v>12357</v>
      </c>
      <c r="D562" s="17">
        <f>Github!G$561</f>
        <v>390</v>
      </c>
      <c r="E562" s="17">
        <f>Github!F$561+Github!G$561</f>
        <v>12747</v>
      </c>
      <c r="F562" s="18">
        <f t="shared" si="1"/>
        <v>31.68</v>
      </c>
      <c r="G562" s="17" t="str">
        <f>Github!H$561</f>
        <v>Algorithms</v>
      </c>
      <c r="H562" s="17" t="str">
        <f>Github!E$561</f>
        <v>Medium</v>
      </c>
      <c r="I562" s="17" t="str">
        <f>IF(TRIM(Github!D$561)="TRUE","FALSE","TRUE")</f>
        <v>TRUE</v>
      </c>
      <c r="J562" s="17"/>
      <c r="K562" s="17" t="str">
        <f>Github!L$561</f>
        <v>Array;Hash Table;Prefix Sum;</v>
      </c>
      <c r="L562" s="17" t="b">
        <f>Github!M$561</f>
        <v>1</v>
      </c>
      <c r="M562" s="17" t="str">
        <f>ROUND(Github!N$561, 2)&amp;"%"</f>
        <v>0%</v>
      </c>
      <c r="N562" s="17">
        <f>Github!O$561</f>
        <v>44.14636061</v>
      </c>
      <c r="O562" s="17">
        <f>Github!P$561</f>
        <v>731199</v>
      </c>
    </row>
    <row r="563">
      <c r="A563" s="17">
        <f>Github!J$562</f>
        <v>561</v>
      </c>
      <c r="B563" s="27" t="str">
        <f>HYPERLINK(CONCAT("http://leetcode.com/problems/",Github!C$562), Github!B$562)</f>
        <v>Array Partition I</v>
      </c>
      <c r="C563" s="17">
        <f>Github!F$562</f>
        <v>731</v>
      </c>
      <c r="D563" s="17">
        <f>Github!G$562</f>
        <v>125</v>
      </c>
      <c r="E563" s="17">
        <f>Github!F$562+Github!G$562</f>
        <v>856</v>
      </c>
      <c r="F563" s="18">
        <f t="shared" si="1"/>
        <v>5.85</v>
      </c>
      <c r="G563" s="17" t="str">
        <f>Github!H$562</f>
        <v>Algorithms</v>
      </c>
      <c r="H563" s="17" t="str">
        <f>Github!E$562</f>
        <v>Easy</v>
      </c>
      <c r="I563" s="17" t="str">
        <f>IF(TRIM(Github!D$562)="TRUE","FALSE","TRUE")</f>
        <v>TRUE</v>
      </c>
      <c r="J563" s="17"/>
      <c r="K563" s="17" t="str">
        <f>Github!L$562</f>
        <v>Array;Greedy;Sorting;Counting Sort;</v>
      </c>
      <c r="L563" s="17" t="b">
        <f>Github!M$562</f>
        <v>0</v>
      </c>
      <c r="M563" s="17" t="str">
        <f>ROUND(Github!N$562, 2)&amp;"%"</f>
        <v>0%</v>
      </c>
      <c r="N563" s="17">
        <f>Github!O$562</f>
        <v>75.38013326</v>
      </c>
      <c r="O563" s="17">
        <f>Github!P$562</f>
        <v>316430</v>
      </c>
    </row>
    <row r="564">
      <c r="A564" s="17">
        <f>Github!J$563</f>
        <v>562</v>
      </c>
      <c r="B564" s="27" t="str">
        <f>HYPERLINK(CONCAT("http://leetcode.com/problems/",Github!C$563), Github!B$563)</f>
        <v>Longest Line of Consecutive One in Matrix</v>
      </c>
      <c r="C564" s="17">
        <f>Github!F$563</f>
        <v>673</v>
      </c>
      <c r="D564" s="17">
        <f>Github!G$563</f>
        <v>97</v>
      </c>
      <c r="E564" s="17">
        <f>Github!F$563+Github!G$563</f>
        <v>770</v>
      </c>
      <c r="F564" s="18">
        <f t="shared" si="1"/>
        <v>6.94</v>
      </c>
      <c r="G564" s="17" t="str">
        <f>Github!H$563</f>
        <v>Algorithms</v>
      </c>
      <c r="H564" s="17" t="str">
        <f>Github!E$563</f>
        <v>Medium</v>
      </c>
      <c r="I564" s="17" t="str">
        <f>IF(TRIM(Github!D$563)="TRUE","FALSE","TRUE")</f>
        <v>FALSE</v>
      </c>
      <c r="J564" s="17"/>
      <c r="K564" s="17" t="str">
        <f>Github!L$563</f>
        <v>Array;Dynamic Programming;Matrix;</v>
      </c>
      <c r="L564" s="17" t="b">
        <f>Github!M$563</f>
        <v>1</v>
      </c>
      <c r="M564" s="17" t="str">
        <f>ROUND(Github!N$563, 2)&amp;"%"</f>
        <v>0%</v>
      </c>
      <c r="N564" s="17">
        <f>Github!O$563</f>
        <v>48.94523925</v>
      </c>
      <c r="O564" s="17">
        <f>Github!P$563</f>
        <v>56380</v>
      </c>
    </row>
    <row r="565">
      <c r="A565" s="17">
        <f>Github!J$564</f>
        <v>563</v>
      </c>
      <c r="B565" s="27" t="str">
        <f>HYPERLINK(CONCAT("http://leetcode.com/problems/",Github!C$564), Github!B$564)</f>
        <v>Binary Tree Tilt</v>
      </c>
      <c r="C565" s="17">
        <f>Github!F$564</f>
        <v>1559</v>
      </c>
      <c r="D565" s="17">
        <f>Github!G$564</f>
        <v>1893</v>
      </c>
      <c r="E565" s="17">
        <f>Github!F$564+Github!G$564</f>
        <v>3452</v>
      </c>
      <c r="F565" s="18">
        <f t="shared" si="1"/>
        <v>0.82</v>
      </c>
      <c r="G565" s="17" t="str">
        <f>Github!H$564</f>
        <v>Algorithms</v>
      </c>
      <c r="H565" s="17" t="str">
        <f>Github!E$564</f>
        <v>Easy</v>
      </c>
      <c r="I565" s="17" t="str">
        <f>IF(TRIM(Github!D$564)="TRUE","FALSE","TRUE")</f>
        <v>TRUE</v>
      </c>
      <c r="J565" s="17"/>
      <c r="K565" s="17" t="str">
        <f>Github!L$564</f>
        <v>Tree;Depth-First Search;Binary Tree;</v>
      </c>
      <c r="L565" s="17" t="b">
        <f>Github!M$564</f>
        <v>1</v>
      </c>
      <c r="M565" s="17" t="str">
        <f>ROUND(Github!N$564, 2)&amp;"%"</f>
        <v>0%</v>
      </c>
      <c r="N565" s="17">
        <f>Github!O$564</f>
        <v>58.2857061</v>
      </c>
      <c r="O565" s="17">
        <f>Github!P$564</f>
        <v>162763</v>
      </c>
    </row>
    <row r="566">
      <c r="A566" s="17">
        <f>Github!J$565</f>
        <v>564</v>
      </c>
      <c r="B566" s="27" t="str">
        <f>HYPERLINK(CONCAT("http://leetcode.com/problems/",Github!C$565), Github!B$565)</f>
        <v>Find the Closest Palindrome</v>
      </c>
      <c r="C566" s="17">
        <f>Github!F$565</f>
        <v>461</v>
      </c>
      <c r="D566" s="17">
        <f>Github!G$565</f>
        <v>1096</v>
      </c>
      <c r="E566" s="17">
        <f>Github!F$565+Github!G$565</f>
        <v>1557</v>
      </c>
      <c r="F566" s="18">
        <f t="shared" si="1"/>
        <v>0.42</v>
      </c>
      <c r="G566" s="17" t="str">
        <f>Github!H$565</f>
        <v>Algorithms</v>
      </c>
      <c r="H566" s="17" t="str">
        <f>Github!E$565</f>
        <v>Hard</v>
      </c>
      <c r="I566" s="17" t="str">
        <f>IF(TRIM(Github!D$565)="TRUE","FALSE","TRUE")</f>
        <v>TRUE</v>
      </c>
      <c r="J566" s="17"/>
      <c r="K566" s="17" t="str">
        <f>Github!L$565</f>
        <v>Math;String;</v>
      </c>
      <c r="L566" s="17" t="b">
        <f>Github!M$565</f>
        <v>0</v>
      </c>
      <c r="M566" s="17" t="str">
        <f>ROUND(Github!N$565, 2)&amp;"%"</f>
        <v>0%</v>
      </c>
      <c r="N566" s="17">
        <f>Github!O$565</f>
        <v>21.1151603</v>
      </c>
      <c r="O566" s="17">
        <f>Github!P$565</f>
        <v>30303</v>
      </c>
    </row>
    <row r="567">
      <c r="A567" s="17">
        <f>Github!J$566</f>
        <v>565</v>
      </c>
      <c r="B567" s="27" t="str">
        <f>HYPERLINK(CONCAT("http://leetcode.com/problems/",Github!C$566), Github!B$566)</f>
        <v>Array Nesting</v>
      </c>
      <c r="C567" s="17">
        <f>Github!F$566</f>
        <v>1808</v>
      </c>
      <c r="D567" s="17">
        <f>Github!G$566</f>
        <v>138</v>
      </c>
      <c r="E567" s="17">
        <f>Github!F$566+Github!G$566</f>
        <v>1946</v>
      </c>
      <c r="F567" s="18">
        <f t="shared" si="1"/>
        <v>13.1</v>
      </c>
      <c r="G567" s="17" t="str">
        <f>Github!H$566</f>
        <v>Algorithms</v>
      </c>
      <c r="H567" s="17" t="str">
        <f>Github!E$566</f>
        <v>Medium</v>
      </c>
      <c r="I567" s="17" t="str">
        <f>IF(TRIM(Github!D$566)="TRUE","FALSE","TRUE")</f>
        <v>TRUE</v>
      </c>
      <c r="J567" s="17"/>
      <c r="K567" s="17" t="str">
        <f>Github!L$566</f>
        <v>Array;Depth-First Search;</v>
      </c>
      <c r="L567" s="17" t="b">
        <f>Github!M$566</f>
        <v>1</v>
      </c>
      <c r="M567" s="17" t="str">
        <f>ROUND(Github!N$566, 2)&amp;"%"</f>
        <v>0%</v>
      </c>
      <c r="N567" s="17">
        <f>Github!O$566</f>
        <v>56.24845635</v>
      </c>
      <c r="O567" s="17">
        <f>Github!P$566</f>
        <v>111592</v>
      </c>
    </row>
    <row r="568">
      <c r="A568" s="17">
        <f>Github!J$567</f>
        <v>566</v>
      </c>
      <c r="B568" s="27" t="str">
        <f>HYPERLINK(CONCAT("http://leetcode.com/problems/",Github!C$567), Github!B$567)</f>
        <v>Reshape the Matrix</v>
      </c>
      <c r="C568" s="17">
        <f>Github!F$567</f>
        <v>2026</v>
      </c>
      <c r="D568" s="17">
        <f>Github!G$567</f>
        <v>232</v>
      </c>
      <c r="E568" s="17">
        <f>Github!F$567+Github!G$567</f>
        <v>2258</v>
      </c>
      <c r="F568" s="18">
        <f t="shared" si="1"/>
        <v>8.73</v>
      </c>
      <c r="G568" s="17" t="str">
        <f>Github!H$567</f>
        <v>Algorithms</v>
      </c>
      <c r="H568" s="17" t="str">
        <f>Github!E$567</f>
        <v>Easy</v>
      </c>
      <c r="I568" s="17" t="str">
        <f>IF(TRIM(Github!D$567)="TRUE","FALSE","TRUE")</f>
        <v>TRUE</v>
      </c>
      <c r="J568" s="17"/>
      <c r="K568" s="17" t="str">
        <f>Github!L$567</f>
        <v>Array;Matrix;Simulation;</v>
      </c>
      <c r="L568" s="17" t="b">
        <f>Github!M$567</f>
        <v>1</v>
      </c>
      <c r="M568" s="17" t="str">
        <f>ROUND(Github!N$567, 2)&amp;"%"</f>
        <v>0%</v>
      </c>
      <c r="N568" s="17">
        <f>Github!O$567</f>
        <v>62.26507704</v>
      </c>
      <c r="O568" s="17">
        <f>Github!P$567</f>
        <v>214382</v>
      </c>
    </row>
    <row r="569">
      <c r="A569" s="17">
        <f>Github!J$568</f>
        <v>567</v>
      </c>
      <c r="B569" s="27" t="str">
        <f>HYPERLINK(CONCAT("http://leetcode.com/problems/",Github!C$568), Github!B$568)</f>
        <v>Permutation in String</v>
      </c>
      <c r="C569" s="17">
        <f>Github!F$568</f>
        <v>5422</v>
      </c>
      <c r="D569" s="17">
        <f>Github!G$568</f>
        <v>156</v>
      </c>
      <c r="E569" s="17">
        <f>Github!F$568+Github!G$568</f>
        <v>5578</v>
      </c>
      <c r="F569" s="18">
        <f t="shared" si="1"/>
        <v>34.76</v>
      </c>
      <c r="G569" s="17" t="str">
        <f>Github!H$568</f>
        <v>Algorithms</v>
      </c>
      <c r="H569" s="17" t="str">
        <f>Github!E$568</f>
        <v>Medium</v>
      </c>
      <c r="I569" s="17" t="str">
        <f>IF(TRIM(Github!D$568)="TRUE","FALSE","TRUE")</f>
        <v>TRUE</v>
      </c>
      <c r="J569" s="17"/>
      <c r="K569" s="17" t="str">
        <f>Github!L$568</f>
        <v>Hash Table;Two Pointers;String;Sliding Window;</v>
      </c>
      <c r="L569" s="17" t="b">
        <f>Github!M$568</f>
        <v>1</v>
      </c>
      <c r="M569" s="17" t="str">
        <f>ROUND(Github!N$568, 2)&amp;"%"</f>
        <v>0%</v>
      </c>
      <c r="N569" s="17">
        <f>Github!O$568</f>
        <v>45.00585701</v>
      </c>
      <c r="O569" s="17">
        <f>Github!P$568</f>
        <v>350009</v>
      </c>
    </row>
    <row r="570">
      <c r="A570" s="17">
        <f>Github!J$569</f>
        <v>568</v>
      </c>
      <c r="B570" s="27" t="str">
        <f>HYPERLINK(CONCAT("http://leetcode.com/problems/",Github!C$569), Github!B$569)</f>
        <v>Maximum Vacation Days</v>
      </c>
      <c r="C570" s="17">
        <f>Github!F$569</f>
        <v>496</v>
      </c>
      <c r="D570" s="17">
        <f>Github!G$569</f>
        <v>91</v>
      </c>
      <c r="E570" s="17">
        <f>Github!F$569+Github!G$569</f>
        <v>587</v>
      </c>
      <c r="F570" s="18">
        <f t="shared" si="1"/>
        <v>5.45</v>
      </c>
      <c r="G570" s="17" t="str">
        <f>Github!H$569</f>
        <v>Algorithms</v>
      </c>
      <c r="H570" s="17" t="str">
        <f>Github!E$569</f>
        <v>Hard</v>
      </c>
      <c r="I570" s="17" t="str">
        <f>IF(TRIM(Github!D$569)="TRUE","FALSE","TRUE")</f>
        <v>FALSE</v>
      </c>
      <c r="J570" s="17"/>
      <c r="K570" s="17" t="str">
        <f>Github!L$569</f>
        <v>Array;Dynamic Programming;Matrix;</v>
      </c>
      <c r="L570" s="17" t="b">
        <f>Github!M$569</f>
        <v>1</v>
      </c>
      <c r="M570" s="17" t="str">
        <f>ROUND(Github!N$569, 2)&amp;"%"</f>
        <v>0%</v>
      </c>
      <c r="N570" s="17">
        <f>Github!O$569</f>
        <v>44.22716954</v>
      </c>
      <c r="O570" s="17">
        <f>Github!P$569</f>
        <v>33315</v>
      </c>
    </row>
    <row r="571">
      <c r="A571" s="17">
        <f>Github!J$570</f>
        <v>569</v>
      </c>
      <c r="B571" s="27" t="str">
        <f>HYPERLINK(CONCAT("http://leetcode.com/problems/",Github!C$570), Github!B$570)</f>
        <v>Median Employee Salary</v>
      </c>
      <c r="C571" s="17">
        <f>Github!F$570</f>
        <v>219</v>
      </c>
      <c r="D571" s="17">
        <f>Github!G$570</f>
        <v>119</v>
      </c>
      <c r="E571" s="17">
        <f>Github!F$570+Github!G$570</f>
        <v>338</v>
      </c>
      <c r="F571" s="18">
        <f t="shared" si="1"/>
        <v>1.84</v>
      </c>
      <c r="G571" s="17" t="str">
        <f>Github!H$570</f>
        <v>Database</v>
      </c>
      <c r="H571" s="17" t="str">
        <f>Github!E$570</f>
        <v>Hard</v>
      </c>
      <c r="I571" s="17" t="str">
        <f>IF(TRIM(Github!D$570)="TRUE","FALSE","TRUE")</f>
        <v>FALSE</v>
      </c>
      <c r="J571" s="17"/>
      <c r="K571" s="17" t="str">
        <f>Github!L$570</f>
        <v>Database;</v>
      </c>
      <c r="L571" s="17" t="b">
        <f>Github!M$570</f>
        <v>0</v>
      </c>
      <c r="M571" s="17" t="str">
        <f>ROUND(Github!N$570, 2)&amp;"%"</f>
        <v>0%</v>
      </c>
      <c r="N571" s="17">
        <f>Github!O$570</f>
        <v>66.60545713</v>
      </c>
      <c r="O571" s="17">
        <f>Github!P$570</f>
        <v>25753</v>
      </c>
    </row>
    <row r="572">
      <c r="A572" s="17">
        <f>Github!J$571</f>
        <v>570</v>
      </c>
      <c r="B572" s="27" t="str">
        <f>HYPERLINK(CONCAT("http://leetcode.com/problems/",Github!C$571), Github!B$571)</f>
        <v>Managers with at Least 5 Direct Reports</v>
      </c>
      <c r="C572" s="17">
        <f>Github!F$571</f>
        <v>208</v>
      </c>
      <c r="D572" s="17">
        <f>Github!G$571</f>
        <v>29</v>
      </c>
      <c r="E572" s="17">
        <f>Github!F$571+Github!G$571</f>
        <v>237</v>
      </c>
      <c r="F572" s="18">
        <f t="shared" si="1"/>
        <v>7.17</v>
      </c>
      <c r="G572" s="17" t="str">
        <f>Github!H$571</f>
        <v>Database</v>
      </c>
      <c r="H572" s="17" t="str">
        <f>Github!E$571</f>
        <v>Medium</v>
      </c>
      <c r="I572" s="17" t="str">
        <f>IF(TRIM(Github!D$571)="TRUE","FALSE","TRUE")</f>
        <v>FALSE</v>
      </c>
      <c r="J572" s="17"/>
      <c r="K572" s="17" t="str">
        <f>Github!L$571</f>
        <v>Database;</v>
      </c>
      <c r="L572" s="17" t="b">
        <f>Github!M$571</f>
        <v>1</v>
      </c>
      <c r="M572" s="17" t="str">
        <f>ROUND(Github!N$571, 2)&amp;"%"</f>
        <v>0%</v>
      </c>
      <c r="N572" s="17">
        <f>Github!O$571</f>
        <v>66.97976879</v>
      </c>
      <c r="O572" s="17">
        <f>Github!P$571</f>
        <v>54692</v>
      </c>
    </row>
    <row r="573">
      <c r="A573" s="17">
        <f>Github!J$572</f>
        <v>571</v>
      </c>
      <c r="B573" s="27" t="str">
        <f>HYPERLINK(CONCAT("http://leetcode.com/problems/",Github!C$572), Github!B$572)</f>
        <v>Find Median Given Frequency of Numbers</v>
      </c>
      <c r="C573" s="17">
        <f>Github!F$572</f>
        <v>210</v>
      </c>
      <c r="D573" s="17">
        <f>Github!G$572</f>
        <v>62</v>
      </c>
      <c r="E573" s="17">
        <f>Github!F$572+Github!G$572</f>
        <v>272</v>
      </c>
      <c r="F573" s="18">
        <f t="shared" si="1"/>
        <v>3.39</v>
      </c>
      <c r="G573" s="17" t="str">
        <f>Github!H$572</f>
        <v>Database</v>
      </c>
      <c r="H573" s="17" t="str">
        <f>Github!E$572</f>
        <v>Hard</v>
      </c>
      <c r="I573" s="17" t="str">
        <f>IF(TRIM(Github!D$572)="TRUE","FALSE","TRUE")</f>
        <v>FALSE</v>
      </c>
      <c r="J573" s="17"/>
      <c r="K573" s="17" t="str">
        <f>Github!L$572</f>
        <v>Database;</v>
      </c>
      <c r="L573" s="17" t="b">
        <f>Github!M$572</f>
        <v>0</v>
      </c>
      <c r="M573" s="17" t="str">
        <f>ROUND(Github!N$572, 2)&amp;"%"</f>
        <v>0%</v>
      </c>
      <c r="N573" s="17">
        <f>Github!O$572</f>
        <v>44.72746305</v>
      </c>
      <c r="O573" s="17">
        <f>Github!P$572</f>
        <v>17946</v>
      </c>
    </row>
    <row r="574">
      <c r="A574" s="17">
        <f>Github!J$573</f>
        <v>572</v>
      </c>
      <c r="B574" s="27" t="str">
        <f>HYPERLINK(CONCAT("http://leetcode.com/problems/",Github!C$573), Github!B$573)</f>
        <v>Subtree of Another Tree</v>
      </c>
      <c r="C574" s="17">
        <f>Github!F$573</f>
        <v>4923</v>
      </c>
      <c r="D574" s="17">
        <f>Github!G$573</f>
        <v>251</v>
      </c>
      <c r="E574" s="17">
        <f>Github!F$573+Github!G$573</f>
        <v>5174</v>
      </c>
      <c r="F574" s="18">
        <f t="shared" si="1"/>
        <v>19.61</v>
      </c>
      <c r="G574" s="17" t="str">
        <f>Github!H$573</f>
        <v>Algorithms</v>
      </c>
      <c r="H574" s="17" t="str">
        <f>Github!E$573</f>
        <v>Easy</v>
      </c>
      <c r="I574" s="17" t="str">
        <f>IF(TRIM(Github!D$573)="TRUE","FALSE","TRUE")</f>
        <v>TRUE</v>
      </c>
      <c r="J574" s="17"/>
      <c r="K574" s="17" t="str">
        <f>Github!L$573</f>
        <v>Tree;Depth-First Search;String Matching;Binary Tree;Hash Function;</v>
      </c>
      <c r="L574" s="17" t="b">
        <f>Github!M$573</f>
        <v>0</v>
      </c>
      <c r="M574" s="17" t="str">
        <f>ROUND(Github!N$573, 2)&amp;"%"</f>
        <v>0%</v>
      </c>
      <c r="N574" s="17">
        <f>Github!O$573</f>
        <v>45.21406076</v>
      </c>
      <c r="O574" s="17">
        <f>Github!P$573</f>
        <v>433697</v>
      </c>
    </row>
    <row r="575">
      <c r="A575" s="17">
        <f>Github!J$574</f>
        <v>573</v>
      </c>
      <c r="B575" s="27" t="str">
        <f>HYPERLINK(CONCAT("http://leetcode.com/problems/",Github!C$574), Github!B$574)</f>
        <v>Squirrel Simulation</v>
      </c>
      <c r="C575" s="17">
        <f>Github!F$574</f>
        <v>304</v>
      </c>
      <c r="D575" s="17">
        <f>Github!G$574</f>
        <v>32</v>
      </c>
      <c r="E575" s="17">
        <f>Github!F$574+Github!G$574</f>
        <v>336</v>
      </c>
      <c r="F575" s="18">
        <f t="shared" si="1"/>
        <v>9.5</v>
      </c>
      <c r="G575" s="17" t="str">
        <f>Github!H$574</f>
        <v>Algorithms</v>
      </c>
      <c r="H575" s="17" t="str">
        <f>Github!E$574</f>
        <v>Medium</v>
      </c>
      <c r="I575" s="17" t="str">
        <f>IF(TRIM(Github!D$574)="TRUE","FALSE","TRUE")</f>
        <v>FALSE</v>
      </c>
      <c r="J575" s="17"/>
      <c r="K575" s="17" t="str">
        <f>Github!L$574</f>
        <v>Array;Math;</v>
      </c>
      <c r="L575" s="17" t="b">
        <f>Github!M$574</f>
        <v>1</v>
      </c>
      <c r="M575" s="17" t="str">
        <f>ROUND(Github!N$574, 2)&amp;"%"</f>
        <v>0%</v>
      </c>
      <c r="N575" s="17">
        <f>Github!O$574</f>
        <v>54.65410848</v>
      </c>
      <c r="O575" s="17">
        <f>Github!P$574</f>
        <v>16828</v>
      </c>
    </row>
    <row r="576">
      <c r="A576" s="17">
        <f>Github!J$575</f>
        <v>574</v>
      </c>
      <c r="B576" s="27" t="str">
        <f>HYPERLINK(CONCAT("http://leetcode.com/problems/",Github!C$575), Github!B$575)</f>
        <v>Winning Candidate</v>
      </c>
      <c r="C576" s="17">
        <f>Github!F$575</f>
        <v>123</v>
      </c>
      <c r="D576" s="17">
        <f>Github!G$575</f>
        <v>378</v>
      </c>
      <c r="E576" s="17">
        <f>Github!F$575+Github!G$575</f>
        <v>501</v>
      </c>
      <c r="F576" s="18">
        <f t="shared" si="1"/>
        <v>0.33</v>
      </c>
      <c r="G576" s="17" t="str">
        <f>Github!H$575</f>
        <v>Database</v>
      </c>
      <c r="H576" s="17" t="str">
        <f>Github!E$575</f>
        <v>Medium</v>
      </c>
      <c r="I576" s="17" t="str">
        <f>IF(TRIM(Github!D$575)="TRUE","FALSE","TRUE")</f>
        <v>FALSE</v>
      </c>
      <c r="J576" s="17"/>
      <c r="K576" s="17" t="str">
        <f>Github!L$575</f>
        <v>Database;</v>
      </c>
      <c r="L576" s="17" t="b">
        <f>Github!M$575</f>
        <v>1</v>
      </c>
      <c r="M576" s="17" t="str">
        <f>ROUND(Github!N$575, 2)&amp;"%"</f>
        <v>0%</v>
      </c>
      <c r="N576" s="17">
        <f>Github!O$575</f>
        <v>57.69382236</v>
      </c>
      <c r="O576" s="17">
        <f>Github!P$575</f>
        <v>43947</v>
      </c>
    </row>
    <row r="577">
      <c r="A577" s="17">
        <f>Github!J$576</f>
        <v>575</v>
      </c>
      <c r="B577" s="27" t="str">
        <f>HYPERLINK(CONCAT("http://leetcode.com/problems/",Github!C$576), Github!B$576)</f>
        <v>Distribute Candies</v>
      </c>
      <c r="C577" s="17">
        <f>Github!F$576</f>
        <v>914</v>
      </c>
      <c r="D577" s="17">
        <f>Github!G$576</f>
        <v>1128</v>
      </c>
      <c r="E577" s="17">
        <f>Github!F$576+Github!G$576</f>
        <v>2042</v>
      </c>
      <c r="F577" s="18">
        <f t="shared" si="1"/>
        <v>0.81</v>
      </c>
      <c r="G577" s="17" t="str">
        <f>Github!H$576</f>
        <v>Algorithms</v>
      </c>
      <c r="H577" s="17" t="str">
        <f>Github!E$576</f>
        <v>Easy</v>
      </c>
      <c r="I577" s="17" t="str">
        <f>IF(TRIM(Github!D$576)="TRUE","FALSE","TRUE")</f>
        <v>TRUE</v>
      </c>
      <c r="J577" s="17"/>
      <c r="K577" s="17" t="str">
        <f>Github!L$576</f>
        <v>Array;Hash Table;</v>
      </c>
      <c r="L577" s="17" t="b">
        <f>Github!M$576</f>
        <v>1</v>
      </c>
      <c r="M577" s="17" t="str">
        <f>ROUND(Github!N$576, 2)&amp;"%"</f>
        <v>0%</v>
      </c>
      <c r="N577" s="17">
        <f>Github!O$576</f>
        <v>65.48223853</v>
      </c>
      <c r="O577" s="17">
        <f>Github!P$576</f>
        <v>198365</v>
      </c>
    </row>
    <row r="578">
      <c r="A578" s="17">
        <f>Github!J$577</f>
        <v>576</v>
      </c>
      <c r="B578" s="27" t="str">
        <f>HYPERLINK(CONCAT("http://leetcode.com/problems/",Github!C$577), Github!B$577)</f>
        <v>Out of Boundary Paths</v>
      </c>
      <c r="C578" s="17">
        <f>Github!F$577</f>
        <v>1438</v>
      </c>
      <c r="D578" s="17">
        <f>Github!G$577</f>
        <v>181</v>
      </c>
      <c r="E578" s="17">
        <f>Github!F$577+Github!G$577</f>
        <v>1619</v>
      </c>
      <c r="F578" s="18">
        <f t="shared" si="1"/>
        <v>7.94</v>
      </c>
      <c r="G578" s="17" t="str">
        <f>Github!H$577</f>
        <v>Algorithms</v>
      </c>
      <c r="H578" s="17" t="str">
        <f>Github!E$577</f>
        <v>Medium</v>
      </c>
      <c r="I578" s="17" t="str">
        <f>IF(TRIM(Github!D$577)="TRUE","FALSE","TRUE")</f>
        <v>TRUE</v>
      </c>
      <c r="J578" s="17"/>
      <c r="K578" s="17" t="str">
        <f>Github!L$577</f>
        <v>Dynamic Programming;</v>
      </c>
      <c r="L578" s="17" t="b">
        <f>Github!M$577</f>
        <v>1</v>
      </c>
      <c r="M578" s="17" t="str">
        <f>ROUND(Github!N$577, 2)&amp;"%"</f>
        <v>0%</v>
      </c>
      <c r="N578" s="17">
        <f>Github!O$577</f>
        <v>39.98728707</v>
      </c>
      <c r="O578" s="17">
        <f>Github!P$577</f>
        <v>62279</v>
      </c>
    </row>
    <row r="579">
      <c r="A579" s="17">
        <f>Github!J$578</f>
        <v>577</v>
      </c>
      <c r="B579" s="27" t="str">
        <f>HYPERLINK(CONCAT("http://leetcode.com/problems/",Github!C$578), Github!B$578)</f>
        <v>Employee Bonus</v>
      </c>
      <c r="C579" s="17">
        <f>Github!F$578</f>
        <v>152</v>
      </c>
      <c r="D579" s="17">
        <f>Github!G$578</f>
        <v>87</v>
      </c>
      <c r="E579" s="17">
        <f>Github!F$578+Github!G$578</f>
        <v>239</v>
      </c>
      <c r="F579" s="18">
        <f t="shared" si="1"/>
        <v>1.75</v>
      </c>
      <c r="G579" s="17" t="str">
        <f>Github!H$578</f>
        <v>Database</v>
      </c>
      <c r="H579" s="17" t="str">
        <f>Github!E$578</f>
        <v>Easy</v>
      </c>
      <c r="I579" s="17" t="str">
        <f>IF(TRIM(Github!D$578)="TRUE","FALSE","TRUE")</f>
        <v>FALSE</v>
      </c>
      <c r="J579" s="17"/>
      <c r="K579" s="17" t="str">
        <f>Github!L$578</f>
        <v>Database;</v>
      </c>
      <c r="L579" s="17" t="b">
        <f>Github!M$578</f>
        <v>1</v>
      </c>
      <c r="M579" s="17" t="str">
        <f>ROUND(Github!N$578, 2)&amp;"%"</f>
        <v>0%</v>
      </c>
      <c r="N579" s="17">
        <f>Github!O$578</f>
        <v>74.73677178</v>
      </c>
      <c r="O579" s="17">
        <f>Github!P$578</f>
        <v>55933</v>
      </c>
    </row>
    <row r="580">
      <c r="A580" s="17">
        <f>Github!J$579</f>
        <v>578</v>
      </c>
      <c r="B580" s="27" t="str">
        <f>HYPERLINK(CONCAT("http://leetcode.com/problems/",Github!C$579), Github!B$579)</f>
        <v>Get Highest Answer Rate Question</v>
      </c>
      <c r="C580" s="17">
        <f>Github!F$579</f>
        <v>83</v>
      </c>
      <c r="D580" s="17">
        <f>Github!G$579</f>
        <v>788</v>
      </c>
      <c r="E580" s="17">
        <f>Github!F$579+Github!G$579</f>
        <v>871</v>
      </c>
      <c r="F580" s="18">
        <f t="shared" si="1"/>
        <v>0.11</v>
      </c>
      <c r="G580" s="17" t="str">
        <f>Github!H$579</f>
        <v>Database</v>
      </c>
      <c r="H580" s="17" t="str">
        <f>Github!E$579</f>
        <v>Medium</v>
      </c>
      <c r="I580" s="17" t="str">
        <f>IF(TRIM(Github!D$579)="TRUE","FALSE","TRUE")</f>
        <v>FALSE</v>
      </c>
      <c r="J580" s="17"/>
      <c r="K580" s="17" t="str">
        <f>Github!L$579</f>
        <v>Database;</v>
      </c>
      <c r="L580" s="17" t="b">
        <f>Github!M$579</f>
        <v>0</v>
      </c>
      <c r="M580" s="17" t="str">
        <f>ROUND(Github!N$579, 2)&amp;"%"</f>
        <v>0%</v>
      </c>
      <c r="N580" s="17">
        <f>Github!O$579</f>
        <v>42.99893855</v>
      </c>
      <c r="O580" s="17">
        <f>Github!P$579</f>
        <v>38079</v>
      </c>
    </row>
    <row r="581">
      <c r="A581" s="17">
        <f>Github!J$580</f>
        <v>579</v>
      </c>
      <c r="B581" s="27" t="str">
        <f>HYPERLINK(CONCAT("http://leetcode.com/problems/",Github!C$580), Github!B$580)</f>
        <v>Find Cumulative Salary of an Employee</v>
      </c>
      <c r="C581" s="17">
        <f>Github!F$580</f>
        <v>170</v>
      </c>
      <c r="D581" s="17">
        <f>Github!G$580</f>
        <v>371</v>
      </c>
      <c r="E581" s="17">
        <f>Github!F$580+Github!G$580</f>
        <v>541</v>
      </c>
      <c r="F581" s="18">
        <f t="shared" si="1"/>
        <v>0.46</v>
      </c>
      <c r="G581" s="17" t="str">
        <f>Github!H$580</f>
        <v>Database</v>
      </c>
      <c r="H581" s="17" t="str">
        <f>Github!E$580</f>
        <v>Hard</v>
      </c>
      <c r="I581" s="17" t="str">
        <f>IF(TRIM(Github!D$580)="TRUE","FALSE","TRUE")</f>
        <v>FALSE</v>
      </c>
      <c r="J581" s="17"/>
      <c r="K581" s="17" t="str">
        <f>Github!L$580</f>
        <v>Database;</v>
      </c>
      <c r="L581" s="17" t="b">
        <f>Github!M$580</f>
        <v>1</v>
      </c>
      <c r="M581" s="17" t="str">
        <f>ROUND(Github!N$580, 2)&amp;"%"</f>
        <v>0%</v>
      </c>
      <c r="N581" s="17">
        <f>Github!O$580</f>
        <v>42.21784599</v>
      </c>
      <c r="O581" s="17">
        <f>Github!P$580</f>
        <v>24868</v>
      </c>
    </row>
    <row r="582">
      <c r="A582" s="17">
        <f>Github!J$581</f>
        <v>580</v>
      </c>
      <c r="B582" s="27" t="str">
        <f>HYPERLINK(CONCAT("http://leetcode.com/problems/",Github!C$581), Github!B$581)</f>
        <v>Count Student Number in Departments</v>
      </c>
      <c r="C582" s="17">
        <f>Github!F$581</f>
        <v>177</v>
      </c>
      <c r="D582" s="17">
        <f>Github!G$581</f>
        <v>29</v>
      </c>
      <c r="E582" s="17">
        <f>Github!F$581+Github!G$581</f>
        <v>206</v>
      </c>
      <c r="F582" s="18">
        <f t="shared" si="1"/>
        <v>6.1</v>
      </c>
      <c r="G582" s="17" t="str">
        <f>Github!H$581</f>
        <v>Database</v>
      </c>
      <c r="H582" s="17" t="str">
        <f>Github!E$581</f>
        <v>Medium</v>
      </c>
      <c r="I582" s="17" t="str">
        <f>IF(TRIM(Github!D$581)="TRUE","FALSE","TRUE")</f>
        <v>FALSE</v>
      </c>
      <c r="J582" s="17"/>
      <c r="K582" s="17" t="str">
        <f>Github!L$581</f>
        <v>Database;</v>
      </c>
      <c r="L582" s="17" t="b">
        <f>Github!M$581</f>
        <v>1</v>
      </c>
      <c r="M582" s="17" t="str">
        <f>ROUND(Github!N$581, 2)&amp;"%"</f>
        <v>0%</v>
      </c>
      <c r="N582" s="17">
        <f>Github!O$581</f>
        <v>56.20030203</v>
      </c>
      <c r="O582" s="17">
        <f>Github!P$581</f>
        <v>42053</v>
      </c>
    </row>
    <row r="583">
      <c r="A583" s="17">
        <f>Github!J$582</f>
        <v>581</v>
      </c>
      <c r="B583" s="27" t="str">
        <f>HYPERLINK(CONCAT("http://leetcode.com/problems/",Github!C$582), Github!B$582)</f>
        <v>Shortest Unsorted Continuous Subarray</v>
      </c>
      <c r="C583" s="17">
        <f>Github!F$582</f>
        <v>4841</v>
      </c>
      <c r="D583" s="17">
        <f>Github!G$582</f>
        <v>200</v>
      </c>
      <c r="E583" s="17">
        <f>Github!F$582+Github!G$582</f>
        <v>5041</v>
      </c>
      <c r="F583" s="18">
        <f t="shared" si="1"/>
        <v>24.21</v>
      </c>
      <c r="G583" s="17" t="str">
        <f>Github!H$582</f>
        <v>Algorithms</v>
      </c>
      <c r="H583" s="17" t="str">
        <f>Github!E$582</f>
        <v>Medium</v>
      </c>
      <c r="I583" s="17" t="str">
        <f>IF(TRIM(Github!D$582)="TRUE","FALSE","TRUE")</f>
        <v>TRUE</v>
      </c>
      <c r="J583" s="17"/>
      <c r="K583" s="17" t="str">
        <f>Github!L$582</f>
        <v>Array;Two Pointers;Stack;Greedy;Sorting;Monotonic Stack;</v>
      </c>
      <c r="L583" s="17" t="b">
        <f>Github!M$582</f>
        <v>1</v>
      </c>
      <c r="M583" s="17" t="str">
        <f>ROUND(Github!N$582, 2)&amp;"%"</f>
        <v>0%</v>
      </c>
      <c r="N583" s="17">
        <f>Github!O$582</f>
        <v>34.06953287</v>
      </c>
      <c r="O583" s="17">
        <f>Github!P$582</f>
        <v>212121</v>
      </c>
    </row>
    <row r="584">
      <c r="A584" s="17">
        <f>Github!J$583</f>
        <v>582</v>
      </c>
      <c r="B584" s="27" t="str">
        <f>HYPERLINK(CONCAT("http://leetcode.com/problems/",Github!C$583), Github!B$583)</f>
        <v>Kill Process</v>
      </c>
      <c r="C584" s="17">
        <f>Github!F$583</f>
        <v>863</v>
      </c>
      <c r="D584" s="17">
        <f>Github!G$583</f>
        <v>17</v>
      </c>
      <c r="E584" s="17">
        <f>Github!F$583+Github!G$583</f>
        <v>880</v>
      </c>
      <c r="F584" s="18">
        <f t="shared" si="1"/>
        <v>50.76</v>
      </c>
      <c r="G584" s="17" t="str">
        <f>Github!H$583</f>
        <v>Algorithms</v>
      </c>
      <c r="H584" s="17" t="str">
        <f>Github!E$583</f>
        <v>Medium</v>
      </c>
      <c r="I584" s="17" t="str">
        <f>IF(TRIM(Github!D$583)="TRUE","FALSE","TRUE")</f>
        <v>FALSE</v>
      </c>
      <c r="J584" s="17"/>
      <c r="K584" s="17" t="str">
        <f>Github!L$583</f>
        <v>Array;Hash Table;Tree;Depth-First Search;Breadth-First Search;</v>
      </c>
      <c r="L584" s="17" t="b">
        <f>Github!M$583</f>
        <v>1</v>
      </c>
      <c r="M584" s="17" t="str">
        <f>ROUND(Github!N$583, 2)&amp;"%"</f>
        <v>1%</v>
      </c>
      <c r="N584" s="17">
        <f>Github!O$583</f>
        <v>66.53444456</v>
      </c>
      <c r="O584" s="17">
        <f>Github!P$583</f>
        <v>63068</v>
      </c>
    </row>
    <row r="585">
      <c r="A585" s="17">
        <f>Github!J$584</f>
        <v>583</v>
      </c>
      <c r="B585" s="27" t="str">
        <f>HYPERLINK(CONCAT("http://leetcode.com/problems/",Github!C$584), Github!B$584)</f>
        <v>Delete Operation for Two Strings</v>
      </c>
      <c r="C585" s="17">
        <f>Github!F$584</f>
        <v>2615</v>
      </c>
      <c r="D585" s="17">
        <f>Github!G$584</f>
        <v>42</v>
      </c>
      <c r="E585" s="17">
        <f>Github!F$584+Github!G$584</f>
        <v>2657</v>
      </c>
      <c r="F585" s="18">
        <f t="shared" si="1"/>
        <v>62.26</v>
      </c>
      <c r="G585" s="17" t="str">
        <f>Github!H$584</f>
        <v>Algorithms</v>
      </c>
      <c r="H585" s="17" t="str">
        <f>Github!E$584</f>
        <v>Medium</v>
      </c>
      <c r="I585" s="17" t="str">
        <f>IF(TRIM(Github!D$584)="TRUE","FALSE","TRUE")</f>
        <v>TRUE</v>
      </c>
      <c r="J585" s="17"/>
      <c r="K585" s="17" t="str">
        <f>Github!L$584</f>
        <v>String;Dynamic Programming;</v>
      </c>
      <c r="L585" s="17" t="b">
        <f>Github!M$584</f>
        <v>1</v>
      </c>
      <c r="M585" s="17" t="str">
        <f>ROUND(Github!N$584, 2)&amp;"%"</f>
        <v>0%</v>
      </c>
      <c r="N585" s="17">
        <f>Github!O$584</f>
        <v>55.30022389</v>
      </c>
      <c r="O585" s="17">
        <f>Github!P$584</f>
        <v>109421</v>
      </c>
    </row>
    <row r="586">
      <c r="A586" s="17">
        <f>Github!J$585</f>
        <v>584</v>
      </c>
      <c r="B586" s="27" t="str">
        <f>HYPERLINK(CONCAT("http://leetcode.com/problems/",Github!C$585), Github!B$585)</f>
        <v>Find Customer Referee</v>
      </c>
      <c r="C586" s="17">
        <f>Github!F$585</f>
        <v>138</v>
      </c>
      <c r="D586" s="17">
        <f>Github!G$585</f>
        <v>80</v>
      </c>
      <c r="E586" s="17">
        <f>Github!F$585+Github!G$585</f>
        <v>218</v>
      </c>
      <c r="F586" s="18">
        <f t="shared" si="1"/>
        <v>1.73</v>
      </c>
      <c r="G586" s="17" t="str">
        <f>Github!H$585</f>
        <v>Database</v>
      </c>
      <c r="H586" s="17" t="str">
        <f>Github!E$585</f>
        <v>Easy</v>
      </c>
      <c r="I586" s="17" t="str">
        <f>IF(TRIM(Github!D$585)="TRUE","FALSE","TRUE")</f>
        <v>FALSE</v>
      </c>
      <c r="J586" s="17"/>
      <c r="K586" s="17" t="str">
        <f>Github!L$585</f>
        <v>Database;</v>
      </c>
      <c r="L586" s="17" t="b">
        <f>Github!M$585</f>
        <v>1</v>
      </c>
      <c r="M586" s="17" t="str">
        <f>ROUND(Github!N$585, 2)&amp;"%"</f>
        <v>0%</v>
      </c>
      <c r="N586" s="17">
        <f>Github!O$585</f>
        <v>76.36377532</v>
      </c>
      <c r="O586" s="17">
        <f>Github!P$585</f>
        <v>49961</v>
      </c>
    </row>
    <row r="587">
      <c r="A587" s="17">
        <f>Github!J$586</f>
        <v>585</v>
      </c>
      <c r="B587" s="27" t="str">
        <f>HYPERLINK(CONCAT("http://leetcode.com/problems/",Github!C$586), Github!B$586)</f>
        <v>Investments in 2016</v>
      </c>
      <c r="C587" s="17">
        <f>Github!F$586</f>
        <v>188</v>
      </c>
      <c r="D587" s="17">
        <f>Github!G$586</f>
        <v>189</v>
      </c>
      <c r="E587" s="17">
        <f>Github!F$586+Github!G$586</f>
        <v>377</v>
      </c>
      <c r="F587" s="18">
        <f t="shared" si="1"/>
        <v>0.99</v>
      </c>
      <c r="G587" s="17" t="str">
        <f>Github!H$586</f>
        <v>Database</v>
      </c>
      <c r="H587" s="17" t="str">
        <f>Github!E$586</f>
        <v>Medium</v>
      </c>
      <c r="I587" s="17" t="str">
        <f>IF(TRIM(Github!D$586)="TRUE","FALSE","TRUE")</f>
        <v>FALSE</v>
      </c>
      <c r="J587" s="17"/>
      <c r="K587" s="17" t="str">
        <f>Github!L$586</f>
        <v>Database;</v>
      </c>
      <c r="L587" s="17" t="b">
        <f>Github!M$586</f>
        <v>1</v>
      </c>
      <c r="M587" s="17" t="str">
        <f>ROUND(Github!N$586, 2)&amp;"%"</f>
        <v>0%</v>
      </c>
      <c r="N587" s="17">
        <f>Github!O$586</f>
        <v>55.46593383</v>
      </c>
      <c r="O587" s="17">
        <f>Github!P$586</f>
        <v>31082</v>
      </c>
    </row>
    <row r="588">
      <c r="A588" s="17">
        <f>Github!J$587</f>
        <v>586</v>
      </c>
      <c r="B588" s="27" t="str">
        <f>HYPERLINK(CONCAT("http://leetcode.com/problems/",Github!C$587), Github!B$587)</f>
        <v>Customer Placing the Largest Number of Orders</v>
      </c>
      <c r="C588" s="17">
        <f>Github!F$587</f>
        <v>198</v>
      </c>
      <c r="D588" s="17">
        <f>Github!G$587</f>
        <v>16</v>
      </c>
      <c r="E588" s="17">
        <f>Github!F$587+Github!G$587</f>
        <v>214</v>
      </c>
      <c r="F588" s="18">
        <f t="shared" si="1"/>
        <v>12.38</v>
      </c>
      <c r="G588" s="17" t="str">
        <f>Github!H$587</f>
        <v>Database</v>
      </c>
      <c r="H588" s="17" t="str">
        <f>Github!E$587</f>
        <v>Easy</v>
      </c>
      <c r="I588" s="17" t="str">
        <f>IF(TRIM(Github!D$587)="TRUE","FALSE","TRUE")</f>
        <v>FALSE</v>
      </c>
      <c r="J588" s="17"/>
      <c r="K588" s="17" t="str">
        <f>Github!L$587</f>
        <v>Database;</v>
      </c>
      <c r="L588" s="17" t="b">
        <f>Github!M$587</f>
        <v>1</v>
      </c>
      <c r="M588" s="17" t="str">
        <f>ROUND(Github!N$587, 2)&amp;"%"</f>
        <v>0%</v>
      </c>
      <c r="N588" s="17">
        <f>Github!O$587</f>
        <v>74.92009324</v>
      </c>
      <c r="O588" s="17">
        <f>Github!P$587</f>
        <v>62350</v>
      </c>
    </row>
    <row r="589">
      <c r="A589" s="17">
        <f>Github!J$588</f>
        <v>587</v>
      </c>
      <c r="B589" s="27" t="str">
        <f>HYPERLINK(CONCAT("http://leetcode.com/problems/",Github!C$588), Github!B$588)</f>
        <v>Erect the Fence</v>
      </c>
      <c r="C589" s="17">
        <f>Github!F$588</f>
        <v>545</v>
      </c>
      <c r="D589" s="17">
        <f>Github!G$588</f>
        <v>337</v>
      </c>
      <c r="E589" s="17">
        <f>Github!F$588+Github!G$588</f>
        <v>882</v>
      </c>
      <c r="F589" s="18">
        <f t="shared" si="1"/>
        <v>1.62</v>
      </c>
      <c r="G589" s="17" t="str">
        <f>Github!H$588</f>
        <v>Algorithms</v>
      </c>
      <c r="H589" s="17" t="str">
        <f>Github!E$588</f>
        <v>Hard</v>
      </c>
      <c r="I589" s="17" t="str">
        <f>IF(TRIM(Github!D$588)="TRUE","FALSE","TRUE")</f>
        <v>TRUE</v>
      </c>
      <c r="J589" s="17"/>
      <c r="K589" s="17" t="str">
        <f>Github!L$588</f>
        <v>Array;Math;Geometry;</v>
      </c>
      <c r="L589" s="17" t="b">
        <f>Github!M$588</f>
        <v>1</v>
      </c>
      <c r="M589" s="17" t="str">
        <f>ROUND(Github!N$588, 2)&amp;"%"</f>
        <v>0%</v>
      </c>
      <c r="N589" s="17">
        <f>Github!O$588</f>
        <v>43.23860144</v>
      </c>
      <c r="O589" s="17">
        <f>Github!P$588</f>
        <v>23917</v>
      </c>
    </row>
    <row r="590">
      <c r="A590" s="17">
        <f>Github!J$589</f>
        <v>588</v>
      </c>
      <c r="B590" s="27" t="str">
        <f>HYPERLINK(CONCAT("http://leetcode.com/problems/",Github!C$589), Github!B$589)</f>
        <v>Design In-Memory File System</v>
      </c>
      <c r="C590" s="17">
        <f>Github!F$589</f>
        <v>977</v>
      </c>
      <c r="D590" s="17">
        <f>Github!G$589</f>
        <v>119</v>
      </c>
      <c r="E590" s="17">
        <f>Github!F$589+Github!G$589</f>
        <v>1096</v>
      </c>
      <c r="F590" s="18">
        <f t="shared" si="1"/>
        <v>8.21</v>
      </c>
      <c r="G590" s="17" t="str">
        <f>Github!H$589</f>
        <v>Algorithms</v>
      </c>
      <c r="H590" s="17" t="str">
        <f>Github!E$589</f>
        <v>Hard</v>
      </c>
      <c r="I590" s="17" t="str">
        <f>IF(TRIM(Github!D$589)="TRUE","FALSE","TRUE")</f>
        <v>FALSE</v>
      </c>
      <c r="J590" s="17"/>
      <c r="K590" s="17" t="str">
        <f>Github!L$589</f>
        <v>Hash Table;String;Design;Trie;</v>
      </c>
      <c r="L590" s="17" t="b">
        <f>Github!M$589</f>
        <v>1</v>
      </c>
      <c r="M590" s="17" t="str">
        <f>ROUND(Github!N$589, 2)&amp;"%"</f>
        <v>0%</v>
      </c>
      <c r="N590" s="17">
        <f>Github!O$589</f>
        <v>48.33734979</v>
      </c>
      <c r="O590" s="17">
        <f>Github!P$589</f>
        <v>58768</v>
      </c>
    </row>
    <row r="591">
      <c r="A591" s="17">
        <f>Github!J$590</f>
        <v>589</v>
      </c>
      <c r="B591" s="27" t="str">
        <f>HYPERLINK(CONCAT("http://leetcode.com/problems/",Github!C$590), Github!B$590)</f>
        <v>N-ary Tree Preorder Traversal</v>
      </c>
      <c r="C591" s="17">
        <f>Github!F$590</f>
        <v>1599</v>
      </c>
      <c r="D591" s="17">
        <f>Github!G$590</f>
        <v>77</v>
      </c>
      <c r="E591" s="17">
        <f>Github!F$590+Github!G$590</f>
        <v>1676</v>
      </c>
      <c r="F591" s="18">
        <f t="shared" si="1"/>
        <v>20.77</v>
      </c>
      <c r="G591" s="17" t="str">
        <f>Github!H$590</f>
        <v>Algorithms</v>
      </c>
      <c r="H591" s="17" t="str">
        <f>Github!E$590</f>
        <v>Easy</v>
      </c>
      <c r="I591" s="17" t="str">
        <f>IF(TRIM(Github!D$590)="TRUE","FALSE","TRUE")</f>
        <v>TRUE</v>
      </c>
      <c r="J591" s="17"/>
      <c r="K591" s="17" t="str">
        <f>Github!L$590</f>
        <v>Stack;Tree;Depth-First Search;</v>
      </c>
      <c r="L591" s="17" t="b">
        <f>Github!M$590</f>
        <v>1</v>
      </c>
      <c r="M591" s="17" t="str">
        <f>ROUND(Github!N$590, 2)&amp;"%"</f>
        <v>0%</v>
      </c>
      <c r="N591" s="17">
        <f>Github!O$590</f>
        <v>75.87711538</v>
      </c>
      <c r="O591" s="17">
        <f>Github!P$590</f>
        <v>214403</v>
      </c>
    </row>
    <row r="592">
      <c r="A592" s="17">
        <f>Github!J$591</f>
        <v>590</v>
      </c>
      <c r="B592" s="27" t="str">
        <f>HYPERLINK(CONCAT("http://leetcode.com/problems/",Github!C$591), Github!B$591)</f>
        <v>N-ary Tree Postorder Traversal</v>
      </c>
      <c r="C592" s="17">
        <f>Github!F$591</f>
        <v>1501</v>
      </c>
      <c r="D592" s="17">
        <f>Github!G$591</f>
        <v>79</v>
      </c>
      <c r="E592" s="17">
        <f>Github!F$591+Github!G$591</f>
        <v>1580</v>
      </c>
      <c r="F592" s="18">
        <f t="shared" si="1"/>
        <v>19</v>
      </c>
      <c r="G592" s="17" t="str">
        <f>Github!H$591</f>
        <v>Algorithms</v>
      </c>
      <c r="H592" s="17" t="str">
        <f>Github!E$591</f>
        <v>Easy</v>
      </c>
      <c r="I592" s="17" t="str">
        <f>IF(TRIM(Github!D$591)="TRUE","FALSE","TRUE")</f>
        <v>TRUE</v>
      </c>
      <c r="J592" s="17"/>
      <c r="K592" s="17" t="str">
        <f>Github!L$591</f>
        <v>Stack;Tree;Depth-First Search;</v>
      </c>
      <c r="L592" s="17" t="b">
        <f>Github!M$591</f>
        <v>1</v>
      </c>
      <c r="M592" s="17" t="str">
        <f>ROUND(Github!N$591, 2)&amp;"%"</f>
        <v>0%</v>
      </c>
      <c r="N592" s="17">
        <f>Github!O$591</f>
        <v>75.91132962</v>
      </c>
      <c r="O592" s="17">
        <f>Github!P$591</f>
        <v>173547</v>
      </c>
    </row>
    <row r="593">
      <c r="A593" s="17">
        <f>Github!J$592</f>
        <v>591</v>
      </c>
      <c r="B593" s="27" t="str">
        <f>HYPERLINK(CONCAT("http://leetcode.com/problems/",Github!C$592), Github!B$592)</f>
        <v>Tag Validator</v>
      </c>
      <c r="C593" s="17">
        <f>Github!F$592</f>
        <v>130</v>
      </c>
      <c r="D593" s="17">
        <f>Github!G$592</f>
        <v>551</v>
      </c>
      <c r="E593" s="17">
        <f>Github!F$592+Github!G$592</f>
        <v>681</v>
      </c>
      <c r="F593" s="18">
        <f t="shared" si="1"/>
        <v>0.24</v>
      </c>
      <c r="G593" s="17" t="str">
        <f>Github!H$592</f>
        <v>Algorithms</v>
      </c>
      <c r="H593" s="17" t="str">
        <f>Github!E$592</f>
        <v>Hard</v>
      </c>
      <c r="I593" s="17" t="str">
        <f>IF(TRIM(Github!D$592)="TRUE","FALSE","TRUE")</f>
        <v>TRUE</v>
      </c>
      <c r="J593" s="17"/>
      <c r="K593" s="17" t="str">
        <f>Github!L$592</f>
        <v>String;Stack;</v>
      </c>
      <c r="L593" s="17" t="b">
        <f>Github!M$592</f>
        <v>1</v>
      </c>
      <c r="M593" s="17" t="str">
        <f>ROUND(Github!N$592, 2)&amp;"%"</f>
        <v>0%</v>
      </c>
      <c r="N593" s="17">
        <f>Github!O$592</f>
        <v>36.18186067</v>
      </c>
      <c r="O593" s="17">
        <f>Github!P$592</f>
        <v>10839</v>
      </c>
    </row>
    <row r="594">
      <c r="A594" s="17">
        <f>Github!J$593</f>
        <v>592</v>
      </c>
      <c r="B594" s="27" t="str">
        <f>HYPERLINK(CONCAT("http://leetcode.com/problems/",Github!C$593), Github!B$593)</f>
        <v>Fraction Addition and Subtraction</v>
      </c>
      <c r="C594" s="17">
        <f>Github!F$593</f>
        <v>295</v>
      </c>
      <c r="D594" s="17">
        <f>Github!G$593</f>
        <v>428</v>
      </c>
      <c r="E594" s="17">
        <f>Github!F$593+Github!G$593</f>
        <v>723</v>
      </c>
      <c r="F594" s="18">
        <f t="shared" si="1"/>
        <v>0.69</v>
      </c>
      <c r="G594" s="17" t="str">
        <f>Github!H$593</f>
        <v>Algorithms</v>
      </c>
      <c r="H594" s="17" t="str">
        <f>Github!E$593</f>
        <v>Medium</v>
      </c>
      <c r="I594" s="17" t="str">
        <f>IF(TRIM(Github!D$593)="TRUE","FALSE","TRUE")</f>
        <v>TRUE</v>
      </c>
      <c r="J594" s="17"/>
      <c r="K594" s="17" t="str">
        <f>Github!L$593</f>
        <v>Math;String;Simulation;</v>
      </c>
      <c r="L594" s="17" t="b">
        <f>Github!M$593</f>
        <v>1</v>
      </c>
      <c r="M594" s="17" t="str">
        <f>ROUND(Github!N$593, 2)&amp;"%"</f>
        <v>0%</v>
      </c>
      <c r="N594" s="17">
        <f>Github!O$593</f>
        <v>51.60571408</v>
      </c>
      <c r="O594" s="17">
        <f>Github!P$593</f>
        <v>28250</v>
      </c>
    </row>
    <row r="595">
      <c r="A595" s="17">
        <f>Github!J$594</f>
        <v>593</v>
      </c>
      <c r="B595" s="27" t="str">
        <f>HYPERLINK(CONCAT("http://leetcode.com/problems/",Github!C$594), Github!B$594)</f>
        <v>Valid Square</v>
      </c>
      <c r="C595" s="17">
        <f>Github!F$594</f>
        <v>664</v>
      </c>
      <c r="D595" s="17">
        <f>Github!G$594</f>
        <v>736</v>
      </c>
      <c r="E595" s="17">
        <f>Github!F$594+Github!G$594</f>
        <v>1400</v>
      </c>
      <c r="F595" s="18">
        <f t="shared" si="1"/>
        <v>0.9</v>
      </c>
      <c r="G595" s="17" t="str">
        <f>Github!H$594</f>
        <v>Algorithms</v>
      </c>
      <c r="H595" s="17" t="str">
        <f>Github!E$594</f>
        <v>Medium</v>
      </c>
      <c r="I595" s="17" t="str">
        <f>IF(TRIM(Github!D$594)="TRUE","FALSE","TRUE")</f>
        <v>TRUE</v>
      </c>
      <c r="J595" s="17"/>
      <c r="K595" s="17" t="str">
        <f>Github!L$594</f>
        <v>Math;Geometry;</v>
      </c>
      <c r="L595" s="17" t="b">
        <f>Github!M$594</f>
        <v>1</v>
      </c>
      <c r="M595" s="17" t="str">
        <f>ROUND(Github!N$594, 2)&amp;"%"</f>
        <v>0%</v>
      </c>
      <c r="N595" s="17">
        <f>Github!O$594</f>
        <v>43.79362605</v>
      </c>
      <c r="O595" s="17">
        <f>Github!P$594</f>
        <v>80621</v>
      </c>
    </row>
    <row r="596">
      <c r="A596" s="17">
        <f>Github!J$595</f>
        <v>594</v>
      </c>
      <c r="B596" s="27" t="str">
        <f>HYPERLINK(CONCAT("http://leetcode.com/problems/",Github!C$595), Github!B$595)</f>
        <v>Longest Harmonious Subsequence</v>
      </c>
      <c r="C596" s="17">
        <f>Github!F$595</f>
        <v>1496</v>
      </c>
      <c r="D596" s="17">
        <f>Github!G$595</f>
        <v>147</v>
      </c>
      <c r="E596" s="17">
        <f>Github!F$595+Github!G$595</f>
        <v>1643</v>
      </c>
      <c r="F596" s="18">
        <f t="shared" si="1"/>
        <v>10.18</v>
      </c>
      <c r="G596" s="17" t="str">
        <f>Github!H$595</f>
        <v>Algorithms</v>
      </c>
      <c r="H596" s="17" t="str">
        <f>Github!E$595</f>
        <v>Easy</v>
      </c>
      <c r="I596" s="17" t="str">
        <f>IF(TRIM(Github!D$595)="TRUE","FALSE","TRUE")</f>
        <v>TRUE</v>
      </c>
      <c r="J596" s="17"/>
      <c r="K596" s="17" t="str">
        <f>Github!L$595</f>
        <v>Array;Hash Table;Sorting;</v>
      </c>
      <c r="L596" s="17" t="b">
        <f>Github!M$595</f>
        <v>1</v>
      </c>
      <c r="M596" s="17" t="str">
        <f>ROUND(Github!N$595, 2)&amp;"%"</f>
        <v>0%</v>
      </c>
      <c r="N596" s="17">
        <f>Github!O$595</f>
        <v>52.53293867</v>
      </c>
      <c r="O596" s="17">
        <f>Github!P$595</f>
        <v>112877</v>
      </c>
    </row>
    <row r="597">
      <c r="A597" s="17">
        <f>Github!J$596</f>
        <v>595</v>
      </c>
      <c r="B597" s="27" t="str">
        <f>HYPERLINK(CONCAT("http://leetcode.com/problems/",Github!C$596), Github!B$596)</f>
        <v>Big Countries</v>
      </c>
      <c r="C597" s="17">
        <f>Github!F$596</f>
        <v>700</v>
      </c>
      <c r="D597" s="17">
        <f>Github!G$596</f>
        <v>863</v>
      </c>
      <c r="E597" s="17">
        <f>Github!F$596+Github!G$596</f>
        <v>1563</v>
      </c>
      <c r="F597" s="18">
        <f t="shared" si="1"/>
        <v>0.81</v>
      </c>
      <c r="G597" s="17" t="str">
        <f>Github!H$596</f>
        <v>Database</v>
      </c>
      <c r="H597" s="17" t="str">
        <f>Github!E$596</f>
        <v>Easy</v>
      </c>
      <c r="I597" s="17" t="str">
        <f>IF(TRIM(Github!D$596)="TRUE","FALSE","TRUE")</f>
        <v>TRUE</v>
      </c>
      <c r="J597" s="17"/>
      <c r="K597" s="17" t="str">
        <f>Github!L$596</f>
        <v>Database;</v>
      </c>
      <c r="L597" s="17" t="b">
        <f>Github!M$596</f>
        <v>1</v>
      </c>
      <c r="M597" s="17" t="str">
        <f>ROUND(Github!N$596, 2)&amp;"%"</f>
        <v>0%</v>
      </c>
      <c r="N597" s="17">
        <f>Github!O$596</f>
        <v>78.03273992</v>
      </c>
      <c r="O597" s="17">
        <f>Github!P$596</f>
        <v>261508</v>
      </c>
    </row>
    <row r="598">
      <c r="A598" s="17">
        <f>Github!J$597</f>
        <v>596</v>
      </c>
      <c r="B598" s="27" t="str">
        <f>HYPERLINK(CONCAT("http://leetcode.com/problems/",Github!C$597), Github!B$597)</f>
        <v>Classes More Than 5 Students</v>
      </c>
      <c r="C598" s="17">
        <f>Github!F$597</f>
        <v>407</v>
      </c>
      <c r="D598" s="17">
        <f>Github!G$597</f>
        <v>900</v>
      </c>
      <c r="E598" s="17">
        <f>Github!F$597+Github!G$597</f>
        <v>1307</v>
      </c>
      <c r="F598" s="18">
        <f t="shared" si="1"/>
        <v>0.45</v>
      </c>
      <c r="G598" s="17" t="str">
        <f>Github!H$597</f>
        <v>Database</v>
      </c>
      <c r="H598" s="17" t="str">
        <f>Github!E$597</f>
        <v>Easy</v>
      </c>
      <c r="I598" s="17" t="str">
        <f>IF(TRIM(Github!D$597)="TRUE","FALSE","TRUE")</f>
        <v>TRUE</v>
      </c>
      <c r="J598" s="17"/>
      <c r="K598" s="17" t="str">
        <f>Github!L$597</f>
        <v>Database;</v>
      </c>
      <c r="L598" s="17" t="b">
        <f>Github!M$597</f>
        <v>1</v>
      </c>
      <c r="M598" s="17" t="str">
        <f>ROUND(Github!N$597, 2)&amp;"%"</f>
        <v>0%</v>
      </c>
      <c r="N598" s="17">
        <f>Github!O$597</f>
        <v>41.72817232</v>
      </c>
      <c r="O598" s="17">
        <f>Github!P$597</f>
        <v>150332</v>
      </c>
    </row>
    <row r="599">
      <c r="A599" s="17">
        <f>Github!J$598</f>
        <v>597</v>
      </c>
      <c r="B599" s="27" t="str">
        <f>HYPERLINK(CONCAT("http://leetcode.com/problems/",Github!C$598), Github!B$598)</f>
        <v>Friend Requests I: Overall Acceptance Rate</v>
      </c>
      <c r="C599" s="17">
        <f>Github!F$598</f>
        <v>228</v>
      </c>
      <c r="D599" s="17">
        <f>Github!G$598</f>
        <v>563</v>
      </c>
      <c r="E599" s="17">
        <f>Github!F$598+Github!G$598</f>
        <v>791</v>
      </c>
      <c r="F599" s="18">
        <f t="shared" si="1"/>
        <v>0.4</v>
      </c>
      <c r="G599" s="17" t="str">
        <f>Github!H$598</f>
        <v>Database</v>
      </c>
      <c r="H599" s="17" t="str">
        <f>Github!E$598</f>
        <v>Easy</v>
      </c>
      <c r="I599" s="17" t="str">
        <f>IF(TRIM(Github!D$598)="TRUE","FALSE","TRUE")</f>
        <v>FALSE</v>
      </c>
      <c r="J599" s="17"/>
      <c r="K599" s="17" t="str">
        <f>Github!L$598</f>
        <v>Database;</v>
      </c>
      <c r="L599" s="17" t="b">
        <f>Github!M$598</f>
        <v>1</v>
      </c>
      <c r="M599" s="17" t="str">
        <f>ROUND(Github!N$598, 2)&amp;"%"</f>
        <v>0%</v>
      </c>
      <c r="N599" s="17">
        <f>Github!O$598</f>
        <v>42.61109782</v>
      </c>
      <c r="O599" s="17">
        <f>Github!P$598</f>
        <v>55221</v>
      </c>
    </row>
    <row r="600">
      <c r="A600" s="17">
        <f>Github!J$599</f>
        <v>598</v>
      </c>
      <c r="B600" s="27" t="str">
        <f>HYPERLINK(CONCAT("http://leetcode.com/problems/",Github!C$599), Github!B$599)</f>
        <v>Range Addition II</v>
      </c>
      <c r="C600" s="17">
        <f>Github!F$599</f>
        <v>628</v>
      </c>
      <c r="D600" s="17">
        <f>Github!G$599</f>
        <v>793</v>
      </c>
      <c r="E600" s="17">
        <f>Github!F$599+Github!G$599</f>
        <v>1421</v>
      </c>
      <c r="F600" s="18">
        <f t="shared" si="1"/>
        <v>0.79</v>
      </c>
      <c r="G600" s="17" t="str">
        <f>Github!H$599</f>
        <v>Algorithms</v>
      </c>
      <c r="H600" s="17" t="str">
        <f>Github!E$599</f>
        <v>Easy</v>
      </c>
      <c r="I600" s="17" t="str">
        <f>IF(TRIM(Github!D$599)="TRUE","FALSE","TRUE")</f>
        <v>TRUE</v>
      </c>
      <c r="J600" s="17"/>
      <c r="K600" s="17" t="str">
        <f>Github!L$599</f>
        <v>Array;Math;</v>
      </c>
      <c r="L600" s="17" t="b">
        <f>Github!M$599</f>
        <v>1</v>
      </c>
      <c r="M600" s="17" t="str">
        <f>ROUND(Github!N$599, 2)&amp;"%"</f>
        <v>0%</v>
      </c>
      <c r="N600" s="17">
        <f>Github!O$599</f>
        <v>54.58899101</v>
      </c>
      <c r="O600" s="17">
        <f>Github!P$599</f>
        <v>76144</v>
      </c>
    </row>
    <row r="601">
      <c r="A601" s="17">
        <f>Github!J$600</f>
        <v>599</v>
      </c>
      <c r="B601" s="27" t="str">
        <f>HYPERLINK(CONCAT("http://leetcode.com/problems/",Github!C$600), Github!B$600)</f>
        <v>Minimum Index Sum of Two Lists</v>
      </c>
      <c r="C601" s="17">
        <f>Github!F$600</f>
        <v>1125</v>
      </c>
      <c r="D601" s="17">
        <f>Github!G$600</f>
        <v>317</v>
      </c>
      <c r="E601" s="17">
        <f>Github!F$600+Github!G$600</f>
        <v>1442</v>
      </c>
      <c r="F601" s="18">
        <f t="shared" si="1"/>
        <v>3.55</v>
      </c>
      <c r="G601" s="17" t="str">
        <f>Github!H$600</f>
        <v>Algorithms</v>
      </c>
      <c r="H601" s="17" t="str">
        <f>Github!E$600</f>
        <v>Easy</v>
      </c>
      <c r="I601" s="17" t="str">
        <f>IF(TRIM(Github!D$600)="TRUE","FALSE","TRUE")</f>
        <v>TRUE</v>
      </c>
      <c r="J601" s="17"/>
      <c r="K601" s="17" t="str">
        <f>Github!L$600</f>
        <v>Array;Hash Table;String;</v>
      </c>
      <c r="L601" s="17" t="b">
        <f>Github!M$600</f>
        <v>1</v>
      </c>
      <c r="M601" s="17" t="str">
        <f>ROUND(Github!N$600, 2)&amp;"%"</f>
        <v>0%</v>
      </c>
      <c r="N601" s="17">
        <f>Github!O$600</f>
        <v>52.84043979</v>
      </c>
      <c r="O601" s="17">
        <f>Github!P$600</f>
        <v>143939</v>
      </c>
    </row>
    <row r="602">
      <c r="A602" s="17">
        <f>Github!J$601</f>
        <v>600</v>
      </c>
      <c r="B602" s="27" t="str">
        <f>HYPERLINK(CONCAT("http://leetcode.com/problems/",Github!C$601), Github!B$601)</f>
        <v>Non-negative Integers without Consecutive Ones</v>
      </c>
      <c r="C602" s="17">
        <f>Github!F$601</f>
        <v>1037</v>
      </c>
      <c r="D602" s="17">
        <f>Github!G$601</f>
        <v>113</v>
      </c>
      <c r="E602" s="17">
        <f>Github!F$601+Github!G$601</f>
        <v>1150</v>
      </c>
      <c r="F602" s="18">
        <f t="shared" si="1"/>
        <v>9.18</v>
      </c>
      <c r="G602" s="17" t="str">
        <f>Github!H$601</f>
        <v>Algorithms</v>
      </c>
      <c r="H602" s="17" t="str">
        <f>Github!E$601</f>
        <v>Hard</v>
      </c>
      <c r="I602" s="17" t="str">
        <f>IF(TRIM(Github!D$601)="TRUE","FALSE","TRUE")</f>
        <v>TRUE</v>
      </c>
      <c r="J602" s="17"/>
      <c r="K602" s="17" t="str">
        <f>Github!L$601</f>
        <v>Dynamic Programming;</v>
      </c>
      <c r="L602" s="17" t="b">
        <f>Github!M$601</f>
        <v>1</v>
      </c>
      <c r="M602" s="17" t="str">
        <f>ROUND(Github!N$601, 2)&amp;"%"</f>
        <v>0%</v>
      </c>
      <c r="N602" s="17">
        <f>Github!O$601</f>
        <v>38.64558772</v>
      </c>
      <c r="O602" s="17">
        <f>Github!P$601</f>
        <v>29993</v>
      </c>
    </row>
    <row r="603">
      <c r="A603" s="17">
        <f>Github!J$602</f>
        <v>601</v>
      </c>
      <c r="B603" s="27" t="str">
        <f>HYPERLINK(CONCAT("http://leetcode.com/problems/",Github!C$602), Github!B$602)</f>
        <v>Human Traffic of Stadium</v>
      </c>
      <c r="C603" s="17">
        <f>Github!F$602</f>
        <v>328</v>
      </c>
      <c r="D603" s="17">
        <f>Github!G$602</f>
        <v>471</v>
      </c>
      <c r="E603" s="17">
        <f>Github!F$602+Github!G$602</f>
        <v>799</v>
      </c>
      <c r="F603" s="18">
        <f t="shared" si="1"/>
        <v>0.7</v>
      </c>
      <c r="G603" s="17" t="str">
        <f>Github!H$602</f>
        <v>Database</v>
      </c>
      <c r="H603" s="17" t="str">
        <f>Github!E$602</f>
        <v>Hard</v>
      </c>
      <c r="I603" s="17" t="str">
        <f>IF(TRIM(Github!D$602)="TRUE","FALSE","TRUE")</f>
        <v>TRUE</v>
      </c>
      <c r="J603" s="17"/>
      <c r="K603" s="17" t="str">
        <f>Github!L$602</f>
        <v>Database;</v>
      </c>
      <c r="L603" s="17" t="b">
        <f>Github!M$602</f>
        <v>1</v>
      </c>
      <c r="M603" s="17" t="str">
        <f>ROUND(Github!N$602, 2)&amp;"%"</f>
        <v>0%</v>
      </c>
      <c r="N603" s="17">
        <f>Github!O$602</f>
        <v>49.2660101</v>
      </c>
      <c r="O603" s="17">
        <f>Github!P$602</f>
        <v>58327</v>
      </c>
    </row>
    <row r="604">
      <c r="A604" s="17">
        <f>Github!J$603</f>
        <v>602</v>
      </c>
      <c r="B604" s="27" t="str">
        <f>HYPERLINK(CONCAT("http://leetcode.com/problems/",Github!C$603), Github!B$603)</f>
        <v>Friend Requests II: Who Has the Most Friends</v>
      </c>
      <c r="C604" s="17">
        <f>Github!F$603</f>
        <v>242</v>
      </c>
      <c r="D604" s="17">
        <f>Github!G$603</f>
        <v>70</v>
      </c>
      <c r="E604" s="17">
        <f>Github!F$603+Github!G$603</f>
        <v>312</v>
      </c>
      <c r="F604" s="18">
        <f t="shared" si="1"/>
        <v>3.46</v>
      </c>
      <c r="G604" s="17" t="str">
        <f>Github!H$603</f>
        <v>Database</v>
      </c>
      <c r="H604" s="17" t="str">
        <f>Github!E$603</f>
        <v>Medium</v>
      </c>
      <c r="I604" s="17" t="str">
        <f>IF(TRIM(Github!D$603)="TRUE","FALSE","TRUE")</f>
        <v>FALSE</v>
      </c>
      <c r="J604" s="17"/>
      <c r="K604" s="17" t="str">
        <f>Github!L$603</f>
        <v>Database;</v>
      </c>
      <c r="L604" s="17" t="b">
        <f>Github!M$603</f>
        <v>0</v>
      </c>
      <c r="M604" s="17" t="str">
        <f>ROUND(Github!N$603, 2)&amp;"%"</f>
        <v>0%</v>
      </c>
      <c r="N604" s="17">
        <f>Github!O$603</f>
        <v>60.51347419</v>
      </c>
      <c r="O604" s="17">
        <f>Github!P$603</f>
        <v>46999</v>
      </c>
    </row>
    <row r="605">
      <c r="A605" s="17">
        <f>Github!J$604</f>
        <v>603</v>
      </c>
      <c r="B605" s="27" t="str">
        <f>HYPERLINK(CONCAT("http://leetcode.com/problems/",Github!C$604), Github!B$604)</f>
        <v>Consecutive Available Seats</v>
      </c>
      <c r="C605" s="17">
        <f>Github!F$604</f>
        <v>441</v>
      </c>
      <c r="D605" s="17">
        <f>Github!G$604</f>
        <v>39</v>
      </c>
      <c r="E605" s="17">
        <f>Github!F$604+Github!G$604</f>
        <v>480</v>
      </c>
      <c r="F605" s="18">
        <f t="shared" si="1"/>
        <v>11.31</v>
      </c>
      <c r="G605" s="17" t="str">
        <f>Github!H$604</f>
        <v>Database</v>
      </c>
      <c r="H605" s="17" t="str">
        <f>Github!E$604</f>
        <v>Easy</v>
      </c>
      <c r="I605" s="17" t="str">
        <f>IF(TRIM(Github!D$604)="TRUE","FALSE","TRUE")</f>
        <v>FALSE</v>
      </c>
      <c r="J605" s="17"/>
      <c r="K605" s="17" t="str">
        <f>Github!L$604</f>
        <v>Database;</v>
      </c>
      <c r="L605" s="17" t="b">
        <f>Github!M$604</f>
        <v>1</v>
      </c>
      <c r="M605" s="17" t="str">
        <f>ROUND(Github!N$604, 2)&amp;"%"</f>
        <v>0%</v>
      </c>
      <c r="N605" s="17">
        <f>Github!O$604</f>
        <v>67.71614583</v>
      </c>
      <c r="O605" s="17">
        <f>Github!P$604</f>
        <v>52005</v>
      </c>
    </row>
    <row r="606">
      <c r="A606" s="17">
        <f>Github!J$605</f>
        <v>604</v>
      </c>
      <c r="B606" s="27" t="str">
        <f>HYPERLINK(CONCAT("http://leetcode.com/problems/",Github!C$605), Github!B$605)</f>
        <v>Design Compressed String Iterator</v>
      </c>
      <c r="C606" s="17">
        <f>Github!F$605</f>
        <v>350</v>
      </c>
      <c r="D606" s="17">
        <f>Github!G$605</f>
        <v>121</v>
      </c>
      <c r="E606" s="17">
        <f>Github!F$605+Github!G$605</f>
        <v>471</v>
      </c>
      <c r="F606" s="18">
        <f t="shared" si="1"/>
        <v>2.89</v>
      </c>
      <c r="G606" s="17" t="str">
        <f>Github!H$605</f>
        <v>Algorithms</v>
      </c>
      <c r="H606" s="17" t="str">
        <f>Github!E$605</f>
        <v>Easy</v>
      </c>
      <c r="I606" s="17" t="str">
        <f>IF(TRIM(Github!D$605)="TRUE","FALSE","TRUE")</f>
        <v>FALSE</v>
      </c>
      <c r="J606" s="17"/>
      <c r="K606" s="17" t="str">
        <f>Github!L$605</f>
        <v>Array;Hash Table;String;Design;Iterator;</v>
      </c>
      <c r="L606" s="17" t="b">
        <f>Github!M$605</f>
        <v>1</v>
      </c>
      <c r="M606" s="17" t="str">
        <f>ROUND(Github!N$605, 2)&amp;"%"</f>
        <v>0%</v>
      </c>
      <c r="N606" s="17">
        <f>Github!O$605</f>
        <v>38.97955156</v>
      </c>
      <c r="O606" s="17">
        <f>Github!P$605</f>
        <v>25677</v>
      </c>
    </row>
    <row r="607">
      <c r="A607" s="17">
        <f>Github!J$606</f>
        <v>605</v>
      </c>
      <c r="B607" s="27" t="str">
        <f>HYPERLINK(CONCAT("http://leetcode.com/problems/",Github!C$606), Github!B$606)</f>
        <v>Can Place Flowers</v>
      </c>
      <c r="C607" s="17">
        <f>Github!F$606</f>
        <v>2775</v>
      </c>
      <c r="D607" s="17">
        <f>Github!G$606</f>
        <v>629</v>
      </c>
      <c r="E607" s="17">
        <f>Github!F$606+Github!G$606</f>
        <v>3404</v>
      </c>
      <c r="F607" s="18">
        <f t="shared" si="1"/>
        <v>4.41</v>
      </c>
      <c r="G607" s="17" t="str">
        <f>Github!H$606</f>
        <v>Algorithms</v>
      </c>
      <c r="H607" s="17" t="str">
        <f>Github!E$606</f>
        <v>Easy</v>
      </c>
      <c r="I607" s="17" t="str">
        <f>IF(TRIM(Github!D$606)="TRUE","FALSE","TRUE")</f>
        <v>TRUE</v>
      </c>
      <c r="J607" s="17"/>
      <c r="K607" s="17" t="str">
        <f>Github!L$606</f>
        <v>Array;Greedy;</v>
      </c>
      <c r="L607" s="17" t="b">
        <f>Github!M$606</f>
        <v>1</v>
      </c>
      <c r="M607" s="17" t="str">
        <f>ROUND(Github!N$606, 2)&amp;"%"</f>
        <v>0%</v>
      </c>
      <c r="N607" s="17">
        <f>Github!O$606</f>
        <v>33.01280733</v>
      </c>
      <c r="O607" s="17">
        <f>Github!P$606</f>
        <v>280827</v>
      </c>
    </row>
    <row r="608">
      <c r="A608" s="17">
        <f>Github!J$607</f>
        <v>606</v>
      </c>
      <c r="B608" s="27" t="str">
        <f>HYPERLINK(CONCAT("http://leetcode.com/problems/",Github!C$607), Github!B$607)</f>
        <v>Construct String from Binary Tree</v>
      </c>
      <c r="C608" s="17">
        <f>Github!F$607</f>
        <v>1306</v>
      </c>
      <c r="D608" s="17">
        <f>Github!G$607</f>
        <v>1681</v>
      </c>
      <c r="E608" s="17">
        <f>Github!F$607+Github!G$607</f>
        <v>2987</v>
      </c>
      <c r="F608" s="18">
        <f t="shared" si="1"/>
        <v>0.78</v>
      </c>
      <c r="G608" s="17" t="str">
        <f>Github!H$607</f>
        <v>Algorithms</v>
      </c>
      <c r="H608" s="17" t="str">
        <f>Github!E$607</f>
        <v>Easy</v>
      </c>
      <c r="I608" s="17" t="str">
        <f>IF(TRIM(Github!D$607)="TRUE","FALSE","TRUE")</f>
        <v>TRUE</v>
      </c>
      <c r="J608" s="17"/>
      <c r="K608" s="17" t="str">
        <f>Github!L$607</f>
        <v>String;Tree;Depth-First Search;Binary Tree;</v>
      </c>
      <c r="L608" s="17" t="b">
        <f>Github!M$607</f>
        <v>1</v>
      </c>
      <c r="M608" s="17" t="str">
        <f>ROUND(Github!N$607, 2)&amp;"%"</f>
        <v>0%</v>
      </c>
      <c r="N608" s="17">
        <f>Github!O$607</f>
        <v>57.43472804</v>
      </c>
      <c r="O608" s="17">
        <f>Github!P$607</f>
        <v>124927</v>
      </c>
    </row>
    <row r="609">
      <c r="A609" s="17">
        <f>Github!J$608</f>
        <v>607</v>
      </c>
      <c r="B609" s="27" t="str">
        <f>HYPERLINK(CONCAT("http://leetcode.com/problems/",Github!C$608), Github!B$608)</f>
        <v>Sales Person</v>
      </c>
      <c r="C609" s="17">
        <f>Github!F$608</f>
        <v>232</v>
      </c>
      <c r="D609" s="17">
        <f>Github!G$608</f>
        <v>45</v>
      </c>
      <c r="E609" s="17">
        <f>Github!F$608+Github!G$608</f>
        <v>277</v>
      </c>
      <c r="F609" s="18">
        <f t="shared" si="1"/>
        <v>5.16</v>
      </c>
      <c r="G609" s="17" t="str">
        <f>Github!H$608</f>
        <v>Database</v>
      </c>
      <c r="H609" s="17" t="str">
        <f>Github!E$608</f>
        <v>Easy</v>
      </c>
      <c r="I609" s="17" t="str">
        <f>IF(TRIM(Github!D$608)="TRUE","FALSE","TRUE")</f>
        <v>FALSE</v>
      </c>
      <c r="J609" s="17"/>
      <c r="K609" s="17" t="str">
        <f>Github!L$608</f>
        <v>Database;</v>
      </c>
      <c r="L609" s="17" t="b">
        <f>Github!M$608</f>
        <v>1</v>
      </c>
      <c r="M609" s="17" t="str">
        <f>ROUND(Github!N$608, 2)&amp;"%"</f>
        <v>0%</v>
      </c>
      <c r="N609" s="17">
        <f>Github!O$608</f>
        <v>67.97319019</v>
      </c>
      <c r="O609" s="17">
        <f>Github!P$608</f>
        <v>47360</v>
      </c>
    </row>
    <row r="610">
      <c r="A610" s="17">
        <f>Github!J$609</f>
        <v>608</v>
      </c>
      <c r="B610" s="27" t="str">
        <f>HYPERLINK(CONCAT("http://leetcode.com/problems/",Github!C$609), Github!B$609)</f>
        <v>Tree Node</v>
      </c>
      <c r="C610" s="17">
        <f>Github!F$609</f>
        <v>317</v>
      </c>
      <c r="D610" s="17">
        <f>Github!G$609</f>
        <v>30</v>
      </c>
      <c r="E610" s="17">
        <f>Github!F$609+Github!G$609</f>
        <v>347</v>
      </c>
      <c r="F610" s="18">
        <f t="shared" si="1"/>
        <v>10.57</v>
      </c>
      <c r="G610" s="17" t="str">
        <f>Github!H$609</f>
        <v>Database</v>
      </c>
      <c r="H610" s="17" t="str">
        <f>Github!E$609</f>
        <v>Medium</v>
      </c>
      <c r="I610" s="17" t="str">
        <f>IF(TRIM(Github!D$609)="TRUE","FALSE","TRUE")</f>
        <v>FALSE</v>
      </c>
      <c r="J610" s="17"/>
      <c r="K610" s="17" t="str">
        <f>Github!L$609</f>
        <v>Database;</v>
      </c>
      <c r="L610" s="17" t="b">
        <f>Github!M$609</f>
        <v>1</v>
      </c>
      <c r="M610" s="17" t="str">
        <f>ROUND(Github!N$609, 2)&amp;"%"</f>
        <v>0%</v>
      </c>
      <c r="N610" s="17">
        <f>Github!O$609</f>
        <v>71.29727075</v>
      </c>
      <c r="O610" s="17">
        <f>Github!P$609</f>
        <v>40648</v>
      </c>
    </row>
    <row r="611">
      <c r="A611" s="17">
        <f>Github!J$610</f>
        <v>609</v>
      </c>
      <c r="B611" s="27" t="str">
        <f>HYPERLINK(CONCAT("http://leetcode.com/problems/",Github!C$610), Github!B$610)</f>
        <v>Find Duplicate File in System</v>
      </c>
      <c r="C611" s="17">
        <f>Github!F$610</f>
        <v>794</v>
      </c>
      <c r="D611" s="17">
        <f>Github!G$610</f>
        <v>908</v>
      </c>
      <c r="E611" s="17">
        <f>Github!F$610+Github!G$610</f>
        <v>1702</v>
      </c>
      <c r="F611" s="18">
        <f t="shared" si="1"/>
        <v>0.87</v>
      </c>
      <c r="G611" s="17" t="str">
        <f>Github!H$610</f>
        <v>Algorithms</v>
      </c>
      <c r="H611" s="17" t="str">
        <f>Github!E$610</f>
        <v>Medium</v>
      </c>
      <c r="I611" s="17" t="str">
        <f>IF(TRIM(Github!D$610)="TRUE","FALSE","TRUE")</f>
        <v>TRUE</v>
      </c>
      <c r="J611" s="17"/>
      <c r="K611" s="17" t="str">
        <f>Github!L$610</f>
        <v>Array;Hash Table;String;</v>
      </c>
      <c r="L611" s="17" t="b">
        <f>Github!M$610</f>
        <v>1</v>
      </c>
      <c r="M611" s="17" t="str">
        <f>ROUND(Github!N$610, 2)&amp;"%"</f>
        <v>0%</v>
      </c>
      <c r="N611" s="17">
        <f>Github!O$610</f>
        <v>63.70141619</v>
      </c>
      <c r="O611" s="17">
        <f>Github!P$610</f>
        <v>93650</v>
      </c>
    </row>
    <row r="612">
      <c r="A612" s="17">
        <f>Github!J$611</f>
        <v>610</v>
      </c>
      <c r="B612" s="27" t="str">
        <f>HYPERLINK(CONCAT("http://leetcode.com/problems/",Github!C$611), Github!B$611)</f>
        <v>Triangle Judgement</v>
      </c>
      <c r="C612" s="17">
        <f>Github!F$611</f>
        <v>205</v>
      </c>
      <c r="D612" s="17">
        <f>Github!G$611</f>
        <v>46</v>
      </c>
      <c r="E612" s="17">
        <f>Github!F$611+Github!G$611</f>
        <v>251</v>
      </c>
      <c r="F612" s="18">
        <f t="shared" si="1"/>
        <v>4.46</v>
      </c>
      <c r="G612" s="17" t="str">
        <f>Github!H$611</f>
        <v>Database</v>
      </c>
      <c r="H612" s="17" t="str">
        <f>Github!E$611</f>
        <v>Easy</v>
      </c>
      <c r="I612" s="17" t="str">
        <f>IF(TRIM(Github!D$611)="TRUE","FALSE","TRUE")</f>
        <v>FALSE</v>
      </c>
      <c r="J612" s="17"/>
      <c r="K612" s="17" t="str">
        <f>Github!L$611</f>
        <v>Database;</v>
      </c>
      <c r="L612" s="17" t="b">
        <f>Github!M$611</f>
        <v>1</v>
      </c>
      <c r="M612" s="17" t="str">
        <f>ROUND(Github!N$611, 2)&amp;"%"</f>
        <v>0%</v>
      </c>
      <c r="N612" s="17">
        <f>Github!O$611</f>
        <v>70.70172847</v>
      </c>
      <c r="O612" s="17">
        <f>Github!P$611</f>
        <v>47857</v>
      </c>
    </row>
    <row r="613">
      <c r="A613" s="17">
        <f>Github!J$612</f>
        <v>611</v>
      </c>
      <c r="B613" s="27" t="str">
        <f>HYPERLINK(CONCAT("http://leetcode.com/problems/",Github!C$612), Github!B$612)</f>
        <v>Valid Triangle Number</v>
      </c>
      <c r="C613" s="17">
        <f>Github!F$612</f>
        <v>2347</v>
      </c>
      <c r="D613" s="17">
        <f>Github!G$612</f>
        <v>143</v>
      </c>
      <c r="E613" s="17">
        <f>Github!F$612+Github!G$612</f>
        <v>2490</v>
      </c>
      <c r="F613" s="18">
        <f t="shared" si="1"/>
        <v>16.41</v>
      </c>
      <c r="G613" s="17" t="str">
        <f>Github!H$612</f>
        <v>Algorithms</v>
      </c>
      <c r="H613" s="17" t="str">
        <f>Github!E$612</f>
        <v>Medium</v>
      </c>
      <c r="I613" s="17" t="str">
        <f>IF(TRIM(Github!D$612)="TRUE","FALSE","TRUE")</f>
        <v>TRUE</v>
      </c>
      <c r="J613" s="17"/>
      <c r="K613" s="17" t="str">
        <f>Github!L$612</f>
        <v>Array;Two Pointers;Binary Search;Greedy;Sorting;</v>
      </c>
      <c r="L613" s="17" t="b">
        <f>Github!M$612</f>
        <v>1</v>
      </c>
      <c r="M613" s="17" t="str">
        <f>ROUND(Github!N$612, 2)&amp;"%"</f>
        <v>0%</v>
      </c>
      <c r="N613" s="17">
        <f>Github!O$612</f>
        <v>49.56704128</v>
      </c>
      <c r="O613" s="17">
        <f>Github!P$612</f>
        <v>130684</v>
      </c>
    </row>
    <row r="614">
      <c r="A614" s="17">
        <f>Github!J$613</f>
        <v>612</v>
      </c>
      <c r="B614" s="27" t="str">
        <f>HYPERLINK(CONCAT("http://leetcode.com/problems/",Github!C$613), Github!B$613)</f>
        <v>Shortest Distance in a Plane</v>
      </c>
      <c r="C614" s="17">
        <f>Github!F$613</f>
        <v>161</v>
      </c>
      <c r="D614" s="17">
        <f>Github!G$613</f>
        <v>61</v>
      </c>
      <c r="E614" s="17">
        <f>Github!F$613+Github!G$613</f>
        <v>222</v>
      </c>
      <c r="F614" s="18">
        <f t="shared" si="1"/>
        <v>2.64</v>
      </c>
      <c r="G614" s="17" t="str">
        <f>Github!H$613</f>
        <v>Database</v>
      </c>
      <c r="H614" s="17" t="str">
        <f>Github!E$613</f>
        <v>Medium</v>
      </c>
      <c r="I614" s="17" t="str">
        <f>IF(TRIM(Github!D$613)="TRUE","FALSE","TRUE")</f>
        <v>FALSE</v>
      </c>
      <c r="J614" s="17"/>
      <c r="K614" s="17" t="str">
        <f>Github!L$613</f>
        <v>Database;</v>
      </c>
      <c r="L614" s="17" t="b">
        <f>Github!M$613</f>
        <v>1</v>
      </c>
      <c r="M614" s="17" t="str">
        <f>ROUND(Github!N$613, 2)&amp;"%"</f>
        <v>0%</v>
      </c>
      <c r="N614" s="17">
        <f>Github!O$613</f>
        <v>63.01878502</v>
      </c>
      <c r="O614" s="17">
        <f>Github!P$613</f>
        <v>28682</v>
      </c>
    </row>
    <row r="615">
      <c r="A615" s="17">
        <f>Github!J$614</f>
        <v>613</v>
      </c>
      <c r="B615" s="27" t="str">
        <f>HYPERLINK(CONCAT("http://leetcode.com/problems/",Github!C$614), Github!B$614)</f>
        <v>Shortest Distance in a Line</v>
      </c>
      <c r="C615" s="17">
        <f>Github!F$614</f>
        <v>240</v>
      </c>
      <c r="D615" s="17">
        <f>Github!G$614</f>
        <v>33</v>
      </c>
      <c r="E615" s="17">
        <f>Github!F$614+Github!G$614</f>
        <v>273</v>
      </c>
      <c r="F615" s="18">
        <f t="shared" si="1"/>
        <v>7.27</v>
      </c>
      <c r="G615" s="17" t="str">
        <f>Github!H$614</f>
        <v>Database</v>
      </c>
      <c r="H615" s="17" t="str">
        <f>Github!E$614</f>
        <v>Easy</v>
      </c>
      <c r="I615" s="17" t="str">
        <f>IF(TRIM(Github!D$614)="TRUE","FALSE","TRUE")</f>
        <v>FALSE</v>
      </c>
      <c r="J615" s="17"/>
      <c r="K615" s="17" t="str">
        <f>Github!L$614</f>
        <v>Database;</v>
      </c>
      <c r="L615" s="17" t="b">
        <f>Github!M$614</f>
        <v>1</v>
      </c>
      <c r="M615" s="17" t="str">
        <f>ROUND(Github!N$614, 2)&amp;"%"</f>
        <v>0%</v>
      </c>
      <c r="N615" s="17">
        <f>Github!O$614</f>
        <v>81.0085353</v>
      </c>
      <c r="O615" s="17">
        <f>Github!P$614</f>
        <v>48499</v>
      </c>
    </row>
    <row r="616">
      <c r="A616" s="17">
        <f>Github!J$615</f>
        <v>614</v>
      </c>
      <c r="B616" s="27" t="str">
        <f>HYPERLINK(CONCAT("http://leetcode.com/problems/",Github!C$615), Github!B$615)</f>
        <v>Second Degree Follower</v>
      </c>
      <c r="C616" s="17">
        <f>Github!F$615</f>
        <v>115</v>
      </c>
      <c r="D616" s="17">
        <f>Github!G$615</f>
        <v>691</v>
      </c>
      <c r="E616" s="17">
        <f>Github!F$615+Github!G$615</f>
        <v>806</v>
      </c>
      <c r="F616" s="18">
        <f t="shared" si="1"/>
        <v>0.17</v>
      </c>
      <c r="G616" s="17" t="str">
        <f>Github!H$615</f>
        <v>Database</v>
      </c>
      <c r="H616" s="17" t="str">
        <f>Github!E$615</f>
        <v>Medium</v>
      </c>
      <c r="I616" s="17" t="str">
        <f>IF(TRIM(Github!D$615)="TRUE","FALSE","TRUE")</f>
        <v>FALSE</v>
      </c>
      <c r="J616" s="17"/>
      <c r="K616" s="17" t="str">
        <f>Github!L$615</f>
        <v>Database;</v>
      </c>
      <c r="L616" s="17" t="b">
        <f>Github!M$615</f>
        <v>0</v>
      </c>
      <c r="M616" s="17" t="str">
        <f>ROUND(Github!N$615, 2)&amp;"%"</f>
        <v>0%</v>
      </c>
      <c r="N616" s="17">
        <f>Github!O$615</f>
        <v>35.18403973</v>
      </c>
      <c r="O616" s="17">
        <f>Github!P$615</f>
        <v>38111</v>
      </c>
    </row>
    <row r="617">
      <c r="A617" s="17">
        <f>Github!J$616</f>
        <v>615</v>
      </c>
      <c r="B617" s="27" t="str">
        <f>HYPERLINK(CONCAT("http://leetcode.com/problems/",Github!C$616), Github!B$616)</f>
        <v>Average Salary: Departments VS Company</v>
      </c>
      <c r="C617" s="17">
        <f>Github!F$616</f>
        <v>168</v>
      </c>
      <c r="D617" s="17">
        <f>Github!G$616</f>
        <v>58</v>
      </c>
      <c r="E617" s="17">
        <f>Github!F$616+Github!G$616</f>
        <v>226</v>
      </c>
      <c r="F617" s="18">
        <f t="shared" si="1"/>
        <v>2.9</v>
      </c>
      <c r="G617" s="17" t="str">
        <f>Github!H$616</f>
        <v>Database</v>
      </c>
      <c r="H617" s="17" t="str">
        <f>Github!E$616</f>
        <v>Hard</v>
      </c>
      <c r="I617" s="17" t="str">
        <f>IF(TRIM(Github!D$616)="TRUE","FALSE","TRUE")</f>
        <v>FALSE</v>
      </c>
      <c r="J617" s="17"/>
      <c r="K617" s="17" t="str">
        <f>Github!L$616</f>
        <v>Database;</v>
      </c>
      <c r="L617" s="17" t="b">
        <f>Github!M$616</f>
        <v>1</v>
      </c>
      <c r="M617" s="17" t="str">
        <f>ROUND(Github!N$616, 2)&amp;"%"</f>
        <v>0%</v>
      </c>
      <c r="N617" s="17">
        <f>Github!O$616</f>
        <v>55.97897207</v>
      </c>
      <c r="O617" s="17">
        <f>Github!P$616</f>
        <v>24811</v>
      </c>
    </row>
    <row r="618">
      <c r="A618" s="17">
        <f>Github!J$617</f>
        <v>616</v>
      </c>
      <c r="B618" s="27" t="str">
        <f>HYPERLINK(CONCAT("http://leetcode.com/problems/",Github!C$617), Github!B$617)</f>
        <v>Add Bold Tag in String</v>
      </c>
      <c r="C618" s="17">
        <f>Github!F$617</f>
        <v>883</v>
      </c>
      <c r="D618" s="17">
        <f>Github!G$617</f>
        <v>146</v>
      </c>
      <c r="E618" s="17">
        <f>Github!F$617+Github!G$617</f>
        <v>1029</v>
      </c>
      <c r="F618" s="18">
        <f t="shared" si="1"/>
        <v>6.05</v>
      </c>
      <c r="G618" s="17" t="str">
        <f>Github!H$617</f>
        <v>Algorithms</v>
      </c>
      <c r="H618" s="17" t="str">
        <f>Github!E$617</f>
        <v>Medium</v>
      </c>
      <c r="I618" s="17" t="str">
        <f>IF(TRIM(Github!D$617)="TRUE","FALSE","TRUE")</f>
        <v>FALSE</v>
      </c>
      <c r="J618" s="17"/>
      <c r="K618" s="17" t="str">
        <f>Github!L$617</f>
        <v>Array;Hash Table;String;Trie;String Matching;</v>
      </c>
      <c r="L618" s="17" t="b">
        <f>Github!M$617</f>
        <v>0</v>
      </c>
      <c r="M618" s="17" t="str">
        <f>ROUND(Github!N$617, 2)&amp;"%"</f>
        <v>0%</v>
      </c>
      <c r="N618" s="17">
        <f>Github!O$617</f>
        <v>47.86189186</v>
      </c>
      <c r="O618" s="17">
        <f>Github!P$617</f>
        <v>71195</v>
      </c>
    </row>
    <row r="619">
      <c r="A619" s="17">
        <f>Github!J$618</f>
        <v>617</v>
      </c>
      <c r="B619" s="27" t="str">
        <f>HYPERLINK(CONCAT("http://leetcode.com/problems/",Github!C$618), Github!B$618)</f>
        <v>Merge Two Binary Trees</v>
      </c>
      <c r="C619" s="17">
        <f>Github!F$618</f>
        <v>6201</v>
      </c>
      <c r="D619" s="17">
        <f>Github!G$618</f>
        <v>240</v>
      </c>
      <c r="E619" s="17">
        <f>Github!F$618+Github!G$618</f>
        <v>6441</v>
      </c>
      <c r="F619" s="18">
        <f t="shared" si="1"/>
        <v>25.84</v>
      </c>
      <c r="G619" s="17" t="str">
        <f>Github!H$618</f>
        <v>Algorithms</v>
      </c>
      <c r="H619" s="17" t="str">
        <f>Github!E$618</f>
        <v>Easy</v>
      </c>
      <c r="I619" s="17" t="str">
        <f>IF(TRIM(Github!D$618)="TRUE","FALSE","TRUE")</f>
        <v>TRUE</v>
      </c>
      <c r="J619" s="17"/>
      <c r="K619" s="17" t="str">
        <f>Github!L$618</f>
        <v>Tree;Depth-First Search;Breadth-First Search;Binary Tree;</v>
      </c>
      <c r="L619" s="17" t="b">
        <f>Github!M$618</f>
        <v>1</v>
      </c>
      <c r="M619" s="17" t="str">
        <f>ROUND(Github!N$618, 2)&amp;"%"</f>
        <v>0%</v>
      </c>
      <c r="N619" s="17">
        <f>Github!O$618</f>
        <v>77.657902</v>
      </c>
      <c r="O619" s="17">
        <f>Github!P$618</f>
        <v>531991</v>
      </c>
    </row>
    <row r="620">
      <c r="A620" s="17">
        <f>Github!J$619</f>
        <v>618</v>
      </c>
      <c r="B620" s="27" t="str">
        <f>HYPERLINK(CONCAT("http://leetcode.com/problems/",Github!C$619), Github!B$619)</f>
        <v>Students Report By Geography</v>
      </c>
      <c r="C620" s="17">
        <f>Github!F$619</f>
        <v>115</v>
      </c>
      <c r="D620" s="17">
        <f>Github!G$619</f>
        <v>129</v>
      </c>
      <c r="E620" s="17">
        <f>Github!F$619+Github!G$619</f>
        <v>244</v>
      </c>
      <c r="F620" s="18">
        <f t="shared" si="1"/>
        <v>0.89</v>
      </c>
      <c r="G620" s="17" t="str">
        <f>Github!H$619</f>
        <v>Database</v>
      </c>
      <c r="H620" s="17" t="str">
        <f>Github!E$619</f>
        <v>Hard</v>
      </c>
      <c r="I620" s="17" t="str">
        <f>IF(TRIM(Github!D$619)="TRUE","FALSE","TRUE")</f>
        <v>FALSE</v>
      </c>
      <c r="J620" s="17"/>
      <c r="K620" s="17" t="str">
        <f>Github!L$619</f>
        <v>Database;</v>
      </c>
      <c r="L620" s="17" t="b">
        <f>Github!M$619</f>
        <v>1</v>
      </c>
      <c r="M620" s="17" t="str">
        <f>ROUND(Github!N$619, 2)&amp;"%"</f>
        <v>0%</v>
      </c>
      <c r="N620" s="17">
        <f>Github!O$619</f>
        <v>63.06893638</v>
      </c>
      <c r="O620" s="17">
        <f>Github!P$619</f>
        <v>15671</v>
      </c>
    </row>
    <row r="621">
      <c r="A621" s="17">
        <f>Github!J$620</f>
        <v>619</v>
      </c>
      <c r="B621" s="27" t="str">
        <f>HYPERLINK(CONCAT("http://leetcode.com/problems/",Github!C$620), Github!B$620)</f>
        <v>Biggest Single Number</v>
      </c>
      <c r="C621" s="17">
        <f>Github!F$620</f>
        <v>115</v>
      </c>
      <c r="D621" s="17">
        <f>Github!G$620</f>
        <v>104</v>
      </c>
      <c r="E621" s="17">
        <f>Github!F$620+Github!G$620</f>
        <v>219</v>
      </c>
      <c r="F621" s="18">
        <f t="shared" si="1"/>
        <v>1.11</v>
      </c>
      <c r="G621" s="17" t="str">
        <f>Github!H$620</f>
        <v>Database</v>
      </c>
      <c r="H621" s="17" t="str">
        <f>Github!E$620</f>
        <v>Easy</v>
      </c>
      <c r="I621" s="17" t="str">
        <f>IF(TRIM(Github!D$620)="TRUE","FALSE","TRUE")</f>
        <v>FALSE</v>
      </c>
      <c r="J621" s="17"/>
      <c r="K621" s="17" t="str">
        <f>Github!L$620</f>
        <v>Database;</v>
      </c>
      <c r="L621" s="17" t="b">
        <f>Github!M$620</f>
        <v>1</v>
      </c>
      <c r="M621" s="17" t="str">
        <f>ROUND(Github!N$620, 2)&amp;"%"</f>
        <v>0%</v>
      </c>
      <c r="N621" s="17">
        <f>Github!O$620</f>
        <v>47.23173051</v>
      </c>
      <c r="O621" s="17">
        <f>Github!P$620</f>
        <v>43462</v>
      </c>
    </row>
    <row r="622">
      <c r="A622" s="17">
        <f>Github!J$621</f>
        <v>620</v>
      </c>
      <c r="B622" s="27" t="str">
        <f>HYPERLINK(CONCAT("http://leetcode.com/problems/",Github!C$621), Github!B$621)</f>
        <v>Not Boring Movies</v>
      </c>
      <c r="C622" s="17">
        <f>Github!F$621</f>
        <v>462</v>
      </c>
      <c r="D622" s="17">
        <f>Github!G$621</f>
        <v>359</v>
      </c>
      <c r="E622" s="17">
        <f>Github!F$621+Github!G$621</f>
        <v>821</v>
      </c>
      <c r="F622" s="18">
        <f t="shared" si="1"/>
        <v>1.29</v>
      </c>
      <c r="G622" s="17" t="str">
        <f>Github!H$621</f>
        <v>Database</v>
      </c>
      <c r="H622" s="17" t="str">
        <f>Github!E$621</f>
        <v>Easy</v>
      </c>
      <c r="I622" s="17" t="str">
        <f>IF(TRIM(Github!D$621)="TRUE","FALSE","TRUE")</f>
        <v>TRUE</v>
      </c>
      <c r="J622" s="17"/>
      <c r="K622" s="17" t="str">
        <f>Github!L$621</f>
        <v>Database;</v>
      </c>
      <c r="L622" s="17" t="b">
        <f>Github!M$621</f>
        <v>1</v>
      </c>
      <c r="M622" s="17" t="str">
        <f>ROUND(Github!N$621, 2)&amp;"%"</f>
        <v>0%</v>
      </c>
      <c r="N622" s="17">
        <f>Github!O$621</f>
        <v>72.35459746</v>
      </c>
      <c r="O622" s="17">
        <f>Github!P$621</f>
        <v>177823</v>
      </c>
    </row>
    <row r="623">
      <c r="A623" s="17">
        <f>Github!J$622</f>
        <v>621</v>
      </c>
      <c r="B623" s="27" t="str">
        <f>HYPERLINK(CONCAT("http://leetcode.com/problems/",Github!C$622), Github!B$622)</f>
        <v>Task Scheduler</v>
      </c>
      <c r="C623" s="17">
        <f>Github!F$622</f>
        <v>6133</v>
      </c>
      <c r="D623" s="17">
        <f>Github!G$622</f>
        <v>1171</v>
      </c>
      <c r="E623" s="17">
        <f>Github!F$622+Github!G$622</f>
        <v>7304</v>
      </c>
      <c r="F623" s="18">
        <f t="shared" si="1"/>
        <v>5.24</v>
      </c>
      <c r="G623" s="17" t="str">
        <f>Github!H$622</f>
        <v>Algorithms</v>
      </c>
      <c r="H623" s="17" t="str">
        <f>Github!E$622</f>
        <v>Medium</v>
      </c>
      <c r="I623" s="17" t="str">
        <f>IF(TRIM(Github!D$622)="TRUE","FALSE","TRUE")</f>
        <v>TRUE</v>
      </c>
      <c r="J623" s="17"/>
      <c r="K623" s="17" t="str">
        <f>Github!L$622</f>
        <v>Array;Hash Table;Greedy;Sorting;Heap (Priority Queue);Counting;</v>
      </c>
      <c r="L623" s="17" t="b">
        <f>Github!M$622</f>
        <v>1</v>
      </c>
      <c r="M623" s="17" t="str">
        <f>ROUND(Github!N$622, 2)&amp;"%"</f>
        <v>0%</v>
      </c>
      <c r="N623" s="17">
        <f>Github!O$622</f>
        <v>54.26564697</v>
      </c>
      <c r="O623" s="17">
        <f>Github!P$622</f>
        <v>326045</v>
      </c>
    </row>
    <row r="624">
      <c r="A624" s="17">
        <f>Github!J$623</f>
        <v>622</v>
      </c>
      <c r="B624" s="27" t="str">
        <f>HYPERLINK(CONCAT("http://leetcode.com/problems/",Github!C$623), Github!B$623)</f>
        <v>Design Circular Queue</v>
      </c>
      <c r="C624" s="17">
        <f>Github!F$623</f>
        <v>1578</v>
      </c>
      <c r="D624" s="17">
        <f>Github!G$623</f>
        <v>163</v>
      </c>
      <c r="E624" s="17">
        <f>Github!F$623+Github!G$623</f>
        <v>1741</v>
      </c>
      <c r="F624" s="18">
        <f t="shared" si="1"/>
        <v>9.68</v>
      </c>
      <c r="G624" s="17" t="str">
        <f>Github!H$623</f>
        <v>Algorithms</v>
      </c>
      <c r="H624" s="17" t="str">
        <f>Github!E$623</f>
        <v>Medium</v>
      </c>
      <c r="I624" s="17" t="str">
        <f>IF(TRIM(Github!D$623)="TRUE","FALSE","TRUE")</f>
        <v>TRUE</v>
      </c>
      <c r="J624" s="17"/>
      <c r="K624" s="17" t="str">
        <f>Github!L$623</f>
        <v>Array;Linked List;Design;Queue;</v>
      </c>
      <c r="L624" s="17" t="b">
        <f>Github!M$623</f>
        <v>1</v>
      </c>
      <c r="M624" s="17" t="str">
        <f>ROUND(Github!N$623, 2)&amp;"%"</f>
        <v>0%</v>
      </c>
      <c r="N624" s="17">
        <f>Github!O$623</f>
        <v>48.5295945</v>
      </c>
      <c r="O624" s="17">
        <f>Github!P$623</f>
        <v>164028</v>
      </c>
    </row>
    <row r="625">
      <c r="A625" s="17">
        <f>Github!J$624</f>
        <v>623</v>
      </c>
      <c r="B625" s="27" t="str">
        <f>HYPERLINK(CONCAT("http://leetcode.com/problems/",Github!C$624), Github!B$624)</f>
        <v>Add One Row to Tree</v>
      </c>
      <c r="C625" s="17">
        <f>Github!F$624</f>
        <v>1215</v>
      </c>
      <c r="D625" s="17">
        <f>Github!G$624</f>
        <v>170</v>
      </c>
      <c r="E625" s="17">
        <f>Github!F$624+Github!G$624</f>
        <v>1385</v>
      </c>
      <c r="F625" s="18">
        <f t="shared" si="1"/>
        <v>7.15</v>
      </c>
      <c r="G625" s="17" t="str">
        <f>Github!H$624</f>
        <v>Algorithms</v>
      </c>
      <c r="H625" s="17" t="str">
        <f>Github!E$624</f>
        <v>Medium</v>
      </c>
      <c r="I625" s="17" t="str">
        <f>IF(TRIM(Github!D$624)="TRUE","FALSE","TRUE")</f>
        <v>TRUE</v>
      </c>
      <c r="J625" s="17"/>
      <c r="K625" s="17" t="str">
        <f>Github!L$624</f>
        <v>Tree;Depth-First Search;Breadth-First Search;Binary Tree;</v>
      </c>
      <c r="L625" s="17" t="b">
        <f>Github!M$624</f>
        <v>1</v>
      </c>
      <c r="M625" s="17" t="str">
        <f>ROUND(Github!N$624, 2)&amp;"%"</f>
        <v>0%</v>
      </c>
      <c r="N625" s="17">
        <f>Github!O$624</f>
        <v>53.78046517</v>
      </c>
      <c r="O625" s="17">
        <f>Github!P$624</f>
        <v>81116</v>
      </c>
    </row>
    <row r="626">
      <c r="A626" s="17">
        <f>Github!J$625</f>
        <v>624</v>
      </c>
      <c r="B626" s="27" t="str">
        <f>HYPERLINK(CONCAT("http://leetcode.com/problems/",Github!C$625), Github!B$625)</f>
        <v>Maximum Distance in Arrays</v>
      </c>
      <c r="C626" s="17">
        <f>Github!F$625</f>
        <v>591</v>
      </c>
      <c r="D626" s="17">
        <f>Github!G$625</f>
        <v>61</v>
      </c>
      <c r="E626" s="17">
        <f>Github!F$625+Github!G$625</f>
        <v>652</v>
      </c>
      <c r="F626" s="18">
        <f t="shared" si="1"/>
        <v>9.69</v>
      </c>
      <c r="G626" s="17" t="str">
        <f>Github!H$625</f>
        <v>Algorithms</v>
      </c>
      <c r="H626" s="17" t="str">
        <f>Github!E$625</f>
        <v>Medium</v>
      </c>
      <c r="I626" s="17" t="str">
        <f>IF(TRIM(Github!D$625)="TRUE","FALSE","TRUE")</f>
        <v>FALSE</v>
      </c>
      <c r="J626" s="17"/>
      <c r="K626" s="17" t="str">
        <f>Github!L$625</f>
        <v>Array;Greedy;</v>
      </c>
      <c r="L626" s="17" t="b">
        <f>Github!M$625</f>
        <v>1</v>
      </c>
      <c r="M626" s="17" t="str">
        <f>ROUND(Github!N$625, 2)&amp;"%"</f>
        <v>0%</v>
      </c>
      <c r="N626" s="17">
        <f>Github!O$625</f>
        <v>41.51866937</v>
      </c>
      <c r="O626" s="17">
        <f>Github!P$625</f>
        <v>35371</v>
      </c>
    </row>
    <row r="627">
      <c r="A627" s="17">
        <f>Github!J$626</f>
        <v>625</v>
      </c>
      <c r="B627" s="27" t="str">
        <f>HYPERLINK(CONCAT("http://leetcode.com/problems/",Github!C$626), Github!B$626)</f>
        <v>Minimum Factorization</v>
      </c>
      <c r="C627" s="17">
        <f>Github!F$626</f>
        <v>118</v>
      </c>
      <c r="D627" s="17">
        <f>Github!G$626</f>
        <v>98</v>
      </c>
      <c r="E627" s="17">
        <f>Github!F$626+Github!G$626</f>
        <v>216</v>
      </c>
      <c r="F627" s="18">
        <f t="shared" si="1"/>
        <v>1.2</v>
      </c>
      <c r="G627" s="17" t="str">
        <f>Github!H$626</f>
        <v>Algorithms</v>
      </c>
      <c r="H627" s="17" t="str">
        <f>Github!E$626</f>
        <v>Medium</v>
      </c>
      <c r="I627" s="17" t="str">
        <f>IF(TRIM(Github!D$626)="TRUE","FALSE","TRUE")</f>
        <v>FALSE</v>
      </c>
      <c r="J627" s="17"/>
      <c r="K627" s="17" t="str">
        <f>Github!L$626</f>
        <v>Math;Greedy;</v>
      </c>
      <c r="L627" s="17" t="b">
        <f>Github!M$626</f>
        <v>1</v>
      </c>
      <c r="M627" s="17" t="str">
        <f>ROUND(Github!N$626, 2)&amp;"%"</f>
        <v>0%</v>
      </c>
      <c r="N627" s="17">
        <f>Github!O$626</f>
        <v>33.23507982</v>
      </c>
      <c r="O627" s="17">
        <f>Github!P$626</f>
        <v>10035</v>
      </c>
    </row>
    <row r="628">
      <c r="A628" s="17">
        <f>Github!J$627</f>
        <v>626</v>
      </c>
      <c r="B628" s="27" t="str">
        <f>HYPERLINK(CONCAT("http://leetcode.com/problems/",Github!C$627), Github!B$627)</f>
        <v>Exchange Seats</v>
      </c>
      <c r="C628" s="17">
        <f>Github!F$627</f>
        <v>633</v>
      </c>
      <c r="D628" s="17">
        <f>Github!G$627</f>
        <v>347</v>
      </c>
      <c r="E628" s="17">
        <f>Github!F$627+Github!G$627</f>
        <v>980</v>
      </c>
      <c r="F628" s="18">
        <f t="shared" si="1"/>
        <v>1.82</v>
      </c>
      <c r="G628" s="17" t="str">
        <f>Github!H$627</f>
        <v>Database</v>
      </c>
      <c r="H628" s="17" t="str">
        <f>Github!E$627</f>
        <v>Medium</v>
      </c>
      <c r="I628" s="17" t="str">
        <f>IF(TRIM(Github!D$627)="TRUE","FALSE","TRUE")</f>
        <v>TRUE</v>
      </c>
      <c r="J628" s="17"/>
      <c r="K628" s="17" t="str">
        <f>Github!L$627</f>
        <v>Database;</v>
      </c>
      <c r="L628" s="17" t="b">
        <f>Github!M$627</f>
        <v>1</v>
      </c>
      <c r="M628" s="17" t="str">
        <f>ROUND(Github!N$627, 2)&amp;"%"</f>
        <v>0%</v>
      </c>
      <c r="N628" s="17">
        <f>Github!O$627</f>
        <v>68.9374385</v>
      </c>
      <c r="O628" s="17">
        <f>Github!P$627</f>
        <v>96681</v>
      </c>
    </row>
    <row r="629">
      <c r="A629" s="17">
        <f>Github!J$628</f>
        <v>627</v>
      </c>
      <c r="B629" s="27" t="str">
        <f>HYPERLINK(CONCAT("http://leetcode.com/problems/",Github!C$628), Github!B$628)</f>
        <v>Swap Salary</v>
      </c>
      <c r="C629" s="17">
        <f>Github!F$628</f>
        <v>790</v>
      </c>
      <c r="D629" s="17">
        <f>Github!G$628</f>
        <v>397</v>
      </c>
      <c r="E629" s="17">
        <f>Github!F$628+Github!G$628</f>
        <v>1187</v>
      </c>
      <c r="F629" s="18">
        <f t="shared" si="1"/>
        <v>1.99</v>
      </c>
      <c r="G629" s="17" t="str">
        <f>Github!H$628</f>
        <v>Database</v>
      </c>
      <c r="H629" s="17" t="str">
        <f>Github!E$628</f>
        <v>Easy</v>
      </c>
      <c r="I629" s="17" t="str">
        <f>IF(TRIM(Github!D$628)="TRUE","FALSE","TRUE")</f>
        <v>TRUE</v>
      </c>
      <c r="J629" s="17"/>
      <c r="K629" s="17" t="str">
        <f>Github!L$628</f>
        <v>Database;</v>
      </c>
      <c r="L629" s="17" t="b">
        <f>Github!M$628</f>
        <v>1</v>
      </c>
      <c r="M629" s="17" t="str">
        <f>ROUND(Github!N$628, 2)&amp;"%"</f>
        <v>0%</v>
      </c>
      <c r="N629" s="17">
        <f>Github!O$628</f>
        <v>79.87618877</v>
      </c>
      <c r="O629" s="17">
        <f>Github!P$628</f>
        <v>178060</v>
      </c>
    </row>
    <row r="630">
      <c r="A630" s="17">
        <f>Github!J$629</f>
        <v>628</v>
      </c>
      <c r="B630" s="27" t="str">
        <f>HYPERLINK(CONCAT("http://leetcode.com/problems/",Github!C$629), Github!B$629)</f>
        <v>Maximum Product of Three Numbers</v>
      </c>
      <c r="C630" s="17">
        <f>Github!F$629</f>
        <v>2519</v>
      </c>
      <c r="D630" s="17">
        <f>Github!G$629</f>
        <v>513</v>
      </c>
      <c r="E630" s="17">
        <f>Github!F$629+Github!G$629</f>
        <v>3032</v>
      </c>
      <c r="F630" s="18">
        <f t="shared" si="1"/>
        <v>4.91</v>
      </c>
      <c r="G630" s="17" t="str">
        <f>Github!H$629</f>
        <v>Algorithms</v>
      </c>
      <c r="H630" s="17" t="str">
        <f>Github!E$629</f>
        <v>Easy</v>
      </c>
      <c r="I630" s="17" t="str">
        <f>IF(TRIM(Github!D$629)="TRUE","FALSE","TRUE")</f>
        <v>TRUE</v>
      </c>
      <c r="J630" s="17"/>
      <c r="K630" s="17" t="str">
        <f>Github!L$629</f>
        <v>Array;Math;Sorting;</v>
      </c>
      <c r="L630" s="17" t="b">
        <f>Github!M$629</f>
        <v>1</v>
      </c>
      <c r="M630" s="17" t="str">
        <f>ROUND(Github!N$629, 2)&amp;"%"</f>
        <v>0%</v>
      </c>
      <c r="N630" s="17">
        <f>Github!O$629</f>
        <v>46.78400165</v>
      </c>
      <c r="O630" s="17">
        <f>Github!P$629</f>
        <v>199412</v>
      </c>
    </row>
    <row r="631">
      <c r="A631" s="17">
        <f>Github!J$630</f>
        <v>629</v>
      </c>
      <c r="B631" s="27" t="str">
        <f>HYPERLINK(CONCAT("http://leetcode.com/problems/",Github!C$630), Github!B$630)</f>
        <v>K Inverse Pairs Array</v>
      </c>
      <c r="C631" s="17">
        <f>Github!F$630</f>
        <v>746</v>
      </c>
      <c r="D631" s="17">
        <f>Github!G$630</f>
        <v>108</v>
      </c>
      <c r="E631" s="17">
        <f>Github!F$630+Github!G$630</f>
        <v>854</v>
      </c>
      <c r="F631" s="18">
        <f t="shared" si="1"/>
        <v>6.91</v>
      </c>
      <c r="G631" s="17" t="str">
        <f>Github!H$630</f>
        <v>Algorithms</v>
      </c>
      <c r="H631" s="17" t="str">
        <f>Github!E$630</f>
        <v>Hard</v>
      </c>
      <c r="I631" s="17" t="str">
        <f>IF(TRIM(Github!D$630)="TRUE","FALSE","TRUE")</f>
        <v>TRUE</v>
      </c>
      <c r="J631" s="17"/>
      <c r="K631" s="17" t="str">
        <f>Github!L$630</f>
        <v>Dynamic Programming;</v>
      </c>
      <c r="L631" s="17" t="b">
        <f>Github!M$630</f>
        <v>1</v>
      </c>
      <c r="M631" s="17" t="str">
        <f>ROUND(Github!N$630, 2)&amp;"%"</f>
        <v>0%</v>
      </c>
      <c r="N631" s="17">
        <f>Github!O$630</f>
        <v>37.23096058</v>
      </c>
      <c r="O631" s="17">
        <f>Github!P$630</f>
        <v>24546</v>
      </c>
    </row>
    <row r="632">
      <c r="A632" s="17">
        <f>Github!J$631</f>
        <v>630</v>
      </c>
      <c r="B632" s="27" t="str">
        <f>HYPERLINK(CONCAT("http://leetcode.com/problems/",Github!C$631), Github!B$631)</f>
        <v>Course Schedule III</v>
      </c>
      <c r="C632" s="17">
        <f>Github!F$631</f>
        <v>1846</v>
      </c>
      <c r="D632" s="17">
        <f>Github!G$631</f>
        <v>53</v>
      </c>
      <c r="E632" s="17">
        <f>Github!F$631+Github!G$631</f>
        <v>1899</v>
      </c>
      <c r="F632" s="18">
        <f t="shared" si="1"/>
        <v>34.83</v>
      </c>
      <c r="G632" s="17" t="str">
        <f>Github!H$631</f>
        <v>Algorithms</v>
      </c>
      <c r="H632" s="17" t="str">
        <f>Github!E$631</f>
        <v>Hard</v>
      </c>
      <c r="I632" s="17" t="str">
        <f>IF(TRIM(Github!D$631)="TRUE","FALSE","TRUE")</f>
        <v>TRUE</v>
      </c>
      <c r="J632" s="17"/>
      <c r="K632" s="17" t="str">
        <f>Github!L$631</f>
        <v>Array;Greedy;Heap (Priority Queue);</v>
      </c>
      <c r="L632" s="17" t="b">
        <f>Github!M$631</f>
        <v>1</v>
      </c>
      <c r="M632" s="17" t="str">
        <f>ROUND(Github!N$631, 2)&amp;"%"</f>
        <v>0%</v>
      </c>
      <c r="N632" s="17">
        <f>Github!O$631</f>
        <v>35.62169947</v>
      </c>
      <c r="O632" s="17">
        <f>Github!P$631</f>
        <v>54908</v>
      </c>
    </row>
    <row r="633">
      <c r="A633" s="17">
        <f>Github!J$632</f>
        <v>631</v>
      </c>
      <c r="B633" s="27" t="str">
        <f>HYPERLINK(CONCAT("http://leetcode.com/problems/",Github!C$632), Github!B$632)</f>
        <v>Design Excel Sum Formula</v>
      </c>
      <c r="C633" s="17">
        <f>Github!F$632</f>
        <v>169</v>
      </c>
      <c r="D633" s="17">
        <f>Github!G$632</f>
        <v>208</v>
      </c>
      <c r="E633" s="17">
        <f>Github!F$632+Github!G$632</f>
        <v>377</v>
      </c>
      <c r="F633" s="18">
        <f t="shared" si="1"/>
        <v>0.81</v>
      </c>
      <c r="G633" s="17" t="str">
        <f>Github!H$632</f>
        <v>Algorithms</v>
      </c>
      <c r="H633" s="17" t="str">
        <f>Github!E$632</f>
        <v>Hard</v>
      </c>
      <c r="I633" s="17" t="str">
        <f>IF(TRIM(Github!D$632)="TRUE","FALSE","TRUE")</f>
        <v>FALSE</v>
      </c>
      <c r="J633" s="17"/>
      <c r="K633" s="17" t="str">
        <f>Github!L$632</f>
        <v>Graph;Design;Topological Sort;</v>
      </c>
      <c r="L633" s="17" t="b">
        <f>Github!M$632</f>
        <v>1</v>
      </c>
      <c r="M633" s="17" t="str">
        <f>ROUND(Github!N$632, 2)&amp;"%"</f>
        <v>0%</v>
      </c>
      <c r="N633" s="17">
        <f>Github!O$632</f>
        <v>40.61434816</v>
      </c>
      <c r="O633" s="17">
        <f>Github!P$632</f>
        <v>10128</v>
      </c>
    </row>
    <row r="634">
      <c r="A634" s="17">
        <f>Github!J$633</f>
        <v>632</v>
      </c>
      <c r="B634" s="27" t="str">
        <f>HYPERLINK(CONCAT("http://leetcode.com/problems/",Github!C$633), Github!B$633)</f>
        <v>Smallest Range Covering Elements from K Lists</v>
      </c>
      <c r="C634" s="17">
        <f>Github!F$633</f>
        <v>2028</v>
      </c>
      <c r="D634" s="17">
        <f>Github!G$633</f>
        <v>34</v>
      </c>
      <c r="E634" s="17">
        <f>Github!F$633+Github!G$633</f>
        <v>2062</v>
      </c>
      <c r="F634" s="18">
        <f t="shared" si="1"/>
        <v>59.65</v>
      </c>
      <c r="G634" s="17" t="str">
        <f>Github!H$633</f>
        <v>Algorithms</v>
      </c>
      <c r="H634" s="17" t="str">
        <f>Github!E$633</f>
        <v>Hard</v>
      </c>
      <c r="I634" s="17" t="str">
        <f>IF(TRIM(Github!D$633)="TRUE","FALSE","TRUE")</f>
        <v>TRUE</v>
      </c>
      <c r="J634" s="17"/>
      <c r="K634" s="17" t="str">
        <f>Github!L$633</f>
        <v>Array;Hash Table;Greedy;Sliding Window;Sorting;Heap (Priority Queue);</v>
      </c>
      <c r="L634" s="17" t="b">
        <f>Github!M$633</f>
        <v>1</v>
      </c>
      <c r="M634" s="17" t="str">
        <f>ROUND(Github!N$633, 2)&amp;"%"</f>
        <v>0%</v>
      </c>
      <c r="N634" s="17">
        <f>Github!O$633</f>
        <v>58.0379985</v>
      </c>
      <c r="O634" s="17">
        <f>Github!P$633</f>
        <v>61706</v>
      </c>
    </row>
    <row r="635">
      <c r="A635" s="17">
        <f>Github!J$634</f>
        <v>633</v>
      </c>
      <c r="B635" s="27" t="str">
        <f>HYPERLINK(CONCAT("http://leetcode.com/problems/",Github!C$634), Github!B$634)</f>
        <v>Sum of Square Numbers</v>
      </c>
      <c r="C635" s="17">
        <f>Github!F$634</f>
        <v>1277</v>
      </c>
      <c r="D635" s="17">
        <f>Github!G$634</f>
        <v>456</v>
      </c>
      <c r="E635" s="17">
        <f>Github!F$634+Github!G$634</f>
        <v>1733</v>
      </c>
      <c r="F635" s="18">
        <f t="shared" si="1"/>
        <v>2.8</v>
      </c>
      <c r="G635" s="17" t="str">
        <f>Github!H$634</f>
        <v>Algorithms</v>
      </c>
      <c r="H635" s="17" t="str">
        <f>Github!E$634</f>
        <v>Medium</v>
      </c>
      <c r="I635" s="17" t="str">
        <f>IF(TRIM(Github!D$634)="TRUE","FALSE","TRUE")</f>
        <v>TRUE</v>
      </c>
      <c r="J635" s="17"/>
      <c r="K635" s="17" t="str">
        <f>Github!L$634</f>
        <v>Math;Two Pointers;Binary Search;</v>
      </c>
      <c r="L635" s="17" t="b">
        <f>Github!M$634</f>
        <v>1</v>
      </c>
      <c r="M635" s="17" t="str">
        <f>ROUND(Github!N$634, 2)&amp;"%"</f>
        <v>0%</v>
      </c>
      <c r="N635" s="17">
        <f>Github!O$634</f>
        <v>34.52249506</v>
      </c>
      <c r="O635" s="17">
        <f>Github!P$634</f>
        <v>128187</v>
      </c>
    </row>
    <row r="636">
      <c r="A636" s="17">
        <f>Github!J$635</f>
        <v>634</v>
      </c>
      <c r="B636" s="27" t="str">
        <f>HYPERLINK(CONCAT("http://leetcode.com/problems/",Github!C$635), Github!B$635)</f>
        <v>Find the Derangement of An Array</v>
      </c>
      <c r="C636" s="17">
        <f>Github!F$635</f>
        <v>162</v>
      </c>
      <c r="D636" s="17">
        <f>Github!G$635</f>
        <v>132</v>
      </c>
      <c r="E636" s="17">
        <f>Github!F$635+Github!G$635</f>
        <v>294</v>
      </c>
      <c r="F636" s="18">
        <f t="shared" si="1"/>
        <v>1.23</v>
      </c>
      <c r="G636" s="17" t="str">
        <f>Github!H$635</f>
        <v>Algorithms</v>
      </c>
      <c r="H636" s="17" t="str">
        <f>Github!E$635</f>
        <v>Medium</v>
      </c>
      <c r="I636" s="17" t="str">
        <f>IF(TRIM(Github!D$635)="TRUE","FALSE","TRUE")</f>
        <v>FALSE</v>
      </c>
      <c r="J636" s="17"/>
      <c r="K636" s="17" t="str">
        <f>Github!L$635</f>
        <v>Math;Dynamic Programming;</v>
      </c>
      <c r="L636" s="17" t="b">
        <f>Github!M$635</f>
        <v>1</v>
      </c>
      <c r="M636" s="17" t="str">
        <f>ROUND(Github!N$635, 2)&amp;"%"</f>
        <v>0%</v>
      </c>
      <c r="N636" s="17">
        <f>Github!O$635</f>
        <v>41.14565141</v>
      </c>
      <c r="O636" s="17">
        <f>Github!P$635</f>
        <v>8246</v>
      </c>
    </row>
    <row r="637">
      <c r="A637" s="17">
        <f>Github!J$636</f>
        <v>635</v>
      </c>
      <c r="B637" s="27" t="str">
        <f>HYPERLINK(CONCAT("http://leetcode.com/problems/",Github!C$636), Github!B$636)</f>
        <v>Design Log Storage System</v>
      </c>
      <c r="C637" s="17">
        <f>Github!F$636</f>
        <v>408</v>
      </c>
      <c r="D637" s="17">
        <f>Github!G$636</f>
        <v>168</v>
      </c>
      <c r="E637" s="17">
        <f>Github!F$636+Github!G$636</f>
        <v>576</v>
      </c>
      <c r="F637" s="18">
        <f t="shared" si="1"/>
        <v>2.43</v>
      </c>
      <c r="G637" s="17" t="str">
        <f>Github!H$636</f>
        <v>Algorithms</v>
      </c>
      <c r="H637" s="17" t="str">
        <f>Github!E$636</f>
        <v>Medium</v>
      </c>
      <c r="I637" s="17" t="str">
        <f>IF(TRIM(Github!D$636)="TRUE","FALSE","TRUE")</f>
        <v>FALSE</v>
      </c>
      <c r="J637" s="17"/>
      <c r="K637" s="17" t="str">
        <f>Github!L$636</f>
        <v>Hash Table;String;Design;Ordered Set;</v>
      </c>
      <c r="L637" s="17" t="b">
        <f>Github!M$636</f>
        <v>1</v>
      </c>
      <c r="M637" s="17" t="str">
        <f>ROUND(Github!N$636, 2)&amp;"%"</f>
        <v>0%</v>
      </c>
      <c r="N637" s="17">
        <f>Github!O$636</f>
        <v>62.18273033</v>
      </c>
      <c r="O637" s="17">
        <f>Github!P$636</f>
        <v>29252</v>
      </c>
    </row>
    <row r="638">
      <c r="A638" s="17">
        <f>Github!J$637</f>
        <v>636</v>
      </c>
      <c r="B638" s="27" t="str">
        <f>HYPERLINK(CONCAT("http://leetcode.com/problems/",Github!C$637), Github!B$637)</f>
        <v>Exclusive Time of Functions</v>
      </c>
      <c r="C638" s="17">
        <f>Github!F$637</f>
        <v>1548</v>
      </c>
      <c r="D638" s="17">
        <f>Github!G$637</f>
        <v>2318</v>
      </c>
      <c r="E638" s="17">
        <f>Github!F$637+Github!G$637</f>
        <v>3866</v>
      </c>
      <c r="F638" s="18">
        <f t="shared" si="1"/>
        <v>0.67</v>
      </c>
      <c r="G638" s="17" t="str">
        <f>Github!H$637</f>
        <v>Algorithms</v>
      </c>
      <c r="H638" s="17" t="str">
        <f>Github!E$637</f>
        <v>Medium</v>
      </c>
      <c r="I638" s="17" t="str">
        <f>IF(TRIM(Github!D$637)="TRUE","FALSE","TRUE")</f>
        <v>TRUE</v>
      </c>
      <c r="J638" s="17"/>
      <c r="K638" s="17" t="str">
        <f>Github!L$637</f>
        <v>Array;Stack;</v>
      </c>
      <c r="L638" s="17" t="b">
        <f>Github!M$637</f>
        <v>0</v>
      </c>
      <c r="M638" s="17" t="str">
        <f>ROUND(Github!N$637, 2)&amp;"%"</f>
        <v>0%</v>
      </c>
      <c r="N638" s="17">
        <f>Github!O$637</f>
        <v>59.7151747</v>
      </c>
      <c r="O638" s="17">
        <f>Github!P$637</f>
        <v>160621</v>
      </c>
    </row>
    <row r="639">
      <c r="A639" s="17">
        <f>Github!J$638</f>
        <v>637</v>
      </c>
      <c r="B639" s="27" t="str">
        <f>HYPERLINK(CONCAT("http://leetcode.com/problems/",Github!C$638), Github!B$638)</f>
        <v>Average of Levels in Binary Tree</v>
      </c>
      <c r="C639" s="17">
        <f>Github!F$638</f>
        <v>2816</v>
      </c>
      <c r="D639" s="17">
        <f>Github!G$638</f>
        <v>229</v>
      </c>
      <c r="E639" s="17">
        <f>Github!F$638+Github!G$638</f>
        <v>3045</v>
      </c>
      <c r="F639" s="18">
        <f t="shared" si="1"/>
        <v>12.3</v>
      </c>
      <c r="G639" s="17" t="str">
        <f>Github!H$638</f>
        <v>Algorithms</v>
      </c>
      <c r="H639" s="17" t="str">
        <f>Github!E$638</f>
        <v>Easy</v>
      </c>
      <c r="I639" s="17" t="str">
        <f>IF(TRIM(Github!D$638)="TRUE","FALSE","TRUE")</f>
        <v>TRUE</v>
      </c>
      <c r="J639" s="17"/>
      <c r="K639" s="17" t="str">
        <f>Github!L$638</f>
        <v>Tree;Depth-First Search;Breadth-First Search;Binary Tree;</v>
      </c>
      <c r="L639" s="17" t="b">
        <f>Github!M$638</f>
        <v>1</v>
      </c>
      <c r="M639" s="17" t="str">
        <f>ROUND(Github!N$638, 2)&amp;"%"</f>
        <v>0%</v>
      </c>
      <c r="N639" s="17">
        <f>Github!O$638</f>
        <v>68.35423101</v>
      </c>
      <c r="O639" s="17">
        <f>Github!P$638</f>
        <v>256053</v>
      </c>
    </row>
    <row r="640">
      <c r="A640" s="17">
        <f>Github!J$639</f>
        <v>638</v>
      </c>
      <c r="B640" s="27" t="str">
        <f>HYPERLINK(CONCAT("http://leetcode.com/problems/",Github!C$639), Github!B$639)</f>
        <v>Shopping Offers</v>
      </c>
      <c r="C640" s="17">
        <f>Github!F$639</f>
        <v>958</v>
      </c>
      <c r="D640" s="17">
        <f>Github!G$639</f>
        <v>620</v>
      </c>
      <c r="E640" s="17">
        <f>Github!F$639+Github!G$639</f>
        <v>1578</v>
      </c>
      <c r="F640" s="18">
        <f t="shared" si="1"/>
        <v>1.55</v>
      </c>
      <c r="G640" s="17" t="str">
        <f>Github!H$639</f>
        <v>Algorithms</v>
      </c>
      <c r="H640" s="17" t="str">
        <f>Github!E$639</f>
        <v>Medium</v>
      </c>
      <c r="I640" s="17" t="str">
        <f>IF(TRIM(Github!D$639)="TRUE","FALSE","TRUE")</f>
        <v>TRUE</v>
      </c>
      <c r="J640" s="17"/>
      <c r="K640" s="17" t="str">
        <f>Github!L$639</f>
        <v>Array;Dynamic Programming;Backtracking;Bit Manipulation;Memoization;Bitmask;</v>
      </c>
      <c r="L640" s="17" t="b">
        <f>Github!M$639</f>
        <v>1</v>
      </c>
      <c r="M640" s="17" t="str">
        <f>ROUND(Github!N$639, 2)&amp;"%"</f>
        <v>0%</v>
      </c>
      <c r="N640" s="17">
        <f>Github!O$639</f>
        <v>54.46720312</v>
      </c>
      <c r="O640" s="17">
        <f>Github!P$639</f>
        <v>44674</v>
      </c>
    </row>
    <row r="641">
      <c r="A641" s="17">
        <f>Github!J$640</f>
        <v>639</v>
      </c>
      <c r="B641" s="27" t="str">
        <f>HYPERLINK(CONCAT("http://leetcode.com/problems/",Github!C$640), Github!B$640)</f>
        <v>Decode Ways II</v>
      </c>
      <c r="C641" s="17">
        <f>Github!F$640</f>
        <v>1020</v>
      </c>
      <c r="D641" s="17">
        <f>Github!G$640</f>
        <v>739</v>
      </c>
      <c r="E641" s="17">
        <f>Github!F$640+Github!G$640</f>
        <v>1759</v>
      </c>
      <c r="F641" s="18">
        <f t="shared" si="1"/>
        <v>1.38</v>
      </c>
      <c r="G641" s="17" t="str">
        <f>Github!H$640</f>
        <v>Algorithms</v>
      </c>
      <c r="H641" s="17" t="str">
        <f>Github!E$640</f>
        <v>Hard</v>
      </c>
      <c r="I641" s="17" t="str">
        <f>IF(TRIM(Github!D$640)="TRUE","FALSE","TRUE")</f>
        <v>TRUE</v>
      </c>
      <c r="J641" s="17"/>
      <c r="K641" s="17" t="str">
        <f>Github!L$640</f>
        <v>String;Dynamic Programming;</v>
      </c>
      <c r="L641" s="17" t="b">
        <f>Github!M$640</f>
        <v>1</v>
      </c>
      <c r="M641" s="17" t="str">
        <f>ROUND(Github!N$640, 2)&amp;"%"</f>
        <v>0%</v>
      </c>
      <c r="N641" s="17">
        <f>Github!O$640</f>
        <v>30.32437687</v>
      </c>
      <c r="O641" s="17">
        <f>Github!P$640</f>
        <v>59578</v>
      </c>
    </row>
    <row r="642">
      <c r="A642" s="17">
        <f>Github!J$641</f>
        <v>640</v>
      </c>
      <c r="B642" s="27" t="str">
        <f>HYPERLINK(CONCAT("http://leetcode.com/problems/",Github!C$641), Github!B$641)</f>
        <v>Solve the Equation</v>
      </c>
      <c r="C642" s="17">
        <f>Github!F$641</f>
        <v>360</v>
      </c>
      <c r="D642" s="17">
        <f>Github!G$641</f>
        <v>681</v>
      </c>
      <c r="E642" s="17">
        <f>Github!F$641+Github!G$641</f>
        <v>1041</v>
      </c>
      <c r="F642" s="18">
        <f t="shared" si="1"/>
        <v>0.53</v>
      </c>
      <c r="G642" s="17" t="str">
        <f>Github!H$641</f>
        <v>Algorithms</v>
      </c>
      <c r="H642" s="17" t="str">
        <f>Github!E$641</f>
        <v>Medium</v>
      </c>
      <c r="I642" s="17" t="str">
        <f>IF(TRIM(Github!D$641)="TRUE","FALSE","TRUE")</f>
        <v>TRUE</v>
      </c>
      <c r="J642" s="17"/>
      <c r="K642" s="17" t="str">
        <f>Github!L$641</f>
        <v>Math;String;Simulation;</v>
      </c>
      <c r="L642" s="17" t="b">
        <f>Github!M$641</f>
        <v>1</v>
      </c>
      <c r="M642" s="17" t="str">
        <f>ROUND(Github!N$641, 2)&amp;"%"</f>
        <v>0%</v>
      </c>
      <c r="N642" s="17">
        <f>Github!O$641</f>
        <v>43.27976475</v>
      </c>
      <c r="O642" s="17">
        <f>Github!P$641</f>
        <v>31644</v>
      </c>
    </row>
    <row r="643">
      <c r="A643" s="17">
        <f>Github!J$642</f>
        <v>641</v>
      </c>
      <c r="B643" s="27" t="str">
        <f>HYPERLINK(CONCAT("http://leetcode.com/problems/",Github!C$642), Github!B$642)</f>
        <v>Design Circular Deque</v>
      </c>
      <c r="C643" s="17">
        <f>Github!F$642</f>
        <v>655</v>
      </c>
      <c r="D643" s="17">
        <f>Github!G$642</f>
        <v>55</v>
      </c>
      <c r="E643" s="17">
        <f>Github!F$642+Github!G$642</f>
        <v>710</v>
      </c>
      <c r="F643" s="18">
        <f t="shared" si="1"/>
        <v>11.91</v>
      </c>
      <c r="G643" s="17" t="str">
        <f>Github!H$642</f>
        <v>Algorithms</v>
      </c>
      <c r="H643" s="17" t="str">
        <f>Github!E$642</f>
        <v>Medium</v>
      </c>
      <c r="I643" s="17" t="str">
        <f>IF(TRIM(Github!D$642)="TRUE","FALSE","TRUE")</f>
        <v>TRUE</v>
      </c>
      <c r="J643" s="17"/>
      <c r="K643" s="17" t="str">
        <f>Github!L$642</f>
        <v>Array;Linked List;Design;Queue;</v>
      </c>
      <c r="L643" s="17" t="b">
        <f>Github!M$642</f>
        <v>0</v>
      </c>
      <c r="M643" s="17" t="str">
        <f>ROUND(Github!N$642, 2)&amp;"%"</f>
        <v>0%</v>
      </c>
      <c r="N643" s="17">
        <f>Github!O$642</f>
        <v>57.22257273</v>
      </c>
      <c r="O643" s="17">
        <f>Github!P$642</f>
        <v>40814</v>
      </c>
    </row>
    <row r="644">
      <c r="A644" s="17">
        <f>Github!J$643</f>
        <v>642</v>
      </c>
      <c r="B644" s="27" t="str">
        <f>HYPERLINK(CONCAT("http://leetcode.com/problems/",Github!C$643), Github!B$643)</f>
        <v>Design Search Autocomplete System</v>
      </c>
      <c r="C644" s="17">
        <f>Github!F$643</f>
        <v>1700</v>
      </c>
      <c r="D644" s="17">
        <f>Github!G$643</f>
        <v>117</v>
      </c>
      <c r="E644" s="17">
        <f>Github!F$643+Github!G$643</f>
        <v>1817</v>
      </c>
      <c r="F644" s="18">
        <f t="shared" si="1"/>
        <v>14.53</v>
      </c>
      <c r="G644" s="17" t="str">
        <f>Github!H$643</f>
        <v>Algorithms</v>
      </c>
      <c r="H644" s="17" t="str">
        <f>Github!E$643</f>
        <v>Hard</v>
      </c>
      <c r="I644" s="17" t="str">
        <f>IF(TRIM(Github!D$643)="TRUE","FALSE","TRUE")</f>
        <v>FALSE</v>
      </c>
      <c r="J644" s="17"/>
      <c r="K644" s="17" t="str">
        <f>Github!L$643</f>
        <v>String;Design;Trie;Data Stream;</v>
      </c>
      <c r="L644" s="17" t="b">
        <f>Github!M$643</f>
        <v>0</v>
      </c>
      <c r="M644" s="17" t="str">
        <f>ROUND(Github!N$643, 2)&amp;"%"</f>
        <v>0%</v>
      </c>
      <c r="N644" s="17">
        <f>Github!O$643</f>
        <v>48.06569278</v>
      </c>
      <c r="O644" s="17">
        <f>Github!P$643</f>
        <v>108316</v>
      </c>
    </row>
    <row r="645">
      <c r="A645" s="17">
        <f>Github!J$644</f>
        <v>643</v>
      </c>
      <c r="B645" s="27" t="str">
        <f>HYPERLINK(CONCAT("http://leetcode.com/problems/",Github!C$644), Github!B$644)</f>
        <v>Maximum Average Subarray I</v>
      </c>
      <c r="C645" s="17">
        <f>Github!F$644</f>
        <v>1495</v>
      </c>
      <c r="D645" s="17">
        <f>Github!G$644</f>
        <v>155</v>
      </c>
      <c r="E645" s="17">
        <f>Github!F$644+Github!G$644</f>
        <v>1650</v>
      </c>
      <c r="F645" s="18">
        <f t="shared" si="1"/>
        <v>9.65</v>
      </c>
      <c r="G645" s="17" t="str">
        <f>Github!H$644</f>
        <v>Algorithms</v>
      </c>
      <c r="H645" s="17" t="str">
        <f>Github!E$644</f>
        <v>Easy</v>
      </c>
      <c r="I645" s="17" t="str">
        <f>IF(TRIM(Github!D$644)="TRUE","FALSE","TRUE")</f>
        <v>TRUE</v>
      </c>
      <c r="J645" s="17"/>
      <c r="K645" s="17" t="str">
        <f>Github!L$644</f>
        <v>Array;Sliding Window;</v>
      </c>
      <c r="L645" s="17" t="b">
        <f>Github!M$644</f>
        <v>1</v>
      </c>
      <c r="M645" s="17" t="str">
        <f>ROUND(Github!N$644, 2)&amp;"%"</f>
        <v>0%</v>
      </c>
      <c r="N645" s="17">
        <f>Github!O$644</f>
        <v>43.37738035</v>
      </c>
      <c r="O645" s="17">
        <f>Github!P$644</f>
        <v>135144</v>
      </c>
    </row>
    <row r="646">
      <c r="A646" s="17">
        <f>Github!J$645</f>
        <v>644</v>
      </c>
      <c r="B646" s="27" t="str">
        <f>HYPERLINK(CONCAT("http://leetcode.com/problems/",Github!C$645), Github!B$645)</f>
        <v>Maximum Average Subarray II</v>
      </c>
      <c r="C646" s="17">
        <f>Github!F$645</f>
        <v>526</v>
      </c>
      <c r="D646" s="17">
        <f>Github!G$645</f>
        <v>57</v>
      </c>
      <c r="E646" s="17">
        <f>Github!F$645+Github!G$645</f>
        <v>583</v>
      </c>
      <c r="F646" s="18">
        <f t="shared" si="1"/>
        <v>9.23</v>
      </c>
      <c r="G646" s="17" t="str">
        <f>Github!H$645</f>
        <v>Algorithms</v>
      </c>
      <c r="H646" s="17" t="str">
        <f>Github!E$645</f>
        <v>Hard</v>
      </c>
      <c r="I646" s="17" t="str">
        <f>IF(TRIM(Github!D$645)="TRUE","FALSE","TRUE")</f>
        <v>FALSE</v>
      </c>
      <c r="J646" s="17"/>
      <c r="K646" s="17" t="str">
        <f>Github!L$645</f>
        <v>Array;Binary Search;</v>
      </c>
      <c r="L646" s="17" t="b">
        <f>Github!M$645</f>
        <v>1</v>
      </c>
      <c r="M646" s="17" t="str">
        <f>ROUND(Github!N$645, 2)&amp;"%"</f>
        <v>1%</v>
      </c>
      <c r="N646" s="17">
        <f>Github!O$645</f>
        <v>35.13318489</v>
      </c>
      <c r="O646" s="17">
        <f>Github!P$645</f>
        <v>17041</v>
      </c>
    </row>
    <row r="647">
      <c r="A647" s="17">
        <f>Github!J$646</f>
        <v>645</v>
      </c>
      <c r="B647" s="27" t="str">
        <f>HYPERLINK(CONCAT("http://leetcode.com/problems/",Github!C$646), Github!B$646)</f>
        <v>Set Mismatch</v>
      </c>
      <c r="C647" s="17">
        <f>Github!F$646</f>
        <v>1776</v>
      </c>
      <c r="D647" s="17">
        <f>Github!G$646</f>
        <v>544</v>
      </c>
      <c r="E647" s="17">
        <f>Github!F$646+Github!G$646</f>
        <v>2320</v>
      </c>
      <c r="F647" s="18">
        <f t="shared" si="1"/>
        <v>3.26</v>
      </c>
      <c r="G647" s="17" t="str">
        <f>Github!H$646</f>
        <v>Algorithms</v>
      </c>
      <c r="H647" s="17" t="str">
        <f>Github!E$646</f>
        <v>Easy</v>
      </c>
      <c r="I647" s="17" t="str">
        <f>IF(TRIM(Github!D$646)="TRUE","FALSE","TRUE")</f>
        <v>TRUE</v>
      </c>
      <c r="J647" s="17"/>
      <c r="K647" s="17" t="str">
        <f>Github!L$646</f>
        <v>Array;Hash Table;Bit Manipulation;Sorting;</v>
      </c>
      <c r="L647" s="17" t="b">
        <f>Github!M$646</f>
        <v>1</v>
      </c>
      <c r="M647" s="17" t="str">
        <f>ROUND(Github!N$646, 2)&amp;"%"</f>
        <v>0%</v>
      </c>
      <c r="N647" s="17">
        <f>Github!O$646</f>
        <v>41.22823432</v>
      </c>
      <c r="O647" s="17">
        <f>Github!P$646</f>
        <v>160839</v>
      </c>
    </row>
    <row r="648">
      <c r="A648" s="17">
        <f>Github!J$647</f>
        <v>646</v>
      </c>
      <c r="B648" s="27" t="str">
        <f>HYPERLINK(CONCAT("http://leetcode.com/problems/",Github!C$647), Github!B$647)</f>
        <v>Maximum Length of Pair Chain</v>
      </c>
      <c r="C648" s="17">
        <f>Github!F$647</f>
        <v>2110</v>
      </c>
      <c r="D648" s="17">
        <f>Github!G$647</f>
        <v>99</v>
      </c>
      <c r="E648" s="17">
        <f>Github!F$647+Github!G$647</f>
        <v>2209</v>
      </c>
      <c r="F648" s="18">
        <f t="shared" si="1"/>
        <v>21.31</v>
      </c>
      <c r="G648" s="17" t="str">
        <f>Github!H$647</f>
        <v>Algorithms</v>
      </c>
      <c r="H648" s="17" t="str">
        <f>Github!E$647</f>
        <v>Medium</v>
      </c>
      <c r="I648" s="17" t="str">
        <f>IF(TRIM(Github!D$647)="TRUE","FALSE","TRUE")</f>
        <v>TRUE</v>
      </c>
      <c r="J648" s="17"/>
      <c r="K648" s="17" t="str">
        <f>Github!L$647</f>
        <v>Array;Dynamic Programming;Greedy;Sorting;</v>
      </c>
      <c r="L648" s="17" t="b">
        <f>Github!M$647</f>
        <v>1</v>
      </c>
      <c r="M648" s="17" t="str">
        <f>ROUND(Github!N$647, 2)&amp;"%"</f>
        <v>0%</v>
      </c>
      <c r="N648" s="17">
        <f>Github!O$647</f>
        <v>55.45022184</v>
      </c>
      <c r="O648" s="17">
        <f>Github!P$647</f>
        <v>104231</v>
      </c>
    </row>
    <row r="649">
      <c r="A649" s="17">
        <f>Github!J$648</f>
        <v>647</v>
      </c>
      <c r="B649" s="27" t="str">
        <f>HYPERLINK(CONCAT("http://leetcode.com/problems/",Github!C$648), Github!B$648)</f>
        <v>Palindromic Substrings</v>
      </c>
      <c r="C649" s="17">
        <f>Github!F$648</f>
        <v>5980</v>
      </c>
      <c r="D649" s="17">
        <f>Github!G$648</f>
        <v>152</v>
      </c>
      <c r="E649" s="17">
        <f>Github!F$648+Github!G$648</f>
        <v>6132</v>
      </c>
      <c r="F649" s="18">
        <f t="shared" si="1"/>
        <v>39.34</v>
      </c>
      <c r="G649" s="17" t="str">
        <f>Github!H$648</f>
        <v>Algorithms</v>
      </c>
      <c r="H649" s="17" t="str">
        <f>Github!E$648</f>
        <v>Medium</v>
      </c>
      <c r="I649" s="17" t="str">
        <f>IF(TRIM(Github!D$648)="TRUE","FALSE","TRUE")</f>
        <v>TRUE</v>
      </c>
      <c r="J649" s="17"/>
      <c r="K649" s="17" t="str">
        <f>Github!L$648</f>
        <v>String;Dynamic Programming;</v>
      </c>
      <c r="L649" s="17" t="b">
        <f>Github!M$648</f>
        <v>1</v>
      </c>
      <c r="M649" s="17" t="str">
        <f>ROUND(Github!N$648, 2)&amp;"%"</f>
        <v>0%</v>
      </c>
      <c r="N649" s="17">
        <f>Github!O$648</f>
        <v>64.32548605</v>
      </c>
      <c r="O649" s="17">
        <f>Github!P$648</f>
        <v>382500</v>
      </c>
    </row>
    <row r="650">
      <c r="A650" s="17">
        <f>Github!J$649</f>
        <v>648</v>
      </c>
      <c r="B650" s="27" t="str">
        <f>HYPERLINK(CONCAT("http://leetcode.com/problems/",Github!C$649), Github!B$649)</f>
        <v>Replace Words</v>
      </c>
      <c r="C650" s="17">
        <f>Github!F$649</f>
        <v>1428</v>
      </c>
      <c r="D650" s="17">
        <f>Github!G$649</f>
        <v>150</v>
      </c>
      <c r="E650" s="17">
        <f>Github!F$649+Github!G$649</f>
        <v>1578</v>
      </c>
      <c r="F650" s="18">
        <f t="shared" si="1"/>
        <v>9.52</v>
      </c>
      <c r="G650" s="17" t="str">
        <f>Github!H$649</f>
        <v>Algorithms</v>
      </c>
      <c r="H650" s="17" t="str">
        <f>Github!E$649</f>
        <v>Medium</v>
      </c>
      <c r="I650" s="17" t="str">
        <f>IF(TRIM(Github!D$649)="TRUE","FALSE","TRUE")</f>
        <v>TRUE</v>
      </c>
      <c r="J650" s="17"/>
      <c r="K650" s="17" t="str">
        <f>Github!L$649</f>
        <v>Array;Hash Table;String;Trie;</v>
      </c>
      <c r="L650" s="17" t="b">
        <f>Github!M$649</f>
        <v>1</v>
      </c>
      <c r="M650" s="17" t="str">
        <f>ROUND(Github!N$649, 2)&amp;"%"</f>
        <v>0%</v>
      </c>
      <c r="N650" s="17">
        <f>Github!O$649</f>
        <v>61.77173116</v>
      </c>
      <c r="O650" s="17">
        <f>Github!P$649</f>
        <v>91805</v>
      </c>
    </row>
    <row r="651">
      <c r="A651" s="17">
        <f>Github!J$650</f>
        <v>649</v>
      </c>
      <c r="B651" s="27" t="str">
        <f>HYPERLINK(CONCAT("http://leetcode.com/problems/",Github!C$650), Github!B$650)</f>
        <v>Dota2 Senate</v>
      </c>
      <c r="C651" s="17">
        <f>Github!F$650</f>
        <v>412</v>
      </c>
      <c r="D651" s="17">
        <f>Github!G$650</f>
        <v>299</v>
      </c>
      <c r="E651" s="17">
        <f>Github!F$650+Github!G$650</f>
        <v>711</v>
      </c>
      <c r="F651" s="18">
        <f t="shared" si="1"/>
        <v>1.38</v>
      </c>
      <c r="G651" s="17" t="str">
        <f>Github!H$650</f>
        <v>Algorithms</v>
      </c>
      <c r="H651" s="17" t="str">
        <f>Github!E$650</f>
        <v>Medium</v>
      </c>
      <c r="I651" s="17" t="str">
        <f>IF(TRIM(Github!D$650)="TRUE","FALSE","TRUE")</f>
        <v>TRUE</v>
      </c>
      <c r="J651" s="17"/>
      <c r="K651" s="17" t="str">
        <f>Github!L$650</f>
        <v>String;Greedy;Queue;</v>
      </c>
      <c r="L651" s="17" t="b">
        <f>Github!M$650</f>
        <v>0</v>
      </c>
      <c r="M651" s="17" t="str">
        <f>ROUND(Github!N$650, 2)&amp;"%"</f>
        <v>0%</v>
      </c>
      <c r="N651" s="17">
        <f>Github!O$650</f>
        <v>39.87282912</v>
      </c>
      <c r="O651" s="17">
        <f>Github!P$650</f>
        <v>18435</v>
      </c>
    </row>
    <row r="652">
      <c r="A652" s="17">
        <f>Github!J$651</f>
        <v>650</v>
      </c>
      <c r="B652" s="27" t="str">
        <f>HYPERLINK(CONCAT("http://leetcode.com/problems/",Github!C$651), Github!B$651)</f>
        <v>2 Keys Keyboard</v>
      </c>
      <c r="C652" s="17">
        <f>Github!F$651</f>
        <v>2390</v>
      </c>
      <c r="D652" s="17">
        <f>Github!G$651</f>
        <v>158</v>
      </c>
      <c r="E652" s="17">
        <f>Github!F$651+Github!G$651</f>
        <v>2548</v>
      </c>
      <c r="F652" s="18">
        <f t="shared" si="1"/>
        <v>15.13</v>
      </c>
      <c r="G652" s="17" t="str">
        <f>Github!H$651</f>
        <v>Algorithms</v>
      </c>
      <c r="H652" s="17" t="str">
        <f>Github!E$651</f>
        <v>Medium</v>
      </c>
      <c r="I652" s="17" t="str">
        <f>IF(TRIM(Github!D$651)="TRUE","FALSE","TRUE")</f>
        <v>TRUE</v>
      </c>
      <c r="J652" s="17"/>
      <c r="K652" s="17" t="str">
        <f>Github!L$651</f>
        <v>Math;Dynamic Programming;</v>
      </c>
      <c r="L652" s="17" t="b">
        <f>Github!M$651</f>
        <v>1</v>
      </c>
      <c r="M652" s="17" t="str">
        <f>ROUND(Github!N$651, 2)&amp;"%"</f>
        <v>0%</v>
      </c>
      <c r="N652" s="17">
        <f>Github!O$651</f>
        <v>52.10525455</v>
      </c>
      <c r="O652" s="17">
        <f>Github!P$651</f>
        <v>95523</v>
      </c>
    </row>
    <row r="653">
      <c r="A653" s="17">
        <f>Github!J$652</f>
        <v>651</v>
      </c>
      <c r="B653" s="27" t="str">
        <f>HYPERLINK(CONCAT("http://leetcode.com/problems/",Github!C$652), Github!B$652)</f>
        <v>4 Keys Keyboard</v>
      </c>
      <c r="C653" s="17">
        <f>Github!F$652</f>
        <v>492</v>
      </c>
      <c r="D653" s="17">
        <f>Github!G$652</f>
        <v>70</v>
      </c>
      <c r="E653" s="17">
        <f>Github!F$652+Github!G$652</f>
        <v>562</v>
      </c>
      <c r="F653" s="18">
        <f t="shared" si="1"/>
        <v>7.03</v>
      </c>
      <c r="G653" s="17" t="str">
        <f>Github!H$652</f>
        <v>Algorithms</v>
      </c>
      <c r="H653" s="17" t="str">
        <f>Github!E$652</f>
        <v>Medium</v>
      </c>
      <c r="I653" s="17" t="str">
        <f>IF(TRIM(Github!D$652)="TRUE","FALSE","TRUE")</f>
        <v>FALSE</v>
      </c>
      <c r="J653" s="17"/>
      <c r="K653" s="17" t="str">
        <f>Github!L$652</f>
        <v>Math;Dynamic Programming;</v>
      </c>
      <c r="L653" s="17" t="b">
        <f>Github!M$652</f>
        <v>0</v>
      </c>
      <c r="M653" s="17" t="str">
        <f>ROUND(Github!N$652, 2)&amp;"%"</f>
        <v>0%</v>
      </c>
      <c r="N653" s="17">
        <f>Github!O$652</f>
        <v>54.03747263</v>
      </c>
      <c r="O653" s="17">
        <f>Github!P$652</f>
        <v>21227</v>
      </c>
    </row>
    <row r="654">
      <c r="A654" s="17">
        <f>Github!J$653</f>
        <v>652</v>
      </c>
      <c r="B654" s="27" t="str">
        <f>HYPERLINK(CONCAT("http://leetcode.com/problems/",Github!C$653), Github!B$653)</f>
        <v>Find Duplicate Subtrees</v>
      </c>
      <c r="C654" s="17">
        <f>Github!F$653</f>
        <v>3033</v>
      </c>
      <c r="D654" s="17">
        <f>Github!G$653</f>
        <v>291</v>
      </c>
      <c r="E654" s="17">
        <f>Github!F$653+Github!G$653</f>
        <v>3324</v>
      </c>
      <c r="F654" s="18">
        <f t="shared" si="1"/>
        <v>10.42</v>
      </c>
      <c r="G654" s="17" t="str">
        <f>Github!H$653</f>
        <v>Algorithms</v>
      </c>
      <c r="H654" s="17" t="str">
        <f>Github!E$653</f>
        <v>Medium</v>
      </c>
      <c r="I654" s="17" t="str">
        <f>IF(TRIM(Github!D$653)="TRUE","FALSE","TRUE")</f>
        <v>TRUE</v>
      </c>
      <c r="J654" s="17"/>
      <c r="K654" s="17" t="str">
        <f>Github!L$653</f>
        <v>Hash Table;Tree;Depth-First Search;Binary Tree;</v>
      </c>
      <c r="L654" s="17" t="b">
        <f>Github!M$653</f>
        <v>0</v>
      </c>
      <c r="M654" s="17" t="str">
        <f>ROUND(Github!N$653, 2)&amp;"%"</f>
        <v>0%</v>
      </c>
      <c r="N654" s="17">
        <f>Github!O$653</f>
        <v>55.51449304</v>
      </c>
      <c r="O654" s="17">
        <f>Github!P$653</f>
        <v>140000</v>
      </c>
    </row>
    <row r="655">
      <c r="A655" s="17">
        <f>Github!J$654</f>
        <v>653</v>
      </c>
      <c r="B655" s="27" t="str">
        <f>HYPERLINK(CONCAT("http://leetcode.com/problems/",Github!C$654), Github!B$654)</f>
        <v>Two Sum IV - Input is a BST</v>
      </c>
      <c r="C655" s="17">
        <f>Github!F$654</f>
        <v>3394</v>
      </c>
      <c r="D655" s="17">
        <f>Github!G$654</f>
        <v>195</v>
      </c>
      <c r="E655" s="17">
        <f>Github!F$654+Github!G$654</f>
        <v>3589</v>
      </c>
      <c r="F655" s="18">
        <f t="shared" si="1"/>
        <v>17.41</v>
      </c>
      <c r="G655" s="17" t="str">
        <f>Github!H$654</f>
        <v>Algorithms</v>
      </c>
      <c r="H655" s="17" t="str">
        <f>Github!E$654</f>
        <v>Easy</v>
      </c>
      <c r="I655" s="17" t="str">
        <f>IF(TRIM(Github!D$654)="TRUE","FALSE","TRUE")</f>
        <v>TRUE</v>
      </c>
      <c r="J655" s="17"/>
      <c r="K655" s="17" t="str">
        <f>Github!L$654</f>
        <v>Hash Table;Two Pointers;Tree;Depth-First Search;Breadth-First Search;Binary Search Tree;Binary Tree;</v>
      </c>
      <c r="L655" s="17" t="b">
        <f>Github!M$654</f>
        <v>1</v>
      </c>
      <c r="M655" s="17" t="str">
        <f>ROUND(Github!N$654, 2)&amp;"%"</f>
        <v>0%</v>
      </c>
      <c r="N655" s="17">
        <f>Github!O$654</f>
        <v>58.60846932</v>
      </c>
      <c r="O655" s="17">
        <f>Github!P$654</f>
        <v>292714</v>
      </c>
    </row>
    <row r="656">
      <c r="A656" s="17">
        <f>Github!J$655</f>
        <v>654</v>
      </c>
      <c r="B656" s="27" t="str">
        <f>HYPERLINK(CONCAT("http://leetcode.com/problems/",Github!C$655), Github!B$655)</f>
        <v>Maximum Binary Tree</v>
      </c>
      <c r="C656" s="17">
        <f>Github!F$655</f>
        <v>3445</v>
      </c>
      <c r="D656" s="17">
        <f>Github!G$655</f>
        <v>294</v>
      </c>
      <c r="E656" s="17">
        <f>Github!F$655+Github!G$655</f>
        <v>3739</v>
      </c>
      <c r="F656" s="18">
        <f t="shared" si="1"/>
        <v>11.72</v>
      </c>
      <c r="G656" s="17" t="str">
        <f>Github!H$655</f>
        <v>Algorithms</v>
      </c>
      <c r="H656" s="17" t="str">
        <f>Github!E$655</f>
        <v>Medium</v>
      </c>
      <c r="I656" s="17" t="str">
        <f>IF(TRIM(Github!D$655)="TRUE","FALSE","TRUE")</f>
        <v>TRUE</v>
      </c>
      <c r="J656" s="17"/>
      <c r="K656" s="17" t="str">
        <f>Github!L$655</f>
        <v>Array;Divide and Conquer;Stack;Tree;Monotonic Stack;Binary Tree;</v>
      </c>
      <c r="L656" s="17" t="b">
        <f>Github!M$655</f>
        <v>1</v>
      </c>
      <c r="M656" s="17" t="str">
        <f>ROUND(Github!N$655, 2)&amp;"%"</f>
        <v>0%</v>
      </c>
      <c r="N656" s="17">
        <f>Github!O$655</f>
        <v>83.31539641</v>
      </c>
      <c r="O656" s="17">
        <f>Github!P$655</f>
        <v>204374</v>
      </c>
    </row>
    <row r="657">
      <c r="A657" s="17">
        <f>Github!J$656</f>
        <v>655</v>
      </c>
      <c r="B657" s="27" t="str">
        <f>HYPERLINK(CONCAT("http://leetcode.com/problems/",Github!C$656), Github!B$656)</f>
        <v>Print Binary Tree</v>
      </c>
      <c r="C657" s="17">
        <f>Github!F$656</f>
        <v>160</v>
      </c>
      <c r="D657" s="17">
        <f>Github!G$656</f>
        <v>183</v>
      </c>
      <c r="E657" s="17">
        <f>Github!F$656+Github!G$656</f>
        <v>343</v>
      </c>
      <c r="F657" s="18">
        <f t="shared" si="1"/>
        <v>0.87</v>
      </c>
      <c r="G657" s="17" t="str">
        <f>Github!H$656</f>
        <v>Algorithms</v>
      </c>
      <c r="H657" s="17" t="str">
        <f>Github!E$656</f>
        <v>Medium</v>
      </c>
      <c r="I657" s="17" t="str">
        <f>IF(TRIM(Github!D$656)="TRUE","FALSE","TRUE")</f>
        <v>TRUE</v>
      </c>
      <c r="J657" s="17"/>
      <c r="K657" s="17" t="str">
        <f>Github!L$656</f>
        <v>Tree;Depth-First Search;Breadth-First Search;Binary Tree;</v>
      </c>
      <c r="L657" s="17" t="b">
        <f>Github!M$656</f>
        <v>0</v>
      </c>
      <c r="M657" s="17" t="str">
        <f>ROUND(Github!N$656, 2)&amp;"%"</f>
        <v>0%</v>
      </c>
      <c r="N657" s="17">
        <f>Github!O$656</f>
        <v>59.27463774</v>
      </c>
      <c r="O657" s="17">
        <f>Github!P$656</f>
        <v>48965</v>
      </c>
    </row>
    <row r="658">
      <c r="A658" s="17">
        <f>Github!J$657</f>
        <v>656</v>
      </c>
      <c r="B658" s="27" t="str">
        <f>HYPERLINK(CONCAT("http://leetcode.com/problems/",Github!C$657), Github!B$657)</f>
        <v>Coin Path</v>
      </c>
      <c r="C658" s="17">
        <f>Github!F$657</f>
        <v>216</v>
      </c>
      <c r="D658" s="17">
        <f>Github!G$657</f>
        <v>96</v>
      </c>
      <c r="E658" s="17">
        <f>Github!F$657+Github!G$657</f>
        <v>312</v>
      </c>
      <c r="F658" s="18">
        <f t="shared" si="1"/>
        <v>2.25</v>
      </c>
      <c r="G658" s="17" t="str">
        <f>Github!H$657</f>
        <v>Algorithms</v>
      </c>
      <c r="H658" s="17" t="str">
        <f>Github!E$657</f>
        <v>Hard</v>
      </c>
      <c r="I658" s="17" t="str">
        <f>IF(TRIM(Github!D$657)="TRUE","FALSE","TRUE")</f>
        <v>FALSE</v>
      </c>
      <c r="J658" s="17"/>
      <c r="K658" s="17" t="str">
        <f>Github!L$657</f>
        <v>Array;Dynamic Programming;</v>
      </c>
      <c r="L658" s="17" t="b">
        <f>Github!M$657</f>
        <v>1</v>
      </c>
      <c r="M658" s="17" t="str">
        <f>ROUND(Github!N$657, 2)&amp;"%"</f>
        <v>0%</v>
      </c>
      <c r="N658" s="17">
        <f>Github!O$657</f>
        <v>31.17941169</v>
      </c>
      <c r="O658" s="17">
        <f>Github!P$657</f>
        <v>12285</v>
      </c>
    </row>
    <row r="659">
      <c r="A659" s="17">
        <f>Github!J$658</f>
        <v>657</v>
      </c>
      <c r="B659" s="27" t="str">
        <f>HYPERLINK(CONCAT("http://leetcode.com/problems/",Github!C$658), Github!B$658)</f>
        <v>Robot Return to Origin</v>
      </c>
      <c r="C659" s="17">
        <f>Github!F$658</f>
        <v>1624</v>
      </c>
      <c r="D659" s="17">
        <f>Github!G$658</f>
        <v>712</v>
      </c>
      <c r="E659" s="17">
        <f>Github!F$658+Github!G$658</f>
        <v>2336</v>
      </c>
      <c r="F659" s="18">
        <f t="shared" si="1"/>
        <v>2.28</v>
      </c>
      <c r="G659" s="17" t="str">
        <f>Github!H$658</f>
        <v>Algorithms</v>
      </c>
      <c r="H659" s="17" t="str">
        <f>Github!E$658</f>
        <v>Easy</v>
      </c>
      <c r="I659" s="17" t="str">
        <f>IF(TRIM(Github!D$658)="TRUE","FALSE","TRUE")</f>
        <v>TRUE</v>
      </c>
      <c r="J659" s="17"/>
      <c r="K659" s="17" t="str">
        <f>Github!L$658</f>
        <v>String;Simulation;</v>
      </c>
      <c r="L659" s="17" t="b">
        <f>Github!M$658</f>
        <v>1</v>
      </c>
      <c r="M659" s="17" t="str">
        <f>ROUND(Github!N$658, 2)&amp;"%"</f>
        <v>0%</v>
      </c>
      <c r="N659" s="17">
        <f>Github!O$658</f>
        <v>74.97350907</v>
      </c>
      <c r="O659" s="17">
        <f>Github!P$658</f>
        <v>322638</v>
      </c>
    </row>
    <row r="660">
      <c r="A660" s="17">
        <f>Github!J$659</f>
        <v>658</v>
      </c>
      <c r="B660" s="27" t="str">
        <f>HYPERLINK(CONCAT("http://leetcode.com/problems/",Github!C$659), Github!B$659)</f>
        <v>Find K Closest Elements</v>
      </c>
      <c r="C660" s="17">
        <f>Github!F$659</f>
        <v>3970</v>
      </c>
      <c r="D660" s="17">
        <f>Github!G$659</f>
        <v>407</v>
      </c>
      <c r="E660" s="17">
        <f>Github!F$659+Github!G$659</f>
        <v>4377</v>
      </c>
      <c r="F660" s="18">
        <f t="shared" si="1"/>
        <v>9.75</v>
      </c>
      <c r="G660" s="17" t="str">
        <f>Github!H$659</f>
        <v>Algorithms</v>
      </c>
      <c r="H660" s="17" t="str">
        <f>Github!E$659</f>
        <v>Medium</v>
      </c>
      <c r="I660" s="17" t="str">
        <f>IF(TRIM(Github!D$659)="TRUE","FALSE","TRUE")</f>
        <v>TRUE</v>
      </c>
      <c r="J660" s="17"/>
      <c r="K660" s="17" t="str">
        <f>Github!L$659</f>
        <v>Array;Two Pointers;Binary Search;Sorting;Heap (Priority Queue);</v>
      </c>
      <c r="L660" s="17" t="b">
        <f>Github!M$659</f>
        <v>1</v>
      </c>
      <c r="M660" s="17" t="str">
        <f>ROUND(Github!N$659, 2)&amp;"%"</f>
        <v>0%</v>
      </c>
      <c r="N660" s="17">
        <f>Github!O$659</f>
        <v>44.32614629</v>
      </c>
      <c r="O660" s="17">
        <f>Github!P$659</f>
        <v>266820</v>
      </c>
    </row>
    <row r="661">
      <c r="A661" s="17">
        <f>Github!J$660</f>
        <v>659</v>
      </c>
      <c r="B661" s="27" t="str">
        <f>HYPERLINK(CONCAT("http://leetcode.com/problems/",Github!C$660), Github!B$660)</f>
        <v>Split Array into Consecutive Subsequences</v>
      </c>
      <c r="C661" s="17">
        <f>Github!F$660</f>
        <v>2049</v>
      </c>
      <c r="D661" s="17">
        <f>Github!G$660</f>
        <v>543</v>
      </c>
      <c r="E661" s="17">
        <f>Github!F$660+Github!G$660</f>
        <v>2592</v>
      </c>
      <c r="F661" s="18">
        <f t="shared" si="1"/>
        <v>3.77</v>
      </c>
      <c r="G661" s="17" t="str">
        <f>Github!H$660</f>
        <v>Algorithms</v>
      </c>
      <c r="H661" s="17" t="str">
        <f>Github!E$660</f>
        <v>Medium</v>
      </c>
      <c r="I661" s="17" t="str">
        <f>IF(TRIM(Github!D$660)="TRUE","FALSE","TRUE")</f>
        <v>TRUE</v>
      </c>
      <c r="J661" s="17"/>
      <c r="K661" s="17" t="str">
        <f>Github!L$660</f>
        <v>Array;Hash Table;Greedy;Heap (Priority Queue);</v>
      </c>
      <c r="L661" s="17" t="b">
        <f>Github!M$660</f>
        <v>1</v>
      </c>
      <c r="M661" s="17" t="str">
        <f>ROUND(Github!N$660, 2)&amp;"%"</f>
        <v>0%</v>
      </c>
      <c r="N661" s="17">
        <f>Github!O$660</f>
        <v>45.49924662</v>
      </c>
      <c r="O661" s="17">
        <f>Github!P$660</f>
        <v>67640</v>
      </c>
    </row>
    <row r="662">
      <c r="A662" s="17">
        <f>Github!J$661</f>
        <v>660</v>
      </c>
      <c r="B662" s="27" t="str">
        <f>HYPERLINK(CONCAT("http://leetcode.com/problems/",Github!C$661), Github!B$661)</f>
        <v>Remove 9</v>
      </c>
      <c r="C662" s="17">
        <f>Github!F$661</f>
        <v>133</v>
      </c>
      <c r="D662" s="17">
        <f>Github!G$661</f>
        <v>165</v>
      </c>
      <c r="E662" s="17">
        <f>Github!F$661+Github!G$661</f>
        <v>298</v>
      </c>
      <c r="F662" s="18">
        <f t="shared" si="1"/>
        <v>0.81</v>
      </c>
      <c r="G662" s="17" t="str">
        <f>Github!H$661</f>
        <v>Algorithms</v>
      </c>
      <c r="H662" s="17" t="str">
        <f>Github!E$661</f>
        <v>Hard</v>
      </c>
      <c r="I662" s="17" t="str">
        <f>IF(TRIM(Github!D$661)="TRUE","FALSE","TRUE")</f>
        <v>FALSE</v>
      </c>
      <c r="J662" s="17"/>
      <c r="K662" s="17" t="str">
        <f>Github!L$661</f>
        <v>Math;</v>
      </c>
      <c r="L662" s="17" t="b">
        <f>Github!M$661</f>
        <v>1</v>
      </c>
      <c r="M662" s="17" t="str">
        <f>ROUND(Github!N$661, 2)&amp;"%"</f>
        <v>0%</v>
      </c>
      <c r="N662" s="17">
        <f>Github!O$661</f>
        <v>55.44744591</v>
      </c>
      <c r="O662" s="17">
        <f>Github!P$661</f>
        <v>8662</v>
      </c>
    </row>
    <row r="663">
      <c r="A663" s="17">
        <f>Github!J$662</f>
        <v>661</v>
      </c>
      <c r="B663" s="27" t="str">
        <f>HYPERLINK(CONCAT("http://leetcode.com/problems/",Github!C$662), Github!B$662)</f>
        <v>Image Smoother</v>
      </c>
      <c r="C663" s="17">
        <f>Github!F$662</f>
        <v>375</v>
      </c>
      <c r="D663" s="17">
        <f>Github!G$662</f>
        <v>1560</v>
      </c>
      <c r="E663" s="17">
        <f>Github!F$662+Github!G$662</f>
        <v>1935</v>
      </c>
      <c r="F663" s="18">
        <f t="shared" si="1"/>
        <v>0.24</v>
      </c>
      <c r="G663" s="17" t="str">
        <f>Github!H$662</f>
        <v>Algorithms</v>
      </c>
      <c r="H663" s="17" t="str">
        <f>Github!E$662</f>
        <v>Easy</v>
      </c>
      <c r="I663" s="17" t="str">
        <f>IF(TRIM(Github!D$662)="TRUE","FALSE","TRUE")</f>
        <v>TRUE</v>
      </c>
      <c r="J663" s="17"/>
      <c r="K663" s="17" t="str">
        <f>Github!L$662</f>
        <v>Array;Matrix;</v>
      </c>
      <c r="L663" s="17" t="b">
        <f>Github!M$662</f>
        <v>0</v>
      </c>
      <c r="M663" s="17" t="str">
        <f>ROUND(Github!N$662, 2)&amp;"%"</f>
        <v>0%</v>
      </c>
      <c r="N663" s="17">
        <f>Github!O$662</f>
        <v>53.95452787</v>
      </c>
      <c r="O663" s="17">
        <f>Github!P$662</f>
        <v>62767</v>
      </c>
    </row>
    <row r="664">
      <c r="A664" s="17">
        <f>Github!J$663</f>
        <v>662</v>
      </c>
      <c r="B664" s="27" t="str">
        <f>HYPERLINK(CONCAT("http://leetcode.com/problems/",Github!C$663), Github!B$663)</f>
        <v>Maximum Width of Binary Tree</v>
      </c>
      <c r="C664" s="17">
        <f>Github!F$663</f>
        <v>4291</v>
      </c>
      <c r="D664" s="17">
        <f>Github!G$663</f>
        <v>693</v>
      </c>
      <c r="E664" s="17">
        <f>Github!F$663+Github!G$663</f>
        <v>4984</v>
      </c>
      <c r="F664" s="18">
        <f t="shared" si="1"/>
        <v>6.19</v>
      </c>
      <c r="G664" s="17" t="str">
        <f>Github!H$663</f>
        <v>Algorithms</v>
      </c>
      <c r="H664" s="17" t="str">
        <f>Github!E$663</f>
        <v>Medium</v>
      </c>
      <c r="I664" s="17" t="str">
        <f>IF(TRIM(Github!D$663)="TRUE","FALSE","TRUE")</f>
        <v>TRUE</v>
      </c>
      <c r="J664" s="17"/>
      <c r="K664" s="17" t="str">
        <f>Github!L$663</f>
        <v>Tree;Depth-First Search;Breadth-First Search;Binary Tree;</v>
      </c>
      <c r="L664" s="17" t="b">
        <f>Github!M$663</f>
        <v>1</v>
      </c>
      <c r="M664" s="17" t="str">
        <f>ROUND(Github!N$663, 2)&amp;"%"</f>
        <v>0%</v>
      </c>
      <c r="N664" s="17">
        <f>Github!O$663</f>
        <v>40.15112505</v>
      </c>
      <c r="O664" s="17">
        <f>Github!P$663</f>
        <v>174656</v>
      </c>
    </row>
    <row r="665">
      <c r="A665" s="17">
        <f>Github!J$664</f>
        <v>663</v>
      </c>
      <c r="B665" s="27" t="str">
        <f>HYPERLINK(CONCAT("http://leetcode.com/problems/",Github!C$664), Github!B$664)</f>
        <v>Equal Tree Partition</v>
      </c>
      <c r="C665" s="17">
        <f>Github!F$664</f>
        <v>418</v>
      </c>
      <c r="D665" s="17">
        <f>Github!G$664</f>
        <v>32</v>
      </c>
      <c r="E665" s="17">
        <f>Github!F$664+Github!G$664</f>
        <v>450</v>
      </c>
      <c r="F665" s="18">
        <f t="shared" si="1"/>
        <v>13.06</v>
      </c>
      <c r="G665" s="17" t="str">
        <f>Github!H$664</f>
        <v>Algorithms</v>
      </c>
      <c r="H665" s="17" t="str">
        <f>Github!E$664</f>
        <v>Medium</v>
      </c>
      <c r="I665" s="17" t="str">
        <f>IF(TRIM(Github!D$664)="TRUE","FALSE","TRUE")</f>
        <v>FALSE</v>
      </c>
      <c r="J665" s="17"/>
      <c r="K665" s="17" t="str">
        <f>Github!L$664</f>
        <v>Tree;Depth-First Search;Binary Tree;</v>
      </c>
      <c r="L665" s="17" t="b">
        <f>Github!M$664</f>
        <v>1</v>
      </c>
      <c r="M665" s="17" t="str">
        <f>ROUND(Github!N$664, 2)&amp;"%"</f>
        <v>0%</v>
      </c>
      <c r="N665" s="17">
        <f>Github!O$664</f>
        <v>41.13771173</v>
      </c>
      <c r="O665" s="17">
        <f>Github!P$664</f>
        <v>26909</v>
      </c>
    </row>
    <row r="666">
      <c r="A666" s="17">
        <f>Github!J$665</f>
        <v>664</v>
      </c>
      <c r="B666" s="27" t="str">
        <f>HYPERLINK(CONCAT("http://leetcode.com/problems/",Github!C$665), Github!B$665)</f>
        <v>Strange Printer</v>
      </c>
      <c r="C666" s="17">
        <f>Github!F$665</f>
        <v>792</v>
      </c>
      <c r="D666" s="17">
        <f>Github!G$665</f>
        <v>73</v>
      </c>
      <c r="E666" s="17">
        <f>Github!F$665+Github!G$665</f>
        <v>865</v>
      </c>
      <c r="F666" s="18">
        <f t="shared" si="1"/>
        <v>10.85</v>
      </c>
      <c r="G666" s="17" t="str">
        <f>Github!H$665</f>
        <v>Algorithms</v>
      </c>
      <c r="H666" s="17" t="str">
        <f>Github!E$665</f>
        <v>Hard</v>
      </c>
      <c r="I666" s="17" t="str">
        <f>IF(TRIM(Github!D$665)="TRUE","FALSE","TRUE")</f>
        <v>TRUE</v>
      </c>
      <c r="J666" s="17"/>
      <c r="K666" s="17" t="str">
        <f>Github!L$665</f>
        <v>String;Dynamic Programming;</v>
      </c>
      <c r="L666" s="17" t="b">
        <f>Github!M$665</f>
        <v>0</v>
      </c>
      <c r="M666" s="17" t="str">
        <f>ROUND(Github!N$665, 2)&amp;"%"</f>
        <v>0%</v>
      </c>
      <c r="N666" s="17">
        <f>Github!O$665</f>
        <v>45.40915645</v>
      </c>
      <c r="O666" s="17">
        <f>Github!P$665</f>
        <v>25193</v>
      </c>
    </row>
    <row r="667">
      <c r="A667" s="17">
        <f>Github!J$666</f>
        <v>665</v>
      </c>
      <c r="B667" s="27" t="str">
        <f>HYPERLINK(CONCAT("http://leetcode.com/problems/",Github!C$666), Github!B$666)</f>
        <v>Non-decreasing Array</v>
      </c>
      <c r="C667" s="17">
        <f>Github!F$666</f>
        <v>3531</v>
      </c>
      <c r="D667" s="17">
        <f>Github!G$666</f>
        <v>663</v>
      </c>
      <c r="E667" s="17">
        <f>Github!F$666+Github!G$666</f>
        <v>4194</v>
      </c>
      <c r="F667" s="18">
        <f t="shared" si="1"/>
        <v>5.33</v>
      </c>
      <c r="G667" s="17" t="str">
        <f>Github!H$666</f>
        <v>Algorithms</v>
      </c>
      <c r="H667" s="17" t="str">
        <f>Github!E$666</f>
        <v>Medium</v>
      </c>
      <c r="I667" s="17" t="str">
        <f>IF(TRIM(Github!D$666)="TRUE","FALSE","TRUE")</f>
        <v>TRUE</v>
      </c>
      <c r="J667" s="17"/>
      <c r="K667" s="17" t="str">
        <f>Github!L$666</f>
        <v>Array;</v>
      </c>
      <c r="L667" s="17" t="b">
        <f>Github!M$666</f>
        <v>1</v>
      </c>
      <c r="M667" s="17" t="str">
        <f>ROUND(Github!N$666, 2)&amp;"%"</f>
        <v>0%</v>
      </c>
      <c r="N667" s="17">
        <f>Github!O$666</f>
        <v>21.43715413</v>
      </c>
      <c r="O667" s="17">
        <f>Github!P$666</f>
        <v>169130</v>
      </c>
    </row>
    <row r="668">
      <c r="A668" s="17">
        <f>Github!J$667</f>
        <v>666</v>
      </c>
      <c r="B668" s="27" t="str">
        <f>HYPERLINK(CONCAT("http://leetcode.com/problems/",Github!C$667), Github!B$667)</f>
        <v>Path Sum IV</v>
      </c>
      <c r="C668" s="17">
        <f>Github!F$667</f>
        <v>276</v>
      </c>
      <c r="D668" s="17">
        <f>Github!G$667</f>
        <v>368</v>
      </c>
      <c r="E668" s="17">
        <f>Github!F$667+Github!G$667</f>
        <v>644</v>
      </c>
      <c r="F668" s="18">
        <f t="shared" si="1"/>
        <v>0.75</v>
      </c>
      <c r="G668" s="17" t="str">
        <f>Github!H$667</f>
        <v>Algorithms</v>
      </c>
      <c r="H668" s="17" t="str">
        <f>Github!E$667</f>
        <v>Medium</v>
      </c>
      <c r="I668" s="17" t="str">
        <f>IF(TRIM(Github!D$667)="TRUE","FALSE","TRUE")</f>
        <v>FALSE</v>
      </c>
      <c r="J668" s="17"/>
      <c r="K668" s="17" t="str">
        <f>Github!L$667</f>
        <v>Array;Tree;Depth-First Search;Binary Tree;</v>
      </c>
      <c r="L668" s="17" t="b">
        <f>Github!M$667</f>
        <v>1</v>
      </c>
      <c r="M668" s="17" t="str">
        <f>ROUND(Github!N$667, 2)&amp;"%"</f>
        <v>0%</v>
      </c>
      <c r="N668" s="17">
        <f>Github!O$667</f>
        <v>58.44936515</v>
      </c>
      <c r="O668" s="17">
        <f>Github!P$667</f>
        <v>19058</v>
      </c>
    </row>
    <row r="669">
      <c r="A669" s="17">
        <f>Github!J$668</f>
        <v>667</v>
      </c>
      <c r="B669" s="27" t="str">
        <f>HYPERLINK(CONCAT("http://leetcode.com/problems/",Github!C$668), Github!B$668)</f>
        <v>Beautiful Arrangement II</v>
      </c>
      <c r="C669" s="17">
        <f>Github!F$668</f>
        <v>641</v>
      </c>
      <c r="D669" s="17">
        <f>Github!G$668</f>
        <v>950</v>
      </c>
      <c r="E669" s="17">
        <f>Github!F$668+Github!G$668</f>
        <v>1591</v>
      </c>
      <c r="F669" s="18">
        <f t="shared" si="1"/>
        <v>0.67</v>
      </c>
      <c r="G669" s="17" t="str">
        <f>Github!H$668</f>
        <v>Algorithms</v>
      </c>
      <c r="H669" s="17" t="str">
        <f>Github!E$668</f>
        <v>Medium</v>
      </c>
      <c r="I669" s="17" t="str">
        <f>IF(TRIM(Github!D$668)="TRUE","FALSE","TRUE")</f>
        <v>TRUE</v>
      </c>
      <c r="J669" s="17"/>
      <c r="K669" s="17" t="str">
        <f>Github!L$668</f>
        <v>Array;Math;</v>
      </c>
      <c r="L669" s="17" t="b">
        <f>Github!M$668</f>
        <v>1</v>
      </c>
      <c r="M669" s="17" t="str">
        <f>ROUND(Github!N$668, 2)&amp;"%"</f>
        <v>0%</v>
      </c>
      <c r="N669" s="17">
        <f>Github!O$668</f>
        <v>59.27636937</v>
      </c>
      <c r="O669" s="17">
        <f>Github!P$668</f>
        <v>46577</v>
      </c>
    </row>
    <row r="670">
      <c r="A670" s="17">
        <f>Github!J$669</f>
        <v>668</v>
      </c>
      <c r="B670" s="27" t="str">
        <f>HYPERLINK(CONCAT("http://leetcode.com/problems/",Github!C$669), Github!B$669)</f>
        <v>Kth Smallest Number in Multiplication Table</v>
      </c>
      <c r="C670" s="17">
        <f>Github!F$669</f>
        <v>1558</v>
      </c>
      <c r="D670" s="17">
        <f>Github!G$669</f>
        <v>44</v>
      </c>
      <c r="E670" s="17">
        <f>Github!F$669+Github!G$669</f>
        <v>1602</v>
      </c>
      <c r="F670" s="18">
        <f t="shared" si="1"/>
        <v>35.41</v>
      </c>
      <c r="G670" s="17" t="str">
        <f>Github!H$669</f>
        <v>Algorithms</v>
      </c>
      <c r="H670" s="17" t="str">
        <f>Github!E$669</f>
        <v>Hard</v>
      </c>
      <c r="I670" s="17" t="str">
        <f>IF(TRIM(Github!D$669)="TRUE","FALSE","TRUE")</f>
        <v>TRUE</v>
      </c>
      <c r="J670" s="17"/>
      <c r="K670" s="17" t="str">
        <f>Github!L$669</f>
        <v>Binary Search;</v>
      </c>
      <c r="L670" s="17" t="b">
        <f>Github!M$669</f>
        <v>1</v>
      </c>
      <c r="M670" s="17" t="str">
        <f>ROUND(Github!N$669, 2)&amp;"%"</f>
        <v>0%</v>
      </c>
      <c r="N670" s="17">
        <f>Github!O$669</f>
        <v>50.89124537</v>
      </c>
      <c r="O670" s="17">
        <f>Github!P$669</f>
        <v>47080</v>
      </c>
    </row>
    <row r="671">
      <c r="A671" s="17">
        <f>Github!J$670</f>
        <v>669</v>
      </c>
      <c r="B671" s="27" t="str">
        <f>HYPERLINK(CONCAT("http://leetcode.com/problems/",Github!C$670), Github!B$670)</f>
        <v>Trim a Binary Search Tree</v>
      </c>
      <c r="C671" s="17">
        <f>Github!F$670</f>
        <v>3527</v>
      </c>
      <c r="D671" s="17">
        <f>Github!G$670</f>
        <v>216</v>
      </c>
      <c r="E671" s="17">
        <f>Github!F$670+Github!G$670</f>
        <v>3743</v>
      </c>
      <c r="F671" s="18">
        <f t="shared" si="1"/>
        <v>16.33</v>
      </c>
      <c r="G671" s="17" t="str">
        <f>Github!H$670</f>
        <v>Algorithms</v>
      </c>
      <c r="H671" s="17" t="str">
        <f>Github!E$670</f>
        <v>Medium</v>
      </c>
      <c r="I671" s="17" t="str">
        <f>IF(TRIM(Github!D$670)="TRUE","FALSE","TRUE")</f>
        <v>TRUE</v>
      </c>
      <c r="J671" s="17"/>
      <c r="K671" s="17" t="str">
        <f>Github!L$670</f>
        <v>Tree;Depth-First Search;Binary Search Tree;Binary Tree;</v>
      </c>
      <c r="L671" s="17" t="b">
        <f>Github!M$670</f>
        <v>1</v>
      </c>
      <c r="M671" s="17" t="str">
        <f>ROUND(Github!N$670, 2)&amp;"%"</f>
        <v>0%</v>
      </c>
      <c r="N671" s="17">
        <f>Github!O$670</f>
        <v>64.55967409</v>
      </c>
      <c r="O671" s="17">
        <f>Github!P$670</f>
        <v>186518</v>
      </c>
    </row>
    <row r="672">
      <c r="A672" s="17">
        <f>Github!J$671</f>
        <v>670</v>
      </c>
      <c r="B672" s="27" t="str">
        <f>HYPERLINK(CONCAT("http://leetcode.com/problems/",Github!C$671), Github!B$671)</f>
        <v>Maximum Swap</v>
      </c>
      <c r="C672" s="17">
        <f>Github!F$671</f>
        <v>2343</v>
      </c>
      <c r="D672" s="17">
        <f>Github!G$671</f>
        <v>137</v>
      </c>
      <c r="E672" s="17">
        <f>Github!F$671+Github!G$671</f>
        <v>2480</v>
      </c>
      <c r="F672" s="18">
        <f t="shared" si="1"/>
        <v>17.1</v>
      </c>
      <c r="G672" s="17" t="str">
        <f>Github!H$671</f>
        <v>Algorithms</v>
      </c>
      <c r="H672" s="17" t="str">
        <f>Github!E$671</f>
        <v>Medium</v>
      </c>
      <c r="I672" s="17" t="str">
        <f>IF(TRIM(Github!D$671)="TRUE","FALSE","TRUE")</f>
        <v>TRUE</v>
      </c>
      <c r="J672" s="17"/>
      <c r="K672" s="17" t="str">
        <f>Github!L$671</f>
        <v>Math;Greedy;</v>
      </c>
      <c r="L672" s="17" t="b">
        <f>Github!M$671</f>
        <v>0</v>
      </c>
      <c r="M672" s="17" t="str">
        <f>ROUND(Github!N$671, 2)&amp;"%"</f>
        <v>0%</v>
      </c>
      <c r="N672" s="17">
        <f>Github!O$671</f>
        <v>47.35791174</v>
      </c>
      <c r="O672" s="17">
        <f>Github!P$671</f>
        <v>156533</v>
      </c>
    </row>
    <row r="673">
      <c r="A673" s="17">
        <f>Github!J$672</f>
        <v>671</v>
      </c>
      <c r="B673" s="27" t="str">
        <f>HYPERLINK(CONCAT("http://leetcode.com/problems/",Github!C$672), Github!B$672)</f>
        <v>Second Minimum Node In a Binary Tree</v>
      </c>
      <c r="C673" s="17">
        <f>Github!F$672</f>
        <v>1153</v>
      </c>
      <c r="D673" s="17">
        <f>Github!G$672</f>
        <v>1425</v>
      </c>
      <c r="E673" s="17">
        <f>Github!F$672+Github!G$672</f>
        <v>2578</v>
      </c>
      <c r="F673" s="18">
        <f t="shared" si="1"/>
        <v>0.81</v>
      </c>
      <c r="G673" s="17" t="str">
        <f>Github!H$672</f>
        <v>Algorithms</v>
      </c>
      <c r="H673" s="17" t="str">
        <f>Github!E$672</f>
        <v>Easy</v>
      </c>
      <c r="I673" s="17" t="str">
        <f>IF(TRIM(Github!D$672)="TRUE","FALSE","TRUE")</f>
        <v>TRUE</v>
      </c>
      <c r="J673" s="17"/>
      <c r="K673" s="17" t="str">
        <f>Github!L$672</f>
        <v>Tree;Depth-First Search;Binary Tree;</v>
      </c>
      <c r="L673" s="17" t="b">
        <f>Github!M$672</f>
        <v>1</v>
      </c>
      <c r="M673" s="17" t="str">
        <f>ROUND(Github!N$672, 2)&amp;"%"</f>
        <v>0%</v>
      </c>
      <c r="N673" s="17">
        <f>Github!O$672</f>
        <v>43.50197425</v>
      </c>
      <c r="O673" s="17">
        <f>Github!P$672</f>
        <v>133196</v>
      </c>
    </row>
    <row r="674">
      <c r="A674" s="17">
        <f>Github!J$673</f>
        <v>672</v>
      </c>
      <c r="B674" s="27" t="str">
        <f>HYPERLINK(CONCAT("http://leetcode.com/problems/",Github!C$673), Github!B$673)</f>
        <v>Bulb Switcher II</v>
      </c>
      <c r="C674" s="17">
        <f>Github!F$673</f>
        <v>23</v>
      </c>
      <c r="D674" s="17">
        <f>Github!G$673</f>
        <v>61</v>
      </c>
      <c r="E674" s="17">
        <f>Github!F$673+Github!G$673</f>
        <v>84</v>
      </c>
      <c r="F674" s="18">
        <f t="shared" si="1"/>
        <v>0.38</v>
      </c>
      <c r="G674" s="17" t="str">
        <f>Github!H$673</f>
        <v>Algorithms</v>
      </c>
      <c r="H674" s="17" t="str">
        <f>Github!E$673</f>
        <v>Medium</v>
      </c>
      <c r="I674" s="17" t="str">
        <f>IF(TRIM(Github!D$673)="TRUE","FALSE","TRUE")</f>
        <v>TRUE</v>
      </c>
      <c r="J674" s="17"/>
      <c r="K674" s="17" t="str">
        <f>Github!L$673</f>
        <v>Math;Bit Manipulation;Depth-First Search;Breadth-First Search;</v>
      </c>
      <c r="L674" s="17" t="b">
        <f>Github!M$673</f>
        <v>0</v>
      </c>
      <c r="M674" s="17" t="str">
        <f>ROUND(Github!N$673, 2)&amp;"%"</f>
        <v>0%</v>
      </c>
      <c r="N674" s="17">
        <f>Github!O$673</f>
        <v>50.84234193</v>
      </c>
      <c r="O674" s="17">
        <f>Github!P$673</f>
        <v>16508</v>
      </c>
    </row>
    <row r="675">
      <c r="A675" s="17">
        <f>Github!J$674</f>
        <v>673</v>
      </c>
      <c r="B675" s="27" t="str">
        <f>HYPERLINK(CONCAT("http://leetcode.com/problems/",Github!C$674), Github!B$674)</f>
        <v>Number of Longest Increasing Subsequence</v>
      </c>
      <c r="C675" s="17">
        <f>Github!F$674</f>
        <v>3239</v>
      </c>
      <c r="D675" s="17">
        <f>Github!G$674</f>
        <v>161</v>
      </c>
      <c r="E675" s="17">
        <f>Github!F$674+Github!G$674</f>
        <v>3400</v>
      </c>
      <c r="F675" s="18">
        <f t="shared" si="1"/>
        <v>20.12</v>
      </c>
      <c r="G675" s="17" t="str">
        <f>Github!H$674</f>
        <v>Algorithms</v>
      </c>
      <c r="H675" s="17" t="str">
        <f>Github!E$674</f>
        <v>Medium</v>
      </c>
      <c r="I675" s="17" t="str">
        <f>IF(TRIM(Github!D$674)="TRUE","FALSE","TRUE")</f>
        <v>TRUE</v>
      </c>
      <c r="J675" s="17"/>
      <c r="K675" s="17" t="str">
        <f>Github!L$674</f>
        <v>Array;Dynamic Programming;Binary Indexed Tree;Segment Tree;</v>
      </c>
      <c r="L675" s="17" t="b">
        <f>Github!M$674</f>
        <v>0</v>
      </c>
      <c r="M675" s="17" t="str">
        <f>ROUND(Github!N$674, 2)&amp;"%"</f>
        <v>0%</v>
      </c>
      <c r="N675" s="17">
        <f>Github!O$674</f>
        <v>40.56666897</v>
      </c>
      <c r="O675" s="17">
        <f>Github!P$674</f>
        <v>105492</v>
      </c>
    </row>
    <row r="676">
      <c r="A676" s="17">
        <f>Github!J$675</f>
        <v>674</v>
      </c>
      <c r="B676" s="27" t="str">
        <f>HYPERLINK(CONCAT("http://leetcode.com/problems/",Github!C$675), Github!B$675)</f>
        <v>Longest Continuous Increasing Subsequence</v>
      </c>
      <c r="C676" s="17">
        <f>Github!F$675</f>
        <v>1603</v>
      </c>
      <c r="D676" s="17">
        <f>Github!G$675</f>
        <v>160</v>
      </c>
      <c r="E676" s="17">
        <f>Github!F$675+Github!G$675</f>
        <v>1763</v>
      </c>
      <c r="F676" s="18">
        <f t="shared" si="1"/>
        <v>10.02</v>
      </c>
      <c r="G676" s="17" t="str">
        <f>Github!H$675</f>
        <v>Algorithms</v>
      </c>
      <c r="H676" s="17" t="str">
        <f>Github!E$675</f>
        <v>Easy</v>
      </c>
      <c r="I676" s="17" t="str">
        <f>IF(TRIM(Github!D$675)="TRUE","FALSE","TRUE")</f>
        <v>TRUE</v>
      </c>
      <c r="J676" s="17"/>
      <c r="K676" s="17" t="str">
        <f>Github!L$675</f>
        <v>Array;</v>
      </c>
      <c r="L676" s="17" t="b">
        <f>Github!M$675</f>
        <v>1</v>
      </c>
      <c r="M676" s="17" t="str">
        <f>ROUND(Github!N$675, 2)&amp;"%"</f>
        <v>0%</v>
      </c>
      <c r="N676" s="17">
        <f>Github!O$675</f>
        <v>48.17807801</v>
      </c>
      <c r="O676" s="17">
        <f>Github!P$675</f>
        <v>186427</v>
      </c>
    </row>
    <row r="677">
      <c r="A677" s="17">
        <f>Github!J$676</f>
        <v>675</v>
      </c>
      <c r="B677" s="27" t="str">
        <f>HYPERLINK(CONCAT("http://leetcode.com/problems/",Github!C$676), Github!B$676)</f>
        <v>Cut Off Trees for Golf Event</v>
      </c>
      <c r="C677" s="17">
        <f>Github!F$676</f>
        <v>870</v>
      </c>
      <c r="D677" s="17">
        <f>Github!G$676</f>
        <v>499</v>
      </c>
      <c r="E677" s="17">
        <f>Github!F$676+Github!G$676</f>
        <v>1369</v>
      </c>
      <c r="F677" s="18">
        <f t="shared" si="1"/>
        <v>1.74</v>
      </c>
      <c r="G677" s="17" t="str">
        <f>Github!H$676</f>
        <v>Algorithms</v>
      </c>
      <c r="H677" s="17" t="str">
        <f>Github!E$676</f>
        <v>Hard</v>
      </c>
      <c r="I677" s="17" t="str">
        <f>IF(TRIM(Github!D$676)="TRUE","FALSE","TRUE")</f>
        <v>TRUE</v>
      </c>
      <c r="J677" s="17"/>
      <c r="K677" s="17" t="str">
        <f>Github!L$676</f>
        <v>Array;Breadth-First Search;Heap (Priority Queue);Matrix;</v>
      </c>
      <c r="L677" s="17" t="b">
        <f>Github!M$676</f>
        <v>0</v>
      </c>
      <c r="M677" s="17" t="str">
        <f>ROUND(Github!N$676, 2)&amp;"%"</f>
        <v>0%</v>
      </c>
      <c r="N677" s="17">
        <f>Github!O$676</f>
        <v>35.48421353</v>
      </c>
      <c r="O677" s="17">
        <f>Github!P$676</f>
        <v>53463</v>
      </c>
    </row>
    <row r="678">
      <c r="A678" s="17">
        <f>Github!J$677</f>
        <v>676</v>
      </c>
      <c r="B678" s="27" t="str">
        <f>HYPERLINK(CONCAT("http://leetcode.com/problems/",Github!C$677), Github!B$677)</f>
        <v>Implement Magic Dictionary</v>
      </c>
      <c r="C678" s="17">
        <f>Github!F$677</f>
        <v>973</v>
      </c>
      <c r="D678" s="17">
        <f>Github!G$677</f>
        <v>178</v>
      </c>
      <c r="E678" s="17">
        <f>Github!F$677+Github!G$677</f>
        <v>1151</v>
      </c>
      <c r="F678" s="18">
        <f t="shared" si="1"/>
        <v>5.47</v>
      </c>
      <c r="G678" s="17" t="str">
        <f>Github!H$677</f>
        <v>Algorithms</v>
      </c>
      <c r="H678" s="17" t="str">
        <f>Github!E$677</f>
        <v>Medium</v>
      </c>
      <c r="I678" s="17" t="str">
        <f>IF(TRIM(Github!D$677)="TRUE","FALSE","TRUE")</f>
        <v>TRUE</v>
      </c>
      <c r="J678" s="17"/>
      <c r="K678" s="17" t="str">
        <f>Github!L$677</f>
        <v>Hash Table;String;Design;Trie;</v>
      </c>
      <c r="L678" s="17" t="b">
        <f>Github!M$677</f>
        <v>0</v>
      </c>
      <c r="M678" s="17" t="str">
        <f>ROUND(Github!N$677, 2)&amp;"%"</f>
        <v>0%</v>
      </c>
      <c r="N678" s="17">
        <f>Github!O$677</f>
        <v>56.46531861</v>
      </c>
      <c r="O678" s="17">
        <f>Github!P$677</f>
        <v>61266</v>
      </c>
    </row>
    <row r="679">
      <c r="A679" s="17">
        <f>Github!J$678</f>
        <v>677</v>
      </c>
      <c r="B679" s="27" t="str">
        <f>HYPERLINK(CONCAT("http://leetcode.com/problems/",Github!C$678), Github!B$678)</f>
        <v>Map Sum Pairs</v>
      </c>
      <c r="C679" s="17">
        <f>Github!F$678</f>
        <v>1177</v>
      </c>
      <c r="D679" s="17">
        <f>Github!G$678</f>
        <v>119</v>
      </c>
      <c r="E679" s="17">
        <f>Github!F$678+Github!G$678</f>
        <v>1296</v>
      </c>
      <c r="F679" s="18">
        <f t="shared" si="1"/>
        <v>9.89</v>
      </c>
      <c r="G679" s="17" t="str">
        <f>Github!H$678</f>
        <v>Algorithms</v>
      </c>
      <c r="H679" s="17" t="str">
        <f>Github!E$678</f>
        <v>Medium</v>
      </c>
      <c r="I679" s="17" t="str">
        <f>IF(TRIM(Github!D$678)="TRUE","FALSE","TRUE")</f>
        <v>TRUE</v>
      </c>
      <c r="J679" s="17"/>
      <c r="K679" s="17" t="str">
        <f>Github!L$678</f>
        <v>Hash Table;String;Design;Trie;</v>
      </c>
      <c r="L679" s="17" t="b">
        <f>Github!M$678</f>
        <v>1</v>
      </c>
      <c r="M679" s="17" t="str">
        <f>ROUND(Github!N$678, 2)&amp;"%"</f>
        <v>0%</v>
      </c>
      <c r="N679" s="17">
        <f>Github!O$678</f>
        <v>57.01561558</v>
      </c>
      <c r="O679" s="17">
        <f>Github!P$678</f>
        <v>85073</v>
      </c>
    </row>
    <row r="680">
      <c r="A680" s="17">
        <f>Github!J$679</f>
        <v>678</v>
      </c>
      <c r="B680" s="27" t="str">
        <f>HYPERLINK(CONCAT("http://leetcode.com/problems/",Github!C$679), Github!B$679)</f>
        <v>Valid Parenthesis String</v>
      </c>
      <c r="C680" s="17">
        <f>Github!F$679</f>
        <v>3194</v>
      </c>
      <c r="D680" s="17">
        <f>Github!G$679</f>
        <v>79</v>
      </c>
      <c r="E680" s="17">
        <f>Github!F$679+Github!G$679</f>
        <v>3273</v>
      </c>
      <c r="F680" s="18">
        <f t="shared" si="1"/>
        <v>40.43</v>
      </c>
      <c r="G680" s="17" t="str">
        <f>Github!H$679</f>
        <v>Algorithms</v>
      </c>
      <c r="H680" s="17" t="str">
        <f>Github!E$679</f>
        <v>Medium</v>
      </c>
      <c r="I680" s="17" t="str">
        <f>IF(TRIM(Github!D$679)="TRUE","FALSE","TRUE")</f>
        <v>TRUE</v>
      </c>
      <c r="J680" s="17"/>
      <c r="K680" s="17" t="str">
        <f>Github!L$679</f>
        <v>String;Dynamic Programming;Stack;Greedy;</v>
      </c>
      <c r="L680" s="17" t="b">
        <f>Github!M$679</f>
        <v>1</v>
      </c>
      <c r="M680" s="17" t="str">
        <f>ROUND(Github!N$679, 2)&amp;"%"</f>
        <v>0%</v>
      </c>
      <c r="N680" s="17">
        <f>Github!O$679</f>
        <v>33.02754905</v>
      </c>
      <c r="O680" s="17">
        <f>Github!P$679</f>
        <v>162446</v>
      </c>
    </row>
    <row r="681">
      <c r="A681" s="17">
        <f>Github!J$680</f>
        <v>679</v>
      </c>
      <c r="B681" s="27" t="str">
        <f>HYPERLINK(CONCAT("http://leetcode.com/problems/",Github!C$680), Github!B$680)</f>
        <v>24 Game</v>
      </c>
      <c r="C681" s="17">
        <f>Github!F$680</f>
        <v>1149</v>
      </c>
      <c r="D681" s="17">
        <f>Github!G$680</f>
        <v>214</v>
      </c>
      <c r="E681" s="17">
        <f>Github!F$680+Github!G$680</f>
        <v>1363</v>
      </c>
      <c r="F681" s="18">
        <f t="shared" si="1"/>
        <v>5.37</v>
      </c>
      <c r="G681" s="17" t="str">
        <f>Github!H$680</f>
        <v>Algorithms</v>
      </c>
      <c r="H681" s="17" t="str">
        <f>Github!E$680</f>
        <v>Hard</v>
      </c>
      <c r="I681" s="17" t="str">
        <f>IF(TRIM(Github!D$680)="TRUE","FALSE","TRUE")</f>
        <v>TRUE</v>
      </c>
      <c r="J681" s="17"/>
      <c r="K681" s="17" t="str">
        <f>Github!L$680</f>
        <v>Array;Math;Backtracking;</v>
      </c>
      <c r="L681" s="17" t="b">
        <f>Github!M$680</f>
        <v>0</v>
      </c>
      <c r="M681" s="17" t="str">
        <f>ROUND(Github!N$680, 2)&amp;"%"</f>
        <v>0%</v>
      </c>
      <c r="N681" s="17">
        <f>Github!O$680</f>
        <v>48.61015555</v>
      </c>
      <c r="O681" s="17">
        <f>Github!P$680</f>
        <v>61469</v>
      </c>
    </row>
    <row r="682">
      <c r="A682" s="17">
        <f>Github!J$681</f>
        <v>680</v>
      </c>
      <c r="B682" s="27" t="str">
        <f>HYPERLINK(CONCAT("http://leetcode.com/problems/",Github!C$681), Github!B$681)</f>
        <v>Valid Palindrome II</v>
      </c>
      <c r="C682" s="17">
        <f>Github!F$681</f>
        <v>4107</v>
      </c>
      <c r="D682" s="17">
        <f>Github!G$681</f>
        <v>245</v>
      </c>
      <c r="E682" s="17">
        <f>Github!F$681+Github!G$681</f>
        <v>4352</v>
      </c>
      <c r="F682" s="18">
        <f t="shared" si="1"/>
        <v>16.76</v>
      </c>
      <c r="G682" s="17" t="str">
        <f>Github!H$681</f>
        <v>Algorithms</v>
      </c>
      <c r="H682" s="17" t="str">
        <f>Github!E$681</f>
        <v>Easy</v>
      </c>
      <c r="I682" s="17" t="str">
        <f>IF(TRIM(Github!D$681)="TRUE","FALSE","TRUE")</f>
        <v>TRUE</v>
      </c>
      <c r="J682" s="17"/>
      <c r="K682" s="17" t="str">
        <f>Github!L$681</f>
        <v>Two Pointers;String;Greedy;</v>
      </c>
      <c r="L682" s="17" t="b">
        <f>Github!M$681</f>
        <v>0</v>
      </c>
      <c r="M682" s="17" t="str">
        <f>ROUND(Github!N$681, 2)&amp;"%"</f>
        <v>0%</v>
      </c>
      <c r="N682" s="17">
        <f>Github!O$681</f>
        <v>38.51799486</v>
      </c>
      <c r="O682" s="17">
        <f>Github!P$681</f>
        <v>412446</v>
      </c>
    </row>
    <row r="683">
      <c r="A683" s="17">
        <f>Github!J$682</f>
        <v>681</v>
      </c>
      <c r="B683" s="27" t="str">
        <f>HYPERLINK(CONCAT("http://leetcode.com/problems/",Github!C$682), Github!B$682)</f>
        <v>Next Closest Time</v>
      </c>
      <c r="C683" s="17">
        <f>Github!F$682</f>
        <v>650</v>
      </c>
      <c r="D683" s="17">
        <f>Github!G$682</f>
        <v>950</v>
      </c>
      <c r="E683" s="17">
        <f>Github!F$682+Github!G$682</f>
        <v>1600</v>
      </c>
      <c r="F683" s="18">
        <f t="shared" si="1"/>
        <v>0.68</v>
      </c>
      <c r="G683" s="17" t="str">
        <f>Github!H$682</f>
        <v>Algorithms</v>
      </c>
      <c r="H683" s="17" t="str">
        <f>Github!E$682</f>
        <v>Medium</v>
      </c>
      <c r="I683" s="17" t="str">
        <f>IF(TRIM(Github!D$682)="TRUE","FALSE","TRUE")</f>
        <v>FALSE</v>
      </c>
      <c r="J683" s="17"/>
      <c r="K683" s="17" t="str">
        <f>Github!L$682</f>
        <v>String;Enumeration;</v>
      </c>
      <c r="L683" s="17" t="b">
        <f>Github!M$682</f>
        <v>0</v>
      </c>
      <c r="M683" s="17" t="str">
        <f>ROUND(Github!N$682, 2)&amp;"%"</f>
        <v>0%</v>
      </c>
      <c r="N683" s="17">
        <f>Github!O$682</f>
        <v>46.46580703</v>
      </c>
      <c r="O683" s="17">
        <f>Github!P$682</f>
        <v>92611</v>
      </c>
    </row>
    <row r="684">
      <c r="A684" s="17">
        <f>Github!J$683</f>
        <v>682</v>
      </c>
      <c r="B684" s="27" t="str">
        <f>HYPERLINK(CONCAT("http://leetcode.com/problems/",Github!C$683), Github!B$683)</f>
        <v>Baseball Game</v>
      </c>
      <c r="C684" s="17">
        <f>Github!F$683</f>
        <v>972</v>
      </c>
      <c r="D684" s="17">
        <f>Github!G$683</f>
        <v>1355</v>
      </c>
      <c r="E684" s="17">
        <f>Github!F$683+Github!G$683</f>
        <v>2327</v>
      </c>
      <c r="F684" s="18">
        <f t="shared" si="1"/>
        <v>0.72</v>
      </c>
      <c r="G684" s="17" t="str">
        <f>Github!H$683</f>
        <v>Algorithms</v>
      </c>
      <c r="H684" s="17" t="str">
        <f>Github!E$683</f>
        <v>Easy</v>
      </c>
      <c r="I684" s="17" t="str">
        <f>IF(TRIM(Github!D$683)="TRUE","FALSE","TRUE")</f>
        <v>TRUE</v>
      </c>
      <c r="J684" s="17"/>
      <c r="K684" s="17" t="str">
        <f>Github!L$683</f>
        <v>Array;Stack;Simulation;</v>
      </c>
      <c r="L684" s="17" t="b">
        <f>Github!M$683</f>
        <v>1</v>
      </c>
      <c r="M684" s="17" t="str">
        <f>ROUND(Github!N$683, 2)&amp;"%"</f>
        <v>0%</v>
      </c>
      <c r="N684" s="17">
        <f>Github!O$683</f>
        <v>69.33014449</v>
      </c>
      <c r="O684" s="17">
        <f>Github!P$683</f>
        <v>140008</v>
      </c>
    </row>
    <row r="685">
      <c r="A685" s="17">
        <f>Github!J$684</f>
        <v>683</v>
      </c>
      <c r="B685" s="27" t="str">
        <f>HYPERLINK(CONCAT("http://leetcode.com/problems/",Github!C$684), Github!B$684)</f>
        <v>K Empty Slots</v>
      </c>
      <c r="C685" s="17">
        <f>Github!F$684</f>
        <v>720</v>
      </c>
      <c r="D685" s="17">
        <f>Github!G$684</f>
        <v>646</v>
      </c>
      <c r="E685" s="17">
        <f>Github!F$684+Github!G$684</f>
        <v>1366</v>
      </c>
      <c r="F685" s="18">
        <f t="shared" si="1"/>
        <v>1.11</v>
      </c>
      <c r="G685" s="17" t="str">
        <f>Github!H$684</f>
        <v>Algorithms</v>
      </c>
      <c r="H685" s="17" t="str">
        <f>Github!E$684</f>
        <v>Hard</v>
      </c>
      <c r="I685" s="17" t="str">
        <f>IF(TRIM(Github!D$684)="TRUE","FALSE","TRUE")</f>
        <v>FALSE</v>
      </c>
      <c r="J685" s="17"/>
      <c r="K685" s="17" t="str">
        <f>Github!L$684</f>
        <v>Array;Binary Indexed Tree;Sliding Window;Ordered Set;</v>
      </c>
      <c r="L685" s="17" t="b">
        <f>Github!M$684</f>
        <v>0</v>
      </c>
      <c r="M685" s="17" t="str">
        <f>ROUND(Github!N$684, 2)&amp;"%"</f>
        <v>0%</v>
      </c>
      <c r="N685" s="17">
        <f>Github!O$684</f>
        <v>36.73445126</v>
      </c>
      <c r="O685" s="17">
        <f>Github!P$684</f>
        <v>55620</v>
      </c>
    </row>
    <row r="686">
      <c r="A686" s="17">
        <f>Github!J$685</f>
        <v>684</v>
      </c>
      <c r="B686" s="27" t="str">
        <f>HYPERLINK(CONCAT("http://leetcode.com/problems/",Github!C$685), Github!B$685)</f>
        <v>Redundant Connection</v>
      </c>
      <c r="C686" s="17">
        <f>Github!F$685</f>
        <v>3454</v>
      </c>
      <c r="D686" s="17">
        <f>Github!G$685</f>
        <v>281</v>
      </c>
      <c r="E686" s="17">
        <f>Github!F$685+Github!G$685</f>
        <v>3735</v>
      </c>
      <c r="F686" s="18">
        <f t="shared" si="1"/>
        <v>12.29</v>
      </c>
      <c r="G686" s="17" t="str">
        <f>Github!H$685</f>
        <v>Algorithms</v>
      </c>
      <c r="H686" s="17" t="str">
        <f>Github!E$685</f>
        <v>Medium</v>
      </c>
      <c r="I686" s="17" t="str">
        <f>IF(TRIM(Github!D$685)="TRUE","FALSE","TRUE")</f>
        <v>TRUE</v>
      </c>
      <c r="J686" s="17"/>
      <c r="K686" s="17" t="str">
        <f>Github!L$685</f>
        <v>Depth-First Search;Breadth-First Search;Union Find;Graph;</v>
      </c>
      <c r="L686" s="17" t="b">
        <f>Github!M$685</f>
        <v>1</v>
      </c>
      <c r="M686" s="17" t="str">
        <f>ROUND(Github!N$685, 2)&amp;"%"</f>
        <v>0%</v>
      </c>
      <c r="N686" s="17">
        <f>Github!O$685</f>
        <v>60.99416884</v>
      </c>
      <c r="O686" s="17">
        <f>Github!P$685</f>
        <v>189013</v>
      </c>
    </row>
    <row r="687">
      <c r="A687" s="17">
        <f>Github!J$686</f>
        <v>685</v>
      </c>
      <c r="B687" s="27" t="str">
        <f>HYPERLINK(CONCAT("http://leetcode.com/problems/",Github!C$686), Github!B$686)</f>
        <v>Redundant Connection II</v>
      </c>
      <c r="C687" s="17">
        <f>Github!F$686</f>
        <v>1498</v>
      </c>
      <c r="D687" s="17">
        <f>Github!G$686</f>
        <v>264</v>
      </c>
      <c r="E687" s="17">
        <f>Github!F$686+Github!G$686</f>
        <v>1762</v>
      </c>
      <c r="F687" s="18">
        <f t="shared" si="1"/>
        <v>5.67</v>
      </c>
      <c r="G687" s="17" t="str">
        <f>Github!H$686</f>
        <v>Algorithms</v>
      </c>
      <c r="H687" s="17" t="str">
        <f>Github!E$686</f>
        <v>Hard</v>
      </c>
      <c r="I687" s="17" t="str">
        <f>IF(TRIM(Github!D$686)="TRUE","FALSE","TRUE")</f>
        <v>TRUE</v>
      </c>
      <c r="J687" s="17"/>
      <c r="K687" s="17" t="str">
        <f>Github!L$686</f>
        <v>Depth-First Search;Breadth-First Search;Union Find;Graph;</v>
      </c>
      <c r="L687" s="17" t="b">
        <f>Github!M$686</f>
        <v>0</v>
      </c>
      <c r="M687" s="17" t="str">
        <f>ROUND(Github!N$686, 2)&amp;"%"</f>
        <v>0%</v>
      </c>
      <c r="N687" s="17">
        <f>Github!O$686</f>
        <v>33.65035657</v>
      </c>
      <c r="O687" s="17">
        <f>Github!P$686</f>
        <v>50348</v>
      </c>
    </row>
    <row r="688">
      <c r="A688" s="17">
        <f>Github!J$687</f>
        <v>686</v>
      </c>
      <c r="B688" s="27" t="str">
        <f>HYPERLINK(CONCAT("http://leetcode.com/problems/",Github!C$687), Github!B$687)</f>
        <v>Repeated String Match</v>
      </c>
      <c r="C688" s="17">
        <f>Github!F$687</f>
        <v>1353</v>
      </c>
      <c r="D688" s="17">
        <f>Github!G$687</f>
        <v>891</v>
      </c>
      <c r="E688" s="17">
        <f>Github!F$687+Github!G$687</f>
        <v>2244</v>
      </c>
      <c r="F688" s="18">
        <f t="shared" si="1"/>
        <v>1.52</v>
      </c>
      <c r="G688" s="17" t="str">
        <f>Github!H$687</f>
        <v>Algorithms</v>
      </c>
      <c r="H688" s="17" t="str">
        <f>Github!E$687</f>
        <v>Medium</v>
      </c>
      <c r="I688" s="17" t="str">
        <f>IF(TRIM(Github!D$687)="TRUE","FALSE","TRUE")</f>
        <v>TRUE</v>
      </c>
      <c r="J688" s="17"/>
      <c r="K688" s="17" t="str">
        <f>Github!L$687</f>
        <v>String;String Matching;</v>
      </c>
      <c r="L688" s="17" t="b">
        <f>Github!M$687</f>
        <v>0</v>
      </c>
      <c r="M688" s="17" t="str">
        <f>ROUND(Github!N$687, 2)&amp;"%"</f>
        <v>0%</v>
      </c>
      <c r="N688" s="17">
        <f>Github!O$687</f>
        <v>33.4796387</v>
      </c>
      <c r="O688" s="17">
        <f>Github!P$687</f>
        <v>118535</v>
      </c>
    </row>
    <row r="689">
      <c r="A689" s="17">
        <f>Github!J$688</f>
        <v>687</v>
      </c>
      <c r="B689" s="27" t="str">
        <f>HYPERLINK(CONCAT("http://leetcode.com/problems/",Github!C$688), Github!B$688)</f>
        <v>Longest Univalue Path</v>
      </c>
      <c r="C689" s="17">
        <f>Github!F$688</f>
        <v>2966</v>
      </c>
      <c r="D689" s="17">
        <f>Github!G$688</f>
        <v>604</v>
      </c>
      <c r="E689" s="17">
        <f>Github!F$688+Github!G$688</f>
        <v>3570</v>
      </c>
      <c r="F689" s="18">
        <f t="shared" si="1"/>
        <v>4.91</v>
      </c>
      <c r="G689" s="17" t="str">
        <f>Github!H$688</f>
        <v>Algorithms</v>
      </c>
      <c r="H689" s="17" t="str">
        <f>Github!E$688</f>
        <v>Medium</v>
      </c>
      <c r="I689" s="17" t="str">
        <f>IF(TRIM(Github!D$688)="TRUE","FALSE","TRUE")</f>
        <v>TRUE</v>
      </c>
      <c r="J689" s="17"/>
      <c r="K689" s="17" t="str">
        <f>Github!L$688</f>
        <v>Tree;Depth-First Search;Binary Tree;</v>
      </c>
      <c r="L689" s="17" t="b">
        <f>Github!M$688</f>
        <v>1</v>
      </c>
      <c r="M689" s="17" t="str">
        <f>ROUND(Github!N$688, 2)&amp;"%"</f>
        <v>0%</v>
      </c>
      <c r="N689" s="17">
        <f>Github!O$688</f>
        <v>39.19016363</v>
      </c>
      <c r="O689" s="17">
        <f>Github!P$688</f>
        <v>137503</v>
      </c>
    </row>
    <row r="690">
      <c r="A690" s="17">
        <f>Github!J$689</f>
        <v>688</v>
      </c>
      <c r="B690" s="27" t="str">
        <f>HYPERLINK(CONCAT("http://leetcode.com/problems/",Github!C$689), Github!B$689)</f>
        <v>Knight Probability in Chessboard</v>
      </c>
      <c r="C690" s="17">
        <f>Github!F$689</f>
        <v>1857</v>
      </c>
      <c r="D690" s="17">
        <f>Github!G$689</f>
        <v>285</v>
      </c>
      <c r="E690" s="17">
        <f>Github!F$689+Github!G$689</f>
        <v>2142</v>
      </c>
      <c r="F690" s="18">
        <f t="shared" si="1"/>
        <v>6.52</v>
      </c>
      <c r="G690" s="17" t="str">
        <f>Github!H$689</f>
        <v>Algorithms</v>
      </c>
      <c r="H690" s="17" t="str">
        <f>Github!E$689</f>
        <v>Medium</v>
      </c>
      <c r="I690" s="17" t="str">
        <f>IF(TRIM(Github!D$689)="TRUE","FALSE","TRUE")</f>
        <v>TRUE</v>
      </c>
      <c r="J690" s="17"/>
      <c r="K690" s="17" t="str">
        <f>Github!L$689</f>
        <v>Dynamic Programming;</v>
      </c>
      <c r="L690" s="17" t="b">
        <f>Github!M$689</f>
        <v>1</v>
      </c>
      <c r="M690" s="17" t="str">
        <f>ROUND(Github!N$689, 2)&amp;"%"</f>
        <v>0%</v>
      </c>
      <c r="N690" s="17">
        <f>Github!O$689</f>
        <v>51.48775494</v>
      </c>
      <c r="O690" s="17">
        <f>Github!P$689</f>
        <v>77452</v>
      </c>
    </row>
    <row r="691">
      <c r="A691" s="17">
        <f>Github!J$690</f>
        <v>689</v>
      </c>
      <c r="B691" s="27" t="str">
        <f>HYPERLINK(CONCAT("http://leetcode.com/problems/",Github!C$690), Github!B$690)</f>
        <v>Maximum Sum of 3 Non-Overlapping Subarrays</v>
      </c>
      <c r="C691" s="17">
        <f>Github!F$690</f>
        <v>1572</v>
      </c>
      <c r="D691" s="17">
        <f>Github!G$690</f>
        <v>95</v>
      </c>
      <c r="E691" s="17">
        <f>Github!F$690+Github!G$690</f>
        <v>1667</v>
      </c>
      <c r="F691" s="18">
        <f t="shared" si="1"/>
        <v>16.55</v>
      </c>
      <c r="G691" s="17" t="str">
        <f>Github!H$690</f>
        <v>Algorithms</v>
      </c>
      <c r="H691" s="17" t="str">
        <f>Github!E$690</f>
        <v>Hard</v>
      </c>
      <c r="I691" s="17" t="str">
        <f>IF(TRIM(Github!D$690)="TRUE","FALSE","TRUE")</f>
        <v>TRUE</v>
      </c>
      <c r="J691" s="17"/>
      <c r="K691" s="17" t="str">
        <f>Github!L$690</f>
        <v>Array;Dynamic Programming;</v>
      </c>
      <c r="L691" s="17" t="b">
        <f>Github!M$690</f>
        <v>1</v>
      </c>
      <c r="M691" s="17" t="str">
        <f>ROUND(Github!N$690, 2)&amp;"%"</f>
        <v>0%</v>
      </c>
      <c r="N691" s="17">
        <f>Github!O$690</f>
        <v>48.36139922</v>
      </c>
      <c r="O691" s="17">
        <f>Github!P$690</f>
        <v>61310</v>
      </c>
    </row>
    <row r="692">
      <c r="A692" s="17">
        <f>Github!J$691</f>
        <v>690</v>
      </c>
      <c r="B692" s="27" t="str">
        <f>HYPERLINK(CONCAT("http://leetcode.com/problems/",Github!C$691), Github!B$691)</f>
        <v>Employee Importance</v>
      </c>
      <c r="C692" s="17">
        <f>Github!F$691</f>
        <v>1515</v>
      </c>
      <c r="D692" s="17">
        <f>Github!G$691</f>
        <v>1216</v>
      </c>
      <c r="E692" s="17">
        <f>Github!F$691+Github!G$691</f>
        <v>2731</v>
      </c>
      <c r="F692" s="18">
        <f t="shared" si="1"/>
        <v>1.25</v>
      </c>
      <c r="G692" s="17" t="str">
        <f>Github!H$691</f>
        <v>Algorithms</v>
      </c>
      <c r="H692" s="17" t="str">
        <f>Github!E$691</f>
        <v>Medium</v>
      </c>
      <c r="I692" s="17" t="str">
        <f>IF(TRIM(Github!D$691)="TRUE","FALSE","TRUE")</f>
        <v>TRUE</v>
      </c>
      <c r="J692" s="17"/>
      <c r="K692" s="17" t="str">
        <f>Github!L$691</f>
        <v>Hash Table;Depth-First Search;Breadth-First Search;</v>
      </c>
      <c r="L692" s="17" t="b">
        <f>Github!M$691</f>
        <v>1</v>
      </c>
      <c r="M692" s="17" t="str">
        <f>ROUND(Github!N$691, 2)&amp;"%"</f>
        <v>0%</v>
      </c>
      <c r="N692" s="17">
        <f>Github!O$691</f>
        <v>63.58450552</v>
      </c>
      <c r="O692" s="17">
        <f>Github!P$691</f>
        <v>168199</v>
      </c>
    </row>
    <row r="693">
      <c r="A693" s="17">
        <f>Github!J$692</f>
        <v>691</v>
      </c>
      <c r="B693" s="27" t="str">
        <f>HYPERLINK(CONCAT("http://leetcode.com/problems/",Github!C$692), Github!B$692)</f>
        <v>Stickers to Spell Word</v>
      </c>
      <c r="C693" s="17">
        <f>Github!F$692</f>
        <v>695</v>
      </c>
      <c r="D693" s="17">
        <f>Github!G$692</f>
        <v>67</v>
      </c>
      <c r="E693" s="17">
        <f>Github!F$692+Github!G$692</f>
        <v>762</v>
      </c>
      <c r="F693" s="18">
        <f t="shared" si="1"/>
        <v>10.37</v>
      </c>
      <c r="G693" s="17" t="str">
        <f>Github!H$692</f>
        <v>Algorithms</v>
      </c>
      <c r="H693" s="17" t="str">
        <f>Github!E$692</f>
        <v>Hard</v>
      </c>
      <c r="I693" s="17" t="str">
        <f>IF(TRIM(Github!D$692)="TRUE","FALSE","TRUE")</f>
        <v>TRUE</v>
      </c>
      <c r="J693" s="17"/>
      <c r="K693" s="17" t="str">
        <f>Github!L$692</f>
        <v>Dynamic Programming;Backtracking;Bit Manipulation;Bitmask;</v>
      </c>
      <c r="L693" s="17" t="b">
        <f>Github!M$692</f>
        <v>0</v>
      </c>
      <c r="M693" s="17" t="str">
        <f>ROUND(Github!N$692, 2)&amp;"%"</f>
        <v>0%</v>
      </c>
      <c r="N693" s="17">
        <f>Github!O$692</f>
        <v>46.73928668</v>
      </c>
      <c r="O693" s="17">
        <f>Github!P$692</f>
        <v>29263</v>
      </c>
    </row>
    <row r="694">
      <c r="A694" s="17">
        <f>Github!J$693</f>
        <v>692</v>
      </c>
      <c r="B694" s="27" t="str">
        <f>HYPERLINK(CONCAT("http://leetcode.com/problems/",Github!C$693), Github!B$693)</f>
        <v>Top K Frequent Words</v>
      </c>
      <c r="C694" s="17">
        <f>Github!F$693</f>
        <v>4173</v>
      </c>
      <c r="D694" s="17">
        <f>Github!G$693</f>
        <v>240</v>
      </c>
      <c r="E694" s="17">
        <f>Github!F$693+Github!G$693</f>
        <v>4413</v>
      </c>
      <c r="F694" s="18">
        <f t="shared" si="1"/>
        <v>17.39</v>
      </c>
      <c r="G694" s="17" t="str">
        <f>Github!H$693</f>
        <v>Algorithms</v>
      </c>
      <c r="H694" s="17" t="str">
        <f>Github!E$693</f>
        <v>Medium</v>
      </c>
      <c r="I694" s="17" t="str">
        <f>IF(TRIM(Github!D$693)="TRUE","FALSE","TRUE")</f>
        <v>TRUE</v>
      </c>
      <c r="J694" s="17"/>
      <c r="K694" s="17" t="str">
        <f>Github!L$693</f>
        <v>Hash Table;String;Trie;Sorting;Heap (Priority Queue);Bucket Sort;Counting;</v>
      </c>
      <c r="L694" s="17" t="b">
        <f>Github!M$693</f>
        <v>0</v>
      </c>
      <c r="M694" s="17" t="str">
        <f>ROUND(Github!N$693, 2)&amp;"%"</f>
        <v>0%</v>
      </c>
      <c r="N694" s="17">
        <f>Github!O$693</f>
        <v>54.22262941</v>
      </c>
      <c r="O694" s="17">
        <f>Github!P$693</f>
        <v>360426</v>
      </c>
    </row>
    <row r="695">
      <c r="A695" s="17">
        <f>Github!J$694</f>
        <v>693</v>
      </c>
      <c r="B695" s="27" t="str">
        <f>HYPERLINK(CONCAT("http://leetcode.com/problems/",Github!C$694), Github!B$694)</f>
        <v>Binary Number with Alternating Bits</v>
      </c>
      <c r="C695" s="17">
        <f>Github!F$694</f>
        <v>875</v>
      </c>
      <c r="D695" s="17">
        <f>Github!G$694</f>
        <v>101</v>
      </c>
      <c r="E695" s="17">
        <f>Github!F$694+Github!G$694</f>
        <v>976</v>
      </c>
      <c r="F695" s="18">
        <f t="shared" si="1"/>
        <v>8.66</v>
      </c>
      <c r="G695" s="17" t="str">
        <f>Github!H$694</f>
        <v>Algorithms</v>
      </c>
      <c r="H695" s="17" t="str">
        <f>Github!E$694</f>
        <v>Easy</v>
      </c>
      <c r="I695" s="17" t="str">
        <f>IF(TRIM(Github!D$694)="TRUE","FALSE","TRUE")</f>
        <v>TRUE</v>
      </c>
      <c r="J695" s="17"/>
      <c r="K695" s="17" t="str">
        <f>Github!L$694</f>
        <v>Bit Manipulation;</v>
      </c>
      <c r="L695" s="17" t="b">
        <f>Github!M$694</f>
        <v>1</v>
      </c>
      <c r="M695" s="17" t="str">
        <f>ROUND(Github!N$694, 2)&amp;"%"</f>
        <v>0%</v>
      </c>
      <c r="N695" s="17">
        <f>Github!O$694</f>
        <v>60.72522291</v>
      </c>
      <c r="O695" s="17">
        <f>Github!P$694</f>
        <v>89628</v>
      </c>
    </row>
    <row r="696">
      <c r="A696" s="17">
        <f>Github!J$695</f>
        <v>694</v>
      </c>
      <c r="B696" s="27" t="str">
        <f>HYPERLINK(CONCAT("http://leetcode.com/problems/",Github!C$695), Github!B$695)</f>
        <v>Number of Distinct Islands</v>
      </c>
      <c r="C696" s="17">
        <f>Github!F$695</f>
        <v>1671</v>
      </c>
      <c r="D696" s="17">
        <f>Github!G$695</f>
        <v>95</v>
      </c>
      <c r="E696" s="17">
        <f>Github!F$695+Github!G$695</f>
        <v>1766</v>
      </c>
      <c r="F696" s="18">
        <f t="shared" si="1"/>
        <v>17.59</v>
      </c>
      <c r="G696" s="17" t="str">
        <f>Github!H$695</f>
        <v>Algorithms</v>
      </c>
      <c r="H696" s="17" t="str">
        <f>Github!E$695</f>
        <v>Medium</v>
      </c>
      <c r="I696" s="17" t="str">
        <f>IF(TRIM(Github!D$695)="TRUE","FALSE","TRUE")</f>
        <v>FALSE</v>
      </c>
      <c r="J696" s="17"/>
      <c r="K696" s="17" t="str">
        <f>Github!L$695</f>
        <v>Hash Table;Depth-First Search;Breadth-First Search;Union Find;Hash Function;</v>
      </c>
      <c r="L696" s="17" t="b">
        <f>Github!M$695</f>
        <v>1</v>
      </c>
      <c r="M696" s="17" t="str">
        <f>ROUND(Github!N$695, 2)&amp;"%"</f>
        <v>1%</v>
      </c>
      <c r="N696" s="17">
        <f>Github!O$695</f>
        <v>59.51157466</v>
      </c>
      <c r="O696" s="17">
        <f>Github!P$695</f>
        <v>116970</v>
      </c>
    </row>
    <row r="697">
      <c r="A697" s="17">
        <f>Github!J$696</f>
        <v>695</v>
      </c>
      <c r="B697" s="27" t="str">
        <f>HYPERLINK(CONCAT("http://leetcode.com/problems/",Github!C$696), Github!B$696)</f>
        <v>Max Area of Island</v>
      </c>
      <c r="C697" s="17">
        <f>Github!F$696</f>
        <v>5504</v>
      </c>
      <c r="D697" s="17">
        <f>Github!G$696</f>
        <v>142</v>
      </c>
      <c r="E697" s="17">
        <f>Github!F$696+Github!G$696</f>
        <v>5646</v>
      </c>
      <c r="F697" s="18">
        <f t="shared" si="1"/>
        <v>38.76</v>
      </c>
      <c r="G697" s="17" t="str">
        <f>Github!H$696</f>
        <v>Algorithms</v>
      </c>
      <c r="H697" s="17" t="str">
        <f>Github!E$696</f>
        <v>Medium</v>
      </c>
      <c r="I697" s="17" t="str">
        <f>IF(TRIM(Github!D$696)="TRUE","FALSE","TRUE")</f>
        <v>TRUE</v>
      </c>
      <c r="J697" s="17"/>
      <c r="K697" s="17" t="str">
        <f>Github!L$696</f>
        <v>Array;Depth-First Search;Breadth-First Search;Union Find;Matrix;</v>
      </c>
      <c r="L697" s="17" t="b">
        <f>Github!M$696</f>
        <v>1</v>
      </c>
      <c r="M697" s="17" t="str">
        <f>ROUND(Github!N$696, 2)&amp;"%"</f>
        <v>0%</v>
      </c>
      <c r="N697" s="17">
        <f>Github!O$696</f>
        <v>69.17993056</v>
      </c>
      <c r="O697" s="17">
        <f>Github!P$696</f>
        <v>427582</v>
      </c>
    </row>
    <row r="698">
      <c r="A698" s="17">
        <f>Github!J$697</f>
        <v>696</v>
      </c>
      <c r="B698" s="27" t="str">
        <f>HYPERLINK(CONCAT("http://leetcode.com/problems/",Github!C$697), Github!B$697)</f>
        <v>Count Binary Substrings</v>
      </c>
      <c r="C698" s="17">
        <f>Github!F$697</f>
        <v>2678</v>
      </c>
      <c r="D698" s="17">
        <f>Github!G$697</f>
        <v>562</v>
      </c>
      <c r="E698" s="17">
        <f>Github!F$697+Github!G$697</f>
        <v>3240</v>
      </c>
      <c r="F698" s="18">
        <f t="shared" si="1"/>
        <v>4.77</v>
      </c>
      <c r="G698" s="17" t="str">
        <f>Github!H$697</f>
        <v>Algorithms</v>
      </c>
      <c r="H698" s="17" t="str">
        <f>Github!E$697</f>
        <v>Easy</v>
      </c>
      <c r="I698" s="17" t="str">
        <f>IF(TRIM(Github!D$697)="TRUE","FALSE","TRUE")</f>
        <v>TRUE</v>
      </c>
      <c r="J698" s="17"/>
      <c r="K698" s="17" t="str">
        <f>Github!L$697</f>
        <v>Two Pointers;String;</v>
      </c>
      <c r="L698" s="17" t="b">
        <f>Github!M$697</f>
        <v>1</v>
      </c>
      <c r="M698" s="17" t="str">
        <f>ROUND(Github!N$697, 2)&amp;"%"</f>
        <v>0%</v>
      </c>
      <c r="N698" s="17">
        <f>Github!O$697</f>
        <v>64.56229704</v>
      </c>
      <c r="O698" s="17">
        <f>Github!P$697</f>
        <v>138170</v>
      </c>
    </row>
    <row r="699">
      <c r="A699" s="17">
        <f>Github!J$698</f>
        <v>697</v>
      </c>
      <c r="B699" s="27" t="str">
        <f>HYPERLINK(CONCAT("http://leetcode.com/problems/",Github!C$698), Github!B$698)</f>
        <v>Degree of an Array</v>
      </c>
      <c r="C699" s="17">
        <f>Github!F$698</f>
        <v>1894</v>
      </c>
      <c r="D699" s="17">
        <f>Github!G$698</f>
        <v>1246</v>
      </c>
      <c r="E699" s="17">
        <f>Github!F$698+Github!G$698</f>
        <v>3140</v>
      </c>
      <c r="F699" s="18">
        <f t="shared" si="1"/>
        <v>1.52</v>
      </c>
      <c r="G699" s="17" t="str">
        <f>Github!H$698</f>
        <v>Algorithms</v>
      </c>
      <c r="H699" s="17" t="str">
        <f>Github!E$698</f>
        <v>Easy</v>
      </c>
      <c r="I699" s="17" t="str">
        <f>IF(TRIM(Github!D$698)="TRUE","FALSE","TRUE")</f>
        <v>TRUE</v>
      </c>
      <c r="J699" s="17"/>
      <c r="K699" s="17" t="str">
        <f>Github!L$698</f>
        <v>Array;Hash Table;</v>
      </c>
      <c r="L699" s="17" t="b">
        <f>Github!M$698</f>
        <v>1</v>
      </c>
      <c r="M699" s="17" t="str">
        <f>ROUND(Github!N$698, 2)&amp;"%"</f>
        <v>0%</v>
      </c>
      <c r="N699" s="17">
        <f>Github!O$698</f>
        <v>55.57576156</v>
      </c>
      <c r="O699" s="17">
        <f>Github!P$698</f>
        <v>143635</v>
      </c>
    </row>
    <row r="700">
      <c r="A700" s="17">
        <f>Github!J$699</f>
        <v>698</v>
      </c>
      <c r="B700" s="27" t="str">
        <f>HYPERLINK(CONCAT("http://leetcode.com/problems/",Github!C$699), Github!B$699)</f>
        <v>Partition to K Equal Sum Subsets</v>
      </c>
      <c r="C700" s="17">
        <f>Github!F$699</f>
        <v>4513</v>
      </c>
      <c r="D700" s="17">
        <f>Github!G$699</f>
        <v>280</v>
      </c>
      <c r="E700" s="17">
        <f>Github!F$699+Github!G$699</f>
        <v>4793</v>
      </c>
      <c r="F700" s="18">
        <f t="shared" si="1"/>
        <v>16.12</v>
      </c>
      <c r="G700" s="17" t="str">
        <f>Github!H$699</f>
        <v>Algorithms</v>
      </c>
      <c r="H700" s="17" t="str">
        <f>Github!E$699</f>
        <v>Medium</v>
      </c>
      <c r="I700" s="17" t="str">
        <f>IF(TRIM(Github!D$699)="TRUE","FALSE","TRUE")</f>
        <v>TRUE</v>
      </c>
      <c r="J700" s="17"/>
      <c r="K700" s="17" t="str">
        <f>Github!L$699</f>
        <v>Array;Dynamic Programming;Backtracking;Bit Manipulation;Memoization;Bitmask;</v>
      </c>
      <c r="L700" s="17" t="b">
        <f>Github!M$699</f>
        <v>1</v>
      </c>
      <c r="M700" s="17" t="str">
        <f>ROUND(Github!N$699, 2)&amp;"%"</f>
        <v>0%</v>
      </c>
      <c r="N700" s="17">
        <f>Github!O$699</f>
        <v>44.83264197</v>
      </c>
      <c r="O700" s="17">
        <f>Github!P$699</f>
        <v>188053</v>
      </c>
    </row>
    <row r="701">
      <c r="A701" s="17">
        <f>Github!J$700</f>
        <v>699</v>
      </c>
      <c r="B701" s="27" t="str">
        <f>HYPERLINK(CONCAT("http://leetcode.com/problems/",Github!C$700), Github!B$700)</f>
        <v>Falling Squares</v>
      </c>
      <c r="C701" s="17">
        <f>Github!F$700</f>
        <v>436</v>
      </c>
      <c r="D701" s="17">
        <f>Github!G$700</f>
        <v>68</v>
      </c>
      <c r="E701" s="17">
        <f>Github!F$700+Github!G$700</f>
        <v>504</v>
      </c>
      <c r="F701" s="18">
        <f t="shared" si="1"/>
        <v>6.41</v>
      </c>
      <c r="G701" s="17" t="str">
        <f>Github!H$700</f>
        <v>Algorithms</v>
      </c>
      <c r="H701" s="17" t="str">
        <f>Github!E$700</f>
        <v>Hard</v>
      </c>
      <c r="I701" s="17" t="str">
        <f>IF(TRIM(Github!D$700)="TRUE","FALSE","TRUE")</f>
        <v>TRUE</v>
      </c>
      <c r="J701" s="17"/>
      <c r="K701" s="17" t="str">
        <f>Github!L$700</f>
        <v>Array;Segment Tree;Ordered Set;</v>
      </c>
      <c r="L701" s="17" t="b">
        <f>Github!M$700</f>
        <v>1</v>
      </c>
      <c r="M701" s="17" t="str">
        <f>ROUND(Github!N$700, 2)&amp;"%"</f>
        <v>0%</v>
      </c>
      <c r="N701" s="17">
        <f>Github!O$700</f>
        <v>43.67739566</v>
      </c>
      <c r="O701" s="17">
        <f>Github!P$700</f>
        <v>19025</v>
      </c>
    </row>
    <row r="702">
      <c r="A702" s="17">
        <f>Github!J$701</f>
        <v>700</v>
      </c>
      <c r="B702" s="27" t="str">
        <f>HYPERLINK(CONCAT("http://leetcode.com/problems/",Github!C$701), Github!B$701)</f>
        <v>Search in a Binary Search Tree</v>
      </c>
      <c r="C702" s="17">
        <f>Github!F$701</f>
        <v>2577</v>
      </c>
      <c r="D702" s="17">
        <f>Github!G$701</f>
        <v>141</v>
      </c>
      <c r="E702" s="17">
        <f>Github!F$701+Github!G$701</f>
        <v>2718</v>
      </c>
      <c r="F702" s="18">
        <f t="shared" si="1"/>
        <v>18.28</v>
      </c>
      <c r="G702" s="17" t="str">
        <f>Github!H$701</f>
        <v>Algorithms</v>
      </c>
      <c r="H702" s="17" t="str">
        <f>Github!E$701</f>
        <v>Easy</v>
      </c>
      <c r="I702" s="17" t="str">
        <f>IF(TRIM(Github!D$701)="TRUE","FALSE","TRUE")</f>
        <v>TRUE</v>
      </c>
      <c r="J702" s="17"/>
      <c r="K702" s="17" t="str">
        <f>Github!L$701</f>
        <v>Tree;Binary Search Tree;Binary Tree;</v>
      </c>
      <c r="L702" s="17" t="b">
        <f>Github!M$701</f>
        <v>1</v>
      </c>
      <c r="M702" s="17" t="str">
        <f>ROUND(Github!N$701, 2)&amp;"%"</f>
        <v>0%</v>
      </c>
      <c r="N702" s="17">
        <f>Github!O$701</f>
        <v>75.18324062</v>
      </c>
      <c r="O702" s="17">
        <f>Github!P$701</f>
        <v>404238</v>
      </c>
    </row>
    <row r="703">
      <c r="A703" s="17">
        <f>Github!J$702</f>
        <v>701</v>
      </c>
      <c r="B703" s="27" t="str">
        <f>HYPERLINK(CONCAT("http://leetcode.com/problems/",Github!C$702), Github!B$702)</f>
        <v>Insert into a Binary Search Tree</v>
      </c>
      <c r="C703" s="17">
        <f>Github!F$702</f>
        <v>3094</v>
      </c>
      <c r="D703" s="17">
        <f>Github!G$702</f>
        <v>133</v>
      </c>
      <c r="E703" s="17">
        <f>Github!F$702+Github!G$702</f>
        <v>3227</v>
      </c>
      <c r="F703" s="18">
        <f t="shared" si="1"/>
        <v>23.26</v>
      </c>
      <c r="G703" s="17" t="str">
        <f>Github!H$702</f>
        <v>Algorithms</v>
      </c>
      <c r="H703" s="17" t="str">
        <f>Github!E$702</f>
        <v>Medium</v>
      </c>
      <c r="I703" s="17" t="str">
        <f>IF(TRIM(Github!D$702)="TRUE","FALSE","TRUE")</f>
        <v>TRUE</v>
      </c>
      <c r="J703" s="17"/>
      <c r="K703" s="17" t="str">
        <f>Github!L$702</f>
        <v>Tree;Binary Search Tree;Binary Tree;</v>
      </c>
      <c r="L703" s="17" t="b">
        <f>Github!M$702</f>
        <v>1</v>
      </c>
      <c r="M703" s="17" t="str">
        <f>ROUND(Github!N$702, 2)&amp;"%"</f>
        <v>0%</v>
      </c>
      <c r="N703" s="17">
        <f>Github!O$702</f>
        <v>74.96979739</v>
      </c>
      <c r="O703" s="17">
        <f>Github!P$702</f>
        <v>287311</v>
      </c>
    </row>
    <row r="704">
      <c r="A704" s="17">
        <f>Github!J$703</f>
        <v>702</v>
      </c>
      <c r="B704" s="27" t="str">
        <f>HYPERLINK(CONCAT("http://leetcode.com/problems/",Github!C$703), Github!B$703)</f>
        <v>Search in a Sorted Array of Unknown Size</v>
      </c>
      <c r="C704" s="17">
        <f>Github!F$703</f>
        <v>674</v>
      </c>
      <c r="D704" s="17">
        <f>Github!G$703</f>
        <v>33</v>
      </c>
      <c r="E704" s="17">
        <f>Github!F$703+Github!G$703</f>
        <v>707</v>
      </c>
      <c r="F704" s="18">
        <f t="shared" si="1"/>
        <v>20.42</v>
      </c>
      <c r="G704" s="17" t="str">
        <f>Github!H$703</f>
        <v>Algorithms</v>
      </c>
      <c r="H704" s="17" t="str">
        <f>Github!E$703</f>
        <v>Medium</v>
      </c>
      <c r="I704" s="17" t="str">
        <f>IF(TRIM(Github!D$703)="TRUE","FALSE","TRUE")</f>
        <v>FALSE</v>
      </c>
      <c r="J704" s="17"/>
      <c r="K704" s="17" t="str">
        <f>Github!L$703</f>
        <v>Array;Binary Search;Interactive;</v>
      </c>
      <c r="L704" s="17" t="b">
        <f>Github!M$703</f>
        <v>1</v>
      </c>
      <c r="M704" s="17" t="str">
        <f>ROUND(Github!N$703, 2)&amp;"%"</f>
        <v>0%</v>
      </c>
      <c r="N704" s="17">
        <f>Github!O$703</f>
        <v>70.56494987</v>
      </c>
      <c r="O704" s="17">
        <f>Github!P$703</f>
        <v>65599</v>
      </c>
    </row>
    <row r="705">
      <c r="A705" s="17">
        <f>Github!J$704</f>
        <v>703</v>
      </c>
      <c r="B705" s="27" t="str">
        <f>HYPERLINK(CONCAT("http://leetcode.com/problems/",Github!C$704), Github!B$704)</f>
        <v>Kth Largest Element in a Stream</v>
      </c>
      <c r="C705" s="17">
        <f>Github!F$704</f>
        <v>1992</v>
      </c>
      <c r="D705" s="17">
        <f>Github!G$704</f>
        <v>1162</v>
      </c>
      <c r="E705" s="17">
        <f>Github!F$704+Github!G$704</f>
        <v>3154</v>
      </c>
      <c r="F705" s="18">
        <f t="shared" si="1"/>
        <v>1.71</v>
      </c>
      <c r="G705" s="17" t="str">
        <f>Github!H$704</f>
        <v>Algorithms</v>
      </c>
      <c r="H705" s="17" t="str">
        <f>Github!E$704</f>
        <v>Easy</v>
      </c>
      <c r="I705" s="17" t="str">
        <f>IF(TRIM(Github!D$704)="TRUE","FALSE","TRUE")</f>
        <v>TRUE</v>
      </c>
      <c r="J705" s="17"/>
      <c r="K705" s="17" t="str">
        <f>Github!L$704</f>
        <v>Tree;Design;Binary Search Tree;Heap (Priority Queue);Binary Tree;Data Stream;</v>
      </c>
      <c r="L705" s="17" t="b">
        <f>Github!M$704</f>
        <v>1</v>
      </c>
      <c r="M705" s="17" t="str">
        <f>ROUND(Github!N$704, 2)&amp;"%"</f>
        <v>0%</v>
      </c>
      <c r="N705" s="17">
        <f>Github!O$704</f>
        <v>52.65937119</v>
      </c>
      <c r="O705" s="17">
        <f>Github!P$704</f>
        <v>188774</v>
      </c>
    </row>
    <row r="706">
      <c r="A706" s="17">
        <f>Github!J$705</f>
        <v>704</v>
      </c>
      <c r="B706" s="27" t="str">
        <f>HYPERLINK(CONCAT("http://leetcode.com/problems/",Github!C$705), Github!B$705)</f>
        <v>Binary Search</v>
      </c>
      <c r="C706" s="17">
        <f>Github!F$705</f>
        <v>3695</v>
      </c>
      <c r="D706" s="17">
        <f>Github!G$705</f>
        <v>94</v>
      </c>
      <c r="E706" s="17">
        <f>Github!F$705+Github!G$705</f>
        <v>3789</v>
      </c>
      <c r="F706" s="18">
        <f t="shared" si="1"/>
        <v>39.31</v>
      </c>
      <c r="G706" s="17" t="str">
        <f>Github!H$705</f>
        <v>Algorithms</v>
      </c>
      <c r="H706" s="17" t="str">
        <f>Github!E$705</f>
        <v>Easy</v>
      </c>
      <c r="I706" s="17" t="str">
        <f>IF(TRIM(Github!D$705)="TRUE","FALSE","TRUE")</f>
        <v>TRUE</v>
      </c>
      <c r="J706" s="17"/>
      <c r="K706" s="17" t="str">
        <f>Github!L$705</f>
        <v>Array;Binary Search;</v>
      </c>
      <c r="L706" s="17" t="b">
        <f>Github!M$705</f>
        <v>1</v>
      </c>
      <c r="M706" s="17" t="str">
        <f>ROUND(Github!N$705, 2)&amp;"%"</f>
        <v>0%</v>
      </c>
      <c r="N706" s="17">
        <f>Github!O$705</f>
        <v>54.58183834</v>
      </c>
      <c r="O706" s="17">
        <f>Github!P$705</f>
        <v>693029</v>
      </c>
    </row>
    <row r="707">
      <c r="A707" s="17">
        <f>Github!J$706</f>
        <v>705</v>
      </c>
      <c r="B707" s="27" t="str">
        <f>HYPERLINK(CONCAT("http://leetcode.com/problems/",Github!C$706), Github!B$706)</f>
        <v>Design HashSet</v>
      </c>
      <c r="C707" s="17">
        <f>Github!F$706</f>
        <v>1201</v>
      </c>
      <c r="D707" s="17">
        <f>Github!G$706</f>
        <v>151</v>
      </c>
      <c r="E707" s="17">
        <f>Github!F$706+Github!G$706</f>
        <v>1352</v>
      </c>
      <c r="F707" s="18">
        <f t="shared" si="1"/>
        <v>7.95</v>
      </c>
      <c r="G707" s="17" t="str">
        <f>Github!H$706</f>
        <v>Algorithms</v>
      </c>
      <c r="H707" s="17" t="str">
        <f>Github!E$706</f>
        <v>Easy</v>
      </c>
      <c r="I707" s="17" t="str">
        <f>IF(TRIM(Github!D$706)="TRUE","FALSE","TRUE")</f>
        <v>TRUE</v>
      </c>
      <c r="J707" s="17"/>
      <c r="K707" s="17" t="str">
        <f>Github!L$706</f>
        <v>Array;Hash Table;Linked List;Design;Hash Function;</v>
      </c>
      <c r="L707" s="17" t="b">
        <f>Github!M$706</f>
        <v>1</v>
      </c>
      <c r="M707" s="17" t="str">
        <f>ROUND(Github!N$706, 2)&amp;"%"</f>
        <v>0%</v>
      </c>
      <c r="N707" s="17">
        <f>Github!O$706</f>
        <v>63.80537478</v>
      </c>
      <c r="O707" s="17">
        <f>Github!P$706</f>
        <v>167548</v>
      </c>
    </row>
    <row r="708">
      <c r="A708" s="17">
        <f>Github!J$707</f>
        <v>706</v>
      </c>
      <c r="B708" s="27" t="str">
        <f>HYPERLINK(CONCAT("http://leetcode.com/problems/",Github!C$707), Github!B$707)</f>
        <v>Design HashMap</v>
      </c>
      <c r="C708" s="17">
        <f>Github!F$707</f>
        <v>2457</v>
      </c>
      <c r="D708" s="17">
        <f>Github!G$707</f>
        <v>262</v>
      </c>
      <c r="E708" s="17">
        <f>Github!F$707+Github!G$707</f>
        <v>2719</v>
      </c>
      <c r="F708" s="18">
        <f t="shared" si="1"/>
        <v>9.38</v>
      </c>
      <c r="G708" s="17" t="str">
        <f>Github!H$707</f>
        <v>Algorithms</v>
      </c>
      <c r="H708" s="17" t="str">
        <f>Github!E$707</f>
        <v>Easy</v>
      </c>
      <c r="I708" s="17" t="str">
        <f>IF(TRIM(Github!D$707)="TRUE","FALSE","TRUE")</f>
        <v>TRUE</v>
      </c>
      <c r="J708" s="17"/>
      <c r="K708" s="17" t="str">
        <f>Github!L$707</f>
        <v>Array;Hash Table;Linked List;Design;Hash Function;</v>
      </c>
      <c r="L708" s="17" t="b">
        <f>Github!M$707</f>
        <v>1</v>
      </c>
      <c r="M708" s="17" t="str">
        <f>ROUND(Github!N$707, 2)&amp;"%"</f>
        <v>0%</v>
      </c>
      <c r="N708" s="17">
        <f>Github!O$707</f>
        <v>63.77553558</v>
      </c>
      <c r="O708" s="17">
        <f>Github!P$707</f>
        <v>269318</v>
      </c>
    </row>
    <row r="709">
      <c r="A709" s="17">
        <f>Github!J$708</f>
        <v>707</v>
      </c>
      <c r="B709" s="27" t="str">
        <f>HYPERLINK(CONCAT("http://leetcode.com/problems/",Github!C$708), Github!B$708)</f>
        <v>Design Linked List</v>
      </c>
      <c r="C709" s="17">
        <f>Github!F$708</f>
        <v>1355</v>
      </c>
      <c r="D709" s="17">
        <f>Github!G$708</f>
        <v>1132</v>
      </c>
      <c r="E709" s="17">
        <f>Github!F$708+Github!G$708</f>
        <v>2487</v>
      </c>
      <c r="F709" s="18">
        <f t="shared" si="1"/>
        <v>1.2</v>
      </c>
      <c r="G709" s="17" t="str">
        <f>Github!H$708</f>
        <v>Algorithms</v>
      </c>
      <c r="H709" s="17" t="str">
        <f>Github!E$708</f>
        <v>Medium</v>
      </c>
      <c r="I709" s="17" t="str">
        <f>IF(TRIM(Github!D$708)="TRUE","FALSE","TRUE")</f>
        <v>TRUE</v>
      </c>
      <c r="J709" s="17"/>
      <c r="K709" s="17" t="str">
        <f>Github!L$708</f>
        <v>Linked List;Design;</v>
      </c>
      <c r="L709" s="17" t="b">
        <f>Github!M$708</f>
        <v>1</v>
      </c>
      <c r="M709" s="17" t="str">
        <f>ROUND(Github!N$708, 2)&amp;"%"</f>
        <v>0%</v>
      </c>
      <c r="N709" s="17">
        <f>Github!O$708</f>
        <v>26.86017517</v>
      </c>
      <c r="O709" s="17">
        <f>Github!P$708</f>
        <v>174828</v>
      </c>
    </row>
    <row r="710">
      <c r="A710" s="17">
        <f>Github!J$709</f>
        <v>708</v>
      </c>
      <c r="B710" s="27" t="str">
        <f>HYPERLINK(CONCAT("http://leetcode.com/problems/",Github!C$709), Github!B$709)</f>
        <v>Insert into a Sorted Circular Linked List</v>
      </c>
      <c r="C710" s="17">
        <f>Github!F$709</f>
        <v>867</v>
      </c>
      <c r="D710" s="17">
        <f>Github!G$709</f>
        <v>580</v>
      </c>
      <c r="E710" s="17">
        <f>Github!F$709+Github!G$709</f>
        <v>1447</v>
      </c>
      <c r="F710" s="18">
        <f t="shared" si="1"/>
        <v>1.49</v>
      </c>
      <c r="G710" s="17" t="str">
        <f>Github!H$709</f>
        <v>Algorithms</v>
      </c>
      <c r="H710" s="17" t="str">
        <f>Github!E$709</f>
        <v>Medium</v>
      </c>
      <c r="I710" s="17" t="str">
        <f>IF(TRIM(Github!D$709)="TRUE","FALSE","TRUE")</f>
        <v>FALSE</v>
      </c>
      <c r="J710" s="17"/>
      <c r="K710" s="17" t="str">
        <f>Github!L$709</f>
        <v>Linked List;</v>
      </c>
      <c r="L710" s="17" t="b">
        <f>Github!M$709</f>
        <v>1</v>
      </c>
      <c r="M710" s="17" t="str">
        <f>ROUND(Github!N$709, 2)&amp;"%"</f>
        <v>0%</v>
      </c>
      <c r="N710" s="17">
        <f>Github!O$709</f>
        <v>34.17964962</v>
      </c>
      <c r="O710" s="17">
        <f>Github!P$709</f>
        <v>103964</v>
      </c>
    </row>
    <row r="711">
      <c r="A711" s="17">
        <f>Github!J$710</f>
        <v>709</v>
      </c>
      <c r="B711" s="27" t="str">
        <f>HYPERLINK(CONCAT("http://leetcode.com/problems/",Github!C$710), Github!B$710)</f>
        <v>To Lower Case</v>
      </c>
      <c r="C711" s="17">
        <f>Github!F$710</f>
        <v>1010</v>
      </c>
      <c r="D711" s="17">
        <f>Github!G$710</f>
        <v>2262</v>
      </c>
      <c r="E711" s="17">
        <f>Github!F$710+Github!G$710</f>
        <v>3272</v>
      </c>
      <c r="F711" s="18">
        <f t="shared" si="1"/>
        <v>0.45</v>
      </c>
      <c r="G711" s="17" t="str">
        <f>Github!H$710</f>
        <v>Algorithms</v>
      </c>
      <c r="H711" s="17" t="str">
        <f>Github!E$710</f>
        <v>Easy</v>
      </c>
      <c r="I711" s="17" t="str">
        <f>IF(TRIM(Github!D$710)="TRUE","FALSE","TRUE")</f>
        <v>TRUE</v>
      </c>
      <c r="J711" s="17"/>
      <c r="K711" s="17" t="str">
        <f>Github!L$710</f>
        <v>String;</v>
      </c>
      <c r="L711" s="17" t="b">
        <f>Github!M$710</f>
        <v>1</v>
      </c>
      <c r="M711" s="17" t="str">
        <f>ROUND(Github!N$710, 2)&amp;"%"</f>
        <v>0%</v>
      </c>
      <c r="N711" s="17">
        <f>Github!O$710</f>
        <v>81.15645331</v>
      </c>
      <c r="O711" s="17">
        <f>Github!P$710</f>
        <v>327443</v>
      </c>
    </row>
    <row r="712">
      <c r="A712" s="17">
        <f>Github!J$711</f>
        <v>710</v>
      </c>
      <c r="B712" s="27" t="str">
        <f>HYPERLINK(CONCAT("http://leetcode.com/problems/",Github!C$711), Github!B$711)</f>
        <v>Random Pick with Blacklist</v>
      </c>
      <c r="C712" s="17">
        <f>Github!F$711</f>
        <v>583</v>
      </c>
      <c r="D712" s="17">
        <f>Github!G$711</f>
        <v>89</v>
      </c>
      <c r="E712" s="17">
        <f>Github!F$711+Github!G$711</f>
        <v>672</v>
      </c>
      <c r="F712" s="18">
        <f t="shared" si="1"/>
        <v>6.55</v>
      </c>
      <c r="G712" s="17" t="str">
        <f>Github!H$711</f>
        <v>Algorithms</v>
      </c>
      <c r="H712" s="17" t="str">
        <f>Github!E$711</f>
        <v>Hard</v>
      </c>
      <c r="I712" s="17" t="str">
        <f>IF(TRIM(Github!D$711)="TRUE","FALSE","TRUE")</f>
        <v>TRUE</v>
      </c>
      <c r="J712" s="17"/>
      <c r="K712" s="17" t="str">
        <f>Github!L$711</f>
        <v>Hash Table;Math;Binary Search;Sorting;Randomized;</v>
      </c>
      <c r="L712" s="17" t="b">
        <f>Github!M$711</f>
        <v>1</v>
      </c>
      <c r="M712" s="17" t="str">
        <f>ROUND(Github!N$711, 2)&amp;"%"</f>
        <v>0%</v>
      </c>
      <c r="N712" s="17">
        <f>Github!O$711</f>
        <v>33.26144471</v>
      </c>
      <c r="O712" s="17">
        <f>Github!P$711</f>
        <v>26526</v>
      </c>
    </row>
    <row r="713">
      <c r="A713" s="17">
        <f>Github!J$712</f>
        <v>711</v>
      </c>
      <c r="B713" s="27" t="str">
        <f>HYPERLINK(CONCAT("http://leetcode.com/problems/",Github!C$712), Github!B$712)</f>
        <v>Number of Distinct Islands II</v>
      </c>
      <c r="C713" s="17">
        <f>Github!F$712</f>
        <v>208</v>
      </c>
      <c r="D713" s="17">
        <f>Github!G$712</f>
        <v>214</v>
      </c>
      <c r="E713" s="17">
        <f>Github!F$712+Github!G$712</f>
        <v>422</v>
      </c>
      <c r="F713" s="18">
        <f t="shared" si="1"/>
        <v>0.97</v>
      </c>
      <c r="G713" s="17" t="str">
        <f>Github!H$712</f>
        <v>Algorithms</v>
      </c>
      <c r="H713" s="17" t="str">
        <f>Github!E$712</f>
        <v>Hard</v>
      </c>
      <c r="I713" s="17" t="str">
        <f>IF(TRIM(Github!D$712)="TRUE","FALSE","TRUE")</f>
        <v>FALSE</v>
      </c>
      <c r="J713" s="17"/>
      <c r="K713" s="17" t="str">
        <f>Github!L$712</f>
        <v>Hash Table;Depth-First Search;Breadth-First Search;Union Find;Hash Function;</v>
      </c>
      <c r="L713" s="17" t="b">
        <f>Github!M$712</f>
        <v>0</v>
      </c>
      <c r="M713" s="17" t="str">
        <f>ROUND(Github!N$712, 2)&amp;"%"</f>
        <v>0%</v>
      </c>
      <c r="N713" s="17">
        <f>Github!O$712</f>
        <v>50.87752525</v>
      </c>
      <c r="O713" s="17">
        <f>Github!P$712</f>
        <v>8059</v>
      </c>
    </row>
    <row r="714">
      <c r="A714" s="17">
        <f>Github!J$713</f>
        <v>712</v>
      </c>
      <c r="B714" s="27" t="str">
        <f>HYPERLINK(CONCAT("http://leetcode.com/problems/",Github!C$713), Github!B$713)</f>
        <v>Minimum ASCII Delete Sum for Two Strings</v>
      </c>
      <c r="C714" s="17">
        <f>Github!F$713</f>
        <v>1827</v>
      </c>
      <c r="D714" s="17">
        <f>Github!G$713</f>
        <v>61</v>
      </c>
      <c r="E714" s="17">
        <f>Github!F$713+Github!G$713</f>
        <v>1888</v>
      </c>
      <c r="F714" s="18">
        <f t="shared" si="1"/>
        <v>29.95</v>
      </c>
      <c r="G714" s="17" t="str">
        <f>Github!H$713</f>
        <v>Algorithms</v>
      </c>
      <c r="H714" s="17" t="str">
        <f>Github!E$713</f>
        <v>Medium</v>
      </c>
      <c r="I714" s="17" t="str">
        <f>IF(TRIM(Github!D$713)="TRUE","FALSE","TRUE")</f>
        <v>TRUE</v>
      </c>
      <c r="J714" s="17"/>
      <c r="K714" s="17" t="str">
        <f>Github!L$713</f>
        <v>String;Dynamic Programming;</v>
      </c>
      <c r="L714" s="17" t="b">
        <f>Github!M$713</f>
        <v>1</v>
      </c>
      <c r="M714" s="17" t="str">
        <f>ROUND(Github!N$713, 2)&amp;"%"</f>
        <v>0%</v>
      </c>
      <c r="N714" s="17">
        <f>Github!O$713</f>
        <v>61.35929705</v>
      </c>
      <c r="O714" s="17">
        <f>Github!P$713</f>
        <v>59775</v>
      </c>
    </row>
    <row r="715">
      <c r="A715" s="17">
        <f>Github!J$714</f>
        <v>713</v>
      </c>
      <c r="B715" s="27" t="str">
        <f>HYPERLINK(CONCAT("http://leetcode.com/problems/",Github!C$714), Github!B$714)</f>
        <v>Subarray Product Less Than K</v>
      </c>
      <c r="C715" s="17">
        <f>Github!F$714</f>
        <v>3667</v>
      </c>
      <c r="D715" s="17">
        <f>Github!G$714</f>
        <v>127</v>
      </c>
      <c r="E715" s="17">
        <f>Github!F$714+Github!G$714</f>
        <v>3794</v>
      </c>
      <c r="F715" s="18">
        <f t="shared" si="1"/>
        <v>28.87</v>
      </c>
      <c r="G715" s="17" t="str">
        <f>Github!H$714</f>
        <v>Algorithms</v>
      </c>
      <c r="H715" s="17" t="str">
        <f>Github!E$714</f>
        <v>Medium</v>
      </c>
      <c r="I715" s="17" t="str">
        <f>IF(TRIM(Github!D$714)="TRUE","FALSE","TRUE")</f>
        <v>TRUE</v>
      </c>
      <c r="J715" s="17"/>
      <c r="K715" s="17" t="str">
        <f>Github!L$714</f>
        <v>Array;Sliding Window;</v>
      </c>
      <c r="L715" s="17" t="b">
        <f>Github!M$714</f>
        <v>1</v>
      </c>
      <c r="M715" s="17" t="str">
        <f>ROUND(Github!N$714, 2)&amp;"%"</f>
        <v>0%</v>
      </c>
      <c r="N715" s="17">
        <f>Github!O$714</f>
        <v>43.30705093</v>
      </c>
      <c r="O715" s="17">
        <f>Github!P$714</f>
        <v>152907</v>
      </c>
    </row>
    <row r="716">
      <c r="A716" s="17">
        <f>Github!J$715</f>
        <v>714</v>
      </c>
      <c r="B716" s="27" t="str">
        <f>HYPERLINK(CONCAT("http://leetcode.com/problems/",Github!C$715), Github!B$715)</f>
        <v>Best Time to Buy and Sell Stock with Transaction Fee</v>
      </c>
      <c r="C716" s="17">
        <f>Github!F$715</f>
        <v>3692</v>
      </c>
      <c r="D716" s="17">
        <f>Github!G$715</f>
        <v>98</v>
      </c>
      <c r="E716" s="17">
        <f>Github!F$715+Github!G$715</f>
        <v>3790</v>
      </c>
      <c r="F716" s="18">
        <f t="shared" si="1"/>
        <v>37.67</v>
      </c>
      <c r="G716" s="17" t="str">
        <f>Github!H$715</f>
        <v>Algorithms</v>
      </c>
      <c r="H716" s="17" t="str">
        <f>Github!E$715</f>
        <v>Medium</v>
      </c>
      <c r="I716" s="17" t="str">
        <f>IF(TRIM(Github!D$715)="TRUE","FALSE","TRUE")</f>
        <v>TRUE</v>
      </c>
      <c r="J716" s="17"/>
      <c r="K716" s="17" t="str">
        <f>Github!L$715</f>
        <v>Array;Dynamic Programming;Greedy;</v>
      </c>
      <c r="L716" s="17" t="b">
        <f>Github!M$715</f>
        <v>1</v>
      </c>
      <c r="M716" s="17" t="str">
        <f>ROUND(Github!N$715, 2)&amp;"%"</f>
        <v>0%</v>
      </c>
      <c r="N716" s="17">
        <f>Github!O$715</f>
        <v>61.66155847</v>
      </c>
      <c r="O716" s="17">
        <f>Github!P$715</f>
        <v>155515</v>
      </c>
    </row>
    <row r="717">
      <c r="A717" s="17">
        <f>Github!J$716</f>
        <v>715</v>
      </c>
      <c r="B717" s="27" t="str">
        <f>HYPERLINK(CONCAT("http://leetcode.com/problems/",Github!C$716), Github!B$716)</f>
        <v>Range Module</v>
      </c>
      <c r="C717" s="17">
        <f>Github!F$716</f>
        <v>880</v>
      </c>
      <c r="D717" s="17">
        <f>Github!G$716</f>
        <v>68</v>
      </c>
      <c r="E717" s="17">
        <f>Github!F$716+Github!G$716</f>
        <v>948</v>
      </c>
      <c r="F717" s="18">
        <f t="shared" si="1"/>
        <v>12.94</v>
      </c>
      <c r="G717" s="17" t="str">
        <f>Github!H$716</f>
        <v>Algorithms</v>
      </c>
      <c r="H717" s="17" t="str">
        <f>Github!E$716</f>
        <v>Hard</v>
      </c>
      <c r="I717" s="17" t="str">
        <f>IF(TRIM(Github!D$716)="TRUE","FALSE","TRUE")</f>
        <v>TRUE</v>
      </c>
      <c r="J717" s="17"/>
      <c r="K717" s="17" t="str">
        <f>Github!L$716</f>
        <v>Design;Segment Tree;Ordered Set;</v>
      </c>
      <c r="L717" s="17" t="b">
        <f>Github!M$716</f>
        <v>0</v>
      </c>
      <c r="M717" s="17" t="str">
        <f>ROUND(Github!N$716, 2)&amp;"%"</f>
        <v>0%</v>
      </c>
      <c r="N717" s="17">
        <f>Github!O$716</f>
        <v>43.35825727</v>
      </c>
      <c r="O717" s="17">
        <f>Github!P$716</f>
        <v>41519</v>
      </c>
    </row>
    <row r="718">
      <c r="A718" s="17">
        <f>Github!J$717</f>
        <v>716</v>
      </c>
      <c r="B718" s="27" t="str">
        <f>HYPERLINK(CONCAT("http://leetcode.com/problems/",Github!C$717), Github!B$717)</f>
        <v>Max Stack</v>
      </c>
      <c r="C718" s="17">
        <f>Github!F$717</f>
        <v>1415</v>
      </c>
      <c r="D718" s="17">
        <f>Github!G$717</f>
        <v>410</v>
      </c>
      <c r="E718" s="17">
        <f>Github!F$717+Github!G$717</f>
        <v>1825</v>
      </c>
      <c r="F718" s="18">
        <f t="shared" si="1"/>
        <v>3.45</v>
      </c>
      <c r="G718" s="17" t="str">
        <f>Github!H$717</f>
        <v>Algorithms</v>
      </c>
      <c r="H718" s="17" t="str">
        <f>Github!E$717</f>
        <v>Easy</v>
      </c>
      <c r="I718" s="17" t="str">
        <f>IF(TRIM(Github!D$717)="TRUE","FALSE","TRUE")</f>
        <v>FALSE</v>
      </c>
      <c r="J718" s="17"/>
      <c r="K718" s="17" t="str">
        <f>Github!L$717</f>
        <v>Linked List;Stack;Design;Doubly-Linked List;Ordered Set;</v>
      </c>
      <c r="L718" s="17" t="b">
        <f>Github!M$717</f>
        <v>1</v>
      </c>
      <c r="M718" s="17" t="str">
        <f>ROUND(Github!N$717, 2)&amp;"%"</f>
        <v>0%</v>
      </c>
      <c r="N718" s="17">
        <f>Github!O$717</f>
        <v>44.9306322</v>
      </c>
      <c r="O718" s="17">
        <f>Github!P$717</f>
        <v>113575</v>
      </c>
    </row>
    <row r="719">
      <c r="A719" s="17">
        <f>Github!J$718</f>
        <v>717</v>
      </c>
      <c r="B719" s="27" t="str">
        <f>HYPERLINK(CONCAT("http://leetcode.com/problems/",Github!C$718), Github!B$718)</f>
        <v>1-bit and 2-bit Characters</v>
      </c>
      <c r="C719" s="17">
        <f>Github!F$718</f>
        <v>657</v>
      </c>
      <c r="D719" s="17">
        <f>Github!G$718</f>
        <v>1693</v>
      </c>
      <c r="E719" s="17">
        <f>Github!F$718+Github!G$718</f>
        <v>2350</v>
      </c>
      <c r="F719" s="18">
        <f t="shared" si="1"/>
        <v>0.39</v>
      </c>
      <c r="G719" s="17" t="str">
        <f>Github!H$718</f>
        <v>Algorithms</v>
      </c>
      <c r="H719" s="17" t="str">
        <f>Github!E$718</f>
        <v>Easy</v>
      </c>
      <c r="I719" s="17" t="str">
        <f>IF(TRIM(Github!D$718)="TRUE","FALSE","TRUE")</f>
        <v>TRUE</v>
      </c>
      <c r="J719" s="17"/>
      <c r="K719" s="17" t="str">
        <f>Github!L$718</f>
        <v>Array;</v>
      </c>
      <c r="L719" s="17" t="b">
        <f>Github!M$718</f>
        <v>0</v>
      </c>
      <c r="M719" s="17" t="str">
        <f>ROUND(Github!N$718, 2)&amp;"%"</f>
        <v>0%</v>
      </c>
      <c r="N719" s="17">
        <f>Github!O$718</f>
        <v>46.23774465</v>
      </c>
      <c r="O719" s="17">
        <f>Github!P$718</f>
        <v>101490</v>
      </c>
    </row>
    <row r="720">
      <c r="A720" s="17">
        <f>Github!J$719</f>
        <v>718</v>
      </c>
      <c r="B720" s="27" t="str">
        <f>HYPERLINK(CONCAT("http://leetcode.com/problems/",Github!C$719), Github!B$719)</f>
        <v>Maximum Length of Repeated Subarray</v>
      </c>
      <c r="C720" s="17">
        <f>Github!F$719</f>
        <v>3593</v>
      </c>
      <c r="D720" s="17">
        <f>Github!G$719</f>
        <v>87</v>
      </c>
      <c r="E720" s="17">
        <f>Github!F$719+Github!G$719</f>
        <v>3680</v>
      </c>
      <c r="F720" s="18">
        <f t="shared" si="1"/>
        <v>41.3</v>
      </c>
      <c r="G720" s="17" t="str">
        <f>Github!H$719</f>
        <v>Algorithms</v>
      </c>
      <c r="H720" s="17" t="str">
        <f>Github!E$719</f>
        <v>Medium</v>
      </c>
      <c r="I720" s="17" t="str">
        <f>IF(TRIM(Github!D$719)="TRUE","FALSE","TRUE")</f>
        <v>TRUE</v>
      </c>
      <c r="J720" s="17"/>
      <c r="K720" s="17" t="str">
        <f>Github!L$719</f>
        <v>Array;Binary Search;Dynamic Programming;Sliding Window;Rolling Hash;Hash Function;</v>
      </c>
      <c r="L720" s="17" t="b">
        <f>Github!M$719</f>
        <v>1</v>
      </c>
      <c r="M720" s="17" t="str">
        <f>ROUND(Github!N$719, 2)&amp;"%"</f>
        <v>0%</v>
      </c>
      <c r="N720" s="17">
        <f>Github!O$719</f>
        <v>51.34437249</v>
      </c>
      <c r="O720" s="17">
        <f>Github!P$719</f>
        <v>162851</v>
      </c>
    </row>
    <row r="721">
      <c r="A721" s="17">
        <f>Github!J$720</f>
        <v>719</v>
      </c>
      <c r="B721" s="27" t="str">
        <f>HYPERLINK(CONCAT("http://leetcode.com/problems/",Github!C$720), Github!B$720)</f>
        <v>Find K-th Smallest Pair Distance</v>
      </c>
      <c r="C721" s="17">
        <f>Github!F$720</f>
        <v>1876</v>
      </c>
      <c r="D721" s="17">
        <f>Github!G$720</f>
        <v>61</v>
      </c>
      <c r="E721" s="17">
        <f>Github!F$720+Github!G$720</f>
        <v>1937</v>
      </c>
      <c r="F721" s="18">
        <f t="shared" si="1"/>
        <v>30.75</v>
      </c>
      <c r="G721" s="17" t="str">
        <f>Github!H$720</f>
        <v>Algorithms</v>
      </c>
      <c r="H721" s="17" t="str">
        <f>Github!E$720</f>
        <v>Hard</v>
      </c>
      <c r="I721" s="17" t="str">
        <f>IF(TRIM(Github!D$720)="TRUE","FALSE","TRUE")</f>
        <v>TRUE</v>
      </c>
      <c r="J721" s="17"/>
      <c r="K721" s="17" t="str">
        <f>Github!L$720</f>
        <v>Array;Two Pointers;Binary Search;Sorting;</v>
      </c>
      <c r="L721" s="17" t="b">
        <f>Github!M$720</f>
        <v>1</v>
      </c>
      <c r="M721" s="17" t="str">
        <f>ROUND(Github!N$720, 2)&amp;"%"</f>
        <v>0%</v>
      </c>
      <c r="N721" s="17">
        <f>Github!O$720</f>
        <v>34.77043501</v>
      </c>
      <c r="O721" s="17">
        <f>Github!P$720</f>
        <v>56502</v>
      </c>
    </row>
    <row r="722">
      <c r="A722" s="17">
        <f>Github!J$721</f>
        <v>720</v>
      </c>
      <c r="B722" s="27" t="str">
        <f>HYPERLINK(CONCAT("http://leetcode.com/problems/",Github!C$721), Github!B$721)</f>
        <v>Longest Word in Dictionary</v>
      </c>
      <c r="C722" s="17">
        <f>Github!F$721</f>
        <v>1270</v>
      </c>
      <c r="D722" s="17">
        <f>Github!G$721</f>
        <v>1270</v>
      </c>
      <c r="E722" s="17">
        <f>Github!F$721+Github!G$721</f>
        <v>2540</v>
      </c>
      <c r="F722" s="18">
        <f t="shared" si="1"/>
        <v>1</v>
      </c>
      <c r="G722" s="17" t="str">
        <f>Github!H$721</f>
        <v>Algorithms</v>
      </c>
      <c r="H722" s="17" t="str">
        <f>Github!E$721</f>
        <v>Medium</v>
      </c>
      <c r="I722" s="17" t="str">
        <f>IF(TRIM(Github!D$721)="TRUE","FALSE","TRUE")</f>
        <v>TRUE</v>
      </c>
      <c r="J722" s="17"/>
      <c r="K722" s="17" t="str">
        <f>Github!L$721</f>
        <v>Array;Hash Table;String;Trie;Sorting;</v>
      </c>
      <c r="L722" s="17" t="b">
        <f>Github!M$721</f>
        <v>1</v>
      </c>
      <c r="M722" s="17" t="str">
        <f>ROUND(Github!N$721, 2)&amp;"%"</f>
        <v>0%</v>
      </c>
      <c r="N722" s="17">
        <f>Github!O$721</f>
        <v>50.82809663</v>
      </c>
      <c r="O722" s="17">
        <f>Github!P$721</f>
        <v>109182</v>
      </c>
    </row>
    <row r="723">
      <c r="A723" s="17">
        <f>Github!J$722</f>
        <v>721</v>
      </c>
      <c r="B723" s="27" t="str">
        <f>HYPERLINK(CONCAT("http://leetcode.com/problems/",Github!C$722), Github!B$722)</f>
        <v>Accounts Merge</v>
      </c>
      <c r="C723" s="17">
        <f>Github!F$722</f>
        <v>4002</v>
      </c>
      <c r="D723" s="17">
        <f>Github!G$722</f>
        <v>719</v>
      </c>
      <c r="E723" s="17">
        <f>Github!F$722+Github!G$722</f>
        <v>4721</v>
      </c>
      <c r="F723" s="18">
        <f t="shared" si="1"/>
        <v>5.57</v>
      </c>
      <c r="G723" s="17" t="str">
        <f>Github!H$722</f>
        <v>Algorithms</v>
      </c>
      <c r="H723" s="17" t="str">
        <f>Github!E$722</f>
        <v>Medium</v>
      </c>
      <c r="I723" s="17" t="str">
        <f>IF(TRIM(Github!D$722)="TRUE","FALSE","TRUE")</f>
        <v>TRUE</v>
      </c>
      <c r="J723" s="17"/>
      <c r="K723" s="17" t="str">
        <f>Github!L$722</f>
        <v>Array;String;Depth-First Search;Breadth-First Search;Union Find;</v>
      </c>
      <c r="L723" s="17" t="b">
        <f>Github!M$722</f>
        <v>1</v>
      </c>
      <c r="M723" s="17" t="str">
        <f>ROUND(Github!N$722, 2)&amp;"%"</f>
        <v>0%</v>
      </c>
      <c r="N723" s="17">
        <f>Github!O$722</f>
        <v>55.56496362</v>
      </c>
      <c r="O723" s="17">
        <f>Github!P$722</f>
        <v>233615</v>
      </c>
    </row>
    <row r="724">
      <c r="A724" s="17">
        <f>Github!J$723</f>
        <v>722</v>
      </c>
      <c r="B724" s="27" t="str">
        <f>HYPERLINK(CONCAT("http://leetcode.com/problems/",Github!C$723), Github!B$723)</f>
        <v>Remove Comments</v>
      </c>
      <c r="C724" s="17">
        <f>Github!F$723</f>
        <v>546</v>
      </c>
      <c r="D724" s="17">
        <f>Github!G$723</f>
        <v>1468</v>
      </c>
      <c r="E724" s="17">
        <f>Github!F$723+Github!G$723</f>
        <v>2014</v>
      </c>
      <c r="F724" s="18">
        <f t="shared" si="1"/>
        <v>0.37</v>
      </c>
      <c r="G724" s="17" t="str">
        <f>Github!H$723</f>
        <v>Algorithms</v>
      </c>
      <c r="H724" s="17" t="str">
        <f>Github!E$723</f>
        <v>Medium</v>
      </c>
      <c r="I724" s="17" t="str">
        <f>IF(TRIM(Github!D$723)="TRUE","FALSE","TRUE")</f>
        <v>TRUE</v>
      </c>
      <c r="J724" s="17"/>
      <c r="K724" s="17" t="str">
        <f>Github!L$723</f>
        <v>Array;String;</v>
      </c>
      <c r="L724" s="17" t="b">
        <f>Github!M$723</f>
        <v>0</v>
      </c>
      <c r="M724" s="17" t="str">
        <f>ROUND(Github!N$723, 2)&amp;"%"</f>
        <v>0%</v>
      </c>
      <c r="N724" s="17">
        <f>Github!O$723</f>
        <v>37.28093241</v>
      </c>
      <c r="O724" s="17">
        <f>Github!P$723</f>
        <v>52457</v>
      </c>
    </row>
    <row r="725">
      <c r="A725" s="17">
        <f>Github!J$724</f>
        <v>723</v>
      </c>
      <c r="B725" s="27" t="str">
        <f>HYPERLINK(CONCAT("http://leetcode.com/problems/",Github!C$724), Github!B$724)</f>
        <v>Candy Crush</v>
      </c>
      <c r="C725" s="17">
        <f>Github!F$724</f>
        <v>735</v>
      </c>
      <c r="D725" s="17">
        <f>Github!G$724</f>
        <v>325</v>
      </c>
      <c r="E725" s="17">
        <f>Github!F$724+Github!G$724</f>
        <v>1060</v>
      </c>
      <c r="F725" s="18">
        <f t="shared" si="1"/>
        <v>2.26</v>
      </c>
      <c r="G725" s="17" t="str">
        <f>Github!H$724</f>
        <v>Algorithms</v>
      </c>
      <c r="H725" s="17" t="str">
        <f>Github!E$724</f>
        <v>Medium</v>
      </c>
      <c r="I725" s="17" t="str">
        <f>IF(TRIM(Github!D$724)="TRUE","FALSE","TRUE")</f>
        <v>FALSE</v>
      </c>
      <c r="J725" s="17"/>
      <c r="K725" s="17" t="str">
        <f>Github!L$724</f>
        <v>Array;Two Pointers;Matrix;Simulation;</v>
      </c>
      <c r="L725" s="17" t="b">
        <f>Github!M$724</f>
        <v>1</v>
      </c>
      <c r="M725" s="17" t="str">
        <f>ROUND(Github!N$724, 2)&amp;"%"</f>
        <v>0%</v>
      </c>
      <c r="N725" s="17">
        <f>Github!O$724</f>
        <v>74.93999564</v>
      </c>
      <c r="O725" s="17">
        <f>Github!P$724</f>
        <v>48083</v>
      </c>
    </row>
    <row r="726">
      <c r="A726" s="17">
        <f>Github!J$725</f>
        <v>724</v>
      </c>
      <c r="B726" s="27" t="str">
        <f>HYPERLINK(CONCAT("http://leetcode.com/problems/",Github!C$725), Github!B$725)</f>
        <v>Find Pivot Index</v>
      </c>
      <c r="C726" s="17">
        <f>Github!F$725</f>
        <v>2924</v>
      </c>
      <c r="D726" s="17">
        <f>Github!G$725</f>
        <v>361</v>
      </c>
      <c r="E726" s="17">
        <f>Github!F$725+Github!G$725</f>
        <v>3285</v>
      </c>
      <c r="F726" s="18">
        <f t="shared" si="1"/>
        <v>8.1</v>
      </c>
      <c r="G726" s="17" t="str">
        <f>Github!H$725</f>
        <v>Algorithms</v>
      </c>
      <c r="H726" s="17" t="str">
        <f>Github!E$725</f>
        <v>Easy</v>
      </c>
      <c r="I726" s="17" t="str">
        <f>IF(TRIM(Github!D$725)="TRUE","FALSE","TRUE")</f>
        <v>TRUE</v>
      </c>
      <c r="J726" s="17"/>
      <c r="K726" s="17" t="str">
        <f>Github!L$725</f>
        <v>Array;Prefix Sum;</v>
      </c>
      <c r="L726" s="17" t="b">
        <f>Github!M$725</f>
        <v>1</v>
      </c>
      <c r="M726" s="17" t="str">
        <f>ROUND(Github!N$725, 2)&amp;"%"</f>
        <v>0%</v>
      </c>
      <c r="N726" s="17">
        <f>Github!O$725</f>
        <v>51.05372047</v>
      </c>
      <c r="O726" s="17">
        <f>Github!P$725</f>
        <v>288716</v>
      </c>
    </row>
    <row r="727">
      <c r="A727" s="17">
        <f>Github!J$726</f>
        <v>725</v>
      </c>
      <c r="B727" s="27" t="str">
        <f>HYPERLINK(CONCAT("http://leetcode.com/problems/",Github!C$726), Github!B$726)</f>
        <v>Split Linked List in Parts</v>
      </c>
      <c r="C727" s="17">
        <f>Github!F$726</f>
        <v>1725</v>
      </c>
      <c r="D727" s="17">
        <f>Github!G$726</f>
        <v>191</v>
      </c>
      <c r="E727" s="17">
        <f>Github!F$726+Github!G$726</f>
        <v>1916</v>
      </c>
      <c r="F727" s="18">
        <f t="shared" si="1"/>
        <v>9.03</v>
      </c>
      <c r="G727" s="17" t="str">
        <f>Github!H$726</f>
        <v>Algorithms</v>
      </c>
      <c r="H727" s="17" t="str">
        <f>Github!E$726</f>
        <v>Medium</v>
      </c>
      <c r="I727" s="17" t="str">
        <f>IF(TRIM(Github!D$726)="TRUE","FALSE","TRUE")</f>
        <v>TRUE</v>
      </c>
      <c r="J727" s="17"/>
      <c r="K727" s="17" t="str">
        <f>Github!L$726</f>
        <v>Linked List;</v>
      </c>
      <c r="L727" s="17" t="b">
        <f>Github!M$726</f>
        <v>1</v>
      </c>
      <c r="M727" s="17" t="str">
        <f>ROUND(Github!N$726, 2)&amp;"%"</f>
        <v>0%</v>
      </c>
      <c r="N727" s="17">
        <f>Github!O$726</f>
        <v>56.6844173</v>
      </c>
      <c r="O727" s="17">
        <f>Github!P$726</f>
        <v>93351</v>
      </c>
    </row>
    <row r="728">
      <c r="A728" s="17">
        <f>Github!J$727</f>
        <v>726</v>
      </c>
      <c r="B728" s="27" t="str">
        <f>HYPERLINK(CONCAT("http://leetcode.com/problems/",Github!C$727), Github!B$727)</f>
        <v>Number of Atoms</v>
      </c>
      <c r="C728" s="17">
        <f>Github!F$727</f>
        <v>889</v>
      </c>
      <c r="D728" s="17">
        <f>Github!G$727</f>
        <v>221</v>
      </c>
      <c r="E728" s="17">
        <f>Github!F$727+Github!G$727</f>
        <v>1110</v>
      </c>
      <c r="F728" s="18">
        <f t="shared" si="1"/>
        <v>4.02</v>
      </c>
      <c r="G728" s="17" t="str">
        <f>Github!H$727</f>
        <v>Algorithms</v>
      </c>
      <c r="H728" s="17" t="str">
        <f>Github!E$727</f>
        <v>Hard</v>
      </c>
      <c r="I728" s="17" t="str">
        <f>IF(TRIM(Github!D$727)="TRUE","FALSE","TRUE")</f>
        <v>TRUE</v>
      </c>
      <c r="J728" s="17"/>
      <c r="K728" s="17" t="str">
        <f>Github!L$727</f>
        <v>Hash Table;String;Stack;Sorting;</v>
      </c>
      <c r="L728" s="17" t="b">
        <f>Github!M$727</f>
        <v>1</v>
      </c>
      <c r="M728" s="17" t="str">
        <f>ROUND(Github!N$727, 2)&amp;"%"</f>
        <v>0%</v>
      </c>
      <c r="N728" s="17">
        <f>Github!O$727</f>
        <v>51.71971192</v>
      </c>
      <c r="O728" s="17">
        <f>Github!P$727</f>
        <v>43518</v>
      </c>
    </row>
    <row r="729">
      <c r="A729" s="17">
        <f>Github!J$728</f>
        <v>727</v>
      </c>
      <c r="B729" s="27" t="str">
        <f>HYPERLINK(CONCAT("http://leetcode.com/problems/",Github!C$728), Github!B$728)</f>
        <v>Minimum Window Subsequence</v>
      </c>
      <c r="C729" s="17">
        <f>Github!F$728</f>
        <v>1196</v>
      </c>
      <c r="D729" s="17">
        <f>Github!G$728</f>
        <v>71</v>
      </c>
      <c r="E729" s="17">
        <f>Github!F$728+Github!G$728</f>
        <v>1267</v>
      </c>
      <c r="F729" s="18">
        <f t="shared" si="1"/>
        <v>16.85</v>
      </c>
      <c r="G729" s="17" t="str">
        <f>Github!H$728</f>
        <v>Algorithms</v>
      </c>
      <c r="H729" s="17" t="str">
        <f>Github!E$728</f>
        <v>Hard</v>
      </c>
      <c r="I729" s="17" t="str">
        <f>IF(TRIM(Github!D$728)="TRUE","FALSE","TRUE")</f>
        <v>FALSE</v>
      </c>
      <c r="J729" s="17"/>
      <c r="K729" s="17" t="str">
        <f>Github!L$728</f>
        <v>String;Dynamic Programming;Sliding Window;</v>
      </c>
      <c r="L729" s="17" t="b">
        <f>Github!M$728</f>
        <v>0</v>
      </c>
      <c r="M729" s="17" t="str">
        <f>ROUND(Github!N$728, 2)&amp;"%"</f>
        <v>0%</v>
      </c>
      <c r="N729" s="17">
        <f>Github!O$728</f>
        <v>42.87840649</v>
      </c>
      <c r="O729" s="17">
        <f>Github!P$728</f>
        <v>74611</v>
      </c>
    </row>
    <row r="730">
      <c r="A730" s="17">
        <f>Github!J$729</f>
        <v>728</v>
      </c>
      <c r="B730" s="27" t="str">
        <f>HYPERLINK(CONCAT("http://leetcode.com/problems/",Github!C$729), Github!B$729)</f>
        <v>Self Dividing Numbers</v>
      </c>
      <c r="C730" s="17">
        <f>Github!F$729</f>
        <v>1100</v>
      </c>
      <c r="D730" s="17">
        <f>Github!G$729</f>
        <v>347</v>
      </c>
      <c r="E730" s="17">
        <f>Github!F$729+Github!G$729</f>
        <v>1447</v>
      </c>
      <c r="F730" s="18">
        <f t="shared" si="1"/>
        <v>3.17</v>
      </c>
      <c r="G730" s="17" t="str">
        <f>Github!H$729</f>
        <v>Algorithms</v>
      </c>
      <c r="H730" s="17" t="str">
        <f>Github!E$729</f>
        <v>Easy</v>
      </c>
      <c r="I730" s="17" t="str">
        <f>IF(TRIM(Github!D$729)="TRUE","FALSE","TRUE")</f>
        <v>TRUE</v>
      </c>
      <c r="J730" s="17"/>
      <c r="K730" s="17" t="str">
        <f>Github!L$729</f>
        <v>Math;</v>
      </c>
      <c r="L730" s="17" t="b">
        <f>Github!M$729</f>
        <v>1</v>
      </c>
      <c r="M730" s="17" t="str">
        <f>ROUND(Github!N$729, 2)&amp;"%"</f>
        <v>0%</v>
      </c>
      <c r="N730" s="17">
        <f>Github!O$729</f>
        <v>76.78664697</v>
      </c>
      <c r="O730" s="17">
        <f>Github!P$729</f>
        <v>172009</v>
      </c>
    </row>
    <row r="731">
      <c r="A731" s="17">
        <f>Github!J$730</f>
        <v>729</v>
      </c>
      <c r="B731" s="27" t="str">
        <f>HYPERLINK(CONCAT("http://leetcode.com/problems/",Github!C$730), Github!B$730)</f>
        <v>My Calendar I</v>
      </c>
      <c r="C731" s="17">
        <f>Github!F$730</f>
        <v>1826</v>
      </c>
      <c r="D731" s="17">
        <f>Github!G$730</f>
        <v>56</v>
      </c>
      <c r="E731" s="17">
        <f>Github!F$730+Github!G$730</f>
        <v>1882</v>
      </c>
      <c r="F731" s="18">
        <f t="shared" si="1"/>
        <v>32.61</v>
      </c>
      <c r="G731" s="17" t="str">
        <f>Github!H$730</f>
        <v>Algorithms</v>
      </c>
      <c r="H731" s="17" t="str">
        <f>Github!E$730</f>
        <v>Medium</v>
      </c>
      <c r="I731" s="17" t="str">
        <f>IF(TRIM(Github!D$730)="TRUE","FALSE","TRUE")</f>
        <v>TRUE</v>
      </c>
      <c r="J731" s="17"/>
      <c r="K731" s="17" t="str">
        <f>Github!L$730</f>
        <v>Design;Segment Tree;Ordered Set;</v>
      </c>
      <c r="L731" s="17" t="b">
        <f>Github!M$730</f>
        <v>1</v>
      </c>
      <c r="M731" s="17" t="str">
        <f>ROUND(Github!N$730, 2)&amp;"%"</f>
        <v>0%</v>
      </c>
      <c r="N731" s="17">
        <f>Github!O$730</f>
        <v>55.00603888</v>
      </c>
      <c r="O731" s="17">
        <f>Github!P$730</f>
        <v>141184</v>
      </c>
    </row>
    <row r="732">
      <c r="A732" s="17">
        <f>Github!J$731</f>
        <v>730</v>
      </c>
      <c r="B732" s="27" t="str">
        <f>HYPERLINK(CONCAT("http://leetcode.com/problems/",Github!C$731), Github!B$731)</f>
        <v>Count Different Palindromic Subsequences</v>
      </c>
      <c r="C732" s="17">
        <f>Github!F$731</f>
        <v>1232</v>
      </c>
      <c r="D732" s="17">
        <f>Github!G$731</f>
        <v>67</v>
      </c>
      <c r="E732" s="17">
        <f>Github!F$731+Github!G$731</f>
        <v>1299</v>
      </c>
      <c r="F732" s="18">
        <f t="shared" si="1"/>
        <v>18.39</v>
      </c>
      <c r="G732" s="17" t="str">
        <f>Github!H$731</f>
        <v>Algorithms</v>
      </c>
      <c r="H732" s="17" t="str">
        <f>Github!E$731</f>
        <v>Hard</v>
      </c>
      <c r="I732" s="17" t="str">
        <f>IF(TRIM(Github!D$731)="TRUE","FALSE","TRUE")</f>
        <v>TRUE</v>
      </c>
      <c r="J732" s="17"/>
      <c r="K732" s="17" t="str">
        <f>Github!L$731</f>
        <v>String;Dynamic Programming;</v>
      </c>
      <c r="L732" s="17" t="b">
        <f>Github!M$731</f>
        <v>0</v>
      </c>
      <c r="M732" s="17" t="str">
        <f>ROUND(Github!N$731, 2)&amp;"%"</f>
        <v>0%</v>
      </c>
      <c r="N732" s="17">
        <f>Github!O$731</f>
        <v>44.09696679</v>
      </c>
      <c r="O732" s="17">
        <f>Github!P$731</f>
        <v>25776</v>
      </c>
    </row>
    <row r="733">
      <c r="A733" s="17">
        <f>Github!J$732</f>
        <v>731</v>
      </c>
      <c r="B733" s="27" t="str">
        <f>HYPERLINK(CONCAT("http://leetcode.com/problems/",Github!C$732), Github!B$732)</f>
        <v>My Calendar II</v>
      </c>
      <c r="C733" s="17">
        <f>Github!F$732</f>
        <v>1095</v>
      </c>
      <c r="D733" s="17">
        <f>Github!G$732</f>
        <v>122</v>
      </c>
      <c r="E733" s="17">
        <f>Github!F$732+Github!G$732</f>
        <v>1217</v>
      </c>
      <c r="F733" s="18">
        <f t="shared" si="1"/>
        <v>8.98</v>
      </c>
      <c r="G733" s="17" t="str">
        <f>Github!H$732</f>
        <v>Algorithms</v>
      </c>
      <c r="H733" s="17" t="str">
        <f>Github!E$732</f>
        <v>Medium</v>
      </c>
      <c r="I733" s="17" t="str">
        <f>IF(TRIM(Github!D$732)="TRUE","FALSE","TRUE")</f>
        <v>TRUE</v>
      </c>
      <c r="J733" s="17"/>
      <c r="K733" s="17" t="str">
        <f>Github!L$732</f>
        <v>Design;Segment Tree;Ordered Set;</v>
      </c>
      <c r="L733" s="17" t="b">
        <f>Github!M$732</f>
        <v>1</v>
      </c>
      <c r="M733" s="17" t="str">
        <f>ROUND(Github!N$732, 2)&amp;"%"</f>
        <v>0%</v>
      </c>
      <c r="N733" s="17">
        <f>Github!O$732</f>
        <v>53.14456193</v>
      </c>
      <c r="O733" s="17">
        <f>Github!P$732</f>
        <v>70719</v>
      </c>
    </row>
    <row r="734">
      <c r="A734" s="17">
        <f>Github!J$733</f>
        <v>732</v>
      </c>
      <c r="B734" s="27" t="str">
        <f>HYPERLINK(CONCAT("http://leetcode.com/problems/",Github!C$733), Github!B$733)</f>
        <v>My Calendar III</v>
      </c>
      <c r="C734" s="17">
        <f>Github!F$733</f>
        <v>687</v>
      </c>
      <c r="D734" s="17">
        <f>Github!G$733</f>
        <v>142</v>
      </c>
      <c r="E734" s="17">
        <f>Github!F$733+Github!G$733</f>
        <v>829</v>
      </c>
      <c r="F734" s="18">
        <f t="shared" si="1"/>
        <v>4.84</v>
      </c>
      <c r="G734" s="17" t="str">
        <f>Github!H$733</f>
        <v>Algorithms</v>
      </c>
      <c r="H734" s="17" t="str">
        <f>Github!E$733</f>
        <v>Hard</v>
      </c>
      <c r="I734" s="17" t="str">
        <f>IF(TRIM(Github!D$733)="TRUE","FALSE","TRUE")</f>
        <v>TRUE</v>
      </c>
      <c r="J734" s="17"/>
      <c r="K734" s="17" t="str">
        <f>Github!L$733</f>
        <v>Design;Segment Tree;Ordered Set;</v>
      </c>
      <c r="L734" s="17" t="b">
        <f>Github!M$733</f>
        <v>1</v>
      </c>
      <c r="M734" s="17" t="str">
        <f>ROUND(Github!N$733, 2)&amp;"%"</f>
        <v>0%</v>
      </c>
      <c r="N734" s="17">
        <f>Github!O$733</f>
        <v>66.22719087</v>
      </c>
      <c r="O734" s="17">
        <f>Github!P$733</f>
        <v>38979</v>
      </c>
    </row>
    <row r="735">
      <c r="A735" s="17">
        <f>Github!J$734</f>
        <v>733</v>
      </c>
      <c r="B735" s="27" t="str">
        <f>HYPERLINK(CONCAT("http://leetcode.com/problems/",Github!C$734), Github!B$734)</f>
        <v>Flood Fill</v>
      </c>
      <c r="C735" s="17">
        <f>Github!F$734</f>
        <v>3671</v>
      </c>
      <c r="D735" s="17">
        <f>Github!G$734</f>
        <v>352</v>
      </c>
      <c r="E735" s="17">
        <f>Github!F$734+Github!G$734</f>
        <v>4023</v>
      </c>
      <c r="F735" s="18">
        <f t="shared" si="1"/>
        <v>10.43</v>
      </c>
      <c r="G735" s="17" t="str">
        <f>Github!H$734</f>
        <v>Algorithms</v>
      </c>
      <c r="H735" s="17" t="str">
        <f>Github!E$734</f>
        <v>Easy</v>
      </c>
      <c r="I735" s="17" t="str">
        <f>IF(TRIM(Github!D$734)="TRUE","FALSE","TRUE")</f>
        <v>TRUE</v>
      </c>
      <c r="J735" s="17"/>
      <c r="K735" s="17" t="str">
        <f>Github!L$734</f>
        <v>Array;Depth-First Search;Breadth-First Search;Matrix;</v>
      </c>
      <c r="L735" s="17" t="b">
        <f>Github!M$734</f>
        <v>1</v>
      </c>
      <c r="M735" s="17" t="str">
        <f>ROUND(Github!N$734, 2)&amp;"%"</f>
        <v>0%</v>
      </c>
      <c r="N735" s="17">
        <f>Github!O$734</f>
        <v>57.85983576</v>
      </c>
      <c r="O735" s="17">
        <f>Github!P$734</f>
        <v>366010</v>
      </c>
    </row>
    <row r="736">
      <c r="A736" s="17">
        <f>Github!J$735</f>
        <v>734</v>
      </c>
      <c r="B736" s="27" t="str">
        <f>HYPERLINK(CONCAT("http://leetcode.com/problems/",Github!C$735), Github!B$735)</f>
        <v>Sentence Similarity</v>
      </c>
      <c r="C736" s="17">
        <f>Github!F$735</f>
        <v>275</v>
      </c>
      <c r="D736" s="17">
        <f>Github!G$735</f>
        <v>437</v>
      </c>
      <c r="E736" s="17">
        <f>Github!F$735+Github!G$735</f>
        <v>712</v>
      </c>
      <c r="F736" s="18">
        <f t="shared" si="1"/>
        <v>0.63</v>
      </c>
      <c r="G736" s="17" t="str">
        <f>Github!H$735</f>
        <v>Algorithms</v>
      </c>
      <c r="H736" s="17" t="str">
        <f>Github!E$735</f>
        <v>Easy</v>
      </c>
      <c r="I736" s="17" t="str">
        <f>IF(TRIM(Github!D$735)="TRUE","FALSE","TRUE")</f>
        <v>FALSE</v>
      </c>
      <c r="J736" s="17"/>
      <c r="K736" s="17" t="str">
        <f>Github!L$735</f>
        <v>Array;Hash Table;String;</v>
      </c>
      <c r="L736" s="17" t="b">
        <f>Github!M$735</f>
        <v>0</v>
      </c>
      <c r="M736" s="17" t="str">
        <f>ROUND(Github!N$735, 2)&amp;"%"</f>
        <v>0%</v>
      </c>
      <c r="N736" s="17">
        <f>Github!O$735</f>
        <v>42.93534367</v>
      </c>
      <c r="O736" s="17">
        <f>Github!P$735</f>
        <v>49491</v>
      </c>
    </row>
    <row r="737">
      <c r="A737" s="17">
        <f>Github!J$736</f>
        <v>735</v>
      </c>
      <c r="B737" s="27" t="str">
        <f>HYPERLINK(CONCAT("http://leetcode.com/problems/",Github!C$736), Github!B$736)</f>
        <v>Asteroid Collision</v>
      </c>
      <c r="C737" s="17">
        <f>Github!F$736</f>
        <v>3271</v>
      </c>
      <c r="D737" s="17">
        <f>Github!G$736</f>
        <v>260</v>
      </c>
      <c r="E737" s="17">
        <f>Github!F$736+Github!G$736</f>
        <v>3531</v>
      </c>
      <c r="F737" s="18">
        <f t="shared" si="1"/>
        <v>12.58</v>
      </c>
      <c r="G737" s="17" t="str">
        <f>Github!H$736</f>
        <v>Algorithms</v>
      </c>
      <c r="H737" s="17" t="str">
        <f>Github!E$736</f>
        <v>Medium</v>
      </c>
      <c r="I737" s="17" t="str">
        <f>IF(TRIM(Github!D$736)="TRUE","FALSE","TRUE")</f>
        <v>TRUE</v>
      </c>
      <c r="J737" s="17"/>
      <c r="K737" s="17" t="str">
        <f>Github!L$736</f>
        <v>Array;Stack;</v>
      </c>
      <c r="L737" s="17" t="b">
        <f>Github!M$736</f>
        <v>1</v>
      </c>
      <c r="M737" s="17" t="str">
        <f>ROUND(Github!N$736, 2)&amp;"%"</f>
        <v>0%</v>
      </c>
      <c r="N737" s="17">
        <f>Github!O$736</f>
        <v>44.38372755</v>
      </c>
      <c r="O737" s="17">
        <f>Github!P$736</f>
        <v>185423</v>
      </c>
    </row>
    <row r="738">
      <c r="A738" s="17">
        <f>Github!J$737</f>
        <v>736</v>
      </c>
      <c r="B738" s="27" t="str">
        <f>HYPERLINK(CONCAT("http://leetcode.com/problems/",Github!C$737), Github!B$737)</f>
        <v>Parse Lisp Expression</v>
      </c>
      <c r="C738" s="17">
        <f>Github!F$737</f>
        <v>380</v>
      </c>
      <c r="D738" s="17">
        <f>Github!G$737</f>
        <v>297</v>
      </c>
      <c r="E738" s="17">
        <f>Github!F$737+Github!G$737</f>
        <v>677</v>
      </c>
      <c r="F738" s="18">
        <f t="shared" si="1"/>
        <v>1.28</v>
      </c>
      <c r="G738" s="17" t="str">
        <f>Github!H$737</f>
        <v>Algorithms</v>
      </c>
      <c r="H738" s="17" t="str">
        <f>Github!E$737</f>
        <v>Hard</v>
      </c>
      <c r="I738" s="17" t="str">
        <f>IF(TRIM(Github!D$737)="TRUE","FALSE","TRUE")</f>
        <v>TRUE</v>
      </c>
      <c r="J738" s="17"/>
      <c r="K738" s="17" t="str">
        <f>Github!L$737</f>
        <v>Hash Table;String;Stack;Recursion;</v>
      </c>
      <c r="L738" s="17" t="b">
        <f>Github!M$737</f>
        <v>0</v>
      </c>
      <c r="M738" s="17" t="str">
        <f>ROUND(Github!N$737, 2)&amp;"%"</f>
        <v>0%</v>
      </c>
      <c r="N738" s="17">
        <f>Github!O$737</f>
        <v>51.19842276</v>
      </c>
      <c r="O738" s="17">
        <f>Github!P$737</f>
        <v>18178</v>
      </c>
    </row>
    <row r="739">
      <c r="A739" s="17">
        <f>Github!J$738</f>
        <v>737</v>
      </c>
      <c r="B739" s="27" t="str">
        <f>HYPERLINK(CONCAT("http://leetcode.com/problems/",Github!C$738), Github!B$738)</f>
        <v>Sentence Similarity II</v>
      </c>
      <c r="C739" s="17">
        <f>Github!F$738</f>
        <v>689</v>
      </c>
      <c r="D739" s="17">
        <f>Github!G$738</f>
        <v>41</v>
      </c>
      <c r="E739" s="17">
        <f>Github!F$738+Github!G$738</f>
        <v>730</v>
      </c>
      <c r="F739" s="18">
        <f t="shared" si="1"/>
        <v>16.8</v>
      </c>
      <c r="G739" s="17" t="str">
        <f>Github!H$738</f>
        <v>Algorithms</v>
      </c>
      <c r="H739" s="17" t="str">
        <f>Github!E$738</f>
        <v>Medium</v>
      </c>
      <c r="I739" s="17" t="str">
        <f>IF(TRIM(Github!D$738)="TRUE","FALSE","TRUE")</f>
        <v>FALSE</v>
      </c>
      <c r="J739" s="17"/>
      <c r="K739" s="17" t="str">
        <f>Github!L$738</f>
        <v>Array;Hash Table;String;Depth-First Search;Breadth-First Search;Union Find;</v>
      </c>
      <c r="L739" s="17" t="b">
        <f>Github!M$738</f>
        <v>1</v>
      </c>
      <c r="M739" s="17" t="str">
        <f>ROUND(Github!N$738, 2)&amp;"%"</f>
        <v>0%</v>
      </c>
      <c r="N739" s="17">
        <f>Github!O$738</f>
        <v>47.89480276</v>
      </c>
      <c r="O739" s="17">
        <f>Github!P$738</f>
        <v>57364</v>
      </c>
    </row>
    <row r="740">
      <c r="A740" s="17">
        <f>Github!J$739</f>
        <v>738</v>
      </c>
      <c r="B740" s="27" t="str">
        <f>HYPERLINK(CONCAT("http://leetcode.com/problems/",Github!C$739), Github!B$739)</f>
        <v>Monotone Increasing Digits</v>
      </c>
      <c r="C740" s="17">
        <f>Github!F$739</f>
        <v>881</v>
      </c>
      <c r="D740" s="17">
        <f>Github!G$739</f>
        <v>86</v>
      </c>
      <c r="E740" s="17">
        <f>Github!F$739+Github!G$739</f>
        <v>967</v>
      </c>
      <c r="F740" s="18">
        <f t="shared" si="1"/>
        <v>10.24</v>
      </c>
      <c r="G740" s="17" t="str">
        <f>Github!H$739</f>
        <v>Algorithms</v>
      </c>
      <c r="H740" s="17" t="str">
        <f>Github!E$739</f>
        <v>Medium</v>
      </c>
      <c r="I740" s="17" t="str">
        <f>IF(TRIM(Github!D$739)="TRUE","FALSE","TRUE")</f>
        <v>TRUE</v>
      </c>
      <c r="J740" s="17"/>
      <c r="K740" s="17" t="str">
        <f>Github!L$739</f>
        <v>Math;Greedy;</v>
      </c>
      <c r="L740" s="17" t="b">
        <f>Github!M$739</f>
        <v>0</v>
      </c>
      <c r="M740" s="17" t="str">
        <f>ROUND(Github!N$739, 2)&amp;"%"</f>
        <v>0%</v>
      </c>
      <c r="N740" s="17">
        <f>Github!O$739</f>
        <v>46.74494972</v>
      </c>
      <c r="O740" s="17">
        <f>Github!P$739</f>
        <v>36584</v>
      </c>
    </row>
    <row r="741">
      <c r="A741" s="17">
        <f>Github!J$740</f>
        <v>739</v>
      </c>
      <c r="B741" s="27" t="str">
        <f>HYPERLINK(CONCAT("http://leetcode.com/problems/",Github!C$740), Github!B$740)</f>
        <v>Daily Temperatures</v>
      </c>
      <c r="C741" s="17">
        <f>Github!F$740</f>
        <v>6550</v>
      </c>
      <c r="D741" s="17">
        <f>Github!G$740</f>
        <v>152</v>
      </c>
      <c r="E741" s="17">
        <f>Github!F$740+Github!G$740</f>
        <v>6702</v>
      </c>
      <c r="F741" s="18">
        <f t="shared" si="1"/>
        <v>43.09</v>
      </c>
      <c r="G741" s="17" t="str">
        <f>Github!H$740</f>
        <v>Algorithms</v>
      </c>
      <c r="H741" s="17" t="str">
        <f>Github!E$740</f>
        <v>Medium</v>
      </c>
      <c r="I741" s="17" t="str">
        <f>IF(TRIM(Github!D$740)="TRUE","FALSE","TRUE")</f>
        <v>TRUE</v>
      </c>
      <c r="J741" s="17"/>
      <c r="K741" s="17" t="str">
        <f>Github!L$740</f>
        <v>Array;Stack;Monotonic Stack;</v>
      </c>
      <c r="L741" s="17" t="b">
        <f>Github!M$740</f>
        <v>1</v>
      </c>
      <c r="M741" s="17" t="str">
        <f>ROUND(Github!N$740, 2)&amp;"%"</f>
        <v>0%</v>
      </c>
      <c r="N741" s="17">
        <f>Github!O$740</f>
        <v>66.89836231</v>
      </c>
      <c r="O741" s="17">
        <f>Github!P$740</f>
        <v>360815</v>
      </c>
    </row>
    <row r="742">
      <c r="A742" s="17">
        <f>Github!J$741</f>
        <v>740</v>
      </c>
      <c r="B742" s="27" t="str">
        <f>HYPERLINK(CONCAT("http://leetcode.com/problems/",Github!C$741), Github!B$741)</f>
        <v>Delete and Earn</v>
      </c>
      <c r="C742" s="17">
        <f>Github!F$741</f>
        <v>4388</v>
      </c>
      <c r="D742" s="17">
        <f>Github!G$741</f>
        <v>248</v>
      </c>
      <c r="E742" s="17">
        <f>Github!F$741+Github!G$741</f>
        <v>4636</v>
      </c>
      <c r="F742" s="18">
        <f t="shared" si="1"/>
        <v>17.69</v>
      </c>
      <c r="G742" s="17" t="str">
        <f>Github!H$741</f>
        <v>Algorithms</v>
      </c>
      <c r="H742" s="17" t="str">
        <f>Github!E$741</f>
        <v>Medium</v>
      </c>
      <c r="I742" s="17" t="str">
        <f>IF(TRIM(Github!D$741)="TRUE","FALSE","TRUE")</f>
        <v>TRUE</v>
      </c>
      <c r="J742" s="17"/>
      <c r="K742" s="17" t="str">
        <f>Github!L$741</f>
        <v>Array;Hash Table;Dynamic Programming;</v>
      </c>
      <c r="L742" s="17" t="b">
        <f>Github!M$741</f>
        <v>1</v>
      </c>
      <c r="M742" s="17" t="str">
        <f>ROUND(Github!N$741, 2)&amp;"%"</f>
        <v>0%</v>
      </c>
      <c r="N742" s="17">
        <f>Github!O$741</f>
        <v>57.04422376</v>
      </c>
      <c r="O742" s="17">
        <f>Github!P$741</f>
        <v>164738</v>
      </c>
    </row>
    <row r="743">
      <c r="A743" s="17">
        <f>Github!J$742</f>
        <v>741</v>
      </c>
      <c r="B743" s="27" t="str">
        <f>HYPERLINK(CONCAT("http://leetcode.com/problems/",Github!C$742), Github!B$742)</f>
        <v>Cherry Pickup</v>
      </c>
      <c r="C743" s="17">
        <f>Github!F$742</f>
        <v>2484</v>
      </c>
      <c r="D743" s="17">
        <f>Github!G$742</f>
        <v>117</v>
      </c>
      <c r="E743" s="17">
        <f>Github!F$742+Github!G$742</f>
        <v>2601</v>
      </c>
      <c r="F743" s="18">
        <f t="shared" si="1"/>
        <v>21.23</v>
      </c>
      <c r="G743" s="17" t="str">
        <f>Github!H$742</f>
        <v>Algorithms</v>
      </c>
      <c r="H743" s="17" t="str">
        <f>Github!E$742</f>
        <v>Hard</v>
      </c>
      <c r="I743" s="17" t="str">
        <f>IF(TRIM(Github!D$742)="TRUE","FALSE","TRUE")</f>
        <v>TRUE</v>
      </c>
      <c r="J743" s="17"/>
      <c r="K743" s="17" t="str">
        <f>Github!L$742</f>
        <v>Array;Dynamic Programming;Matrix;</v>
      </c>
      <c r="L743" s="17" t="b">
        <f>Github!M$742</f>
        <v>1</v>
      </c>
      <c r="M743" s="17" t="str">
        <f>ROUND(Github!N$742, 2)&amp;"%"</f>
        <v>0%</v>
      </c>
      <c r="N743" s="17">
        <f>Github!O$742</f>
        <v>36.14292161</v>
      </c>
      <c r="O743" s="17">
        <f>Github!P$742</f>
        <v>51255</v>
      </c>
    </row>
    <row r="744">
      <c r="A744" s="17">
        <f>Github!J$743</f>
        <v>742</v>
      </c>
      <c r="B744" s="27" t="str">
        <f>HYPERLINK(CONCAT("http://leetcode.com/problems/",Github!C$743), Github!B$743)</f>
        <v>Closest Leaf in a Binary Tree</v>
      </c>
      <c r="C744" s="17">
        <f>Github!F$743</f>
        <v>732</v>
      </c>
      <c r="D744" s="17">
        <f>Github!G$743</f>
        <v>146</v>
      </c>
      <c r="E744" s="17">
        <f>Github!F$743+Github!G$743</f>
        <v>878</v>
      </c>
      <c r="F744" s="18">
        <f t="shared" si="1"/>
        <v>5.01</v>
      </c>
      <c r="G744" s="17" t="str">
        <f>Github!H$743</f>
        <v>Algorithms</v>
      </c>
      <c r="H744" s="17" t="str">
        <f>Github!E$743</f>
        <v>Medium</v>
      </c>
      <c r="I744" s="17" t="str">
        <f>IF(TRIM(Github!D$743)="TRUE","FALSE","TRUE")</f>
        <v>FALSE</v>
      </c>
      <c r="J744" s="17"/>
      <c r="K744" s="17" t="str">
        <f>Github!L$743</f>
        <v>Tree;Depth-First Search;Breadth-First Search;Binary Tree;</v>
      </c>
      <c r="L744" s="17" t="b">
        <f>Github!M$743</f>
        <v>1</v>
      </c>
      <c r="M744" s="17" t="str">
        <f>ROUND(Github!N$743, 2)&amp;"%"</f>
        <v>0%</v>
      </c>
      <c r="N744" s="17">
        <f>Github!O$743</f>
        <v>45.46547365</v>
      </c>
      <c r="O744" s="17">
        <f>Github!P$743</f>
        <v>36687</v>
      </c>
    </row>
    <row r="745">
      <c r="A745" s="17">
        <f>Github!J$744</f>
        <v>743</v>
      </c>
      <c r="B745" s="27" t="str">
        <f>HYPERLINK(CONCAT("http://leetcode.com/problems/",Github!C$744), Github!B$744)</f>
        <v>Network Delay Time</v>
      </c>
      <c r="C745" s="17">
        <f>Github!F$744</f>
        <v>3778</v>
      </c>
      <c r="D745" s="17">
        <f>Github!G$744</f>
        <v>274</v>
      </c>
      <c r="E745" s="17">
        <f>Github!F$744+Github!G$744</f>
        <v>4052</v>
      </c>
      <c r="F745" s="18">
        <f t="shared" si="1"/>
        <v>13.79</v>
      </c>
      <c r="G745" s="17" t="str">
        <f>Github!H$744</f>
        <v>Algorithms</v>
      </c>
      <c r="H745" s="17" t="str">
        <f>Github!E$744</f>
        <v>Medium</v>
      </c>
      <c r="I745" s="17" t="str">
        <f>IF(TRIM(Github!D$744)="TRUE","FALSE","TRUE")</f>
        <v>TRUE</v>
      </c>
      <c r="J745" s="17"/>
      <c r="K745" s="17" t="str">
        <f>Github!L$744</f>
        <v>Depth-First Search;Breadth-First Search;Graph;Heap (Priority Queue);Shortest Path;</v>
      </c>
      <c r="L745" s="17" t="b">
        <f>Github!M$744</f>
        <v>1</v>
      </c>
      <c r="M745" s="17" t="str">
        <f>ROUND(Github!N$744, 2)&amp;"%"</f>
        <v>0%</v>
      </c>
      <c r="N745" s="17">
        <f>Github!O$744</f>
        <v>48.15093996</v>
      </c>
      <c r="O745" s="17">
        <f>Github!P$744</f>
        <v>222292</v>
      </c>
    </row>
    <row r="746">
      <c r="A746" s="17">
        <f>Github!J$745</f>
        <v>744</v>
      </c>
      <c r="B746" s="27" t="str">
        <f>HYPERLINK(CONCAT("http://leetcode.com/problems/",Github!C$745), Github!B$745)</f>
        <v>Find Smallest Letter Greater Than Target</v>
      </c>
      <c r="C746" s="17">
        <f>Github!F$745</f>
        <v>1400</v>
      </c>
      <c r="D746" s="17">
        <f>Github!G$745</f>
        <v>1297</v>
      </c>
      <c r="E746" s="17">
        <f>Github!F$745+Github!G$745</f>
        <v>2697</v>
      </c>
      <c r="F746" s="18">
        <f t="shared" si="1"/>
        <v>1.08</v>
      </c>
      <c r="G746" s="17" t="str">
        <f>Github!H$745</f>
        <v>Algorithms</v>
      </c>
      <c r="H746" s="17" t="str">
        <f>Github!E$745</f>
        <v>Easy</v>
      </c>
      <c r="I746" s="17" t="str">
        <f>IF(TRIM(Github!D$745)="TRUE","FALSE","TRUE")</f>
        <v>TRUE</v>
      </c>
      <c r="J746" s="17"/>
      <c r="K746" s="17" t="str">
        <f>Github!L$745</f>
        <v>Array;Binary Search;</v>
      </c>
      <c r="L746" s="17" t="b">
        <f>Github!M$745</f>
        <v>1</v>
      </c>
      <c r="M746" s="17" t="str">
        <f>ROUND(Github!N$745, 2)&amp;"%"</f>
        <v>0%</v>
      </c>
      <c r="N746" s="17">
        <f>Github!O$745</f>
        <v>45.36262259</v>
      </c>
      <c r="O746" s="17">
        <f>Github!P$745</f>
        <v>170113</v>
      </c>
    </row>
    <row r="747">
      <c r="A747" s="17">
        <f>Github!J$746</f>
        <v>745</v>
      </c>
      <c r="B747" s="27" t="str">
        <f>HYPERLINK(CONCAT("http://leetcode.com/problems/",Github!C$746), Github!B$746)</f>
        <v>Prefix and Suffix Search</v>
      </c>
      <c r="C747" s="17">
        <f>Github!F$746</f>
        <v>1005</v>
      </c>
      <c r="D747" s="17">
        <f>Github!G$746</f>
        <v>325</v>
      </c>
      <c r="E747" s="17">
        <f>Github!F$746+Github!G$746</f>
        <v>1330</v>
      </c>
      <c r="F747" s="18">
        <f t="shared" si="1"/>
        <v>3.09</v>
      </c>
      <c r="G747" s="17" t="str">
        <f>Github!H$746</f>
        <v>Algorithms</v>
      </c>
      <c r="H747" s="17" t="str">
        <f>Github!E$746</f>
        <v>Hard</v>
      </c>
      <c r="I747" s="17" t="str">
        <f>IF(TRIM(Github!D$746)="TRUE","FALSE","TRUE")</f>
        <v>TRUE</v>
      </c>
      <c r="J747" s="17"/>
      <c r="K747" s="17" t="str">
        <f>Github!L$746</f>
        <v>String;Design;Trie;</v>
      </c>
      <c r="L747" s="17" t="b">
        <f>Github!M$746</f>
        <v>1</v>
      </c>
      <c r="M747" s="17" t="str">
        <f>ROUND(Github!N$746, 2)&amp;"%"</f>
        <v>0%</v>
      </c>
      <c r="N747" s="17">
        <f>Github!O$746</f>
        <v>36.38549718</v>
      </c>
      <c r="O747" s="17">
        <f>Github!P$746</f>
        <v>48722</v>
      </c>
    </row>
    <row r="748">
      <c r="A748" s="17">
        <f>Github!J$747</f>
        <v>746</v>
      </c>
      <c r="B748" s="27" t="str">
        <f>HYPERLINK(CONCAT("http://leetcode.com/problems/",Github!C$747), Github!B$747)</f>
        <v>Min Cost Climbing Stairs</v>
      </c>
      <c r="C748" s="17">
        <f>Github!F$747</f>
        <v>5493</v>
      </c>
      <c r="D748" s="17">
        <f>Github!G$747</f>
        <v>961</v>
      </c>
      <c r="E748" s="17">
        <f>Github!F$747+Github!G$747</f>
        <v>6454</v>
      </c>
      <c r="F748" s="18">
        <f t="shared" si="1"/>
        <v>5.72</v>
      </c>
      <c r="G748" s="17" t="str">
        <f>Github!H$747</f>
        <v>Algorithms</v>
      </c>
      <c r="H748" s="17" t="str">
        <f>Github!E$747</f>
        <v>Easy</v>
      </c>
      <c r="I748" s="17" t="str">
        <f>IF(TRIM(Github!D$747)="TRUE","FALSE","TRUE")</f>
        <v>TRUE</v>
      </c>
      <c r="J748" s="17"/>
      <c r="K748" s="17" t="str">
        <f>Github!L$747</f>
        <v>Array;Dynamic Programming;</v>
      </c>
      <c r="L748" s="17" t="b">
        <f>Github!M$747</f>
        <v>1</v>
      </c>
      <c r="M748" s="17" t="str">
        <f>ROUND(Github!N$747, 2)&amp;"%"</f>
        <v>0%</v>
      </c>
      <c r="N748" s="17">
        <f>Github!O$747</f>
        <v>58.17272134</v>
      </c>
      <c r="O748" s="17">
        <f>Github!P$747</f>
        <v>427861</v>
      </c>
    </row>
    <row r="749">
      <c r="A749" s="17">
        <f>Github!J$748</f>
        <v>747</v>
      </c>
      <c r="B749" s="27" t="str">
        <f>HYPERLINK(CONCAT("http://leetcode.com/problems/",Github!C$748), Github!B$748)</f>
        <v>Largest Number At Least Twice of Others</v>
      </c>
      <c r="C749" s="17">
        <f>Github!F$748</f>
        <v>637</v>
      </c>
      <c r="D749" s="17">
        <f>Github!G$748</f>
        <v>745</v>
      </c>
      <c r="E749" s="17">
        <f>Github!F$748+Github!G$748</f>
        <v>1382</v>
      </c>
      <c r="F749" s="18">
        <f t="shared" si="1"/>
        <v>0.86</v>
      </c>
      <c r="G749" s="17" t="str">
        <f>Github!H$748</f>
        <v>Algorithms</v>
      </c>
      <c r="H749" s="17" t="str">
        <f>Github!E$748</f>
        <v>Easy</v>
      </c>
      <c r="I749" s="17" t="str">
        <f>IF(TRIM(Github!D$748)="TRUE","FALSE","TRUE")</f>
        <v>TRUE</v>
      </c>
      <c r="J749" s="17"/>
      <c r="K749" s="17" t="str">
        <f>Github!L$748</f>
        <v>Array;Sorting;</v>
      </c>
      <c r="L749" s="17" t="b">
        <f>Github!M$748</f>
        <v>0</v>
      </c>
      <c r="M749" s="17" t="str">
        <f>ROUND(Github!N$748, 2)&amp;"%"</f>
        <v>0%</v>
      </c>
      <c r="N749" s="17">
        <f>Github!O$748</f>
        <v>44.98982043</v>
      </c>
      <c r="O749" s="17">
        <f>Github!P$748</f>
        <v>150045</v>
      </c>
    </row>
    <row r="750">
      <c r="A750" s="17">
        <f>Github!J$749</f>
        <v>748</v>
      </c>
      <c r="B750" s="27" t="str">
        <f>HYPERLINK(CONCAT("http://leetcode.com/problems/",Github!C$749), Github!B$749)</f>
        <v>Shortest Completing Word</v>
      </c>
      <c r="C750" s="17">
        <f>Github!F$749</f>
        <v>295</v>
      </c>
      <c r="D750" s="17">
        <f>Github!G$749</f>
        <v>836</v>
      </c>
      <c r="E750" s="17">
        <f>Github!F$749+Github!G$749</f>
        <v>1131</v>
      </c>
      <c r="F750" s="18">
        <f t="shared" si="1"/>
        <v>0.35</v>
      </c>
      <c r="G750" s="17" t="str">
        <f>Github!H$749</f>
        <v>Algorithms</v>
      </c>
      <c r="H750" s="17" t="str">
        <f>Github!E$749</f>
        <v>Easy</v>
      </c>
      <c r="I750" s="17" t="str">
        <f>IF(TRIM(Github!D$749)="TRUE","FALSE","TRUE")</f>
        <v>TRUE</v>
      </c>
      <c r="J750" s="17"/>
      <c r="K750" s="17" t="str">
        <f>Github!L$749</f>
        <v>Array;Hash Table;String;</v>
      </c>
      <c r="L750" s="17" t="b">
        <f>Github!M$749</f>
        <v>0</v>
      </c>
      <c r="M750" s="17" t="str">
        <f>ROUND(Github!N$749, 2)&amp;"%"</f>
        <v>0%</v>
      </c>
      <c r="N750" s="17">
        <f>Github!O$749</f>
        <v>58.75517564</v>
      </c>
      <c r="O750" s="17">
        <f>Github!P$749</f>
        <v>48389</v>
      </c>
    </row>
    <row r="751">
      <c r="A751" s="17">
        <f>Github!J$750</f>
        <v>749</v>
      </c>
      <c r="B751" s="27" t="str">
        <f>HYPERLINK(CONCAT("http://leetcode.com/problems/",Github!C$750), Github!B$750)</f>
        <v>Contain Virus</v>
      </c>
      <c r="C751" s="17">
        <f>Github!F$750</f>
        <v>219</v>
      </c>
      <c r="D751" s="17">
        <f>Github!G$750</f>
        <v>362</v>
      </c>
      <c r="E751" s="17">
        <f>Github!F$750+Github!G$750</f>
        <v>581</v>
      </c>
      <c r="F751" s="18">
        <f t="shared" si="1"/>
        <v>0.6</v>
      </c>
      <c r="G751" s="17" t="str">
        <f>Github!H$750</f>
        <v>Algorithms</v>
      </c>
      <c r="H751" s="17" t="str">
        <f>Github!E$750</f>
        <v>Hard</v>
      </c>
      <c r="I751" s="17" t="str">
        <f>IF(TRIM(Github!D$750)="TRUE","FALSE","TRUE")</f>
        <v>TRUE</v>
      </c>
      <c r="J751" s="17"/>
      <c r="K751" s="17" t="str">
        <f>Github!L$750</f>
        <v>Array;Depth-First Search;Breadth-First Search;Matrix;Simulation;</v>
      </c>
      <c r="L751" s="17" t="b">
        <f>Github!M$750</f>
        <v>0</v>
      </c>
      <c r="M751" s="17" t="str">
        <f>ROUND(Github!N$750, 2)&amp;"%"</f>
        <v>0%</v>
      </c>
      <c r="N751" s="17">
        <f>Github!O$750</f>
        <v>49.86922406</v>
      </c>
      <c r="O751" s="17">
        <f>Github!P$750</f>
        <v>8008</v>
      </c>
    </row>
    <row r="752">
      <c r="A752" s="17">
        <f>Github!J$751</f>
        <v>750</v>
      </c>
      <c r="B752" s="27" t="str">
        <f>HYPERLINK(CONCAT("http://leetcode.com/problems/",Github!C$751), Github!B$751)</f>
        <v>Number Of Corner Rectangles</v>
      </c>
      <c r="C752" s="17">
        <f>Github!F$751</f>
        <v>565</v>
      </c>
      <c r="D752" s="17">
        <f>Github!G$751</f>
        <v>85</v>
      </c>
      <c r="E752" s="17">
        <f>Github!F$751+Github!G$751</f>
        <v>650</v>
      </c>
      <c r="F752" s="18">
        <f t="shared" si="1"/>
        <v>6.65</v>
      </c>
      <c r="G752" s="17" t="str">
        <f>Github!H$751</f>
        <v>Algorithms</v>
      </c>
      <c r="H752" s="17" t="str">
        <f>Github!E$751</f>
        <v>Medium</v>
      </c>
      <c r="I752" s="17" t="str">
        <f>IF(TRIM(Github!D$751)="TRUE","FALSE","TRUE")</f>
        <v>FALSE</v>
      </c>
      <c r="J752" s="17"/>
      <c r="K752" s="17" t="str">
        <f>Github!L$751</f>
        <v>Array;Math;Dynamic Programming;Matrix;</v>
      </c>
      <c r="L752" s="17" t="b">
        <f>Github!M$751</f>
        <v>1</v>
      </c>
      <c r="M752" s="17" t="str">
        <f>ROUND(Github!N$751, 2)&amp;"%"</f>
        <v>0%</v>
      </c>
      <c r="N752" s="17">
        <f>Github!O$751</f>
        <v>67.52177567</v>
      </c>
      <c r="O752" s="17">
        <f>Github!P$751</f>
        <v>35349</v>
      </c>
    </row>
    <row r="753">
      <c r="A753" s="17">
        <f>Github!J$752</f>
        <v>751</v>
      </c>
      <c r="B753" s="27" t="str">
        <f>HYPERLINK(CONCAT("http://leetcode.com/problems/",Github!C$752), Github!B$752)</f>
        <v>IP to CIDR</v>
      </c>
      <c r="C753" s="17">
        <f>Github!F$752</f>
        <v>24</v>
      </c>
      <c r="D753" s="17">
        <f>Github!G$752</f>
        <v>69</v>
      </c>
      <c r="E753" s="17">
        <f>Github!F$752+Github!G$752</f>
        <v>93</v>
      </c>
      <c r="F753" s="18">
        <f t="shared" si="1"/>
        <v>0.35</v>
      </c>
      <c r="G753" s="17" t="str">
        <f>Github!H$752</f>
        <v>Algorithms</v>
      </c>
      <c r="H753" s="17" t="str">
        <f>Github!E$752</f>
        <v>Medium</v>
      </c>
      <c r="I753" s="17" t="str">
        <f>IF(TRIM(Github!D$752)="TRUE","FALSE","TRUE")</f>
        <v>FALSE</v>
      </c>
      <c r="J753" s="17"/>
      <c r="K753" s="17" t="str">
        <f>Github!L$752</f>
        <v>String;Bit Manipulation;</v>
      </c>
      <c r="L753" s="17" t="b">
        <f>Github!M$752</f>
        <v>0</v>
      </c>
      <c r="M753" s="17" t="str">
        <f>ROUND(Github!N$752, 2)&amp;"%"</f>
        <v>0%</v>
      </c>
      <c r="N753" s="17">
        <f>Github!O$752</f>
        <v>55.14828526</v>
      </c>
      <c r="O753" s="17">
        <f>Github!P$752</f>
        <v>13556</v>
      </c>
    </row>
    <row r="754">
      <c r="A754" s="17">
        <f>Github!J$753</f>
        <v>752</v>
      </c>
      <c r="B754" s="27" t="str">
        <f>HYPERLINK(CONCAT("http://leetcode.com/problems/",Github!C$753), Github!B$753)</f>
        <v>Open the Lock</v>
      </c>
      <c r="C754" s="17">
        <f>Github!F$753</f>
        <v>2641</v>
      </c>
      <c r="D754" s="17">
        <f>Github!G$753</f>
        <v>88</v>
      </c>
      <c r="E754" s="17">
        <f>Github!F$753+Github!G$753</f>
        <v>2729</v>
      </c>
      <c r="F754" s="18">
        <f t="shared" si="1"/>
        <v>30.01</v>
      </c>
      <c r="G754" s="17" t="str">
        <f>Github!H$753</f>
        <v>Algorithms</v>
      </c>
      <c r="H754" s="17" t="str">
        <f>Github!E$753</f>
        <v>Medium</v>
      </c>
      <c r="I754" s="17" t="str">
        <f>IF(TRIM(Github!D$753)="TRUE","FALSE","TRUE")</f>
        <v>TRUE</v>
      </c>
      <c r="J754" s="17"/>
      <c r="K754" s="17" t="str">
        <f>Github!L$753</f>
        <v>Array;Hash Table;String;Breadth-First Search;</v>
      </c>
      <c r="L754" s="17" t="b">
        <f>Github!M$753</f>
        <v>1</v>
      </c>
      <c r="M754" s="17" t="str">
        <f>ROUND(Github!N$753, 2)&amp;"%"</f>
        <v>0%</v>
      </c>
      <c r="N754" s="17">
        <f>Github!O$753</f>
        <v>55.23409094</v>
      </c>
      <c r="O754" s="17">
        <f>Github!P$753</f>
        <v>152515</v>
      </c>
    </row>
    <row r="755">
      <c r="A755" s="17">
        <f>Github!J$754</f>
        <v>753</v>
      </c>
      <c r="B755" s="27" t="str">
        <f>HYPERLINK(CONCAT("http://leetcode.com/problems/",Github!C$754), Github!B$754)</f>
        <v>Cracking the Safe</v>
      </c>
      <c r="C755" s="17">
        <f>Github!F$754</f>
        <v>175</v>
      </c>
      <c r="D755" s="17">
        <f>Github!G$754</f>
        <v>27</v>
      </c>
      <c r="E755" s="17">
        <f>Github!F$754+Github!G$754</f>
        <v>202</v>
      </c>
      <c r="F755" s="18">
        <f t="shared" si="1"/>
        <v>6.48</v>
      </c>
      <c r="G755" s="17" t="str">
        <f>Github!H$754</f>
        <v>Algorithms</v>
      </c>
      <c r="H755" s="17" t="str">
        <f>Github!E$754</f>
        <v>Hard</v>
      </c>
      <c r="I755" s="17" t="str">
        <f>IF(TRIM(Github!D$754)="TRUE","FALSE","TRUE")</f>
        <v>TRUE</v>
      </c>
      <c r="J755" s="17"/>
      <c r="K755" s="17" t="str">
        <f>Github!L$754</f>
        <v>Depth-First Search;Graph;Eulerian Circuit;</v>
      </c>
      <c r="L755" s="17" t="b">
        <f>Github!M$754</f>
        <v>0</v>
      </c>
      <c r="M755" s="17" t="str">
        <f>ROUND(Github!N$754, 2)&amp;"%"</f>
        <v>0%</v>
      </c>
      <c r="N755" s="17">
        <f>Github!O$754</f>
        <v>54.44472792</v>
      </c>
      <c r="O755" s="17">
        <f>Github!P$754</f>
        <v>44814</v>
      </c>
    </row>
    <row r="756">
      <c r="A756" s="17">
        <f>Github!J$755</f>
        <v>754</v>
      </c>
      <c r="B756" s="27" t="str">
        <f>HYPERLINK(CONCAT("http://leetcode.com/problems/",Github!C$755), Github!B$755)</f>
        <v>Reach a Number</v>
      </c>
      <c r="C756" s="17">
        <f>Github!F$755</f>
        <v>1053</v>
      </c>
      <c r="D756" s="17">
        <f>Github!G$755</f>
        <v>649</v>
      </c>
      <c r="E756" s="17">
        <f>Github!F$755+Github!G$755</f>
        <v>1702</v>
      </c>
      <c r="F756" s="18">
        <f t="shared" si="1"/>
        <v>1.62</v>
      </c>
      <c r="G756" s="17" t="str">
        <f>Github!H$755</f>
        <v>Algorithms</v>
      </c>
      <c r="H756" s="17" t="str">
        <f>Github!E$755</f>
        <v>Medium</v>
      </c>
      <c r="I756" s="17" t="str">
        <f>IF(TRIM(Github!D$755)="TRUE","FALSE","TRUE")</f>
        <v>TRUE</v>
      </c>
      <c r="J756" s="17"/>
      <c r="K756" s="17" t="str">
        <f>Github!L$755</f>
        <v>Math;Binary Search;</v>
      </c>
      <c r="L756" s="17" t="b">
        <f>Github!M$755</f>
        <v>1</v>
      </c>
      <c r="M756" s="17" t="str">
        <f>ROUND(Github!N$755, 2)&amp;"%"</f>
        <v>0%</v>
      </c>
      <c r="N756" s="17">
        <f>Github!O$755</f>
        <v>41.73520651</v>
      </c>
      <c r="O756" s="17">
        <f>Github!P$755</f>
        <v>37550</v>
      </c>
    </row>
    <row r="757">
      <c r="A757" s="17">
        <f>Github!J$756</f>
        <v>755</v>
      </c>
      <c r="B757" s="27" t="str">
        <f>HYPERLINK(CONCAT("http://leetcode.com/problems/",Github!C$756), Github!B$756)</f>
        <v>Pour Water</v>
      </c>
      <c r="C757" s="17">
        <f>Github!F$756</f>
        <v>253</v>
      </c>
      <c r="D757" s="17">
        <f>Github!G$756</f>
        <v>590</v>
      </c>
      <c r="E757" s="17">
        <f>Github!F$756+Github!G$756</f>
        <v>843</v>
      </c>
      <c r="F757" s="18">
        <f t="shared" si="1"/>
        <v>0.43</v>
      </c>
      <c r="G757" s="17" t="str">
        <f>Github!H$756</f>
        <v>Algorithms</v>
      </c>
      <c r="H757" s="17" t="str">
        <f>Github!E$756</f>
        <v>Medium</v>
      </c>
      <c r="I757" s="17" t="str">
        <f>IF(TRIM(Github!D$756)="TRUE","FALSE","TRUE")</f>
        <v>FALSE</v>
      </c>
      <c r="J757" s="17"/>
      <c r="K757" s="17" t="str">
        <f>Github!L$756</f>
        <v>Array;Simulation;</v>
      </c>
      <c r="L757" s="17" t="b">
        <f>Github!M$756</f>
        <v>0</v>
      </c>
      <c r="M757" s="17" t="str">
        <f>ROUND(Github!N$756, 2)&amp;"%"</f>
        <v>0%</v>
      </c>
      <c r="N757" s="17">
        <f>Github!O$756</f>
        <v>45.39531717</v>
      </c>
      <c r="O757" s="17">
        <f>Github!P$756</f>
        <v>29334</v>
      </c>
    </row>
    <row r="758">
      <c r="A758" s="17">
        <f>Github!J$757</f>
        <v>756</v>
      </c>
      <c r="B758" s="27" t="str">
        <f>HYPERLINK(CONCAT("http://leetcode.com/problems/",Github!C$757), Github!B$757)</f>
        <v>Pyramid Transition Matrix</v>
      </c>
      <c r="C758" s="17">
        <f>Github!F$757</f>
        <v>443</v>
      </c>
      <c r="D758" s="17">
        <f>Github!G$757</f>
        <v>421</v>
      </c>
      <c r="E758" s="17">
        <f>Github!F$757+Github!G$757</f>
        <v>864</v>
      </c>
      <c r="F758" s="18">
        <f t="shared" si="1"/>
        <v>1.05</v>
      </c>
      <c r="G758" s="17" t="str">
        <f>Github!H$757</f>
        <v>Algorithms</v>
      </c>
      <c r="H758" s="17" t="str">
        <f>Github!E$757</f>
        <v>Medium</v>
      </c>
      <c r="I758" s="17" t="str">
        <f>IF(TRIM(Github!D$757)="TRUE","FALSE","TRUE")</f>
        <v>TRUE</v>
      </c>
      <c r="J758" s="17"/>
      <c r="K758" s="17" t="str">
        <f>Github!L$757</f>
        <v>Bit Manipulation;Depth-First Search;Breadth-First Search;</v>
      </c>
      <c r="L758" s="17" t="b">
        <f>Github!M$757</f>
        <v>0</v>
      </c>
      <c r="M758" s="17" t="str">
        <f>ROUND(Github!N$757, 2)&amp;"%"</f>
        <v>0%</v>
      </c>
      <c r="N758" s="17">
        <f>Github!O$757</f>
        <v>54.74891164</v>
      </c>
      <c r="O758" s="17">
        <f>Github!P$757</f>
        <v>26787</v>
      </c>
    </row>
    <row r="759">
      <c r="A759" s="17">
        <f>Github!J$758</f>
        <v>757</v>
      </c>
      <c r="B759" s="27" t="str">
        <f>HYPERLINK(CONCAT("http://leetcode.com/problems/",Github!C$758), Github!B$758)</f>
        <v>Set Intersection Size At Least Two</v>
      </c>
      <c r="C759" s="17">
        <f>Github!F$758</f>
        <v>432</v>
      </c>
      <c r="D759" s="17">
        <f>Github!G$758</f>
        <v>57</v>
      </c>
      <c r="E759" s="17">
        <f>Github!F$758+Github!G$758</f>
        <v>489</v>
      </c>
      <c r="F759" s="18">
        <f t="shared" si="1"/>
        <v>7.58</v>
      </c>
      <c r="G759" s="17" t="str">
        <f>Github!H$758</f>
        <v>Algorithms</v>
      </c>
      <c r="H759" s="17" t="str">
        <f>Github!E$758</f>
        <v>Hard</v>
      </c>
      <c r="I759" s="17" t="str">
        <f>IF(TRIM(Github!D$758)="TRUE","FALSE","TRUE")</f>
        <v>TRUE</v>
      </c>
      <c r="J759" s="17"/>
      <c r="K759" s="17" t="str">
        <f>Github!L$758</f>
        <v>Array;Greedy;Sorting;</v>
      </c>
      <c r="L759" s="17" t="b">
        <f>Github!M$758</f>
        <v>0</v>
      </c>
      <c r="M759" s="17" t="str">
        <f>ROUND(Github!N$758, 2)&amp;"%"</f>
        <v>0%</v>
      </c>
      <c r="N759" s="17">
        <f>Github!O$758</f>
        <v>43.01843972</v>
      </c>
      <c r="O759" s="17">
        <f>Github!P$758</f>
        <v>15164</v>
      </c>
    </row>
    <row r="760">
      <c r="A760" s="17">
        <f>Github!J$759</f>
        <v>758</v>
      </c>
      <c r="B760" s="27" t="str">
        <f>HYPERLINK(CONCAT("http://leetcode.com/problems/",Github!C$759), Github!B$759)</f>
        <v>Bold Words in String</v>
      </c>
      <c r="C760" s="17">
        <f>Github!F$759</f>
        <v>231</v>
      </c>
      <c r="D760" s="17">
        <f>Github!G$759</f>
        <v>114</v>
      </c>
      <c r="E760" s="17">
        <f>Github!F$759+Github!G$759</f>
        <v>345</v>
      </c>
      <c r="F760" s="18">
        <f t="shared" si="1"/>
        <v>2.03</v>
      </c>
      <c r="G760" s="17" t="str">
        <f>Github!H$759</f>
        <v>Algorithms</v>
      </c>
      <c r="H760" s="17" t="str">
        <f>Github!E$759</f>
        <v>Medium</v>
      </c>
      <c r="I760" s="17" t="str">
        <f>IF(TRIM(Github!D$759)="TRUE","FALSE","TRUE")</f>
        <v>FALSE</v>
      </c>
      <c r="J760" s="17"/>
      <c r="K760" s="17" t="str">
        <f>Github!L$759</f>
        <v>Array;Hash Table;String;Trie;String Matching;</v>
      </c>
      <c r="L760" s="17" t="b">
        <f>Github!M$759</f>
        <v>0</v>
      </c>
      <c r="M760" s="17" t="str">
        <f>ROUND(Github!N$759, 2)&amp;"%"</f>
        <v>0%</v>
      </c>
      <c r="N760" s="17">
        <f>Github!O$759</f>
        <v>50.00308471</v>
      </c>
      <c r="O760" s="17">
        <f>Github!P$759</f>
        <v>16210</v>
      </c>
    </row>
    <row r="761">
      <c r="A761" s="17">
        <f>Github!J$760</f>
        <v>759</v>
      </c>
      <c r="B761" s="27" t="str">
        <f>HYPERLINK(CONCAT("http://leetcode.com/problems/",Github!C$760), Github!B$760)</f>
        <v>Employee Free Time</v>
      </c>
      <c r="C761" s="17">
        <f>Github!F$760</f>
        <v>1319</v>
      </c>
      <c r="D761" s="17">
        <f>Github!G$760</f>
        <v>84</v>
      </c>
      <c r="E761" s="17">
        <f>Github!F$760+Github!G$760</f>
        <v>1403</v>
      </c>
      <c r="F761" s="18">
        <f t="shared" si="1"/>
        <v>15.7</v>
      </c>
      <c r="G761" s="17" t="str">
        <f>Github!H$760</f>
        <v>Algorithms</v>
      </c>
      <c r="H761" s="17" t="str">
        <f>Github!E$760</f>
        <v>Hard</v>
      </c>
      <c r="I761" s="17" t="str">
        <f>IF(TRIM(Github!D$760)="TRUE","FALSE","TRUE")</f>
        <v>FALSE</v>
      </c>
      <c r="J761" s="17"/>
      <c r="K761" s="17" t="str">
        <f>Github!L$760</f>
        <v>Array;Sorting;Heap (Priority Queue);</v>
      </c>
      <c r="L761" s="17" t="b">
        <f>Github!M$760</f>
        <v>0</v>
      </c>
      <c r="M761" s="17" t="str">
        <f>ROUND(Github!N$760, 2)&amp;"%"</f>
        <v>0%</v>
      </c>
      <c r="N761" s="17">
        <f>Github!O$760</f>
        <v>70.86765188</v>
      </c>
      <c r="O761" s="17">
        <f>Github!P$760</f>
        <v>101615</v>
      </c>
    </row>
    <row r="762">
      <c r="A762" s="17">
        <f>Github!J$761</f>
        <v>760</v>
      </c>
      <c r="B762" s="27" t="str">
        <f>HYPERLINK(CONCAT("http://leetcode.com/problems/",Github!C$761), Github!B$761)</f>
        <v>Find Anagram Mappings</v>
      </c>
      <c r="C762" s="17">
        <f>Github!F$761</f>
        <v>478</v>
      </c>
      <c r="D762" s="17">
        <f>Github!G$761</f>
        <v>193</v>
      </c>
      <c r="E762" s="17">
        <f>Github!F$761+Github!G$761</f>
        <v>671</v>
      </c>
      <c r="F762" s="18">
        <f t="shared" si="1"/>
        <v>2.48</v>
      </c>
      <c r="G762" s="17" t="str">
        <f>Github!H$761</f>
        <v>Algorithms</v>
      </c>
      <c r="H762" s="17" t="str">
        <f>Github!E$761</f>
        <v>Easy</v>
      </c>
      <c r="I762" s="17" t="str">
        <f>IF(TRIM(Github!D$761)="TRUE","FALSE","TRUE")</f>
        <v>FALSE</v>
      </c>
      <c r="J762" s="17"/>
      <c r="K762" s="17" t="str">
        <f>Github!L$761</f>
        <v>Array;Hash Table;</v>
      </c>
      <c r="L762" s="17" t="b">
        <f>Github!M$761</f>
        <v>1</v>
      </c>
      <c r="M762" s="17" t="str">
        <f>ROUND(Github!N$761, 2)&amp;"%"</f>
        <v>0%</v>
      </c>
      <c r="N762" s="17">
        <f>Github!O$761</f>
        <v>82.61411047</v>
      </c>
      <c r="O762" s="17">
        <f>Github!P$761</f>
        <v>79602</v>
      </c>
    </row>
    <row r="763">
      <c r="A763" s="17">
        <f>Github!J$762</f>
        <v>761</v>
      </c>
      <c r="B763" s="27" t="str">
        <f>HYPERLINK(CONCAT("http://leetcode.com/problems/",Github!C$762), Github!B$762)</f>
        <v>Special Binary String</v>
      </c>
      <c r="C763" s="17">
        <f>Github!F$762</f>
        <v>519</v>
      </c>
      <c r="D763" s="17">
        <f>Github!G$762</f>
        <v>167</v>
      </c>
      <c r="E763" s="17">
        <f>Github!F$762+Github!G$762</f>
        <v>686</v>
      </c>
      <c r="F763" s="18">
        <f t="shared" si="1"/>
        <v>3.11</v>
      </c>
      <c r="G763" s="17" t="str">
        <f>Github!H$762</f>
        <v>Algorithms</v>
      </c>
      <c r="H763" s="17" t="str">
        <f>Github!E$762</f>
        <v>Hard</v>
      </c>
      <c r="I763" s="17" t="str">
        <f>IF(TRIM(Github!D$762)="TRUE","FALSE","TRUE")</f>
        <v>TRUE</v>
      </c>
      <c r="J763" s="17"/>
      <c r="K763" s="17" t="str">
        <f>Github!L$762</f>
        <v>String;Recursion;</v>
      </c>
      <c r="L763" s="17" t="b">
        <f>Github!M$762</f>
        <v>1</v>
      </c>
      <c r="M763" s="17" t="str">
        <f>ROUND(Github!N$762, 2)&amp;"%"</f>
        <v>0%</v>
      </c>
      <c r="N763" s="17">
        <f>Github!O$762</f>
        <v>59.78369992</v>
      </c>
      <c r="O763" s="17">
        <f>Github!P$762</f>
        <v>13101</v>
      </c>
    </row>
    <row r="764">
      <c r="A764" s="17">
        <f>Github!J$763</f>
        <v>762</v>
      </c>
      <c r="B764" s="27" t="str">
        <f>HYPERLINK(CONCAT("http://leetcode.com/problems/",Github!C$763), Github!B$763)</f>
        <v>Prime Number of Set Bits in Binary Representation</v>
      </c>
      <c r="C764" s="17">
        <f>Github!F$763</f>
        <v>444</v>
      </c>
      <c r="D764" s="17">
        <f>Github!G$763</f>
        <v>450</v>
      </c>
      <c r="E764" s="17">
        <f>Github!F$763+Github!G$763</f>
        <v>894</v>
      </c>
      <c r="F764" s="18">
        <f t="shared" si="1"/>
        <v>0.99</v>
      </c>
      <c r="G764" s="17" t="str">
        <f>Github!H$763</f>
        <v>Algorithms</v>
      </c>
      <c r="H764" s="17" t="str">
        <f>Github!E$763</f>
        <v>Easy</v>
      </c>
      <c r="I764" s="17" t="str">
        <f>IF(TRIM(Github!D$763)="TRUE","FALSE","TRUE")</f>
        <v>TRUE</v>
      </c>
      <c r="J764" s="17"/>
      <c r="K764" s="17" t="str">
        <f>Github!L$763</f>
        <v>Math;Bit Manipulation;</v>
      </c>
      <c r="L764" s="17" t="b">
        <f>Github!M$763</f>
        <v>0</v>
      </c>
      <c r="M764" s="17" t="str">
        <f>ROUND(Github!N$763, 2)&amp;"%"</f>
        <v>0%</v>
      </c>
      <c r="N764" s="17">
        <f>Github!O$763</f>
        <v>66.47563613</v>
      </c>
      <c r="O764" s="17">
        <f>Github!P$763</f>
        <v>66695</v>
      </c>
    </row>
    <row r="765">
      <c r="A765" s="17">
        <f>Github!J$764</f>
        <v>763</v>
      </c>
      <c r="B765" s="27" t="str">
        <f>HYPERLINK(CONCAT("http://leetcode.com/problems/",Github!C$764), Github!B$764)</f>
        <v>Partition Labels</v>
      </c>
      <c r="C765" s="17">
        <f>Github!F$764</f>
        <v>6483</v>
      </c>
      <c r="D765" s="17">
        <f>Github!G$764</f>
        <v>254</v>
      </c>
      <c r="E765" s="17">
        <f>Github!F$764+Github!G$764</f>
        <v>6737</v>
      </c>
      <c r="F765" s="18">
        <f t="shared" si="1"/>
        <v>25.52</v>
      </c>
      <c r="G765" s="17" t="str">
        <f>Github!H$764</f>
        <v>Algorithms</v>
      </c>
      <c r="H765" s="17" t="str">
        <f>Github!E$764</f>
        <v>Medium</v>
      </c>
      <c r="I765" s="17" t="str">
        <f>IF(TRIM(Github!D$764)="TRUE","FALSE","TRUE")</f>
        <v>TRUE</v>
      </c>
      <c r="J765" s="17"/>
      <c r="K765" s="17" t="str">
        <f>Github!L$764</f>
        <v>Hash Table;Two Pointers;String;Greedy;</v>
      </c>
      <c r="L765" s="17" t="b">
        <f>Github!M$764</f>
        <v>1</v>
      </c>
      <c r="M765" s="17" t="str">
        <f>ROUND(Github!N$764, 2)&amp;"%"</f>
        <v>0%</v>
      </c>
      <c r="N765" s="17">
        <f>Github!O$764</f>
        <v>78.69942975</v>
      </c>
      <c r="O765" s="17">
        <f>Github!P$764</f>
        <v>333145</v>
      </c>
    </row>
    <row r="766">
      <c r="A766" s="17">
        <f>Github!J$765</f>
        <v>764</v>
      </c>
      <c r="B766" s="27" t="str">
        <f>HYPERLINK(CONCAT("http://leetcode.com/problems/",Github!C$765), Github!B$765)</f>
        <v>Largest Plus Sign</v>
      </c>
      <c r="C766" s="17">
        <f>Github!F$765</f>
        <v>1078</v>
      </c>
      <c r="D766" s="17">
        <f>Github!G$765</f>
        <v>187</v>
      </c>
      <c r="E766" s="17">
        <f>Github!F$765+Github!G$765</f>
        <v>1265</v>
      </c>
      <c r="F766" s="18">
        <f t="shared" si="1"/>
        <v>5.76</v>
      </c>
      <c r="G766" s="17" t="str">
        <f>Github!H$765</f>
        <v>Algorithms</v>
      </c>
      <c r="H766" s="17" t="str">
        <f>Github!E$765</f>
        <v>Medium</v>
      </c>
      <c r="I766" s="17" t="str">
        <f>IF(TRIM(Github!D$765)="TRUE","FALSE","TRUE")</f>
        <v>TRUE</v>
      </c>
      <c r="J766" s="17"/>
      <c r="K766" s="17" t="str">
        <f>Github!L$765</f>
        <v>Array;Dynamic Programming;</v>
      </c>
      <c r="L766" s="17" t="b">
        <f>Github!M$765</f>
        <v>1</v>
      </c>
      <c r="M766" s="17" t="str">
        <f>ROUND(Github!N$765, 2)&amp;"%"</f>
        <v>0%</v>
      </c>
      <c r="N766" s="17">
        <f>Github!O$765</f>
        <v>48.55903221</v>
      </c>
      <c r="O766" s="17">
        <f>Github!P$765</f>
        <v>47566</v>
      </c>
    </row>
    <row r="767">
      <c r="A767" s="17">
        <f>Github!J$766</f>
        <v>765</v>
      </c>
      <c r="B767" s="27" t="str">
        <f>HYPERLINK(CONCAT("http://leetcode.com/problems/",Github!C$766), Github!B$766)</f>
        <v>Couples Holding Hands</v>
      </c>
      <c r="C767" s="17">
        <f>Github!F$766</f>
        <v>1531</v>
      </c>
      <c r="D767" s="17">
        <f>Github!G$766</f>
        <v>83</v>
      </c>
      <c r="E767" s="17">
        <f>Github!F$766+Github!G$766</f>
        <v>1614</v>
      </c>
      <c r="F767" s="18">
        <f t="shared" si="1"/>
        <v>18.45</v>
      </c>
      <c r="G767" s="17" t="str">
        <f>Github!H$766</f>
        <v>Algorithms</v>
      </c>
      <c r="H767" s="17" t="str">
        <f>Github!E$766</f>
        <v>Hard</v>
      </c>
      <c r="I767" s="17" t="str">
        <f>IF(TRIM(Github!D$766)="TRUE","FALSE","TRUE")</f>
        <v>TRUE</v>
      </c>
      <c r="J767" s="17"/>
      <c r="K767" s="17" t="str">
        <f>Github!L$766</f>
        <v>Greedy;Depth-First Search;Breadth-First Search;Union Find;Graph;</v>
      </c>
      <c r="L767" s="17" t="b">
        <f>Github!M$766</f>
        <v>1</v>
      </c>
      <c r="M767" s="17" t="str">
        <f>ROUND(Github!N$766, 2)&amp;"%"</f>
        <v>0%</v>
      </c>
      <c r="N767" s="17">
        <f>Github!O$766</f>
        <v>56.34264462</v>
      </c>
      <c r="O767" s="17">
        <f>Github!P$766</f>
        <v>42114</v>
      </c>
    </row>
    <row r="768">
      <c r="A768" s="17">
        <f>Github!J$767</f>
        <v>766</v>
      </c>
      <c r="B768" s="27" t="str">
        <f>HYPERLINK(CONCAT("http://leetcode.com/problems/",Github!C$767), Github!B$767)</f>
        <v>Toeplitz Matrix</v>
      </c>
      <c r="C768" s="17">
        <f>Github!F$767</f>
        <v>1860</v>
      </c>
      <c r="D768" s="17">
        <f>Github!G$767</f>
        <v>117</v>
      </c>
      <c r="E768" s="17">
        <f>Github!F$767+Github!G$767</f>
        <v>1977</v>
      </c>
      <c r="F768" s="18">
        <f t="shared" si="1"/>
        <v>15.9</v>
      </c>
      <c r="G768" s="17" t="str">
        <f>Github!H$767</f>
        <v>Algorithms</v>
      </c>
      <c r="H768" s="17" t="str">
        <f>Github!E$767</f>
        <v>Easy</v>
      </c>
      <c r="I768" s="17" t="str">
        <f>IF(TRIM(Github!D$767)="TRUE","FALSE","TRUE")</f>
        <v>TRUE</v>
      </c>
      <c r="J768" s="17"/>
      <c r="K768" s="17" t="str">
        <f>Github!L$767</f>
        <v>Array;Matrix;</v>
      </c>
      <c r="L768" s="17" t="b">
        <f>Github!M$767</f>
        <v>1</v>
      </c>
      <c r="M768" s="17" t="str">
        <f>ROUND(Github!N$767, 2)&amp;"%"</f>
        <v>0%</v>
      </c>
      <c r="N768" s="17">
        <f>Github!O$767</f>
        <v>67.6914673</v>
      </c>
      <c r="O768" s="17">
        <f>Github!P$767</f>
        <v>175964</v>
      </c>
    </row>
    <row r="769">
      <c r="A769" s="17">
        <f>Github!J$768</f>
        <v>767</v>
      </c>
      <c r="B769" s="27" t="str">
        <f>HYPERLINK(CONCAT("http://leetcode.com/problems/",Github!C$768), Github!B$768)</f>
        <v>Reorganize String</v>
      </c>
      <c r="C769" s="17">
        <f>Github!F$768</f>
        <v>4365</v>
      </c>
      <c r="D769" s="17">
        <f>Github!G$768</f>
        <v>170</v>
      </c>
      <c r="E769" s="17">
        <f>Github!F$768+Github!G$768</f>
        <v>4535</v>
      </c>
      <c r="F769" s="18">
        <f t="shared" si="1"/>
        <v>25.68</v>
      </c>
      <c r="G769" s="17" t="str">
        <f>Github!H$768</f>
        <v>Algorithms</v>
      </c>
      <c r="H769" s="17" t="str">
        <f>Github!E$768</f>
        <v>Medium</v>
      </c>
      <c r="I769" s="17" t="str">
        <f>IF(TRIM(Github!D$768)="TRUE","FALSE","TRUE")</f>
        <v>TRUE</v>
      </c>
      <c r="J769" s="17"/>
      <c r="K769" s="17" t="str">
        <f>Github!L$768</f>
        <v>Hash Table;String;Greedy;Sorting;Heap (Priority Queue);Counting;</v>
      </c>
      <c r="L769" s="17" t="b">
        <f>Github!M$768</f>
        <v>0</v>
      </c>
      <c r="M769" s="17" t="str">
        <f>ROUND(Github!N$768, 2)&amp;"%"</f>
        <v>0%</v>
      </c>
      <c r="N769" s="17">
        <f>Github!O$768</f>
        <v>51.82664523</v>
      </c>
      <c r="O769" s="17">
        <f>Github!P$768</f>
        <v>198901</v>
      </c>
    </row>
    <row r="770">
      <c r="A770" s="17">
        <f>Github!J$769</f>
        <v>768</v>
      </c>
      <c r="B770" s="27" t="str">
        <f>HYPERLINK(CONCAT("http://leetcode.com/problems/",Github!C$769), Github!B$769)</f>
        <v>Max Chunks To Make Sorted II</v>
      </c>
      <c r="C770" s="17">
        <f>Github!F$769</f>
        <v>1075</v>
      </c>
      <c r="D770" s="17">
        <f>Github!G$769</f>
        <v>31</v>
      </c>
      <c r="E770" s="17">
        <f>Github!F$769+Github!G$769</f>
        <v>1106</v>
      </c>
      <c r="F770" s="18">
        <f t="shared" si="1"/>
        <v>34.68</v>
      </c>
      <c r="G770" s="17" t="str">
        <f>Github!H$769</f>
        <v>Algorithms</v>
      </c>
      <c r="H770" s="17" t="str">
        <f>Github!E$769</f>
        <v>Hard</v>
      </c>
      <c r="I770" s="17" t="str">
        <f>IF(TRIM(Github!D$769)="TRUE","FALSE","TRUE")</f>
        <v>TRUE</v>
      </c>
      <c r="J770" s="17"/>
      <c r="K770" s="17" t="str">
        <f>Github!L$769</f>
        <v>Array;Stack;Greedy;Sorting;Monotonic Stack;</v>
      </c>
      <c r="L770" s="17" t="b">
        <f>Github!M$769</f>
        <v>0</v>
      </c>
      <c r="M770" s="17" t="str">
        <f>ROUND(Github!N$769, 2)&amp;"%"</f>
        <v>0%</v>
      </c>
      <c r="N770" s="17">
        <f>Github!O$769</f>
        <v>51.82635964</v>
      </c>
      <c r="O770" s="17">
        <f>Github!P$769</f>
        <v>39000</v>
      </c>
    </row>
    <row r="771">
      <c r="A771" s="17">
        <f>Github!J$770</f>
        <v>769</v>
      </c>
      <c r="B771" s="27" t="str">
        <f>HYPERLINK(CONCAT("http://leetcode.com/problems/",Github!C$770), Github!B$770)</f>
        <v>Max Chunks To Make Sorted</v>
      </c>
      <c r="C771" s="17">
        <f>Github!F$770</f>
        <v>1739</v>
      </c>
      <c r="D771" s="17">
        <f>Github!G$770</f>
        <v>178</v>
      </c>
      <c r="E771" s="17">
        <f>Github!F$770+Github!G$770</f>
        <v>1917</v>
      </c>
      <c r="F771" s="18">
        <f t="shared" si="1"/>
        <v>9.77</v>
      </c>
      <c r="G771" s="17" t="str">
        <f>Github!H$770</f>
        <v>Algorithms</v>
      </c>
      <c r="H771" s="17" t="str">
        <f>Github!E$770</f>
        <v>Medium</v>
      </c>
      <c r="I771" s="17" t="str">
        <f>IF(TRIM(Github!D$770)="TRUE","FALSE","TRUE")</f>
        <v>TRUE</v>
      </c>
      <c r="J771" s="17"/>
      <c r="K771" s="17" t="str">
        <f>Github!L$770</f>
        <v>Array;Stack;Greedy;Sorting;Monotonic Stack;</v>
      </c>
      <c r="L771" s="17" t="b">
        <f>Github!M$770</f>
        <v>0</v>
      </c>
      <c r="M771" s="17" t="str">
        <f>ROUND(Github!N$770, 2)&amp;"%"</f>
        <v>0%</v>
      </c>
      <c r="N771" s="17">
        <f>Github!O$770</f>
        <v>57.53332265</v>
      </c>
      <c r="O771" s="17">
        <f>Github!P$770</f>
        <v>68242</v>
      </c>
    </row>
    <row r="772">
      <c r="A772" s="17">
        <f>Github!J$771</f>
        <v>770</v>
      </c>
      <c r="B772" s="27" t="str">
        <f>HYPERLINK(CONCAT("http://leetcode.com/problems/",Github!C$771), Github!B$771)</f>
        <v>Basic Calculator IV</v>
      </c>
      <c r="C772" s="17">
        <f>Github!F$771</f>
        <v>111</v>
      </c>
      <c r="D772" s="17">
        <f>Github!G$771</f>
        <v>1155</v>
      </c>
      <c r="E772" s="17">
        <f>Github!F$771+Github!G$771</f>
        <v>1266</v>
      </c>
      <c r="F772" s="18">
        <f t="shared" si="1"/>
        <v>0.1</v>
      </c>
      <c r="G772" s="17" t="str">
        <f>Github!H$771</f>
        <v>Algorithms</v>
      </c>
      <c r="H772" s="17" t="str">
        <f>Github!E$771</f>
        <v>Hard</v>
      </c>
      <c r="I772" s="17" t="str">
        <f>IF(TRIM(Github!D$771)="TRUE","FALSE","TRUE")</f>
        <v>TRUE</v>
      </c>
      <c r="J772" s="17"/>
      <c r="K772" s="17" t="str">
        <f>Github!L$771</f>
        <v>Hash Table;Math;String;Stack;Recursion;</v>
      </c>
      <c r="L772" s="17" t="b">
        <f>Github!M$771</f>
        <v>0</v>
      </c>
      <c r="M772" s="17" t="str">
        <f>ROUND(Github!N$771, 2)&amp;"%"</f>
        <v>0%</v>
      </c>
      <c r="N772" s="17">
        <f>Github!O$771</f>
        <v>55.5368775</v>
      </c>
      <c r="O772" s="17">
        <f>Github!P$771</f>
        <v>7929</v>
      </c>
    </row>
    <row r="773">
      <c r="A773" s="17">
        <f>Github!J$772</f>
        <v>771</v>
      </c>
      <c r="B773" s="27" t="str">
        <f>HYPERLINK(CONCAT("http://leetcode.com/problems/",Github!C$772), Github!B$772)</f>
        <v>Jewels and Stones</v>
      </c>
      <c r="C773" s="17">
        <f>Github!F$772</f>
        <v>3377</v>
      </c>
      <c r="D773" s="17">
        <f>Github!G$772</f>
        <v>482</v>
      </c>
      <c r="E773" s="17">
        <f>Github!F$772+Github!G$772</f>
        <v>3859</v>
      </c>
      <c r="F773" s="18">
        <f t="shared" si="1"/>
        <v>7.01</v>
      </c>
      <c r="G773" s="17" t="str">
        <f>Github!H$772</f>
        <v>Algorithms</v>
      </c>
      <c r="H773" s="17" t="str">
        <f>Github!E$772</f>
        <v>Easy</v>
      </c>
      <c r="I773" s="17" t="str">
        <f>IF(TRIM(Github!D$772)="TRUE","FALSE","TRUE")</f>
        <v>TRUE</v>
      </c>
      <c r="J773" s="17"/>
      <c r="K773" s="17" t="str">
        <f>Github!L$772</f>
        <v>Hash Table;String;</v>
      </c>
      <c r="L773" s="17" t="b">
        <f>Github!M$772</f>
        <v>1</v>
      </c>
      <c r="M773" s="17" t="str">
        <f>ROUND(Github!N$772, 2)&amp;"%"</f>
        <v>0%</v>
      </c>
      <c r="N773" s="17">
        <f>Github!O$772</f>
        <v>87.63393907</v>
      </c>
      <c r="O773" s="17">
        <f>Github!P$772</f>
        <v>719457</v>
      </c>
    </row>
    <row r="774">
      <c r="A774" s="17">
        <f>Github!J$773</f>
        <v>772</v>
      </c>
      <c r="B774" s="27" t="str">
        <f>HYPERLINK(CONCAT("http://leetcode.com/problems/",Github!C$773), Github!B$773)</f>
        <v>Basic Calculator III</v>
      </c>
      <c r="C774" s="17">
        <f>Github!F$773</f>
        <v>810</v>
      </c>
      <c r="D774" s="17">
        <f>Github!G$773</f>
        <v>242</v>
      </c>
      <c r="E774" s="17">
        <f>Github!F$773+Github!G$773</f>
        <v>1052</v>
      </c>
      <c r="F774" s="18">
        <f t="shared" si="1"/>
        <v>3.35</v>
      </c>
      <c r="G774" s="17" t="str">
        <f>Github!H$773</f>
        <v>Algorithms</v>
      </c>
      <c r="H774" s="17" t="str">
        <f>Github!E$773</f>
        <v>Hard</v>
      </c>
      <c r="I774" s="17" t="str">
        <f>IF(TRIM(Github!D$773)="TRUE","FALSE","TRUE")</f>
        <v>FALSE</v>
      </c>
      <c r="J774" s="17"/>
      <c r="K774" s="17" t="str">
        <f>Github!L$773</f>
        <v>Math;String;Stack;Recursion;</v>
      </c>
      <c r="L774" s="17" t="b">
        <f>Github!M$773</f>
        <v>0</v>
      </c>
      <c r="M774" s="17" t="str">
        <f>ROUND(Github!N$773, 2)&amp;"%"</f>
        <v>0%</v>
      </c>
      <c r="N774" s="17">
        <f>Github!O$773</f>
        <v>47.15616536</v>
      </c>
      <c r="O774" s="17">
        <f>Github!P$773</f>
        <v>79218</v>
      </c>
    </row>
    <row r="775">
      <c r="A775" s="17">
        <f>Github!J$774</f>
        <v>773</v>
      </c>
      <c r="B775" s="27" t="str">
        <f>HYPERLINK(CONCAT("http://leetcode.com/problems/",Github!C$774), Github!B$774)</f>
        <v>Sliding Puzzle</v>
      </c>
      <c r="C775" s="17">
        <f>Github!F$774</f>
        <v>1413</v>
      </c>
      <c r="D775" s="17">
        <f>Github!G$774</f>
        <v>36</v>
      </c>
      <c r="E775" s="17">
        <f>Github!F$774+Github!G$774</f>
        <v>1449</v>
      </c>
      <c r="F775" s="18">
        <f t="shared" si="1"/>
        <v>39.25</v>
      </c>
      <c r="G775" s="17" t="str">
        <f>Github!H$774</f>
        <v>Algorithms</v>
      </c>
      <c r="H775" s="17" t="str">
        <f>Github!E$774</f>
        <v>Hard</v>
      </c>
      <c r="I775" s="17" t="str">
        <f>IF(TRIM(Github!D$774)="TRUE","FALSE","TRUE")</f>
        <v>TRUE</v>
      </c>
      <c r="J775" s="17"/>
      <c r="K775" s="17" t="str">
        <f>Github!L$774</f>
        <v>Array;Breadth-First Search;Matrix;</v>
      </c>
      <c r="L775" s="17" t="b">
        <f>Github!M$774</f>
        <v>0</v>
      </c>
      <c r="M775" s="17" t="str">
        <f>ROUND(Github!N$774, 2)&amp;"%"</f>
        <v>0%</v>
      </c>
      <c r="N775" s="17">
        <f>Github!O$774</f>
        <v>62.9699816</v>
      </c>
      <c r="O775" s="17">
        <f>Github!P$774</f>
        <v>68782</v>
      </c>
    </row>
    <row r="776">
      <c r="A776" s="17">
        <f>Github!J$775</f>
        <v>774</v>
      </c>
      <c r="B776" s="27" t="str">
        <f>HYPERLINK(CONCAT("http://leetcode.com/problems/",Github!C$775), Github!B$775)</f>
        <v>Minimize Max Distance to Gas Station</v>
      </c>
      <c r="C776" s="17">
        <f>Github!F$775</f>
        <v>572</v>
      </c>
      <c r="D776" s="17">
        <f>Github!G$775</f>
        <v>82</v>
      </c>
      <c r="E776" s="17">
        <f>Github!F$775+Github!G$775</f>
        <v>654</v>
      </c>
      <c r="F776" s="18">
        <f t="shared" si="1"/>
        <v>6.98</v>
      </c>
      <c r="G776" s="17" t="str">
        <f>Github!H$775</f>
        <v>Algorithms</v>
      </c>
      <c r="H776" s="17" t="str">
        <f>Github!E$775</f>
        <v>Hard</v>
      </c>
      <c r="I776" s="17" t="str">
        <f>IF(TRIM(Github!D$775)="TRUE","FALSE","TRUE")</f>
        <v>FALSE</v>
      </c>
      <c r="J776" s="17"/>
      <c r="K776" s="17" t="str">
        <f>Github!L$775</f>
        <v>Array;Binary Search;</v>
      </c>
      <c r="L776" s="17" t="b">
        <f>Github!M$775</f>
        <v>1</v>
      </c>
      <c r="M776" s="17" t="str">
        <f>ROUND(Github!N$775, 2)&amp;"%"</f>
        <v>0%</v>
      </c>
      <c r="N776" s="17">
        <f>Github!O$775</f>
        <v>50.21755258</v>
      </c>
      <c r="O776" s="17">
        <f>Github!P$775</f>
        <v>25045</v>
      </c>
    </row>
    <row r="777">
      <c r="A777" s="17">
        <f>Github!J$776</f>
        <v>775</v>
      </c>
      <c r="B777" s="27" t="str">
        <f>HYPERLINK(CONCAT("http://leetcode.com/problems/",Github!C$776), Github!B$776)</f>
        <v>Global and Local Inversions</v>
      </c>
      <c r="C777" s="17">
        <f>Github!F$776</f>
        <v>1149</v>
      </c>
      <c r="D777" s="17">
        <f>Github!G$776</f>
        <v>298</v>
      </c>
      <c r="E777" s="17">
        <f>Github!F$776+Github!G$776</f>
        <v>1447</v>
      </c>
      <c r="F777" s="18">
        <f t="shared" si="1"/>
        <v>3.86</v>
      </c>
      <c r="G777" s="17" t="str">
        <f>Github!H$776</f>
        <v>Algorithms</v>
      </c>
      <c r="H777" s="17" t="str">
        <f>Github!E$776</f>
        <v>Medium</v>
      </c>
      <c r="I777" s="17" t="str">
        <f>IF(TRIM(Github!D$776)="TRUE","FALSE","TRUE")</f>
        <v>TRUE</v>
      </c>
      <c r="J777" s="17"/>
      <c r="K777" s="17" t="str">
        <f>Github!L$776</f>
        <v>Array;Math;</v>
      </c>
      <c r="L777" s="17" t="b">
        <f>Github!M$776</f>
        <v>1</v>
      </c>
      <c r="M777" s="17" t="str">
        <f>ROUND(Github!N$776, 2)&amp;"%"</f>
        <v>0%</v>
      </c>
      <c r="N777" s="17">
        <f>Github!O$776</f>
        <v>45.36421684</v>
      </c>
      <c r="O777" s="17">
        <f>Github!P$776</f>
        <v>55700</v>
      </c>
    </row>
    <row r="778">
      <c r="A778" s="17">
        <f>Github!J$777</f>
        <v>776</v>
      </c>
      <c r="B778" s="27" t="str">
        <f>HYPERLINK(CONCAT("http://leetcode.com/problems/",Github!C$777), Github!B$777)</f>
        <v>Split BST</v>
      </c>
      <c r="C778" s="17">
        <f>Github!F$777</f>
        <v>875</v>
      </c>
      <c r="D778" s="17">
        <f>Github!G$777</f>
        <v>87</v>
      </c>
      <c r="E778" s="17">
        <f>Github!F$777+Github!G$777</f>
        <v>962</v>
      </c>
      <c r="F778" s="18">
        <f t="shared" si="1"/>
        <v>10.06</v>
      </c>
      <c r="G778" s="17" t="str">
        <f>Github!H$777</f>
        <v>Algorithms</v>
      </c>
      <c r="H778" s="17" t="str">
        <f>Github!E$777</f>
        <v>Medium</v>
      </c>
      <c r="I778" s="17" t="str">
        <f>IF(TRIM(Github!D$777)="TRUE","FALSE","TRUE")</f>
        <v>FALSE</v>
      </c>
      <c r="J778" s="17"/>
      <c r="K778" s="17" t="str">
        <f>Github!L$777</f>
        <v>Tree;Binary Search Tree;Recursion;Binary Tree;</v>
      </c>
      <c r="L778" s="17" t="b">
        <f>Github!M$777</f>
        <v>1</v>
      </c>
      <c r="M778" s="17" t="str">
        <f>ROUND(Github!N$777, 2)&amp;"%"</f>
        <v>0%</v>
      </c>
      <c r="N778" s="17">
        <f>Github!O$777</f>
        <v>58.17114205</v>
      </c>
      <c r="O778" s="17">
        <f>Github!P$777</f>
        <v>26451</v>
      </c>
    </row>
    <row r="779">
      <c r="A779" s="17">
        <f>Github!J$778</f>
        <v>777</v>
      </c>
      <c r="B779" s="27" t="str">
        <f>HYPERLINK(CONCAT("http://leetcode.com/problems/",Github!C$778), Github!B$778)</f>
        <v>Swap Adjacent in LR String</v>
      </c>
      <c r="C779" s="17">
        <f>Github!F$778</f>
        <v>746</v>
      </c>
      <c r="D779" s="17">
        <f>Github!G$778</f>
        <v>650</v>
      </c>
      <c r="E779" s="17">
        <f>Github!F$778+Github!G$778</f>
        <v>1396</v>
      </c>
      <c r="F779" s="18">
        <f t="shared" si="1"/>
        <v>1.15</v>
      </c>
      <c r="G779" s="17" t="str">
        <f>Github!H$778</f>
        <v>Algorithms</v>
      </c>
      <c r="H779" s="17" t="str">
        <f>Github!E$778</f>
        <v>Medium</v>
      </c>
      <c r="I779" s="17" t="str">
        <f>IF(TRIM(Github!D$778)="TRUE","FALSE","TRUE")</f>
        <v>TRUE</v>
      </c>
      <c r="J779" s="17"/>
      <c r="K779" s="17" t="str">
        <f>Github!L$778</f>
        <v>Two Pointers;String;</v>
      </c>
      <c r="L779" s="17" t="b">
        <f>Github!M$778</f>
        <v>0</v>
      </c>
      <c r="M779" s="17" t="str">
        <f>ROUND(Github!N$778, 2)&amp;"%"</f>
        <v>0%</v>
      </c>
      <c r="N779" s="17">
        <f>Github!O$778</f>
        <v>36.22161156</v>
      </c>
      <c r="O779" s="17">
        <f>Github!P$778</f>
        <v>49825</v>
      </c>
    </row>
    <row r="780">
      <c r="A780" s="17">
        <f>Github!J$779</f>
        <v>778</v>
      </c>
      <c r="B780" s="27" t="str">
        <f>HYPERLINK(CONCAT("http://leetcode.com/problems/",Github!C$779), Github!B$779)</f>
        <v>Swim in Rising Water</v>
      </c>
      <c r="C780" s="17">
        <f>Github!F$779</f>
        <v>1785</v>
      </c>
      <c r="D780" s="17">
        <f>Github!G$779</f>
        <v>127</v>
      </c>
      <c r="E780" s="17">
        <f>Github!F$779+Github!G$779</f>
        <v>1912</v>
      </c>
      <c r="F780" s="18">
        <f t="shared" si="1"/>
        <v>14.06</v>
      </c>
      <c r="G780" s="17" t="str">
        <f>Github!H$779</f>
        <v>Algorithms</v>
      </c>
      <c r="H780" s="17" t="str">
        <f>Github!E$779</f>
        <v>Hard</v>
      </c>
      <c r="I780" s="17" t="str">
        <f>IF(TRIM(Github!D$779)="TRUE","FALSE","TRUE")</f>
        <v>TRUE</v>
      </c>
      <c r="J780" s="17"/>
      <c r="K780" s="17" t="str">
        <f>Github!L$779</f>
        <v>Array;Binary Search;Depth-First Search;Breadth-First Search;Union Find;Heap (Priority Queue);Matrix;</v>
      </c>
      <c r="L780" s="17" t="b">
        <f>Github!M$779</f>
        <v>1</v>
      </c>
      <c r="M780" s="17" t="str">
        <f>ROUND(Github!N$779, 2)&amp;"%"</f>
        <v>0%</v>
      </c>
      <c r="N780" s="17">
        <f>Github!O$779</f>
        <v>58.4445889</v>
      </c>
      <c r="O780" s="17">
        <f>Github!P$779</f>
        <v>70127</v>
      </c>
    </row>
    <row r="781">
      <c r="A781" s="17">
        <f>Github!J$780</f>
        <v>779</v>
      </c>
      <c r="B781" s="27" t="str">
        <f>HYPERLINK(CONCAT("http://leetcode.com/problems/",Github!C$780), Github!B$780)</f>
        <v>K-th Symbol in Grammar</v>
      </c>
      <c r="C781" s="17">
        <f>Github!F$780</f>
        <v>1588</v>
      </c>
      <c r="D781" s="17">
        <f>Github!G$780</f>
        <v>243</v>
      </c>
      <c r="E781" s="17">
        <f>Github!F$780+Github!G$780</f>
        <v>1831</v>
      </c>
      <c r="F781" s="18">
        <f t="shared" si="1"/>
        <v>6.53</v>
      </c>
      <c r="G781" s="17" t="str">
        <f>Github!H$780</f>
        <v>Algorithms</v>
      </c>
      <c r="H781" s="17" t="str">
        <f>Github!E$780</f>
        <v>Medium</v>
      </c>
      <c r="I781" s="17" t="str">
        <f>IF(TRIM(Github!D$780)="TRUE","FALSE","TRUE")</f>
        <v>TRUE</v>
      </c>
      <c r="J781" s="17"/>
      <c r="K781" s="17" t="str">
        <f>Github!L$780</f>
        <v>Math;Bit Manipulation;Recursion;</v>
      </c>
      <c r="L781" s="17" t="b">
        <f>Github!M$780</f>
        <v>0</v>
      </c>
      <c r="M781" s="17" t="str">
        <f>ROUND(Github!N$780, 2)&amp;"%"</f>
        <v>0%</v>
      </c>
      <c r="N781" s="17">
        <f>Github!O$780</f>
        <v>39.8080618</v>
      </c>
      <c r="O781" s="17">
        <f>Github!P$780</f>
        <v>80179</v>
      </c>
    </row>
    <row r="782">
      <c r="A782" s="17">
        <f>Github!J$781</f>
        <v>780</v>
      </c>
      <c r="B782" s="27" t="str">
        <f>HYPERLINK(CONCAT("http://leetcode.com/problems/",Github!C$781), Github!B$781)</f>
        <v>Reaching Points</v>
      </c>
      <c r="C782" s="17">
        <f>Github!F$781</f>
        <v>910</v>
      </c>
      <c r="D782" s="17">
        <f>Github!G$781</f>
        <v>155</v>
      </c>
      <c r="E782" s="17">
        <f>Github!F$781+Github!G$781</f>
        <v>1065</v>
      </c>
      <c r="F782" s="18">
        <f t="shared" si="1"/>
        <v>5.87</v>
      </c>
      <c r="G782" s="17" t="str">
        <f>Github!H$781</f>
        <v>Algorithms</v>
      </c>
      <c r="H782" s="17" t="str">
        <f>Github!E$781</f>
        <v>Hard</v>
      </c>
      <c r="I782" s="17" t="str">
        <f>IF(TRIM(Github!D$781)="TRUE","FALSE","TRUE")</f>
        <v>TRUE</v>
      </c>
      <c r="J782" s="17"/>
      <c r="K782" s="17" t="str">
        <f>Github!L$781</f>
        <v>Math;</v>
      </c>
      <c r="L782" s="17" t="b">
        <f>Github!M$781</f>
        <v>1</v>
      </c>
      <c r="M782" s="17" t="str">
        <f>ROUND(Github!N$781, 2)&amp;"%"</f>
        <v>0%</v>
      </c>
      <c r="N782" s="17">
        <f>Github!O$781</f>
        <v>31.47012702</v>
      </c>
      <c r="O782" s="17">
        <f>Github!P$781</f>
        <v>40137</v>
      </c>
    </row>
    <row r="783">
      <c r="A783" s="17">
        <f>Github!J$782</f>
        <v>781</v>
      </c>
      <c r="B783" s="27" t="str">
        <f>HYPERLINK(CONCAT("http://leetcode.com/problems/",Github!C$782), Github!B$782)</f>
        <v>Rabbits in Forest</v>
      </c>
      <c r="C783" s="17">
        <f>Github!F$782</f>
        <v>661</v>
      </c>
      <c r="D783" s="17">
        <f>Github!G$782</f>
        <v>476</v>
      </c>
      <c r="E783" s="17">
        <f>Github!F$782+Github!G$782</f>
        <v>1137</v>
      </c>
      <c r="F783" s="18">
        <f t="shared" si="1"/>
        <v>1.39</v>
      </c>
      <c r="G783" s="17" t="str">
        <f>Github!H$782</f>
        <v>Algorithms</v>
      </c>
      <c r="H783" s="17" t="str">
        <f>Github!E$782</f>
        <v>Medium</v>
      </c>
      <c r="I783" s="17" t="str">
        <f>IF(TRIM(Github!D$782)="TRUE","FALSE","TRUE")</f>
        <v>TRUE</v>
      </c>
      <c r="J783" s="17"/>
      <c r="K783" s="17" t="str">
        <f>Github!L$782</f>
        <v>Array;Hash Table;Math;Greedy;</v>
      </c>
      <c r="L783" s="17" t="b">
        <f>Github!M$782</f>
        <v>1</v>
      </c>
      <c r="M783" s="17" t="str">
        <f>ROUND(Github!N$782, 2)&amp;"%"</f>
        <v>0%</v>
      </c>
      <c r="N783" s="17">
        <f>Github!O$782</f>
        <v>55.70225794</v>
      </c>
      <c r="O783" s="17">
        <f>Github!P$782</f>
        <v>34932</v>
      </c>
    </row>
    <row r="784">
      <c r="A784" s="17">
        <f>Github!J$783</f>
        <v>782</v>
      </c>
      <c r="B784" s="27" t="str">
        <f>HYPERLINK(CONCAT("http://leetcode.com/problems/",Github!C$783), Github!B$783)</f>
        <v>Transform to Chessboard</v>
      </c>
      <c r="C784" s="17">
        <f>Github!F$783</f>
        <v>284</v>
      </c>
      <c r="D784" s="17">
        <f>Github!G$783</f>
        <v>282</v>
      </c>
      <c r="E784" s="17">
        <f>Github!F$783+Github!G$783</f>
        <v>566</v>
      </c>
      <c r="F784" s="18">
        <f t="shared" si="1"/>
        <v>1.01</v>
      </c>
      <c r="G784" s="17" t="str">
        <f>Github!H$783</f>
        <v>Algorithms</v>
      </c>
      <c r="H784" s="17" t="str">
        <f>Github!E$783</f>
        <v>Hard</v>
      </c>
      <c r="I784" s="17" t="str">
        <f>IF(TRIM(Github!D$783)="TRUE","FALSE","TRUE")</f>
        <v>TRUE</v>
      </c>
      <c r="J784" s="17"/>
      <c r="K784" s="17" t="str">
        <f>Github!L$783</f>
        <v>Array;Math;Bit Manipulation;Matrix;</v>
      </c>
      <c r="L784" s="17" t="b">
        <f>Github!M$783</f>
        <v>1</v>
      </c>
      <c r="M784" s="17" t="str">
        <f>ROUND(Github!N$783, 2)&amp;"%"</f>
        <v>0%</v>
      </c>
      <c r="N784" s="17">
        <f>Github!O$783</f>
        <v>52.05258545</v>
      </c>
      <c r="O784" s="17">
        <f>Github!P$783</f>
        <v>14848</v>
      </c>
    </row>
    <row r="785">
      <c r="A785" s="17">
        <f>Github!J$784</f>
        <v>783</v>
      </c>
      <c r="B785" s="27" t="str">
        <f>HYPERLINK(CONCAT("http://leetcode.com/problems/",Github!C$784), Github!B$784)</f>
        <v>Minimum Distance Between BST Nodes</v>
      </c>
      <c r="C785" s="17">
        <f>Github!F$784</f>
        <v>1531</v>
      </c>
      <c r="D785" s="17">
        <f>Github!G$784</f>
        <v>308</v>
      </c>
      <c r="E785" s="17">
        <f>Github!F$784+Github!G$784</f>
        <v>1839</v>
      </c>
      <c r="F785" s="18">
        <f t="shared" si="1"/>
        <v>4.97</v>
      </c>
      <c r="G785" s="17" t="str">
        <f>Github!H$784</f>
        <v>Algorithms</v>
      </c>
      <c r="H785" s="17" t="str">
        <f>Github!E$784</f>
        <v>Easy</v>
      </c>
      <c r="I785" s="17" t="str">
        <f>IF(TRIM(Github!D$784)="TRUE","FALSE","TRUE")</f>
        <v>TRUE</v>
      </c>
      <c r="J785" s="17"/>
      <c r="K785" s="17" t="str">
        <f>Github!L$784</f>
        <v>Tree;Depth-First Search;Breadth-First Search;Binary Search Tree;Binary Tree;</v>
      </c>
      <c r="L785" s="17" t="b">
        <f>Github!M$784</f>
        <v>1</v>
      </c>
      <c r="M785" s="17" t="str">
        <f>ROUND(Github!N$784, 2)&amp;"%"</f>
        <v>0%</v>
      </c>
      <c r="N785" s="17">
        <f>Github!O$784</f>
        <v>55.88482991</v>
      </c>
      <c r="O785" s="17">
        <f>Github!P$784</f>
        <v>116126</v>
      </c>
    </row>
    <row r="786">
      <c r="A786" s="17">
        <f>Github!J$785</f>
        <v>784</v>
      </c>
      <c r="B786" s="27" t="str">
        <f>HYPERLINK(CONCAT("http://leetcode.com/problems/",Github!C$785), Github!B$785)</f>
        <v>Letter Case Permutation</v>
      </c>
      <c r="C786" s="17">
        <f>Github!F$785</f>
        <v>3117</v>
      </c>
      <c r="D786" s="17">
        <f>Github!G$785</f>
        <v>141</v>
      </c>
      <c r="E786" s="17">
        <f>Github!F$785+Github!G$785</f>
        <v>3258</v>
      </c>
      <c r="F786" s="18">
        <f t="shared" si="1"/>
        <v>22.11</v>
      </c>
      <c r="G786" s="17" t="str">
        <f>Github!H$785</f>
        <v>Algorithms</v>
      </c>
      <c r="H786" s="17" t="str">
        <f>Github!E$785</f>
        <v>Medium</v>
      </c>
      <c r="I786" s="17" t="str">
        <f>IF(TRIM(Github!D$785)="TRUE","FALSE","TRUE")</f>
        <v>TRUE</v>
      </c>
      <c r="J786" s="17"/>
      <c r="K786" s="17" t="str">
        <f>Github!L$785</f>
        <v>String;Backtracking;Bit Manipulation;</v>
      </c>
      <c r="L786" s="17" t="b">
        <f>Github!M$785</f>
        <v>1</v>
      </c>
      <c r="M786" s="17" t="str">
        <f>ROUND(Github!N$785, 2)&amp;"%"</f>
        <v>0%</v>
      </c>
      <c r="N786" s="17">
        <f>Github!O$785</f>
        <v>71.91823583</v>
      </c>
      <c r="O786" s="17">
        <f>Github!P$785</f>
        <v>200436</v>
      </c>
    </row>
    <row r="787">
      <c r="A787" s="17">
        <f>Github!J$786</f>
        <v>785</v>
      </c>
      <c r="B787" s="27" t="str">
        <f>HYPERLINK(CONCAT("http://leetcode.com/problems/",Github!C$786), Github!B$786)</f>
        <v>Is Graph Bipartite?</v>
      </c>
      <c r="C787" s="17">
        <f>Github!F$786</f>
        <v>3894</v>
      </c>
      <c r="D787" s="17">
        <f>Github!G$786</f>
        <v>255</v>
      </c>
      <c r="E787" s="17">
        <f>Github!F$786+Github!G$786</f>
        <v>4149</v>
      </c>
      <c r="F787" s="18">
        <f t="shared" si="1"/>
        <v>15.27</v>
      </c>
      <c r="G787" s="17" t="str">
        <f>Github!H$786</f>
        <v>Algorithms</v>
      </c>
      <c r="H787" s="17" t="str">
        <f>Github!E$786</f>
        <v>Medium</v>
      </c>
      <c r="I787" s="17" t="str">
        <f>IF(TRIM(Github!D$786)="TRUE","FALSE","TRUE")</f>
        <v>TRUE</v>
      </c>
      <c r="J787" s="17"/>
      <c r="K787" s="17" t="str">
        <f>Github!L$786</f>
        <v>Depth-First Search;Breadth-First Search;Union Find;Graph;</v>
      </c>
      <c r="L787" s="17" t="b">
        <f>Github!M$786</f>
        <v>1</v>
      </c>
      <c r="M787" s="17" t="str">
        <f>ROUND(Github!N$786, 2)&amp;"%"</f>
        <v>0%</v>
      </c>
      <c r="N787" s="17">
        <f>Github!O$786</f>
        <v>50.15391451</v>
      </c>
      <c r="O787" s="17">
        <f>Github!P$786</f>
        <v>266386</v>
      </c>
    </row>
    <row r="788">
      <c r="A788" s="17">
        <f>Github!J$787</f>
        <v>786</v>
      </c>
      <c r="B788" s="27" t="str">
        <f>HYPERLINK(CONCAT("http://leetcode.com/problems/",Github!C$787), Github!B$787)</f>
        <v>K-th Smallest Prime Fraction</v>
      </c>
      <c r="C788" s="17">
        <f>Github!F$787</f>
        <v>721</v>
      </c>
      <c r="D788" s="17">
        <f>Github!G$787</f>
        <v>36</v>
      </c>
      <c r="E788" s="17">
        <f>Github!F$787+Github!G$787</f>
        <v>757</v>
      </c>
      <c r="F788" s="18">
        <f t="shared" si="1"/>
        <v>20.03</v>
      </c>
      <c r="G788" s="17" t="str">
        <f>Github!H$787</f>
        <v>Algorithms</v>
      </c>
      <c r="H788" s="17" t="str">
        <f>Github!E$787</f>
        <v>Hard</v>
      </c>
      <c r="I788" s="17" t="str">
        <f>IF(TRIM(Github!D$787)="TRUE","FALSE","TRUE")</f>
        <v>TRUE</v>
      </c>
      <c r="J788" s="17"/>
      <c r="K788" s="17" t="str">
        <f>Github!L$787</f>
        <v>Array;Binary Search;Heap (Priority Queue);</v>
      </c>
      <c r="L788" s="17" t="b">
        <f>Github!M$787</f>
        <v>1</v>
      </c>
      <c r="M788" s="17" t="str">
        <f>ROUND(Github!N$787, 2)&amp;"%"</f>
        <v>0%</v>
      </c>
      <c r="N788" s="17">
        <f>Github!O$787</f>
        <v>48.0823823</v>
      </c>
      <c r="O788" s="17">
        <f>Github!P$787</f>
        <v>25237</v>
      </c>
    </row>
    <row r="789">
      <c r="A789" s="17">
        <f>Github!J$788</f>
        <v>787</v>
      </c>
      <c r="B789" s="27" t="str">
        <f>HYPERLINK(CONCAT("http://leetcode.com/problems/",Github!C$788), Github!B$788)</f>
        <v>Cheapest Flights Within K Stops</v>
      </c>
      <c r="C789" s="17">
        <f>Github!F$788</f>
        <v>4593</v>
      </c>
      <c r="D789" s="17">
        <f>Github!G$788</f>
        <v>193</v>
      </c>
      <c r="E789" s="17">
        <f>Github!F$788+Github!G$788</f>
        <v>4786</v>
      </c>
      <c r="F789" s="18">
        <f t="shared" si="1"/>
        <v>23.8</v>
      </c>
      <c r="G789" s="17" t="str">
        <f>Github!H$788</f>
        <v>Algorithms</v>
      </c>
      <c r="H789" s="17" t="str">
        <f>Github!E$788</f>
        <v>Medium</v>
      </c>
      <c r="I789" s="17" t="str">
        <f>IF(TRIM(Github!D$788)="TRUE","FALSE","TRUE")</f>
        <v>TRUE</v>
      </c>
      <c r="J789" s="17"/>
      <c r="K789" s="17" t="str">
        <f>Github!L$788</f>
        <v>Dynamic Programming;Depth-First Search;Breadth-First Search;Graph;Heap (Priority Queue);Shortest Path;</v>
      </c>
      <c r="L789" s="17" t="b">
        <f>Github!M$788</f>
        <v>1</v>
      </c>
      <c r="M789" s="17" t="str">
        <f>ROUND(Github!N$788, 2)&amp;"%"</f>
        <v>0%</v>
      </c>
      <c r="N789" s="17">
        <f>Github!O$788</f>
        <v>36.19206497</v>
      </c>
      <c r="O789" s="17">
        <f>Github!P$788</f>
        <v>218897</v>
      </c>
    </row>
    <row r="790">
      <c r="A790" s="17">
        <f>Github!J$789</f>
        <v>788</v>
      </c>
      <c r="B790" s="27" t="str">
        <f>HYPERLINK(CONCAT("http://leetcode.com/problems/",Github!C$789), Github!B$789)</f>
        <v>Rotated Digits</v>
      </c>
      <c r="C790" s="17">
        <f>Github!F$789</f>
        <v>561</v>
      </c>
      <c r="D790" s="17">
        <f>Github!G$789</f>
        <v>1702</v>
      </c>
      <c r="E790" s="17">
        <f>Github!F$789+Github!G$789</f>
        <v>2263</v>
      </c>
      <c r="F790" s="18">
        <f t="shared" si="1"/>
        <v>0.33</v>
      </c>
      <c r="G790" s="17" t="str">
        <f>Github!H$789</f>
        <v>Algorithms</v>
      </c>
      <c r="H790" s="17" t="str">
        <f>Github!E$789</f>
        <v>Medium</v>
      </c>
      <c r="I790" s="17" t="str">
        <f>IF(TRIM(Github!D$789)="TRUE","FALSE","TRUE")</f>
        <v>TRUE</v>
      </c>
      <c r="J790" s="17"/>
      <c r="K790" s="17" t="str">
        <f>Github!L$789</f>
        <v>Math;Dynamic Programming;</v>
      </c>
      <c r="L790" s="17" t="b">
        <f>Github!M$789</f>
        <v>0</v>
      </c>
      <c r="M790" s="17" t="str">
        <f>ROUND(Github!N$789, 2)&amp;"%"</f>
        <v>0%</v>
      </c>
      <c r="N790" s="17">
        <f>Github!O$789</f>
        <v>57.26606862</v>
      </c>
      <c r="O790" s="17">
        <f>Github!P$789</f>
        <v>82797</v>
      </c>
    </row>
    <row r="791">
      <c r="A791" s="17">
        <f>Github!J$790</f>
        <v>789</v>
      </c>
      <c r="B791" s="27" t="str">
        <f>HYPERLINK(CONCAT("http://leetcode.com/problems/",Github!C$790), Github!B$790)</f>
        <v>Escape The Ghosts</v>
      </c>
      <c r="C791" s="17">
        <f>Github!F$790</f>
        <v>82</v>
      </c>
      <c r="D791" s="17">
        <f>Github!G$790</f>
        <v>13</v>
      </c>
      <c r="E791" s="17">
        <f>Github!F$790+Github!G$790</f>
        <v>95</v>
      </c>
      <c r="F791" s="18">
        <f t="shared" si="1"/>
        <v>6.31</v>
      </c>
      <c r="G791" s="17" t="str">
        <f>Github!H$790</f>
        <v>Algorithms</v>
      </c>
      <c r="H791" s="17" t="str">
        <f>Github!E$790</f>
        <v>Medium</v>
      </c>
      <c r="I791" s="17" t="str">
        <f>IF(TRIM(Github!D$790)="TRUE","FALSE","TRUE")</f>
        <v>TRUE</v>
      </c>
      <c r="J791" s="17"/>
      <c r="K791" s="17" t="str">
        <f>Github!L$790</f>
        <v>Array;Math;</v>
      </c>
      <c r="L791" s="17" t="b">
        <f>Github!M$790</f>
        <v>1</v>
      </c>
      <c r="M791" s="17" t="str">
        <f>ROUND(Github!N$790, 2)&amp;"%"</f>
        <v>0%</v>
      </c>
      <c r="N791" s="17">
        <f>Github!O$790</f>
        <v>60.0542923</v>
      </c>
      <c r="O791" s="17">
        <f>Github!P$790</f>
        <v>20574</v>
      </c>
    </row>
    <row r="792">
      <c r="A792" s="17">
        <f>Github!J$791</f>
        <v>790</v>
      </c>
      <c r="B792" s="27" t="str">
        <f>HYPERLINK(CONCAT("http://leetcode.com/problems/",Github!C$791), Github!B$791)</f>
        <v>Domino and Tromino Tiling</v>
      </c>
      <c r="C792" s="17">
        <f>Github!F$791</f>
        <v>1417</v>
      </c>
      <c r="D792" s="17">
        <f>Github!G$791</f>
        <v>556</v>
      </c>
      <c r="E792" s="17">
        <f>Github!F$791+Github!G$791</f>
        <v>1973</v>
      </c>
      <c r="F792" s="18">
        <f t="shared" si="1"/>
        <v>2.55</v>
      </c>
      <c r="G792" s="17" t="str">
        <f>Github!H$791</f>
        <v>Algorithms</v>
      </c>
      <c r="H792" s="17" t="str">
        <f>Github!E$791</f>
        <v>Medium</v>
      </c>
      <c r="I792" s="17" t="str">
        <f>IF(TRIM(Github!D$791)="TRUE","FALSE","TRUE")</f>
        <v>TRUE</v>
      </c>
      <c r="J792" s="17"/>
      <c r="K792" s="17" t="str">
        <f>Github!L$791</f>
        <v>Dynamic Programming;</v>
      </c>
      <c r="L792" s="17" t="b">
        <f>Github!M$791</f>
        <v>1</v>
      </c>
      <c r="M792" s="17" t="str">
        <f>ROUND(Github!N$791, 2)&amp;"%"</f>
        <v>0%</v>
      </c>
      <c r="N792" s="17">
        <f>Github!O$791</f>
        <v>47.68940854</v>
      </c>
      <c r="O792" s="17">
        <f>Github!P$791</f>
        <v>44540</v>
      </c>
    </row>
    <row r="793">
      <c r="A793" s="17">
        <f>Github!J$792</f>
        <v>791</v>
      </c>
      <c r="B793" s="27" t="str">
        <f>HYPERLINK(CONCAT("http://leetcode.com/problems/",Github!C$792), Github!B$792)</f>
        <v>Custom Sort String</v>
      </c>
      <c r="C793" s="17">
        <f>Github!F$792</f>
        <v>1884</v>
      </c>
      <c r="D793" s="17">
        <f>Github!G$792</f>
        <v>274</v>
      </c>
      <c r="E793" s="17">
        <f>Github!F$792+Github!G$792</f>
        <v>2158</v>
      </c>
      <c r="F793" s="18">
        <f t="shared" si="1"/>
        <v>6.88</v>
      </c>
      <c r="G793" s="17" t="str">
        <f>Github!H$792</f>
        <v>Algorithms</v>
      </c>
      <c r="H793" s="17" t="str">
        <f>Github!E$792</f>
        <v>Medium</v>
      </c>
      <c r="I793" s="17" t="str">
        <f>IF(TRIM(Github!D$792)="TRUE","FALSE","TRUE")</f>
        <v>TRUE</v>
      </c>
      <c r="J793" s="17"/>
      <c r="K793" s="17" t="str">
        <f>Github!L$792</f>
        <v>Hash Table;String;Sorting;</v>
      </c>
      <c r="L793" s="17" t="b">
        <f>Github!M$792</f>
        <v>1</v>
      </c>
      <c r="M793" s="17" t="str">
        <f>ROUND(Github!N$792, 2)&amp;"%"</f>
        <v>0%</v>
      </c>
      <c r="N793" s="17">
        <f>Github!O$792</f>
        <v>68.77843617</v>
      </c>
      <c r="O793" s="17">
        <f>Github!P$792</f>
        <v>165981</v>
      </c>
    </row>
    <row r="794">
      <c r="A794" s="17">
        <f>Github!J$793</f>
        <v>792</v>
      </c>
      <c r="B794" s="27" t="str">
        <f>HYPERLINK(CONCAT("http://leetcode.com/problems/",Github!C$793), Github!B$793)</f>
        <v>Number of Matching Subsequences</v>
      </c>
      <c r="C794" s="17">
        <f>Github!F$793</f>
        <v>2793</v>
      </c>
      <c r="D794" s="17">
        <f>Github!G$793</f>
        <v>142</v>
      </c>
      <c r="E794" s="17">
        <f>Github!F$793+Github!G$793</f>
        <v>2935</v>
      </c>
      <c r="F794" s="18">
        <f t="shared" si="1"/>
        <v>19.67</v>
      </c>
      <c r="G794" s="17" t="str">
        <f>Github!H$793</f>
        <v>Algorithms</v>
      </c>
      <c r="H794" s="17" t="str">
        <f>Github!E$793</f>
        <v>Medium</v>
      </c>
      <c r="I794" s="17" t="str">
        <f>IF(TRIM(Github!D$793)="TRUE","FALSE","TRUE")</f>
        <v>TRUE</v>
      </c>
      <c r="J794" s="17"/>
      <c r="K794" s="17" t="str">
        <f>Github!L$793</f>
        <v>Hash Table;String;Trie;Sorting;</v>
      </c>
      <c r="L794" s="17" t="b">
        <f>Github!M$793</f>
        <v>1</v>
      </c>
      <c r="M794" s="17" t="str">
        <f>ROUND(Github!N$793, 2)&amp;"%"</f>
        <v>0%</v>
      </c>
      <c r="N794" s="17">
        <f>Github!O$793</f>
        <v>50.33483964</v>
      </c>
      <c r="O794" s="17">
        <f>Github!P$793</f>
        <v>123415</v>
      </c>
    </row>
    <row r="795">
      <c r="A795" s="17">
        <f>Github!J$794</f>
        <v>793</v>
      </c>
      <c r="B795" s="27" t="str">
        <f>HYPERLINK(CONCAT("http://leetcode.com/problems/",Github!C$794), Github!B$794)</f>
        <v>Preimage Size of Factorial Zeroes Function</v>
      </c>
      <c r="C795" s="17">
        <f>Github!F$794</f>
        <v>289</v>
      </c>
      <c r="D795" s="17">
        <f>Github!G$794</f>
        <v>68</v>
      </c>
      <c r="E795" s="17">
        <f>Github!F$794+Github!G$794</f>
        <v>357</v>
      </c>
      <c r="F795" s="18">
        <f t="shared" si="1"/>
        <v>4.25</v>
      </c>
      <c r="G795" s="17" t="str">
        <f>Github!H$794</f>
        <v>Algorithms</v>
      </c>
      <c r="H795" s="17" t="str">
        <f>Github!E$794</f>
        <v>Hard</v>
      </c>
      <c r="I795" s="17" t="str">
        <f>IF(TRIM(Github!D$794)="TRUE","FALSE","TRUE")</f>
        <v>TRUE</v>
      </c>
      <c r="J795" s="17"/>
      <c r="K795" s="17" t="str">
        <f>Github!L$794</f>
        <v>Math;Binary Search;</v>
      </c>
      <c r="L795" s="17" t="b">
        <f>Github!M$794</f>
        <v>1</v>
      </c>
      <c r="M795" s="17" t="str">
        <f>ROUND(Github!N$794, 2)&amp;"%"</f>
        <v>0%</v>
      </c>
      <c r="N795" s="17">
        <f>Github!O$794</f>
        <v>41.5403552</v>
      </c>
      <c r="O795" s="17">
        <f>Github!P$794</f>
        <v>11812</v>
      </c>
    </row>
    <row r="796">
      <c r="A796" s="17">
        <f>Github!J$795</f>
        <v>794</v>
      </c>
      <c r="B796" s="27" t="str">
        <f>HYPERLINK(CONCAT("http://leetcode.com/problems/",Github!C$795), Github!B$795)</f>
        <v>Valid Tic-Tac-Toe State</v>
      </c>
      <c r="C796" s="17">
        <f>Github!F$795</f>
        <v>388</v>
      </c>
      <c r="D796" s="17">
        <f>Github!G$795</f>
        <v>934</v>
      </c>
      <c r="E796" s="17">
        <f>Github!F$795+Github!G$795</f>
        <v>1322</v>
      </c>
      <c r="F796" s="18">
        <f t="shared" si="1"/>
        <v>0.42</v>
      </c>
      <c r="G796" s="17" t="str">
        <f>Github!H$795</f>
        <v>Algorithms</v>
      </c>
      <c r="H796" s="17" t="str">
        <f>Github!E$795</f>
        <v>Medium</v>
      </c>
      <c r="I796" s="17" t="str">
        <f>IF(TRIM(Github!D$795)="TRUE","FALSE","TRUE")</f>
        <v>TRUE</v>
      </c>
      <c r="J796" s="17"/>
      <c r="K796" s="17" t="str">
        <f>Github!L$795</f>
        <v>Array;String;</v>
      </c>
      <c r="L796" s="17" t="b">
        <f>Github!M$795</f>
        <v>0</v>
      </c>
      <c r="M796" s="17" t="str">
        <f>ROUND(Github!N$795, 2)&amp;"%"</f>
        <v>0%</v>
      </c>
      <c r="N796" s="17">
        <f>Github!O$795</f>
        <v>35.13205684</v>
      </c>
      <c r="O796" s="17">
        <f>Github!P$795</f>
        <v>44106</v>
      </c>
    </row>
    <row r="797">
      <c r="A797" s="17">
        <f>Github!J$796</f>
        <v>795</v>
      </c>
      <c r="B797" s="27" t="str">
        <f>HYPERLINK(CONCAT("http://leetcode.com/problems/",Github!C$796), Github!B$796)</f>
        <v>Number of Subarrays with Bounded Maximum</v>
      </c>
      <c r="C797" s="17">
        <f>Github!F$796</f>
        <v>1553</v>
      </c>
      <c r="D797" s="17">
        <f>Github!G$796</f>
        <v>89</v>
      </c>
      <c r="E797" s="17">
        <f>Github!F$796+Github!G$796</f>
        <v>1642</v>
      </c>
      <c r="F797" s="18">
        <f t="shared" si="1"/>
        <v>17.45</v>
      </c>
      <c r="G797" s="17" t="str">
        <f>Github!H$796</f>
        <v>Algorithms</v>
      </c>
      <c r="H797" s="17" t="str">
        <f>Github!E$796</f>
        <v>Medium</v>
      </c>
      <c r="I797" s="17" t="str">
        <f>IF(TRIM(Github!D$796)="TRUE","FALSE","TRUE")</f>
        <v>TRUE</v>
      </c>
      <c r="J797" s="17"/>
      <c r="K797" s="17" t="str">
        <f>Github!L$796</f>
        <v>Array;Two Pointers;</v>
      </c>
      <c r="L797" s="17" t="b">
        <f>Github!M$796</f>
        <v>1</v>
      </c>
      <c r="M797" s="17" t="str">
        <f>ROUND(Github!N$796, 2)&amp;"%"</f>
        <v>0%</v>
      </c>
      <c r="N797" s="17">
        <f>Github!O$796</f>
        <v>52.33060389</v>
      </c>
      <c r="O797" s="17">
        <f>Github!P$796</f>
        <v>51127</v>
      </c>
    </row>
    <row r="798">
      <c r="A798" s="17">
        <f>Github!J$797</f>
        <v>796</v>
      </c>
      <c r="B798" s="27" t="str">
        <f>HYPERLINK(CONCAT("http://leetcode.com/problems/",Github!C$797), Github!B$797)</f>
        <v>Rotate String</v>
      </c>
      <c r="C798" s="17">
        <f>Github!F$797</f>
        <v>1715</v>
      </c>
      <c r="D798" s="17">
        <f>Github!G$797</f>
        <v>82</v>
      </c>
      <c r="E798" s="17">
        <f>Github!F$797+Github!G$797</f>
        <v>1797</v>
      </c>
      <c r="F798" s="18">
        <f t="shared" si="1"/>
        <v>20.91</v>
      </c>
      <c r="G798" s="17" t="str">
        <f>Github!H$797</f>
        <v>Algorithms</v>
      </c>
      <c r="H798" s="17" t="str">
        <f>Github!E$797</f>
        <v>Easy</v>
      </c>
      <c r="I798" s="17" t="str">
        <f>IF(TRIM(Github!D$797)="TRUE","FALSE","TRUE")</f>
        <v>TRUE</v>
      </c>
      <c r="J798" s="17"/>
      <c r="K798" s="17" t="str">
        <f>Github!L$797</f>
        <v>String;String Matching;</v>
      </c>
      <c r="L798" s="17" t="b">
        <f>Github!M$797</f>
        <v>1</v>
      </c>
      <c r="M798" s="17" t="str">
        <f>ROUND(Github!N$797, 2)&amp;"%"</f>
        <v>0%</v>
      </c>
      <c r="N798" s="17">
        <f>Github!O$797</f>
        <v>51.68811602</v>
      </c>
      <c r="O798" s="17">
        <f>Github!P$797</f>
        <v>139285</v>
      </c>
    </row>
    <row r="799">
      <c r="A799" s="17">
        <f>Github!J$798</f>
        <v>797</v>
      </c>
      <c r="B799" s="27" t="str">
        <f>HYPERLINK(CONCAT("http://leetcode.com/problems/",Github!C$798), Github!B$798)</f>
        <v>All Paths From Source to Target</v>
      </c>
      <c r="C799" s="17">
        <f>Github!F$798</f>
        <v>3810</v>
      </c>
      <c r="D799" s="17">
        <f>Github!G$798</f>
        <v>113</v>
      </c>
      <c r="E799" s="17">
        <f>Github!F$798+Github!G$798</f>
        <v>3923</v>
      </c>
      <c r="F799" s="18">
        <f t="shared" si="1"/>
        <v>33.72</v>
      </c>
      <c r="G799" s="17" t="str">
        <f>Github!H$798</f>
        <v>Algorithms</v>
      </c>
      <c r="H799" s="17" t="str">
        <f>Github!E$798</f>
        <v>Medium</v>
      </c>
      <c r="I799" s="17" t="str">
        <f>IF(TRIM(Github!D$798)="TRUE","FALSE","TRUE")</f>
        <v>TRUE</v>
      </c>
      <c r="J799" s="17"/>
      <c r="K799" s="17" t="str">
        <f>Github!L$798</f>
        <v>Backtracking;Depth-First Search;Breadth-First Search;Graph;</v>
      </c>
      <c r="L799" s="17" t="b">
        <f>Github!M$798</f>
        <v>1</v>
      </c>
      <c r="M799" s="17" t="str">
        <f>ROUND(Github!N$798, 2)&amp;"%"</f>
        <v>0%</v>
      </c>
      <c r="N799" s="17">
        <f>Github!O$798</f>
        <v>80.74245212</v>
      </c>
      <c r="O799" s="17">
        <f>Github!P$798</f>
        <v>257563</v>
      </c>
    </row>
    <row r="800">
      <c r="A800" s="17">
        <f>Github!J$799</f>
        <v>798</v>
      </c>
      <c r="B800" s="27" t="str">
        <f>HYPERLINK(CONCAT("http://leetcode.com/problems/",Github!C$799), Github!B$799)</f>
        <v>Smallest Rotation with Highest Score</v>
      </c>
      <c r="C800" s="17">
        <f>Github!F$799</f>
        <v>342</v>
      </c>
      <c r="D800" s="17">
        <f>Github!G$799</f>
        <v>21</v>
      </c>
      <c r="E800" s="17">
        <f>Github!F$799+Github!G$799</f>
        <v>363</v>
      </c>
      <c r="F800" s="18">
        <f t="shared" si="1"/>
        <v>16.29</v>
      </c>
      <c r="G800" s="17" t="str">
        <f>Github!H$799</f>
        <v>Algorithms</v>
      </c>
      <c r="H800" s="17" t="str">
        <f>Github!E$799</f>
        <v>Hard</v>
      </c>
      <c r="I800" s="17" t="str">
        <f>IF(TRIM(Github!D$799)="TRUE","FALSE","TRUE")</f>
        <v>TRUE</v>
      </c>
      <c r="J800" s="17"/>
      <c r="K800" s="17" t="str">
        <f>Github!L$799</f>
        <v>Array;Prefix Sum;</v>
      </c>
      <c r="L800" s="17" t="b">
        <f>Github!M$799</f>
        <v>1</v>
      </c>
      <c r="M800" s="17" t="str">
        <f>ROUND(Github!N$799, 2)&amp;"%"</f>
        <v>0%</v>
      </c>
      <c r="N800" s="17">
        <f>Github!O$799</f>
        <v>47.19968885</v>
      </c>
      <c r="O800" s="17">
        <f>Github!P$799</f>
        <v>8495</v>
      </c>
    </row>
    <row r="801">
      <c r="A801" s="17">
        <f>Github!J$800</f>
        <v>799</v>
      </c>
      <c r="B801" s="27" t="str">
        <f>HYPERLINK(CONCAT("http://leetcode.com/problems/",Github!C$800), Github!B$800)</f>
        <v>Champagne Tower</v>
      </c>
      <c r="C801" s="17">
        <f>Github!F$800</f>
        <v>2236</v>
      </c>
      <c r="D801" s="17">
        <f>Github!G$800</f>
        <v>127</v>
      </c>
      <c r="E801" s="17">
        <f>Github!F$800+Github!G$800</f>
        <v>2363</v>
      </c>
      <c r="F801" s="18">
        <f t="shared" si="1"/>
        <v>17.61</v>
      </c>
      <c r="G801" s="17" t="str">
        <f>Github!H$800</f>
        <v>Algorithms</v>
      </c>
      <c r="H801" s="17" t="str">
        <f>Github!E$800</f>
        <v>Medium</v>
      </c>
      <c r="I801" s="17" t="str">
        <f>IF(TRIM(Github!D$800)="TRUE","FALSE","TRUE")</f>
        <v>TRUE</v>
      </c>
      <c r="J801" s="17"/>
      <c r="K801" s="17" t="str">
        <f>Github!L$800</f>
        <v>Dynamic Programming;</v>
      </c>
      <c r="L801" s="17" t="b">
        <f>Github!M$800</f>
        <v>1</v>
      </c>
      <c r="M801" s="17" t="str">
        <f>ROUND(Github!N$800, 2)&amp;"%"</f>
        <v>0%</v>
      </c>
      <c r="N801" s="17">
        <f>Github!O$800</f>
        <v>51.04698099</v>
      </c>
      <c r="O801" s="17">
        <f>Github!P$800</f>
        <v>72832</v>
      </c>
    </row>
    <row r="802">
      <c r="A802" s="17">
        <f>Github!J$801</f>
        <v>800</v>
      </c>
      <c r="B802" s="27" t="str">
        <f>HYPERLINK(CONCAT("http://leetcode.com/problems/",Github!C$801), Github!B$801)</f>
        <v>Similar RGB Color</v>
      </c>
      <c r="C802" s="17">
        <f>Github!F$801</f>
        <v>79</v>
      </c>
      <c r="D802" s="17">
        <f>Github!G$801</f>
        <v>483</v>
      </c>
      <c r="E802" s="17">
        <f>Github!F$801+Github!G$801</f>
        <v>562</v>
      </c>
      <c r="F802" s="18">
        <f t="shared" si="1"/>
        <v>0.16</v>
      </c>
      <c r="G802" s="17" t="str">
        <f>Github!H$801</f>
        <v>Algorithms</v>
      </c>
      <c r="H802" s="17" t="str">
        <f>Github!E$801</f>
        <v>Easy</v>
      </c>
      <c r="I802" s="17" t="str">
        <f>IF(TRIM(Github!D$801)="TRUE","FALSE","TRUE")</f>
        <v>FALSE</v>
      </c>
      <c r="J802" s="17"/>
      <c r="K802" s="17" t="str">
        <f>Github!L$801</f>
        <v>Math;String;Enumeration;</v>
      </c>
      <c r="L802" s="17" t="b">
        <f>Github!M$801</f>
        <v>0</v>
      </c>
      <c r="M802" s="17" t="str">
        <f>ROUND(Github!N$801, 2)&amp;"%"</f>
        <v>0%</v>
      </c>
      <c r="N802" s="17">
        <f>Github!O$801</f>
        <v>63.65032245</v>
      </c>
      <c r="O802" s="17">
        <f>Github!P$801</f>
        <v>12436</v>
      </c>
    </row>
    <row r="803">
      <c r="A803" s="17">
        <f>Github!J$802</f>
        <v>801</v>
      </c>
      <c r="B803" s="27" t="str">
        <f>HYPERLINK(CONCAT("http://leetcode.com/problems/",Github!C$802), Github!B$802)</f>
        <v>Minimum Swaps To Make Sequences Increasing</v>
      </c>
      <c r="C803" s="17">
        <f>Github!F$802</f>
        <v>1942</v>
      </c>
      <c r="D803" s="17">
        <f>Github!G$802</f>
        <v>123</v>
      </c>
      <c r="E803" s="17">
        <f>Github!F$802+Github!G$802</f>
        <v>2065</v>
      </c>
      <c r="F803" s="18">
        <f t="shared" si="1"/>
        <v>15.79</v>
      </c>
      <c r="G803" s="17" t="str">
        <f>Github!H$802</f>
        <v>Algorithms</v>
      </c>
      <c r="H803" s="17" t="str">
        <f>Github!E$802</f>
        <v>Hard</v>
      </c>
      <c r="I803" s="17" t="str">
        <f>IF(TRIM(Github!D$802)="TRUE","FALSE","TRUE")</f>
        <v>TRUE</v>
      </c>
      <c r="J803" s="17"/>
      <c r="K803" s="17" t="str">
        <f>Github!L$802</f>
        <v>Array;Dynamic Programming;</v>
      </c>
      <c r="L803" s="17" t="b">
        <f>Github!M$802</f>
        <v>0</v>
      </c>
      <c r="M803" s="17" t="str">
        <f>ROUND(Github!N$802, 2)&amp;"%"</f>
        <v>0%</v>
      </c>
      <c r="N803" s="17">
        <f>Github!O$802</f>
        <v>39.20934575</v>
      </c>
      <c r="O803" s="17">
        <f>Github!P$802</f>
        <v>51654</v>
      </c>
    </row>
    <row r="804">
      <c r="A804" s="17">
        <f>Github!J$803</f>
        <v>802</v>
      </c>
      <c r="B804" s="27" t="str">
        <f>HYPERLINK(CONCAT("http://leetcode.com/problems/",Github!C$803), Github!B$803)</f>
        <v>Find Eventual Safe States</v>
      </c>
      <c r="C804" s="17">
        <f>Github!F$803</f>
        <v>1847</v>
      </c>
      <c r="D804" s="17">
        <f>Github!G$803</f>
        <v>305</v>
      </c>
      <c r="E804" s="17">
        <f>Github!F$803+Github!G$803</f>
        <v>2152</v>
      </c>
      <c r="F804" s="18">
        <f t="shared" si="1"/>
        <v>6.06</v>
      </c>
      <c r="G804" s="17" t="str">
        <f>Github!H$803</f>
        <v>Algorithms</v>
      </c>
      <c r="H804" s="17" t="str">
        <f>Github!E$803</f>
        <v>Medium</v>
      </c>
      <c r="I804" s="17" t="str">
        <f>IF(TRIM(Github!D$803)="TRUE","FALSE","TRUE")</f>
        <v>TRUE</v>
      </c>
      <c r="J804" s="17"/>
      <c r="K804" s="17" t="str">
        <f>Github!L$803</f>
        <v>Depth-First Search;Breadth-First Search;Graph;Topological Sort;</v>
      </c>
      <c r="L804" s="17" t="b">
        <f>Github!M$803</f>
        <v>1</v>
      </c>
      <c r="M804" s="17" t="str">
        <f>ROUND(Github!N$803, 2)&amp;"%"</f>
        <v>0%</v>
      </c>
      <c r="N804" s="17">
        <f>Github!O$803</f>
        <v>52.06353104</v>
      </c>
      <c r="O804" s="17">
        <f>Github!P$803</f>
        <v>72081</v>
      </c>
    </row>
    <row r="805">
      <c r="A805" s="17">
        <f>Github!J$804</f>
        <v>803</v>
      </c>
      <c r="B805" s="27" t="str">
        <f>HYPERLINK(CONCAT("http://leetcode.com/problems/",Github!C$804), Github!B$804)</f>
        <v>Bricks Falling When Hit</v>
      </c>
      <c r="C805" s="17">
        <f>Github!F$804</f>
        <v>771</v>
      </c>
      <c r="D805" s="17">
        <f>Github!G$804</f>
        <v>168</v>
      </c>
      <c r="E805" s="17">
        <f>Github!F$804+Github!G$804</f>
        <v>939</v>
      </c>
      <c r="F805" s="18">
        <f t="shared" si="1"/>
        <v>4.59</v>
      </c>
      <c r="G805" s="17" t="str">
        <f>Github!H$804</f>
        <v>Algorithms</v>
      </c>
      <c r="H805" s="17" t="str">
        <f>Github!E$804</f>
        <v>Hard</v>
      </c>
      <c r="I805" s="17" t="str">
        <f>IF(TRIM(Github!D$804)="TRUE","FALSE","TRUE")</f>
        <v>TRUE</v>
      </c>
      <c r="J805" s="17"/>
      <c r="K805" s="17" t="str">
        <f>Github!L$804</f>
        <v>Array;Union Find;Matrix;</v>
      </c>
      <c r="L805" s="17" t="b">
        <f>Github!M$804</f>
        <v>1</v>
      </c>
      <c r="M805" s="17" t="str">
        <f>ROUND(Github!N$804, 2)&amp;"%"</f>
        <v>0%</v>
      </c>
      <c r="N805" s="17">
        <f>Github!O$804</f>
        <v>33.64344773</v>
      </c>
      <c r="O805" s="17">
        <f>Github!P$804</f>
        <v>24048</v>
      </c>
    </row>
    <row r="806">
      <c r="A806" s="17">
        <f>Github!J$805</f>
        <v>804</v>
      </c>
      <c r="B806" s="27" t="str">
        <f>HYPERLINK(CONCAT("http://leetcode.com/problems/",Github!C$805), Github!B$805)</f>
        <v>Unique Morse Code Words</v>
      </c>
      <c r="C806" s="17">
        <f>Github!F$805</f>
        <v>1172</v>
      </c>
      <c r="D806" s="17">
        <f>Github!G$805</f>
        <v>1003</v>
      </c>
      <c r="E806" s="17">
        <f>Github!F$805+Github!G$805</f>
        <v>2175</v>
      </c>
      <c r="F806" s="18">
        <f t="shared" si="1"/>
        <v>1.17</v>
      </c>
      <c r="G806" s="17" t="str">
        <f>Github!H$805</f>
        <v>Algorithms</v>
      </c>
      <c r="H806" s="17" t="str">
        <f>Github!E$805</f>
        <v>Easy</v>
      </c>
      <c r="I806" s="17" t="str">
        <f>IF(TRIM(Github!D$805)="TRUE","FALSE","TRUE")</f>
        <v>TRUE</v>
      </c>
      <c r="J806" s="17"/>
      <c r="K806" s="17" t="str">
        <f>Github!L$805</f>
        <v>Array;Hash Table;String;</v>
      </c>
      <c r="L806" s="17" t="b">
        <f>Github!M$805</f>
        <v>1</v>
      </c>
      <c r="M806" s="17" t="str">
        <f>ROUND(Github!N$805, 2)&amp;"%"</f>
        <v>0%</v>
      </c>
      <c r="N806" s="17">
        <f>Github!O$805</f>
        <v>79.85911019</v>
      </c>
      <c r="O806" s="17">
        <f>Github!P$805</f>
        <v>211197</v>
      </c>
    </row>
    <row r="807">
      <c r="A807" s="17">
        <f>Github!J$806</f>
        <v>805</v>
      </c>
      <c r="B807" s="27" t="str">
        <f>HYPERLINK(CONCAT("http://leetcode.com/problems/",Github!C$806), Github!B$806)</f>
        <v>Split Array With Same Average</v>
      </c>
      <c r="C807" s="17">
        <f>Github!F$806</f>
        <v>784</v>
      </c>
      <c r="D807" s="17">
        <f>Github!G$806</f>
        <v>113</v>
      </c>
      <c r="E807" s="17">
        <f>Github!F$806+Github!G$806</f>
        <v>897</v>
      </c>
      <c r="F807" s="18">
        <f t="shared" si="1"/>
        <v>6.94</v>
      </c>
      <c r="G807" s="17" t="str">
        <f>Github!H$806</f>
        <v>Algorithms</v>
      </c>
      <c r="H807" s="17" t="str">
        <f>Github!E$806</f>
        <v>Hard</v>
      </c>
      <c r="I807" s="17" t="str">
        <f>IF(TRIM(Github!D$806)="TRUE","FALSE","TRUE")</f>
        <v>TRUE</v>
      </c>
      <c r="J807" s="17"/>
      <c r="K807" s="17" t="str">
        <f>Github!L$806</f>
        <v>Array;Math;Dynamic Programming;Bit Manipulation;Bitmask;</v>
      </c>
      <c r="L807" s="17" t="b">
        <f>Github!M$806</f>
        <v>0</v>
      </c>
      <c r="M807" s="17" t="str">
        <f>ROUND(Github!N$806, 2)&amp;"%"</f>
        <v>0%</v>
      </c>
      <c r="N807" s="17">
        <f>Github!O$806</f>
        <v>26.54775296</v>
      </c>
      <c r="O807" s="17">
        <f>Github!P$806</f>
        <v>24781</v>
      </c>
    </row>
    <row r="808">
      <c r="A808" s="17">
        <f>Github!J$807</f>
        <v>806</v>
      </c>
      <c r="B808" s="27" t="str">
        <f>HYPERLINK(CONCAT("http://leetcode.com/problems/",Github!C$807), Github!B$807)</f>
        <v>Number of Lines To Write String</v>
      </c>
      <c r="C808" s="17">
        <f>Github!F$807</f>
        <v>365</v>
      </c>
      <c r="D808" s="17">
        <f>Github!G$807</f>
        <v>1103</v>
      </c>
      <c r="E808" s="17">
        <f>Github!F$807+Github!G$807</f>
        <v>1468</v>
      </c>
      <c r="F808" s="18">
        <f t="shared" si="1"/>
        <v>0.33</v>
      </c>
      <c r="G808" s="17" t="str">
        <f>Github!H$807</f>
        <v>Algorithms</v>
      </c>
      <c r="H808" s="17" t="str">
        <f>Github!E$807</f>
        <v>Easy</v>
      </c>
      <c r="I808" s="17" t="str">
        <f>IF(TRIM(Github!D$807)="TRUE","FALSE","TRUE")</f>
        <v>TRUE</v>
      </c>
      <c r="J808" s="17"/>
      <c r="K808" s="17" t="str">
        <f>Github!L$807</f>
        <v>Array;String;</v>
      </c>
      <c r="L808" s="17" t="b">
        <f>Github!M$807</f>
        <v>1</v>
      </c>
      <c r="M808" s="17" t="str">
        <f>ROUND(Github!N$807, 2)&amp;"%"</f>
        <v>0%</v>
      </c>
      <c r="N808" s="17">
        <f>Github!O$807</f>
        <v>65.96916716</v>
      </c>
      <c r="O808" s="17">
        <f>Github!P$807</f>
        <v>52334</v>
      </c>
    </row>
    <row r="809">
      <c r="A809" s="17">
        <f>Github!J$808</f>
        <v>807</v>
      </c>
      <c r="B809" s="27" t="str">
        <f>HYPERLINK(CONCAT("http://leetcode.com/problems/",Github!C$808), Github!B$808)</f>
        <v>Max Increase to Keep City Skyline</v>
      </c>
      <c r="C809" s="17">
        <f>Github!F$808</f>
        <v>1634</v>
      </c>
      <c r="D809" s="17">
        <f>Github!G$808</f>
        <v>407</v>
      </c>
      <c r="E809" s="17">
        <f>Github!F$808+Github!G$808</f>
        <v>2041</v>
      </c>
      <c r="F809" s="18">
        <f t="shared" si="1"/>
        <v>4.01</v>
      </c>
      <c r="G809" s="17" t="str">
        <f>Github!H$808</f>
        <v>Algorithms</v>
      </c>
      <c r="H809" s="17" t="str">
        <f>Github!E$808</f>
        <v>Medium</v>
      </c>
      <c r="I809" s="17" t="str">
        <f>IF(TRIM(Github!D$808)="TRUE","FALSE","TRUE")</f>
        <v>TRUE</v>
      </c>
      <c r="J809" s="17"/>
      <c r="K809" s="17" t="str">
        <f>Github!L$808</f>
        <v>Array;Greedy;Matrix;</v>
      </c>
      <c r="L809" s="17" t="b">
        <f>Github!M$808</f>
        <v>1</v>
      </c>
      <c r="M809" s="17" t="str">
        <f>ROUND(Github!N$808, 2)&amp;"%"</f>
        <v>0%</v>
      </c>
      <c r="N809" s="17">
        <f>Github!O$808</f>
        <v>85.4009994</v>
      </c>
      <c r="O809" s="17">
        <f>Github!P$808</f>
        <v>120488</v>
      </c>
    </row>
    <row r="810">
      <c r="A810" s="17">
        <f>Github!J$809</f>
        <v>808</v>
      </c>
      <c r="B810" s="27" t="str">
        <f>HYPERLINK(CONCAT("http://leetcode.com/problems/",Github!C$809), Github!B$809)</f>
        <v>Soup Servings</v>
      </c>
      <c r="C810" s="17">
        <f>Github!F$809</f>
        <v>248</v>
      </c>
      <c r="D810" s="17">
        <f>Github!G$809</f>
        <v>735</v>
      </c>
      <c r="E810" s="17">
        <f>Github!F$809+Github!G$809</f>
        <v>983</v>
      </c>
      <c r="F810" s="18">
        <f t="shared" si="1"/>
        <v>0.34</v>
      </c>
      <c r="G810" s="17" t="str">
        <f>Github!H$809</f>
        <v>Algorithms</v>
      </c>
      <c r="H810" s="17" t="str">
        <f>Github!E$809</f>
        <v>Medium</v>
      </c>
      <c r="I810" s="17" t="str">
        <f>IF(TRIM(Github!D$809)="TRUE","FALSE","TRUE")</f>
        <v>TRUE</v>
      </c>
      <c r="J810" s="17"/>
      <c r="K810" s="17" t="str">
        <f>Github!L$809</f>
        <v>Math;Dynamic Programming;Probability and Statistics;</v>
      </c>
      <c r="L810" s="17" t="b">
        <f>Github!M$809</f>
        <v>0</v>
      </c>
      <c r="M810" s="17" t="str">
        <f>ROUND(Github!N$809, 2)&amp;"%"</f>
        <v>0%</v>
      </c>
      <c r="N810" s="17">
        <f>Github!O$809</f>
        <v>42.23545983</v>
      </c>
      <c r="O810" s="17">
        <f>Github!P$809</f>
        <v>14393</v>
      </c>
    </row>
    <row r="811">
      <c r="A811" s="17">
        <f>Github!J$810</f>
        <v>809</v>
      </c>
      <c r="B811" s="27" t="str">
        <f>HYPERLINK(CONCAT("http://leetcode.com/problems/",Github!C$810), Github!B$810)</f>
        <v>Expressive Words</v>
      </c>
      <c r="C811" s="17">
        <f>Github!F$810</f>
        <v>685</v>
      </c>
      <c r="D811" s="17">
        <f>Github!G$810</f>
        <v>1591</v>
      </c>
      <c r="E811" s="17">
        <f>Github!F$810+Github!G$810</f>
        <v>2276</v>
      </c>
      <c r="F811" s="18">
        <f t="shared" si="1"/>
        <v>0.43</v>
      </c>
      <c r="G811" s="17" t="str">
        <f>Github!H$810</f>
        <v>Algorithms</v>
      </c>
      <c r="H811" s="17" t="str">
        <f>Github!E$810</f>
        <v>Medium</v>
      </c>
      <c r="I811" s="17" t="str">
        <f>IF(TRIM(Github!D$810)="TRUE","FALSE","TRUE")</f>
        <v>TRUE</v>
      </c>
      <c r="J811" s="17"/>
      <c r="K811" s="17" t="str">
        <f>Github!L$810</f>
        <v>Array;Two Pointers;String;</v>
      </c>
      <c r="L811" s="17" t="b">
        <f>Github!M$810</f>
        <v>0</v>
      </c>
      <c r="M811" s="17" t="str">
        <f>ROUND(Github!N$810, 2)&amp;"%"</f>
        <v>0%</v>
      </c>
      <c r="N811" s="17">
        <f>Github!O$810</f>
        <v>46.33874738</v>
      </c>
      <c r="O811" s="17">
        <f>Github!P$810</f>
        <v>92380</v>
      </c>
    </row>
    <row r="812">
      <c r="A812" s="17">
        <f>Github!J$811</f>
        <v>810</v>
      </c>
      <c r="B812" s="27" t="str">
        <f>HYPERLINK(CONCAT("http://leetcode.com/problems/",Github!C$811), Github!B$811)</f>
        <v>Chalkboard XOR Game</v>
      </c>
      <c r="C812" s="17">
        <f>Github!F$811</f>
        <v>121</v>
      </c>
      <c r="D812" s="17">
        <f>Github!G$811</f>
        <v>232</v>
      </c>
      <c r="E812" s="17">
        <f>Github!F$811+Github!G$811</f>
        <v>353</v>
      </c>
      <c r="F812" s="18">
        <f t="shared" si="1"/>
        <v>0.52</v>
      </c>
      <c r="G812" s="17" t="str">
        <f>Github!H$811</f>
        <v>Algorithms</v>
      </c>
      <c r="H812" s="17" t="str">
        <f>Github!E$811</f>
        <v>Hard</v>
      </c>
      <c r="I812" s="17" t="str">
        <f>IF(TRIM(Github!D$811)="TRUE","FALSE","TRUE")</f>
        <v>TRUE</v>
      </c>
      <c r="J812" s="17"/>
      <c r="K812" s="17" t="str">
        <f>Github!L$811</f>
        <v>Array;Math;Bit Manipulation;Brainteaser;Game Theory;</v>
      </c>
      <c r="L812" s="17" t="b">
        <f>Github!M$811</f>
        <v>1</v>
      </c>
      <c r="M812" s="17" t="str">
        <f>ROUND(Github!N$811, 2)&amp;"%"</f>
        <v>0%</v>
      </c>
      <c r="N812" s="17">
        <f>Github!O$811</f>
        <v>52.94612087</v>
      </c>
      <c r="O812" s="17">
        <f>Github!P$811</f>
        <v>6299</v>
      </c>
    </row>
    <row r="813">
      <c r="A813" s="17">
        <f>Github!J$812</f>
        <v>811</v>
      </c>
      <c r="B813" s="27" t="str">
        <f>HYPERLINK(CONCAT("http://leetcode.com/problems/",Github!C$812), Github!B$812)</f>
        <v>Subdomain Visit Count</v>
      </c>
      <c r="C813" s="17">
        <f>Github!F$812</f>
        <v>1009</v>
      </c>
      <c r="D813" s="17">
        <f>Github!G$812</f>
        <v>1091</v>
      </c>
      <c r="E813" s="17">
        <f>Github!F$812+Github!G$812</f>
        <v>2100</v>
      </c>
      <c r="F813" s="18">
        <f t="shared" si="1"/>
        <v>0.92</v>
      </c>
      <c r="G813" s="17" t="str">
        <f>Github!H$812</f>
        <v>Algorithms</v>
      </c>
      <c r="H813" s="17" t="str">
        <f>Github!E$812</f>
        <v>Medium</v>
      </c>
      <c r="I813" s="17" t="str">
        <f>IF(TRIM(Github!D$812)="TRUE","FALSE","TRUE")</f>
        <v>TRUE</v>
      </c>
      <c r="J813" s="17"/>
      <c r="K813" s="17" t="str">
        <f>Github!L$812</f>
        <v>Array;Hash Table;String;Counting;</v>
      </c>
      <c r="L813" s="17" t="b">
        <f>Github!M$812</f>
        <v>1</v>
      </c>
      <c r="M813" s="17" t="str">
        <f>ROUND(Github!N$812, 2)&amp;"%"</f>
        <v>0%</v>
      </c>
      <c r="N813" s="17">
        <f>Github!O$812</f>
        <v>73.96026585</v>
      </c>
      <c r="O813" s="17">
        <f>Github!P$812</f>
        <v>164247</v>
      </c>
    </row>
    <row r="814">
      <c r="A814" s="17">
        <f>Github!J$813</f>
        <v>812</v>
      </c>
      <c r="B814" s="27" t="str">
        <f>HYPERLINK(CONCAT("http://leetcode.com/problems/",Github!C$813), Github!B$813)</f>
        <v>Largest Triangle Area</v>
      </c>
      <c r="C814" s="17">
        <f>Github!F$813</f>
        <v>321</v>
      </c>
      <c r="D814" s="17">
        <f>Github!G$813</f>
        <v>1305</v>
      </c>
      <c r="E814" s="17">
        <f>Github!F$813+Github!G$813</f>
        <v>1626</v>
      </c>
      <c r="F814" s="18">
        <f t="shared" si="1"/>
        <v>0.25</v>
      </c>
      <c r="G814" s="17" t="str">
        <f>Github!H$813</f>
        <v>Algorithms</v>
      </c>
      <c r="H814" s="17" t="str">
        <f>Github!E$813</f>
        <v>Easy</v>
      </c>
      <c r="I814" s="17" t="str">
        <f>IF(TRIM(Github!D$813)="TRUE","FALSE","TRUE")</f>
        <v>TRUE</v>
      </c>
      <c r="J814" s="17"/>
      <c r="K814" s="17" t="str">
        <f>Github!L$813</f>
        <v>Array;Math;Geometry;</v>
      </c>
      <c r="L814" s="17" t="b">
        <f>Github!M$813</f>
        <v>0</v>
      </c>
      <c r="M814" s="17" t="str">
        <f>ROUND(Github!N$813, 2)&amp;"%"</f>
        <v>0%</v>
      </c>
      <c r="N814" s="17">
        <f>Github!O$813</f>
        <v>59.51378796</v>
      </c>
      <c r="O814" s="17">
        <f>Github!P$813</f>
        <v>31531</v>
      </c>
    </row>
    <row r="815">
      <c r="A815" s="17">
        <f>Github!J$814</f>
        <v>813</v>
      </c>
      <c r="B815" s="27" t="str">
        <f>HYPERLINK(CONCAT("http://leetcode.com/problems/",Github!C$814), Github!B$814)</f>
        <v>Largest Sum of Averages</v>
      </c>
      <c r="C815" s="17">
        <f>Github!F$814</f>
        <v>1515</v>
      </c>
      <c r="D815" s="17">
        <f>Github!G$814</f>
        <v>75</v>
      </c>
      <c r="E815" s="17">
        <f>Github!F$814+Github!G$814</f>
        <v>1590</v>
      </c>
      <c r="F815" s="18">
        <f t="shared" si="1"/>
        <v>20.2</v>
      </c>
      <c r="G815" s="17" t="str">
        <f>Github!H$814</f>
        <v>Algorithms</v>
      </c>
      <c r="H815" s="17" t="str">
        <f>Github!E$814</f>
        <v>Medium</v>
      </c>
      <c r="I815" s="17" t="str">
        <f>IF(TRIM(Github!D$814)="TRUE","FALSE","TRUE")</f>
        <v>TRUE</v>
      </c>
      <c r="J815" s="17"/>
      <c r="K815" s="17" t="str">
        <f>Github!L$814</f>
        <v>Array;Dynamic Programming;</v>
      </c>
      <c r="L815" s="17" t="b">
        <f>Github!M$814</f>
        <v>1</v>
      </c>
      <c r="M815" s="17" t="str">
        <f>ROUND(Github!N$814, 2)&amp;"%"</f>
        <v>0%</v>
      </c>
      <c r="N815" s="17">
        <f>Github!O$814</f>
        <v>52.24614387</v>
      </c>
      <c r="O815" s="17">
        <f>Github!P$814</f>
        <v>38682</v>
      </c>
    </row>
    <row r="816">
      <c r="A816" s="17">
        <f>Github!J$815</f>
        <v>814</v>
      </c>
      <c r="B816" s="27" t="str">
        <f>HYPERLINK(CONCAT("http://leetcode.com/problems/",Github!C$815), Github!B$815)</f>
        <v>Binary Tree Pruning</v>
      </c>
      <c r="C816" s="17">
        <f>Github!F$815</f>
        <v>2313</v>
      </c>
      <c r="D816" s="17">
        <f>Github!G$815</f>
        <v>66</v>
      </c>
      <c r="E816" s="17">
        <f>Github!F$815+Github!G$815</f>
        <v>2379</v>
      </c>
      <c r="F816" s="18">
        <f t="shared" si="1"/>
        <v>35.05</v>
      </c>
      <c r="G816" s="17" t="str">
        <f>Github!H$815</f>
        <v>Algorithms</v>
      </c>
      <c r="H816" s="17" t="str">
        <f>Github!E$815</f>
        <v>Medium</v>
      </c>
      <c r="I816" s="17" t="str">
        <f>IF(TRIM(Github!D$815)="TRUE","FALSE","TRUE")</f>
        <v>TRUE</v>
      </c>
      <c r="J816" s="17"/>
      <c r="K816" s="17" t="str">
        <f>Github!L$815</f>
        <v>Tree;Depth-First Search;Binary Tree;</v>
      </c>
      <c r="L816" s="17" t="b">
        <f>Github!M$815</f>
        <v>1</v>
      </c>
      <c r="M816" s="17" t="str">
        <f>ROUND(Github!N$815, 2)&amp;"%"</f>
        <v>0%</v>
      </c>
      <c r="N816" s="17">
        <f>Github!O$815</f>
        <v>71.03318638</v>
      </c>
      <c r="O816" s="17">
        <f>Github!P$815</f>
        <v>136794</v>
      </c>
    </row>
    <row r="817">
      <c r="A817" s="17">
        <f>Github!J$816</f>
        <v>815</v>
      </c>
      <c r="B817" s="27" t="str">
        <f>HYPERLINK(CONCAT("http://leetcode.com/problems/",Github!C$816), Github!B$816)</f>
        <v>Bus Routes</v>
      </c>
      <c r="C817" s="17">
        <f>Github!F$816</f>
        <v>1863</v>
      </c>
      <c r="D817" s="17">
        <f>Github!G$816</f>
        <v>49</v>
      </c>
      <c r="E817" s="17">
        <f>Github!F$816+Github!G$816</f>
        <v>1912</v>
      </c>
      <c r="F817" s="18">
        <f t="shared" si="1"/>
        <v>38.02</v>
      </c>
      <c r="G817" s="17" t="str">
        <f>Github!H$816</f>
        <v>Algorithms</v>
      </c>
      <c r="H817" s="17" t="str">
        <f>Github!E$816</f>
        <v>Hard</v>
      </c>
      <c r="I817" s="17" t="str">
        <f>IF(TRIM(Github!D$816)="TRUE","FALSE","TRUE")</f>
        <v>TRUE</v>
      </c>
      <c r="J817" s="17"/>
      <c r="K817" s="17" t="str">
        <f>Github!L$816</f>
        <v>Array;Hash Table;Breadth-First Search;</v>
      </c>
      <c r="L817" s="17" t="b">
        <f>Github!M$816</f>
        <v>1</v>
      </c>
      <c r="M817" s="17" t="str">
        <f>ROUND(Github!N$816, 2)&amp;"%"</f>
        <v>0%</v>
      </c>
      <c r="N817" s="17">
        <f>Github!O$816</f>
        <v>45.06848451</v>
      </c>
      <c r="O817" s="17">
        <f>Github!P$816</f>
        <v>78606</v>
      </c>
    </row>
    <row r="818">
      <c r="A818" s="17">
        <f>Github!J$817</f>
        <v>816</v>
      </c>
      <c r="B818" s="27" t="str">
        <f>HYPERLINK(CONCAT("http://leetcode.com/problems/",Github!C$817), Github!B$817)</f>
        <v>Ambiguous Coordinates</v>
      </c>
      <c r="C818" s="17">
        <f>Github!F$817</f>
        <v>248</v>
      </c>
      <c r="D818" s="17">
        <f>Github!G$817</f>
        <v>583</v>
      </c>
      <c r="E818" s="17">
        <f>Github!F$817+Github!G$817</f>
        <v>831</v>
      </c>
      <c r="F818" s="18">
        <f t="shared" si="1"/>
        <v>0.43</v>
      </c>
      <c r="G818" s="17" t="str">
        <f>Github!H$817</f>
        <v>Algorithms</v>
      </c>
      <c r="H818" s="17" t="str">
        <f>Github!E$817</f>
        <v>Medium</v>
      </c>
      <c r="I818" s="17" t="str">
        <f>IF(TRIM(Github!D$817)="TRUE","FALSE","TRUE")</f>
        <v>TRUE</v>
      </c>
      <c r="J818" s="17"/>
      <c r="K818" s="17" t="str">
        <f>Github!L$817</f>
        <v>String;Backtracking;</v>
      </c>
      <c r="L818" s="17" t="b">
        <f>Github!M$817</f>
        <v>1</v>
      </c>
      <c r="M818" s="17" t="str">
        <f>ROUND(Github!N$817, 2)&amp;"%"</f>
        <v>0%</v>
      </c>
      <c r="N818" s="17">
        <f>Github!O$817</f>
        <v>55.92552414</v>
      </c>
      <c r="O818" s="17">
        <f>Github!P$817</f>
        <v>25260</v>
      </c>
    </row>
    <row r="819">
      <c r="A819" s="17">
        <f>Github!J$818</f>
        <v>817</v>
      </c>
      <c r="B819" s="27" t="str">
        <f>HYPERLINK(CONCAT("http://leetcode.com/problems/",Github!C$818), Github!B$818)</f>
        <v>Linked List Components</v>
      </c>
      <c r="C819" s="17">
        <f>Github!F$818</f>
        <v>675</v>
      </c>
      <c r="D819" s="17">
        <f>Github!G$818</f>
        <v>1709</v>
      </c>
      <c r="E819" s="17">
        <f>Github!F$818+Github!G$818</f>
        <v>2384</v>
      </c>
      <c r="F819" s="18">
        <f t="shared" si="1"/>
        <v>0.39</v>
      </c>
      <c r="G819" s="17" t="str">
        <f>Github!H$818</f>
        <v>Algorithms</v>
      </c>
      <c r="H819" s="17" t="str">
        <f>Github!E$818</f>
        <v>Medium</v>
      </c>
      <c r="I819" s="17" t="str">
        <f>IF(TRIM(Github!D$818)="TRUE","FALSE","TRUE")</f>
        <v>TRUE</v>
      </c>
      <c r="J819" s="17"/>
      <c r="K819" s="17" t="str">
        <f>Github!L$818</f>
        <v>Hash Table;Linked List;</v>
      </c>
      <c r="L819" s="17" t="b">
        <f>Github!M$818</f>
        <v>0</v>
      </c>
      <c r="M819" s="17" t="str">
        <f>ROUND(Github!N$818, 2)&amp;"%"</f>
        <v>0%</v>
      </c>
      <c r="N819" s="17">
        <f>Github!O$818</f>
        <v>58.00852248</v>
      </c>
      <c r="O819" s="17">
        <f>Github!P$818</f>
        <v>66704</v>
      </c>
    </row>
    <row r="820">
      <c r="A820" s="17">
        <f>Github!J$819</f>
        <v>818</v>
      </c>
      <c r="B820" s="27" t="str">
        <f>HYPERLINK(CONCAT("http://leetcode.com/problems/",Github!C$819), Github!B$819)</f>
        <v>Race Car</v>
      </c>
      <c r="C820" s="17">
        <f>Github!F$819</f>
        <v>851</v>
      </c>
      <c r="D820" s="17">
        <f>Github!G$819</f>
        <v>87</v>
      </c>
      <c r="E820" s="17">
        <f>Github!F$819+Github!G$819</f>
        <v>938</v>
      </c>
      <c r="F820" s="18">
        <f t="shared" si="1"/>
        <v>9.78</v>
      </c>
      <c r="G820" s="17" t="str">
        <f>Github!H$819</f>
        <v>Algorithms</v>
      </c>
      <c r="H820" s="17" t="str">
        <f>Github!E$819</f>
        <v>Hard</v>
      </c>
      <c r="I820" s="17" t="str">
        <f>IF(TRIM(Github!D$819)="TRUE","FALSE","TRUE")</f>
        <v>TRUE</v>
      </c>
      <c r="J820" s="17"/>
      <c r="K820" s="17" t="str">
        <f>Github!L$819</f>
        <v>Dynamic Programming;</v>
      </c>
      <c r="L820" s="17" t="b">
        <f>Github!M$819</f>
        <v>0</v>
      </c>
      <c r="M820" s="17" t="str">
        <f>ROUND(Github!N$819, 2)&amp;"%"</f>
        <v>0%</v>
      </c>
      <c r="N820" s="17">
        <f>Github!O$819</f>
        <v>42.03953127</v>
      </c>
      <c r="O820" s="17">
        <f>Github!P$819</f>
        <v>32180</v>
      </c>
    </row>
    <row r="821">
      <c r="A821" s="17">
        <f>Github!J$820</f>
        <v>819</v>
      </c>
      <c r="B821" s="27" t="str">
        <f>HYPERLINK(CONCAT("http://leetcode.com/problems/",Github!C$820), Github!B$820)</f>
        <v>Most Common Word</v>
      </c>
      <c r="C821" s="17">
        <f>Github!F$820</f>
        <v>1224</v>
      </c>
      <c r="D821" s="17">
        <f>Github!G$820</f>
        <v>2498</v>
      </c>
      <c r="E821" s="17">
        <f>Github!F$820+Github!G$820</f>
        <v>3722</v>
      </c>
      <c r="F821" s="18">
        <f t="shared" si="1"/>
        <v>0.49</v>
      </c>
      <c r="G821" s="17" t="str">
        <f>Github!H$820</f>
        <v>Algorithms</v>
      </c>
      <c r="H821" s="17" t="str">
        <f>Github!E$820</f>
        <v>Easy</v>
      </c>
      <c r="I821" s="17" t="str">
        <f>IF(TRIM(Github!D$820)="TRUE","FALSE","TRUE")</f>
        <v>TRUE</v>
      </c>
      <c r="J821" s="17"/>
      <c r="K821" s="17" t="str">
        <f>Github!L$820</f>
        <v>Hash Table;String;</v>
      </c>
      <c r="L821" s="17" t="b">
        <f>Github!M$820</f>
        <v>1</v>
      </c>
      <c r="M821" s="17" t="str">
        <f>ROUND(Github!N$820, 2)&amp;"%"</f>
        <v>0%</v>
      </c>
      <c r="N821" s="17">
        <f>Github!O$820</f>
        <v>45.26272635</v>
      </c>
      <c r="O821" s="17">
        <f>Github!P$820</f>
        <v>278224</v>
      </c>
    </row>
    <row r="822">
      <c r="A822" s="17">
        <f>Github!J$821</f>
        <v>820</v>
      </c>
      <c r="B822" s="27" t="str">
        <f>HYPERLINK(CONCAT("http://leetcode.com/problems/",Github!C$821), Github!B$821)</f>
        <v>Short Encoding of Words</v>
      </c>
      <c r="C822" s="17">
        <f>Github!F$821</f>
        <v>685</v>
      </c>
      <c r="D822" s="17">
        <f>Github!G$821</f>
        <v>257</v>
      </c>
      <c r="E822" s="17">
        <f>Github!F$821+Github!G$821</f>
        <v>942</v>
      </c>
      <c r="F822" s="18">
        <f t="shared" si="1"/>
        <v>2.67</v>
      </c>
      <c r="G822" s="17" t="str">
        <f>Github!H$821</f>
        <v>Algorithms</v>
      </c>
      <c r="H822" s="17" t="str">
        <f>Github!E$821</f>
        <v>Medium</v>
      </c>
      <c r="I822" s="17" t="str">
        <f>IF(TRIM(Github!D$821)="TRUE","FALSE","TRUE")</f>
        <v>TRUE</v>
      </c>
      <c r="J822" s="17"/>
      <c r="K822" s="17" t="str">
        <f>Github!L$821</f>
        <v>Array;Hash Table;String;Trie;</v>
      </c>
      <c r="L822" s="17" t="b">
        <f>Github!M$821</f>
        <v>1</v>
      </c>
      <c r="M822" s="17" t="str">
        <f>ROUND(Github!N$821, 2)&amp;"%"</f>
        <v>0%</v>
      </c>
      <c r="N822" s="17">
        <f>Github!O$821</f>
        <v>55.142638</v>
      </c>
      <c r="O822" s="17">
        <f>Github!P$821</f>
        <v>44574</v>
      </c>
    </row>
    <row r="823">
      <c r="A823" s="17">
        <f>Github!J$822</f>
        <v>821</v>
      </c>
      <c r="B823" s="27" t="str">
        <f>HYPERLINK(CONCAT("http://leetcode.com/problems/",Github!C$822), Github!B$822)</f>
        <v>Shortest Distance to a Character</v>
      </c>
      <c r="C823" s="17">
        <f>Github!F$822</f>
        <v>2107</v>
      </c>
      <c r="D823" s="17">
        <f>Github!G$822</f>
        <v>120</v>
      </c>
      <c r="E823" s="17">
        <f>Github!F$822+Github!G$822</f>
        <v>2227</v>
      </c>
      <c r="F823" s="18">
        <f t="shared" si="1"/>
        <v>17.56</v>
      </c>
      <c r="G823" s="17" t="str">
        <f>Github!H$822</f>
        <v>Algorithms</v>
      </c>
      <c r="H823" s="17" t="str">
        <f>Github!E$822</f>
        <v>Easy</v>
      </c>
      <c r="I823" s="17" t="str">
        <f>IF(TRIM(Github!D$822)="TRUE","FALSE","TRUE")</f>
        <v>TRUE</v>
      </c>
      <c r="J823" s="17"/>
      <c r="K823" s="17" t="str">
        <f>Github!L$822</f>
        <v>Array;Two Pointers;String;</v>
      </c>
      <c r="L823" s="17" t="b">
        <f>Github!M$822</f>
        <v>1</v>
      </c>
      <c r="M823" s="17" t="str">
        <f>ROUND(Github!N$822, 2)&amp;"%"</f>
        <v>0%</v>
      </c>
      <c r="N823" s="17">
        <f>Github!O$822</f>
        <v>70.90758255</v>
      </c>
      <c r="O823" s="17">
        <f>Github!P$822</f>
        <v>128208</v>
      </c>
    </row>
    <row r="824">
      <c r="A824" s="17">
        <f>Github!J$823</f>
        <v>822</v>
      </c>
      <c r="B824" s="27" t="str">
        <f>HYPERLINK(CONCAT("http://leetcode.com/problems/",Github!C$823), Github!B$823)</f>
        <v>Card Flipping Game</v>
      </c>
      <c r="C824" s="17">
        <f>Github!F$823</f>
        <v>107</v>
      </c>
      <c r="D824" s="17">
        <f>Github!G$823</f>
        <v>619</v>
      </c>
      <c r="E824" s="17">
        <f>Github!F$823+Github!G$823</f>
        <v>726</v>
      </c>
      <c r="F824" s="18">
        <f t="shared" si="1"/>
        <v>0.17</v>
      </c>
      <c r="G824" s="17" t="str">
        <f>Github!H$823</f>
        <v>Algorithms</v>
      </c>
      <c r="H824" s="17" t="str">
        <f>Github!E$823</f>
        <v>Medium</v>
      </c>
      <c r="I824" s="17" t="str">
        <f>IF(TRIM(Github!D$823)="TRUE","FALSE","TRUE")</f>
        <v>TRUE</v>
      </c>
      <c r="J824" s="17"/>
      <c r="K824" s="17" t="str">
        <f>Github!L$823</f>
        <v>Array;Hash Table;</v>
      </c>
      <c r="L824" s="17" t="b">
        <f>Github!M$823</f>
        <v>0</v>
      </c>
      <c r="M824" s="17" t="str">
        <f>ROUND(Github!N$823, 2)&amp;"%"</f>
        <v>0%</v>
      </c>
      <c r="N824" s="17">
        <f>Github!O$823</f>
        <v>44.62144389</v>
      </c>
      <c r="O824" s="17">
        <f>Github!P$823</f>
        <v>12689</v>
      </c>
    </row>
    <row r="825">
      <c r="A825" s="17">
        <f>Github!J$824</f>
        <v>823</v>
      </c>
      <c r="B825" s="27" t="str">
        <f>HYPERLINK(CONCAT("http://leetcode.com/problems/",Github!C$824), Github!B$824)</f>
        <v>Binary Trees With Factors</v>
      </c>
      <c r="C825" s="17">
        <f>Github!F$824</f>
        <v>814</v>
      </c>
      <c r="D825" s="17">
        <f>Github!G$824</f>
        <v>101</v>
      </c>
      <c r="E825" s="17">
        <f>Github!F$824+Github!G$824</f>
        <v>915</v>
      </c>
      <c r="F825" s="18">
        <f t="shared" si="1"/>
        <v>8.06</v>
      </c>
      <c r="G825" s="17" t="str">
        <f>Github!H$824</f>
        <v>Algorithms</v>
      </c>
      <c r="H825" s="17" t="str">
        <f>Github!E$824</f>
        <v>Medium</v>
      </c>
      <c r="I825" s="17" t="str">
        <f>IF(TRIM(Github!D$824)="TRUE","FALSE","TRUE")</f>
        <v>TRUE</v>
      </c>
      <c r="J825" s="17"/>
      <c r="K825" s="17" t="str">
        <f>Github!L$824</f>
        <v>Array;Hash Table;Dynamic Programming;</v>
      </c>
      <c r="L825" s="17" t="b">
        <f>Github!M$824</f>
        <v>1</v>
      </c>
      <c r="M825" s="17" t="str">
        <f>ROUND(Github!N$824, 2)&amp;"%"</f>
        <v>0%</v>
      </c>
      <c r="N825" s="17">
        <f>Github!O$824</f>
        <v>43.65251823</v>
      </c>
      <c r="O825" s="17">
        <f>Github!P$824</f>
        <v>36159</v>
      </c>
    </row>
    <row r="826">
      <c r="A826" s="17">
        <f>Github!J$825</f>
        <v>824</v>
      </c>
      <c r="B826" s="27" t="str">
        <f>HYPERLINK(CONCAT("http://leetcode.com/problems/",Github!C$825), Github!B$825)</f>
        <v>Goat Latin</v>
      </c>
      <c r="C826" s="17">
        <f>Github!F$825</f>
        <v>662</v>
      </c>
      <c r="D826" s="17">
        <f>Github!G$825</f>
        <v>1074</v>
      </c>
      <c r="E826" s="17">
        <f>Github!F$825+Github!G$825</f>
        <v>1736</v>
      </c>
      <c r="F826" s="18">
        <f t="shared" si="1"/>
        <v>0.62</v>
      </c>
      <c r="G826" s="17" t="str">
        <f>Github!H$825</f>
        <v>Algorithms</v>
      </c>
      <c r="H826" s="17" t="str">
        <f>Github!E$825</f>
        <v>Easy</v>
      </c>
      <c r="I826" s="17" t="str">
        <f>IF(TRIM(Github!D$825)="TRUE","FALSE","TRUE")</f>
        <v>TRUE</v>
      </c>
      <c r="J826" s="17"/>
      <c r="K826" s="17" t="str">
        <f>Github!L$825</f>
        <v>String;</v>
      </c>
      <c r="L826" s="17" t="b">
        <f>Github!M$825</f>
        <v>0</v>
      </c>
      <c r="M826" s="17" t="str">
        <f>ROUND(Github!N$825, 2)&amp;"%"</f>
        <v>0%</v>
      </c>
      <c r="N826" s="17">
        <f>Github!O$825</f>
        <v>67.50730462</v>
      </c>
      <c r="O826" s="17">
        <f>Github!P$825</f>
        <v>139087</v>
      </c>
    </row>
    <row r="827">
      <c r="A827" s="17">
        <f>Github!J$826</f>
        <v>825</v>
      </c>
      <c r="B827" s="27" t="str">
        <f>HYPERLINK(CONCAT("http://leetcode.com/problems/",Github!C$826), Github!B$826)</f>
        <v>Friends Of Appropriate Ages</v>
      </c>
      <c r="C827" s="17">
        <f>Github!F$826</f>
        <v>525</v>
      </c>
      <c r="D827" s="17">
        <f>Github!G$826</f>
        <v>1010</v>
      </c>
      <c r="E827" s="17">
        <f>Github!F$826+Github!G$826</f>
        <v>1535</v>
      </c>
      <c r="F827" s="18">
        <f t="shared" si="1"/>
        <v>0.52</v>
      </c>
      <c r="G827" s="17" t="str">
        <f>Github!H$826</f>
        <v>Algorithms</v>
      </c>
      <c r="H827" s="17" t="str">
        <f>Github!E$826</f>
        <v>Medium</v>
      </c>
      <c r="I827" s="17" t="str">
        <f>IF(TRIM(Github!D$826)="TRUE","FALSE","TRUE")</f>
        <v>TRUE</v>
      </c>
      <c r="J827" s="17"/>
      <c r="K827" s="17" t="str">
        <f>Github!L$826</f>
        <v>Array;Two Pointers;Binary Search;Sorting;</v>
      </c>
      <c r="L827" s="17" t="b">
        <f>Github!M$826</f>
        <v>0</v>
      </c>
      <c r="M827" s="17" t="str">
        <f>ROUND(Github!N$826, 2)&amp;"%"</f>
        <v>0%</v>
      </c>
      <c r="N827" s="17">
        <f>Github!O$826</f>
        <v>45.71466973</v>
      </c>
      <c r="O827" s="17">
        <f>Github!P$826</f>
        <v>61220</v>
      </c>
    </row>
    <row r="828">
      <c r="A828" s="17">
        <f>Github!J$827</f>
        <v>826</v>
      </c>
      <c r="B828" s="27" t="str">
        <f>HYPERLINK(CONCAT("http://leetcode.com/problems/",Github!C$827), Github!B$827)</f>
        <v>Most Profit Assigning Work</v>
      </c>
      <c r="C828" s="17">
        <f>Github!F$827</f>
        <v>791</v>
      </c>
      <c r="D828" s="17">
        <f>Github!G$827</f>
        <v>96</v>
      </c>
      <c r="E828" s="17">
        <f>Github!F$827+Github!G$827</f>
        <v>887</v>
      </c>
      <c r="F828" s="18">
        <f t="shared" si="1"/>
        <v>8.24</v>
      </c>
      <c r="G828" s="17" t="str">
        <f>Github!H$827</f>
        <v>Algorithms</v>
      </c>
      <c r="H828" s="17" t="str">
        <f>Github!E$827</f>
        <v>Medium</v>
      </c>
      <c r="I828" s="17" t="str">
        <f>IF(TRIM(Github!D$827)="TRUE","FALSE","TRUE")</f>
        <v>TRUE</v>
      </c>
      <c r="J828" s="17"/>
      <c r="K828" s="17" t="str">
        <f>Github!L$827</f>
        <v>Array;Two Pointers;Binary Search;Greedy;Sorting;</v>
      </c>
      <c r="L828" s="17" t="b">
        <f>Github!M$827</f>
        <v>1</v>
      </c>
      <c r="M828" s="17" t="str">
        <f>ROUND(Github!N$827, 2)&amp;"%"</f>
        <v>0%</v>
      </c>
      <c r="N828" s="17">
        <f>Github!O$827</f>
        <v>41.25492574</v>
      </c>
      <c r="O828" s="17">
        <f>Github!P$827</f>
        <v>34025</v>
      </c>
    </row>
    <row r="829">
      <c r="A829" s="17">
        <f>Github!J$828</f>
        <v>827</v>
      </c>
      <c r="B829" s="27" t="str">
        <f>HYPERLINK(CONCAT("http://leetcode.com/problems/",Github!C$828), Github!B$828)</f>
        <v>Making A Large Island</v>
      </c>
      <c r="C829" s="17">
        <f>Github!F$828</f>
        <v>2131</v>
      </c>
      <c r="D829" s="17">
        <f>Github!G$828</f>
        <v>47</v>
      </c>
      <c r="E829" s="17">
        <f>Github!F$828+Github!G$828</f>
        <v>2178</v>
      </c>
      <c r="F829" s="18">
        <f t="shared" si="1"/>
        <v>45.34</v>
      </c>
      <c r="G829" s="17" t="str">
        <f>Github!H$828</f>
        <v>Algorithms</v>
      </c>
      <c r="H829" s="17" t="str">
        <f>Github!E$828</f>
        <v>Hard</v>
      </c>
      <c r="I829" s="17" t="str">
        <f>IF(TRIM(Github!D$828)="TRUE","FALSE","TRUE")</f>
        <v>TRUE</v>
      </c>
      <c r="J829" s="17"/>
      <c r="K829" s="17" t="str">
        <f>Github!L$828</f>
        <v>Array;Depth-First Search;Breadth-First Search;Union Find;Matrix;</v>
      </c>
      <c r="L829" s="17" t="b">
        <f>Github!M$828</f>
        <v>1</v>
      </c>
      <c r="M829" s="17" t="str">
        <f>ROUND(Github!N$828, 2)&amp;"%"</f>
        <v>0%</v>
      </c>
      <c r="N829" s="17">
        <f>Github!O$828</f>
        <v>44.69020814</v>
      </c>
      <c r="O829" s="17">
        <f>Github!P$828</f>
        <v>99989</v>
      </c>
    </row>
    <row r="830">
      <c r="A830" s="17">
        <f>Github!J$829</f>
        <v>828</v>
      </c>
      <c r="B830" s="27" t="str">
        <f>HYPERLINK(CONCAT("http://leetcode.com/problems/",Github!C$829), Github!B$829)</f>
        <v>Count Unique Characters of All Substrings of a Given String</v>
      </c>
      <c r="C830" s="17">
        <f>Github!F$829</f>
        <v>1147</v>
      </c>
      <c r="D830" s="17">
        <f>Github!G$829</f>
        <v>147</v>
      </c>
      <c r="E830" s="17">
        <f>Github!F$829+Github!G$829</f>
        <v>1294</v>
      </c>
      <c r="F830" s="18">
        <f t="shared" si="1"/>
        <v>7.8</v>
      </c>
      <c r="G830" s="17" t="str">
        <f>Github!H$829</f>
        <v>Algorithms</v>
      </c>
      <c r="H830" s="17" t="str">
        <f>Github!E$829</f>
        <v>Hard</v>
      </c>
      <c r="I830" s="17" t="str">
        <f>IF(TRIM(Github!D$829)="TRUE","FALSE","TRUE")</f>
        <v>TRUE</v>
      </c>
      <c r="J830" s="17"/>
      <c r="K830" s="17" t="str">
        <f>Github!L$829</f>
        <v>String;Dynamic Programming;</v>
      </c>
      <c r="L830" s="17" t="b">
        <f>Github!M$829</f>
        <v>0</v>
      </c>
      <c r="M830" s="17" t="str">
        <f>ROUND(Github!N$829, 2)&amp;"%"</f>
        <v>0%</v>
      </c>
      <c r="N830" s="17">
        <f>Github!O$829</f>
        <v>49.34299363</v>
      </c>
      <c r="O830" s="17">
        <f>Github!P$829</f>
        <v>33979</v>
      </c>
    </row>
    <row r="831">
      <c r="A831" s="17">
        <f>Github!J$830</f>
        <v>829</v>
      </c>
      <c r="B831" s="27" t="str">
        <f>HYPERLINK(CONCAT("http://leetcode.com/problems/",Github!C$830), Github!B$830)</f>
        <v>Consecutive Numbers Sum</v>
      </c>
      <c r="C831" s="17">
        <f>Github!F$830</f>
        <v>972</v>
      </c>
      <c r="D831" s="17">
        <f>Github!G$830</f>
        <v>1171</v>
      </c>
      <c r="E831" s="17">
        <f>Github!F$830+Github!G$830</f>
        <v>2143</v>
      </c>
      <c r="F831" s="18">
        <f t="shared" si="1"/>
        <v>0.83</v>
      </c>
      <c r="G831" s="17" t="str">
        <f>Github!H$830</f>
        <v>Algorithms</v>
      </c>
      <c r="H831" s="17" t="str">
        <f>Github!E$830</f>
        <v>Hard</v>
      </c>
      <c r="I831" s="17" t="str">
        <f>IF(TRIM(Github!D$830)="TRUE","FALSE","TRUE")</f>
        <v>TRUE</v>
      </c>
      <c r="J831" s="17"/>
      <c r="K831" s="17" t="str">
        <f>Github!L$830</f>
        <v>Math;Enumeration;</v>
      </c>
      <c r="L831" s="17" t="b">
        <f>Github!M$830</f>
        <v>1</v>
      </c>
      <c r="M831" s="17" t="str">
        <f>ROUND(Github!N$830, 2)&amp;"%"</f>
        <v>0%</v>
      </c>
      <c r="N831" s="17">
        <f>Github!O$830</f>
        <v>40.8930008</v>
      </c>
      <c r="O831" s="17">
        <f>Github!P$830</f>
        <v>66079</v>
      </c>
    </row>
    <row r="832">
      <c r="A832" s="17">
        <f>Github!J$831</f>
        <v>830</v>
      </c>
      <c r="B832" s="27" t="str">
        <f>HYPERLINK(CONCAT("http://leetcode.com/problems/",Github!C$831), Github!B$831)</f>
        <v>Positions of Large Groups</v>
      </c>
      <c r="C832" s="17">
        <f>Github!F$831</f>
        <v>606</v>
      </c>
      <c r="D832" s="17">
        <f>Github!G$831</f>
        <v>111</v>
      </c>
      <c r="E832" s="17">
        <f>Github!F$831+Github!G$831</f>
        <v>717</v>
      </c>
      <c r="F832" s="18">
        <f t="shared" si="1"/>
        <v>5.46</v>
      </c>
      <c r="G832" s="17" t="str">
        <f>Github!H$831</f>
        <v>Algorithms</v>
      </c>
      <c r="H832" s="17" t="str">
        <f>Github!E$831</f>
        <v>Easy</v>
      </c>
      <c r="I832" s="17" t="str">
        <f>IF(TRIM(Github!D$831)="TRUE","FALSE","TRUE")</f>
        <v>TRUE</v>
      </c>
      <c r="J832" s="17"/>
      <c r="K832" s="17" t="str">
        <f>Github!L$831</f>
        <v>String;</v>
      </c>
      <c r="L832" s="17" t="b">
        <f>Github!M$831</f>
        <v>1</v>
      </c>
      <c r="M832" s="17" t="str">
        <f>ROUND(Github!N$831, 2)&amp;"%"</f>
        <v>0%</v>
      </c>
      <c r="N832" s="17">
        <f>Github!O$831</f>
        <v>51.31360578</v>
      </c>
      <c r="O832" s="17">
        <f>Github!P$831</f>
        <v>69258</v>
      </c>
    </row>
    <row r="833">
      <c r="A833" s="17">
        <f>Github!J$832</f>
        <v>831</v>
      </c>
      <c r="B833" s="27" t="str">
        <f>HYPERLINK(CONCAT("http://leetcode.com/problems/",Github!C$832), Github!B$832)</f>
        <v>Masking Personal Information</v>
      </c>
      <c r="C833" s="17">
        <f>Github!F$832</f>
        <v>115</v>
      </c>
      <c r="D833" s="17">
        <f>Github!G$832</f>
        <v>396</v>
      </c>
      <c r="E833" s="17">
        <f>Github!F$832+Github!G$832</f>
        <v>511</v>
      </c>
      <c r="F833" s="18">
        <f t="shared" si="1"/>
        <v>0.29</v>
      </c>
      <c r="G833" s="17" t="str">
        <f>Github!H$832</f>
        <v>Algorithms</v>
      </c>
      <c r="H833" s="17" t="str">
        <f>Github!E$832</f>
        <v>Medium</v>
      </c>
      <c r="I833" s="17" t="str">
        <f>IF(TRIM(Github!D$832)="TRUE","FALSE","TRUE")</f>
        <v>TRUE</v>
      </c>
      <c r="J833" s="17"/>
      <c r="K833" s="17" t="str">
        <f>Github!L$832</f>
        <v>String;</v>
      </c>
      <c r="L833" s="17" t="b">
        <f>Github!M$832</f>
        <v>0</v>
      </c>
      <c r="M833" s="17" t="str">
        <f>ROUND(Github!N$832, 2)&amp;"%"</f>
        <v>0%</v>
      </c>
      <c r="N833" s="17">
        <f>Github!O$832</f>
        <v>45.85236914</v>
      </c>
      <c r="O833" s="17">
        <f>Github!P$832</f>
        <v>14051</v>
      </c>
    </row>
    <row r="834">
      <c r="A834" s="17">
        <f>Github!J$833</f>
        <v>832</v>
      </c>
      <c r="B834" s="27" t="str">
        <f>HYPERLINK(CONCAT("http://leetcode.com/problems/",Github!C$833), Github!B$833)</f>
        <v>Flipping an Image</v>
      </c>
      <c r="C834" s="17">
        <f>Github!F$833</f>
        <v>1982</v>
      </c>
      <c r="D834" s="17">
        <f>Github!G$833</f>
        <v>198</v>
      </c>
      <c r="E834" s="17">
        <f>Github!F$833+Github!G$833</f>
        <v>2180</v>
      </c>
      <c r="F834" s="18">
        <f t="shared" si="1"/>
        <v>10.01</v>
      </c>
      <c r="G834" s="17" t="str">
        <f>Github!H$833</f>
        <v>Algorithms</v>
      </c>
      <c r="H834" s="17" t="str">
        <f>Github!E$833</f>
        <v>Easy</v>
      </c>
      <c r="I834" s="17" t="str">
        <f>IF(TRIM(Github!D$833)="TRUE","FALSE","TRUE")</f>
        <v>TRUE</v>
      </c>
      <c r="J834" s="17"/>
      <c r="K834" s="17" t="str">
        <f>Github!L$833</f>
        <v>Array;Two Pointers;Matrix;Simulation;</v>
      </c>
      <c r="L834" s="17" t="b">
        <f>Github!M$833</f>
        <v>1</v>
      </c>
      <c r="M834" s="17" t="str">
        <f>ROUND(Github!N$833, 2)&amp;"%"</f>
        <v>0%</v>
      </c>
      <c r="N834" s="17">
        <f>Github!O$833</f>
        <v>79.52438589</v>
      </c>
      <c r="O834" s="17">
        <f>Github!P$833</f>
        <v>285147</v>
      </c>
    </row>
    <row r="835">
      <c r="A835" s="17">
        <f>Github!J$834</f>
        <v>833</v>
      </c>
      <c r="B835" s="27" t="str">
        <f>HYPERLINK(CONCAT("http://leetcode.com/problems/",Github!C$834), Github!B$834)</f>
        <v>Find And Replace in String</v>
      </c>
      <c r="C835" s="17">
        <f>Github!F$834</f>
        <v>770</v>
      </c>
      <c r="D835" s="17">
        <f>Github!G$834</f>
        <v>747</v>
      </c>
      <c r="E835" s="17">
        <f>Github!F$834+Github!G$834</f>
        <v>1517</v>
      </c>
      <c r="F835" s="18">
        <f t="shared" si="1"/>
        <v>1.03</v>
      </c>
      <c r="G835" s="17" t="str">
        <f>Github!H$834</f>
        <v>Algorithms</v>
      </c>
      <c r="H835" s="17" t="str">
        <f>Github!E$834</f>
        <v>Medium</v>
      </c>
      <c r="I835" s="17" t="str">
        <f>IF(TRIM(Github!D$834)="TRUE","FALSE","TRUE")</f>
        <v>TRUE</v>
      </c>
      <c r="J835" s="17"/>
      <c r="K835" s="17" t="str">
        <f>Github!L$834</f>
        <v>Array;String;Sorting;</v>
      </c>
      <c r="L835" s="17" t="b">
        <f>Github!M$834</f>
        <v>0</v>
      </c>
      <c r="M835" s="17" t="str">
        <f>ROUND(Github!N$834, 2)&amp;"%"</f>
        <v>0%</v>
      </c>
      <c r="N835" s="17">
        <f>Github!O$834</f>
        <v>54.303425</v>
      </c>
      <c r="O835" s="17">
        <f>Github!P$834</f>
        <v>100391</v>
      </c>
    </row>
    <row r="836">
      <c r="A836" s="17">
        <f>Github!J$835</f>
        <v>834</v>
      </c>
      <c r="B836" s="27" t="str">
        <f>HYPERLINK(CONCAT("http://leetcode.com/problems/",Github!C$835), Github!B$835)</f>
        <v>Sum of Distances in Tree</v>
      </c>
      <c r="C836" s="17">
        <f>Github!F$835</f>
        <v>2413</v>
      </c>
      <c r="D836" s="17">
        <f>Github!G$835</f>
        <v>57</v>
      </c>
      <c r="E836" s="17">
        <f>Github!F$835+Github!G$835</f>
        <v>2470</v>
      </c>
      <c r="F836" s="18">
        <f t="shared" si="1"/>
        <v>42.33</v>
      </c>
      <c r="G836" s="17" t="str">
        <f>Github!H$835</f>
        <v>Algorithms</v>
      </c>
      <c r="H836" s="17" t="str">
        <f>Github!E$835</f>
        <v>Hard</v>
      </c>
      <c r="I836" s="17" t="str">
        <f>IF(TRIM(Github!D$835)="TRUE","FALSE","TRUE")</f>
        <v>TRUE</v>
      </c>
      <c r="J836" s="17"/>
      <c r="K836" s="17" t="str">
        <f>Github!L$835</f>
        <v>Dynamic Programming;Tree;Depth-First Search;Graph;</v>
      </c>
      <c r="L836" s="17" t="b">
        <f>Github!M$835</f>
        <v>1</v>
      </c>
      <c r="M836" s="17" t="str">
        <f>ROUND(Github!N$835, 2)&amp;"%"</f>
        <v>0%</v>
      </c>
      <c r="N836" s="17">
        <f>Github!O$835</f>
        <v>52.7500231</v>
      </c>
      <c r="O836" s="17">
        <f>Github!P$835</f>
        <v>39965</v>
      </c>
    </row>
    <row r="837">
      <c r="A837" s="17">
        <f>Github!J$836</f>
        <v>835</v>
      </c>
      <c r="B837" s="27" t="str">
        <f>HYPERLINK(CONCAT("http://leetcode.com/problems/",Github!C$836), Github!B$836)</f>
        <v>Image Overlap</v>
      </c>
      <c r="C837" s="17">
        <f>Github!F$836</f>
        <v>90</v>
      </c>
      <c r="D837" s="17">
        <f>Github!G$836</f>
        <v>25</v>
      </c>
      <c r="E837" s="17">
        <f>Github!F$836+Github!G$836</f>
        <v>115</v>
      </c>
      <c r="F837" s="18">
        <f t="shared" si="1"/>
        <v>3.6</v>
      </c>
      <c r="G837" s="17" t="str">
        <f>Github!H$836</f>
        <v>Algorithms</v>
      </c>
      <c r="H837" s="17" t="str">
        <f>Github!E$836</f>
        <v>Medium</v>
      </c>
      <c r="I837" s="17" t="str">
        <f>IF(TRIM(Github!D$836)="TRUE","FALSE","TRUE")</f>
        <v>TRUE</v>
      </c>
      <c r="J837" s="17"/>
      <c r="K837" s="17" t="str">
        <f>Github!L$836</f>
        <v>Array;Matrix;</v>
      </c>
      <c r="L837" s="17" t="b">
        <f>Github!M$836</f>
        <v>1</v>
      </c>
      <c r="M837" s="17" t="str">
        <f>ROUND(Github!N$836, 2)&amp;"%"</f>
        <v>0%</v>
      </c>
      <c r="N837" s="17">
        <f>Github!O$836</f>
        <v>61.28046391</v>
      </c>
      <c r="O837" s="17">
        <f>Github!P$836</f>
        <v>46920</v>
      </c>
    </row>
    <row r="838">
      <c r="A838" s="17">
        <f>Github!J$837</f>
        <v>836</v>
      </c>
      <c r="B838" s="27" t="str">
        <f>HYPERLINK(CONCAT("http://leetcode.com/problems/",Github!C$837), Github!B$837)</f>
        <v>Rectangle Overlap</v>
      </c>
      <c r="C838" s="17">
        <f>Github!F$837</f>
        <v>1355</v>
      </c>
      <c r="D838" s="17">
        <f>Github!G$837</f>
        <v>375</v>
      </c>
      <c r="E838" s="17">
        <f>Github!F$837+Github!G$837</f>
        <v>1730</v>
      </c>
      <c r="F838" s="18">
        <f t="shared" si="1"/>
        <v>3.61</v>
      </c>
      <c r="G838" s="17" t="str">
        <f>Github!H$837</f>
        <v>Algorithms</v>
      </c>
      <c r="H838" s="17" t="str">
        <f>Github!E$837</f>
        <v>Easy</v>
      </c>
      <c r="I838" s="17" t="str">
        <f>IF(TRIM(Github!D$837)="TRUE","FALSE","TRUE")</f>
        <v>TRUE</v>
      </c>
      <c r="J838" s="17"/>
      <c r="K838" s="17" t="str">
        <f>Github!L$837</f>
        <v>Math;Geometry;</v>
      </c>
      <c r="L838" s="17" t="b">
        <f>Github!M$837</f>
        <v>1</v>
      </c>
      <c r="M838" s="17" t="str">
        <f>ROUND(Github!N$837, 2)&amp;"%"</f>
        <v>0%</v>
      </c>
      <c r="N838" s="17">
        <f>Github!O$837</f>
        <v>43.15001541</v>
      </c>
      <c r="O838" s="17">
        <f>Github!P$837</f>
        <v>97998</v>
      </c>
    </row>
    <row r="839">
      <c r="A839" s="17">
        <f>Github!J$838</f>
        <v>837</v>
      </c>
      <c r="B839" s="27" t="str">
        <f>HYPERLINK(CONCAT("http://leetcode.com/problems/",Github!C$838), Github!B$838)</f>
        <v>New 21 Game</v>
      </c>
      <c r="C839" s="17">
        <f>Github!F$838</f>
        <v>926</v>
      </c>
      <c r="D839" s="17">
        <f>Github!G$838</f>
        <v>613</v>
      </c>
      <c r="E839" s="17">
        <f>Github!F$838+Github!G$838</f>
        <v>1539</v>
      </c>
      <c r="F839" s="18">
        <f t="shared" si="1"/>
        <v>1.51</v>
      </c>
      <c r="G839" s="17" t="str">
        <f>Github!H$838</f>
        <v>Algorithms</v>
      </c>
      <c r="H839" s="17" t="str">
        <f>Github!E$838</f>
        <v>Medium</v>
      </c>
      <c r="I839" s="17" t="str">
        <f>IF(TRIM(Github!D$838)="TRUE","FALSE","TRUE")</f>
        <v>TRUE</v>
      </c>
      <c r="J839" s="17"/>
      <c r="K839" s="17" t="str">
        <f>Github!L$838</f>
        <v>Math;Dynamic Programming;Sliding Window;Probability and Statistics;</v>
      </c>
      <c r="L839" s="17" t="b">
        <f>Github!M$838</f>
        <v>0</v>
      </c>
      <c r="M839" s="17" t="str">
        <f>ROUND(Github!N$838, 2)&amp;"%"</f>
        <v>0%</v>
      </c>
      <c r="N839" s="17">
        <f>Github!O$838</f>
        <v>36.02918569</v>
      </c>
      <c r="O839" s="17">
        <f>Github!P$838</f>
        <v>30467</v>
      </c>
    </row>
    <row r="840">
      <c r="A840" s="17">
        <f>Github!J$839</f>
        <v>838</v>
      </c>
      <c r="B840" s="27" t="str">
        <f>HYPERLINK(CONCAT("http://leetcode.com/problems/",Github!C$839), Github!B$839)</f>
        <v>Push Dominoes</v>
      </c>
      <c r="C840" s="17">
        <f>Github!F$839</f>
        <v>1572</v>
      </c>
      <c r="D840" s="17">
        <f>Github!G$839</f>
        <v>105</v>
      </c>
      <c r="E840" s="17">
        <f>Github!F$839+Github!G$839</f>
        <v>1677</v>
      </c>
      <c r="F840" s="18">
        <f t="shared" si="1"/>
        <v>14.97</v>
      </c>
      <c r="G840" s="17" t="str">
        <f>Github!H$839</f>
        <v>Algorithms</v>
      </c>
      <c r="H840" s="17" t="str">
        <f>Github!E$839</f>
        <v>Medium</v>
      </c>
      <c r="I840" s="17" t="str">
        <f>IF(TRIM(Github!D$839)="TRUE","FALSE","TRUE")</f>
        <v>TRUE</v>
      </c>
      <c r="J840" s="17"/>
      <c r="K840" s="17" t="str">
        <f>Github!L$839</f>
        <v>Two Pointers;String;Dynamic Programming;</v>
      </c>
      <c r="L840" s="17" t="b">
        <f>Github!M$839</f>
        <v>1</v>
      </c>
      <c r="M840" s="17" t="str">
        <f>ROUND(Github!N$839, 2)&amp;"%"</f>
        <v>0%</v>
      </c>
      <c r="N840" s="17">
        <f>Github!O$839</f>
        <v>52.19848662</v>
      </c>
      <c r="O840" s="17">
        <f>Github!P$839</f>
        <v>56152</v>
      </c>
    </row>
    <row r="841">
      <c r="A841" s="17">
        <f>Github!J$840</f>
        <v>839</v>
      </c>
      <c r="B841" s="27" t="str">
        <f>HYPERLINK(CONCAT("http://leetcode.com/problems/",Github!C$840), Github!B$840)</f>
        <v>Similar String Groups</v>
      </c>
      <c r="C841" s="17">
        <f>Github!F$840</f>
        <v>748</v>
      </c>
      <c r="D841" s="17">
        <f>Github!G$840</f>
        <v>165</v>
      </c>
      <c r="E841" s="17">
        <f>Github!F$840+Github!G$840</f>
        <v>913</v>
      </c>
      <c r="F841" s="18">
        <f t="shared" si="1"/>
        <v>4.53</v>
      </c>
      <c r="G841" s="17" t="str">
        <f>Github!H$840</f>
        <v>Algorithms</v>
      </c>
      <c r="H841" s="17" t="str">
        <f>Github!E$840</f>
        <v>Hard</v>
      </c>
      <c r="I841" s="17" t="str">
        <f>IF(TRIM(Github!D$840)="TRUE","FALSE","TRUE")</f>
        <v>TRUE</v>
      </c>
      <c r="J841" s="17"/>
      <c r="K841" s="17" t="str">
        <f>Github!L$840</f>
        <v>String;Depth-First Search;Breadth-First Search;Union Find;</v>
      </c>
      <c r="L841" s="17" t="b">
        <f>Github!M$840</f>
        <v>0</v>
      </c>
      <c r="M841" s="17" t="str">
        <f>ROUND(Github!N$840, 2)&amp;"%"</f>
        <v>0%</v>
      </c>
      <c r="N841" s="17">
        <f>Github!O$840</f>
        <v>45.04638941</v>
      </c>
      <c r="O841" s="17">
        <f>Github!P$840</f>
        <v>48601</v>
      </c>
    </row>
    <row r="842">
      <c r="A842" s="17">
        <f>Github!J$841</f>
        <v>840</v>
      </c>
      <c r="B842" s="27" t="str">
        <f>HYPERLINK(CONCAT("http://leetcode.com/problems/",Github!C$841), Github!B$841)</f>
        <v>Magic Squares In Grid</v>
      </c>
      <c r="C842" s="17">
        <f>Github!F$841</f>
        <v>242</v>
      </c>
      <c r="D842" s="17">
        <f>Github!G$841</f>
        <v>1439</v>
      </c>
      <c r="E842" s="17">
        <f>Github!F$841+Github!G$841</f>
        <v>1681</v>
      </c>
      <c r="F842" s="18">
        <f t="shared" si="1"/>
        <v>0.17</v>
      </c>
      <c r="G842" s="17" t="str">
        <f>Github!H$841</f>
        <v>Algorithms</v>
      </c>
      <c r="H842" s="17" t="str">
        <f>Github!E$841</f>
        <v>Medium</v>
      </c>
      <c r="I842" s="17" t="str">
        <f>IF(TRIM(Github!D$841)="TRUE","FALSE","TRUE")</f>
        <v>TRUE</v>
      </c>
      <c r="J842" s="17"/>
      <c r="K842" s="17" t="str">
        <f>Github!L$841</f>
        <v>Array;Math;Matrix;</v>
      </c>
      <c r="L842" s="17" t="b">
        <f>Github!M$841</f>
        <v>0</v>
      </c>
      <c r="M842" s="17" t="str">
        <f>ROUND(Github!N$841, 2)&amp;"%"</f>
        <v>0%</v>
      </c>
      <c r="N842" s="17">
        <f>Github!O$841</f>
        <v>38.31963492</v>
      </c>
      <c r="O842" s="17">
        <f>Github!P$841</f>
        <v>31657</v>
      </c>
    </row>
    <row r="843">
      <c r="A843" s="17">
        <f>Github!J$842</f>
        <v>841</v>
      </c>
      <c r="B843" s="27" t="str">
        <f>HYPERLINK(CONCAT("http://leetcode.com/problems/",Github!C$842), Github!B$842)</f>
        <v>Keys and Rooms</v>
      </c>
      <c r="C843" s="17">
        <f>Github!F$842</f>
        <v>2817</v>
      </c>
      <c r="D843" s="17">
        <f>Github!G$842</f>
        <v>165</v>
      </c>
      <c r="E843" s="17">
        <f>Github!F$842+Github!G$842</f>
        <v>2982</v>
      </c>
      <c r="F843" s="18">
        <f t="shared" si="1"/>
        <v>17.07</v>
      </c>
      <c r="G843" s="17" t="str">
        <f>Github!H$842</f>
        <v>Algorithms</v>
      </c>
      <c r="H843" s="17" t="str">
        <f>Github!E$842</f>
        <v>Medium</v>
      </c>
      <c r="I843" s="17" t="str">
        <f>IF(TRIM(Github!D$842)="TRUE","FALSE","TRUE")</f>
        <v>TRUE</v>
      </c>
      <c r="J843" s="17"/>
      <c r="K843" s="17" t="str">
        <f>Github!L$842</f>
        <v>Depth-First Search;Breadth-First Search;Graph;</v>
      </c>
      <c r="L843" s="17" t="b">
        <f>Github!M$842</f>
        <v>1</v>
      </c>
      <c r="M843" s="17" t="str">
        <f>ROUND(Github!N$842, 2)&amp;"%"</f>
        <v>0%</v>
      </c>
      <c r="N843" s="17">
        <f>Github!O$842</f>
        <v>68.53292902</v>
      </c>
      <c r="O843" s="17">
        <f>Github!P$842</f>
        <v>180806</v>
      </c>
    </row>
    <row r="844">
      <c r="A844" s="17">
        <f>Github!J$843</f>
        <v>842</v>
      </c>
      <c r="B844" s="27" t="str">
        <f>HYPERLINK(CONCAT("http://leetcode.com/problems/",Github!C$843), Github!B$843)</f>
        <v>Split Array into Fibonacci Sequence</v>
      </c>
      <c r="C844" s="17">
        <f>Github!F$843</f>
        <v>808</v>
      </c>
      <c r="D844" s="17">
        <f>Github!G$843</f>
        <v>246</v>
      </c>
      <c r="E844" s="17">
        <f>Github!F$843+Github!G$843</f>
        <v>1054</v>
      </c>
      <c r="F844" s="18">
        <f t="shared" si="1"/>
        <v>3.28</v>
      </c>
      <c r="G844" s="17" t="str">
        <f>Github!H$843</f>
        <v>Algorithms</v>
      </c>
      <c r="H844" s="17" t="str">
        <f>Github!E$843</f>
        <v>Medium</v>
      </c>
      <c r="I844" s="17" t="str">
        <f>IF(TRIM(Github!D$843)="TRUE","FALSE","TRUE")</f>
        <v>TRUE</v>
      </c>
      <c r="J844" s="17"/>
      <c r="K844" s="17" t="str">
        <f>Github!L$843</f>
        <v>String;Backtracking;</v>
      </c>
      <c r="L844" s="17" t="b">
        <f>Github!M$843</f>
        <v>1</v>
      </c>
      <c r="M844" s="17" t="str">
        <f>ROUND(Github!N$843, 2)&amp;"%"</f>
        <v>0%</v>
      </c>
      <c r="N844" s="17">
        <f>Github!O$843</f>
        <v>37.68033768</v>
      </c>
      <c r="O844" s="17">
        <f>Github!P$843</f>
        <v>29904</v>
      </c>
    </row>
    <row r="845">
      <c r="A845" s="17">
        <f>Github!J$844</f>
        <v>843</v>
      </c>
      <c r="B845" s="27" t="str">
        <f>HYPERLINK(CONCAT("http://leetcode.com/problems/",Github!C$844), Github!B$844)</f>
        <v>Guess the Word</v>
      </c>
      <c r="C845" s="17">
        <f>Github!F$844</f>
        <v>1166</v>
      </c>
      <c r="D845" s="17">
        <f>Github!G$844</f>
        <v>1291</v>
      </c>
      <c r="E845" s="17">
        <f>Github!F$844+Github!G$844</f>
        <v>2457</v>
      </c>
      <c r="F845" s="18">
        <f t="shared" si="1"/>
        <v>0.9</v>
      </c>
      <c r="G845" s="17" t="str">
        <f>Github!H$844</f>
        <v>Algorithms</v>
      </c>
      <c r="H845" s="17" t="str">
        <f>Github!E$844</f>
        <v>Hard</v>
      </c>
      <c r="I845" s="17" t="str">
        <f>IF(TRIM(Github!D$844)="TRUE","FALSE","TRUE")</f>
        <v>TRUE</v>
      </c>
      <c r="J845" s="17"/>
      <c r="K845" s="17" t="str">
        <f>Github!L$844</f>
        <v>Array;Math;String;Interactive;Game Theory;</v>
      </c>
      <c r="L845" s="17" t="b">
        <f>Github!M$844</f>
        <v>0</v>
      </c>
      <c r="M845" s="17" t="str">
        <f>ROUND(Github!N$844, 2)&amp;"%"</f>
        <v>0%</v>
      </c>
      <c r="N845" s="17">
        <f>Github!O$844</f>
        <v>43.20261668</v>
      </c>
      <c r="O845" s="17">
        <f>Github!P$844</f>
        <v>110422</v>
      </c>
    </row>
    <row r="846">
      <c r="A846" s="17">
        <f>Github!J$845</f>
        <v>844</v>
      </c>
      <c r="B846" s="27" t="str">
        <f>HYPERLINK(CONCAT("http://leetcode.com/problems/",Github!C$845), Github!B$845)</f>
        <v>Backspace String Compare</v>
      </c>
      <c r="C846" s="17">
        <f>Github!F$845</f>
        <v>3662</v>
      </c>
      <c r="D846" s="17">
        <f>Github!G$845</f>
        <v>172</v>
      </c>
      <c r="E846" s="17">
        <f>Github!F$845+Github!G$845</f>
        <v>3834</v>
      </c>
      <c r="F846" s="18">
        <f t="shared" si="1"/>
        <v>21.29</v>
      </c>
      <c r="G846" s="17" t="str">
        <f>Github!H$845</f>
        <v>Algorithms</v>
      </c>
      <c r="H846" s="17" t="str">
        <f>Github!E$845</f>
        <v>Easy</v>
      </c>
      <c r="I846" s="17" t="str">
        <f>IF(TRIM(Github!D$845)="TRUE","FALSE","TRUE")</f>
        <v>TRUE</v>
      </c>
      <c r="J846" s="17"/>
      <c r="K846" s="17" t="str">
        <f>Github!L$845</f>
        <v>Two Pointers;String;Stack;Simulation;</v>
      </c>
      <c r="L846" s="17" t="b">
        <f>Github!M$845</f>
        <v>1</v>
      </c>
      <c r="M846" s="17" t="str">
        <f>ROUND(Github!N$845, 2)&amp;"%"</f>
        <v>0%</v>
      </c>
      <c r="N846" s="17">
        <f>Github!O$845</f>
        <v>47.34161899</v>
      </c>
      <c r="O846" s="17">
        <f>Github!P$845</f>
        <v>392028</v>
      </c>
    </row>
    <row r="847">
      <c r="A847" s="17">
        <f>Github!J$846</f>
        <v>845</v>
      </c>
      <c r="B847" s="27" t="str">
        <f>HYPERLINK(CONCAT("http://leetcode.com/problems/",Github!C$846), Github!B$846)</f>
        <v>Longest Mountain in Array</v>
      </c>
      <c r="C847" s="17">
        <f>Github!F$846</f>
        <v>1790</v>
      </c>
      <c r="D847" s="17">
        <f>Github!G$846</f>
        <v>55</v>
      </c>
      <c r="E847" s="17">
        <f>Github!F$846+Github!G$846</f>
        <v>1845</v>
      </c>
      <c r="F847" s="18">
        <f t="shared" si="1"/>
        <v>32.55</v>
      </c>
      <c r="G847" s="17" t="str">
        <f>Github!H$846</f>
        <v>Algorithms</v>
      </c>
      <c r="H847" s="17" t="str">
        <f>Github!E$846</f>
        <v>Medium</v>
      </c>
      <c r="I847" s="17" t="str">
        <f>IF(TRIM(Github!D$846)="TRUE","FALSE","TRUE")</f>
        <v>TRUE</v>
      </c>
      <c r="J847" s="17"/>
      <c r="K847" s="17" t="str">
        <f>Github!L$846</f>
        <v>Array;Two Pointers;Dynamic Programming;Enumeration;</v>
      </c>
      <c r="L847" s="17" t="b">
        <f>Github!M$846</f>
        <v>1</v>
      </c>
      <c r="M847" s="17" t="str">
        <f>ROUND(Github!N$846, 2)&amp;"%"</f>
        <v>0%</v>
      </c>
      <c r="N847" s="17">
        <f>Github!O$846</f>
        <v>39.71374028</v>
      </c>
      <c r="O847" s="17">
        <f>Github!P$846</f>
        <v>86958</v>
      </c>
    </row>
    <row r="848">
      <c r="A848" s="17">
        <f>Github!J$847</f>
        <v>846</v>
      </c>
      <c r="B848" s="27" t="str">
        <f>HYPERLINK(CONCAT("http://leetcode.com/problems/",Github!C$847), Github!B$847)</f>
        <v>Hand of Straights</v>
      </c>
      <c r="C848" s="17">
        <f>Github!F$847</f>
        <v>1281</v>
      </c>
      <c r="D848" s="17">
        <f>Github!G$847</f>
        <v>107</v>
      </c>
      <c r="E848" s="17">
        <f>Github!F$847+Github!G$847</f>
        <v>1388</v>
      </c>
      <c r="F848" s="18">
        <f t="shared" si="1"/>
        <v>11.97</v>
      </c>
      <c r="G848" s="17" t="str">
        <f>Github!H$847</f>
        <v>Algorithms</v>
      </c>
      <c r="H848" s="17" t="str">
        <f>Github!E$847</f>
        <v>Medium</v>
      </c>
      <c r="I848" s="17" t="str">
        <f>IF(TRIM(Github!D$847)="TRUE","FALSE","TRUE")</f>
        <v>TRUE</v>
      </c>
      <c r="J848" s="17"/>
      <c r="K848" s="17" t="str">
        <f>Github!L$847</f>
        <v>Array;Hash Table;Greedy;Sorting;</v>
      </c>
      <c r="L848" s="17" t="b">
        <f>Github!M$847</f>
        <v>0</v>
      </c>
      <c r="M848" s="17" t="str">
        <f>ROUND(Github!N$847, 2)&amp;"%"</f>
        <v>0%</v>
      </c>
      <c r="N848" s="17">
        <f>Github!O$847</f>
        <v>56.12583552</v>
      </c>
      <c r="O848" s="17">
        <f>Github!P$847</f>
        <v>84388</v>
      </c>
    </row>
    <row r="849">
      <c r="A849" s="17">
        <f>Github!J$848</f>
        <v>847</v>
      </c>
      <c r="B849" s="27" t="str">
        <f>HYPERLINK(CONCAT("http://leetcode.com/problems/",Github!C$848), Github!B$848)</f>
        <v>Shortest Path Visiting All Nodes</v>
      </c>
      <c r="C849" s="17">
        <f>Github!F$848</f>
        <v>2273</v>
      </c>
      <c r="D849" s="17">
        <f>Github!G$848</f>
        <v>117</v>
      </c>
      <c r="E849" s="17">
        <f>Github!F$848+Github!G$848</f>
        <v>2390</v>
      </c>
      <c r="F849" s="18">
        <f t="shared" si="1"/>
        <v>19.43</v>
      </c>
      <c r="G849" s="17" t="str">
        <f>Github!H$848</f>
        <v>Algorithms</v>
      </c>
      <c r="H849" s="17" t="str">
        <f>Github!E$848</f>
        <v>Hard</v>
      </c>
      <c r="I849" s="17" t="str">
        <f>IF(TRIM(Github!D$848)="TRUE","FALSE","TRUE")</f>
        <v>TRUE</v>
      </c>
      <c r="J849" s="17"/>
      <c r="K849" s="17" t="str">
        <f>Github!L$848</f>
        <v>Dynamic Programming;Bit Manipulation;Breadth-First Search;Graph;Bitmask;</v>
      </c>
      <c r="L849" s="17" t="b">
        <f>Github!M$848</f>
        <v>1</v>
      </c>
      <c r="M849" s="17" t="str">
        <f>ROUND(Github!N$848, 2)&amp;"%"</f>
        <v>0%</v>
      </c>
      <c r="N849" s="17">
        <f>Github!O$848</f>
        <v>60.98631968</v>
      </c>
      <c r="O849" s="17">
        <f>Github!P$848</f>
        <v>52914</v>
      </c>
    </row>
    <row r="850">
      <c r="A850" s="17">
        <f>Github!J$849</f>
        <v>848</v>
      </c>
      <c r="B850" s="27" t="str">
        <f>HYPERLINK(CONCAT("http://leetcode.com/problems/",Github!C$849), Github!B$849)</f>
        <v>Shifting Letters</v>
      </c>
      <c r="C850" s="17">
        <f>Github!F$849</f>
        <v>833</v>
      </c>
      <c r="D850" s="17">
        <f>Github!G$849</f>
        <v>96</v>
      </c>
      <c r="E850" s="17">
        <f>Github!F$849+Github!G$849</f>
        <v>929</v>
      </c>
      <c r="F850" s="18">
        <f t="shared" si="1"/>
        <v>8.68</v>
      </c>
      <c r="G850" s="17" t="str">
        <f>Github!H$849</f>
        <v>Algorithms</v>
      </c>
      <c r="H850" s="17" t="str">
        <f>Github!E$849</f>
        <v>Medium</v>
      </c>
      <c r="I850" s="17" t="str">
        <f>IF(TRIM(Github!D$849)="TRUE","FALSE","TRUE")</f>
        <v>TRUE</v>
      </c>
      <c r="J850" s="17"/>
      <c r="K850" s="17" t="str">
        <f>Github!L$849</f>
        <v>Array;String;</v>
      </c>
      <c r="L850" s="17" t="b">
        <f>Github!M$849</f>
        <v>1</v>
      </c>
      <c r="M850" s="17" t="str">
        <f>ROUND(Github!N$849, 2)&amp;"%"</f>
        <v>0%</v>
      </c>
      <c r="N850" s="17">
        <f>Github!O$849</f>
        <v>45.47389056</v>
      </c>
      <c r="O850" s="17">
        <f>Github!P$849</f>
        <v>70520</v>
      </c>
    </row>
    <row r="851">
      <c r="A851" s="17">
        <f>Github!J$850</f>
        <v>849</v>
      </c>
      <c r="B851" s="27" t="str">
        <f>HYPERLINK(CONCAT("http://leetcode.com/problems/",Github!C$850), Github!B$850)</f>
        <v>Maximize Distance to Closest Person</v>
      </c>
      <c r="C851" s="17">
        <f>Github!F$850</f>
        <v>2515</v>
      </c>
      <c r="D851" s="17">
        <f>Github!G$850</f>
        <v>162</v>
      </c>
      <c r="E851" s="17">
        <f>Github!F$850+Github!G$850</f>
        <v>2677</v>
      </c>
      <c r="F851" s="18">
        <f t="shared" si="1"/>
        <v>15.52</v>
      </c>
      <c r="G851" s="17" t="str">
        <f>Github!H$850</f>
        <v>Algorithms</v>
      </c>
      <c r="H851" s="17" t="str">
        <f>Github!E$850</f>
        <v>Medium</v>
      </c>
      <c r="I851" s="17" t="str">
        <f>IF(TRIM(Github!D$850)="TRUE","FALSE","TRUE")</f>
        <v>TRUE</v>
      </c>
      <c r="J851" s="17"/>
      <c r="K851" s="17" t="str">
        <f>Github!L$850</f>
        <v>Array;</v>
      </c>
      <c r="L851" s="17" t="b">
        <f>Github!M$850</f>
        <v>1</v>
      </c>
      <c r="M851" s="17" t="str">
        <f>ROUND(Github!N$850, 2)&amp;"%"</f>
        <v>0%</v>
      </c>
      <c r="N851" s="17">
        <f>Github!O$850</f>
        <v>47.42882091</v>
      </c>
      <c r="O851" s="17">
        <f>Github!P$850</f>
        <v>167297</v>
      </c>
    </row>
    <row r="852">
      <c r="A852" s="17">
        <f>Github!J$851</f>
        <v>850</v>
      </c>
      <c r="B852" s="27" t="str">
        <f>HYPERLINK(CONCAT("http://leetcode.com/problems/",Github!C$851), Github!B$851)</f>
        <v>Rectangle Area II</v>
      </c>
      <c r="C852" s="17">
        <f>Github!F$851</f>
        <v>763</v>
      </c>
      <c r="D852" s="17">
        <f>Github!G$851</f>
        <v>50</v>
      </c>
      <c r="E852" s="17">
        <f>Github!F$851+Github!G$851</f>
        <v>813</v>
      </c>
      <c r="F852" s="18">
        <f t="shared" si="1"/>
        <v>15.26</v>
      </c>
      <c r="G852" s="17" t="str">
        <f>Github!H$851</f>
        <v>Algorithms</v>
      </c>
      <c r="H852" s="17" t="str">
        <f>Github!E$851</f>
        <v>Hard</v>
      </c>
      <c r="I852" s="17" t="str">
        <f>IF(TRIM(Github!D$851)="TRUE","FALSE","TRUE")</f>
        <v>TRUE</v>
      </c>
      <c r="J852" s="17"/>
      <c r="K852" s="17" t="str">
        <f>Github!L$851</f>
        <v>Array;Segment Tree;Line Sweep;Ordered Set;</v>
      </c>
      <c r="L852" s="17" t="b">
        <f>Github!M$851</f>
        <v>1</v>
      </c>
      <c r="M852" s="17" t="str">
        <f>ROUND(Github!N$851, 2)&amp;"%"</f>
        <v>0%</v>
      </c>
      <c r="N852" s="17">
        <f>Github!O$851</f>
        <v>53.2558698</v>
      </c>
      <c r="O852" s="17">
        <f>Github!P$851</f>
        <v>28829</v>
      </c>
    </row>
    <row r="853">
      <c r="A853" s="17">
        <f>Github!J$852</f>
        <v>851</v>
      </c>
      <c r="B853" s="27" t="str">
        <f>HYPERLINK(CONCAT("http://leetcode.com/problems/",Github!C$852), Github!B$852)</f>
        <v>Loud and Rich</v>
      </c>
      <c r="C853" s="17">
        <f>Github!F$852</f>
        <v>580</v>
      </c>
      <c r="D853" s="17">
        <f>Github!G$852</f>
        <v>531</v>
      </c>
      <c r="E853" s="17">
        <f>Github!F$852+Github!G$852</f>
        <v>1111</v>
      </c>
      <c r="F853" s="18">
        <f t="shared" si="1"/>
        <v>1.09</v>
      </c>
      <c r="G853" s="17" t="str">
        <f>Github!H$852</f>
        <v>Algorithms</v>
      </c>
      <c r="H853" s="17" t="str">
        <f>Github!E$852</f>
        <v>Medium</v>
      </c>
      <c r="I853" s="17" t="str">
        <f>IF(TRIM(Github!D$852)="TRUE","FALSE","TRUE")</f>
        <v>TRUE</v>
      </c>
      <c r="J853" s="17"/>
      <c r="K853" s="17" t="str">
        <f>Github!L$852</f>
        <v>Array;Depth-First Search;Graph;Topological Sort;</v>
      </c>
      <c r="L853" s="17" t="b">
        <f>Github!M$852</f>
        <v>1</v>
      </c>
      <c r="M853" s="17" t="str">
        <f>ROUND(Github!N$852, 2)&amp;"%"</f>
        <v>0%</v>
      </c>
      <c r="N853" s="17">
        <f>Github!O$852</f>
        <v>56.23389941</v>
      </c>
      <c r="O853" s="17">
        <f>Github!P$852</f>
        <v>22484</v>
      </c>
    </row>
    <row r="854">
      <c r="A854" s="17">
        <f>Github!J$853</f>
        <v>852</v>
      </c>
      <c r="B854" s="27" t="str">
        <f>HYPERLINK(CONCAT("http://leetcode.com/problems/",Github!C$853), Github!B$853)</f>
        <v>Peak Index in a Mountain Array</v>
      </c>
      <c r="C854" s="17">
        <f>Github!F$853</f>
        <v>2240</v>
      </c>
      <c r="D854" s="17">
        <f>Github!G$853</f>
        <v>1592</v>
      </c>
      <c r="E854" s="17">
        <f>Github!F$853+Github!G$853</f>
        <v>3832</v>
      </c>
      <c r="F854" s="18">
        <f t="shared" si="1"/>
        <v>1.41</v>
      </c>
      <c r="G854" s="17" t="str">
        <f>Github!H$853</f>
        <v>Algorithms</v>
      </c>
      <c r="H854" s="17" t="str">
        <f>Github!E$853</f>
        <v>Easy</v>
      </c>
      <c r="I854" s="17" t="str">
        <f>IF(TRIM(Github!D$853)="TRUE","FALSE","TRUE")</f>
        <v>TRUE</v>
      </c>
      <c r="J854" s="17"/>
      <c r="K854" s="17" t="str">
        <f>Github!L$853</f>
        <v>Array;Binary Search;</v>
      </c>
      <c r="L854" s="17" t="b">
        <f>Github!M$853</f>
        <v>1</v>
      </c>
      <c r="M854" s="17" t="str">
        <f>ROUND(Github!N$853, 2)&amp;"%"</f>
        <v>0%</v>
      </c>
      <c r="N854" s="17">
        <f>Github!O$853</f>
        <v>70.92336872</v>
      </c>
      <c r="O854" s="17">
        <f>Github!P$853</f>
        <v>333163</v>
      </c>
    </row>
    <row r="855">
      <c r="A855" s="17">
        <f>Github!J$854</f>
        <v>853</v>
      </c>
      <c r="B855" s="27" t="str">
        <f>HYPERLINK(CONCAT("http://leetcode.com/problems/",Github!C$854), Github!B$854)</f>
        <v>Car Fleet</v>
      </c>
      <c r="C855" s="17">
        <f>Github!F$854</f>
        <v>1253</v>
      </c>
      <c r="D855" s="17">
        <f>Github!G$854</f>
        <v>388</v>
      </c>
      <c r="E855" s="17">
        <f>Github!F$854+Github!G$854</f>
        <v>1641</v>
      </c>
      <c r="F855" s="18">
        <f t="shared" si="1"/>
        <v>3.23</v>
      </c>
      <c r="G855" s="17" t="str">
        <f>Github!H$854</f>
        <v>Algorithms</v>
      </c>
      <c r="H855" s="17" t="str">
        <f>Github!E$854</f>
        <v>Medium</v>
      </c>
      <c r="I855" s="17" t="str">
        <f>IF(TRIM(Github!D$854)="TRUE","FALSE","TRUE")</f>
        <v>TRUE</v>
      </c>
      <c r="J855" s="17"/>
      <c r="K855" s="17" t="str">
        <f>Github!L$854</f>
        <v>Array;Stack;Sorting;Monotonic Stack;</v>
      </c>
      <c r="L855" s="17" t="b">
        <f>Github!M$854</f>
        <v>0</v>
      </c>
      <c r="M855" s="17" t="str">
        <f>ROUND(Github!N$854, 2)&amp;"%"</f>
        <v>0%</v>
      </c>
      <c r="N855" s="17">
        <f>Github!O$854</f>
        <v>47.8007049</v>
      </c>
      <c r="O855" s="17">
        <f>Github!P$854</f>
        <v>74591</v>
      </c>
    </row>
    <row r="856">
      <c r="A856" s="17">
        <f>Github!J$855</f>
        <v>854</v>
      </c>
      <c r="B856" s="27" t="str">
        <f>HYPERLINK(CONCAT("http://leetcode.com/problems/",Github!C$855), Github!B$855)</f>
        <v>K-Similar Strings</v>
      </c>
      <c r="C856" s="17">
        <f>Github!F$855</f>
        <v>785</v>
      </c>
      <c r="D856" s="17">
        <f>Github!G$855</f>
        <v>47</v>
      </c>
      <c r="E856" s="17">
        <f>Github!F$855+Github!G$855</f>
        <v>832</v>
      </c>
      <c r="F856" s="18">
        <f t="shared" si="1"/>
        <v>16.7</v>
      </c>
      <c r="G856" s="17" t="str">
        <f>Github!H$855</f>
        <v>Algorithms</v>
      </c>
      <c r="H856" s="17" t="str">
        <f>Github!E$855</f>
        <v>Hard</v>
      </c>
      <c r="I856" s="17" t="str">
        <f>IF(TRIM(Github!D$855)="TRUE","FALSE","TRUE")</f>
        <v>TRUE</v>
      </c>
      <c r="J856" s="17"/>
      <c r="K856" s="17" t="str">
        <f>Github!L$855</f>
        <v>String;Breadth-First Search;</v>
      </c>
      <c r="L856" s="17" t="b">
        <f>Github!M$855</f>
        <v>0</v>
      </c>
      <c r="M856" s="17" t="str">
        <f>ROUND(Github!N$855, 2)&amp;"%"</f>
        <v>0%</v>
      </c>
      <c r="N856" s="17">
        <f>Github!O$855</f>
        <v>39.18836992</v>
      </c>
      <c r="O856" s="17">
        <f>Github!P$855</f>
        <v>31027</v>
      </c>
    </row>
    <row r="857">
      <c r="A857" s="17">
        <f>Github!J$856</f>
        <v>855</v>
      </c>
      <c r="B857" s="27" t="str">
        <f>HYPERLINK(CONCAT("http://leetcode.com/problems/",Github!C$856), Github!B$856)</f>
        <v>Exam Room</v>
      </c>
      <c r="C857" s="17">
        <f>Github!F$856</f>
        <v>943</v>
      </c>
      <c r="D857" s="17">
        <f>Github!G$856</f>
        <v>368</v>
      </c>
      <c r="E857" s="17">
        <f>Github!F$856+Github!G$856</f>
        <v>1311</v>
      </c>
      <c r="F857" s="18">
        <f t="shared" si="1"/>
        <v>2.56</v>
      </c>
      <c r="G857" s="17" t="str">
        <f>Github!H$856</f>
        <v>Algorithms</v>
      </c>
      <c r="H857" s="17" t="str">
        <f>Github!E$856</f>
        <v>Medium</v>
      </c>
      <c r="I857" s="17" t="str">
        <f>IF(TRIM(Github!D$856)="TRUE","FALSE","TRUE")</f>
        <v>TRUE</v>
      </c>
      <c r="J857" s="17"/>
      <c r="K857" s="17" t="str">
        <f>Github!L$856</f>
        <v>Design;Ordered Set;</v>
      </c>
      <c r="L857" s="17" t="b">
        <f>Github!M$856</f>
        <v>0</v>
      </c>
      <c r="M857" s="17" t="str">
        <f>ROUND(Github!N$856, 2)&amp;"%"</f>
        <v>0%</v>
      </c>
      <c r="N857" s="17">
        <f>Github!O$856</f>
        <v>43.57638392</v>
      </c>
      <c r="O857" s="17">
        <f>Github!P$856</f>
        <v>45665</v>
      </c>
    </row>
    <row r="858">
      <c r="A858" s="17">
        <f>Github!J$857</f>
        <v>856</v>
      </c>
      <c r="B858" s="27" t="str">
        <f>HYPERLINK(CONCAT("http://leetcode.com/problems/",Github!C$857), Github!B$857)</f>
        <v>Score of Parentheses</v>
      </c>
      <c r="C858" s="17">
        <f>Github!F$857</f>
        <v>3046</v>
      </c>
      <c r="D858" s="17">
        <f>Github!G$857</f>
        <v>88</v>
      </c>
      <c r="E858" s="17">
        <f>Github!F$857+Github!G$857</f>
        <v>3134</v>
      </c>
      <c r="F858" s="18">
        <f t="shared" si="1"/>
        <v>34.61</v>
      </c>
      <c r="G858" s="17" t="str">
        <f>Github!H$857</f>
        <v>Algorithms</v>
      </c>
      <c r="H858" s="17" t="str">
        <f>Github!E$857</f>
        <v>Medium</v>
      </c>
      <c r="I858" s="17" t="str">
        <f>IF(TRIM(Github!D$857)="TRUE","FALSE","TRUE")</f>
        <v>TRUE</v>
      </c>
      <c r="J858" s="17"/>
      <c r="K858" s="17" t="str">
        <f>Github!L$857</f>
        <v>String;Stack;</v>
      </c>
      <c r="L858" s="17" t="b">
        <f>Github!M$857</f>
        <v>1</v>
      </c>
      <c r="M858" s="17" t="str">
        <f>ROUND(Github!N$857, 2)&amp;"%"</f>
        <v>0%</v>
      </c>
      <c r="N858" s="17">
        <f>Github!O$857</f>
        <v>65.39264857</v>
      </c>
      <c r="O858" s="17">
        <f>Github!P$857</f>
        <v>95175</v>
      </c>
    </row>
    <row r="859">
      <c r="A859" s="17">
        <f>Github!J$858</f>
        <v>857</v>
      </c>
      <c r="B859" s="27" t="str">
        <f>HYPERLINK(CONCAT("http://leetcode.com/problems/",Github!C$858), Github!B$858)</f>
        <v>Minimum Cost to Hire K Workers</v>
      </c>
      <c r="C859" s="17">
        <f>Github!F$858</f>
        <v>1564</v>
      </c>
      <c r="D859" s="17">
        <f>Github!G$858</f>
        <v>187</v>
      </c>
      <c r="E859" s="17">
        <f>Github!F$858+Github!G$858</f>
        <v>1751</v>
      </c>
      <c r="F859" s="18">
        <f t="shared" si="1"/>
        <v>8.36</v>
      </c>
      <c r="G859" s="17" t="str">
        <f>Github!H$858</f>
        <v>Algorithms</v>
      </c>
      <c r="H859" s="17" t="str">
        <f>Github!E$858</f>
        <v>Hard</v>
      </c>
      <c r="I859" s="17" t="str">
        <f>IF(TRIM(Github!D$858)="TRUE","FALSE","TRUE")</f>
        <v>TRUE</v>
      </c>
      <c r="J859" s="17"/>
      <c r="K859" s="17" t="str">
        <f>Github!L$858</f>
        <v>Array;Greedy;Sorting;Heap (Priority Queue);</v>
      </c>
      <c r="L859" s="17" t="b">
        <f>Github!M$858</f>
        <v>1</v>
      </c>
      <c r="M859" s="17" t="str">
        <f>ROUND(Github!N$858, 2)&amp;"%"</f>
        <v>0%</v>
      </c>
      <c r="N859" s="17">
        <f>Github!O$858</f>
        <v>51.54258072</v>
      </c>
      <c r="O859" s="17">
        <f>Github!P$858</f>
        <v>48800</v>
      </c>
    </row>
    <row r="860">
      <c r="A860" s="17">
        <f>Github!J$859</f>
        <v>858</v>
      </c>
      <c r="B860" s="27" t="str">
        <f>HYPERLINK(CONCAT("http://leetcode.com/problems/",Github!C$859), Github!B$859)</f>
        <v>Mirror Reflection</v>
      </c>
      <c r="C860" s="17">
        <f>Github!F$859</f>
        <v>361</v>
      </c>
      <c r="D860" s="17">
        <f>Github!G$859</f>
        <v>706</v>
      </c>
      <c r="E860" s="17">
        <f>Github!F$859+Github!G$859</f>
        <v>1067</v>
      </c>
      <c r="F860" s="18">
        <f t="shared" si="1"/>
        <v>0.51</v>
      </c>
      <c r="G860" s="17" t="str">
        <f>Github!H$859</f>
        <v>Algorithms</v>
      </c>
      <c r="H860" s="17" t="str">
        <f>Github!E$859</f>
        <v>Medium</v>
      </c>
      <c r="I860" s="17" t="str">
        <f>IF(TRIM(Github!D$859)="TRUE","FALSE","TRUE")</f>
        <v>TRUE</v>
      </c>
      <c r="J860" s="17"/>
      <c r="K860" s="17" t="str">
        <f>Github!L$859</f>
        <v>Math;Geometry;</v>
      </c>
      <c r="L860" s="17" t="b">
        <f>Github!M$859</f>
        <v>0</v>
      </c>
      <c r="M860" s="17" t="str">
        <f>ROUND(Github!N$859, 2)&amp;"%"</f>
        <v>0%</v>
      </c>
      <c r="N860" s="17">
        <f>Github!O$859</f>
        <v>59.55158794</v>
      </c>
      <c r="O860" s="17">
        <f>Github!P$859</f>
        <v>26083</v>
      </c>
    </row>
    <row r="861">
      <c r="A861" s="17">
        <f>Github!J$860</f>
        <v>859</v>
      </c>
      <c r="B861" s="27" t="str">
        <f>HYPERLINK(CONCAT("http://leetcode.com/problems/",Github!C$860), Github!B$860)</f>
        <v>Buddy Strings</v>
      </c>
      <c r="C861" s="17">
        <f>Github!F$860</f>
        <v>1338</v>
      </c>
      <c r="D861" s="17">
        <f>Github!G$860</f>
        <v>861</v>
      </c>
      <c r="E861" s="17">
        <f>Github!F$860+Github!G$860</f>
        <v>2199</v>
      </c>
      <c r="F861" s="18">
        <f t="shared" si="1"/>
        <v>1.55</v>
      </c>
      <c r="G861" s="17" t="str">
        <f>Github!H$860</f>
        <v>Algorithms</v>
      </c>
      <c r="H861" s="17" t="str">
        <f>Github!E$860</f>
        <v>Easy</v>
      </c>
      <c r="I861" s="17" t="str">
        <f>IF(TRIM(Github!D$860)="TRUE","FALSE","TRUE")</f>
        <v>TRUE</v>
      </c>
      <c r="J861" s="17"/>
      <c r="K861" s="17" t="str">
        <f>Github!L$860</f>
        <v>Hash Table;String;</v>
      </c>
      <c r="L861" s="17" t="b">
        <f>Github!M$860</f>
        <v>1</v>
      </c>
      <c r="M861" s="17" t="str">
        <f>ROUND(Github!N$860, 2)&amp;"%"</f>
        <v>0%</v>
      </c>
      <c r="N861" s="17">
        <f>Github!O$860</f>
        <v>28.75763564</v>
      </c>
      <c r="O861" s="17">
        <f>Github!P$860</f>
        <v>114681</v>
      </c>
    </row>
    <row r="862">
      <c r="A862" s="17">
        <f>Github!J$861</f>
        <v>860</v>
      </c>
      <c r="B862" s="27" t="str">
        <f>HYPERLINK(CONCAT("http://leetcode.com/problems/",Github!C$861), Github!B$861)</f>
        <v>Lemonade Change</v>
      </c>
      <c r="C862" s="17">
        <f>Github!F$861</f>
        <v>1147</v>
      </c>
      <c r="D862" s="17">
        <f>Github!G$861</f>
        <v>119</v>
      </c>
      <c r="E862" s="17">
        <f>Github!F$861+Github!G$861</f>
        <v>1266</v>
      </c>
      <c r="F862" s="18">
        <f t="shared" si="1"/>
        <v>9.64</v>
      </c>
      <c r="G862" s="17" t="str">
        <f>Github!H$861</f>
        <v>Algorithms</v>
      </c>
      <c r="H862" s="17" t="str">
        <f>Github!E$861</f>
        <v>Easy</v>
      </c>
      <c r="I862" s="17" t="str">
        <f>IF(TRIM(Github!D$861)="TRUE","FALSE","TRUE")</f>
        <v>TRUE</v>
      </c>
      <c r="J862" s="17"/>
      <c r="K862" s="17" t="str">
        <f>Github!L$861</f>
        <v>Array;Greedy;</v>
      </c>
      <c r="L862" s="17" t="b">
        <f>Github!M$861</f>
        <v>1</v>
      </c>
      <c r="M862" s="17" t="str">
        <f>ROUND(Github!N$861, 2)&amp;"%"</f>
        <v>0%</v>
      </c>
      <c r="N862" s="17">
        <f>Github!O$861</f>
        <v>52.32320581</v>
      </c>
      <c r="O862" s="17">
        <f>Github!P$861</f>
        <v>91687</v>
      </c>
    </row>
    <row r="863">
      <c r="A863" s="17">
        <f>Github!J$862</f>
        <v>861</v>
      </c>
      <c r="B863" s="27" t="str">
        <f>HYPERLINK(CONCAT("http://leetcode.com/problems/",Github!C$862), Github!B$862)</f>
        <v>Score After Flipping Matrix</v>
      </c>
      <c r="C863" s="17">
        <f>Github!F$862</f>
        <v>989</v>
      </c>
      <c r="D863" s="17">
        <f>Github!G$862</f>
        <v>161</v>
      </c>
      <c r="E863" s="17">
        <f>Github!F$862+Github!G$862</f>
        <v>1150</v>
      </c>
      <c r="F863" s="18">
        <f t="shared" si="1"/>
        <v>6.14</v>
      </c>
      <c r="G863" s="17" t="str">
        <f>Github!H$862</f>
        <v>Algorithms</v>
      </c>
      <c r="H863" s="17" t="str">
        <f>Github!E$862</f>
        <v>Medium</v>
      </c>
      <c r="I863" s="17" t="str">
        <f>IF(TRIM(Github!D$862)="TRUE","FALSE","TRUE")</f>
        <v>TRUE</v>
      </c>
      <c r="J863" s="17"/>
      <c r="K863" s="17" t="str">
        <f>Github!L$862</f>
        <v>Array;Greedy;Bit Manipulation;Matrix;</v>
      </c>
      <c r="L863" s="17" t="b">
        <f>Github!M$862</f>
        <v>0</v>
      </c>
      <c r="M863" s="17" t="str">
        <f>ROUND(Github!N$862, 2)&amp;"%"</f>
        <v>0%</v>
      </c>
      <c r="N863" s="17">
        <f>Github!O$862</f>
        <v>74.70851818</v>
      </c>
      <c r="O863" s="17">
        <f>Github!P$862</f>
        <v>33512</v>
      </c>
    </row>
    <row r="864">
      <c r="A864" s="17">
        <f>Github!J$863</f>
        <v>862</v>
      </c>
      <c r="B864" s="27" t="str">
        <f>HYPERLINK(CONCAT("http://leetcode.com/problems/",Github!C$863), Github!B$863)</f>
        <v>Shortest Subarray with Sum at Least K</v>
      </c>
      <c r="C864" s="17">
        <f>Github!F$863</f>
        <v>2716</v>
      </c>
      <c r="D864" s="17">
        <f>Github!G$863</f>
        <v>69</v>
      </c>
      <c r="E864" s="17">
        <f>Github!F$863+Github!G$863</f>
        <v>2785</v>
      </c>
      <c r="F864" s="18">
        <f t="shared" si="1"/>
        <v>39.36</v>
      </c>
      <c r="G864" s="17" t="str">
        <f>Github!H$863</f>
        <v>Algorithms</v>
      </c>
      <c r="H864" s="17" t="str">
        <f>Github!E$863</f>
        <v>Hard</v>
      </c>
      <c r="I864" s="17" t="str">
        <f>IF(TRIM(Github!D$863)="TRUE","FALSE","TRUE")</f>
        <v>TRUE</v>
      </c>
      <c r="J864" s="17"/>
      <c r="K864" s="17" t="str">
        <f>Github!L$863</f>
        <v>Array;Binary Search;Queue;Sliding Window;Heap (Priority Queue);Prefix Sum;Monotonic Queue;</v>
      </c>
      <c r="L864" s="17" t="b">
        <f>Github!M$863</f>
        <v>1</v>
      </c>
      <c r="M864" s="17" t="str">
        <f>ROUND(Github!N$863, 2)&amp;"%"</f>
        <v>0%</v>
      </c>
      <c r="N864" s="17">
        <f>Github!O$863</f>
        <v>26.13538587</v>
      </c>
      <c r="O864" s="17">
        <f>Github!P$863</f>
        <v>66823</v>
      </c>
    </row>
    <row r="865">
      <c r="A865" s="17">
        <f>Github!J$864</f>
        <v>863</v>
      </c>
      <c r="B865" s="27" t="str">
        <f>HYPERLINK(CONCAT("http://leetcode.com/problems/",Github!C$864), Github!B$864)</f>
        <v>All Nodes Distance K in Binary Tree</v>
      </c>
      <c r="C865" s="17">
        <f>Github!F$864</f>
        <v>5808</v>
      </c>
      <c r="D865" s="17">
        <f>Github!G$864</f>
        <v>122</v>
      </c>
      <c r="E865" s="17">
        <f>Github!F$864+Github!G$864</f>
        <v>5930</v>
      </c>
      <c r="F865" s="18">
        <f t="shared" si="1"/>
        <v>47.61</v>
      </c>
      <c r="G865" s="17" t="str">
        <f>Github!H$864</f>
        <v>Algorithms</v>
      </c>
      <c r="H865" s="17" t="str">
        <f>Github!E$864</f>
        <v>Medium</v>
      </c>
      <c r="I865" s="17" t="str">
        <f>IF(TRIM(Github!D$864)="TRUE","FALSE","TRUE")</f>
        <v>TRUE</v>
      </c>
      <c r="J865" s="17"/>
      <c r="K865" s="17" t="str">
        <f>Github!L$864</f>
        <v>Tree;Depth-First Search;Breadth-First Search;Binary Tree;</v>
      </c>
      <c r="L865" s="17" t="b">
        <f>Github!M$864</f>
        <v>1</v>
      </c>
      <c r="M865" s="17" t="str">
        <f>ROUND(Github!N$864, 2)&amp;"%"</f>
        <v>0%</v>
      </c>
      <c r="N865" s="17">
        <f>Github!O$864</f>
        <v>60.77404123</v>
      </c>
      <c r="O865" s="17">
        <f>Github!P$864</f>
        <v>216230</v>
      </c>
    </row>
    <row r="866">
      <c r="A866" s="17">
        <f>Github!J$865</f>
        <v>864</v>
      </c>
      <c r="B866" s="27" t="str">
        <f>HYPERLINK(CONCAT("http://leetcode.com/problems/",Github!C$865), Github!B$865)</f>
        <v>Shortest Path to Get All Keys</v>
      </c>
      <c r="C866" s="17">
        <f>Github!F$865</f>
        <v>742</v>
      </c>
      <c r="D866" s="17">
        <f>Github!G$865</f>
        <v>25</v>
      </c>
      <c r="E866" s="17">
        <f>Github!F$865+Github!G$865</f>
        <v>767</v>
      </c>
      <c r="F866" s="18">
        <f t="shared" si="1"/>
        <v>29.68</v>
      </c>
      <c r="G866" s="17" t="str">
        <f>Github!H$865</f>
        <v>Algorithms</v>
      </c>
      <c r="H866" s="17" t="str">
        <f>Github!E$865</f>
        <v>Hard</v>
      </c>
      <c r="I866" s="17" t="str">
        <f>IF(TRIM(Github!D$865)="TRUE","FALSE","TRUE")</f>
        <v>TRUE</v>
      </c>
      <c r="J866" s="17"/>
      <c r="K866" s="17" t="str">
        <f>Github!L$865</f>
        <v>Bit Manipulation;Breadth-First Search;</v>
      </c>
      <c r="L866" s="17" t="b">
        <f>Github!M$865</f>
        <v>0</v>
      </c>
      <c r="M866" s="17" t="str">
        <f>ROUND(Github!N$865, 2)&amp;"%"</f>
        <v>0%</v>
      </c>
      <c r="N866" s="17">
        <f>Github!O$865</f>
        <v>44.28214682</v>
      </c>
      <c r="O866" s="17">
        <f>Github!P$865</f>
        <v>22343</v>
      </c>
    </row>
    <row r="867">
      <c r="A867" s="17">
        <f>Github!J$866</f>
        <v>865</v>
      </c>
      <c r="B867" s="27" t="str">
        <f>HYPERLINK(CONCAT("http://leetcode.com/problems/",Github!C$866), Github!B$866)</f>
        <v>Smallest Subtree with all the Deepest Nodes</v>
      </c>
      <c r="C867" s="17">
        <f>Github!F$866</f>
        <v>1851</v>
      </c>
      <c r="D867" s="17">
        <f>Github!G$866</f>
        <v>321</v>
      </c>
      <c r="E867" s="17">
        <f>Github!F$866+Github!G$866</f>
        <v>2172</v>
      </c>
      <c r="F867" s="18">
        <f t="shared" si="1"/>
        <v>5.77</v>
      </c>
      <c r="G867" s="17" t="str">
        <f>Github!H$866</f>
        <v>Algorithms</v>
      </c>
      <c r="H867" s="17" t="str">
        <f>Github!E$866</f>
        <v>Medium</v>
      </c>
      <c r="I867" s="17" t="str">
        <f>IF(TRIM(Github!D$866)="TRUE","FALSE","TRUE")</f>
        <v>TRUE</v>
      </c>
      <c r="J867" s="17"/>
      <c r="K867" s="17" t="str">
        <f>Github!L$866</f>
        <v>Hash Table;Tree;Depth-First Search;Breadth-First Search;Binary Tree;</v>
      </c>
      <c r="L867" s="17" t="b">
        <f>Github!M$866</f>
        <v>1</v>
      </c>
      <c r="M867" s="17" t="str">
        <f>ROUND(Github!N$866, 2)&amp;"%"</f>
        <v>0%</v>
      </c>
      <c r="N867" s="17">
        <f>Github!O$866</f>
        <v>67.60619266</v>
      </c>
      <c r="O867" s="17">
        <f>Github!P$866</f>
        <v>98819</v>
      </c>
    </row>
    <row r="868">
      <c r="A868" s="17">
        <f>Github!J$867</f>
        <v>866</v>
      </c>
      <c r="B868" s="27" t="str">
        <f>HYPERLINK(CONCAT("http://leetcode.com/problems/",Github!C$867), Github!B$867)</f>
        <v>Prime Palindrome</v>
      </c>
      <c r="C868" s="17">
        <f>Github!F$867</f>
        <v>307</v>
      </c>
      <c r="D868" s="17">
        <f>Github!G$867</f>
        <v>701</v>
      </c>
      <c r="E868" s="17">
        <f>Github!F$867+Github!G$867</f>
        <v>1008</v>
      </c>
      <c r="F868" s="18">
        <f t="shared" si="1"/>
        <v>0.44</v>
      </c>
      <c r="G868" s="17" t="str">
        <f>Github!H$867</f>
        <v>Algorithms</v>
      </c>
      <c r="H868" s="17" t="str">
        <f>Github!E$867</f>
        <v>Medium</v>
      </c>
      <c r="I868" s="17" t="str">
        <f>IF(TRIM(Github!D$867)="TRUE","FALSE","TRUE")</f>
        <v>TRUE</v>
      </c>
      <c r="J868" s="17"/>
      <c r="K868" s="17" t="str">
        <f>Github!L$867</f>
        <v>Math;</v>
      </c>
      <c r="L868" s="17" t="b">
        <f>Github!M$867</f>
        <v>1</v>
      </c>
      <c r="M868" s="17" t="str">
        <f>ROUND(Github!N$867, 2)&amp;"%"</f>
        <v>0%</v>
      </c>
      <c r="N868" s="17">
        <f>Github!O$867</f>
        <v>25.5329923</v>
      </c>
      <c r="O868" s="17">
        <f>Github!P$867</f>
        <v>24707</v>
      </c>
    </row>
    <row r="869">
      <c r="A869" s="17">
        <f>Github!J$868</f>
        <v>867</v>
      </c>
      <c r="B869" s="27" t="str">
        <f>HYPERLINK(CONCAT("http://leetcode.com/problems/",Github!C$868), Github!B$868)</f>
        <v>Transpose Matrix</v>
      </c>
      <c r="C869" s="17">
        <f>Github!F$868</f>
        <v>1083</v>
      </c>
      <c r="D869" s="17">
        <f>Github!G$868</f>
        <v>367</v>
      </c>
      <c r="E869" s="17">
        <f>Github!F$868+Github!G$868</f>
        <v>1450</v>
      </c>
      <c r="F869" s="18">
        <f t="shared" si="1"/>
        <v>2.95</v>
      </c>
      <c r="G869" s="17" t="str">
        <f>Github!H$868</f>
        <v>Algorithms</v>
      </c>
      <c r="H869" s="17" t="str">
        <f>Github!E$868</f>
        <v>Easy</v>
      </c>
      <c r="I869" s="17" t="str">
        <f>IF(TRIM(Github!D$868)="TRUE","FALSE","TRUE")</f>
        <v>TRUE</v>
      </c>
      <c r="J869" s="17"/>
      <c r="K869" s="17" t="str">
        <f>Github!L$868</f>
        <v>Array;Matrix;Simulation;</v>
      </c>
      <c r="L869" s="17" t="b">
        <f>Github!M$868</f>
        <v>1</v>
      </c>
      <c r="M869" s="17" t="str">
        <f>ROUND(Github!N$868, 2)&amp;"%"</f>
        <v>0%</v>
      </c>
      <c r="N869" s="17">
        <f>Github!O$868</f>
        <v>61.15543117</v>
      </c>
      <c r="O869" s="17">
        <f>Github!P$868</f>
        <v>127177</v>
      </c>
    </row>
    <row r="870">
      <c r="A870" s="17">
        <f>Github!J$869</f>
        <v>868</v>
      </c>
      <c r="B870" s="27" t="str">
        <f>HYPERLINK(CONCAT("http://leetcode.com/problems/",Github!C$869), Github!B$869)</f>
        <v>Binary Gap</v>
      </c>
      <c r="C870" s="17">
        <f>Github!F$869</f>
        <v>412</v>
      </c>
      <c r="D870" s="17">
        <f>Github!G$869</f>
        <v>588</v>
      </c>
      <c r="E870" s="17">
        <f>Github!F$869+Github!G$869</f>
        <v>1000</v>
      </c>
      <c r="F870" s="18">
        <f t="shared" si="1"/>
        <v>0.7</v>
      </c>
      <c r="G870" s="17" t="str">
        <f>Github!H$869</f>
        <v>Algorithms</v>
      </c>
      <c r="H870" s="17" t="str">
        <f>Github!E$869</f>
        <v>Easy</v>
      </c>
      <c r="I870" s="17" t="str">
        <f>IF(TRIM(Github!D$869)="TRUE","FALSE","TRUE")</f>
        <v>TRUE</v>
      </c>
      <c r="J870" s="17"/>
      <c r="K870" s="17" t="str">
        <f>Github!L$869</f>
        <v>Math;Bit Manipulation;</v>
      </c>
      <c r="L870" s="17" t="b">
        <f>Github!M$869</f>
        <v>1</v>
      </c>
      <c r="M870" s="17" t="str">
        <f>ROUND(Github!N$869, 2)&amp;"%"</f>
        <v>0%</v>
      </c>
      <c r="N870" s="17">
        <f>Github!O$869</f>
        <v>61.69416106</v>
      </c>
      <c r="O870" s="17">
        <f>Github!P$869</f>
        <v>56845</v>
      </c>
    </row>
    <row r="871">
      <c r="A871" s="17">
        <f>Github!J$870</f>
        <v>869</v>
      </c>
      <c r="B871" s="27" t="str">
        <f>HYPERLINK(CONCAT("http://leetcode.com/problems/",Github!C$870), Github!B$870)</f>
        <v>Reordered Power of 2</v>
      </c>
      <c r="C871" s="17">
        <f>Github!F$870</f>
        <v>561</v>
      </c>
      <c r="D871" s="17">
        <f>Github!G$870</f>
        <v>166</v>
      </c>
      <c r="E871" s="17">
        <f>Github!F$870+Github!G$870</f>
        <v>727</v>
      </c>
      <c r="F871" s="18">
        <f t="shared" si="1"/>
        <v>3.38</v>
      </c>
      <c r="G871" s="17" t="str">
        <f>Github!H$870</f>
        <v>Algorithms</v>
      </c>
      <c r="H871" s="17" t="str">
        <f>Github!E$870</f>
        <v>Medium</v>
      </c>
      <c r="I871" s="17" t="str">
        <f>IF(TRIM(Github!D$870)="TRUE","FALSE","TRUE")</f>
        <v>TRUE</v>
      </c>
      <c r="J871" s="17"/>
      <c r="K871" s="17" t="str">
        <f>Github!L$870</f>
        <v>Math;Sorting;Counting;Enumeration;</v>
      </c>
      <c r="L871" s="17" t="b">
        <f>Github!M$870</f>
        <v>1</v>
      </c>
      <c r="M871" s="17" t="str">
        <f>ROUND(Github!N$870, 2)&amp;"%"</f>
        <v>0%</v>
      </c>
      <c r="N871" s="17">
        <f>Github!O$870</f>
        <v>61.30599848</v>
      </c>
      <c r="O871" s="17">
        <f>Github!P$870</f>
        <v>40370</v>
      </c>
    </row>
    <row r="872">
      <c r="A872" s="17">
        <f>Github!J$871</f>
        <v>870</v>
      </c>
      <c r="B872" s="27" t="str">
        <f>HYPERLINK(CONCAT("http://leetcode.com/problems/",Github!C$871), Github!B$871)</f>
        <v>Advantage Shuffle</v>
      </c>
      <c r="C872" s="17">
        <f>Github!F$871</f>
        <v>1199</v>
      </c>
      <c r="D872" s="17">
        <f>Github!G$871</f>
        <v>75</v>
      </c>
      <c r="E872" s="17">
        <f>Github!F$871+Github!G$871</f>
        <v>1274</v>
      </c>
      <c r="F872" s="18">
        <f t="shared" si="1"/>
        <v>15.99</v>
      </c>
      <c r="G872" s="17" t="str">
        <f>Github!H$871</f>
        <v>Algorithms</v>
      </c>
      <c r="H872" s="17" t="str">
        <f>Github!E$871</f>
        <v>Medium</v>
      </c>
      <c r="I872" s="17" t="str">
        <f>IF(TRIM(Github!D$871)="TRUE","FALSE","TRUE")</f>
        <v>TRUE</v>
      </c>
      <c r="J872" s="17"/>
      <c r="K872" s="17" t="str">
        <f>Github!L$871</f>
        <v>Array;Greedy;Sorting;</v>
      </c>
      <c r="L872" s="17" t="b">
        <f>Github!M$871</f>
        <v>1</v>
      </c>
      <c r="M872" s="17" t="str">
        <f>ROUND(Github!N$871, 2)&amp;"%"</f>
        <v>0%</v>
      </c>
      <c r="N872" s="17">
        <f>Github!O$871</f>
        <v>51.17323177</v>
      </c>
      <c r="O872" s="17">
        <f>Github!P$871</f>
        <v>51861</v>
      </c>
    </row>
    <row r="873">
      <c r="A873" s="17">
        <f>Github!J$872</f>
        <v>871</v>
      </c>
      <c r="B873" s="27" t="str">
        <f>HYPERLINK(CONCAT("http://leetcode.com/problems/",Github!C$872), Github!B$872)</f>
        <v>Minimum Number of Refueling Stops</v>
      </c>
      <c r="C873" s="17">
        <f>Github!F$872</f>
        <v>2357</v>
      </c>
      <c r="D873" s="17">
        <f>Github!G$872</f>
        <v>47</v>
      </c>
      <c r="E873" s="17">
        <f>Github!F$872+Github!G$872</f>
        <v>2404</v>
      </c>
      <c r="F873" s="18">
        <f t="shared" si="1"/>
        <v>50.15</v>
      </c>
      <c r="G873" s="17" t="str">
        <f>Github!H$872</f>
        <v>Algorithms</v>
      </c>
      <c r="H873" s="17" t="str">
        <f>Github!E$872</f>
        <v>Hard</v>
      </c>
      <c r="I873" s="17" t="str">
        <f>IF(TRIM(Github!D$872)="TRUE","FALSE","TRUE")</f>
        <v>TRUE</v>
      </c>
      <c r="J873" s="17"/>
      <c r="K873" s="17" t="str">
        <f>Github!L$872</f>
        <v>Array;Dynamic Programming;Greedy;Heap (Priority Queue);</v>
      </c>
      <c r="L873" s="17" t="b">
        <f>Github!M$872</f>
        <v>1</v>
      </c>
      <c r="M873" s="17" t="str">
        <f>ROUND(Github!N$872, 2)&amp;"%"</f>
        <v>0%</v>
      </c>
      <c r="N873" s="17">
        <f>Github!O$872</f>
        <v>35.5766267</v>
      </c>
      <c r="O873" s="17">
        <f>Github!P$872</f>
        <v>68098</v>
      </c>
    </row>
    <row r="874">
      <c r="A874" s="17">
        <f>Github!J$873</f>
        <v>872</v>
      </c>
      <c r="B874" s="27" t="str">
        <f>HYPERLINK(CONCAT("http://leetcode.com/problems/",Github!C$873), Github!B$873)</f>
        <v>Leaf-Similar Trees</v>
      </c>
      <c r="C874" s="17">
        <f>Github!F$873</f>
        <v>1598</v>
      </c>
      <c r="D874" s="17">
        <f>Github!G$873</f>
        <v>55</v>
      </c>
      <c r="E874" s="17">
        <f>Github!F$873+Github!G$873</f>
        <v>1653</v>
      </c>
      <c r="F874" s="18">
        <f t="shared" si="1"/>
        <v>29.05</v>
      </c>
      <c r="G874" s="17" t="str">
        <f>Github!H$873</f>
        <v>Algorithms</v>
      </c>
      <c r="H874" s="17" t="str">
        <f>Github!E$873</f>
        <v>Easy</v>
      </c>
      <c r="I874" s="17" t="str">
        <f>IF(TRIM(Github!D$873)="TRUE","FALSE","TRUE")</f>
        <v>TRUE</v>
      </c>
      <c r="J874" s="17"/>
      <c r="K874" s="17" t="str">
        <f>Github!L$873</f>
        <v>Tree;Depth-First Search;Binary Tree;</v>
      </c>
      <c r="L874" s="17" t="b">
        <f>Github!M$873</f>
        <v>1</v>
      </c>
      <c r="M874" s="17" t="str">
        <f>ROUND(Github!N$873, 2)&amp;"%"</f>
        <v>0%</v>
      </c>
      <c r="N874" s="17">
        <f>Github!O$873</f>
        <v>64.92112971</v>
      </c>
      <c r="O874" s="17">
        <f>Github!P$873</f>
        <v>158698</v>
      </c>
    </row>
    <row r="875">
      <c r="A875" s="17">
        <f>Github!J$874</f>
        <v>873</v>
      </c>
      <c r="B875" s="27" t="str">
        <f>HYPERLINK(CONCAT("http://leetcode.com/problems/",Github!C$874), Github!B$874)</f>
        <v>Length of Longest Fibonacci Subsequence</v>
      </c>
      <c r="C875" s="17">
        <f>Github!F$874</f>
        <v>1367</v>
      </c>
      <c r="D875" s="17">
        <f>Github!G$874</f>
        <v>50</v>
      </c>
      <c r="E875" s="17">
        <f>Github!F$874+Github!G$874</f>
        <v>1417</v>
      </c>
      <c r="F875" s="18">
        <f t="shared" si="1"/>
        <v>27.34</v>
      </c>
      <c r="G875" s="17" t="str">
        <f>Github!H$874</f>
        <v>Algorithms</v>
      </c>
      <c r="H875" s="17" t="str">
        <f>Github!E$874</f>
        <v>Medium</v>
      </c>
      <c r="I875" s="17" t="str">
        <f>IF(TRIM(Github!D$874)="TRUE","FALSE","TRUE")</f>
        <v>TRUE</v>
      </c>
      <c r="J875" s="17"/>
      <c r="K875" s="17" t="str">
        <f>Github!L$874</f>
        <v>Array;Hash Table;Dynamic Programming;</v>
      </c>
      <c r="L875" s="17" t="b">
        <f>Github!M$874</f>
        <v>1</v>
      </c>
      <c r="M875" s="17" t="str">
        <f>ROUND(Github!N$874, 2)&amp;"%"</f>
        <v>0%</v>
      </c>
      <c r="N875" s="17">
        <f>Github!O$874</f>
        <v>48.57127959</v>
      </c>
      <c r="O875" s="17">
        <f>Github!P$874</f>
        <v>46575</v>
      </c>
    </row>
    <row r="876">
      <c r="A876" s="17">
        <f>Github!J$875</f>
        <v>874</v>
      </c>
      <c r="B876" s="27" t="str">
        <f>HYPERLINK(CONCAT("http://leetcode.com/problems/",Github!C$875), Github!B$875)</f>
        <v>Walking Robot Simulation</v>
      </c>
      <c r="C876" s="17">
        <f>Github!F$875</f>
        <v>58</v>
      </c>
      <c r="D876" s="17">
        <f>Github!G$875</f>
        <v>10</v>
      </c>
      <c r="E876" s="17">
        <f>Github!F$875+Github!G$875</f>
        <v>68</v>
      </c>
      <c r="F876" s="18">
        <f t="shared" si="1"/>
        <v>5.8</v>
      </c>
      <c r="G876" s="17" t="str">
        <f>Github!H$875</f>
        <v>Algorithms</v>
      </c>
      <c r="H876" s="17" t="str">
        <f>Github!E$875</f>
        <v>Medium</v>
      </c>
      <c r="I876" s="17" t="str">
        <f>IF(TRIM(Github!D$875)="TRUE","FALSE","TRUE")</f>
        <v>TRUE</v>
      </c>
      <c r="J876" s="17"/>
      <c r="K876" s="17" t="str">
        <f>Github!L$875</f>
        <v>Array;Simulation;</v>
      </c>
      <c r="L876" s="17" t="b">
        <f>Github!M$875</f>
        <v>0</v>
      </c>
      <c r="M876" s="17" t="str">
        <f>ROUND(Github!N$875, 2)&amp;"%"</f>
        <v>0%</v>
      </c>
      <c r="N876" s="17">
        <f>Github!O$875</f>
        <v>37.64850073</v>
      </c>
      <c r="O876" s="17">
        <f>Github!P$875</f>
        <v>31025</v>
      </c>
    </row>
    <row r="877">
      <c r="A877" s="17">
        <f>Github!J$876</f>
        <v>875</v>
      </c>
      <c r="B877" s="27" t="str">
        <f>HYPERLINK(CONCAT("http://leetcode.com/problems/",Github!C$876), Github!B$876)</f>
        <v>Koko Eating Bananas</v>
      </c>
      <c r="C877" s="17">
        <f>Github!F$876</f>
        <v>3803</v>
      </c>
      <c r="D877" s="17">
        <f>Github!G$876</f>
        <v>170</v>
      </c>
      <c r="E877" s="17">
        <f>Github!F$876+Github!G$876</f>
        <v>3973</v>
      </c>
      <c r="F877" s="18">
        <f t="shared" si="1"/>
        <v>22.37</v>
      </c>
      <c r="G877" s="17" t="str">
        <f>Github!H$876</f>
        <v>Algorithms</v>
      </c>
      <c r="H877" s="17" t="str">
        <f>Github!E$876</f>
        <v>Medium</v>
      </c>
      <c r="I877" s="17" t="str">
        <f>IF(TRIM(Github!D$876)="TRUE","FALSE","TRUE")</f>
        <v>TRUE</v>
      </c>
      <c r="J877" s="17"/>
      <c r="K877" s="17" t="str">
        <f>Github!L$876</f>
        <v>Array;Binary Search;</v>
      </c>
      <c r="L877" s="17" t="b">
        <f>Github!M$876</f>
        <v>1</v>
      </c>
      <c r="M877" s="17" t="str">
        <f>ROUND(Github!N$876, 2)&amp;"%"</f>
        <v>0%</v>
      </c>
      <c r="N877" s="17">
        <f>Github!O$876</f>
        <v>54.59246095</v>
      </c>
      <c r="O877" s="17">
        <f>Github!P$876</f>
        <v>159741</v>
      </c>
    </row>
    <row r="878">
      <c r="A878" s="17">
        <f>Github!J$877</f>
        <v>876</v>
      </c>
      <c r="B878" s="27" t="str">
        <f>HYPERLINK(CONCAT("http://leetcode.com/problems/",Github!C$877), Github!B$877)</f>
        <v>Middle of the Linked List</v>
      </c>
      <c r="C878" s="17">
        <f>Github!F$877</f>
        <v>4844</v>
      </c>
      <c r="D878" s="17">
        <f>Github!G$877</f>
        <v>120</v>
      </c>
      <c r="E878" s="17">
        <f>Github!F$877+Github!G$877</f>
        <v>4964</v>
      </c>
      <c r="F878" s="18">
        <f t="shared" si="1"/>
        <v>40.37</v>
      </c>
      <c r="G878" s="17" t="str">
        <f>Github!H$877</f>
        <v>Algorithms</v>
      </c>
      <c r="H878" s="17" t="str">
        <f>Github!E$877</f>
        <v>Easy</v>
      </c>
      <c r="I878" s="17" t="str">
        <f>IF(TRIM(Github!D$877)="TRUE","FALSE","TRUE")</f>
        <v>TRUE</v>
      </c>
      <c r="J878" s="17"/>
      <c r="K878" s="17" t="str">
        <f>Github!L$877</f>
        <v>Linked List;Two Pointers;</v>
      </c>
      <c r="L878" s="17" t="b">
        <f>Github!M$877</f>
        <v>1</v>
      </c>
      <c r="M878" s="17" t="str">
        <f>ROUND(Github!N$877, 2)&amp;"%"</f>
        <v>0%</v>
      </c>
      <c r="N878" s="17">
        <f>Github!O$877</f>
        <v>72.32417869</v>
      </c>
      <c r="O878" s="17">
        <f>Github!P$877</f>
        <v>584640</v>
      </c>
    </row>
    <row r="879">
      <c r="A879" s="17">
        <f>Github!J$878</f>
        <v>877</v>
      </c>
      <c r="B879" s="27" t="str">
        <f>HYPERLINK(CONCAT("http://leetcode.com/problems/",Github!C$878), Github!B$878)</f>
        <v>Stone Game</v>
      </c>
      <c r="C879" s="17">
        <f>Github!F$878</f>
        <v>1899</v>
      </c>
      <c r="D879" s="17">
        <f>Github!G$878</f>
        <v>1958</v>
      </c>
      <c r="E879" s="17">
        <f>Github!F$878+Github!G$878</f>
        <v>3857</v>
      </c>
      <c r="F879" s="18">
        <f t="shared" si="1"/>
        <v>0.97</v>
      </c>
      <c r="G879" s="17" t="str">
        <f>Github!H$878</f>
        <v>Algorithms</v>
      </c>
      <c r="H879" s="17" t="str">
        <f>Github!E$878</f>
        <v>Medium</v>
      </c>
      <c r="I879" s="17" t="str">
        <f>IF(TRIM(Github!D$878)="TRUE","FALSE","TRUE")</f>
        <v>TRUE</v>
      </c>
      <c r="J879" s="17"/>
      <c r="K879" s="17" t="str">
        <f>Github!L$878</f>
        <v>Array;Math;Dynamic Programming;Game Theory;</v>
      </c>
      <c r="L879" s="17" t="b">
        <f>Github!M$878</f>
        <v>1</v>
      </c>
      <c r="M879" s="17" t="str">
        <f>ROUND(Github!N$878, 2)&amp;"%"</f>
        <v>0%</v>
      </c>
      <c r="N879" s="17">
        <f>Github!O$878</f>
        <v>69.0478601</v>
      </c>
      <c r="O879" s="17">
        <f>Github!P$878</f>
        <v>150039</v>
      </c>
    </row>
    <row r="880">
      <c r="A880" s="17">
        <f>Github!J$879</f>
        <v>878</v>
      </c>
      <c r="B880" s="27" t="str">
        <f>HYPERLINK(CONCAT("http://leetcode.com/problems/",Github!C$879), Github!B$879)</f>
        <v>Nth Magical Number</v>
      </c>
      <c r="C880" s="17">
        <f>Github!F$879</f>
        <v>937</v>
      </c>
      <c r="D880" s="17">
        <f>Github!G$879</f>
        <v>131</v>
      </c>
      <c r="E880" s="17">
        <f>Github!F$879+Github!G$879</f>
        <v>1068</v>
      </c>
      <c r="F880" s="18">
        <f t="shared" si="1"/>
        <v>7.15</v>
      </c>
      <c r="G880" s="17" t="str">
        <f>Github!H$879</f>
        <v>Algorithms</v>
      </c>
      <c r="H880" s="17" t="str">
        <f>Github!E$879</f>
        <v>Hard</v>
      </c>
      <c r="I880" s="17" t="str">
        <f>IF(TRIM(Github!D$879)="TRUE","FALSE","TRUE")</f>
        <v>TRUE</v>
      </c>
      <c r="J880" s="17"/>
      <c r="K880" s="17" t="str">
        <f>Github!L$879</f>
        <v>Math;Binary Search;</v>
      </c>
      <c r="L880" s="17" t="b">
        <f>Github!M$879</f>
        <v>1</v>
      </c>
      <c r="M880" s="17" t="str">
        <f>ROUND(Github!N$879, 2)&amp;"%"</f>
        <v>0%</v>
      </c>
      <c r="N880" s="17">
        <f>Github!O$879</f>
        <v>35.80471753</v>
      </c>
      <c r="O880" s="17">
        <f>Github!P$879</f>
        <v>28507</v>
      </c>
    </row>
    <row r="881">
      <c r="A881" s="17">
        <f>Github!J$880</f>
        <v>879</v>
      </c>
      <c r="B881" s="27" t="str">
        <f>HYPERLINK(CONCAT("http://leetcode.com/problems/",Github!C$880), Github!B$880)</f>
        <v>Profitable Schemes</v>
      </c>
      <c r="C881" s="17">
        <f>Github!F$880</f>
        <v>424</v>
      </c>
      <c r="D881" s="17">
        <f>Github!G$880</f>
        <v>37</v>
      </c>
      <c r="E881" s="17">
        <f>Github!F$880+Github!G$880</f>
        <v>461</v>
      </c>
      <c r="F881" s="18">
        <f t="shared" si="1"/>
        <v>11.46</v>
      </c>
      <c r="G881" s="17" t="str">
        <f>Github!H$880</f>
        <v>Algorithms</v>
      </c>
      <c r="H881" s="17" t="str">
        <f>Github!E$880</f>
        <v>Hard</v>
      </c>
      <c r="I881" s="17" t="str">
        <f>IF(TRIM(Github!D$880)="TRUE","FALSE","TRUE")</f>
        <v>TRUE</v>
      </c>
      <c r="J881" s="17"/>
      <c r="K881" s="17" t="str">
        <f>Github!L$880</f>
        <v>Array;Dynamic Programming;</v>
      </c>
      <c r="L881" s="17" t="b">
        <f>Github!M$880</f>
        <v>1</v>
      </c>
      <c r="M881" s="17" t="str">
        <f>ROUND(Github!N$880, 2)&amp;"%"</f>
        <v>0%</v>
      </c>
      <c r="N881" s="17">
        <f>Github!O$880</f>
        <v>40.66939698</v>
      </c>
      <c r="O881" s="17">
        <f>Github!P$880</f>
        <v>14399</v>
      </c>
    </row>
    <row r="882">
      <c r="A882" s="17">
        <f>Github!J$881</f>
        <v>880</v>
      </c>
      <c r="B882" s="27" t="str">
        <f>HYPERLINK(CONCAT("http://leetcode.com/problems/",Github!C$881), Github!B$881)</f>
        <v>Decoded String at Index</v>
      </c>
      <c r="C882" s="17">
        <f>Github!F$881</f>
        <v>1122</v>
      </c>
      <c r="D882" s="17">
        <f>Github!G$881</f>
        <v>183</v>
      </c>
      <c r="E882" s="17">
        <f>Github!F$881+Github!G$881</f>
        <v>1305</v>
      </c>
      <c r="F882" s="18">
        <f t="shared" si="1"/>
        <v>6.13</v>
      </c>
      <c r="G882" s="17" t="str">
        <f>Github!H$881</f>
        <v>Algorithms</v>
      </c>
      <c r="H882" s="17" t="str">
        <f>Github!E$881</f>
        <v>Medium</v>
      </c>
      <c r="I882" s="17" t="str">
        <f>IF(TRIM(Github!D$881)="TRUE","FALSE","TRUE")</f>
        <v>TRUE</v>
      </c>
      <c r="J882" s="17"/>
      <c r="K882" s="17" t="str">
        <f>Github!L$881</f>
        <v>String;Stack;</v>
      </c>
      <c r="L882" s="17" t="b">
        <f>Github!M$881</f>
        <v>1</v>
      </c>
      <c r="M882" s="17" t="str">
        <f>ROUND(Github!N$881, 2)&amp;"%"</f>
        <v>0%</v>
      </c>
      <c r="N882" s="17">
        <f>Github!O$881</f>
        <v>28.29004646</v>
      </c>
      <c r="O882" s="17">
        <f>Github!P$881</f>
        <v>32819</v>
      </c>
    </row>
    <row r="883">
      <c r="A883" s="17">
        <f>Github!J$882</f>
        <v>881</v>
      </c>
      <c r="B883" s="27" t="str">
        <f>HYPERLINK(CONCAT("http://leetcode.com/problems/",Github!C$882), Github!B$882)</f>
        <v>Boats to Save People</v>
      </c>
      <c r="C883" s="17">
        <f>Github!F$882</f>
        <v>1794</v>
      </c>
      <c r="D883" s="17">
        <f>Github!G$882</f>
        <v>53</v>
      </c>
      <c r="E883" s="17">
        <f>Github!F$882+Github!G$882</f>
        <v>1847</v>
      </c>
      <c r="F883" s="18">
        <f t="shared" si="1"/>
        <v>33.85</v>
      </c>
      <c r="G883" s="17" t="str">
        <f>Github!H$882</f>
        <v>Algorithms</v>
      </c>
      <c r="H883" s="17" t="str">
        <f>Github!E$882</f>
        <v>Medium</v>
      </c>
      <c r="I883" s="17" t="str">
        <f>IF(TRIM(Github!D$882)="TRUE","FALSE","TRUE")</f>
        <v>TRUE</v>
      </c>
      <c r="J883" s="17"/>
      <c r="K883" s="17" t="str">
        <f>Github!L$882</f>
        <v>Array;Two Pointers;Greedy;Sorting;</v>
      </c>
      <c r="L883" s="17" t="b">
        <f>Github!M$882</f>
        <v>1</v>
      </c>
      <c r="M883" s="17" t="str">
        <f>ROUND(Github!N$882, 2)&amp;"%"</f>
        <v>0%</v>
      </c>
      <c r="N883" s="17">
        <f>Github!O$882</f>
        <v>49.91901971</v>
      </c>
      <c r="O883" s="17">
        <f>Github!P$882</f>
        <v>93698</v>
      </c>
    </row>
    <row r="884">
      <c r="A884" s="17">
        <f>Github!J$883</f>
        <v>882</v>
      </c>
      <c r="B884" s="27" t="str">
        <f>HYPERLINK(CONCAT("http://leetcode.com/problems/",Github!C$883), Github!B$883)</f>
        <v>Reachable Nodes In Subdivided Graph</v>
      </c>
      <c r="C884" s="17">
        <f>Github!F$883</f>
        <v>502</v>
      </c>
      <c r="D884" s="17">
        <f>Github!G$883</f>
        <v>197</v>
      </c>
      <c r="E884" s="17">
        <f>Github!F$883+Github!G$883</f>
        <v>699</v>
      </c>
      <c r="F884" s="18">
        <f t="shared" si="1"/>
        <v>2.55</v>
      </c>
      <c r="G884" s="17" t="str">
        <f>Github!H$883</f>
        <v>Algorithms</v>
      </c>
      <c r="H884" s="17" t="str">
        <f>Github!E$883</f>
        <v>Hard</v>
      </c>
      <c r="I884" s="17" t="str">
        <f>IF(TRIM(Github!D$883)="TRUE","FALSE","TRUE")</f>
        <v>TRUE</v>
      </c>
      <c r="J884" s="17"/>
      <c r="K884" s="17" t="str">
        <f>Github!L$883</f>
        <v>Graph;Heap (Priority Queue);Shortest Path;</v>
      </c>
      <c r="L884" s="17" t="b">
        <f>Github!M$883</f>
        <v>1</v>
      </c>
      <c r="M884" s="17" t="str">
        <f>ROUND(Github!N$883, 2)&amp;"%"</f>
        <v>0%</v>
      </c>
      <c r="N884" s="17">
        <f>Github!O$883</f>
        <v>49.67942194</v>
      </c>
      <c r="O884" s="17">
        <f>Github!P$883</f>
        <v>19526</v>
      </c>
    </row>
    <row r="885">
      <c r="A885" s="17">
        <f>Github!J$884</f>
        <v>883</v>
      </c>
      <c r="B885" s="27" t="str">
        <f>HYPERLINK(CONCAT("http://leetcode.com/problems/",Github!C$884), Github!B$884)</f>
        <v>Projection Area of 3D Shapes</v>
      </c>
      <c r="C885" s="17">
        <f>Github!F$884</f>
        <v>383</v>
      </c>
      <c r="D885" s="17">
        <f>Github!G$884</f>
        <v>1122</v>
      </c>
      <c r="E885" s="17">
        <f>Github!F$884+Github!G$884</f>
        <v>1505</v>
      </c>
      <c r="F885" s="18">
        <f t="shared" si="1"/>
        <v>0.34</v>
      </c>
      <c r="G885" s="17" t="str">
        <f>Github!H$884</f>
        <v>Algorithms</v>
      </c>
      <c r="H885" s="17" t="str">
        <f>Github!E$884</f>
        <v>Easy</v>
      </c>
      <c r="I885" s="17" t="str">
        <f>IF(TRIM(Github!D$884)="TRUE","FALSE","TRUE")</f>
        <v>TRUE</v>
      </c>
      <c r="J885" s="17"/>
      <c r="K885" s="17" t="str">
        <f>Github!L$884</f>
        <v>Array;Math;Geometry;Matrix;</v>
      </c>
      <c r="L885" s="17" t="b">
        <f>Github!M$884</f>
        <v>1</v>
      </c>
      <c r="M885" s="17" t="str">
        <f>ROUND(Github!N$884, 2)&amp;"%"</f>
        <v>0%</v>
      </c>
      <c r="N885" s="17">
        <f>Github!O$884</f>
        <v>69.87273661</v>
      </c>
      <c r="O885" s="17">
        <f>Github!P$884</f>
        <v>39476</v>
      </c>
    </row>
    <row r="886">
      <c r="A886" s="17">
        <f>Github!J$885</f>
        <v>884</v>
      </c>
      <c r="B886" s="27" t="str">
        <f>HYPERLINK(CONCAT("http://leetcode.com/problems/",Github!C$885), Github!B$885)</f>
        <v>Uncommon Words from Two Sentences</v>
      </c>
      <c r="C886" s="17">
        <f>Github!F$885</f>
        <v>865</v>
      </c>
      <c r="D886" s="17">
        <f>Github!G$885</f>
        <v>133</v>
      </c>
      <c r="E886" s="17">
        <f>Github!F$885+Github!G$885</f>
        <v>998</v>
      </c>
      <c r="F886" s="18">
        <f t="shared" si="1"/>
        <v>6.5</v>
      </c>
      <c r="G886" s="17" t="str">
        <f>Github!H$885</f>
        <v>Algorithms</v>
      </c>
      <c r="H886" s="17" t="str">
        <f>Github!E$885</f>
        <v>Easy</v>
      </c>
      <c r="I886" s="17" t="str">
        <f>IF(TRIM(Github!D$885)="TRUE","FALSE","TRUE")</f>
        <v>TRUE</v>
      </c>
      <c r="J886" s="17"/>
      <c r="K886" s="17" t="str">
        <f>Github!L$885</f>
        <v>Hash Table;String;</v>
      </c>
      <c r="L886" s="17" t="b">
        <f>Github!M$885</f>
        <v>1</v>
      </c>
      <c r="M886" s="17" t="str">
        <f>ROUND(Github!N$885, 2)&amp;"%"</f>
        <v>0%</v>
      </c>
      <c r="N886" s="17">
        <f>Github!O$885</f>
        <v>65.4200478</v>
      </c>
      <c r="O886" s="17">
        <f>Github!P$885</f>
        <v>94161</v>
      </c>
    </row>
    <row r="887">
      <c r="A887" s="17">
        <f>Github!J$886</f>
        <v>885</v>
      </c>
      <c r="B887" s="27" t="str">
        <f>HYPERLINK(CONCAT("http://leetcode.com/problems/",Github!C$886), Github!B$886)</f>
        <v>Spiral Matrix III</v>
      </c>
      <c r="C887" s="17">
        <f>Github!F$886</f>
        <v>480</v>
      </c>
      <c r="D887" s="17">
        <f>Github!G$886</f>
        <v>515</v>
      </c>
      <c r="E887" s="17">
        <f>Github!F$886+Github!G$886</f>
        <v>995</v>
      </c>
      <c r="F887" s="18">
        <f t="shared" si="1"/>
        <v>0.93</v>
      </c>
      <c r="G887" s="17" t="str">
        <f>Github!H$886</f>
        <v>Algorithms</v>
      </c>
      <c r="H887" s="17" t="str">
        <f>Github!E$886</f>
        <v>Medium</v>
      </c>
      <c r="I887" s="17" t="str">
        <f>IF(TRIM(Github!D$886)="TRUE","FALSE","TRUE")</f>
        <v>TRUE</v>
      </c>
      <c r="J887" s="17"/>
      <c r="K887" s="17" t="str">
        <f>Github!L$886</f>
        <v>Array;Matrix;Simulation;</v>
      </c>
      <c r="L887" s="17" t="b">
        <f>Github!M$886</f>
        <v>1</v>
      </c>
      <c r="M887" s="17" t="str">
        <f>ROUND(Github!N$886, 2)&amp;"%"</f>
        <v>0%</v>
      </c>
      <c r="N887" s="17">
        <f>Github!O$886</f>
        <v>72.21330048</v>
      </c>
      <c r="O887" s="17">
        <f>Github!P$886</f>
        <v>32825</v>
      </c>
    </row>
    <row r="888">
      <c r="A888" s="17">
        <f>Github!J$887</f>
        <v>886</v>
      </c>
      <c r="B888" s="27" t="str">
        <f>HYPERLINK(CONCAT("http://leetcode.com/problems/",Github!C$887), Github!B$887)</f>
        <v>Possible Bipartition</v>
      </c>
      <c r="C888" s="17">
        <f>Github!F$887</f>
        <v>2128</v>
      </c>
      <c r="D888" s="17">
        <f>Github!G$887</f>
        <v>51</v>
      </c>
      <c r="E888" s="17">
        <f>Github!F$887+Github!G$887</f>
        <v>2179</v>
      </c>
      <c r="F888" s="18">
        <f t="shared" si="1"/>
        <v>41.73</v>
      </c>
      <c r="G888" s="17" t="str">
        <f>Github!H$887</f>
        <v>Algorithms</v>
      </c>
      <c r="H888" s="17" t="str">
        <f>Github!E$887</f>
        <v>Medium</v>
      </c>
      <c r="I888" s="17" t="str">
        <f>IF(TRIM(Github!D$887)="TRUE","FALSE","TRUE")</f>
        <v>TRUE</v>
      </c>
      <c r="J888" s="17"/>
      <c r="K888" s="17" t="str">
        <f>Github!L$887</f>
        <v>Depth-First Search;Breadth-First Search;Union Find;Graph;</v>
      </c>
      <c r="L888" s="17" t="b">
        <f>Github!M$887</f>
        <v>0</v>
      </c>
      <c r="M888" s="17" t="str">
        <f>ROUND(Github!N$887, 2)&amp;"%"</f>
        <v>0%</v>
      </c>
      <c r="N888" s="17">
        <f>Github!O$887</f>
        <v>46.92193347</v>
      </c>
      <c r="O888" s="17">
        <f>Github!P$887</f>
        <v>100693</v>
      </c>
    </row>
    <row r="889">
      <c r="A889" s="17">
        <f>Github!J$888</f>
        <v>887</v>
      </c>
      <c r="B889" s="27" t="str">
        <f>HYPERLINK(CONCAT("http://leetcode.com/problems/",Github!C$888), Github!B$888)</f>
        <v>Super Egg Drop</v>
      </c>
      <c r="C889" s="17">
        <f>Github!F$888</f>
        <v>2256</v>
      </c>
      <c r="D889" s="17">
        <f>Github!G$888</f>
        <v>121</v>
      </c>
      <c r="E889" s="17">
        <f>Github!F$888+Github!G$888</f>
        <v>2377</v>
      </c>
      <c r="F889" s="18">
        <f t="shared" si="1"/>
        <v>18.64</v>
      </c>
      <c r="G889" s="17" t="str">
        <f>Github!H$888</f>
        <v>Algorithms</v>
      </c>
      <c r="H889" s="17" t="str">
        <f>Github!E$888</f>
        <v>Hard</v>
      </c>
      <c r="I889" s="17" t="str">
        <f>IF(TRIM(Github!D$888)="TRUE","FALSE","TRUE")</f>
        <v>TRUE</v>
      </c>
      <c r="J889" s="17"/>
      <c r="K889" s="17" t="str">
        <f>Github!L$888</f>
        <v>Math;Binary Search;Dynamic Programming;</v>
      </c>
      <c r="L889" s="17" t="b">
        <f>Github!M$888</f>
        <v>1</v>
      </c>
      <c r="M889" s="17" t="str">
        <f>ROUND(Github!N$888, 2)&amp;"%"</f>
        <v>0%</v>
      </c>
      <c r="N889" s="17">
        <f>Github!O$888</f>
        <v>27.14761598</v>
      </c>
      <c r="O889" s="17">
        <f>Github!P$888</f>
        <v>43437</v>
      </c>
    </row>
    <row r="890">
      <c r="A890" s="17">
        <f>Github!J$889</f>
        <v>888</v>
      </c>
      <c r="B890" s="27" t="str">
        <f>HYPERLINK(CONCAT("http://leetcode.com/problems/",Github!C$889), Github!B$889)</f>
        <v>Fair Candy Swap</v>
      </c>
      <c r="C890" s="17">
        <f>Github!F$889</f>
        <v>1191</v>
      </c>
      <c r="D890" s="17">
        <f>Github!G$889</f>
        <v>220</v>
      </c>
      <c r="E890" s="17">
        <f>Github!F$889+Github!G$889</f>
        <v>1411</v>
      </c>
      <c r="F890" s="18">
        <f t="shared" si="1"/>
        <v>5.41</v>
      </c>
      <c r="G890" s="17" t="str">
        <f>Github!H$889</f>
        <v>Algorithms</v>
      </c>
      <c r="H890" s="17" t="str">
        <f>Github!E$889</f>
        <v>Easy</v>
      </c>
      <c r="I890" s="17" t="str">
        <f>IF(TRIM(Github!D$889)="TRUE","FALSE","TRUE")</f>
        <v>TRUE</v>
      </c>
      <c r="J890" s="17"/>
      <c r="K890" s="17" t="str">
        <f>Github!L$889</f>
        <v>Array;Hash Table;Binary Search;Sorting;</v>
      </c>
      <c r="L890" s="17" t="b">
        <f>Github!M$889</f>
        <v>1</v>
      </c>
      <c r="M890" s="17" t="str">
        <f>ROUND(Github!N$889, 2)&amp;"%"</f>
        <v>0%</v>
      </c>
      <c r="N890" s="17">
        <f>Github!O$889</f>
        <v>60.37585273</v>
      </c>
      <c r="O890" s="17">
        <f>Github!P$889</f>
        <v>78680</v>
      </c>
    </row>
    <row r="891">
      <c r="A891" s="17">
        <f>Github!J$890</f>
        <v>889</v>
      </c>
      <c r="B891" s="27" t="str">
        <f>HYPERLINK(CONCAT("http://leetcode.com/problems/",Github!C$890), Github!B$890)</f>
        <v>Construct Binary Tree from Preorder and Postorder Traversal</v>
      </c>
      <c r="C891" s="17">
        <f>Github!F$890</f>
        <v>1780</v>
      </c>
      <c r="D891" s="17">
        <f>Github!G$890</f>
        <v>82</v>
      </c>
      <c r="E891" s="17">
        <f>Github!F$890+Github!G$890</f>
        <v>1862</v>
      </c>
      <c r="F891" s="18">
        <f t="shared" si="1"/>
        <v>21.71</v>
      </c>
      <c r="G891" s="17" t="str">
        <f>Github!H$890</f>
        <v>Algorithms</v>
      </c>
      <c r="H891" s="17" t="str">
        <f>Github!E$890</f>
        <v>Medium</v>
      </c>
      <c r="I891" s="17" t="str">
        <f>IF(TRIM(Github!D$890)="TRUE","FALSE","TRUE")</f>
        <v>TRUE</v>
      </c>
      <c r="J891" s="17"/>
      <c r="K891" s="17" t="str">
        <f>Github!L$890</f>
        <v>Array;Hash Table;Divide and Conquer;Tree;Binary Tree;</v>
      </c>
      <c r="L891" s="17" t="b">
        <f>Github!M$890</f>
        <v>0</v>
      </c>
      <c r="M891" s="17" t="str">
        <f>ROUND(Github!N$890, 2)&amp;"%"</f>
        <v>0%</v>
      </c>
      <c r="N891" s="17">
        <f>Github!O$890</f>
        <v>69.75277523</v>
      </c>
      <c r="O891" s="17">
        <f>Github!P$890</f>
        <v>67799</v>
      </c>
    </row>
    <row r="892">
      <c r="A892" s="17">
        <f>Github!J$891</f>
        <v>890</v>
      </c>
      <c r="B892" s="27" t="str">
        <f>HYPERLINK(CONCAT("http://leetcode.com/problems/",Github!C$891), Github!B$891)</f>
        <v>Find and Replace Pattern</v>
      </c>
      <c r="C892" s="17">
        <f>Github!F$891</f>
        <v>1739</v>
      </c>
      <c r="D892" s="17">
        <f>Github!G$891</f>
        <v>115</v>
      </c>
      <c r="E892" s="17">
        <f>Github!F$891+Github!G$891</f>
        <v>1854</v>
      </c>
      <c r="F892" s="18">
        <f t="shared" si="1"/>
        <v>15.12</v>
      </c>
      <c r="G892" s="17" t="str">
        <f>Github!H$891</f>
        <v>Algorithms</v>
      </c>
      <c r="H892" s="17" t="str">
        <f>Github!E$891</f>
        <v>Medium</v>
      </c>
      <c r="I892" s="17" t="str">
        <f>IF(TRIM(Github!D$891)="TRUE","FALSE","TRUE")</f>
        <v>TRUE</v>
      </c>
      <c r="J892" s="17"/>
      <c r="K892" s="17" t="str">
        <f>Github!L$891</f>
        <v>Array;Hash Table;String;</v>
      </c>
      <c r="L892" s="17" t="b">
        <f>Github!M$891</f>
        <v>1</v>
      </c>
      <c r="M892" s="17" t="str">
        <f>ROUND(Github!N$891, 2)&amp;"%"</f>
        <v>0%</v>
      </c>
      <c r="N892" s="17">
        <f>Github!O$891</f>
        <v>75.58579106</v>
      </c>
      <c r="O892" s="17">
        <f>Github!P$891</f>
        <v>95771</v>
      </c>
    </row>
    <row r="893">
      <c r="A893" s="17">
        <f>Github!J$892</f>
        <v>891</v>
      </c>
      <c r="B893" s="27" t="str">
        <f>HYPERLINK(CONCAT("http://leetcode.com/problems/",Github!C$892), Github!B$892)</f>
        <v>Sum of Subsequence Widths</v>
      </c>
      <c r="C893" s="17">
        <f>Github!F$892</f>
        <v>475</v>
      </c>
      <c r="D893" s="17">
        <f>Github!G$892</f>
        <v>137</v>
      </c>
      <c r="E893" s="17">
        <f>Github!F$892+Github!G$892</f>
        <v>612</v>
      </c>
      <c r="F893" s="18">
        <f t="shared" si="1"/>
        <v>3.47</v>
      </c>
      <c r="G893" s="17" t="str">
        <f>Github!H$892</f>
        <v>Algorithms</v>
      </c>
      <c r="H893" s="17" t="str">
        <f>Github!E$892</f>
        <v>Hard</v>
      </c>
      <c r="I893" s="17" t="str">
        <f>IF(TRIM(Github!D$892)="TRUE","FALSE","TRUE")</f>
        <v>TRUE</v>
      </c>
      <c r="J893" s="17"/>
      <c r="K893" s="17" t="str">
        <f>Github!L$892</f>
        <v>Array;Math;Sorting;</v>
      </c>
      <c r="L893" s="17" t="b">
        <f>Github!M$892</f>
        <v>1</v>
      </c>
      <c r="M893" s="17" t="str">
        <f>ROUND(Github!N$892, 2)&amp;"%"</f>
        <v>0%</v>
      </c>
      <c r="N893" s="17">
        <f>Github!O$892</f>
        <v>35.14273933</v>
      </c>
      <c r="O893" s="17">
        <f>Github!P$892</f>
        <v>14489</v>
      </c>
    </row>
    <row r="894">
      <c r="A894" s="17">
        <f>Github!J$893</f>
        <v>892</v>
      </c>
      <c r="B894" s="27" t="str">
        <f>HYPERLINK(CONCAT("http://leetcode.com/problems/",Github!C$893), Github!B$893)</f>
        <v>Surface Area of 3D Shapes</v>
      </c>
      <c r="C894" s="17">
        <f>Github!F$893</f>
        <v>393</v>
      </c>
      <c r="D894" s="17">
        <f>Github!G$893</f>
        <v>555</v>
      </c>
      <c r="E894" s="17">
        <f>Github!F$893+Github!G$893</f>
        <v>948</v>
      </c>
      <c r="F894" s="18">
        <f t="shared" si="1"/>
        <v>0.71</v>
      </c>
      <c r="G894" s="17" t="str">
        <f>Github!H$893</f>
        <v>Algorithms</v>
      </c>
      <c r="H894" s="17" t="str">
        <f>Github!E$893</f>
        <v>Easy</v>
      </c>
      <c r="I894" s="17" t="str">
        <f>IF(TRIM(Github!D$893)="TRUE","FALSE","TRUE")</f>
        <v>TRUE</v>
      </c>
      <c r="J894" s="17"/>
      <c r="K894" s="17" t="str">
        <f>Github!L$893</f>
        <v>Array;Math;Geometry;Matrix;</v>
      </c>
      <c r="L894" s="17" t="b">
        <f>Github!M$893</f>
        <v>0</v>
      </c>
      <c r="M894" s="17" t="str">
        <f>ROUND(Github!N$893, 2)&amp;"%"</f>
        <v>0%</v>
      </c>
      <c r="N894" s="17">
        <f>Github!O$893</f>
        <v>61.57398157</v>
      </c>
      <c r="O894" s="17">
        <f>Github!P$893</f>
        <v>27736</v>
      </c>
    </row>
    <row r="895">
      <c r="A895" s="17">
        <f>Github!J$894</f>
        <v>893</v>
      </c>
      <c r="B895" s="27" t="str">
        <f>HYPERLINK(CONCAT("http://leetcode.com/problems/",Github!C$894), Github!B$894)</f>
        <v>Groups of Special-Equivalent Strings</v>
      </c>
      <c r="C895" s="17">
        <f>Github!F$894</f>
        <v>423</v>
      </c>
      <c r="D895" s="17">
        <f>Github!G$894</f>
        <v>1379</v>
      </c>
      <c r="E895" s="17">
        <f>Github!F$894+Github!G$894</f>
        <v>1802</v>
      </c>
      <c r="F895" s="18">
        <f t="shared" si="1"/>
        <v>0.31</v>
      </c>
      <c r="G895" s="17" t="str">
        <f>Github!H$894</f>
        <v>Algorithms</v>
      </c>
      <c r="H895" s="17" t="str">
        <f>Github!E$894</f>
        <v>Medium</v>
      </c>
      <c r="I895" s="17" t="str">
        <f>IF(TRIM(Github!D$894)="TRUE","FALSE","TRUE")</f>
        <v>TRUE</v>
      </c>
      <c r="J895" s="17"/>
      <c r="K895" s="17" t="str">
        <f>Github!L$894</f>
        <v>Array;Hash Table;String;</v>
      </c>
      <c r="L895" s="17" t="b">
        <f>Github!M$894</f>
        <v>0</v>
      </c>
      <c r="M895" s="17" t="str">
        <f>ROUND(Github!N$894, 2)&amp;"%"</f>
        <v>0%</v>
      </c>
      <c r="N895" s="17">
        <f>Github!O$894</f>
        <v>70.43831761</v>
      </c>
      <c r="O895" s="17">
        <f>Github!P$894</f>
        <v>40545</v>
      </c>
    </row>
    <row r="896">
      <c r="A896" s="17">
        <f>Github!J$895</f>
        <v>894</v>
      </c>
      <c r="B896" s="27" t="str">
        <f>HYPERLINK(CONCAT("http://leetcode.com/problems/",Github!C$895), Github!B$895)</f>
        <v>All Possible Full Binary Trees</v>
      </c>
      <c r="C896" s="17">
        <f>Github!F$895</f>
        <v>2434</v>
      </c>
      <c r="D896" s="17">
        <f>Github!G$895</f>
        <v>182</v>
      </c>
      <c r="E896" s="17">
        <f>Github!F$895+Github!G$895</f>
        <v>2616</v>
      </c>
      <c r="F896" s="18">
        <f t="shared" si="1"/>
        <v>13.37</v>
      </c>
      <c r="G896" s="17" t="str">
        <f>Github!H$895</f>
        <v>Algorithms</v>
      </c>
      <c r="H896" s="17" t="str">
        <f>Github!E$895</f>
        <v>Medium</v>
      </c>
      <c r="I896" s="17" t="str">
        <f>IF(TRIM(Github!D$895)="TRUE","FALSE","TRUE")</f>
        <v>TRUE</v>
      </c>
      <c r="J896" s="17"/>
      <c r="K896" s="17" t="str">
        <f>Github!L$895</f>
        <v>Dynamic Programming;Tree;Recursion;Memoization;Binary Tree;</v>
      </c>
      <c r="L896" s="17" t="b">
        <f>Github!M$895</f>
        <v>1</v>
      </c>
      <c r="M896" s="17" t="str">
        <f>ROUND(Github!N$895, 2)&amp;"%"</f>
        <v>0%</v>
      </c>
      <c r="N896" s="17">
        <f>Github!O$895</f>
        <v>79.29043069</v>
      </c>
      <c r="O896" s="17">
        <f>Github!P$895</f>
        <v>79495</v>
      </c>
    </row>
    <row r="897">
      <c r="A897" s="17">
        <f>Github!J$896</f>
        <v>895</v>
      </c>
      <c r="B897" s="27" t="str">
        <f>HYPERLINK(CONCAT("http://leetcode.com/problems/",Github!C$896), Github!B$896)</f>
        <v>Maximum Frequency Stack</v>
      </c>
      <c r="C897" s="17">
        <f>Github!F$896</f>
        <v>2490</v>
      </c>
      <c r="D897" s="17">
        <f>Github!G$896</f>
        <v>42</v>
      </c>
      <c r="E897" s="17">
        <f>Github!F$896+Github!G$896</f>
        <v>2532</v>
      </c>
      <c r="F897" s="18">
        <f t="shared" si="1"/>
        <v>59.29</v>
      </c>
      <c r="G897" s="17" t="str">
        <f>Github!H$896</f>
        <v>Algorithms</v>
      </c>
      <c r="H897" s="17" t="str">
        <f>Github!E$896</f>
        <v>Hard</v>
      </c>
      <c r="I897" s="17" t="str">
        <f>IF(TRIM(Github!D$896)="TRUE","FALSE","TRUE")</f>
        <v>TRUE</v>
      </c>
      <c r="J897" s="17"/>
      <c r="K897" s="17" t="str">
        <f>Github!L$896</f>
        <v>Hash Table;Stack;Design;Ordered Set;</v>
      </c>
      <c r="L897" s="17" t="b">
        <f>Github!M$896</f>
        <v>1</v>
      </c>
      <c r="M897" s="17" t="str">
        <f>ROUND(Github!N$896, 2)&amp;"%"</f>
        <v>0%</v>
      </c>
      <c r="N897" s="17">
        <f>Github!O$896</f>
        <v>64.8098085</v>
      </c>
      <c r="O897" s="17">
        <f>Github!P$896</f>
        <v>91817</v>
      </c>
    </row>
    <row r="898">
      <c r="A898" s="17">
        <f>Github!J$897</f>
        <v>896</v>
      </c>
      <c r="B898" s="27" t="str">
        <f>HYPERLINK(CONCAT("http://leetcode.com/problems/",Github!C$897), Github!B$897)</f>
        <v>Monotonic Array</v>
      </c>
      <c r="C898" s="17">
        <f>Github!F$897</f>
        <v>1390</v>
      </c>
      <c r="D898" s="17">
        <f>Github!G$897</f>
        <v>53</v>
      </c>
      <c r="E898" s="17">
        <f>Github!F$897+Github!G$897</f>
        <v>1443</v>
      </c>
      <c r="F898" s="18">
        <f t="shared" si="1"/>
        <v>26.23</v>
      </c>
      <c r="G898" s="17" t="str">
        <f>Github!H$897</f>
        <v>Algorithms</v>
      </c>
      <c r="H898" s="17" t="str">
        <f>Github!E$897</f>
        <v>Easy</v>
      </c>
      <c r="I898" s="17" t="str">
        <f>IF(TRIM(Github!D$897)="TRUE","FALSE","TRUE")</f>
        <v>TRUE</v>
      </c>
      <c r="J898" s="17"/>
      <c r="K898" s="17" t="str">
        <f>Github!L$897</f>
        <v>Array;</v>
      </c>
      <c r="L898" s="17" t="b">
        <f>Github!M$897</f>
        <v>1</v>
      </c>
      <c r="M898" s="17" t="str">
        <f>ROUND(Github!N$897, 2)&amp;"%"</f>
        <v>0%</v>
      </c>
      <c r="N898" s="17">
        <f>Github!O$897</f>
        <v>58.45573803</v>
      </c>
      <c r="O898" s="17">
        <f>Github!P$897</f>
        <v>192095</v>
      </c>
    </row>
    <row r="899">
      <c r="A899" s="17">
        <f>Github!J$898</f>
        <v>897</v>
      </c>
      <c r="B899" s="27" t="str">
        <f>HYPERLINK(CONCAT("http://leetcode.com/problems/",Github!C$898), Github!B$898)</f>
        <v>Increasing Order Search Tree</v>
      </c>
      <c r="C899" s="17">
        <f>Github!F$898</f>
        <v>2199</v>
      </c>
      <c r="D899" s="17">
        <f>Github!G$898</f>
        <v>593</v>
      </c>
      <c r="E899" s="17">
        <f>Github!F$898+Github!G$898</f>
        <v>2792</v>
      </c>
      <c r="F899" s="18">
        <f t="shared" si="1"/>
        <v>3.71</v>
      </c>
      <c r="G899" s="17" t="str">
        <f>Github!H$898</f>
        <v>Algorithms</v>
      </c>
      <c r="H899" s="17" t="str">
        <f>Github!E$898</f>
        <v>Easy</v>
      </c>
      <c r="I899" s="17" t="str">
        <f>IF(TRIM(Github!D$898)="TRUE","FALSE","TRUE")</f>
        <v>TRUE</v>
      </c>
      <c r="J899" s="17"/>
      <c r="K899" s="17" t="str">
        <f>Github!L$898</f>
        <v>Stack;Tree;Depth-First Search;Binary Search Tree;Binary Tree;</v>
      </c>
      <c r="L899" s="17" t="b">
        <f>Github!M$898</f>
        <v>1</v>
      </c>
      <c r="M899" s="17" t="str">
        <f>ROUND(Github!N$898, 2)&amp;"%"</f>
        <v>0%</v>
      </c>
      <c r="N899" s="17">
        <f>Github!O$898</f>
        <v>76.05550401</v>
      </c>
      <c r="O899" s="17">
        <f>Github!P$898</f>
        <v>163113</v>
      </c>
    </row>
    <row r="900">
      <c r="A900" s="17">
        <f>Github!J$899</f>
        <v>898</v>
      </c>
      <c r="B900" s="27" t="str">
        <f>HYPERLINK(CONCAT("http://leetcode.com/problems/",Github!C$899), Github!B$899)</f>
        <v>Bitwise ORs of Subarrays</v>
      </c>
      <c r="C900" s="17">
        <f>Github!F$899</f>
        <v>921</v>
      </c>
      <c r="D900" s="17">
        <f>Github!G$899</f>
        <v>174</v>
      </c>
      <c r="E900" s="17">
        <f>Github!F$899+Github!G$899</f>
        <v>1095</v>
      </c>
      <c r="F900" s="18">
        <f t="shared" si="1"/>
        <v>5.29</v>
      </c>
      <c r="G900" s="17" t="str">
        <f>Github!H$899</f>
        <v>Algorithms</v>
      </c>
      <c r="H900" s="17" t="str">
        <f>Github!E$899</f>
        <v>Medium</v>
      </c>
      <c r="I900" s="17" t="str">
        <f>IF(TRIM(Github!D$899)="TRUE","FALSE","TRUE")</f>
        <v>TRUE</v>
      </c>
      <c r="J900" s="17"/>
      <c r="K900" s="17" t="str">
        <f>Github!L$899</f>
        <v>Array;Dynamic Programming;Bit Manipulation;</v>
      </c>
      <c r="L900" s="17" t="b">
        <f>Github!M$899</f>
        <v>0</v>
      </c>
      <c r="M900" s="17" t="str">
        <f>ROUND(Github!N$899, 2)&amp;"%"</f>
        <v>0%</v>
      </c>
      <c r="N900" s="17">
        <f>Github!O$899</f>
        <v>36.15144197</v>
      </c>
      <c r="O900" s="17">
        <f>Github!P$899</f>
        <v>25447</v>
      </c>
    </row>
    <row r="901">
      <c r="A901" s="17">
        <f>Github!J$900</f>
        <v>899</v>
      </c>
      <c r="B901" s="27" t="str">
        <f>HYPERLINK(CONCAT("http://leetcode.com/problems/",Github!C$900), Github!B$900)</f>
        <v>Orderly Queue</v>
      </c>
      <c r="C901" s="17">
        <f>Github!F$900</f>
        <v>548</v>
      </c>
      <c r="D901" s="17">
        <f>Github!G$900</f>
        <v>354</v>
      </c>
      <c r="E901" s="17">
        <f>Github!F$900+Github!G$900</f>
        <v>902</v>
      </c>
      <c r="F901" s="18">
        <f t="shared" si="1"/>
        <v>1.55</v>
      </c>
      <c r="G901" s="17" t="str">
        <f>Github!H$900</f>
        <v>Algorithms</v>
      </c>
      <c r="H901" s="17" t="str">
        <f>Github!E$900</f>
        <v>Hard</v>
      </c>
      <c r="I901" s="17" t="str">
        <f>IF(TRIM(Github!D$900)="TRUE","FALSE","TRUE")</f>
        <v>TRUE</v>
      </c>
      <c r="J901" s="17"/>
      <c r="K901" s="17" t="str">
        <f>Github!L$900</f>
        <v>Math;String;Sorting;</v>
      </c>
      <c r="L901" s="17" t="b">
        <f>Github!M$900</f>
        <v>1</v>
      </c>
      <c r="M901" s="17" t="str">
        <f>ROUND(Github!N$900, 2)&amp;"%"</f>
        <v>0%</v>
      </c>
      <c r="N901" s="17">
        <f>Github!O$900</f>
        <v>58.50333871</v>
      </c>
      <c r="O901" s="17">
        <f>Github!P$900</f>
        <v>25408</v>
      </c>
    </row>
    <row r="902">
      <c r="A902" s="17">
        <f>Github!J$901</f>
        <v>900</v>
      </c>
      <c r="B902" s="27" t="str">
        <f>HYPERLINK(CONCAT("http://leetcode.com/problems/",Github!C$901), Github!B$901)</f>
        <v>RLE Iterator</v>
      </c>
      <c r="C902" s="17">
        <f>Github!F$901</f>
        <v>508</v>
      </c>
      <c r="D902" s="17">
        <f>Github!G$901</f>
        <v>141</v>
      </c>
      <c r="E902" s="17">
        <f>Github!F$901+Github!G$901</f>
        <v>649</v>
      </c>
      <c r="F902" s="18">
        <f t="shared" si="1"/>
        <v>3.6</v>
      </c>
      <c r="G902" s="17" t="str">
        <f>Github!H$901</f>
        <v>Algorithms</v>
      </c>
      <c r="H902" s="17" t="str">
        <f>Github!E$901</f>
        <v>Medium</v>
      </c>
      <c r="I902" s="17" t="str">
        <f>IF(TRIM(Github!D$901)="TRUE","FALSE","TRUE")</f>
        <v>TRUE</v>
      </c>
      <c r="J902" s="17"/>
      <c r="K902" s="17" t="str">
        <f>Github!L$901</f>
        <v>Array;Design;Counting;Iterator;</v>
      </c>
      <c r="L902" s="17" t="b">
        <f>Github!M$901</f>
        <v>0</v>
      </c>
      <c r="M902" s="17" t="str">
        <f>ROUND(Github!N$901, 2)&amp;"%"</f>
        <v>0%</v>
      </c>
      <c r="N902" s="17">
        <f>Github!O$901</f>
        <v>58.48956678</v>
      </c>
      <c r="O902" s="17">
        <f>Github!P$901</f>
        <v>49698</v>
      </c>
    </row>
    <row r="903">
      <c r="A903" s="17">
        <f>Github!J$902</f>
        <v>901</v>
      </c>
      <c r="B903" s="27" t="str">
        <f>HYPERLINK(CONCAT("http://leetcode.com/problems/",Github!C$902), Github!B$902)</f>
        <v>Online Stock Span</v>
      </c>
      <c r="C903" s="17">
        <f>Github!F$902</f>
        <v>2440</v>
      </c>
      <c r="D903" s="17">
        <f>Github!G$902</f>
        <v>200</v>
      </c>
      <c r="E903" s="17">
        <f>Github!F$902+Github!G$902</f>
        <v>2640</v>
      </c>
      <c r="F903" s="18">
        <f t="shared" si="1"/>
        <v>12.2</v>
      </c>
      <c r="G903" s="17" t="str">
        <f>Github!H$902</f>
        <v>Algorithms</v>
      </c>
      <c r="H903" s="17" t="str">
        <f>Github!E$902</f>
        <v>Medium</v>
      </c>
      <c r="I903" s="17" t="str">
        <f>IF(TRIM(Github!D$902)="TRUE","FALSE","TRUE")</f>
        <v>TRUE</v>
      </c>
      <c r="J903" s="17"/>
      <c r="K903" s="17" t="str">
        <f>Github!L$902</f>
        <v>Stack;Design;Monotonic Stack;Data Stream;</v>
      </c>
      <c r="L903" s="17" t="b">
        <f>Github!M$902</f>
        <v>0</v>
      </c>
      <c r="M903" s="17" t="str">
        <f>ROUND(Github!N$902, 2)&amp;"%"</f>
        <v>0%</v>
      </c>
      <c r="N903" s="17">
        <f>Github!O$902</f>
        <v>62.94676735</v>
      </c>
      <c r="O903" s="17">
        <f>Github!P$902</f>
        <v>118614</v>
      </c>
    </row>
    <row r="904">
      <c r="A904" s="17">
        <f>Github!J$903</f>
        <v>902</v>
      </c>
      <c r="B904" s="27" t="str">
        <f>HYPERLINK(CONCAT("http://leetcode.com/problems/",Github!C$903), Github!B$903)</f>
        <v>Numbers At Most N Given Digit Set</v>
      </c>
      <c r="C904" s="17">
        <f>Github!F$903</f>
        <v>1032</v>
      </c>
      <c r="D904" s="17">
        <f>Github!G$903</f>
        <v>88</v>
      </c>
      <c r="E904" s="17">
        <f>Github!F$903+Github!G$903</f>
        <v>1120</v>
      </c>
      <c r="F904" s="18">
        <f t="shared" si="1"/>
        <v>11.73</v>
      </c>
      <c r="G904" s="17" t="str">
        <f>Github!H$903</f>
        <v>Algorithms</v>
      </c>
      <c r="H904" s="17" t="str">
        <f>Github!E$903</f>
        <v>Hard</v>
      </c>
      <c r="I904" s="17" t="str">
        <f>IF(TRIM(Github!D$903)="TRUE","FALSE","TRUE")</f>
        <v>TRUE</v>
      </c>
      <c r="J904" s="17"/>
      <c r="K904" s="17" t="str">
        <f>Github!L$903</f>
        <v>Array;Math;Binary Search;Dynamic Programming;</v>
      </c>
      <c r="L904" s="17" t="b">
        <f>Github!M$903</f>
        <v>1</v>
      </c>
      <c r="M904" s="17" t="str">
        <f>ROUND(Github!N$903, 2)&amp;"%"</f>
        <v>0%</v>
      </c>
      <c r="N904" s="17">
        <f>Github!O$903</f>
        <v>40.80342482</v>
      </c>
      <c r="O904" s="17">
        <f>Github!P$903</f>
        <v>34789</v>
      </c>
    </row>
    <row r="905">
      <c r="A905" s="17">
        <f>Github!J$904</f>
        <v>903</v>
      </c>
      <c r="B905" s="27" t="str">
        <f>HYPERLINK(CONCAT("http://leetcode.com/problems/",Github!C$904), Github!B$904)</f>
        <v>Valid Permutations for DI Sequence</v>
      </c>
      <c r="C905" s="17">
        <f>Github!F$904</f>
        <v>437</v>
      </c>
      <c r="D905" s="17">
        <f>Github!G$904</f>
        <v>35</v>
      </c>
      <c r="E905" s="17">
        <f>Github!F$904+Github!G$904</f>
        <v>472</v>
      </c>
      <c r="F905" s="18">
        <f t="shared" si="1"/>
        <v>12.49</v>
      </c>
      <c r="G905" s="17" t="str">
        <f>Github!H$904</f>
        <v>Algorithms</v>
      </c>
      <c r="H905" s="17" t="str">
        <f>Github!E$904</f>
        <v>Hard</v>
      </c>
      <c r="I905" s="17" t="str">
        <f>IF(TRIM(Github!D$904)="TRUE","FALSE","TRUE")</f>
        <v>TRUE</v>
      </c>
      <c r="J905" s="17"/>
      <c r="K905" s="17" t="str">
        <f>Github!L$904</f>
        <v>Dynamic Programming;</v>
      </c>
      <c r="L905" s="17" t="b">
        <f>Github!M$904</f>
        <v>0</v>
      </c>
      <c r="M905" s="17" t="str">
        <f>ROUND(Github!N$904, 2)&amp;"%"</f>
        <v>0%</v>
      </c>
      <c r="N905" s="17">
        <f>Github!O$904</f>
        <v>57.00512038</v>
      </c>
      <c r="O905" s="17">
        <f>Github!P$904</f>
        <v>10465</v>
      </c>
    </row>
    <row r="906">
      <c r="A906" s="17">
        <f>Github!J$905</f>
        <v>904</v>
      </c>
      <c r="B906" s="27" t="str">
        <f>HYPERLINK(CONCAT("http://leetcode.com/problems/",Github!C$905), Github!B$905)</f>
        <v>Fruit Into Baskets</v>
      </c>
      <c r="C906" s="17">
        <f>Github!F$905</f>
        <v>830</v>
      </c>
      <c r="D906" s="17">
        <f>Github!G$905</f>
        <v>56</v>
      </c>
      <c r="E906" s="17">
        <f>Github!F$905+Github!G$905</f>
        <v>886</v>
      </c>
      <c r="F906" s="18">
        <f t="shared" si="1"/>
        <v>14.82</v>
      </c>
      <c r="G906" s="17" t="str">
        <f>Github!H$905</f>
        <v>Algorithms</v>
      </c>
      <c r="H906" s="17" t="str">
        <f>Github!E$905</f>
        <v>Medium</v>
      </c>
      <c r="I906" s="17" t="str">
        <f>IF(TRIM(Github!D$905)="TRUE","FALSE","TRUE")</f>
        <v>TRUE</v>
      </c>
      <c r="J906" s="17"/>
      <c r="K906" s="17" t="str">
        <f>Github!L$905</f>
        <v>Array;Hash Table;Sliding Window;</v>
      </c>
      <c r="L906" s="17" t="b">
        <f>Github!M$905</f>
        <v>0</v>
      </c>
      <c r="M906" s="17" t="str">
        <f>ROUND(Github!N$905, 2)&amp;"%"</f>
        <v>0%</v>
      </c>
      <c r="N906" s="17">
        <f>Github!O$905</f>
        <v>42.9026835</v>
      </c>
      <c r="O906" s="17">
        <f>Github!P$905</f>
        <v>189355</v>
      </c>
    </row>
    <row r="907">
      <c r="A907" s="17">
        <f>Github!J$906</f>
        <v>905</v>
      </c>
      <c r="B907" s="27" t="str">
        <f>HYPERLINK(CONCAT("http://leetcode.com/problems/",Github!C$906), Github!B$906)</f>
        <v>Sort Array By Parity</v>
      </c>
      <c r="C907" s="17">
        <f>Github!F$906</f>
        <v>2536</v>
      </c>
      <c r="D907" s="17">
        <f>Github!G$906</f>
        <v>111</v>
      </c>
      <c r="E907" s="17">
        <f>Github!F$906+Github!G$906</f>
        <v>2647</v>
      </c>
      <c r="F907" s="18">
        <f t="shared" si="1"/>
        <v>22.85</v>
      </c>
      <c r="G907" s="17" t="str">
        <f>Github!H$906</f>
        <v>Algorithms</v>
      </c>
      <c r="H907" s="17" t="str">
        <f>Github!E$906</f>
        <v>Easy</v>
      </c>
      <c r="I907" s="17" t="str">
        <f>IF(TRIM(Github!D$906)="TRUE","FALSE","TRUE")</f>
        <v>TRUE</v>
      </c>
      <c r="J907" s="17"/>
      <c r="K907" s="17" t="str">
        <f>Github!L$906</f>
        <v>Array;Two Pointers;Sorting;</v>
      </c>
      <c r="L907" s="17" t="b">
        <f>Github!M$906</f>
        <v>1</v>
      </c>
      <c r="M907" s="17" t="str">
        <f>ROUND(Github!N$906, 2)&amp;"%"</f>
        <v>0%</v>
      </c>
      <c r="N907" s="17">
        <f>Github!O$906</f>
        <v>74.7804091</v>
      </c>
      <c r="O907" s="17">
        <f>Github!P$906</f>
        <v>423633</v>
      </c>
    </row>
    <row r="908">
      <c r="A908" s="17">
        <f>Github!J$907</f>
        <v>906</v>
      </c>
      <c r="B908" s="27" t="str">
        <f>HYPERLINK(CONCAT("http://leetcode.com/problems/",Github!C$907), Github!B$907)</f>
        <v>Super Palindromes</v>
      </c>
      <c r="C908" s="17">
        <f>Github!F$907</f>
        <v>297</v>
      </c>
      <c r="D908" s="17">
        <f>Github!G$907</f>
        <v>374</v>
      </c>
      <c r="E908" s="17">
        <f>Github!F$907+Github!G$907</f>
        <v>671</v>
      </c>
      <c r="F908" s="18">
        <f t="shared" si="1"/>
        <v>0.79</v>
      </c>
      <c r="G908" s="17" t="str">
        <f>Github!H$907</f>
        <v>Algorithms</v>
      </c>
      <c r="H908" s="17" t="str">
        <f>Github!E$907</f>
        <v>Hard</v>
      </c>
      <c r="I908" s="17" t="str">
        <f>IF(TRIM(Github!D$907)="TRUE","FALSE","TRUE")</f>
        <v>TRUE</v>
      </c>
      <c r="J908" s="17"/>
      <c r="K908" s="17" t="str">
        <f>Github!L$907</f>
        <v>Math;Enumeration;</v>
      </c>
      <c r="L908" s="17" t="b">
        <f>Github!M$907</f>
        <v>1</v>
      </c>
      <c r="M908" s="17" t="str">
        <f>ROUND(Github!N$907, 2)&amp;"%"</f>
        <v>0%</v>
      </c>
      <c r="N908" s="17">
        <f>Github!O$907</f>
        <v>39.20399493</v>
      </c>
      <c r="O908" s="17">
        <f>Github!P$907</f>
        <v>21040</v>
      </c>
    </row>
    <row r="909">
      <c r="A909" s="17">
        <f>Github!J$908</f>
        <v>907</v>
      </c>
      <c r="B909" s="27" t="str">
        <f>HYPERLINK(CONCAT("http://leetcode.com/problems/",Github!C$908), Github!B$908)</f>
        <v>Sum of Subarray Minimums</v>
      </c>
      <c r="C909" s="17">
        <f>Github!F$908</f>
        <v>3215</v>
      </c>
      <c r="D909" s="17">
        <f>Github!G$908</f>
        <v>207</v>
      </c>
      <c r="E909" s="17">
        <f>Github!F$908+Github!G$908</f>
        <v>3422</v>
      </c>
      <c r="F909" s="18">
        <f t="shared" si="1"/>
        <v>15.53</v>
      </c>
      <c r="G909" s="17" t="str">
        <f>Github!H$908</f>
        <v>Algorithms</v>
      </c>
      <c r="H909" s="17" t="str">
        <f>Github!E$908</f>
        <v>Medium</v>
      </c>
      <c r="I909" s="17" t="str">
        <f>IF(TRIM(Github!D$908)="TRUE","FALSE","TRUE")</f>
        <v>TRUE</v>
      </c>
      <c r="J909" s="17"/>
      <c r="K909" s="17" t="str">
        <f>Github!L$908</f>
        <v>Array;Dynamic Programming;Stack;Monotonic Stack;</v>
      </c>
      <c r="L909" s="17" t="b">
        <f>Github!M$908</f>
        <v>0</v>
      </c>
      <c r="M909" s="17" t="str">
        <f>ROUND(Github!N$908, 2)&amp;"%"</f>
        <v>0%</v>
      </c>
      <c r="N909" s="17">
        <f>Github!O$908</f>
        <v>33.75341604</v>
      </c>
      <c r="O909" s="17">
        <f>Github!P$908</f>
        <v>68671</v>
      </c>
    </row>
    <row r="910">
      <c r="A910" s="17">
        <f>Github!J$909</f>
        <v>908</v>
      </c>
      <c r="B910" s="27" t="str">
        <f>HYPERLINK(CONCAT("http://leetcode.com/problems/",Github!C$909), Github!B$909)</f>
        <v>Smallest Range I</v>
      </c>
      <c r="C910" s="17">
        <f>Github!F$909</f>
        <v>401</v>
      </c>
      <c r="D910" s="17">
        <f>Github!G$909</f>
        <v>1579</v>
      </c>
      <c r="E910" s="17">
        <f>Github!F$909+Github!G$909</f>
        <v>1980</v>
      </c>
      <c r="F910" s="18">
        <f t="shared" si="1"/>
        <v>0.25</v>
      </c>
      <c r="G910" s="17" t="str">
        <f>Github!H$909</f>
        <v>Algorithms</v>
      </c>
      <c r="H910" s="17" t="str">
        <f>Github!E$909</f>
        <v>Easy</v>
      </c>
      <c r="I910" s="17" t="str">
        <f>IF(TRIM(Github!D$909)="TRUE","FALSE","TRUE")</f>
        <v>TRUE</v>
      </c>
      <c r="J910" s="17"/>
      <c r="K910" s="17" t="str">
        <f>Github!L$909</f>
        <v>Array;Math;</v>
      </c>
      <c r="L910" s="17" t="b">
        <f>Github!M$909</f>
        <v>0</v>
      </c>
      <c r="M910" s="17" t="str">
        <f>ROUND(Github!N$909, 2)&amp;"%"</f>
        <v>0%</v>
      </c>
      <c r="N910" s="17">
        <f>Github!O$909</f>
        <v>67.14159424</v>
      </c>
      <c r="O910" s="17">
        <f>Github!P$909</f>
        <v>58481</v>
      </c>
    </row>
    <row r="911">
      <c r="A911" s="17">
        <f>Github!J$910</f>
        <v>909</v>
      </c>
      <c r="B911" s="27" t="str">
        <f>HYPERLINK(CONCAT("http://leetcode.com/problems/",Github!C$910), Github!B$910)</f>
        <v>Snakes and Ladders</v>
      </c>
      <c r="C911" s="17">
        <f>Github!F$910</f>
        <v>554</v>
      </c>
      <c r="D911" s="17">
        <f>Github!G$910</f>
        <v>128</v>
      </c>
      <c r="E911" s="17">
        <f>Github!F$910+Github!G$910</f>
        <v>682</v>
      </c>
      <c r="F911" s="18">
        <f t="shared" si="1"/>
        <v>4.33</v>
      </c>
      <c r="G911" s="17" t="str">
        <f>Github!H$910</f>
        <v>Algorithms</v>
      </c>
      <c r="H911" s="17" t="str">
        <f>Github!E$910</f>
        <v>Medium</v>
      </c>
      <c r="I911" s="17" t="str">
        <f>IF(TRIM(Github!D$910)="TRUE","FALSE","TRUE")</f>
        <v>TRUE</v>
      </c>
      <c r="J911" s="17"/>
      <c r="K911" s="17" t="str">
        <f>Github!L$910</f>
        <v>Array;Breadth-First Search;Matrix;</v>
      </c>
      <c r="L911" s="17" t="b">
        <f>Github!M$910</f>
        <v>0</v>
      </c>
      <c r="M911" s="17" t="str">
        <f>ROUND(Github!N$910, 2)&amp;"%"</f>
        <v>0%</v>
      </c>
      <c r="N911" s="17">
        <f>Github!O$910</f>
        <v>40.34380937</v>
      </c>
      <c r="O911" s="17">
        <f>Github!P$910</f>
        <v>70499</v>
      </c>
    </row>
    <row r="912">
      <c r="A912" s="17">
        <f>Github!J$911</f>
        <v>910</v>
      </c>
      <c r="B912" s="27" t="str">
        <f>HYPERLINK(CONCAT("http://leetcode.com/problems/",Github!C$911), Github!B$911)</f>
        <v>Smallest Range II</v>
      </c>
      <c r="C912" s="17">
        <f>Github!F$911</f>
        <v>1011</v>
      </c>
      <c r="D912" s="17">
        <f>Github!G$911</f>
        <v>343</v>
      </c>
      <c r="E912" s="17">
        <f>Github!F$911+Github!G$911</f>
        <v>1354</v>
      </c>
      <c r="F912" s="18">
        <f t="shared" si="1"/>
        <v>2.95</v>
      </c>
      <c r="G912" s="17" t="str">
        <f>Github!H$911</f>
        <v>Algorithms</v>
      </c>
      <c r="H912" s="17" t="str">
        <f>Github!E$911</f>
        <v>Medium</v>
      </c>
      <c r="I912" s="17" t="str">
        <f>IF(TRIM(Github!D$911)="TRUE","FALSE","TRUE")</f>
        <v>TRUE</v>
      </c>
      <c r="J912" s="17"/>
      <c r="K912" s="17" t="str">
        <f>Github!L$911</f>
        <v>Array;Math;Greedy;Sorting;</v>
      </c>
      <c r="L912" s="17" t="b">
        <f>Github!M$911</f>
        <v>1</v>
      </c>
      <c r="M912" s="17" t="str">
        <f>ROUND(Github!N$911, 2)&amp;"%"</f>
        <v>0%</v>
      </c>
      <c r="N912" s="17">
        <f>Github!O$911</f>
        <v>32.31531118</v>
      </c>
      <c r="O912" s="17">
        <f>Github!P$911</f>
        <v>31648</v>
      </c>
    </row>
    <row r="913">
      <c r="A913" s="17">
        <f>Github!J$912</f>
        <v>911</v>
      </c>
      <c r="B913" s="27" t="str">
        <f>HYPERLINK(CONCAT("http://leetcode.com/problems/",Github!C$912), Github!B$912)</f>
        <v>Online Election</v>
      </c>
      <c r="C913" s="17">
        <f>Github!F$912</f>
        <v>647</v>
      </c>
      <c r="D913" s="17">
        <f>Github!G$912</f>
        <v>493</v>
      </c>
      <c r="E913" s="17">
        <f>Github!F$912+Github!G$912</f>
        <v>1140</v>
      </c>
      <c r="F913" s="18">
        <f t="shared" si="1"/>
        <v>1.31</v>
      </c>
      <c r="G913" s="17" t="str">
        <f>Github!H$912</f>
        <v>Algorithms</v>
      </c>
      <c r="H913" s="17" t="str">
        <f>Github!E$912</f>
        <v>Medium</v>
      </c>
      <c r="I913" s="17" t="str">
        <f>IF(TRIM(Github!D$912)="TRUE","FALSE","TRUE")</f>
        <v>TRUE</v>
      </c>
      <c r="J913" s="17"/>
      <c r="K913" s="17" t="str">
        <f>Github!L$912</f>
        <v>Array;Hash Table;Binary Search;Design;</v>
      </c>
      <c r="L913" s="17" t="b">
        <f>Github!M$912</f>
        <v>1</v>
      </c>
      <c r="M913" s="17" t="str">
        <f>ROUND(Github!N$912, 2)&amp;"%"</f>
        <v>0%</v>
      </c>
      <c r="N913" s="17">
        <f>Github!O$912</f>
        <v>51.56641859</v>
      </c>
      <c r="O913" s="17">
        <f>Github!P$912</f>
        <v>38039</v>
      </c>
    </row>
    <row r="914">
      <c r="A914" s="17">
        <f>Github!J$913</f>
        <v>912</v>
      </c>
      <c r="B914" s="27" t="str">
        <f>HYPERLINK(CONCAT("http://leetcode.com/problems/",Github!C$913), Github!B$913)</f>
        <v>Sort an Array</v>
      </c>
      <c r="C914" s="17">
        <f>Github!F$913</f>
        <v>1889</v>
      </c>
      <c r="D914" s="17">
        <f>Github!G$913</f>
        <v>504</v>
      </c>
      <c r="E914" s="17">
        <f>Github!F$913+Github!G$913</f>
        <v>2393</v>
      </c>
      <c r="F914" s="18">
        <f t="shared" si="1"/>
        <v>3.75</v>
      </c>
      <c r="G914" s="17" t="str">
        <f>Github!H$913</f>
        <v>Algorithms</v>
      </c>
      <c r="H914" s="17" t="str">
        <f>Github!E$913</f>
        <v>Medium</v>
      </c>
      <c r="I914" s="17" t="str">
        <f>IF(TRIM(Github!D$913)="TRUE","FALSE","TRUE")</f>
        <v>TRUE</v>
      </c>
      <c r="J914" s="17"/>
      <c r="K914" s="17" t="str">
        <f>Github!L$913</f>
        <v>Array;Divide and Conquer;Sorting;Heap (Priority Queue);Merge Sort;Bucket Sort;Radix Sort;Counting Sort;</v>
      </c>
      <c r="L914" s="17" t="b">
        <f>Github!M$913</f>
        <v>0</v>
      </c>
      <c r="M914" s="17" t="str">
        <f>ROUND(Github!N$913, 2)&amp;"%"</f>
        <v>0%</v>
      </c>
      <c r="N914" s="17">
        <f>Github!O$913</f>
        <v>61.65843113</v>
      </c>
      <c r="O914" s="17">
        <f>Github!P$913</f>
        <v>243568</v>
      </c>
    </row>
    <row r="915">
      <c r="A915" s="17">
        <f>Github!J$914</f>
        <v>913</v>
      </c>
      <c r="B915" s="27" t="str">
        <f>HYPERLINK(CONCAT("http://leetcode.com/problems/",Github!C$914), Github!B$914)</f>
        <v>Cat and Mouse</v>
      </c>
      <c r="C915" s="17">
        <f>Github!F$914</f>
        <v>604</v>
      </c>
      <c r="D915" s="17">
        <f>Github!G$914</f>
        <v>107</v>
      </c>
      <c r="E915" s="17">
        <f>Github!F$914+Github!G$914</f>
        <v>711</v>
      </c>
      <c r="F915" s="18">
        <f t="shared" si="1"/>
        <v>5.64</v>
      </c>
      <c r="G915" s="17" t="str">
        <f>Github!H$914</f>
        <v>Algorithms</v>
      </c>
      <c r="H915" s="17" t="str">
        <f>Github!E$914</f>
        <v>Hard</v>
      </c>
      <c r="I915" s="17" t="str">
        <f>IF(TRIM(Github!D$914)="TRUE","FALSE","TRUE")</f>
        <v>TRUE</v>
      </c>
      <c r="J915" s="17"/>
      <c r="K915" s="17" t="str">
        <f>Github!L$914</f>
        <v>Math;Dynamic Programming;Breadth-First Search;Graph;Memoization;Game Theory;</v>
      </c>
      <c r="L915" s="17" t="b">
        <f>Github!M$914</f>
        <v>1</v>
      </c>
      <c r="M915" s="17" t="str">
        <f>ROUND(Github!N$914, 2)&amp;"%"</f>
        <v>0%</v>
      </c>
      <c r="N915" s="17">
        <f>Github!O$914</f>
        <v>35.06945313</v>
      </c>
      <c r="O915" s="17">
        <f>Github!P$914</f>
        <v>14012</v>
      </c>
    </row>
    <row r="916">
      <c r="A916" s="17">
        <f>Github!J$915</f>
        <v>914</v>
      </c>
      <c r="B916" s="27" t="str">
        <f>HYPERLINK(CONCAT("http://leetcode.com/problems/",Github!C$915), Github!B$915)</f>
        <v>X of a Kind in a Deck of Cards</v>
      </c>
      <c r="C916" s="17">
        <f>Github!F$915</f>
        <v>1176</v>
      </c>
      <c r="D916" s="17">
        <f>Github!G$915</f>
        <v>287</v>
      </c>
      <c r="E916" s="17">
        <f>Github!F$915+Github!G$915</f>
        <v>1463</v>
      </c>
      <c r="F916" s="18">
        <f t="shared" si="1"/>
        <v>4.1</v>
      </c>
      <c r="G916" s="17" t="str">
        <f>Github!H$915</f>
        <v>Algorithms</v>
      </c>
      <c r="H916" s="17" t="str">
        <f>Github!E$915</f>
        <v>Easy</v>
      </c>
      <c r="I916" s="17" t="str">
        <f>IF(TRIM(Github!D$915)="TRUE","FALSE","TRUE")</f>
        <v>TRUE</v>
      </c>
      <c r="J916" s="17"/>
      <c r="K916" s="17" t="str">
        <f>Github!L$915</f>
        <v>Array;Hash Table;Math;Counting;Number Theory;</v>
      </c>
      <c r="L916" s="17" t="b">
        <f>Github!M$915</f>
        <v>1</v>
      </c>
      <c r="M916" s="17" t="str">
        <f>ROUND(Github!N$915, 2)&amp;"%"</f>
        <v>0%</v>
      </c>
      <c r="N916" s="17">
        <f>Github!O$915</f>
        <v>33.15018609</v>
      </c>
      <c r="O916" s="17">
        <f>Github!P$915</f>
        <v>82476</v>
      </c>
    </row>
    <row r="917">
      <c r="A917" s="17">
        <f>Github!J$916</f>
        <v>915</v>
      </c>
      <c r="B917" s="27" t="str">
        <f>HYPERLINK(CONCAT("http://leetcode.com/problems/",Github!C$916), Github!B$916)</f>
        <v>Partition Array into Disjoint Intervals</v>
      </c>
      <c r="C917" s="17">
        <f>Github!F$916</f>
        <v>1140</v>
      </c>
      <c r="D917" s="17">
        <f>Github!G$916</f>
        <v>58</v>
      </c>
      <c r="E917" s="17">
        <f>Github!F$916+Github!G$916</f>
        <v>1198</v>
      </c>
      <c r="F917" s="18">
        <f t="shared" si="1"/>
        <v>19.66</v>
      </c>
      <c r="G917" s="17" t="str">
        <f>Github!H$916</f>
        <v>Algorithms</v>
      </c>
      <c r="H917" s="17" t="str">
        <f>Github!E$916</f>
        <v>Medium</v>
      </c>
      <c r="I917" s="17" t="str">
        <f>IF(TRIM(Github!D$916)="TRUE","FALSE","TRUE")</f>
        <v>TRUE</v>
      </c>
      <c r="J917" s="17"/>
      <c r="K917" s="17" t="str">
        <f>Github!L$916</f>
        <v>Array;</v>
      </c>
      <c r="L917" s="17" t="b">
        <f>Github!M$916</f>
        <v>1</v>
      </c>
      <c r="M917" s="17" t="str">
        <f>ROUND(Github!N$916, 2)&amp;"%"</f>
        <v>0%</v>
      </c>
      <c r="N917" s="17">
        <f>Github!O$916</f>
        <v>48.38275738</v>
      </c>
      <c r="O917" s="17">
        <f>Github!P$916</f>
        <v>64740</v>
      </c>
    </row>
    <row r="918">
      <c r="A918" s="17">
        <f>Github!J$917</f>
        <v>916</v>
      </c>
      <c r="B918" s="27" t="str">
        <f>HYPERLINK(CONCAT("http://leetcode.com/problems/",Github!C$917), Github!B$917)</f>
        <v>Word Subsets</v>
      </c>
      <c r="C918" s="17">
        <f>Github!F$917</f>
        <v>930</v>
      </c>
      <c r="D918" s="17">
        <f>Github!G$917</f>
        <v>124</v>
      </c>
      <c r="E918" s="17">
        <f>Github!F$917+Github!G$917</f>
        <v>1054</v>
      </c>
      <c r="F918" s="18">
        <f t="shared" si="1"/>
        <v>7.5</v>
      </c>
      <c r="G918" s="17" t="str">
        <f>Github!H$917</f>
        <v>Algorithms</v>
      </c>
      <c r="H918" s="17" t="str">
        <f>Github!E$917</f>
        <v>Medium</v>
      </c>
      <c r="I918" s="17" t="str">
        <f>IF(TRIM(Github!D$917)="TRUE","FALSE","TRUE")</f>
        <v>TRUE</v>
      </c>
      <c r="J918" s="17"/>
      <c r="K918" s="17" t="str">
        <f>Github!L$917</f>
        <v>Array;Hash Table;String;</v>
      </c>
      <c r="L918" s="17" t="b">
        <f>Github!M$917</f>
        <v>1</v>
      </c>
      <c r="M918" s="17" t="str">
        <f>ROUND(Github!N$917, 2)&amp;"%"</f>
        <v>0%</v>
      </c>
      <c r="N918" s="17">
        <f>Github!O$917</f>
        <v>52.71768886</v>
      </c>
      <c r="O918" s="17">
        <f>Github!P$917</f>
        <v>49106</v>
      </c>
    </row>
    <row r="919">
      <c r="A919" s="17">
        <f>Github!J$918</f>
        <v>917</v>
      </c>
      <c r="B919" s="27" t="str">
        <f>HYPERLINK(CONCAT("http://leetcode.com/problems/",Github!C$918), Github!B$918)</f>
        <v>Reverse Only Letters</v>
      </c>
      <c r="C919" s="17">
        <f>Github!F$918</f>
        <v>1383</v>
      </c>
      <c r="D919" s="17">
        <f>Github!G$918</f>
        <v>51</v>
      </c>
      <c r="E919" s="17">
        <f>Github!F$918+Github!G$918</f>
        <v>1434</v>
      </c>
      <c r="F919" s="18">
        <f t="shared" si="1"/>
        <v>27.12</v>
      </c>
      <c r="G919" s="17" t="str">
        <f>Github!H$918</f>
        <v>Algorithms</v>
      </c>
      <c r="H919" s="17" t="str">
        <f>Github!E$918</f>
        <v>Easy</v>
      </c>
      <c r="I919" s="17" t="str">
        <f>IF(TRIM(Github!D$918)="TRUE","FALSE","TRUE")</f>
        <v>TRUE</v>
      </c>
      <c r="J919" s="17"/>
      <c r="K919" s="17" t="str">
        <f>Github!L$918</f>
        <v>Two Pointers;String;</v>
      </c>
      <c r="L919" s="17" t="b">
        <f>Github!M$918</f>
        <v>1</v>
      </c>
      <c r="M919" s="17" t="str">
        <f>ROUND(Github!N$918, 2)&amp;"%"</f>
        <v>0%</v>
      </c>
      <c r="N919" s="17">
        <f>Github!O$918</f>
        <v>60.91916144</v>
      </c>
      <c r="O919" s="17">
        <f>Github!P$918</f>
        <v>129397</v>
      </c>
    </row>
    <row r="920">
      <c r="A920" s="17">
        <f>Github!J$919</f>
        <v>918</v>
      </c>
      <c r="B920" s="27" t="str">
        <f>HYPERLINK(CONCAT("http://leetcode.com/problems/",Github!C$919), Github!B$919)</f>
        <v>Maximum Sum Circular Subarray</v>
      </c>
      <c r="C920" s="17">
        <f>Github!F$919</f>
        <v>2874</v>
      </c>
      <c r="D920" s="17">
        <f>Github!G$919</f>
        <v>132</v>
      </c>
      <c r="E920" s="17">
        <f>Github!F$919+Github!G$919</f>
        <v>3006</v>
      </c>
      <c r="F920" s="18">
        <f t="shared" si="1"/>
        <v>21.77</v>
      </c>
      <c r="G920" s="17" t="str">
        <f>Github!H$919</f>
        <v>Algorithms</v>
      </c>
      <c r="H920" s="17" t="str">
        <f>Github!E$919</f>
        <v>Medium</v>
      </c>
      <c r="I920" s="17" t="str">
        <f>IF(TRIM(Github!D$919)="TRUE","FALSE","TRUE")</f>
        <v>TRUE</v>
      </c>
      <c r="J920" s="17"/>
      <c r="K920" s="17" t="str">
        <f>Github!L$919</f>
        <v>Array;Divide and Conquer;Dynamic Programming;Queue;Monotonic Queue;</v>
      </c>
      <c r="L920" s="17" t="b">
        <f>Github!M$919</f>
        <v>1</v>
      </c>
      <c r="M920" s="17" t="str">
        <f>ROUND(Github!N$919, 2)&amp;"%"</f>
        <v>0%</v>
      </c>
      <c r="N920" s="17">
        <f>Github!O$919</f>
        <v>36.82195775</v>
      </c>
      <c r="O920" s="17">
        <f>Github!P$919</f>
        <v>108598</v>
      </c>
    </row>
    <row r="921">
      <c r="A921" s="17">
        <f>Github!J$920</f>
        <v>919</v>
      </c>
      <c r="B921" s="27" t="str">
        <f>HYPERLINK(CONCAT("http://leetcode.com/problems/",Github!C$920), Github!B$920)</f>
        <v>Complete Binary Tree Inserter</v>
      </c>
      <c r="C921" s="17">
        <f>Github!F$920</f>
        <v>728</v>
      </c>
      <c r="D921" s="17">
        <f>Github!G$920</f>
        <v>82</v>
      </c>
      <c r="E921" s="17">
        <f>Github!F$920+Github!G$920</f>
        <v>810</v>
      </c>
      <c r="F921" s="18">
        <f t="shared" si="1"/>
        <v>8.88</v>
      </c>
      <c r="G921" s="17" t="str">
        <f>Github!H$920</f>
        <v>Algorithms</v>
      </c>
      <c r="H921" s="17" t="str">
        <f>Github!E$920</f>
        <v>Medium</v>
      </c>
      <c r="I921" s="17" t="str">
        <f>IF(TRIM(Github!D$920)="TRUE","FALSE","TRUE")</f>
        <v>TRUE</v>
      </c>
      <c r="J921" s="17"/>
      <c r="K921" s="17" t="str">
        <f>Github!L$920</f>
        <v>Tree;Breadth-First Search;Design;Binary Tree;</v>
      </c>
      <c r="L921" s="17" t="b">
        <f>Github!M$920</f>
        <v>1</v>
      </c>
      <c r="M921" s="17" t="str">
        <f>ROUND(Github!N$920, 2)&amp;"%"</f>
        <v>0%</v>
      </c>
      <c r="N921" s="17">
        <f>Github!O$920</f>
        <v>63.70601443</v>
      </c>
      <c r="O921" s="17">
        <f>Github!P$920</f>
        <v>37168</v>
      </c>
    </row>
    <row r="922">
      <c r="A922" s="17">
        <f>Github!J$921</f>
        <v>920</v>
      </c>
      <c r="B922" s="27" t="str">
        <f>HYPERLINK(CONCAT("http://leetcode.com/problems/",Github!C$921), Github!B$921)</f>
        <v>Number of Music Playlists</v>
      </c>
      <c r="C922" s="17">
        <f>Github!F$921</f>
        <v>687</v>
      </c>
      <c r="D922" s="17">
        <f>Github!G$921</f>
        <v>64</v>
      </c>
      <c r="E922" s="17">
        <f>Github!F$921+Github!G$921</f>
        <v>751</v>
      </c>
      <c r="F922" s="18">
        <f t="shared" si="1"/>
        <v>10.73</v>
      </c>
      <c r="G922" s="17" t="str">
        <f>Github!H$921</f>
        <v>Algorithms</v>
      </c>
      <c r="H922" s="17" t="str">
        <f>Github!E$921</f>
        <v>Hard</v>
      </c>
      <c r="I922" s="17" t="str">
        <f>IF(TRIM(Github!D$921)="TRUE","FALSE","TRUE")</f>
        <v>TRUE</v>
      </c>
      <c r="J922" s="17"/>
      <c r="K922" s="17" t="str">
        <f>Github!L$921</f>
        <v>Math;Dynamic Programming;Combinatorics;</v>
      </c>
      <c r="L922" s="17" t="b">
        <f>Github!M$921</f>
        <v>1</v>
      </c>
      <c r="M922" s="17" t="str">
        <f>ROUND(Github!N$921, 2)&amp;"%"</f>
        <v>0%</v>
      </c>
      <c r="N922" s="17">
        <f>Github!O$921</f>
        <v>49.32651464</v>
      </c>
      <c r="O922" s="17">
        <f>Github!P$921</f>
        <v>17651</v>
      </c>
    </row>
    <row r="923">
      <c r="A923" s="17">
        <f>Github!J$922</f>
        <v>921</v>
      </c>
      <c r="B923" s="27" t="str">
        <f>HYPERLINK(CONCAT("http://leetcode.com/problems/",Github!C$922), Github!B$922)</f>
        <v>Minimum Add to Make Parentheses Valid</v>
      </c>
      <c r="C923" s="17">
        <f>Github!F$922</f>
        <v>2296</v>
      </c>
      <c r="D923" s="17">
        <f>Github!G$922</f>
        <v>133</v>
      </c>
      <c r="E923" s="17">
        <f>Github!F$922+Github!G$922</f>
        <v>2429</v>
      </c>
      <c r="F923" s="18">
        <f t="shared" si="1"/>
        <v>17.26</v>
      </c>
      <c r="G923" s="17" t="str">
        <f>Github!H$922</f>
        <v>Algorithms</v>
      </c>
      <c r="H923" s="17" t="str">
        <f>Github!E$922</f>
        <v>Medium</v>
      </c>
      <c r="I923" s="17" t="str">
        <f>IF(TRIM(Github!D$922)="TRUE","FALSE","TRUE")</f>
        <v>TRUE</v>
      </c>
      <c r="J923" s="17"/>
      <c r="K923" s="17" t="str">
        <f>Github!L$922</f>
        <v>String;Stack;Greedy;</v>
      </c>
      <c r="L923" s="17" t="b">
        <f>Github!M$922</f>
        <v>1</v>
      </c>
      <c r="M923" s="17" t="str">
        <f>ROUND(Github!N$922, 2)&amp;"%"</f>
        <v>0%</v>
      </c>
      <c r="N923" s="17">
        <f>Github!O$922</f>
        <v>77.26769276</v>
      </c>
      <c r="O923" s="17">
        <f>Github!P$922</f>
        <v>188352</v>
      </c>
    </row>
    <row r="924">
      <c r="A924" s="17">
        <f>Github!J$923</f>
        <v>922</v>
      </c>
      <c r="B924" s="27" t="str">
        <f>HYPERLINK(CONCAT("http://leetcode.com/problems/",Github!C$923), Github!B$923)</f>
        <v>Sort Array By Parity II</v>
      </c>
      <c r="C924" s="17">
        <f>Github!F$923</f>
        <v>1661</v>
      </c>
      <c r="D924" s="17">
        <f>Github!G$923</f>
        <v>70</v>
      </c>
      <c r="E924" s="17">
        <f>Github!F$923+Github!G$923</f>
        <v>1731</v>
      </c>
      <c r="F924" s="18">
        <f t="shared" si="1"/>
        <v>23.73</v>
      </c>
      <c r="G924" s="17" t="str">
        <f>Github!H$923</f>
        <v>Algorithms</v>
      </c>
      <c r="H924" s="17" t="str">
        <f>Github!E$923</f>
        <v>Easy</v>
      </c>
      <c r="I924" s="17" t="str">
        <f>IF(TRIM(Github!D$923)="TRUE","FALSE","TRUE")</f>
        <v>TRUE</v>
      </c>
      <c r="J924" s="17"/>
      <c r="K924" s="17" t="str">
        <f>Github!L$923</f>
        <v>Array;Two Pointers;Sorting;</v>
      </c>
      <c r="L924" s="17" t="b">
        <f>Github!M$923</f>
        <v>1</v>
      </c>
      <c r="M924" s="17" t="str">
        <f>ROUND(Github!N$923, 2)&amp;"%"</f>
        <v>1%</v>
      </c>
      <c r="N924" s="17">
        <f>Github!O$923</f>
        <v>70.62523752</v>
      </c>
      <c r="O924" s="17">
        <f>Github!P$923</f>
        <v>178400</v>
      </c>
    </row>
    <row r="925">
      <c r="A925" s="17">
        <f>Github!J$924</f>
        <v>923</v>
      </c>
      <c r="B925" s="27" t="str">
        <f>HYPERLINK(CONCAT("http://leetcode.com/problems/",Github!C$924), Github!B$924)</f>
        <v>3Sum With Multiplicity</v>
      </c>
      <c r="C925" s="17">
        <f>Github!F$924</f>
        <v>887</v>
      </c>
      <c r="D925" s="17">
        <f>Github!G$924</f>
        <v>142</v>
      </c>
      <c r="E925" s="17">
        <f>Github!F$924+Github!G$924</f>
        <v>1029</v>
      </c>
      <c r="F925" s="18">
        <f t="shared" si="1"/>
        <v>6.25</v>
      </c>
      <c r="G925" s="17" t="str">
        <f>Github!H$924</f>
        <v>Algorithms</v>
      </c>
      <c r="H925" s="17" t="str">
        <f>Github!E$924</f>
        <v>Medium</v>
      </c>
      <c r="I925" s="17" t="str">
        <f>IF(TRIM(Github!D$924)="TRUE","FALSE","TRUE")</f>
        <v>TRUE</v>
      </c>
      <c r="J925" s="17"/>
      <c r="K925" s="17" t="str">
        <f>Github!L$924</f>
        <v>Array;Hash Table;Two Pointers;Sorting;Counting;</v>
      </c>
      <c r="L925" s="17" t="b">
        <f>Github!M$924</f>
        <v>1</v>
      </c>
      <c r="M925" s="17" t="str">
        <f>ROUND(Github!N$924, 2)&amp;"%"</f>
        <v>0%</v>
      </c>
      <c r="N925" s="17">
        <f>Github!O$924</f>
        <v>41.37562073</v>
      </c>
      <c r="O925" s="17">
        <f>Github!P$924</f>
        <v>45243</v>
      </c>
    </row>
    <row r="926">
      <c r="A926" s="17">
        <f>Github!J$925</f>
        <v>924</v>
      </c>
      <c r="B926" s="27" t="str">
        <f>HYPERLINK(CONCAT("http://leetcode.com/problems/",Github!C$925), Github!B$925)</f>
        <v>Minimize Malware Spread</v>
      </c>
      <c r="C926" s="17">
        <f>Github!F$925</f>
        <v>581</v>
      </c>
      <c r="D926" s="17">
        <f>Github!G$925</f>
        <v>397</v>
      </c>
      <c r="E926" s="17">
        <f>Github!F$925+Github!G$925</f>
        <v>978</v>
      </c>
      <c r="F926" s="18">
        <f t="shared" si="1"/>
        <v>1.46</v>
      </c>
      <c r="G926" s="17" t="str">
        <f>Github!H$925</f>
        <v>Algorithms</v>
      </c>
      <c r="H926" s="17" t="str">
        <f>Github!E$925</f>
        <v>Hard</v>
      </c>
      <c r="I926" s="17" t="str">
        <f>IF(TRIM(Github!D$925)="TRUE","FALSE","TRUE")</f>
        <v>TRUE</v>
      </c>
      <c r="J926" s="17"/>
      <c r="K926" s="17" t="str">
        <f>Github!L$925</f>
        <v>Array;Depth-First Search;Breadth-First Search;Union Find;Matrix;</v>
      </c>
      <c r="L926" s="17" t="b">
        <f>Github!M$925</f>
        <v>1</v>
      </c>
      <c r="M926" s="17" t="str">
        <f>ROUND(Github!N$925, 2)&amp;"%"</f>
        <v>0%</v>
      </c>
      <c r="N926" s="17">
        <f>Github!O$925</f>
        <v>41.88056969</v>
      </c>
      <c r="O926" s="17">
        <f>Github!P$925</f>
        <v>36140</v>
      </c>
    </row>
    <row r="927">
      <c r="A927" s="17">
        <f>Github!J$926</f>
        <v>925</v>
      </c>
      <c r="B927" s="27" t="str">
        <f>HYPERLINK(CONCAT("http://leetcode.com/problems/",Github!C$926), Github!B$926)</f>
        <v>Long Pressed Name</v>
      </c>
      <c r="C927" s="17">
        <f>Github!F$926</f>
        <v>1525</v>
      </c>
      <c r="D927" s="17">
        <f>Github!G$926</f>
        <v>234</v>
      </c>
      <c r="E927" s="17">
        <f>Github!F$926+Github!G$926</f>
        <v>1759</v>
      </c>
      <c r="F927" s="18">
        <f t="shared" si="1"/>
        <v>6.52</v>
      </c>
      <c r="G927" s="17" t="str">
        <f>Github!H$926</f>
        <v>Algorithms</v>
      </c>
      <c r="H927" s="17" t="str">
        <f>Github!E$926</f>
        <v>Easy</v>
      </c>
      <c r="I927" s="17" t="str">
        <f>IF(TRIM(Github!D$926)="TRUE","FALSE","TRUE")</f>
        <v>TRUE</v>
      </c>
      <c r="J927" s="17"/>
      <c r="K927" s="17" t="str">
        <f>Github!L$926</f>
        <v>Two Pointers;String;</v>
      </c>
      <c r="L927" s="17" t="b">
        <f>Github!M$926</f>
        <v>0</v>
      </c>
      <c r="M927" s="17" t="str">
        <f>ROUND(Github!N$926, 2)&amp;"%"</f>
        <v>0%</v>
      </c>
      <c r="N927" s="17">
        <f>Github!O$926</f>
        <v>34.88654052</v>
      </c>
      <c r="O927" s="17">
        <f>Github!P$926</f>
        <v>89200</v>
      </c>
    </row>
    <row r="928">
      <c r="A928" s="17">
        <f>Github!J$927</f>
        <v>926</v>
      </c>
      <c r="B928" s="27" t="str">
        <f>HYPERLINK(CONCAT("http://leetcode.com/problems/",Github!C$927), Github!B$927)</f>
        <v>Flip String to Monotone Increasing</v>
      </c>
      <c r="C928" s="17">
        <f>Github!F$927</f>
        <v>1827</v>
      </c>
      <c r="D928" s="17">
        <f>Github!G$927</f>
        <v>74</v>
      </c>
      <c r="E928" s="17">
        <f>Github!F$927+Github!G$927</f>
        <v>1901</v>
      </c>
      <c r="F928" s="18">
        <f t="shared" si="1"/>
        <v>24.69</v>
      </c>
      <c r="G928" s="17" t="str">
        <f>Github!H$927</f>
        <v>Algorithms</v>
      </c>
      <c r="H928" s="17" t="str">
        <f>Github!E$927</f>
        <v>Medium</v>
      </c>
      <c r="I928" s="17" t="str">
        <f>IF(TRIM(Github!D$927)="TRUE","FALSE","TRUE")</f>
        <v>TRUE</v>
      </c>
      <c r="J928" s="17"/>
      <c r="K928" s="17" t="str">
        <f>Github!L$927</f>
        <v>String;Dynamic Programming;</v>
      </c>
      <c r="L928" s="17" t="b">
        <f>Github!M$927</f>
        <v>1</v>
      </c>
      <c r="M928" s="17" t="str">
        <f>ROUND(Github!N$927, 2)&amp;"%"</f>
        <v>0%</v>
      </c>
      <c r="N928" s="17">
        <f>Github!O$927</f>
        <v>58.35276947</v>
      </c>
      <c r="O928" s="17">
        <f>Github!P$927</f>
        <v>81557</v>
      </c>
    </row>
    <row r="929">
      <c r="A929" s="17">
        <f>Github!J$928</f>
        <v>927</v>
      </c>
      <c r="B929" s="27" t="str">
        <f>HYPERLINK(CONCAT("http://leetcode.com/problems/",Github!C$928), Github!B$928)</f>
        <v>Three Equal Parts</v>
      </c>
      <c r="C929" s="17">
        <f>Github!F$928</f>
        <v>672</v>
      </c>
      <c r="D929" s="17">
        <f>Github!G$928</f>
        <v>103</v>
      </c>
      <c r="E929" s="17">
        <f>Github!F$928+Github!G$928</f>
        <v>775</v>
      </c>
      <c r="F929" s="18">
        <f t="shared" si="1"/>
        <v>6.52</v>
      </c>
      <c r="G929" s="17" t="str">
        <f>Github!H$928</f>
        <v>Algorithms</v>
      </c>
      <c r="H929" s="17" t="str">
        <f>Github!E$928</f>
        <v>Hard</v>
      </c>
      <c r="I929" s="17" t="str">
        <f>IF(TRIM(Github!D$928)="TRUE","FALSE","TRUE")</f>
        <v>TRUE</v>
      </c>
      <c r="J929" s="17"/>
      <c r="K929" s="17" t="str">
        <f>Github!L$928</f>
        <v>Array;Math;</v>
      </c>
      <c r="L929" s="17" t="b">
        <f>Github!M$928</f>
        <v>1</v>
      </c>
      <c r="M929" s="17" t="str">
        <f>ROUND(Github!N$928, 2)&amp;"%"</f>
        <v>0%</v>
      </c>
      <c r="N929" s="17">
        <f>Github!O$928</f>
        <v>39.2992993</v>
      </c>
      <c r="O929" s="17">
        <f>Github!P$928</f>
        <v>25519</v>
      </c>
    </row>
    <row r="930">
      <c r="A930" s="17">
        <f>Github!J$929</f>
        <v>928</v>
      </c>
      <c r="B930" s="27" t="str">
        <f>HYPERLINK(CONCAT("http://leetcode.com/problems/",Github!C$929), Github!B$929)</f>
        <v>Minimize Malware Spread II</v>
      </c>
      <c r="C930" s="17">
        <f>Github!F$929</f>
        <v>397</v>
      </c>
      <c r="D930" s="17">
        <f>Github!G$929</f>
        <v>67</v>
      </c>
      <c r="E930" s="17">
        <f>Github!F$929+Github!G$929</f>
        <v>464</v>
      </c>
      <c r="F930" s="18">
        <f t="shared" si="1"/>
        <v>5.93</v>
      </c>
      <c r="G930" s="17" t="str">
        <f>Github!H$929</f>
        <v>Algorithms</v>
      </c>
      <c r="H930" s="17" t="str">
        <f>Github!E$929</f>
        <v>Hard</v>
      </c>
      <c r="I930" s="17" t="str">
        <f>IF(TRIM(Github!D$929)="TRUE","FALSE","TRUE")</f>
        <v>TRUE</v>
      </c>
      <c r="J930" s="17"/>
      <c r="K930" s="17" t="str">
        <f>Github!L$929</f>
        <v>Array;Depth-First Search;Breadth-First Search;Union Find;Matrix;</v>
      </c>
      <c r="L930" s="17" t="b">
        <f>Github!M$929</f>
        <v>1</v>
      </c>
      <c r="M930" s="17" t="str">
        <f>ROUND(Github!N$929, 2)&amp;"%"</f>
        <v>0%</v>
      </c>
      <c r="N930" s="17">
        <f>Github!O$929</f>
        <v>42.02269504</v>
      </c>
      <c r="O930" s="17">
        <f>Github!P$929</f>
        <v>14813</v>
      </c>
    </row>
    <row r="931">
      <c r="A931" s="17">
        <f>Github!J$930</f>
        <v>929</v>
      </c>
      <c r="B931" s="27" t="str">
        <f>HYPERLINK(CONCAT("http://leetcode.com/problems/",Github!C$930), Github!B$930)</f>
        <v>Unique Email Addresses</v>
      </c>
      <c r="C931" s="17">
        <f>Github!F$930</f>
        <v>1689</v>
      </c>
      <c r="D931" s="17">
        <f>Github!G$930</f>
        <v>241</v>
      </c>
      <c r="E931" s="17">
        <f>Github!F$930+Github!G$930</f>
        <v>1930</v>
      </c>
      <c r="F931" s="18">
        <f t="shared" si="1"/>
        <v>7.01</v>
      </c>
      <c r="G931" s="17" t="str">
        <f>Github!H$930</f>
        <v>Algorithms</v>
      </c>
      <c r="H931" s="17" t="str">
        <f>Github!E$930</f>
        <v>Easy</v>
      </c>
      <c r="I931" s="17" t="str">
        <f>IF(TRIM(Github!D$930)="TRUE","FALSE","TRUE")</f>
        <v>TRUE</v>
      </c>
      <c r="J931" s="17"/>
      <c r="K931" s="17" t="str">
        <f>Github!L$930</f>
        <v>Array;Hash Table;String;</v>
      </c>
      <c r="L931" s="17" t="b">
        <f>Github!M$930</f>
        <v>1</v>
      </c>
      <c r="M931" s="17" t="str">
        <f>ROUND(Github!N$930, 2)&amp;"%"</f>
        <v>0%</v>
      </c>
      <c r="N931" s="17">
        <f>Github!O$930</f>
        <v>67.38341262</v>
      </c>
      <c r="O931" s="17">
        <f>Github!P$930</f>
        <v>340795</v>
      </c>
    </row>
    <row r="932">
      <c r="A932" s="17">
        <f>Github!J$931</f>
        <v>930</v>
      </c>
      <c r="B932" s="27" t="str">
        <f>HYPERLINK(CONCAT("http://leetcode.com/problems/",Github!C$931), Github!B$931)</f>
        <v>Binary Subarrays With Sum</v>
      </c>
      <c r="C932" s="17">
        <f>Github!F$931</f>
        <v>1257</v>
      </c>
      <c r="D932" s="17">
        <f>Github!G$931</f>
        <v>44</v>
      </c>
      <c r="E932" s="17">
        <f>Github!F$931+Github!G$931</f>
        <v>1301</v>
      </c>
      <c r="F932" s="18">
        <f t="shared" si="1"/>
        <v>28.57</v>
      </c>
      <c r="G932" s="17" t="str">
        <f>Github!H$931</f>
        <v>Algorithms</v>
      </c>
      <c r="H932" s="17" t="str">
        <f>Github!E$931</f>
        <v>Medium</v>
      </c>
      <c r="I932" s="17" t="str">
        <f>IF(TRIM(Github!D$931)="TRUE","FALSE","TRUE")</f>
        <v>TRUE</v>
      </c>
      <c r="J932" s="17"/>
      <c r="K932" s="17" t="str">
        <f>Github!L$931</f>
        <v>Array;Hash Table;Sliding Window;Prefix Sum;</v>
      </c>
      <c r="L932" s="17" t="b">
        <f>Github!M$931</f>
        <v>1</v>
      </c>
      <c r="M932" s="17" t="str">
        <f>ROUND(Github!N$931, 2)&amp;"%"</f>
        <v>0%</v>
      </c>
      <c r="N932" s="17">
        <f>Github!O$931</f>
        <v>48.4097883</v>
      </c>
      <c r="O932" s="17">
        <f>Github!P$931</f>
        <v>43700</v>
      </c>
    </row>
    <row r="933">
      <c r="A933" s="17">
        <f>Github!J$932</f>
        <v>931</v>
      </c>
      <c r="B933" s="27" t="str">
        <f>HYPERLINK(CONCAT("http://leetcode.com/problems/",Github!C$932), Github!B$932)</f>
        <v>Minimum Falling Path Sum</v>
      </c>
      <c r="C933" s="17">
        <f>Github!F$932</f>
        <v>2080</v>
      </c>
      <c r="D933" s="17">
        <f>Github!G$932</f>
        <v>90</v>
      </c>
      <c r="E933" s="17">
        <f>Github!F$932+Github!G$932</f>
        <v>2170</v>
      </c>
      <c r="F933" s="18">
        <f t="shared" si="1"/>
        <v>23.11</v>
      </c>
      <c r="G933" s="17" t="str">
        <f>Github!H$932</f>
        <v>Algorithms</v>
      </c>
      <c r="H933" s="17" t="str">
        <f>Github!E$932</f>
        <v>Medium</v>
      </c>
      <c r="I933" s="17" t="str">
        <f>IF(TRIM(Github!D$932)="TRUE","FALSE","TRUE")</f>
        <v>TRUE</v>
      </c>
      <c r="J933" s="17"/>
      <c r="K933" s="17" t="str">
        <f>Github!L$932</f>
        <v>Array;Dynamic Programming;Matrix;</v>
      </c>
      <c r="L933" s="17" t="b">
        <f>Github!M$932</f>
        <v>0</v>
      </c>
      <c r="M933" s="17" t="str">
        <f>ROUND(Github!N$932, 2)&amp;"%"</f>
        <v>0%</v>
      </c>
      <c r="N933" s="17">
        <f>Github!O$932</f>
        <v>67.08342818</v>
      </c>
      <c r="O933" s="17">
        <f>Github!P$932</f>
        <v>114928</v>
      </c>
    </row>
    <row r="934">
      <c r="A934" s="17">
        <f>Github!J$933</f>
        <v>932</v>
      </c>
      <c r="B934" s="27" t="str">
        <f>HYPERLINK(CONCAT("http://leetcode.com/problems/",Github!C$933), Github!B$933)</f>
        <v>Beautiful Array</v>
      </c>
      <c r="C934" s="17">
        <f>Github!F$933</f>
        <v>790</v>
      </c>
      <c r="D934" s="17">
        <f>Github!G$933</f>
        <v>1178</v>
      </c>
      <c r="E934" s="17">
        <f>Github!F$933+Github!G$933</f>
        <v>1968</v>
      </c>
      <c r="F934" s="18">
        <f t="shared" si="1"/>
        <v>0.67</v>
      </c>
      <c r="G934" s="17" t="str">
        <f>Github!H$933</f>
        <v>Algorithms</v>
      </c>
      <c r="H934" s="17" t="str">
        <f>Github!E$933</f>
        <v>Medium</v>
      </c>
      <c r="I934" s="17" t="str">
        <f>IF(TRIM(Github!D$933)="TRUE","FALSE","TRUE")</f>
        <v>TRUE</v>
      </c>
      <c r="J934" s="17"/>
      <c r="K934" s="17" t="str">
        <f>Github!L$933</f>
        <v>Array;Math;Divide and Conquer;</v>
      </c>
      <c r="L934" s="17" t="b">
        <f>Github!M$933</f>
        <v>1</v>
      </c>
      <c r="M934" s="17" t="str">
        <f>ROUND(Github!N$933, 2)&amp;"%"</f>
        <v>0%</v>
      </c>
      <c r="N934" s="17">
        <f>Github!O$933</f>
        <v>64.56387149</v>
      </c>
      <c r="O934" s="17">
        <f>Github!P$933</f>
        <v>35248</v>
      </c>
    </row>
    <row r="935">
      <c r="A935" s="17">
        <f>Github!J$934</f>
        <v>933</v>
      </c>
      <c r="B935" s="27" t="str">
        <f>HYPERLINK(CONCAT("http://leetcode.com/problems/",Github!C$934), Github!B$934)</f>
        <v>Number of Recent Calls</v>
      </c>
      <c r="C935" s="17">
        <f>Github!F$934</f>
        <v>722</v>
      </c>
      <c r="D935" s="17">
        <f>Github!G$934</f>
        <v>2409</v>
      </c>
      <c r="E935" s="17">
        <f>Github!F$934+Github!G$934</f>
        <v>3131</v>
      </c>
      <c r="F935" s="18">
        <f t="shared" si="1"/>
        <v>0.3</v>
      </c>
      <c r="G935" s="17" t="str">
        <f>Github!H$934</f>
        <v>Algorithms</v>
      </c>
      <c r="H935" s="17" t="str">
        <f>Github!E$934</f>
        <v>Easy</v>
      </c>
      <c r="I935" s="17" t="str">
        <f>IF(TRIM(Github!D$934)="TRUE","FALSE","TRUE")</f>
        <v>TRUE</v>
      </c>
      <c r="J935" s="17"/>
      <c r="K935" s="17" t="str">
        <f>Github!L$934</f>
        <v>Design;Queue;Data Stream;</v>
      </c>
      <c r="L935" s="17" t="b">
        <f>Github!M$934</f>
        <v>1</v>
      </c>
      <c r="M935" s="17" t="str">
        <f>ROUND(Github!N$934, 2)&amp;"%"</f>
        <v>0%</v>
      </c>
      <c r="N935" s="17">
        <f>Github!O$934</f>
        <v>73.09113605</v>
      </c>
      <c r="O935" s="17">
        <f>Github!P$934</f>
        <v>118279</v>
      </c>
    </row>
    <row r="936">
      <c r="A936" s="17">
        <f>Github!J$935</f>
        <v>934</v>
      </c>
      <c r="B936" s="27" t="str">
        <f>HYPERLINK(CONCAT("http://leetcode.com/problems/",Github!C$935), Github!B$935)</f>
        <v>Shortest Bridge</v>
      </c>
      <c r="C936" s="17">
        <f>Github!F$935</f>
        <v>2286</v>
      </c>
      <c r="D936" s="17">
        <f>Github!G$935</f>
        <v>118</v>
      </c>
      <c r="E936" s="17">
        <f>Github!F$935+Github!G$935</f>
        <v>2404</v>
      </c>
      <c r="F936" s="18">
        <f t="shared" si="1"/>
        <v>19.37</v>
      </c>
      <c r="G936" s="17" t="str">
        <f>Github!H$935</f>
        <v>Algorithms</v>
      </c>
      <c r="H936" s="17" t="str">
        <f>Github!E$935</f>
        <v>Medium</v>
      </c>
      <c r="I936" s="17" t="str">
        <f>IF(TRIM(Github!D$935)="TRUE","FALSE","TRUE")</f>
        <v>TRUE</v>
      </c>
      <c r="J936" s="17"/>
      <c r="K936" s="17" t="str">
        <f>Github!L$935</f>
        <v>Array;Depth-First Search;Breadth-First Search;Matrix;</v>
      </c>
      <c r="L936" s="17" t="b">
        <f>Github!M$935</f>
        <v>0</v>
      </c>
      <c r="M936" s="17" t="str">
        <f>ROUND(Github!N$935, 2)&amp;"%"</f>
        <v>0%</v>
      </c>
      <c r="N936" s="17">
        <f>Github!O$935</f>
        <v>52.4294607</v>
      </c>
      <c r="O936" s="17">
        <f>Github!P$935</f>
        <v>83629</v>
      </c>
    </row>
    <row r="937">
      <c r="A937" s="17">
        <f>Github!J$936</f>
        <v>935</v>
      </c>
      <c r="B937" s="27" t="str">
        <f>HYPERLINK(CONCAT("http://leetcode.com/problems/",Github!C$936), Github!B$936)</f>
        <v>Knight Dialer</v>
      </c>
      <c r="C937" s="17">
        <f>Github!F$936</f>
        <v>1364</v>
      </c>
      <c r="D937" s="17">
        <f>Github!G$936</f>
        <v>344</v>
      </c>
      <c r="E937" s="17">
        <f>Github!F$936+Github!G$936</f>
        <v>1708</v>
      </c>
      <c r="F937" s="18">
        <f t="shared" si="1"/>
        <v>3.97</v>
      </c>
      <c r="G937" s="17" t="str">
        <f>Github!H$936</f>
        <v>Algorithms</v>
      </c>
      <c r="H937" s="17" t="str">
        <f>Github!E$936</f>
        <v>Medium</v>
      </c>
      <c r="I937" s="17" t="str">
        <f>IF(TRIM(Github!D$936)="TRUE","FALSE","TRUE")</f>
        <v>TRUE</v>
      </c>
      <c r="J937" s="17"/>
      <c r="K937" s="17" t="str">
        <f>Github!L$936</f>
        <v>Dynamic Programming;</v>
      </c>
      <c r="L937" s="17" t="b">
        <f>Github!M$936</f>
        <v>0</v>
      </c>
      <c r="M937" s="17" t="str">
        <f>ROUND(Github!N$936, 2)&amp;"%"</f>
        <v>0%</v>
      </c>
      <c r="N937" s="17">
        <f>Github!O$936</f>
        <v>48.8001001</v>
      </c>
      <c r="O937" s="17">
        <f>Github!P$936</f>
        <v>74101</v>
      </c>
    </row>
    <row r="938">
      <c r="A938" s="17">
        <f>Github!J$937</f>
        <v>936</v>
      </c>
      <c r="B938" s="27" t="str">
        <f>HYPERLINK(CONCAT("http://leetcode.com/problems/",Github!C$937), Github!B$937)</f>
        <v>Stamping The Sequence</v>
      </c>
      <c r="C938" s="17">
        <f>Github!F$937</f>
        <v>519</v>
      </c>
      <c r="D938" s="17">
        <f>Github!G$937</f>
        <v>123</v>
      </c>
      <c r="E938" s="17">
        <f>Github!F$937+Github!G$937</f>
        <v>642</v>
      </c>
      <c r="F938" s="18">
        <f t="shared" si="1"/>
        <v>4.22</v>
      </c>
      <c r="G938" s="17" t="str">
        <f>Github!H$937</f>
        <v>Algorithms</v>
      </c>
      <c r="H938" s="17" t="str">
        <f>Github!E$937</f>
        <v>Hard</v>
      </c>
      <c r="I938" s="17" t="str">
        <f>IF(TRIM(Github!D$937)="TRUE","FALSE","TRUE")</f>
        <v>TRUE</v>
      </c>
      <c r="J938" s="17"/>
      <c r="K938" s="17" t="str">
        <f>Github!L$937</f>
        <v>String;Stack;Greedy;Queue;</v>
      </c>
      <c r="L938" s="17" t="b">
        <f>Github!M$937</f>
        <v>1</v>
      </c>
      <c r="M938" s="17" t="str">
        <f>ROUND(Github!N$937, 2)&amp;"%"</f>
        <v>0%</v>
      </c>
      <c r="N938" s="17">
        <f>Github!O$937</f>
        <v>53.4959203</v>
      </c>
      <c r="O938" s="17">
        <f>Github!P$937</f>
        <v>23734</v>
      </c>
    </row>
    <row r="939">
      <c r="A939" s="17">
        <f>Github!J$938</f>
        <v>937</v>
      </c>
      <c r="B939" s="27" t="str">
        <f>HYPERLINK(CONCAT("http://leetcode.com/problems/",Github!C$938), Github!B$938)</f>
        <v>Reorder Data in Log Files</v>
      </c>
      <c r="C939" s="17">
        <f>Github!F$938</f>
        <v>1599</v>
      </c>
      <c r="D939" s="17">
        <f>Github!G$938</f>
        <v>3747</v>
      </c>
      <c r="E939" s="17">
        <f>Github!F$938+Github!G$938</f>
        <v>5346</v>
      </c>
      <c r="F939" s="18">
        <f t="shared" si="1"/>
        <v>0.43</v>
      </c>
      <c r="G939" s="17" t="str">
        <f>Github!H$938</f>
        <v>Algorithms</v>
      </c>
      <c r="H939" s="17" t="str">
        <f>Github!E$938</f>
        <v>Easy</v>
      </c>
      <c r="I939" s="17" t="str">
        <f>IF(TRIM(Github!D$938)="TRUE","FALSE","TRUE")</f>
        <v>TRUE</v>
      </c>
      <c r="J939" s="17"/>
      <c r="K939" s="17" t="str">
        <f>Github!L$938</f>
        <v>Array;String;Sorting;</v>
      </c>
      <c r="L939" s="17" t="b">
        <f>Github!M$938</f>
        <v>1</v>
      </c>
      <c r="M939" s="17" t="str">
        <f>ROUND(Github!N$938, 2)&amp;"%"</f>
        <v>0%</v>
      </c>
      <c r="N939" s="17">
        <f>Github!O$938</f>
        <v>55.91345641</v>
      </c>
      <c r="O939" s="17">
        <f>Github!P$938</f>
        <v>283285</v>
      </c>
    </row>
    <row r="940">
      <c r="A940" s="17">
        <f>Github!J$939</f>
        <v>938</v>
      </c>
      <c r="B940" s="27" t="str">
        <f>HYPERLINK(CONCAT("http://leetcode.com/problems/",Github!C$939), Github!B$939)</f>
        <v>Range Sum of BST</v>
      </c>
      <c r="C940" s="17">
        <f>Github!F$939</f>
        <v>3878</v>
      </c>
      <c r="D940" s="17">
        <f>Github!G$939</f>
        <v>326</v>
      </c>
      <c r="E940" s="17">
        <f>Github!F$939+Github!G$939</f>
        <v>4204</v>
      </c>
      <c r="F940" s="18">
        <f t="shared" si="1"/>
        <v>11.9</v>
      </c>
      <c r="G940" s="17" t="str">
        <f>Github!H$939</f>
        <v>Algorithms</v>
      </c>
      <c r="H940" s="17" t="str">
        <f>Github!E$939</f>
        <v>Easy</v>
      </c>
      <c r="I940" s="17" t="str">
        <f>IF(TRIM(Github!D$939)="TRUE","FALSE","TRUE")</f>
        <v>TRUE</v>
      </c>
      <c r="J940" s="17"/>
      <c r="K940" s="17" t="str">
        <f>Github!L$939</f>
        <v>Tree;Depth-First Search;Binary Search Tree;Binary Tree;</v>
      </c>
      <c r="L940" s="17" t="b">
        <f>Github!M$939</f>
        <v>1</v>
      </c>
      <c r="M940" s="17" t="str">
        <f>ROUND(Github!N$939, 2)&amp;"%"</f>
        <v>1%</v>
      </c>
      <c r="N940" s="17">
        <f>Github!O$939</f>
        <v>84.9297688</v>
      </c>
      <c r="O940" s="17">
        <f>Github!P$939</f>
        <v>577669</v>
      </c>
    </row>
    <row r="941">
      <c r="A941" s="17">
        <f>Github!J$940</f>
        <v>939</v>
      </c>
      <c r="B941" s="27" t="str">
        <f>HYPERLINK(CONCAT("http://leetcode.com/problems/",Github!C$940), Github!B$940)</f>
        <v>Minimum Area Rectangle</v>
      </c>
      <c r="C941" s="17">
        <f>Github!F$940</f>
        <v>1373</v>
      </c>
      <c r="D941" s="17">
        <f>Github!G$940</f>
        <v>217</v>
      </c>
      <c r="E941" s="17">
        <f>Github!F$940+Github!G$940</f>
        <v>1590</v>
      </c>
      <c r="F941" s="18">
        <f t="shared" si="1"/>
        <v>6.33</v>
      </c>
      <c r="G941" s="17" t="str">
        <f>Github!H$940</f>
        <v>Algorithms</v>
      </c>
      <c r="H941" s="17" t="str">
        <f>Github!E$940</f>
        <v>Medium</v>
      </c>
      <c r="I941" s="17" t="str">
        <f>IF(TRIM(Github!D$940)="TRUE","FALSE","TRUE")</f>
        <v>TRUE</v>
      </c>
      <c r="J941" s="17"/>
      <c r="K941" s="17" t="str">
        <f>Github!L$940</f>
        <v>Array;Hash Table;Math;Geometry;Sorting;</v>
      </c>
      <c r="L941" s="17" t="b">
        <f>Github!M$940</f>
        <v>0</v>
      </c>
      <c r="M941" s="17" t="str">
        <f>ROUND(Github!N$940, 2)&amp;"%"</f>
        <v>0%</v>
      </c>
      <c r="N941" s="17">
        <f>Github!O$940</f>
        <v>53.42989706</v>
      </c>
      <c r="O941" s="17">
        <f>Github!P$940</f>
        <v>96383</v>
      </c>
    </row>
    <row r="942">
      <c r="A942" s="17">
        <f>Github!J$941</f>
        <v>940</v>
      </c>
      <c r="B942" s="27" t="str">
        <f>HYPERLINK(CONCAT("http://leetcode.com/problems/",Github!C$941), Github!B$941)</f>
        <v>Distinct Subsequences II</v>
      </c>
      <c r="C942" s="17">
        <f>Github!F$941</f>
        <v>1031</v>
      </c>
      <c r="D942" s="17">
        <f>Github!G$941</f>
        <v>27</v>
      </c>
      <c r="E942" s="17">
        <f>Github!F$941+Github!G$941</f>
        <v>1058</v>
      </c>
      <c r="F942" s="18">
        <f t="shared" si="1"/>
        <v>38.19</v>
      </c>
      <c r="G942" s="17" t="str">
        <f>Github!H$941</f>
        <v>Algorithms</v>
      </c>
      <c r="H942" s="17" t="str">
        <f>Github!E$941</f>
        <v>Hard</v>
      </c>
      <c r="I942" s="17" t="str">
        <f>IF(TRIM(Github!D$941)="TRUE","FALSE","TRUE")</f>
        <v>TRUE</v>
      </c>
      <c r="J942" s="17"/>
      <c r="K942" s="17" t="str">
        <f>Github!L$941</f>
        <v>String;Dynamic Programming;</v>
      </c>
      <c r="L942" s="17" t="b">
        <f>Github!M$941</f>
        <v>1</v>
      </c>
      <c r="M942" s="17" t="str">
        <f>ROUND(Github!N$941, 2)&amp;"%"</f>
        <v>0%</v>
      </c>
      <c r="N942" s="17">
        <f>Github!O$941</f>
        <v>44.1955332</v>
      </c>
      <c r="O942" s="17">
        <f>Github!P$941</f>
        <v>26002</v>
      </c>
    </row>
    <row r="943">
      <c r="A943" s="17">
        <f>Github!J$942</f>
        <v>941</v>
      </c>
      <c r="B943" s="27" t="str">
        <f>HYPERLINK(CONCAT("http://leetcode.com/problems/",Github!C$942), Github!B$942)</f>
        <v>Valid Mountain Array</v>
      </c>
      <c r="C943" s="17">
        <f>Github!F$942</f>
        <v>2054</v>
      </c>
      <c r="D943" s="17">
        <f>Github!G$942</f>
        <v>142</v>
      </c>
      <c r="E943" s="17">
        <f>Github!F$942+Github!G$942</f>
        <v>2196</v>
      </c>
      <c r="F943" s="18">
        <f t="shared" si="1"/>
        <v>14.46</v>
      </c>
      <c r="G943" s="17" t="str">
        <f>Github!H$942</f>
        <v>Algorithms</v>
      </c>
      <c r="H943" s="17" t="str">
        <f>Github!E$942</f>
        <v>Easy</v>
      </c>
      <c r="I943" s="17" t="str">
        <f>IF(TRIM(Github!D$942)="TRUE","FALSE","TRUE")</f>
        <v>TRUE</v>
      </c>
      <c r="J943" s="17"/>
      <c r="K943" s="17" t="str">
        <f>Github!L$942</f>
        <v>Array;</v>
      </c>
      <c r="L943" s="17" t="b">
        <f>Github!M$942</f>
        <v>1</v>
      </c>
      <c r="M943" s="17" t="str">
        <f>ROUND(Github!N$942, 2)&amp;"%"</f>
        <v>0%</v>
      </c>
      <c r="N943" s="17">
        <f>Github!O$942</f>
        <v>33.83671086</v>
      </c>
      <c r="O943" s="17">
        <f>Github!P$942</f>
        <v>279267</v>
      </c>
    </row>
    <row r="944">
      <c r="A944" s="17">
        <f>Github!J$943</f>
        <v>942</v>
      </c>
      <c r="B944" s="27" t="str">
        <f>HYPERLINK(CONCAT("http://leetcode.com/problems/",Github!C$943), Github!B$943)</f>
        <v>DI String Match</v>
      </c>
      <c r="C944" s="17">
        <f>Github!F$943</f>
        <v>1604</v>
      </c>
      <c r="D944" s="17">
        <f>Github!G$943</f>
        <v>632</v>
      </c>
      <c r="E944" s="17">
        <f>Github!F$943+Github!G$943</f>
        <v>2236</v>
      </c>
      <c r="F944" s="18">
        <f t="shared" si="1"/>
        <v>2.54</v>
      </c>
      <c r="G944" s="17" t="str">
        <f>Github!H$943</f>
        <v>Algorithms</v>
      </c>
      <c r="H944" s="17" t="str">
        <f>Github!E$943</f>
        <v>Easy</v>
      </c>
      <c r="I944" s="17" t="str">
        <f>IF(TRIM(Github!D$943)="TRUE","FALSE","TRUE")</f>
        <v>TRUE</v>
      </c>
      <c r="J944" s="17"/>
      <c r="K944" s="17" t="str">
        <f>Github!L$943</f>
        <v>Array;Math;Two Pointers;String;Greedy;</v>
      </c>
      <c r="L944" s="17" t="b">
        <f>Github!M$943</f>
        <v>1</v>
      </c>
      <c r="M944" s="17" t="str">
        <f>ROUND(Github!N$943, 2)&amp;"%"</f>
        <v>0%</v>
      </c>
      <c r="N944" s="17">
        <f>Github!O$943</f>
        <v>75.62494944</v>
      </c>
      <c r="O944" s="17">
        <f>Github!P$943</f>
        <v>102825</v>
      </c>
    </row>
    <row r="945">
      <c r="A945" s="17">
        <f>Github!J$944</f>
        <v>943</v>
      </c>
      <c r="B945" s="27" t="str">
        <f>HYPERLINK(CONCAT("http://leetcode.com/problems/",Github!C$944), Github!B$944)</f>
        <v>Find the Shortest Superstring</v>
      </c>
      <c r="C945" s="17">
        <f>Github!F$944</f>
        <v>980</v>
      </c>
      <c r="D945" s="17">
        <f>Github!G$944</f>
        <v>125</v>
      </c>
      <c r="E945" s="17">
        <f>Github!F$944+Github!G$944</f>
        <v>1105</v>
      </c>
      <c r="F945" s="18">
        <f t="shared" si="1"/>
        <v>7.84</v>
      </c>
      <c r="G945" s="17" t="str">
        <f>Github!H$944</f>
        <v>Algorithms</v>
      </c>
      <c r="H945" s="17" t="str">
        <f>Github!E$944</f>
        <v>Hard</v>
      </c>
      <c r="I945" s="17" t="str">
        <f>IF(TRIM(Github!D$944)="TRUE","FALSE","TRUE")</f>
        <v>TRUE</v>
      </c>
      <c r="J945" s="17"/>
      <c r="K945" s="17" t="str">
        <f>Github!L$944</f>
        <v>Array;String;Dynamic Programming;Bit Manipulation;Bitmask;</v>
      </c>
      <c r="L945" s="17" t="b">
        <f>Github!M$944</f>
        <v>1</v>
      </c>
      <c r="M945" s="17" t="str">
        <f>ROUND(Github!N$944, 2)&amp;"%"</f>
        <v>0%</v>
      </c>
      <c r="N945" s="17">
        <f>Github!O$944</f>
        <v>45.38072862</v>
      </c>
      <c r="O945" s="17">
        <f>Github!P$944</f>
        <v>23082</v>
      </c>
    </row>
    <row r="946">
      <c r="A946" s="17">
        <f>Github!J$945</f>
        <v>944</v>
      </c>
      <c r="B946" s="27" t="str">
        <f>HYPERLINK(CONCAT("http://leetcode.com/problems/",Github!C$945), Github!B$945)</f>
        <v>Delete Columns to Make Sorted</v>
      </c>
      <c r="C946" s="17">
        <f>Github!F$945</f>
        <v>338</v>
      </c>
      <c r="D946" s="17">
        <f>Github!G$945</f>
        <v>1991</v>
      </c>
      <c r="E946" s="17">
        <f>Github!F$945+Github!G$945</f>
        <v>2329</v>
      </c>
      <c r="F946" s="18">
        <f t="shared" si="1"/>
        <v>0.17</v>
      </c>
      <c r="G946" s="17" t="str">
        <f>Github!H$945</f>
        <v>Algorithms</v>
      </c>
      <c r="H946" s="17" t="str">
        <f>Github!E$945</f>
        <v>Easy</v>
      </c>
      <c r="I946" s="17" t="str">
        <f>IF(TRIM(Github!D$945)="TRUE","FALSE","TRUE")</f>
        <v>TRUE</v>
      </c>
      <c r="J946" s="17"/>
      <c r="K946" s="17" t="str">
        <f>Github!L$945</f>
        <v>Array;String;</v>
      </c>
      <c r="L946" s="17" t="b">
        <f>Github!M$945</f>
        <v>0</v>
      </c>
      <c r="M946" s="17" t="str">
        <f>ROUND(Github!N$945, 2)&amp;"%"</f>
        <v>0%</v>
      </c>
      <c r="N946" s="17">
        <f>Github!O$945</f>
        <v>70.04764999</v>
      </c>
      <c r="O946" s="17">
        <f>Github!P$945</f>
        <v>64682</v>
      </c>
    </row>
    <row r="947">
      <c r="A947" s="17">
        <f>Github!J$946</f>
        <v>945</v>
      </c>
      <c r="B947" s="27" t="str">
        <f>HYPERLINK(CONCAT("http://leetcode.com/problems/",Github!C$946), Github!B$946)</f>
        <v>Minimum Increment to Make Array Unique</v>
      </c>
      <c r="C947" s="17">
        <f>Github!F$946</f>
        <v>974</v>
      </c>
      <c r="D947" s="17">
        <f>Github!G$946</f>
        <v>42</v>
      </c>
      <c r="E947" s="17">
        <f>Github!F$946+Github!G$946</f>
        <v>1016</v>
      </c>
      <c r="F947" s="18">
        <f t="shared" si="1"/>
        <v>23.19</v>
      </c>
      <c r="G947" s="17" t="str">
        <f>Github!H$946</f>
        <v>Algorithms</v>
      </c>
      <c r="H947" s="17" t="str">
        <f>Github!E$946</f>
        <v>Medium</v>
      </c>
      <c r="I947" s="17" t="str">
        <f>IF(TRIM(Github!D$946)="TRUE","FALSE","TRUE")</f>
        <v>TRUE</v>
      </c>
      <c r="J947" s="17"/>
      <c r="K947" s="17" t="str">
        <f>Github!L$946</f>
        <v>Array;Greedy;Sorting;Counting;</v>
      </c>
      <c r="L947" s="17" t="b">
        <f>Github!M$946</f>
        <v>1</v>
      </c>
      <c r="M947" s="17" t="str">
        <f>ROUND(Github!N$946, 2)&amp;"%"</f>
        <v>0%</v>
      </c>
      <c r="N947" s="17">
        <f>Github!O$946</f>
        <v>48.83192359</v>
      </c>
      <c r="O947" s="17">
        <f>Github!P$946</f>
        <v>50918</v>
      </c>
    </row>
    <row r="948">
      <c r="A948" s="17">
        <f>Github!J$947</f>
        <v>946</v>
      </c>
      <c r="B948" s="27" t="str">
        <f>HYPERLINK(CONCAT("http://leetcode.com/problems/",Github!C$947), Github!B$947)</f>
        <v>Validate Stack Sequences</v>
      </c>
      <c r="C948" s="17">
        <f>Github!F$947</f>
        <v>2391</v>
      </c>
      <c r="D948" s="17">
        <f>Github!G$947</f>
        <v>43</v>
      </c>
      <c r="E948" s="17">
        <f>Github!F$947+Github!G$947</f>
        <v>2434</v>
      </c>
      <c r="F948" s="18">
        <f t="shared" si="1"/>
        <v>55.6</v>
      </c>
      <c r="G948" s="17" t="str">
        <f>Github!H$947</f>
        <v>Algorithms</v>
      </c>
      <c r="H948" s="17" t="str">
        <f>Github!E$947</f>
        <v>Medium</v>
      </c>
      <c r="I948" s="17" t="str">
        <f>IF(TRIM(Github!D$947)="TRUE","FALSE","TRUE")</f>
        <v>TRUE</v>
      </c>
      <c r="J948" s="17"/>
      <c r="K948" s="17" t="str">
        <f>Github!L$947</f>
        <v>Array;Stack;Simulation;</v>
      </c>
      <c r="L948" s="17" t="b">
        <f>Github!M$947</f>
        <v>1</v>
      </c>
      <c r="M948" s="17" t="str">
        <f>ROUND(Github!N$947, 2)&amp;"%"</f>
        <v>0%</v>
      </c>
      <c r="N948" s="17">
        <f>Github!O$947</f>
        <v>65.34161553</v>
      </c>
      <c r="O948" s="17">
        <f>Github!P$947</f>
        <v>130326</v>
      </c>
    </row>
    <row r="949">
      <c r="A949" s="17">
        <f>Github!J$948</f>
        <v>947</v>
      </c>
      <c r="B949" s="27" t="str">
        <f>HYPERLINK(CONCAT("http://leetcode.com/problems/",Github!C$948), Github!B$948)</f>
        <v>Most Stones Removed with Same Row or Column</v>
      </c>
      <c r="C949" s="17">
        <f>Github!F$948</f>
        <v>2288</v>
      </c>
      <c r="D949" s="17">
        <f>Github!G$948</f>
        <v>501</v>
      </c>
      <c r="E949" s="17">
        <f>Github!F$948+Github!G$948</f>
        <v>2789</v>
      </c>
      <c r="F949" s="18">
        <f t="shared" si="1"/>
        <v>4.57</v>
      </c>
      <c r="G949" s="17" t="str">
        <f>Github!H$948</f>
        <v>Algorithms</v>
      </c>
      <c r="H949" s="17" t="str">
        <f>Github!E$948</f>
        <v>Medium</v>
      </c>
      <c r="I949" s="17" t="str">
        <f>IF(TRIM(Github!D$948)="TRUE","FALSE","TRUE")</f>
        <v>TRUE</v>
      </c>
      <c r="J949" s="17"/>
      <c r="K949" s="17" t="str">
        <f>Github!L$948</f>
        <v>Depth-First Search;Union Find;Graph;</v>
      </c>
      <c r="L949" s="17" t="b">
        <f>Github!M$948</f>
        <v>0</v>
      </c>
      <c r="M949" s="17" t="str">
        <f>ROUND(Github!N$948, 2)&amp;"%"</f>
        <v>0%</v>
      </c>
      <c r="N949" s="17">
        <f>Github!O$948</f>
        <v>56.24707588</v>
      </c>
      <c r="O949" s="17">
        <f>Github!P$948</f>
        <v>97380</v>
      </c>
    </row>
    <row r="950">
      <c r="A950" s="17">
        <f>Github!J$949</f>
        <v>948</v>
      </c>
      <c r="B950" s="27" t="str">
        <f>HYPERLINK(CONCAT("http://leetcode.com/problems/",Github!C$949), Github!B$949)</f>
        <v>Bag of Tokens</v>
      </c>
      <c r="C950" s="17">
        <f>Github!F$949</f>
        <v>646</v>
      </c>
      <c r="D950" s="17">
        <f>Github!G$949</f>
        <v>292</v>
      </c>
      <c r="E950" s="17">
        <f>Github!F$949+Github!G$949</f>
        <v>938</v>
      </c>
      <c r="F950" s="18">
        <f t="shared" si="1"/>
        <v>2.21</v>
      </c>
      <c r="G950" s="17" t="str">
        <f>Github!H$949</f>
        <v>Algorithms</v>
      </c>
      <c r="H950" s="17" t="str">
        <f>Github!E$949</f>
        <v>Medium</v>
      </c>
      <c r="I950" s="17" t="str">
        <f>IF(TRIM(Github!D$949)="TRUE","FALSE","TRUE")</f>
        <v>TRUE</v>
      </c>
      <c r="J950" s="17"/>
      <c r="K950" s="17" t="str">
        <f>Github!L$949</f>
        <v>Array;Two Pointers;Greedy;Sorting;</v>
      </c>
      <c r="L950" s="17" t="b">
        <f>Github!M$949</f>
        <v>1</v>
      </c>
      <c r="M950" s="17" t="str">
        <f>ROUND(Github!N$949, 2)&amp;"%"</f>
        <v>0%</v>
      </c>
      <c r="N950" s="17">
        <f>Github!O$949</f>
        <v>46.16199557</v>
      </c>
      <c r="O950" s="17">
        <f>Github!P$949</f>
        <v>38344</v>
      </c>
    </row>
    <row r="951">
      <c r="A951" s="17">
        <f>Github!J$950</f>
        <v>949</v>
      </c>
      <c r="B951" s="27" t="str">
        <f>HYPERLINK(CONCAT("http://leetcode.com/problems/",Github!C$950), Github!B$950)</f>
        <v>Largest Time for Given Digits</v>
      </c>
      <c r="C951" s="17">
        <f>Github!F$950</f>
        <v>533</v>
      </c>
      <c r="D951" s="17">
        <f>Github!G$950</f>
        <v>892</v>
      </c>
      <c r="E951" s="17">
        <f>Github!F$950+Github!G$950</f>
        <v>1425</v>
      </c>
      <c r="F951" s="18">
        <f t="shared" si="1"/>
        <v>0.6</v>
      </c>
      <c r="G951" s="17" t="str">
        <f>Github!H$950</f>
        <v>Algorithms</v>
      </c>
      <c r="H951" s="17" t="str">
        <f>Github!E$950</f>
        <v>Medium</v>
      </c>
      <c r="I951" s="17" t="str">
        <f>IF(TRIM(Github!D$950)="TRUE","FALSE","TRUE")</f>
        <v>TRUE</v>
      </c>
      <c r="J951" s="17"/>
      <c r="K951" s="17" t="str">
        <f>Github!L$950</f>
        <v>String;Enumeration;</v>
      </c>
      <c r="L951" s="17" t="b">
        <f>Github!M$950</f>
        <v>1</v>
      </c>
      <c r="M951" s="17" t="str">
        <f>ROUND(Github!N$950, 2)&amp;"%"</f>
        <v>0%</v>
      </c>
      <c r="N951" s="17">
        <f>Github!O$950</f>
        <v>35.49922944</v>
      </c>
      <c r="O951" s="17">
        <f>Github!P$950</f>
        <v>69565</v>
      </c>
    </row>
    <row r="952">
      <c r="A952" s="17">
        <f>Github!J$951</f>
        <v>950</v>
      </c>
      <c r="B952" s="27" t="str">
        <f>HYPERLINK(CONCAT("http://leetcode.com/problems/",Github!C$951), Github!B$951)</f>
        <v>Reveal Cards In Increasing Order</v>
      </c>
      <c r="C952" s="17">
        <f>Github!F$951</f>
        <v>1762</v>
      </c>
      <c r="D952" s="17">
        <f>Github!G$951</f>
        <v>271</v>
      </c>
      <c r="E952" s="17">
        <f>Github!F$951+Github!G$951</f>
        <v>2033</v>
      </c>
      <c r="F952" s="18">
        <f t="shared" si="1"/>
        <v>6.5</v>
      </c>
      <c r="G952" s="17" t="str">
        <f>Github!H$951</f>
        <v>Algorithms</v>
      </c>
      <c r="H952" s="17" t="str">
        <f>Github!E$951</f>
        <v>Medium</v>
      </c>
      <c r="I952" s="17" t="str">
        <f>IF(TRIM(Github!D$951)="TRUE","FALSE","TRUE")</f>
        <v>TRUE</v>
      </c>
      <c r="J952" s="17"/>
      <c r="K952" s="17" t="str">
        <f>Github!L$951</f>
        <v>Array;Queue;Sorting;Simulation;</v>
      </c>
      <c r="L952" s="17" t="b">
        <f>Github!M$951</f>
        <v>1</v>
      </c>
      <c r="M952" s="17" t="str">
        <f>ROUND(Github!N$951, 2)&amp;"%"</f>
        <v>0%</v>
      </c>
      <c r="N952" s="17">
        <f>Github!O$951</f>
        <v>76.92541562</v>
      </c>
      <c r="O952" s="17">
        <f>Github!P$951</f>
        <v>55664</v>
      </c>
    </row>
    <row r="953">
      <c r="A953" s="17">
        <f>Github!J$952</f>
        <v>951</v>
      </c>
      <c r="B953" s="27" t="str">
        <f>HYPERLINK(CONCAT("http://leetcode.com/problems/",Github!C$952), Github!B$952)</f>
        <v>Flip Equivalent Binary Trees</v>
      </c>
      <c r="C953" s="17">
        <f>Github!F$952</f>
        <v>1541</v>
      </c>
      <c r="D953" s="17">
        <f>Github!G$952</f>
        <v>69</v>
      </c>
      <c r="E953" s="17">
        <f>Github!F$952+Github!G$952</f>
        <v>1610</v>
      </c>
      <c r="F953" s="18">
        <f t="shared" si="1"/>
        <v>22.33</v>
      </c>
      <c r="G953" s="17" t="str">
        <f>Github!H$952</f>
        <v>Algorithms</v>
      </c>
      <c r="H953" s="17" t="str">
        <f>Github!E$952</f>
        <v>Medium</v>
      </c>
      <c r="I953" s="17" t="str">
        <f>IF(TRIM(Github!D$952)="TRUE","FALSE","TRUE")</f>
        <v>TRUE</v>
      </c>
      <c r="J953" s="17"/>
      <c r="K953" s="17" t="str">
        <f>Github!L$952</f>
        <v>Tree;Depth-First Search;Binary Tree;</v>
      </c>
      <c r="L953" s="17" t="b">
        <f>Github!M$952</f>
        <v>1</v>
      </c>
      <c r="M953" s="17" t="str">
        <f>ROUND(Github!N$952, 2)&amp;"%"</f>
        <v>0%</v>
      </c>
      <c r="N953" s="17">
        <f>Github!O$952</f>
        <v>66.6133448</v>
      </c>
      <c r="O953" s="17">
        <f>Github!P$952</f>
        <v>105354</v>
      </c>
    </row>
    <row r="954">
      <c r="A954" s="17">
        <f>Github!J$953</f>
        <v>952</v>
      </c>
      <c r="B954" s="27" t="str">
        <f>HYPERLINK(CONCAT("http://leetcode.com/problems/",Github!C$953), Github!B$953)</f>
        <v>Largest Component Size by Common Factor</v>
      </c>
      <c r="C954" s="17">
        <f>Github!F$953</f>
        <v>1218</v>
      </c>
      <c r="D954" s="17">
        <f>Github!G$953</f>
        <v>85</v>
      </c>
      <c r="E954" s="17">
        <f>Github!F$953+Github!G$953</f>
        <v>1303</v>
      </c>
      <c r="F954" s="18">
        <f t="shared" si="1"/>
        <v>14.33</v>
      </c>
      <c r="G954" s="17" t="str">
        <f>Github!H$953</f>
        <v>Algorithms</v>
      </c>
      <c r="H954" s="17" t="str">
        <f>Github!E$953</f>
        <v>Hard</v>
      </c>
      <c r="I954" s="17" t="str">
        <f>IF(TRIM(Github!D$953)="TRUE","FALSE","TRUE")</f>
        <v>TRUE</v>
      </c>
      <c r="J954" s="17"/>
      <c r="K954" s="17" t="str">
        <f>Github!L$953</f>
        <v>Array;Math;Union Find;</v>
      </c>
      <c r="L954" s="17" t="b">
        <f>Github!M$953</f>
        <v>1</v>
      </c>
      <c r="M954" s="17" t="str">
        <f>ROUND(Github!N$953, 2)&amp;"%"</f>
        <v>0%</v>
      </c>
      <c r="N954" s="17">
        <f>Github!O$953</f>
        <v>40.41168585</v>
      </c>
      <c r="O954" s="17">
        <f>Github!P$953</f>
        <v>43407</v>
      </c>
    </row>
    <row r="955">
      <c r="A955" s="17">
        <f>Github!J$954</f>
        <v>953</v>
      </c>
      <c r="B955" s="27" t="str">
        <f>HYPERLINK(CONCAT("http://leetcode.com/problems/",Github!C$954), Github!B$954)</f>
        <v>Verifying an Alien Dictionary</v>
      </c>
      <c r="C955" s="17">
        <f>Github!F$954</f>
        <v>2621</v>
      </c>
      <c r="D955" s="17">
        <f>Github!G$954</f>
        <v>888</v>
      </c>
      <c r="E955" s="17">
        <f>Github!F$954+Github!G$954</f>
        <v>3509</v>
      </c>
      <c r="F955" s="18">
        <f t="shared" si="1"/>
        <v>2.95</v>
      </c>
      <c r="G955" s="17" t="str">
        <f>Github!H$954</f>
        <v>Algorithms</v>
      </c>
      <c r="H955" s="17" t="str">
        <f>Github!E$954</f>
        <v>Easy</v>
      </c>
      <c r="I955" s="17" t="str">
        <f>IF(TRIM(Github!D$954)="TRUE","FALSE","TRUE")</f>
        <v>TRUE</v>
      </c>
      <c r="J955" s="17"/>
      <c r="K955" s="17" t="str">
        <f>Github!L$954</f>
        <v>Array;Hash Table;String;</v>
      </c>
      <c r="L955" s="17" t="b">
        <f>Github!M$954</f>
        <v>1</v>
      </c>
      <c r="M955" s="17" t="str">
        <f>ROUND(Github!N$954, 2)&amp;"%"</f>
        <v>0%</v>
      </c>
      <c r="N955" s="17">
        <f>Github!O$954</f>
        <v>52.42135285</v>
      </c>
      <c r="O955" s="17">
        <f>Github!P$954</f>
        <v>334506</v>
      </c>
    </row>
    <row r="956">
      <c r="A956" s="17">
        <f>Github!J$955</f>
        <v>954</v>
      </c>
      <c r="B956" s="27" t="str">
        <f>HYPERLINK(CONCAT("http://leetcode.com/problems/",Github!C$955), Github!B$955)</f>
        <v>Array of Doubled Pairs</v>
      </c>
      <c r="C956" s="17">
        <f>Github!F$955</f>
        <v>1039</v>
      </c>
      <c r="D956" s="17">
        <f>Github!G$955</f>
        <v>123</v>
      </c>
      <c r="E956" s="17">
        <f>Github!F$955+Github!G$955</f>
        <v>1162</v>
      </c>
      <c r="F956" s="18">
        <f t="shared" si="1"/>
        <v>8.45</v>
      </c>
      <c r="G956" s="17" t="str">
        <f>Github!H$955</f>
        <v>Algorithms</v>
      </c>
      <c r="H956" s="17" t="str">
        <f>Github!E$955</f>
        <v>Medium</v>
      </c>
      <c r="I956" s="17" t="str">
        <f>IF(TRIM(Github!D$955)="TRUE","FALSE","TRUE")</f>
        <v>TRUE</v>
      </c>
      <c r="J956" s="17"/>
      <c r="K956" s="17" t="str">
        <f>Github!L$955</f>
        <v>Array;Hash Table;Greedy;Sorting;</v>
      </c>
      <c r="L956" s="17" t="b">
        <f>Github!M$955</f>
        <v>1</v>
      </c>
      <c r="M956" s="17" t="str">
        <f>ROUND(Github!N$955, 2)&amp;"%"</f>
        <v>0%</v>
      </c>
      <c r="N956" s="17">
        <f>Github!O$955</f>
        <v>38.49708308</v>
      </c>
      <c r="O956" s="17">
        <f>Github!P$955</f>
        <v>68233</v>
      </c>
    </row>
    <row r="957">
      <c r="A957" s="17">
        <f>Github!J$956</f>
        <v>955</v>
      </c>
      <c r="B957" s="27" t="str">
        <f>HYPERLINK(CONCAT("http://leetcode.com/problems/",Github!C$956), Github!B$956)</f>
        <v>Delete Columns to Make Sorted II</v>
      </c>
      <c r="C957" s="17">
        <f>Github!F$956</f>
        <v>434</v>
      </c>
      <c r="D957" s="17">
        <f>Github!G$956</f>
        <v>69</v>
      </c>
      <c r="E957" s="17">
        <f>Github!F$956+Github!G$956</f>
        <v>503</v>
      </c>
      <c r="F957" s="18">
        <f t="shared" si="1"/>
        <v>6.29</v>
      </c>
      <c r="G957" s="17" t="str">
        <f>Github!H$956</f>
        <v>Algorithms</v>
      </c>
      <c r="H957" s="17" t="str">
        <f>Github!E$956</f>
        <v>Medium</v>
      </c>
      <c r="I957" s="17" t="str">
        <f>IF(TRIM(Github!D$956)="TRUE","FALSE","TRUE")</f>
        <v>TRUE</v>
      </c>
      <c r="J957" s="17"/>
      <c r="K957" s="17" t="str">
        <f>Github!L$956</f>
        <v>Array;String;Greedy;</v>
      </c>
      <c r="L957" s="17" t="b">
        <f>Github!M$956</f>
        <v>0</v>
      </c>
      <c r="M957" s="17" t="str">
        <f>ROUND(Github!N$956, 2)&amp;"%"</f>
        <v>0%</v>
      </c>
      <c r="N957" s="17">
        <f>Github!O$956</f>
        <v>34.13465925</v>
      </c>
      <c r="O957" s="17">
        <f>Github!P$956</f>
        <v>14966</v>
      </c>
    </row>
    <row r="958">
      <c r="A958" s="17">
        <f>Github!J$957</f>
        <v>956</v>
      </c>
      <c r="B958" s="27" t="str">
        <f>HYPERLINK(CONCAT("http://leetcode.com/problems/",Github!C$957), Github!B$957)</f>
        <v>Tallest Billboard</v>
      </c>
      <c r="C958" s="17">
        <f>Github!F$957</f>
        <v>628</v>
      </c>
      <c r="D958" s="17">
        <f>Github!G$957</f>
        <v>22</v>
      </c>
      <c r="E958" s="17">
        <f>Github!F$957+Github!G$957</f>
        <v>650</v>
      </c>
      <c r="F958" s="18">
        <f t="shared" si="1"/>
        <v>28.55</v>
      </c>
      <c r="G958" s="17" t="str">
        <f>Github!H$957</f>
        <v>Algorithms</v>
      </c>
      <c r="H958" s="17" t="str">
        <f>Github!E$957</f>
        <v>Hard</v>
      </c>
      <c r="I958" s="17" t="str">
        <f>IF(TRIM(Github!D$957)="TRUE","FALSE","TRUE")</f>
        <v>TRUE</v>
      </c>
      <c r="J958" s="17"/>
      <c r="K958" s="17" t="str">
        <f>Github!L$957</f>
        <v>Array;Dynamic Programming;</v>
      </c>
      <c r="L958" s="17" t="b">
        <f>Github!M$957</f>
        <v>0</v>
      </c>
      <c r="M958" s="17" t="str">
        <f>ROUND(Github!N$957, 2)&amp;"%"</f>
        <v>0%</v>
      </c>
      <c r="N958" s="17">
        <f>Github!O$957</f>
        <v>39.90559762</v>
      </c>
      <c r="O958" s="17">
        <f>Github!P$957</f>
        <v>12597</v>
      </c>
    </row>
    <row r="959">
      <c r="A959" s="17">
        <f>Github!J$958</f>
        <v>957</v>
      </c>
      <c r="B959" s="27" t="str">
        <f>HYPERLINK(CONCAT("http://leetcode.com/problems/",Github!C$958), Github!B$958)</f>
        <v>Prison Cells After N Days</v>
      </c>
      <c r="C959" s="17">
        <f>Github!F$958</f>
        <v>1206</v>
      </c>
      <c r="D959" s="17">
        <f>Github!G$958</f>
        <v>1500</v>
      </c>
      <c r="E959" s="17">
        <f>Github!F$958+Github!G$958</f>
        <v>2706</v>
      </c>
      <c r="F959" s="18">
        <f t="shared" si="1"/>
        <v>0.8</v>
      </c>
      <c r="G959" s="17" t="str">
        <f>Github!H$958</f>
        <v>Algorithms</v>
      </c>
      <c r="H959" s="17" t="str">
        <f>Github!E$958</f>
        <v>Medium</v>
      </c>
      <c r="I959" s="17" t="str">
        <f>IF(TRIM(Github!D$958)="TRUE","FALSE","TRUE")</f>
        <v>TRUE</v>
      </c>
      <c r="J959" s="17"/>
      <c r="K959" s="17" t="str">
        <f>Github!L$958</f>
        <v>Array;Hash Table;Math;Bit Manipulation;</v>
      </c>
      <c r="L959" s="17" t="b">
        <f>Github!M$958</f>
        <v>1</v>
      </c>
      <c r="M959" s="17" t="str">
        <f>ROUND(Github!N$958, 2)&amp;"%"</f>
        <v>0%</v>
      </c>
      <c r="N959" s="17">
        <f>Github!O$958</f>
        <v>39.50808124</v>
      </c>
      <c r="O959" s="17">
        <f>Github!P$958</f>
        <v>138525</v>
      </c>
    </row>
    <row r="960">
      <c r="A960" s="17">
        <f>Github!J$959</f>
        <v>958</v>
      </c>
      <c r="B960" s="27" t="str">
        <f>HYPERLINK(CONCAT("http://leetcode.com/problems/",Github!C$959), Github!B$959)</f>
        <v>Check Completeness of a Binary Tree</v>
      </c>
      <c r="C960" s="17">
        <f>Github!F$959</f>
        <v>1828</v>
      </c>
      <c r="D960" s="17">
        <f>Github!G$959</f>
        <v>27</v>
      </c>
      <c r="E960" s="17">
        <f>Github!F$959+Github!G$959</f>
        <v>1855</v>
      </c>
      <c r="F960" s="18">
        <f t="shared" si="1"/>
        <v>67.7</v>
      </c>
      <c r="G960" s="17" t="str">
        <f>Github!H$959</f>
        <v>Algorithms</v>
      </c>
      <c r="H960" s="17" t="str">
        <f>Github!E$959</f>
        <v>Medium</v>
      </c>
      <c r="I960" s="17" t="str">
        <f>IF(TRIM(Github!D$959)="TRUE","FALSE","TRUE")</f>
        <v>TRUE</v>
      </c>
      <c r="J960" s="17"/>
      <c r="K960" s="17" t="str">
        <f>Github!L$959</f>
        <v>Tree;Breadth-First Search;Binary Tree;</v>
      </c>
      <c r="L960" s="17" t="b">
        <f>Github!M$959</f>
        <v>0</v>
      </c>
      <c r="M960" s="17" t="str">
        <f>ROUND(Github!N$959, 2)&amp;"%"</f>
        <v>0%</v>
      </c>
      <c r="N960" s="17">
        <f>Github!O$959</f>
        <v>53.51302212</v>
      </c>
      <c r="O960" s="17">
        <f>Github!P$959</f>
        <v>110665</v>
      </c>
    </row>
    <row r="961">
      <c r="A961" s="17">
        <f>Github!J$960</f>
        <v>959</v>
      </c>
      <c r="B961" s="27" t="str">
        <f>HYPERLINK(CONCAT("http://leetcode.com/problems/",Github!C$960), Github!B$960)</f>
        <v>Regions Cut By Slashes</v>
      </c>
      <c r="C961" s="17">
        <f>Github!F$960</f>
        <v>1965</v>
      </c>
      <c r="D961" s="17">
        <f>Github!G$960</f>
        <v>389</v>
      </c>
      <c r="E961" s="17">
        <f>Github!F$960+Github!G$960</f>
        <v>2354</v>
      </c>
      <c r="F961" s="18">
        <f t="shared" si="1"/>
        <v>5.05</v>
      </c>
      <c r="G961" s="17" t="str">
        <f>Github!H$960</f>
        <v>Algorithms</v>
      </c>
      <c r="H961" s="17" t="str">
        <f>Github!E$960</f>
        <v>Medium</v>
      </c>
      <c r="I961" s="17" t="str">
        <f>IF(TRIM(Github!D$960)="TRUE","FALSE","TRUE")</f>
        <v>TRUE</v>
      </c>
      <c r="J961" s="17"/>
      <c r="K961" s="17" t="str">
        <f>Github!L$960</f>
        <v>Depth-First Search;Breadth-First Search;Union Find;Graph;</v>
      </c>
      <c r="L961" s="17" t="b">
        <f>Github!M$960</f>
        <v>1</v>
      </c>
      <c r="M961" s="17" t="str">
        <f>ROUND(Github!N$960, 2)&amp;"%"</f>
        <v>0%</v>
      </c>
      <c r="N961" s="17">
        <f>Github!O$960</f>
        <v>68.44074038</v>
      </c>
      <c r="O961" s="17">
        <f>Github!P$960</f>
        <v>35312</v>
      </c>
    </row>
    <row r="962">
      <c r="A962" s="17">
        <f>Github!J$961</f>
        <v>960</v>
      </c>
      <c r="B962" s="27" t="str">
        <f>HYPERLINK(CONCAT("http://leetcode.com/problems/",Github!C$961), Github!B$961)</f>
        <v>Delete Columns to Make Sorted III</v>
      </c>
      <c r="C962" s="17">
        <f>Github!F$961</f>
        <v>413</v>
      </c>
      <c r="D962" s="17">
        <f>Github!G$961</f>
        <v>11</v>
      </c>
      <c r="E962" s="17">
        <f>Github!F$961+Github!G$961</f>
        <v>424</v>
      </c>
      <c r="F962" s="18">
        <f t="shared" si="1"/>
        <v>37.55</v>
      </c>
      <c r="G962" s="17" t="str">
        <f>Github!H$961</f>
        <v>Algorithms</v>
      </c>
      <c r="H962" s="17" t="str">
        <f>Github!E$961</f>
        <v>Hard</v>
      </c>
      <c r="I962" s="17" t="str">
        <f>IF(TRIM(Github!D$961)="TRUE","FALSE","TRUE")</f>
        <v>TRUE</v>
      </c>
      <c r="J962" s="17"/>
      <c r="K962" s="17" t="str">
        <f>Github!L$961</f>
        <v>Array;String;Dynamic Programming;</v>
      </c>
      <c r="L962" s="17" t="b">
        <f>Github!M$961</f>
        <v>1</v>
      </c>
      <c r="M962" s="17" t="str">
        <f>ROUND(Github!N$961, 2)&amp;"%"</f>
        <v>0%</v>
      </c>
      <c r="N962" s="17">
        <f>Github!O$961</f>
        <v>56.44778481</v>
      </c>
      <c r="O962" s="17">
        <f>Github!P$961</f>
        <v>9989</v>
      </c>
    </row>
    <row r="963">
      <c r="A963" s="17">
        <f>Github!J$962</f>
        <v>961</v>
      </c>
      <c r="B963" s="27" t="str">
        <f>HYPERLINK(CONCAT("http://leetcode.com/problems/",Github!C$962), Github!B$962)</f>
        <v>N-Repeated Element in Size 2N Array</v>
      </c>
      <c r="C963" s="17">
        <f>Github!F$962</f>
        <v>857</v>
      </c>
      <c r="D963" s="17">
        <f>Github!G$962</f>
        <v>291</v>
      </c>
      <c r="E963" s="17">
        <f>Github!F$962+Github!G$962</f>
        <v>1148</v>
      </c>
      <c r="F963" s="18">
        <f t="shared" si="1"/>
        <v>2.95</v>
      </c>
      <c r="G963" s="17" t="str">
        <f>Github!H$962</f>
        <v>Algorithms</v>
      </c>
      <c r="H963" s="17" t="str">
        <f>Github!E$962</f>
        <v>Easy</v>
      </c>
      <c r="I963" s="17" t="str">
        <f>IF(TRIM(Github!D$962)="TRUE","FALSE","TRUE")</f>
        <v>TRUE</v>
      </c>
      <c r="J963" s="17"/>
      <c r="K963" s="17" t="str">
        <f>Github!L$962</f>
        <v>Array;Hash Table;</v>
      </c>
      <c r="L963" s="17" t="b">
        <f>Github!M$962</f>
        <v>1</v>
      </c>
      <c r="M963" s="17" t="str">
        <f>ROUND(Github!N$962, 2)&amp;"%"</f>
        <v>0%</v>
      </c>
      <c r="N963" s="17">
        <f>Github!O$962</f>
        <v>75.35858017</v>
      </c>
      <c r="O963" s="17">
        <f>Github!P$962</f>
        <v>172644</v>
      </c>
    </row>
    <row r="964">
      <c r="A964" s="17">
        <f>Github!J$963</f>
        <v>962</v>
      </c>
      <c r="B964" s="27" t="str">
        <f>HYPERLINK(CONCAT("http://leetcode.com/problems/",Github!C$963), Github!B$963)</f>
        <v>Maximum Width Ramp</v>
      </c>
      <c r="C964" s="17">
        <f>Github!F$963</f>
        <v>1084</v>
      </c>
      <c r="D964" s="17">
        <f>Github!G$963</f>
        <v>32</v>
      </c>
      <c r="E964" s="17">
        <f>Github!F$963+Github!G$963</f>
        <v>1116</v>
      </c>
      <c r="F964" s="18">
        <f t="shared" si="1"/>
        <v>33.88</v>
      </c>
      <c r="G964" s="17" t="str">
        <f>Github!H$963</f>
        <v>Algorithms</v>
      </c>
      <c r="H964" s="17" t="str">
        <f>Github!E$963</f>
        <v>Medium</v>
      </c>
      <c r="I964" s="17" t="str">
        <f>IF(TRIM(Github!D$963)="TRUE","FALSE","TRUE")</f>
        <v>TRUE</v>
      </c>
      <c r="J964" s="17"/>
      <c r="K964" s="17" t="str">
        <f>Github!L$963</f>
        <v>Array;Stack;Monotonic Stack;</v>
      </c>
      <c r="L964" s="17" t="b">
        <f>Github!M$963</f>
        <v>0</v>
      </c>
      <c r="M964" s="17" t="str">
        <f>ROUND(Github!N$963, 2)&amp;"%"</f>
        <v>0%</v>
      </c>
      <c r="N964" s="17">
        <f>Github!O$963</f>
        <v>47.9847715</v>
      </c>
      <c r="O964" s="17">
        <f>Github!P$963</f>
        <v>32014</v>
      </c>
    </row>
    <row r="965">
      <c r="A965" s="17">
        <f>Github!J$964</f>
        <v>963</v>
      </c>
      <c r="B965" s="27" t="str">
        <f>HYPERLINK(CONCAT("http://leetcode.com/problems/",Github!C$964), Github!B$964)</f>
        <v>Minimum Area Rectangle II</v>
      </c>
      <c r="C965" s="17">
        <f>Github!F$964</f>
        <v>290</v>
      </c>
      <c r="D965" s="17">
        <f>Github!G$964</f>
        <v>388</v>
      </c>
      <c r="E965" s="17">
        <f>Github!F$964+Github!G$964</f>
        <v>678</v>
      </c>
      <c r="F965" s="18">
        <f t="shared" si="1"/>
        <v>0.75</v>
      </c>
      <c r="G965" s="17" t="str">
        <f>Github!H$964</f>
        <v>Algorithms</v>
      </c>
      <c r="H965" s="17" t="str">
        <f>Github!E$964</f>
        <v>Medium</v>
      </c>
      <c r="I965" s="17" t="str">
        <f>IF(TRIM(Github!D$964)="TRUE","FALSE","TRUE")</f>
        <v>TRUE</v>
      </c>
      <c r="J965" s="17"/>
      <c r="K965" s="17" t="str">
        <f>Github!L$964</f>
        <v>Array;Math;Geometry;</v>
      </c>
      <c r="L965" s="17" t="b">
        <f>Github!M$964</f>
        <v>0</v>
      </c>
      <c r="M965" s="17" t="str">
        <f>ROUND(Github!N$964, 2)&amp;"%"</f>
        <v>0%</v>
      </c>
      <c r="N965" s="17">
        <f>Github!O$964</f>
        <v>54.4561232</v>
      </c>
      <c r="O965" s="17">
        <f>Github!P$964</f>
        <v>22278</v>
      </c>
    </row>
    <row r="966">
      <c r="A966" s="17">
        <f>Github!J$965</f>
        <v>964</v>
      </c>
      <c r="B966" s="27" t="str">
        <f>HYPERLINK(CONCAT("http://leetcode.com/problems/",Github!C$965), Github!B$965)</f>
        <v>Least Operators to Express Number</v>
      </c>
      <c r="C966" s="17">
        <f>Github!F$965</f>
        <v>252</v>
      </c>
      <c r="D966" s="17">
        <f>Github!G$965</f>
        <v>64</v>
      </c>
      <c r="E966" s="17">
        <f>Github!F$965+Github!G$965</f>
        <v>316</v>
      </c>
      <c r="F966" s="18">
        <f t="shared" si="1"/>
        <v>3.94</v>
      </c>
      <c r="G966" s="17" t="str">
        <f>Github!H$965</f>
        <v>Algorithms</v>
      </c>
      <c r="H966" s="17" t="str">
        <f>Github!E$965</f>
        <v>Hard</v>
      </c>
      <c r="I966" s="17" t="str">
        <f>IF(TRIM(Github!D$965)="TRUE","FALSE","TRUE")</f>
        <v>TRUE</v>
      </c>
      <c r="J966" s="17"/>
      <c r="K966" s="17" t="str">
        <f>Github!L$965</f>
        <v>Math;Dynamic Programming;</v>
      </c>
      <c r="L966" s="17" t="b">
        <f>Github!M$965</f>
        <v>0</v>
      </c>
      <c r="M966" s="17" t="str">
        <f>ROUND(Github!N$965, 2)&amp;"%"</f>
        <v>0%</v>
      </c>
      <c r="N966" s="17">
        <f>Github!O$965</f>
        <v>47.00181708</v>
      </c>
      <c r="O966" s="17">
        <f>Github!P$965</f>
        <v>7760</v>
      </c>
    </row>
    <row r="967">
      <c r="A967" s="17">
        <f>Github!J$966</f>
        <v>965</v>
      </c>
      <c r="B967" s="27" t="str">
        <f>HYPERLINK(CONCAT("http://leetcode.com/problems/",Github!C$966), Github!B$966)</f>
        <v>Univalued Binary Tree</v>
      </c>
      <c r="C967" s="17">
        <f>Github!F$966</f>
        <v>1217</v>
      </c>
      <c r="D967" s="17">
        <f>Github!G$966</f>
        <v>56</v>
      </c>
      <c r="E967" s="17">
        <f>Github!F$966+Github!G$966</f>
        <v>1273</v>
      </c>
      <c r="F967" s="18">
        <f t="shared" si="1"/>
        <v>21.73</v>
      </c>
      <c r="G967" s="17" t="str">
        <f>Github!H$966</f>
        <v>Algorithms</v>
      </c>
      <c r="H967" s="17" t="str">
        <f>Github!E$966</f>
        <v>Easy</v>
      </c>
      <c r="I967" s="17" t="str">
        <f>IF(TRIM(Github!D$966)="TRUE","FALSE","TRUE")</f>
        <v>TRUE</v>
      </c>
      <c r="J967" s="17"/>
      <c r="K967" s="17" t="str">
        <f>Github!L$966</f>
        <v>Tree;Depth-First Search;Breadth-First Search;Binary Tree;</v>
      </c>
      <c r="L967" s="17" t="b">
        <f>Github!M$966</f>
        <v>1</v>
      </c>
      <c r="M967" s="17" t="str">
        <f>ROUND(Github!N$966, 2)&amp;"%"</f>
        <v>0%</v>
      </c>
      <c r="N967" s="17">
        <f>Github!O$966</f>
        <v>68.83669376</v>
      </c>
      <c r="O967" s="17">
        <f>Github!P$966</f>
        <v>153392</v>
      </c>
    </row>
    <row r="968">
      <c r="A968" s="17">
        <f>Github!J$967</f>
        <v>966</v>
      </c>
      <c r="B968" s="27" t="str">
        <f>HYPERLINK(CONCAT("http://leetcode.com/problems/",Github!C$967), Github!B$967)</f>
        <v>Vowel Spellchecker</v>
      </c>
      <c r="C968" s="17">
        <f>Github!F$967</f>
        <v>338</v>
      </c>
      <c r="D968" s="17">
        <f>Github!G$967</f>
        <v>709</v>
      </c>
      <c r="E968" s="17">
        <f>Github!F$967+Github!G$967</f>
        <v>1047</v>
      </c>
      <c r="F968" s="18">
        <f t="shared" si="1"/>
        <v>0.48</v>
      </c>
      <c r="G968" s="17" t="str">
        <f>Github!H$967</f>
        <v>Algorithms</v>
      </c>
      <c r="H968" s="17" t="str">
        <f>Github!E$967</f>
        <v>Medium</v>
      </c>
      <c r="I968" s="17" t="str">
        <f>IF(TRIM(Github!D$967)="TRUE","FALSE","TRUE")</f>
        <v>TRUE</v>
      </c>
      <c r="J968" s="17"/>
      <c r="K968" s="17" t="str">
        <f>Github!L$967</f>
        <v>Array;Hash Table;String;</v>
      </c>
      <c r="L968" s="17" t="b">
        <f>Github!M$967</f>
        <v>1</v>
      </c>
      <c r="M968" s="17" t="str">
        <f>ROUND(Github!N$967, 2)&amp;"%"</f>
        <v>0%</v>
      </c>
      <c r="N968" s="17">
        <f>Github!O$967</f>
        <v>51.58819188</v>
      </c>
      <c r="O968" s="17">
        <f>Github!P$967</f>
        <v>34951</v>
      </c>
    </row>
    <row r="969">
      <c r="A969" s="17">
        <f>Github!J$968</f>
        <v>967</v>
      </c>
      <c r="B969" s="27" t="str">
        <f>HYPERLINK(CONCAT("http://leetcode.com/problems/",Github!C$968), Github!B$968)</f>
        <v>Numbers With Same Consecutive Differences</v>
      </c>
      <c r="C969" s="17">
        <f>Github!F$968</f>
        <v>846</v>
      </c>
      <c r="D969" s="17">
        <f>Github!G$968</f>
        <v>130</v>
      </c>
      <c r="E969" s="17">
        <f>Github!F$968+Github!G$968</f>
        <v>976</v>
      </c>
      <c r="F969" s="18">
        <f t="shared" si="1"/>
        <v>6.51</v>
      </c>
      <c r="G969" s="17" t="str">
        <f>Github!H$968</f>
        <v>Algorithms</v>
      </c>
      <c r="H969" s="17" t="str">
        <f>Github!E$968</f>
        <v>Medium</v>
      </c>
      <c r="I969" s="17" t="str">
        <f>IF(TRIM(Github!D$968)="TRUE","FALSE","TRUE")</f>
        <v>TRUE</v>
      </c>
      <c r="J969" s="17"/>
      <c r="K969" s="17" t="str">
        <f>Github!L$968</f>
        <v>Backtracking;Breadth-First Search;</v>
      </c>
      <c r="L969" s="17" t="b">
        <f>Github!M$968</f>
        <v>1</v>
      </c>
      <c r="M969" s="17" t="str">
        <f>ROUND(Github!N$968, 2)&amp;"%"</f>
        <v>0%</v>
      </c>
      <c r="N969" s="17">
        <f>Github!O$968</f>
        <v>47.02516062</v>
      </c>
      <c r="O969" s="17">
        <f>Github!P$968</f>
        <v>48893</v>
      </c>
    </row>
    <row r="970">
      <c r="A970" s="17">
        <f>Github!J$969</f>
        <v>968</v>
      </c>
      <c r="B970" s="27" t="str">
        <f>HYPERLINK(CONCAT("http://leetcode.com/problems/",Github!C$969), Github!B$969)</f>
        <v>Binary Tree Cameras</v>
      </c>
      <c r="C970" s="17">
        <f>Github!F$969</f>
        <v>2527</v>
      </c>
      <c r="D970" s="17">
        <f>Github!G$969</f>
        <v>33</v>
      </c>
      <c r="E970" s="17">
        <f>Github!F$969+Github!G$969</f>
        <v>2560</v>
      </c>
      <c r="F970" s="18">
        <f t="shared" si="1"/>
        <v>76.58</v>
      </c>
      <c r="G970" s="17" t="str">
        <f>Github!H$969</f>
        <v>Algorithms</v>
      </c>
      <c r="H970" s="17" t="str">
        <f>Github!E$969</f>
        <v>Hard</v>
      </c>
      <c r="I970" s="17" t="str">
        <f>IF(TRIM(Github!D$969)="TRUE","FALSE","TRUE")</f>
        <v>TRUE</v>
      </c>
      <c r="J970" s="17"/>
      <c r="K970" s="17" t="str">
        <f>Github!L$969</f>
        <v>Dynamic Programming;Tree;Depth-First Search;Binary Tree;</v>
      </c>
      <c r="L970" s="17" t="b">
        <f>Github!M$969</f>
        <v>1</v>
      </c>
      <c r="M970" s="17" t="str">
        <f>ROUND(Github!N$969, 2)&amp;"%"</f>
        <v>0%</v>
      </c>
      <c r="N970" s="17">
        <f>Github!O$969</f>
        <v>41.72009668</v>
      </c>
      <c r="O970" s="17">
        <f>Github!P$969</f>
        <v>61621</v>
      </c>
    </row>
    <row r="971">
      <c r="A971" s="17">
        <f>Github!J$970</f>
        <v>969</v>
      </c>
      <c r="B971" s="27" t="str">
        <f>HYPERLINK(CONCAT("http://leetcode.com/problems/",Github!C$970), Github!B$970)</f>
        <v>Pancake Sorting</v>
      </c>
      <c r="C971" s="17">
        <f>Github!F$970</f>
        <v>1043</v>
      </c>
      <c r="D971" s="17">
        <f>Github!G$970</f>
        <v>1217</v>
      </c>
      <c r="E971" s="17">
        <f>Github!F$970+Github!G$970</f>
        <v>2260</v>
      </c>
      <c r="F971" s="18">
        <f t="shared" si="1"/>
        <v>0.86</v>
      </c>
      <c r="G971" s="17" t="str">
        <f>Github!H$970</f>
        <v>Algorithms</v>
      </c>
      <c r="H971" s="17" t="str">
        <f>Github!E$970</f>
        <v>Medium</v>
      </c>
      <c r="I971" s="17" t="str">
        <f>IF(TRIM(Github!D$970)="TRUE","FALSE","TRUE")</f>
        <v>TRUE</v>
      </c>
      <c r="J971" s="17"/>
      <c r="K971" s="17" t="str">
        <f>Github!L$970</f>
        <v>Array;Two Pointers;Greedy;Sorting;</v>
      </c>
      <c r="L971" s="17" t="b">
        <f>Github!M$970</f>
        <v>1</v>
      </c>
      <c r="M971" s="17" t="str">
        <f>ROUND(Github!N$970, 2)&amp;"%"</f>
        <v>0%</v>
      </c>
      <c r="N971" s="17">
        <f>Github!O$970</f>
        <v>69.65107158</v>
      </c>
      <c r="O971" s="17">
        <f>Github!P$970</f>
        <v>71920</v>
      </c>
    </row>
    <row r="972">
      <c r="A972" s="17">
        <f>Github!J$971</f>
        <v>970</v>
      </c>
      <c r="B972" s="27" t="str">
        <f>HYPERLINK(CONCAT("http://leetcode.com/problems/",Github!C$971), Github!B$971)</f>
        <v>Powerful Integers</v>
      </c>
      <c r="C972" s="17">
        <f>Github!F$971</f>
        <v>225</v>
      </c>
      <c r="D972" s="17">
        <f>Github!G$971</f>
        <v>60</v>
      </c>
      <c r="E972" s="17">
        <f>Github!F$971+Github!G$971</f>
        <v>285</v>
      </c>
      <c r="F972" s="18">
        <f t="shared" si="1"/>
        <v>3.75</v>
      </c>
      <c r="G972" s="17" t="str">
        <f>Github!H$971</f>
        <v>Algorithms</v>
      </c>
      <c r="H972" s="17" t="str">
        <f>Github!E$971</f>
        <v>Medium</v>
      </c>
      <c r="I972" s="17" t="str">
        <f>IF(TRIM(Github!D$971)="TRUE","FALSE","TRUE")</f>
        <v>TRUE</v>
      </c>
      <c r="J972" s="17"/>
      <c r="K972" s="17" t="str">
        <f>Github!L$971</f>
        <v>Hash Table;Math;</v>
      </c>
      <c r="L972" s="17" t="b">
        <f>Github!M$971</f>
        <v>1</v>
      </c>
      <c r="M972" s="17" t="str">
        <f>ROUND(Github!N$971, 2)&amp;"%"</f>
        <v>0%</v>
      </c>
      <c r="N972" s="17">
        <f>Github!O$971</f>
        <v>43.4855547</v>
      </c>
      <c r="O972" s="17">
        <f>Github!P$971</f>
        <v>45622</v>
      </c>
    </row>
    <row r="973">
      <c r="A973" s="17">
        <f>Github!J$972</f>
        <v>971</v>
      </c>
      <c r="B973" s="27" t="str">
        <f>HYPERLINK(CONCAT("http://leetcode.com/problems/",Github!C$972), Github!B$972)</f>
        <v>Flip Binary Tree To Match Preorder Traversal</v>
      </c>
      <c r="C973" s="17">
        <f>Github!F$972</f>
        <v>684</v>
      </c>
      <c r="D973" s="17">
        <f>Github!G$972</f>
        <v>236</v>
      </c>
      <c r="E973" s="17">
        <f>Github!F$972+Github!G$972</f>
        <v>920</v>
      </c>
      <c r="F973" s="18">
        <f t="shared" si="1"/>
        <v>2.9</v>
      </c>
      <c r="G973" s="17" t="str">
        <f>Github!H$972</f>
        <v>Algorithms</v>
      </c>
      <c r="H973" s="17" t="str">
        <f>Github!E$972</f>
        <v>Medium</v>
      </c>
      <c r="I973" s="17" t="str">
        <f>IF(TRIM(Github!D$972)="TRUE","FALSE","TRUE")</f>
        <v>TRUE</v>
      </c>
      <c r="J973" s="17"/>
      <c r="K973" s="17" t="str">
        <f>Github!L$972</f>
        <v>Tree;Depth-First Search;Binary Tree;</v>
      </c>
      <c r="L973" s="17" t="b">
        <f>Github!M$972</f>
        <v>1</v>
      </c>
      <c r="M973" s="17" t="str">
        <f>ROUND(Github!N$972, 2)&amp;"%"</f>
        <v>0%</v>
      </c>
      <c r="N973" s="17">
        <f>Github!O$972</f>
        <v>49.86782093</v>
      </c>
      <c r="O973" s="17">
        <f>Github!P$972</f>
        <v>34332</v>
      </c>
    </row>
    <row r="974">
      <c r="A974" s="17">
        <f>Github!J$973</f>
        <v>972</v>
      </c>
      <c r="B974" s="27" t="str">
        <f>HYPERLINK(CONCAT("http://leetcode.com/problems/",Github!C$973), Github!B$973)</f>
        <v>Equal Rational Numbers</v>
      </c>
      <c r="C974" s="17">
        <f>Github!F$973</f>
        <v>66</v>
      </c>
      <c r="D974" s="17">
        <f>Github!G$973</f>
        <v>182</v>
      </c>
      <c r="E974" s="17">
        <f>Github!F$973+Github!G$973</f>
        <v>248</v>
      </c>
      <c r="F974" s="18">
        <f t="shared" si="1"/>
        <v>0.36</v>
      </c>
      <c r="G974" s="17" t="str">
        <f>Github!H$973</f>
        <v>Algorithms</v>
      </c>
      <c r="H974" s="17" t="str">
        <f>Github!E$973</f>
        <v>Hard</v>
      </c>
      <c r="I974" s="17" t="str">
        <f>IF(TRIM(Github!D$973)="TRUE","FALSE","TRUE")</f>
        <v>TRUE</v>
      </c>
      <c r="J974" s="17"/>
      <c r="K974" s="17" t="str">
        <f>Github!L$973</f>
        <v>Math;String;</v>
      </c>
      <c r="L974" s="17" t="b">
        <f>Github!M$973</f>
        <v>1</v>
      </c>
      <c r="M974" s="17" t="str">
        <f>ROUND(Github!N$973, 2)&amp;"%"</f>
        <v>0%</v>
      </c>
      <c r="N974" s="17">
        <f>Github!O$973</f>
        <v>42.48930503</v>
      </c>
      <c r="O974" s="17">
        <f>Github!P$973</f>
        <v>5264</v>
      </c>
    </row>
    <row r="975">
      <c r="A975" s="17">
        <f>Github!J$974</f>
        <v>973</v>
      </c>
      <c r="B975" s="27" t="str">
        <f>HYPERLINK(CONCAT("http://leetcode.com/problems/",Github!C$974), Github!B$974)</f>
        <v>K Closest Points to Origin</v>
      </c>
      <c r="C975" s="17">
        <f>Github!F$974</f>
        <v>5097</v>
      </c>
      <c r="D975" s="17">
        <f>Github!G$974</f>
        <v>201</v>
      </c>
      <c r="E975" s="17">
        <f>Github!F$974+Github!G$974</f>
        <v>5298</v>
      </c>
      <c r="F975" s="18">
        <f t="shared" si="1"/>
        <v>25.36</v>
      </c>
      <c r="G975" s="17" t="str">
        <f>Github!H$974</f>
        <v>Algorithms</v>
      </c>
      <c r="H975" s="17" t="str">
        <f>Github!E$974</f>
        <v>Medium</v>
      </c>
      <c r="I975" s="17" t="str">
        <f>IF(TRIM(Github!D$974)="TRUE","FALSE","TRUE")</f>
        <v>TRUE</v>
      </c>
      <c r="J975" s="17"/>
      <c r="K975" s="17" t="str">
        <f>Github!L$974</f>
        <v>Array;Math;Divide and Conquer;Geometry;Sorting;Heap (Priority Queue);Quickselect;</v>
      </c>
      <c r="L975" s="17" t="b">
        <f>Github!M$974</f>
        <v>1</v>
      </c>
      <c r="M975" s="17" t="str">
        <f>ROUND(Github!N$974, 2)&amp;"%"</f>
        <v>0%</v>
      </c>
      <c r="N975" s="17">
        <f>Github!O$974</f>
        <v>66.00320026</v>
      </c>
      <c r="O975" s="17">
        <f>Github!P$974</f>
        <v>706578</v>
      </c>
    </row>
    <row r="976">
      <c r="A976" s="17">
        <f>Github!J$975</f>
        <v>974</v>
      </c>
      <c r="B976" s="27" t="str">
        <f>HYPERLINK(CONCAT("http://leetcode.com/problems/",Github!C$975), Github!B$975)</f>
        <v>Subarray Sums Divisible by K</v>
      </c>
      <c r="C976" s="17">
        <f>Github!F$975</f>
        <v>2618</v>
      </c>
      <c r="D976" s="17">
        <f>Github!G$975</f>
        <v>131</v>
      </c>
      <c r="E976" s="17">
        <f>Github!F$975+Github!G$975</f>
        <v>2749</v>
      </c>
      <c r="F976" s="18">
        <f t="shared" si="1"/>
        <v>19.98</v>
      </c>
      <c r="G976" s="17" t="str">
        <f>Github!H$975</f>
        <v>Algorithms</v>
      </c>
      <c r="H976" s="17" t="str">
        <f>Github!E$975</f>
        <v>Medium</v>
      </c>
      <c r="I976" s="17" t="str">
        <f>IF(TRIM(Github!D$975)="TRUE","FALSE","TRUE")</f>
        <v>TRUE</v>
      </c>
      <c r="J976" s="17"/>
      <c r="K976" s="17" t="str">
        <f>Github!L$975</f>
        <v>Array;Hash Table;Prefix Sum;</v>
      </c>
      <c r="L976" s="17" t="b">
        <f>Github!M$975</f>
        <v>0</v>
      </c>
      <c r="M976" s="17" t="str">
        <f>ROUND(Github!N$975, 2)&amp;"%"</f>
        <v>0%</v>
      </c>
      <c r="N976" s="17">
        <f>Github!O$975</f>
        <v>53.04537849</v>
      </c>
      <c r="O976" s="17">
        <f>Github!P$975</f>
        <v>89084</v>
      </c>
    </row>
    <row r="977">
      <c r="A977" s="17">
        <f>Github!J$976</f>
        <v>975</v>
      </c>
      <c r="B977" s="27" t="str">
        <f>HYPERLINK(CONCAT("http://leetcode.com/problems/",Github!C$976), Github!B$976)</f>
        <v>Odd Even Jump</v>
      </c>
      <c r="C977" s="17">
        <f>Github!F$976</f>
        <v>1277</v>
      </c>
      <c r="D977" s="17">
        <f>Github!G$976</f>
        <v>359</v>
      </c>
      <c r="E977" s="17">
        <f>Github!F$976+Github!G$976</f>
        <v>1636</v>
      </c>
      <c r="F977" s="18">
        <f t="shared" si="1"/>
        <v>3.56</v>
      </c>
      <c r="G977" s="17" t="str">
        <f>Github!H$976</f>
        <v>Algorithms</v>
      </c>
      <c r="H977" s="17" t="str">
        <f>Github!E$976</f>
        <v>Hard</v>
      </c>
      <c r="I977" s="17" t="str">
        <f>IF(TRIM(Github!D$976)="TRUE","FALSE","TRUE")</f>
        <v>TRUE</v>
      </c>
      <c r="J977" s="17"/>
      <c r="K977" s="17" t="str">
        <f>Github!L$976</f>
        <v>Array;Dynamic Programming;Stack;Monotonic Stack;Ordered Set;</v>
      </c>
      <c r="L977" s="17" t="b">
        <f>Github!M$976</f>
        <v>0</v>
      </c>
      <c r="M977" s="17" t="str">
        <f>ROUND(Github!N$976, 2)&amp;"%"</f>
        <v>0%</v>
      </c>
      <c r="N977" s="17">
        <f>Github!O$976</f>
        <v>39.03901576</v>
      </c>
      <c r="O977" s="17">
        <f>Github!P$976</f>
        <v>55403</v>
      </c>
    </row>
    <row r="978">
      <c r="A978" s="17">
        <f>Github!J$977</f>
        <v>976</v>
      </c>
      <c r="B978" s="27" t="str">
        <f>HYPERLINK(CONCAT("http://leetcode.com/problems/",Github!C$977), Github!B$977)</f>
        <v>Largest Perimeter Triangle</v>
      </c>
      <c r="C978" s="17">
        <f>Github!F$977</f>
        <v>959</v>
      </c>
      <c r="D978" s="17">
        <f>Github!G$977</f>
        <v>91</v>
      </c>
      <c r="E978" s="17">
        <f>Github!F$977+Github!G$977</f>
        <v>1050</v>
      </c>
      <c r="F978" s="18">
        <f t="shared" si="1"/>
        <v>10.54</v>
      </c>
      <c r="G978" s="17" t="str">
        <f>Github!H$977</f>
        <v>Algorithms</v>
      </c>
      <c r="H978" s="17" t="str">
        <f>Github!E$977</f>
        <v>Easy</v>
      </c>
      <c r="I978" s="17" t="str">
        <f>IF(TRIM(Github!D$977)="TRUE","FALSE","TRUE")</f>
        <v>TRUE</v>
      </c>
      <c r="J978" s="17"/>
      <c r="K978" s="17" t="str">
        <f>Github!L$977</f>
        <v>Array;Math;Greedy;Sorting;</v>
      </c>
      <c r="L978" s="17" t="b">
        <f>Github!M$977</f>
        <v>1</v>
      </c>
      <c r="M978" s="17" t="str">
        <f>ROUND(Github!N$977, 2)&amp;"%"</f>
        <v>0%</v>
      </c>
      <c r="N978" s="17">
        <f>Github!O$977</f>
        <v>58.34897304</v>
      </c>
      <c r="O978" s="17">
        <f>Github!P$977</f>
        <v>66526</v>
      </c>
    </row>
    <row r="979">
      <c r="A979" s="17">
        <f>Github!J$978</f>
        <v>977</v>
      </c>
      <c r="B979" s="27" t="str">
        <f>HYPERLINK(CONCAT("http://leetcode.com/problems/",Github!C$978), Github!B$978)</f>
        <v>Squares of a Sorted Array</v>
      </c>
      <c r="C979" s="17">
        <f>Github!F$978</f>
        <v>4819</v>
      </c>
      <c r="D979" s="17">
        <f>Github!G$978</f>
        <v>147</v>
      </c>
      <c r="E979" s="17">
        <f>Github!F$978+Github!G$978</f>
        <v>4966</v>
      </c>
      <c r="F979" s="18">
        <f t="shared" si="1"/>
        <v>32.78</v>
      </c>
      <c r="G979" s="17" t="str">
        <f>Github!H$978</f>
        <v>Algorithms</v>
      </c>
      <c r="H979" s="17" t="str">
        <f>Github!E$978</f>
        <v>Easy</v>
      </c>
      <c r="I979" s="17" t="str">
        <f>IF(TRIM(Github!D$978)="TRUE","FALSE","TRUE")</f>
        <v>TRUE</v>
      </c>
      <c r="J979" s="17"/>
      <c r="K979" s="17" t="str">
        <f>Github!L$978</f>
        <v>Array;Two Pointers;Sorting;</v>
      </c>
      <c r="L979" s="17" t="b">
        <f>Github!M$978</f>
        <v>1</v>
      </c>
      <c r="M979" s="17" t="str">
        <f>ROUND(Github!N$978, 2)&amp;"%"</f>
        <v>1%</v>
      </c>
      <c r="N979" s="17">
        <f>Github!O$978</f>
        <v>71.55715334</v>
      </c>
      <c r="O979" s="17">
        <f>Github!P$978</f>
        <v>893484</v>
      </c>
    </row>
    <row r="980">
      <c r="A980" s="17">
        <f>Github!J$979</f>
        <v>978</v>
      </c>
      <c r="B980" s="27" t="str">
        <f>HYPERLINK(CONCAT("http://leetcode.com/problems/",Github!C$979), Github!B$979)</f>
        <v>Longest Turbulent Subarray</v>
      </c>
      <c r="C980" s="17">
        <f>Github!F$979</f>
        <v>1225</v>
      </c>
      <c r="D980" s="17">
        <f>Github!G$979</f>
        <v>163</v>
      </c>
      <c r="E980" s="17">
        <f>Github!F$979+Github!G$979</f>
        <v>1388</v>
      </c>
      <c r="F980" s="18">
        <f t="shared" si="1"/>
        <v>7.52</v>
      </c>
      <c r="G980" s="17" t="str">
        <f>Github!H$979</f>
        <v>Algorithms</v>
      </c>
      <c r="H980" s="17" t="str">
        <f>Github!E$979</f>
        <v>Medium</v>
      </c>
      <c r="I980" s="17" t="str">
        <f>IF(TRIM(Github!D$979)="TRUE","FALSE","TRUE")</f>
        <v>TRUE</v>
      </c>
      <c r="J980" s="17"/>
      <c r="K980" s="17" t="str">
        <f>Github!L$979</f>
        <v>Array;Dynamic Programming;Sliding Window;</v>
      </c>
      <c r="L980" s="17" t="b">
        <f>Github!M$979</f>
        <v>1</v>
      </c>
      <c r="M980" s="17" t="str">
        <f>ROUND(Github!N$979, 2)&amp;"%"</f>
        <v>0%</v>
      </c>
      <c r="N980" s="17">
        <f>Github!O$979</f>
        <v>47.5017436</v>
      </c>
      <c r="O980" s="17">
        <f>Github!P$979</f>
        <v>70152</v>
      </c>
    </row>
    <row r="981">
      <c r="A981" s="17">
        <f>Github!J$980</f>
        <v>979</v>
      </c>
      <c r="B981" s="27" t="str">
        <f>HYPERLINK(CONCAT("http://leetcode.com/problems/",Github!C$980), Github!B$980)</f>
        <v>Distribute Coins in Binary Tree</v>
      </c>
      <c r="C981" s="17">
        <f>Github!F$980</f>
        <v>3469</v>
      </c>
      <c r="D981" s="17">
        <f>Github!G$980</f>
        <v>116</v>
      </c>
      <c r="E981" s="17">
        <f>Github!F$980+Github!G$980</f>
        <v>3585</v>
      </c>
      <c r="F981" s="18">
        <f t="shared" si="1"/>
        <v>29.91</v>
      </c>
      <c r="G981" s="17" t="str">
        <f>Github!H$980</f>
        <v>Algorithms</v>
      </c>
      <c r="H981" s="17" t="str">
        <f>Github!E$980</f>
        <v>Medium</v>
      </c>
      <c r="I981" s="17" t="str">
        <f>IF(TRIM(Github!D$980)="TRUE","FALSE","TRUE")</f>
        <v>TRUE</v>
      </c>
      <c r="J981" s="17"/>
      <c r="K981" s="17" t="str">
        <f>Github!L$980</f>
        <v>Tree;Depth-First Search;Binary Tree;</v>
      </c>
      <c r="L981" s="17" t="b">
        <f>Github!M$980</f>
        <v>1</v>
      </c>
      <c r="M981" s="17" t="str">
        <f>ROUND(Github!N$980, 2)&amp;"%"</f>
        <v>0%</v>
      </c>
      <c r="N981" s="17">
        <f>Github!O$980</f>
        <v>71.3755441</v>
      </c>
      <c r="O981" s="17">
        <f>Github!P$980</f>
        <v>80183</v>
      </c>
    </row>
    <row r="982">
      <c r="A982" s="17">
        <f>Github!J$981</f>
        <v>980</v>
      </c>
      <c r="B982" s="27" t="str">
        <f>HYPERLINK(CONCAT("http://leetcode.com/problems/",Github!C$981), Github!B$981)</f>
        <v>Unique Paths III</v>
      </c>
      <c r="C982" s="17">
        <f>Github!F$981</f>
        <v>2658</v>
      </c>
      <c r="D982" s="17">
        <f>Github!G$981</f>
        <v>130</v>
      </c>
      <c r="E982" s="17">
        <f>Github!F$981+Github!G$981</f>
        <v>2788</v>
      </c>
      <c r="F982" s="18">
        <f t="shared" si="1"/>
        <v>20.45</v>
      </c>
      <c r="G982" s="17" t="str">
        <f>Github!H$981</f>
        <v>Algorithms</v>
      </c>
      <c r="H982" s="17" t="str">
        <f>Github!E$981</f>
        <v>Hard</v>
      </c>
      <c r="I982" s="17" t="str">
        <f>IF(TRIM(Github!D$981)="TRUE","FALSE","TRUE")</f>
        <v>TRUE</v>
      </c>
      <c r="J982" s="17"/>
      <c r="K982" s="17" t="str">
        <f>Github!L$981</f>
        <v>Array;Backtracking;Bit Manipulation;Matrix;</v>
      </c>
      <c r="L982" s="17" t="b">
        <f>Github!M$981</f>
        <v>1</v>
      </c>
      <c r="M982" s="17" t="str">
        <f>ROUND(Github!N$981, 2)&amp;"%"</f>
        <v>0%</v>
      </c>
      <c r="N982" s="17">
        <f>Github!O$981</f>
        <v>79.42562052</v>
      </c>
      <c r="O982" s="17">
        <f>Github!P$981</f>
        <v>110430</v>
      </c>
    </row>
    <row r="983">
      <c r="A983" s="17">
        <f>Github!J$982</f>
        <v>981</v>
      </c>
      <c r="B983" s="27" t="str">
        <f>HYPERLINK(CONCAT("http://leetcode.com/problems/",Github!C$982), Github!B$982)</f>
        <v>Time Based Key-Value Store</v>
      </c>
      <c r="C983" s="17">
        <f>Github!F$982</f>
        <v>1947</v>
      </c>
      <c r="D983" s="17">
        <f>Github!G$982</f>
        <v>202</v>
      </c>
      <c r="E983" s="17">
        <f>Github!F$982+Github!G$982</f>
        <v>2149</v>
      </c>
      <c r="F983" s="18">
        <f t="shared" si="1"/>
        <v>9.64</v>
      </c>
      <c r="G983" s="17" t="str">
        <f>Github!H$982</f>
        <v>Algorithms</v>
      </c>
      <c r="H983" s="17" t="str">
        <f>Github!E$982</f>
        <v>Medium</v>
      </c>
      <c r="I983" s="17" t="str">
        <f>IF(TRIM(Github!D$982)="TRUE","FALSE","TRUE")</f>
        <v>TRUE</v>
      </c>
      <c r="J983" s="17"/>
      <c r="K983" s="17" t="str">
        <f>Github!L$982</f>
        <v>Hash Table;String;Binary Search;Design;</v>
      </c>
      <c r="L983" s="17" t="b">
        <f>Github!M$982</f>
        <v>0</v>
      </c>
      <c r="M983" s="17" t="str">
        <f>ROUND(Github!N$982, 2)&amp;"%"</f>
        <v>0%</v>
      </c>
      <c r="N983" s="17">
        <f>Github!O$982</f>
        <v>52.79547989</v>
      </c>
      <c r="O983" s="17">
        <f>Github!P$982</f>
        <v>169501</v>
      </c>
    </row>
    <row r="984">
      <c r="A984" s="17">
        <f>Github!J$983</f>
        <v>982</v>
      </c>
      <c r="B984" s="27" t="str">
        <f>HYPERLINK(CONCAT("http://leetcode.com/problems/",Github!C$983), Github!B$983)</f>
        <v>Triples with Bitwise AND Equal To Zero</v>
      </c>
      <c r="C984" s="17">
        <f>Github!F$983</f>
        <v>228</v>
      </c>
      <c r="D984" s="17">
        <f>Github!G$983</f>
        <v>180</v>
      </c>
      <c r="E984" s="17">
        <f>Github!F$983+Github!G$983</f>
        <v>408</v>
      </c>
      <c r="F984" s="18">
        <f t="shared" si="1"/>
        <v>1.27</v>
      </c>
      <c r="G984" s="17" t="str">
        <f>Github!H$983</f>
        <v>Algorithms</v>
      </c>
      <c r="H984" s="17" t="str">
        <f>Github!E$983</f>
        <v>Hard</v>
      </c>
      <c r="I984" s="17" t="str">
        <f>IF(TRIM(Github!D$983)="TRUE","FALSE","TRUE")</f>
        <v>TRUE</v>
      </c>
      <c r="J984" s="17"/>
      <c r="K984" s="17" t="str">
        <f>Github!L$983</f>
        <v>Array;Hash Table;Bit Manipulation;</v>
      </c>
      <c r="L984" s="17" t="b">
        <f>Github!M$983</f>
        <v>0</v>
      </c>
      <c r="M984" s="17" t="str">
        <f>ROUND(Github!N$983, 2)&amp;"%"</f>
        <v>0%</v>
      </c>
      <c r="N984" s="17">
        <f>Github!O$983</f>
        <v>57.4212532</v>
      </c>
      <c r="O984" s="17">
        <f>Github!P$983</f>
        <v>11904</v>
      </c>
    </row>
    <row r="985">
      <c r="A985" s="17">
        <f>Github!J$984</f>
        <v>983</v>
      </c>
      <c r="B985" s="27" t="str">
        <f>HYPERLINK(CONCAT("http://leetcode.com/problems/",Github!C$984), Github!B$984)</f>
        <v>Minimum Cost For Tickets</v>
      </c>
      <c r="C985" s="17">
        <f>Github!F$984</f>
        <v>4221</v>
      </c>
      <c r="D985" s="17">
        <f>Github!G$984</f>
        <v>72</v>
      </c>
      <c r="E985" s="17">
        <f>Github!F$984+Github!G$984</f>
        <v>4293</v>
      </c>
      <c r="F985" s="18">
        <f t="shared" si="1"/>
        <v>58.63</v>
      </c>
      <c r="G985" s="17" t="str">
        <f>Github!H$984</f>
        <v>Algorithms</v>
      </c>
      <c r="H985" s="17" t="str">
        <f>Github!E$984</f>
        <v>Medium</v>
      </c>
      <c r="I985" s="17" t="str">
        <f>IF(TRIM(Github!D$984)="TRUE","FALSE","TRUE")</f>
        <v>TRUE</v>
      </c>
      <c r="J985" s="17"/>
      <c r="K985" s="17" t="str">
        <f>Github!L$984</f>
        <v>Array;Dynamic Programming;</v>
      </c>
      <c r="L985" s="17" t="b">
        <f>Github!M$984</f>
        <v>1</v>
      </c>
      <c r="M985" s="17" t="str">
        <f>ROUND(Github!N$984, 2)&amp;"%"</f>
        <v>0%</v>
      </c>
      <c r="N985" s="17">
        <f>Github!O$984</f>
        <v>63.88216162</v>
      </c>
      <c r="O985" s="17">
        <f>Github!P$984</f>
        <v>146130</v>
      </c>
    </row>
    <row r="986">
      <c r="A986" s="17">
        <f>Github!J$985</f>
        <v>984</v>
      </c>
      <c r="B986" s="27" t="str">
        <f>HYPERLINK(CONCAT("http://leetcode.com/problems/",Github!C$985), Github!B$985)</f>
        <v>String Without AAA or BBB</v>
      </c>
      <c r="C986" s="17">
        <f>Github!F$985</f>
        <v>467</v>
      </c>
      <c r="D986" s="17">
        <f>Github!G$985</f>
        <v>327</v>
      </c>
      <c r="E986" s="17">
        <f>Github!F$985+Github!G$985</f>
        <v>794</v>
      </c>
      <c r="F986" s="18">
        <f t="shared" si="1"/>
        <v>1.43</v>
      </c>
      <c r="G986" s="17" t="str">
        <f>Github!H$985</f>
        <v>Algorithms</v>
      </c>
      <c r="H986" s="17" t="str">
        <f>Github!E$985</f>
        <v>Medium</v>
      </c>
      <c r="I986" s="17" t="str">
        <f>IF(TRIM(Github!D$985)="TRUE","FALSE","TRUE")</f>
        <v>TRUE</v>
      </c>
      <c r="J986" s="17"/>
      <c r="K986" s="17" t="str">
        <f>Github!L$985</f>
        <v>String;Greedy;</v>
      </c>
      <c r="L986" s="17" t="b">
        <f>Github!M$985</f>
        <v>1</v>
      </c>
      <c r="M986" s="17" t="str">
        <f>ROUND(Github!N$985, 2)&amp;"%"</f>
        <v>0%</v>
      </c>
      <c r="N986" s="17">
        <f>Github!O$985</f>
        <v>41.81537495</v>
      </c>
      <c r="O986" s="17">
        <f>Github!P$985</f>
        <v>31962</v>
      </c>
    </row>
    <row r="987">
      <c r="A987" s="17">
        <f>Github!J$986</f>
        <v>985</v>
      </c>
      <c r="B987" s="27" t="str">
        <f>HYPERLINK(CONCAT("http://leetcode.com/problems/",Github!C$986), Github!B$986)</f>
        <v>Sum of Even Numbers After Queries</v>
      </c>
      <c r="C987" s="17">
        <f>Github!F$986</f>
        <v>653</v>
      </c>
      <c r="D987" s="17">
        <f>Github!G$986</f>
        <v>211</v>
      </c>
      <c r="E987" s="17">
        <f>Github!F$986+Github!G$986</f>
        <v>864</v>
      </c>
      <c r="F987" s="18">
        <f t="shared" si="1"/>
        <v>3.09</v>
      </c>
      <c r="G987" s="17" t="str">
        <f>Github!H$986</f>
        <v>Algorithms</v>
      </c>
      <c r="H987" s="17" t="str">
        <f>Github!E$986</f>
        <v>Medium</v>
      </c>
      <c r="I987" s="17" t="str">
        <f>IF(TRIM(Github!D$986)="TRUE","FALSE","TRUE")</f>
        <v>TRUE</v>
      </c>
      <c r="J987" s="17"/>
      <c r="K987" s="17" t="str">
        <f>Github!L$986</f>
        <v>Array;Simulation;</v>
      </c>
      <c r="L987" s="17" t="b">
        <f>Github!M$986</f>
        <v>1</v>
      </c>
      <c r="M987" s="17" t="str">
        <f>ROUND(Github!N$986, 2)&amp;"%"</f>
        <v>0%</v>
      </c>
      <c r="N987" s="17">
        <f>Github!O$986</f>
        <v>60.86550191</v>
      </c>
      <c r="O987" s="17">
        <f>Github!P$986</f>
        <v>61871</v>
      </c>
    </row>
    <row r="988">
      <c r="A988" s="17">
        <f>Github!J$987</f>
        <v>986</v>
      </c>
      <c r="B988" s="27" t="str">
        <f>HYPERLINK(CONCAT("http://leetcode.com/problems/",Github!C$987), Github!B$987)</f>
        <v>Interval List Intersections</v>
      </c>
      <c r="C988" s="17">
        <f>Github!F$987</f>
        <v>3970</v>
      </c>
      <c r="D988" s="17">
        <f>Github!G$987</f>
        <v>82</v>
      </c>
      <c r="E988" s="17">
        <f>Github!F$987+Github!G$987</f>
        <v>4052</v>
      </c>
      <c r="F988" s="18">
        <f t="shared" si="1"/>
        <v>48.41</v>
      </c>
      <c r="G988" s="17" t="str">
        <f>Github!H$987</f>
        <v>Algorithms</v>
      </c>
      <c r="H988" s="17" t="str">
        <f>Github!E$987</f>
        <v>Medium</v>
      </c>
      <c r="I988" s="17" t="str">
        <f>IF(TRIM(Github!D$987)="TRUE","FALSE","TRUE")</f>
        <v>TRUE</v>
      </c>
      <c r="J988" s="17"/>
      <c r="K988" s="17" t="str">
        <f>Github!L$987</f>
        <v>Array;Two Pointers;</v>
      </c>
      <c r="L988" s="17" t="b">
        <f>Github!M$987</f>
        <v>1</v>
      </c>
      <c r="M988" s="17" t="str">
        <f>ROUND(Github!N$987, 2)&amp;"%"</f>
        <v>0%</v>
      </c>
      <c r="N988" s="17">
        <f>Github!O$987</f>
        <v>70.93969116</v>
      </c>
      <c r="O988" s="17">
        <f>Github!P$987</f>
        <v>283078</v>
      </c>
    </row>
    <row r="989">
      <c r="A989" s="17">
        <f>Github!J$988</f>
        <v>987</v>
      </c>
      <c r="B989" s="27" t="str">
        <f>HYPERLINK(CONCAT("http://leetcode.com/problems/",Github!C$988), Github!B$988)</f>
        <v>Vertical Order Traversal of a Binary Tree</v>
      </c>
      <c r="C989" s="17">
        <f>Github!F$988</f>
        <v>2894</v>
      </c>
      <c r="D989" s="17">
        <f>Github!G$988</f>
        <v>3194</v>
      </c>
      <c r="E989" s="17">
        <f>Github!F$988+Github!G$988</f>
        <v>6088</v>
      </c>
      <c r="F989" s="18">
        <f t="shared" si="1"/>
        <v>0.91</v>
      </c>
      <c r="G989" s="17" t="str">
        <f>Github!H$988</f>
        <v>Algorithms</v>
      </c>
      <c r="H989" s="17" t="str">
        <f>Github!E$988</f>
        <v>Hard</v>
      </c>
      <c r="I989" s="17" t="str">
        <f>IF(TRIM(Github!D$988)="TRUE","FALSE","TRUE")</f>
        <v>TRUE</v>
      </c>
      <c r="J989" s="17"/>
      <c r="K989" s="17" t="str">
        <f>Github!L$988</f>
        <v>Hash Table;Tree;Depth-First Search;Breadth-First Search;Binary Tree;</v>
      </c>
      <c r="L989" s="17" t="b">
        <f>Github!M$988</f>
        <v>1</v>
      </c>
      <c r="M989" s="17" t="str">
        <f>ROUND(Github!N$988, 2)&amp;"%"</f>
        <v>1%</v>
      </c>
      <c r="N989" s="17">
        <f>Github!O$988</f>
        <v>41.15216676</v>
      </c>
      <c r="O989" s="17">
        <f>Github!P$988</f>
        <v>205073</v>
      </c>
    </row>
    <row r="990">
      <c r="A990" s="17">
        <f>Github!J$989</f>
        <v>988</v>
      </c>
      <c r="B990" s="27" t="str">
        <f>HYPERLINK(CONCAT("http://leetcode.com/problems/",Github!C$989), Github!B$989)</f>
        <v>Smallest String Starting From Leaf</v>
      </c>
      <c r="C990" s="17">
        <f>Github!F$989</f>
        <v>1017</v>
      </c>
      <c r="D990" s="17">
        <f>Github!G$989</f>
        <v>166</v>
      </c>
      <c r="E990" s="17">
        <f>Github!F$989+Github!G$989</f>
        <v>1183</v>
      </c>
      <c r="F990" s="18">
        <f t="shared" si="1"/>
        <v>6.13</v>
      </c>
      <c r="G990" s="17" t="str">
        <f>Github!H$989</f>
        <v>Algorithms</v>
      </c>
      <c r="H990" s="17" t="str">
        <f>Github!E$989</f>
        <v>Medium</v>
      </c>
      <c r="I990" s="17" t="str">
        <f>IF(TRIM(Github!D$989)="TRUE","FALSE","TRUE")</f>
        <v>TRUE</v>
      </c>
      <c r="J990" s="17"/>
      <c r="K990" s="17" t="str">
        <f>Github!L$989</f>
        <v>String;Tree;Depth-First Search;Binary Tree;</v>
      </c>
      <c r="L990" s="17" t="b">
        <f>Github!M$989</f>
        <v>1</v>
      </c>
      <c r="M990" s="17" t="str">
        <f>ROUND(Github!N$989, 2)&amp;"%"</f>
        <v>0%</v>
      </c>
      <c r="N990" s="17">
        <f>Github!O$989</f>
        <v>48.59439675</v>
      </c>
      <c r="O990" s="17">
        <f>Github!P$989</f>
        <v>50717</v>
      </c>
    </row>
    <row r="991">
      <c r="A991" s="17">
        <f>Github!J$990</f>
        <v>989</v>
      </c>
      <c r="B991" s="27" t="str">
        <f>HYPERLINK(CONCAT("http://leetcode.com/problems/",Github!C$990), Github!B$990)</f>
        <v>Add to Array-Form of Integer</v>
      </c>
      <c r="C991" s="17">
        <f>Github!F$990</f>
        <v>1111</v>
      </c>
      <c r="D991" s="17">
        <f>Github!G$990</f>
        <v>140</v>
      </c>
      <c r="E991" s="17">
        <f>Github!F$990+Github!G$990</f>
        <v>1251</v>
      </c>
      <c r="F991" s="18">
        <f t="shared" si="1"/>
        <v>7.94</v>
      </c>
      <c r="G991" s="17" t="str">
        <f>Github!H$990</f>
        <v>Algorithms</v>
      </c>
      <c r="H991" s="17" t="str">
        <f>Github!E$990</f>
        <v>Easy</v>
      </c>
      <c r="I991" s="17" t="str">
        <f>IF(TRIM(Github!D$990)="TRUE","FALSE","TRUE")</f>
        <v>TRUE</v>
      </c>
      <c r="J991" s="17"/>
      <c r="K991" s="17" t="str">
        <f>Github!L$990</f>
        <v>Array;Math;</v>
      </c>
      <c r="L991" s="17" t="b">
        <f>Github!M$990</f>
        <v>1</v>
      </c>
      <c r="M991" s="17" t="str">
        <f>ROUND(Github!N$990, 2)&amp;"%"</f>
        <v>0%</v>
      </c>
      <c r="N991" s="17">
        <f>Github!O$990</f>
        <v>45.27701605</v>
      </c>
      <c r="O991" s="17">
        <f>Github!P$990</f>
        <v>102039</v>
      </c>
    </row>
    <row r="992">
      <c r="A992" s="17">
        <f>Github!J$991</f>
        <v>990</v>
      </c>
      <c r="B992" s="27" t="str">
        <f>HYPERLINK(CONCAT("http://leetcode.com/problems/",Github!C$991), Github!B$991)</f>
        <v>Satisfiability of Equality Equations</v>
      </c>
      <c r="C992" s="17">
        <f>Github!F$991</f>
        <v>1410</v>
      </c>
      <c r="D992" s="17">
        <f>Github!G$991</f>
        <v>15</v>
      </c>
      <c r="E992" s="17">
        <f>Github!F$991+Github!G$991</f>
        <v>1425</v>
      </c>
      <c r="F992" s="18">
        <f t="shared" si="1"/>
        <v>94</v>
      </c>
      <c r="G992" s="17" t="str">
        <f>Github!H$991</f>
        <v>Algorithms</v>
      </c>
      <c r="H992" s="17" t="str">
        <f>Github!E$991</f>
        <v>Medium</v>
      </c>
      <c r="I992" s="17" t="str">
        <f>IF(TRIM(Github!D$991)="TRUE","FALSE","TRUE")</f>
        <v>TRUE</v>
      </c>
      <c r="J992" s="17"/>
      <c r="K992" s="17" t="str">
        <f>Github!L$991</f>
        <v>Array;String;Union Find;Graph;</v>
      </c>
      <c r="L992" s="17" t="b">
        <f>Github!M$991</f>
        <v>1</v>
      </c>
      <c r="M992" s="17" t="str">
        <f>ROUND(Github!N$991, 2)&amp;"%"</f>
        <v>0%</v>
      </c>
      <c r="N992" s="17">
        <f>Github!O$991</f>
        <v>49.72165721</v>
      </c>
      <c r="O992" s="17">
        <f>Github!P$991</f>
        <v>46445</v>
      </c>
    </row>
    <row r="993">
      <c r="A993" s="17">
        <f>Github!J$992</f>
        <v>991</v>
      </c>
      <c r="B993" s="27" t="str">
        <f>HYPERLINK(CONCAT("http://leetcode.com/problems/",Github!C$992), Github!B$992)</f>
        <v>Broken Calculator</v>
      </c>
      <c r="C993" s="17">
        <f>Github!F$992</f>
        <v>1072</v>
      </c>
      <c r="D993" s="17">
        <f>Github!G$992</f>
        <v>146</v>
      </c>
      <c r="E993" s="17">
        <f>Github!F$992+Github!G$992</f>
        <v>1218</v>
      </c>
      <c r="F993" s="18">
        <f t="shared" si="1"/>
        <v>7.34</v>
      </c>
      <c r="G993" s="17" t="str">
        <f>Github!H$992</f>
        <v>Algorithms</v>
      </c>
      <c r="H993" s="17" t="str">
        <f>Github!E$992</f>
        <v>Medium</v>
      </c>
      <c r="I993" s="17" t="str">
        <f>IF(TRIM(Github!D$992)="TRUE","FALSE","TRUE")</f>
        <v>TRUE</v>
      </c>
      <c r="J993" s="17"/>
      <c r="K993" s="17" t="str">
        <f>Github!L$992</f>
        <v>Math;Greedy;</v>
      </c>
      <c r="L993" s="17" t="b">
        <f>Github!M$992</f>
        <v>1</v>
      </c>
      <c r="M993" s="17" t="str">
        <f>ROUND(Github!N$992, 2)&amp;"%"</f>
        <v>0%</v>
      </c>
      <c r="N993" s="17">
        <f>Github!O$992</f>
        <v>50.07057683</v>
      </c>
      <c r="O993" s="17">
        <f>Github!P$992</f>
        <v>47533</v>
      </c>
    </row>
    <row r="994">
      <c r="A994" s="17">
        <f>Github!J$993</f>
        <v>992</v>
      </c>
      <c r="B994" s="27" t="str">
        <f>HYPERLINK(CONCAT("http://leetcode.com/problems/",Github!C$993), Github!B$993)</f>
        <v>Subarrays with K Different Integers</v>
      </c>
      <c r="C994" s="17">
        <f>Github!F$993</f>
        <v>2794</v>
      </c>
      <c r="D994" s="17">
        <f>Github!G$993</f>
        <v>40</v>
      </c>
      <c r="E994" s="17">
        <f>Github!F$993+Github!G$993</f>
        <v>2834</v>
      </c>
      <c r="F994" s="18">
        <f t="shared" si="1"/>
        <v>69.85</v>
      </c>
      <c r="G994" s="17" t="str">
        <f>Github!H$993</f>
        <v>Algorithms</v>
      </c>
      <c r="H994" s="17" t="str">
        <f>Github!E$993</f>
        <v>Hard</v>
      </c>
      <c r="I994" s="17" t="str">
        <f>IF(TRIM(Github!D$993)="TRUE","FALSE","TRUE")</f>
        <v>TRUE</v>
      </c>
      <c r="J994" s="17"/>
      <c r="K994" s="17" t="str">
        <f>Github!L$993</f>
        <v>Array;Hash Table;Sliding Window;Counting;</v>
      </c>
      <c r="L994" s="17" t="b">
        <f>Github!M$993</f>
        <v>0</v>
      </c>
      <c r="M994" s="17" t="str">
        <f>ROUND(Github!N$993, 2)&amp;"%"</f>
        <v>0%</v>
      </c>
      <c r="N994" s="17">
        <f>Github!O$993</f>
        <v>53.26317838</v>
      </c>
      <c r="O994" s="17">
        <f>Github!P$993</f>
        <v>65698</v>
      </c>
    </row>
    <row r="995">
      <c r="A995" s="17">
        <f>Github!J$994</f>
        <v>993</v>
      </c>
      <c r="B995" s="27" t="str">
        <f>HYPERLINK(CONCAT("http://leetcode.com/problems/",Github!C$994), Github!B$994)</f>
        <v>Cousins in Binary Tree</v>
      </c>
      <c r="C995" s="17">
        <f>Github!F$994</f>
        <v>2605</v>
      </c>
      <c r="D995" s="17">
        <f>Github!G$994</f>
        <v>136</v>
      </c>
      <c r="E995" s="17">
        <f>Github!F$994+Github!G$994</f>
        <v>2741</v>
      </c>
      <c r="F995" s="18">
        <f t="shared" si="1"/>
        <v>19.15</v>
      </c>
      <c r="G995" s="17" t="str">
        <f>Github!H$994</f>
        <v>Algorithms</v>
      </c>
      <c r="H995" s="17" t="str">
        <f>Github!E$994</f>
        <v>Easy</v>
      </c>
      <c r="I995" s="17" t="str">
        <f>IF(TRIM(Github!D$994)="TRUE","FALSE","TRUE")</f>
        <v>TRUE</v>
      </c>
      <c r="J995" s="17"/>
      <c r="K995" s="17" t="str">
        <f>Github!L$994</f>
        <v>Tree;Depth-First Search;Breadth-First Search;Binary Tree;</v>
      </c>
      <c r="L995" s="17" t="b">
        <f>Github!M$994</f>
        <v>1</v>
      </c>
      <c r="M995" s="17" t="str">
        <f>ROUND(Github!N$994, 2)&amp;"%"</f>
        <v>0%</v>
      </c>
      <c r="N995" s="17">
        <f>Github!O$994</f>
        <v>53.7609033</v>
      </c>
      <c r="O995" s="17">
        <f>Github!P$994</f>
        <v>200926</v>
      </c>
    </row>
    <row r="996">
      <c r="A996" s="17">
        <f>Github!J$995</f>
        <v>994</v>
      </c>
      <c r="B996" s="27" t="str">
        <f>HYPERLINK(CONCAT("http://leetcode.com/problems/",Github!C$995), Github!B$995)</f>
        <v>Rotting Oranges</v>
      </c>
      <c r="C996" s="17">
        <f>Github!F$995</f>
        <v>6079</v>
      </c>
      <c r="D996" s="17">
        <f>Github!G$995</f>
        <v>265</v>
      </c>
      <c r="E996" s="17">
        <f>Github!F$995+Github!G$995</f>
        <v>6344</v>
      </c>
      <c r="F996" s="18">
        <f t="shared" si="1"/>
        <v>22.94</v>
      </c>
      <c r="G996" s="17" t="str">
        <f>Github!H$995</f>
        <v>Algorithms</v>
      </c>
      <c r="H996" s="17" t="str">
        <f>Github!E$995</f>
        <v>Medium</v>
      </c>
      <c r="I996" s="17" t="str">
        <f>IF(TRIM(Github!D$995)="TRUE","FALSE","TRUE")</f>
        <v>TRUE</v>
      </c>
      <c r="J996" s="17"/>
      <c r="K996" s="17" t="str">
        <f>Github!L$995</f>
        <v>Array;Breadth-First Search;Matrix;</v>
      </c>
      <c r="L996" s="17" t="b">
        <f>Github!M$995</f>
        <v>1</v>
      </c>
      <c r="M996" s="17" t="str">
        <f>ROUND(Github!N$995, 2)&amp;"%"</f>
        <v>0%</v>
      </c>
      <c r="N996" s="17">
        <f>Github!O$995</f>
        <v>51.57056399</v>
      </c>
      <c r="O996" s="17">
        <f>Github!P$995</f>
        <v>353029</v>
      </c>
    </row>
    <row r="997">
      <c r="A997" s="17">
        <f>Github!J$996</f>
        <v>995</v>
      </c>
      <c r="B997" s="27" t="str">
        <f>HYPERLINK(CONCAT("http://leetcode.com/problems/",Github!C$996), Github!B$996)</f>
        <v>Minimum Number of K Consecutive Bit Flips</v>
      </c>
      <c r="C997" s="17">
        <f>Github!F$996</f>
        <v>763</v>
      </c>
      <c r="D997" s="17">
        <f>Github!G$996</f>
        <v>48</v>
      </c>
      <c r="E997" s="17">
        <f>Github!F$996+Github!G$996</f>
        <v>811</v>
      </c>
      <c r="F997" s="18">
        <f t="shared" si="1"/>
        <v>15.9</v>
      </c>
      <c r="G997" s="17" t="str">
        <f>Github!H$996</f>
        <v>Algorithms</v>
      </c>
      <c r="H997" s="17" t="str">
        <f>Github!E$996</f>
        <v>Hard</v>
      </c>
      <c r="I997" s="17" t="str">
        <f>IF(TRIM(Github!D$996)="TRUE","FALSE","TRUE")</f>
        <v>TRUE</v>
      </c>
      <c r="J997" s="17"/>
      <c r="K997" s="17" t="str">
        <f>Github!L$996</f>
        <v>Array;Bit Manipulation;Sliding Window;Prefix Sum;</v>
      </c>
      <c r="L997" s="17" t="b">
        <f>Github!M$996</f>
        <v>0</v>
      </c>
      <c r="M997" s="17" t="str">
        <f>ROUND(Github!N$996, 2)&amp;"%"</f>
        <v>0%</v>
      </c>
      <c r="N997" s="17">
        <f>Github!O$996</f>
        <v>50.65481567</v>
      </c>
      <c r="O997" s="17">
        <f>Github!P$996</f>
        <v>24676</v>
      </c>
    </row>
    <row r="998">
      <c r="A998" s="17">
        <f>Github!J$997</f>
        <v>996</v>
      </c>
      <c r="B998" s="27" t="str">
        <f>HYPERLINK(CONCAT("http://leetcode.com/problems/",Github!C$997), Github!B$997)</f>
        <v>Number of Squareful Arrays</v>
      </c>
      <c r="C998" s="17">
        <f>Github!F$997</f>
        <v>632</v>
      </c>
      <c r="D998" s="17">
        <f>Github!G$997</f>
        <v>26</v>
      </c>
      <c r="E998" s="17">
        <f>Github!F$997+Github!G$997</f>
        <v>658</v>
      </c>
      <c r="F998" s="18">
        <f t="shared" si="1"/>
        <v>24.31</v>
      </c>
      <c r="G998" s="17" t="str">
        <f>Github!H$997</f>
        <v>Algorithms</v>
      </c>
      <c r="H998" s="17" t="str">
        <f>Github!E$997</f>
        <v>Hard</v>
      </c>
      <c r="I998" s="17" t="str">
        <f>IF(TRIM(Github!D$997)="TRUE","FALSE","TRUE")</f>
        <v>TRUE</v>
      </c>
      <c r="J998" s="17"/>
      <c r="K998" s="17" t="str">
        <f>Github!L$997</f>
        <v>Array;Math;Dynamic Programming;Backtracking;Bit Manipulation;Bitmask;</v>
      </c>
      <c r="L998" s="17" t="b">
        <f>Github!M$997</f>
        <v>0</v>
      </c>
      <c r="M998" s="17" t="str">
        <f>ROUND(Github!N$997, 2)&amp;"%"</f>
        <v>0%</v>
      </c>
      <c r="N998" s="17">
        <f>Github!O$997</f>
        <v>49.08319895</v>
      </c>
      <c r="O998" s="17">
        <f>Github!P$997</f>
        <v>24654</v>
      </c>
    </row>
    <row r="999">
      <c r="A999" s="17">
        <f>Github!J$998</f>
        <v>997</v>
      </c>
      <c r="B999" s="27" t="str">
        <f>HYPERLINK(CONCAT("http://leetcode.com/problems/",Github!C$998), Github!B$998)</f>
        <v>Find the Town Judge</v>
      </c>
      <c r="C999" s="17">
        <f>Github!F$998</f>
        <v>3191</v>
      </c>
      <c r="D999" s="17">
        <f>Github!G$998</f>
        <v>241</v>
      </c>
      <c r="E999" s="17">
        <f>Github!F$998+Github!G$998</f>
        <v>3432</v>
      </c>
      <c r="F999" s="18">
        <f t="shared" si="1"/>
        <v>13.24</v>
      </c>
      <c r="G999" s="17" t="str">
        <f>Github!H$998</f>
        <v>Algorithms</v>
      </c>
      <c r="H999" s="17" t="str">
        <f>Github!E$998</f>
        <v>Easy</v>
      </c>
      <c r="I999" s="17" t="str">
        <f>IF(TRIM(Github!D$998)="TRUE","FALSE","TRUE")</f>
        <v>TRUE</v>
      </c>
      <c r="J999" s="17"/>
      <c r="K999" s="17" t="str">
        <f>Github!L$998</f>
        <v>Array;Hash Table;Graph;</v>
      </c>
      <c r="L999" s="17" t="b">
        <f>Github!M$998</f>
        <v>1</v>
      </c>
      <c r="M999" s="17" t="str">
        <f>ROUND(Github!N$998, 2)&amp;"%"</f>
        <v>0%</v>
      </c>
      <c r="N999" s="17">
        <f>Github!O$998</f>
        <v>49.92976272</v>
      </c>
      <c r="O999" s="17">
        <f>Github!P$998</f>
        <v>262311</v>
      </c>
    </row>
    <row r="1000">
      <c r="A1000" s="17">
        <f>Github!J$999</f>
        <v>998</v>
      </c>
      <c r="B1000" s="27" t="str">
        <f>HYPERLINK(CONCAT("http://leetcode.com/problems/",Github!C$999), Github!B$999)</f>
        <v>Maximum Binary Tree II</v>
      </c>
      <c r="C1000" s="17">
        <f>Github!F$999</f>
        <v>340</v>
      </c>
      <c r="D1000" s="17">
        <f>Github!G$999</f>
        <v>635</v>
      </c>
      <c r="E1000" s="17">
        <f>Github!F$999+Github!G$999</f>
        <v>975</v>
      </c>
      <c r="F1000" s="18">
        <f t="shared" si="1"/>
        <v>0.54</v>
      </c>
      <c r="G1000" s="17" t="str">
        <f>Github!H$999</f>
        <v>Algorithms</v>
      </c>
      <c r="H1000" s="17" t="str">
        <f>Github!E$999</f>
        <v>Medium</v>
      </c>
      <c r="I1000" s="17" t="str">
        <f>IF(TRIM(Github!D$999)="TRUE","FALSE","TRUE")</f>
        <v>TRUE</v>
      </c>
      <c r="J1000" s="17"/>
      <c r="K1000" s="17" t="str">
        <f>Github!L$999</f>
        <v>Tree;Binary Tree;</v>
      </c>
      <c r="L1000" s="17" t="b">
        <f>Github!M$999</f>
        <v>0</v>
      </c>
      <c r="M1000" s="17" t="str">
        <f>ROUND(Github!N$999, 2)&amp;"%"</f>
        <v>0%</v>
      </c>
      <c r="N1000" s="17">
        <f>Github!O$999</f>
        <v>65.426274</v>
      </c>
      <c r="O1000" s="17">
        <f>Github!P$999</f>
        <v>25793</v>
      </c>
    </row>
    <row r="1001">
      <c r="A1001" s="17">
        <f>Github!J$1000</f>
        <v>999</v>
      </c>
      <c r="B1001" s="27" t="str">
        <f>HYPERLINK(CONCAT("http://leetcode.com/problems/",Github!C$1000), Github!B$1000)</f>
        <v>Available Captures for Rook</v>
      </c>
      <c r="C1001" s="17">
        <f>Github!F$1000</f>
        <v>432</v>
      </c>
      <c r="D1001" s="17">
        <f>Github!G$1000</f>
        <v>557</v>
      </c>
      <c r="E1001" s="17">
        <f>Github!F$1000+Github!G$1000</f>
        <v>989</v>
      </c>
      <c r="F1001" s="18">
        <f t="shared" si="1"/>
        <v>0.78</v>
      </c>
      <c r="G1001" s="17" t="str">
        <f>Github!H$1000</f>
        <v>Algorithms</v>
      </c>
      <c r="H1001" s="17" t="str">
        <f>Github!E$1000</f>
        <v>Easy</v>
      </c>
      <c r="I1001" s="17" t="str">
        <f>IF(TRIM(Github!D$1000)="TRUE","FALSE","TRUE")</f>
        <v>TRUE</v>
      </c>
      <c r="J1001" s="17"/>
      <c r="K1001" s="17" t="str">
        <f>Github!L$1000</f>
        <v>Array;Matrix;Simulation;</v>
      </c>
      <c r="L1001" s="17" t="b">
        <f>Github!M$1000</f>
        <v>0</v>
      </c>
      <c r="M1001" s="17" t="str">
        <f>ROUND(Github!N$1000, 2)&amp;"%"</f>
        <v>0%</v>
      </c>
      <c r="N1001" s="17">
        <f>Github!O$1000</f>
        <v>67.85052459</v>
      </c>
      <c r="O1001" s="17">
        <f>Github!P$1000</f>
        <v>48697</v>
      </c>
    </row>
    <row r="1002">
      <c r="A1002" s="17">
        <f>Github!J$1001</f>
        <v>1000</v>
      </c>
      <c r="B1002" s="27" t="str">
        <f>HYPERLINK(CONCAT("http://leetcode.com/problems/",Github!C$1001), Github!B$1001)</f>
        <v>Minimum Cost to Merge Stones</v>
      </c>
      <c r="C1002" s="17">
        <f>Github!F$1001</f>
        <v>1471</v>
      </c>
      <c r="D1002" s="17">
        <f>Github!G$1001</f>
        <v>77</v>
      </c>
      <c r="E1002" s="17">
        <f>Github!F$1001+Github!G$1001</f>
        <v>1548</v>
      </c>
      <c r="F1002" s="18">
        <f t="shared" si="1"/>
        <v>19.1</v>
      </c>
      <c r="G1002" s="17" t="str">
        <f>Github!H$1001</f>
        <v>Algorithms</v>
      </c>
      <c r="H1002" s="17" t="str">
        <f>Github!E$1001</f>
        <v>Hard</v>
      </c>
      <c r="I1002" s="17" t="str">
        <f>IF(TRIM(Github!D$1001)="TRUE","FALSE","TRUE")</f>
        <v>TRUE</v>
      </c>
      <c r="J1002" s="17"/>
      <c r="K1002" s="17" t="str">
        <f>Github!L$1001</f>
        <v>Array;Dynamic Programming;</v>
      </c>
      <c r="L1002" s="17" t="b">
        <f>Github!M$1001</f>
        <v>0</v>
      </c>
      <c r="M1002" s="17" t="str">
        <f>ROUND(Github!N$1001, 2)&amp;"%"</f>
        <v>0%</v>
      </c>
      <c r="N1002" s="17">
        <f>Github!O$1001</f>
        <v>42.00727182</v>
      </c>
      <c r="O1002" s="17">
        <f>Github!P$1001</f>
        <v>26803</v>
      </c>
    </row>
    <row r="1003">
      <c r="A1003" s="17">
        <f>Github!J$1002</f>
        <v>1001</v>
      </c>
      <c r="B1003" s="27" t="str">
        <f>HYPERLINK(CONCAT("http://leetcode.com/problems/",Github!C$1002), Github!B$1002)</f>
        <v>Grid Illumination</v>
      </c>
      <c r="C1003" s="17">
        <f>Github!F$1002</f>
        <v>384</v>
      </c>
      <c r="D1003" s="17">
        <f>Github!G$1002</f>
        <v>102</v>
      </c>
      <c r="E1003" s="17">
        <f>Github!F$1002+Github!G$1002</f>
        <v>486</v>
      </c>
      <c r="F1003" s="18">
        <f t="shared" si="1"/>
        <v>3.76</v>
      </c>
      <c r="G1003" s="17" t="str">
        <f>Github!H$1002</f>
        <v>Algorithms</v>
      </c>
      <c r="H1003" s="17" t="str">
        <f>Github!E$1002</f>
        <v>Hard</v>
      </c>
      <c r="I1003" s="17" t="str">
        <f>IF(TRIM(Github!D$1002)="TRUE","FALSE","TRUE")</f>
        <v>TRUE</v>
      </c>
      <c r="J1003" s="17"/>
      <c r="K1003" s="17" t="str">
        <f>Github!L$1002</f>
        <v>Array;Hash Table;</v>
      </c>
      <c r="L1003" s="17" t="b">
        <f>Github!M$1002</f>
        <v>0</v>
      </c>
      <c r="M1003" s="17" t="str">
        <f>ROUND(Github!N$1002, 2)&amp;"%"</f>
        <v>0%</v>
      </c>
      <c r="N1003" s="17">
        <f>Github!O$1002</f>
        <v>36.13925759</v>
      </c>
      <c r="O1003" s="17">
        <f>Github!P$1002</f>
        <v>14730</v>
      </c>
    </row>
    <row r="1004">
      <c r="A1004" s="17">
        <f>Github!J$1003</f>
        <v>1002</v>
      </c>
      <c r="B1004" s="27" t="str">
        <f>HYPERLINK(CONCAT("http://leetcode.com/problems/",Github!C$1003), Github!B$1003)</f>
        <v>Find Common Characters</v>
      </c>
      <c r="C1004" s="17">
        <f>Github!F$1003</f>
        <v>2181</v>
      </c>
      <c r="D1004" s="17">
        <f>Github!G$1003</f>
        <v>180</v>
      </c>
      <c r="E1004" s="17">
        <f>Github!F$1003+Github!G$1003</f>
        <v>2361</v>
      </c>
      <c r="F1004" s="18">
        <f t="shared" si="1"/>
        <v>12.12</v>
      </c>
      <c r="G1004" s="17" t="str">
        <f>Github!H$1003</f>
        <v>Algorithms</v>
      </c>
      <c r="H1004" s="17" t="str">
        <f>Github!E$1003</f>
        <v>Easy</v>
      </c>
      <c r="I1004" s="17" t="str">
        <f>IF(TRIM(Github!D$1003)="TRUE","FALSE","TRUE")</f>
        <v>TRUE</v>
      </c>
      <c r="J1004" s="17"/>
      <c r="K1004" s="17" t="str">
        <f>Github!L$1003</f>
        <v>Array;Hash Table;String;</v>
      </c>
      <c r="L1004" s="17" t="b">
        <f>Github!M$1003</f>
        <v>0</v>
      </c>
      <c r="M1004" s="17" t="str">
        <f>ROUND(Github!N$1003, 2)&amp;"%"</f>
        <v>0%</v>
      </c>
      <c r="N1004" s="17">
        <f>Github!O$1003</f>
        <v>68.38506545</v>
      </c>
      <c r="O1004" s="17">
        <f>Github!P$1003</f>
        <v>137919</v>
      </c>
    </row>
    <row r="1005">
      <c r="A1005" s="17">
        <f>Github!J$1004</f>
        <v>1003</v>
      </c>
      <c r="B1005" s="27" t="str">
        <f>HYPERLINK(CONCAT("http://leetcode.com/problems/",Github!C$1004), Github!B$1004)</f>
        <v>Check If Word Is Valid After Substitutions</v>
      </c>
      <c r="C1005" s="17">
        <f>Github!F$1004</f>
        <v>553</v>
      </c>
      <c r="D1005" s="17">
        <f>Github!G$1004</f>
        <v>430</v>
      </c>
      <c r="E1005" s="17">
        <f>Github!F$1004+Github!G$1004</f>
        <v>983</v>
      </c>
      <c r="F1005" s="18">
        <f t="shared" si="1"/>
        <v>1.29</v>
      </c>
      <c r="G1005" s="17" t="str">
        <f>Github!H$1004</f>
        <v>Algorithms</v>
      </c>
      <c r="H1005" s="17" t="str">
        <f>Github!E$1004</f>
        <v>Medium</v>
      </c>
      <c r="I1005" s="17" t="str">
        <f>IF(TRIM(Github!D$1004)="TRUE","FALSE","TRUE")</f>
        <v>TRUE</v>
      </c>
      <c r="J1005" s="17"/>
      <c r="K1005" s="17" t="str">
        <f>Github!L$1004</f>
        <v>String;Stack;</v>
      </c>
      <c r="L1005" s="17" t="b">
        <f>Github!M$1004</f>
        <v>0</v>
      </c>
      <c r="M1005" s="17" t="str">
        <f>ROUND(Github!N$1004, 2)&amp;"%"</f>
        <v>0%</v>
      </c>
      <c r="N1005" s="17">
        <f>Github!O$1004</f>
        <v>57.67857923</v>
      </c>
      <c r="O1005" s="17">
        <f>Github!P$1004</f>
        <v>39589</v>
      </c>
    </row>
    <row r="1006">
      <c r="A1006" s="17">
        <f>Github!J$1005</f>
        <v>1004</v>
      </c>
      <c r="B1006" s="27" t="str">
        <f>HYPERLINK(CONCAT("http://leetcode.com/problems/",Github!C$1005), Github!B$1005)</f>
        <v>Max Consecutive Ones III</v>
      </c>
      <c r="C1006" s="17">
        <f>Github!F$1005</f>
        <v>4042</v>
      </c>
      <c r="D1006" s="17">
        <f>Github!G$1005</f>
        <v>55</v>
      </c>
      <c r="E1006" s="17">
        <f>Github!F$1005+Github!G$1005</f>
        <v>4097</v>
      </c>
      <c r="F1006" s="18">
        <f t="shared" si="1"/>
        <v>73.49</v>
      </c>
      <c r="G1006" s="17" t="str">
        <f>Github!H$1005</f>
        <v>Algorithms</v>
      </c>
      <c r="H1006" s="17" t="str">
        <f>Github!E$1005</f>
        <v>Medium</v>
      </c>
      <c r="I1006" s="17" t="str">
        <f>IF(TRIM(Github!D$1005)="TRUE","FALSE","TRUE")</f>
        <v>TRUE</v>
      </c>
      <c r="J1006" s="17"/>
      <c r="K1006" s="17" t="str">
        <f>Github!L$1005</f>
        <v>Array;Binary Search;Sliding Window;Prefix Sum;</v>
      </c>
      <c r="L1006" s="17" t="b">
        <f>Github!M$1005</f>
        <v>1</v>
      </c>
      <c r="M1006" s="17" t="str">
        <f>ROUND(Github!N$1005, 2)&amp;"%"</f>
        <v>0%</v>
      </c>
      <c r="N1006" s="17">
        <f>Github!O$1005</f>
        <v>62.65347596</v>
      </c>
      <c r="O1006" s="17">
        <f>Github!P$1005</f>
        <v>191761</v>
      </c>
    </row>
    <row r="1007">
      <c r="A1007" s="17">
        <f>Github!J$1006</f>
        <v>1005</v>
      </c>
      <c r="B1007" s="27" t="str">
        <f>HYPERLINK(CONCAT("http://leetcode.com/problems/",Github!C$1006), Github!B$1006)</f>
        <v>Maximize Sum Of Array After K Negations</v>
      </c>
      <c r="C1007" s="17">
        <f>Github!F$1006</f>
        <v>910</v>
      </c>
      <c r="D1007" s="17">
        <f>Github!G$1006</f>
        <v>75</v>
      </c>
      <c r="E1007" s="17">
        <f>Github!F$1006+Github!G$1006</f>
        <v>985</v>
      </c>
      <c r="F1007" s="18">
        <f t="shared" si="1"/>
        <v>12.13</v>
      </c>
      <c r="G1007" s="17" t="str">
        <f>Github!H$1006</f>
        <v>Algorithms</v>
      </c>
      <c r="H1007" s="17" t="str">
        <f>Github!E$1006</f>
        <v>Easy</v>
      </c>
      <c r="I1007" s="17" t="str">
        <f>IF(TRIM(Github!D$1006)="TRUE","FALSE","TRUE")</f>
        <v>TRUE</v>
      </c>
      <c r="J1007" s="17"/>
      <c r="K1007" s="17" t="str">
        <f>Github!L$1006</f>
        <v>Array;Greedy;Sorting;</v>
      </c>
      <c r="L1007" s="17" t="b">
        <f>Github!M$1006</f>
        <v>0</v>
      </c>
      <c r="M1007" s="17" t="str">
        <f>ROUND(Github!N$1006, 2)&amp;"%"</f>
        <v>0%</v>
      </c>
      <c r="N1007" s="17">
        <f>Github!O$1006</f>
        <v>51.52477574</v>
      </c>
      <c r="O1007" s="17">
        <f>Github!P$1006</f>
        <v>51752</v>
      </c>
    </row>
    <row r="1008">
      <c r="A1008" s="17">
        <f>Github!J$1007</f>
        <v>1006</v>
      </c>
      <c r="B1008" s="27" t="str">
        <f>HYPERLINK(CONCAT("http://leetcode.com/problems/",Github!C$1007), Github!B$1007)</f>
        <v>Clumsy Factorial</v>
      </c>
      <c r="C1008" s="17">
        <f>Github!F$1007</f>
        <v>178</v>
      </c>
      <c r="D1008" s="17">
        <f>Github!G$1007</f>
        <v>222</v>
      </c>
      <c r="E1008" s="17">
        <f>Github!F$1007+Github!G$1007</f>
        <v>400</v>
      </c>
      <c r="F1008" s="18">
        <f t="shared" si="1"/>
        <v>0.8</v>
      </c>
      <c r="G1008" s="17" t="str">
        <f>Github!H$1007</f>
        <v>Algorithms</v>
      </c>
      <c r="H1008" s="17" t="str">
        <f>Github!E$1007</f>
        <v>Medium</v>
      </c>
      <c r="I1008" s="17" t="str">
        <f>IF(TRIM(Github!D$1007)="TRUE","FALSE","TRUE")</f>
        <v>TRUE</v>
      </c>
      <c r="J1008" s="17"/>
      <c r="K1008" s="17" t="str">
        <f>Github!L$1007</f>
        <v>Math;Stack;Simulation;</v>
      </c>
      <c r="L1008" s="17" t="b">
        <f>Github!M$1007</f>
        <v>0</v>
      </c>
      <c r="M1008" s="17" t="str">
        <f>ROUND(Github!N$1007, 2)&amp;"%"</f>
        <v>0%</v>
      </c>
      <c r="N1008" s="17">
        <f>Github!O$1007</f>
        <v>54.53754386</v>
      </c>
      <c r="O1008" s="17">
        <f>Github!P$1007</f>
        <v>19429</v>
      </c>
    </row>
    <row r="1009">
      <c r="A1009" s="17">
        <f>Github!J$1008</f>
        <v>1007</v>
      </c>
      <c r="B1009" s="27" t="str">
        <f>HYPERLINK(CONCAT("http://leetcode.com/problems/",Github!C$1008), Github!B$1008)</f>
        <v>Minimum Domino Rotations For Equal Row</v>
      </c>
      <c r="C1009" s="17">
        <f>Github!F$1008</f>
        <v>1614</v>
      </c>
      <c r="D1009" s="17">
        <f>Github!G$1008</f>
        <v>208</v>
      </c>
      <c r="E1009" s="17">
        <f>Github!F$1008+Github!G$1008</f>
        <v>1822</v>
      </c>
      <c r="F1009" s="18">
        <f t="shared" si="1"/>
        <v>7.76</v>
      </c>
      <c r="G1009" s="17" t="str">
        <f>Github!H$1008</f>
        <v>Algorithms</v>
      </c>
      <c r="H1009" s="17" t="str">
        <f>Github!E$1008</f>
        <v>Medium</v>
      </c>
      <c r="I1009" s="17" t="str">
        <f>IF(TRIM(Github!D$1008)="TRUE","FALSE","TRUE")</f>
        <v>TRUE</v>
      </c>
      <c r="J1009" s="17"/>
      <c r="K1009" s="17" t="str">
        <f>Github!L$1008</f>
        <v>Array;Greedy;</v>
      </c>
      <c r="L1009" s="17" t="b">
        <f>Github!M$1008</f>
        <v>1</v>
      </c>
      <c r="M1009" s="17" t="str">
        <f>ROUND(Github!N$1008, 2)&amp;"%"</f>
        <v>0%</v>
      </c>
      <c r="N1009" s="17">
        <f>Github!O$1008</f>
        <v>50.74002783</v>
      </c>
      <c r="O1009" s="17">
        <f>Github!P$1008</f>
        <v>140761</v>
      </c>
    </row>
    <row r="1010">
      <c r="A1010" s="17">
        <f>Github!J$1009</f>
        <v>1008</v>
      </c>
      <c r="B1010" s="27" t="str">
        <f>HYPERLINK(CONCAT("http://leetcode.com/problems/",Github!C$1009), Github!B$1009)</f>
        <v>Construct Binary Search Tree from Preorder Traversal</v>
      </c>
      <c r="C1010" s="17">
        <f>Github!F$1009</f>
        <v>3408</v>
      </c>
      <c r="D1010" s="17">
        <f>Github!G$1009</f>
        <v>58</v>
      </c>
      <c r="E1010" s="17">
        <f>Github!F$1009+Github!G$1009</f>
        <v>3466</v>
      </c>
      <c r="F1010" s="18">
        <f t="shared" si="1"/>
        <v>58.76</v>
      </c>
      <c r="G1010" s="17" t="str">
        <f>Github!H$1009</f>
        <v>Algorithms</v>
      </c>
      <c r="H1010" s="17" t="str">
        <f>Github!E$1009</f>
        <v>Medium</v>
      </c>
      <c r="I1010" s="17" t="str">
        <f>IF(TRIM(Github!D$1009)="TRUE","FALSE","TRUE")</f>
        <v>TRUE</v>
      </c>
      <c r="J1010" s="17"/>
      <c r="K1010" s="17" t="str">
        <f>Github!L$1009</f>
        <v>Array;Stack;Tree;Binary Search Tree;Monotonic Stack;Binary Tree;</v>
      </c>
      <c r="L1010" s="17" t="b">
        <f>Github!M$1009</f>
        <v>1</v>
      </c>
      <c r="M1010" s="17" t="str">
        <f>ROUND(Github!N$1009, 2)&amp;"%"</f>
        <v>0%</v>
      </c>
      <c r="N1010" s="17">
        <f>Github!O$1009</f>
        <v>80.09697125</v>
      </c>
      <c r="O1010" s="17">
        <f>Github!P$1009</f>
        <v>224337</v>
      </c>
    </row>
    <row r="1011">
      <c r="A1011" s="17">
        <f>Github!J$1010</f>
        <v>1009</v>
      </c>
      <c r="B1011" s="27" t="str">
        <f>HYPERLINK(CONCAT("http://leetcode.com/problems/",Github!C$1010), Github!B$1010)</f>
        <v>Complement of Base 10 Integer</v>
      </c>
      <c r="C1011" s="17">
        <f>Github!F$1010</f>
        <v>1265</v>
      </c>
      <c r="D1011" s="17">
        <f>Github!G$1010</f>
        <v>69</v>
      </c>
      <c r="E1011" s="17">
        <f>Github!F$1010+Github!G$1010</f>
        <v>1334</v>
      </c>
      <c r="F1011" s="18">
        <f t="shared" si="1"/>
        <v>18.33</v>
      </c>
      <c r="G1011" s="17" t="str">
        <f>Github!H$1010</f>
        <v>Algorithms</v>
      </c>
      <c r="H1011" s="17" t="str">
        <f>Github!E$1010</f>
        <v>Easy</v>
      </c>
      <c r="I1011" s="17" t="str">
        <f>IF(TRIM(Github!D$1010)="TRUE","FALSE","TRUE")</f>
        <v>TRUE</v>
      </c>
      <c r="J1011" s="17"/>
      <c r="K1011" s="17" t="str">
        <f>Github!L$1010</f>
        <v>Bit Manipulation;</v>
      </c>
      <c r="L1011" s="17" t="b">
        <f>Github!M$1010</f>
        <v>1</v>
      </c>
      <c r="M1011" s="17" t="str">
        <f>ROUND(Github!N$1010, 2)&amp;"%"</f>
        <v>0%</v>
      </c>
      <c r="N1011" s="17">
        <f>Github!O$1010</f>
        <v>62.33718415</v>
      </c>
      <c r="O1011" s="17">
        <f>Github!P$1010</f>
        <v>121894</v>
      </c>
    </row>
    <row r="1012">
      <c r="A1012" s="17">
        <f>Github!J$1011</f>
        <v>1010</v>
      </c>
      <c r="B1012" s="27" t="str">
        <f>HYPERLINK(CONCAT("http://leetcode.com/problems/",Github!C$1011), Github!B$1011)</f>
        <v>Pairs of Songs With Total Durations Divisible by 60</v>
      </c>
      <c r="C1012" s="17">
        <f>Github!F$1011</f>
        <v>3011</v>
      </c>
      <c r="D1012" s="17">
        <f>Github!G$1011</f>
        <v>116</v>
      </c>
      <c r="E1012" s="17">
        <f>Github!F$1011+Github!G$1011</f>
        <v>3127</v>
      </c>
      <c r="F1012" s="18">
        <f t="shared" si="1"/>
        <v>25.96</v>
      </c>
      <c r="G1012" s="17" t="str">
        <f>Github!H$1011</f>
        <v>Algorithms</v>
      </c>
      <c r="H1012" s="17" t="str">
        <f>Github!E$1011</f>
        <v>Medium</v>
      </c>
      <c r="I1012" s="17" t="str">
        <f>IF(TRIM(Github!D$1011)="TRUE","FALSE","TRUE")</f>
        <v>TRUE</v>
      </c>
      <c r="J1012" s="17"/>
      <c r="K1012" s="17" t="str">
        <f>Github!L$1011</f>
        <v>Array;Hash Table;Counting;</v>
      </c>
      <c r="L1012" s="17" t="b">
        <f>Github!M$1011</f>
        <v>1</v>
      </c>
      <c r="M1012" s="17" t="str">
        <f>ROUND(Github!N$1011, 2)&amp;"%"</f>
        <v>0%</v>
      </c>
      <c r="N1012" s="17">
        <f>Github!O$1011</f>
        <v>53.77177655</v>
      </c>
      <c r="O1012" s="17">
        <f>Github!P$1011</f>
        <v>184020</v>
      </c>
    </row>
    <row r="1013">
      <c r="A1013" s="17">
        <f>Github!J$1012</f>
        <v>1011</v>
      </c>
      <c r="B1013" s="27" t="str">
        <f>HYPERLINK(CONCAT("http://leetcode.com/problems/",Github!C$1012), Github!B$1012)</f>
        <v>Capacity To Ship Packages Within D Days</v>
      </c>
      <c r="C1013" s="17">
        <f>Github!F$1012</f>
        <v>3853</v>
      </c>
      <c r="D1013" s="17">
        <f>Github!G$1012</f>
        <v>92</v>
      </c>
      <c r="E1013" s="17">
        <f>Github!F$1012+Github!G$1012</f>
        <v>3945</v>
      </c>
      <c r="F1013" s="18">
        <f t="shared" si="1"/>
        <v>41.88</v>
      </c>
      <c r="G1013" s="17" t="str">
        <f>Github!H$1012</f>
        <v>Algorithms</v>
      </c>
      <c r="H1013" s="17" t="str">
        <f>Github!E$1012</f>
        <v>Medium</v>
      </c>
      <c r="I1013" s="17" t="str">
        <f>IF(TRIM(Github!D$1012)="TRUE","FALSE","TRUE")</f>
        <v>TRUE</v>
      </c>
      <c r="J1013" s="17"/>
      <c r="K1013" s="17" t="str">
        <f>Github!L$1012</f>
        <v>Array;Binary Search;Greedy;</v>
      </c>
      <c r="L1013" s="17" t="b">
        <f>Github!M$1012</f>
        <v>0</v>
      </c>
      <c r="M1013" s="17" t="str">
        <f>ROUND(Github!N$1012, 2)&amp;"%"</f>
        <v>0%</v>
      </c>
      <c r="N1013" s="17">
        <f>Github!O$1012</f>
        <v>63.21295968</v>
      </c>
      <c r="O1013" s="17">
        <f>Github!P$1012</f>
        <v>133641</v>
      </c>
    </row>
    <row r="1014">
      <c r="A1014" s="17">
        <f>Github!J$1013</f>
        <v>1012</v>
      </c>
      <c r="B1014" s="27" t="str">
        <f>HYPERLINK(CONCAT("http://leetcode.com/problems/",Github!C$1013), Github!B$1013)</f>
        <v>Numbers With Repeated Digits</v>
      </c>
      <c r="C1014" s="17">
        <f>Github!F$1013</f>
        <v>381</v>
      </c>
      <c r="D1014" s="17">
        <f>Github!G$1013</f>
        <v>59</v>
      </c>
      <c r="E1014" s="17">
        <f>Github!F$1013+Github!G$1013</f>
        <v>440</v>
      </c>
      <c r="F1014" s="18">
        <f t="shared" si="1"/>
        <v>6.46</v>
      </c>
      <c r="G1014" s="17" t="str">
        <f>Github!H$1013</f>
        <v>Algorithms</v>
      </c>
      <c r="H1014" s="17" t="str">
        <f>Github!E$1013</f>
        <v>Hard</v>
      </c>
      <c r="I1014" s="17" t="str">
        <f>IF(TRIM(Github!D$1013)="TRUE","FALSE","TRUE")</f>
        <v>TRUE</v>
      </c>
      <c r="J1014" s="17"/>
      <c r="K1014" s="17" t="str">
        <f>Github!L$1013</f>
        <v>Math;Dynamic Programming;</v>
      </c>
      <c r="L1014" s="17" t="b">
        <f>Github!M$1013</f>
        <v>0</v>
      </c>
      <c r="M1014" s="17" t="str">
        <f>ROUND(Github!N$1013, 2)&amp;"%"</f>
        <v>0%</v>
      </c>
      <c r="N1014" s="17">
        <f>Github!O$1013</f>
        <v>38.45548709</v>
      </c>
      <c r="O1014" s="17">
        <f>Github!P$1013</f>
        <v>8799</v>
      </c>
    </row>
    <row r="1015">
      <c r="A1015" s="17">
        <f>Github!J$1014</f>
        <v>1013</v>
      </c>
      <c r="B1015" s="27" t="str">
        <f>HYPERLINK(CONCAT("http://leetcode.com/problems/",Github!C$1014), Github!B$1014)</f>
        <v>Partition Array Into Three Parts With Equal Sum</v>
      </c>
      <c r="C1015" s="17">
        <f>Github!F$1014</f>
        <v>1052</v>
      </c>
      <c r="D1015" s="17">
        <f>Github!G$1014</f>
        <v>115</v>
      </c>
      <c r="E1015" s="17">
        <f>Github!F$1014+Github!G$1014</f>
        <v>1167</v>
      </c>
      <c r="F1015" s="18">
        <f t="shared" si="1"/>
        <v>9.15</v>
      </c>
      <c r="G1015" s="17" t="str">
        <f>Github!H$1014</f>
        <v>Algorithms</v>
      </c>
      <c r="H1015" s="17" t="str">
        <f>Github!E$1014</f>
        <v>Easy</v>
      </c>
      <c r="I1015" s="17" t="str">
        <f>IF(TRIM(Github!D$1014)="TRUE","FALSE","TRUE")</f>
        <v>TRUE</v>
      </c>
      <c r="J1015" s="17"/>
      <c r="K1015" s="17" t="str">
        <f>Github!L$1014</f>
        <v>Array;Greedy;</v>
      </c>
      <c r="L1015" s="17" t="b">
        <f>Github!M$1014</f>
        <v>0</v>
      </c>
      <c r="M1015" s="17" t="str">
        <f>ROUND(Github!N$1014, 2)&amp;"%"</f>
        <v>0%</v>
      </c>
      <c r="N1015" s="17">
        <f>Github!O$1014</f>
        <v>44.70410773</v>
      </c>
      <c r="O1015" s="17">
        <f>Github!P$1014</f>
        <v>61346</v>
      </c>
    </row>
    <row r="1016">
      <c r="A1016" s="17">
        <f>Github!J$1015</f>
        <v>1014</v>
      </c>
      <c r="B1016" s="27" t="str">
        <f>HYPERLINK(CONCAT("http://leetcode.com/problems/",Github!C$1015), Github!B$1015)</f>
        <v>Best Sightseeing Pair</v>
      </c>
      <c r="C1016" s="17">
        <f>Github!F$1015</f>
        <v>1461</v>
      </c>
      <c r="D1016" s="17">
        <f>Github!G$1015</f>
        <v>38</v>
      </c>
      <c r="E1016" s="17">
        <f>Github!F$1015+Github!G$1015</f>
        <v>1499</v>
      </c>
      <c r="F1016" s="18">
        <f t="shared" si="1"/>
        <v>38.45</v>
      </c>
      <c r="G1016" s="17" t="str">
        <f>Github!H$1015</f>
        <v>Algorithms</v>
      </c>
      <c r="H1016" s="17" t="str">
        <f>Github!E$1015</f>
        <v>Medium</v>
      </c>
      <c r="I1016" s="17" t="str">
        <f>IF(TRIM(Github!D$1015)="TRUE","FALSE","TRUE")</f>
        <v>TRUE</v>
      </c>
      <c r="J1016" s="17"/>
      <c r="K1016" s="17" t="str">
        <f>Github!L$1015</f>
        <v>Array;Dynamic Programming;</v>
      </c>
      <c r="L1016" s="17" t="b">
        <f>Github!M$1015</f>
        <v>0</v>
      </c>
      <c r="M1016" s="17" t="str">
        <f>ROUND(Github!N$1015, 2)&amp;"%"</f>
        <v>0%</v>
      </c>
      <c r="N1016" s="17">
        <f>Github!O$1015</f>
        <v>58.22813863</v>
      </c>
      <c r="O1016" s="17">
        <f>Github!P$1015</f>
        <v>50737</v>
      </c>
    </row>
    <row r="1017">
      <c r="A1017" s="17">
        <f>Github!J$1016</f>
        <v>1015</v>
      </c>
      <c r="B1017" s="27" t="str">
        <f>HYPERLINK(CONCAT("http://leetcode.com/problems/",Github!C$1016), Github!B$1016)</f>
        <v>Smallest Integer Divisible by K</v>
      </c>
      <c r="C1017" s="17">
        <f>Github!F$1016</f>
        <v>959</v>
      </c>
      <c r="D1017" s="17">
        <f>Github!G$1016</f>
        <v>789</v>
      </c>
      <c r="E1017" s="17">
        <f>Github!F$1016+Github!G$1016</f>
        <v>1748</v>
      </c>
      <c r="F1017" s="18">
        <f t="shared" si="1"/>
        <v>1.22</v>
      </c>
      <c r="G1017" s="17" t="str">
        <f>Github!H$1016</f>
        <v>Algorithms</v>
      </c>
      <c r="H1017" s="17" t="str">
        <f>Github!E$1016</f>
        <v>Medium</v>
      </c>
      <c r="I1017" s="17" t="str">
        <f>IF(TRIM(Github!D$1016)="TRUE","FALSE","TRUE")</f>
        <v>TRUE</v>
      </c>
      <c r="J1017" s="17"/>
      <c r="K1017" s="17" t="str">
        <f>Github!L$1016</f>
        <v>Hash Table;Math;</v>
      </c>
      <c r="L1017" s="17" t="b">
        <f>Github!M$1016</f>
        <v>1</v>
      </c>
      <c r="M1017" s="17" t="str">
        <f>ROUND(Github!N$1016, 2)&amp;"%"</f>
        <v>0%</v>
      </c>
      <c r="N1017" s="17">
        <f>Github!O$1016</f>
        <v>46.95386955</v>
      </c>
      <c r="O1017" s="17">
        <f>Github!P$1016</f>
        <v>54343</v>
      </c>
    </row>
    <row r="1018">
      <c r="A1018" s="17">
        <f>Github!J$1017</f>
        <v>1016</v>
      </c>
      <c r="B1018" s="27" t="str">
        <f>HYPERLINK(CONCAT("http://leetcode.com/problems/",Github!C$1017), Github!B$1017)</f>
        <v>Binary String With Substrings Representing 1 To N</v>
      </c>
      <c r="C1018" s="17">
        <f>Github!F$1017</f>
        <v>237</v>
      </c>
      <c r="D1018" s="17">
        <f>Github!G$1017</f>
        <v>448</v>
      </c>
      <c r="E1018" s="17">
        <f>Github!F$1017+Github!G$1017</f>
        <v>685</v>
      </c>
      <c r="F1018" s="18">
        <f t="shared" si="1"/>
        <v>0.53</v>
      </c>
      <c r="G1018" s="17" t="str">
        <f>Github!H$1017</f>
        <v>Algorithms</v>
      </c>
      <c r="H1018" s="17" t="str">
        <f>Github!E$1017</f>
        <v>Medium</v>
      </c>
      <c r="I1018" s="17" t="str">
        <f>IF(TRIM(Github!D$1017)="TRUE","FALSE","TRUE")</f>
        <v>TRUE</v>
      </c>
      <c r="J1018" s="17"/>
      <c r="K1018" s="17" t="str">
        <f>Github!L$1017</f>
        <v>String;</v>
      </c>
      <c r="L1018" s="17" t="b">
        <f>Github!M$1017</f>
        <v>0</v>
      </c>
      <c r="M1018" s="17" t="str">
        <f>ROUND(Github!N$1017, 2)&amp;"%"</f>
        <v>0%</v>
      </c>
      <c r="N1018" s="17">
        <f>Github!O$1017</f>
        <v>57.95186507</v>
      </c>
      <c r="O1018" s="17">
        <f>Github!P$1017</f>
        <v>27763</v>
      </c>
    </row>
    <row r="1019">
      <c r="A1019" s="17">
        <f>Github!J$1018</f>
        <v>1017</v>
      </c>
      <c r="B1019" s="27" t="str">
        <f>HYPERLINK(CONCAT("http://leetcode.com/problems/",Github!C$1018), Github!B$1018)</f>
        <v>Convert to Base -2</v>
      </c>
      <c r="C1019" s="17">
        <f>Github!F$1018</f>
        <v>336</v>
      </c>
      <c r="D1019" s="17">
        <f>Github!G$1018</f>
        <v>219</v>
      </c>
      <c r="E1019" s="17">
        <f>Github!F$1018+Github!G$1018</f>
        <v>555</v>
      </c>
      <c r="F1019" s="18">
        <f t="shared" si="1"/>
        <v>1.53</v>
      </c>
      <c r="G1019" s="17" t="str">
        <f>Github!H$1018</f>
        <v>Algorithms</v>
      </c>
      <c r="H1019" s="17" t="str">
        <f>Github!E$1018</f>
        <v>Medium</v>
      </c>
      <c r="I1019" s="17" t="str">
        <f>IF(TRIM(Github!D$1018)="TRUE","FALSE","TRUE")</f>
        <v>TRUE</v>
      </c>
      <c r="J1019" s="17"/>
      <c r="K1019" s="17" t="str">
        <f>Github!L$1018</f>
        <v>Math;</v>
      </c>
      <c r="L1019" s="17" t="b">
        <f>Github!M$1018</f>
        <v>0</v>
      </c>
      <c r="M1019" s="17" t="str">
        <f>ROUND(Github!N$1018, 2)&amp;"%"</f>
        <v>0%</v>
      </c>
      <c r="N1019" s="17">
        <f>Github!O$1018</f>
        <v>60.00271767</v>
      </c>
      <c r="O1019" s="17">
        <f>Github!P$1018</f>
        <v>17663</v>
      </c>
    </row>
    <row r="1020">
      <c r="A1020" s="17">
        <f>Github!J$1019</f>
        <v>1018</v>
      </c>
      <c r="B1020" s="27" t="str">
        <f>HYPERLINK(CONCAT("http://leetcode.com/problems/",Github!C$1019), Github!B$1019)</f>
        <v>Binary Prefix Divisible By 5</v>
      </c>
      <c r="C1020" s="17">
        <f>Github!F$1019</f>
        <v>497</v>
      </c>
      <c r="D1020" s="17">
        <f>Github!G$1019</f>
        <v>135</v>
      </c>
      <c r="E1020" s="17">
        <f>Github!F$1019+Github!G$1019</f>
        <v>632</v>
      </c>
      <c r="F1020" s="18">
        <f t="shared" si="1"/>
        <v>3.68</v>
      </c>
      <c r="G1020" s="17" t="str">
        <f>Github!H$1019</f>
        <v>Algorithms</v>
      </c>
      <c r="H1020" s="17" t="str">
        <f>Github!E$1019</f>
        <v>Easy</v>
      </c>
      <c r="I1020" s="17" t="str">
        <f>IF(TRIM(Github!D$1019)="TRUE","FALSE","TRUE")</f>
        <v>TRUE</v>
      </c>
      <c r="J1020" s="17"/>
      <c r="K1020" s="17" t="str">
        <f>Github!L$1019</f>
        <v>Array;</v>
      </c>
      <c r="L1020" s="17" t="b">
        <f>Github!M$1019</f>
        <v>0</v>
      </c>
      <c r="M1020" s="17" t="str">
        <f>ROUND(Github!N$1019, 2)&amp;"%"</f>
        <v>0%</v>
      </c>
      <c r="N1020" s="17">
        <f>Github!O$1019</f>
        <v>47.54349987</v>
      </c>
      <c r="O1020" s="17">
        <f>Github!P$1019</f>
        <v>37789</v>
      </c>
    </row>
    <row r="1021">
      <c r="A1021" s="17">
        <f>Github!J$1020</f>
        <v>1019</v>
      </c>
      <c r="B1021" s="27" t="str">
        <f>HYPERLINK(CONCAT("http://leetcode.com/problems/",Github!C$1020), Github!B$1020)</f>
        <v>Next Greater Node In Linked List</v>
      </c>
      <c r="C1021" s="17">
        <f>Github!F$1020</f>
        <v>2042</v>
      </c>
      <c r="D1021" s="17">
        <f>Github!G$1020</f>
        <v>97</v>
      </c>
      <c r="E1021" s="17">
        <f>Github!F$1020+Github!G$1020</f>
        <v>2139</v>
      </c>
      <c r="F1021" s="18">
        <f t="shared" si="1"/>
        <v>21.05</v>
      </c>
      <c r="G1021" s="17" t="str">
        <f>Github!H$1020</f>
        <v>Algorithms</v>
      </c>
      <c r="H1021" s="17" t="str">
        <f>Github!E$1020</f>
        <v>Medium</v>
      </c>
      <c r="I1021" s="17" t="str">
        <f>IF(TRIM(Github!D$1020)="TRUE","FALSE","TRUE")</f>
        <v>TRUE</v>
      </c>
      <c r="J1021" s="17"/>
      <c r="K1021" s="17" t="str">
        <f>Github!L$1020</f>
        <v>Array;Linked List;Stack;Monotonic Stack;</v>
      </c>
      <c r="L1021" s="17" t="b">
        <f>Github!M$1020</f>
        <v>0</v>
      </c>
      <c r="M1021" s="17" t="str">
        <f>ROUND(Github!N$1020, 2)&amp;"%"</f>
        <v>0%</v>
      </c>
      <c r="N1021" s="17">
        <f>Github!O$1020</f>
        <v>59.56619416</v>
      </c>
      <c r="O1021" s="17">
        <f>Github!P$1020</f>
        <v>97571</v>
      </c>
    </row>
    <row r="1022">
      <c r="A1022" s="17">
        <f>Github!J$1021</f>
        <v>1020</v>
      </c>
      <c r="B1022" s="27" t="str">
        <f>HYPERLINK(CONCAT("http://leetcode.com/problems/",Github!C$1021), Github!B$1021)</f>
        <v>Number of Enclaves</v>
      </c>
      <c r="C1022" s="17">
        <f>Github!F$1021</f>
        <v>1047</v>
      </c>
      <c r="D1022" s="17">
        <f>Github!G$1021</f>
        <v>30</v>
      </c>
      <c r="E1022" s="17">
        <f>Github!F$1021+Github!G$1021</f>
        <v>1077</v>
      </c>
      <c r="F1022" s="18">
        <f t="shared" si="1"/>
        <v>34.9</v>
      </c>
      <c r="G1022" s="17" t="str">
        <f>Github!H$1021</f>
        <v>Algorithms</v>
      </c>
      <c r="H1022" s="17" t="str">
        <f>Github!E$1021</f>
        <v>Medium</v>
      </c>
      <c r="I1022" s="17" t="str">
        <f>IF(TRIM(Github!D$1021)="TRUE","FALSE","TRUE")</f>
        <v>TRUE</v>
      </c>
      <c r="J1022" s="17"/>
      <c r="K1022" s="17" t="str">
        <f>Github!L$1021</f>
        <v>Array;Depth-First Search;Breadth-First Search;Union Find;Matrix;</v>
      </c>
      <c r="L1022" s="17" t="b">
        <f>Github!M$1021</f>
        <v>0</v>
      </c>
      <c r="M1022" s="17" t="str">
        <f>ROUND(Github!N$1021, 2)&amp;"%"</f>
        <v>0%</v>
      </c>
      <c r="N1022" s="17">
        <f>Github!O$1021</f>
        <v>61.99042905</v>
      </c>
      <c r="O1022" s="17">
        <f>Github!P$1021</f>
        <v>45201</v>
      </c>
    </row>
    <row r="1023">
      <c r="A1023" s="17">
        <f>Github!J$1022</f>
        <v>1021</v>
      </c>
      <c r="B1023" s="27" t="str">
        <f>HYPERLINK(CONCAT("http://leetcode.com/problems/",Github!C$1022), Github!B$1022)</f>
        <v>Remove Outermost Parentheses</v>
      </c>
      <c r="C1023" s="17">
        <f>Github!F$1022</f>
        <v>1188</v>
      </c>
      <c r="D1023" s="17">
        <f>Github!G$1022</f>
        <v>1146</v>
      </c>
      <c r="E1023" s="17">
        <f>Github!F$1022+Github!G$1022</f>
        <v>2334</v>
      </c>
      <c r="F1023" s="18">
        <f t="shared" si="1"/>
        <v>1.04</v>
      </c>
      <c r="G1023" s="17" t="str">
        <f>Github!H$1022</f>
        <v>Algorithms</v>
      </c>
      <c r="H1023" s="17" t="str">
        <f>Github!E$1022</f>
        <v>Easy</v>
      </c>
      <c r="I1023" s="17" t="str">
        <f>IF(TRIM(Github!D$1022)="TRUE","FALSE","TRUE")</f>
        <v>TRUE</v>
      </c>
      <c r="J1023" s="17"/>
      <c r="K1023" s="17" t="str">
        <f>Github!L$1022</f>
        <v>String;Stack;</v>
      </c>
      <c r="L1023" s="17" t="b">
        <f>Github!M$1022</f>
        <v>0</v>
      </c>
      <c r="M1023" s="17" t="str">
        <f>ROUND(Github!N$1022, 2)&amp;"%"</f>
        <v>0%</v>
      </c>
      <c r="N1023" s="17">
        <f>Github!O$1022</f>
        <v>79.75118347</v>
      </c>
      <c r="O1023" s="17">
        <f>Github!P$1022</f>
        <v>165774</v>
      </c>
    </row>
    <row r="1024">
      <c r="A1024" s="17">
        <f>Github!J$1023</f>
        <v>1022</v>
      </c>
      <c r="B1024" s="27" t="str">
        <f>HYPERLINK(CONCAT("http://leetcode.com/problems/",Github!C$1023), Github!B$1023)</f>
        <v>Sum of Root To Leaf Binary Numbers</v>
      </c>
      <c r="C1024" s="17">
        <f>Github!F$1023</f>
        <v>2414</v>
      </c>
      <c r="D1024" s="17">
        <f>Github!G$1023</f>
        <v>146</v>
      </c>
      <c r="E1024" s="17">
        <f>Github!F$1023+Github!G$1023</f>
        <v>2560</v>
      </c>
      <c r="F1024" s="18">
        <f t="shared" si="1"/>
        <v>16.53</v>
      </c>
      <c r="G1024" s="17" t="str">
        <f>Github!H$1023</f>
        <v>Algorithms</v>
      </c>
      <c r="H1024" s="17" t="str">
        <f>Github!E$1023</f>
        <v>Easy</v>
      </c>
      <c r="I1024" s="17" t="str">
        <f>IF(TRIM(Github!D$1023)="TRUE","FALSE","TRUE")</f>
        <v>TRUE</v>
      </c>
      <c r="J1024" s="17"/>
      <c r="K1024" s="17" t="str">
        <f>Github!L$1023</f>
        <v>Tree;Depth-First Search;Binary Tree;</v>
      </c>
      <c r="L1024" s="17" t="b">
        <f>Github!M$1023</f>
        <v>1</v>
      </c>
      <c r="M1024" s="17" t="str">
        <f>ROUND(Github!N$1023, 2)&amp;"%"</f>
        <v>0%</v>
      </c>
      <c r="N1024" s="17">
        <f>Github!O$1023</f>
        <v>73.89558043</v>
      </c>
      <c r="O1024" s="17">
        <f>Github!P$1023</f>
        <v>156198</v>
      </c>
    </row>
    <row r="1025">
      <c r="A1025" s="17">
        <f>Github!J$1024</f>
        <v>1023</v>
      </c>
      <c r="B1025" s="27" t="str">
        <f>HYPERLINK(CONCAT("http://leetcode.com/problems/",Github!C$1024), Github!B$1024)</f>
        <v>Camelcase Matching</v>
      </c>
      <c r="C1025" s="17">
        <f>Github!F$1024</f>
        <v>522</v>
      </c>
      <c r="D1025" s="17">
        <f>Github!G$1024</f>
        <v>217</v>
      </c>
      <c r="E1025" s="17">
        <f>Github!F$1024+Github!G$1024</f>
        <v>739</v>
      </c>
      <c r="F1025" s="18">
        <f t="shared" si="1"/>
        <v>2.41</v>
      </c>
      <c r="G1025" s="17" t="str">
        <f>Github!H$1024</f>
        <v>Algorithms</v>
      </c>
      <c r="H1025" s="17" t="str">
        <f>Github!E$1024</f>
        <v>Medium</v>
      </c>
      <c r="I1025" s="17" t="str">
        <f>IF(TRIM(Github!D$1024)="TRUE","FALSE","TRUE")</f>
        <v>TRUE</v>
      </c>
      <c r="J1025" s="17"/>
      <c r="K1025" s="17" t="str">
        <f>Github!L$1024</f>
        <v>Two Pointers;String;Trie;String Matching;</v>
      </c>
      <c r="L1025" s="17" t="b">
        <f>Github!M$1024</f>
        <v>0</v>
      </c>
      <c r="M1025" s="17" t="str">
        <f>ROUND(Github!N$1024, 2)&amp;"%"</f>
        <v>0%</v>
      </c>
      <c r="N1025" s="17">
        <f>Github!O$1024</f>
        <v>58.93235803</v>
      </c>
      <c r="O1025" s="17">
        <f>Github!P$1024</f>
        <v>30293</v>
      </c>
    </row>
    <row r="1026">
      <c r="A1026" s="17">
        <f>Github!J$1025</f>
        <v>1024</v>
      </c>
      <c r="B1026" s="27" t="str">
        <f>HYPERLINK(CONCAT("http://leetcode.com/problems/",Github!C$1025), Github!B$1025)</f>
        <v>Video Stitching</v>
      </c>
      <c r="C1026" s="17">
        <f>Github!F$1025</f>
        <v>1145</v>
      </c>
      <c r="D1026" s="17">
        <f>Github!G$1025</f>
        <v>47</v>
      </c>
      <c r="E1026" s="17">
        <f>Github!F$1025+Github!G$1025</f>
        <v>1192</v>
      </c>
      <c r="F1026" s="18">
        <f t="shared" si="1"/>
        <v>24.36</v>
      </c>
      <c r="G1026" s="17" t="str">
        <f>Github!H$1025</f>
        <v>Algorithms</v>
      </c>
      <c r="H1026" s="17" t="str">
        <f>Github!E$1025</f>
        <v>Medium</v>
      </c>
      <c r="I1026" s="17" t="str">
        <f>IF(TRIM(Github!D$1025)="TRUE","FALSE","TRUE")</f>
        <v>TRUE</v>
      </c>
      <c r="J1026" s="17"/>
      <c r="K1026" s="17" t="str">
        <f>Github!L$1025</f>
        <v>Array;Dynamic Programming;Greedy;</v>
      </c>
      <c r="L1026" s="17" t="b">
        <f>Github!M$1025</f>
        <v>0</v>
      </c>
      <c r="M1026" s="17" t="str">
        <f>ROUND(Github!N$1025, 2)&amp;"%"</f>
        <v>0%</v>
      </c>
      <c r="N1026" s="17">
        <f>Github!O$1025</f>
        <v>49.99170987</v>
      </c>
      <c r="O1026" s="17">
        <f>Github!P$1025</f>
        <v>45227</v>
      </c>
    </row>
    <row r="1027">
      <c r="A1027" s="17">
        <f>Github!J$1026</f>
        <v>1025</v>
      </c>
      <c r="B1027" s="27" t="str">
        <f>HYPERLINK(CONCAT("http://leetcode.com/problems/",Github!C$1026), Github!B$1026)</f>
        <v>Divisor Game</v>
      </c>
      <c r="C1027" s="17">
        <f>Github!F$1026</f>
        <v>1225</v>
      </c>
      <c r="D1027" s="17">
        <f>Github!G$1026</f>
        <v>2943</v>
      </c>
      <c r="E1027" s="17">
        <f>Github!F$1026+Github!G$1026</f>
        <v>4168</v>
      </c>
      <c r="F1027" s="18">
        <f t="shared" si="1"/>
        <v>0.42</v>
      </c>
      <c r="G1027" s="17" t="str">
        <f>Github!H$1026</f>
        <v>Algorithms</v>
      </c>
      <c r="H1027" s="17" t="str">
        <f>Github!E$1026</f>
        <v>Easy</v>
      </c>
      <c r="I1027" s="17" t="str">
        <f>IF(TRIM(Github!D$1026)="TRUE","FALSE","TRUE")</f>
        <v>TRUE</v>
      </c>
      <c r="J1027" s="17"/>
      <c r="K1027" s="17" t="str">
        <f>Github!L$1026</f>
        <v>Math;Dynamic Programming;Brainteaser;Game Theory;</v>
      </c>
      <c r="L1027" s="17" t="b">
        <f>Github!M$1026</f>
        <v>0</v>
      </c>
      <c r="M1027" s="17" t="str">
        <f>ROUND(Github!N$1026, 2)&amp;"%"</f>
        <v>0%</v>
      </c>
      <c r="N1027" s="17">
        <f>Github!O$1026</f>
        <v>66.55022389</v>
      </c>
      <c r="O1027" s="17">
        <f>Github!P$1026</f>
        <v>146692</v>
      </c>
    </row>
    <row r="1028">
      <c r="A1028" s="17">
        <f>Github!J$1027</f>
        <v>1026</v>
      </c>
      <c r="B1028" s="27" t="str">
        <f>HYPERLINK(CONCAT("http://leetcode.com/problems/",Github!C$1027), Github!B$1027)</f>
        <v>Maximum Difference Between Node and Ancestor</v>
      </c>
      <c r="C1028" s="17">
        <f>Github!F$1027</f>
        <v>2258</v>
      </c>
      <c r="D1028" s="17">
        <f>Github!G$1027</f>
        <v>63</v>
      </c>
      <c r="E1028" s="17">
        <f>Github!F$1027+Github!G$1027</f>
        <v>2321</v>
      </c>
      <c r="F1028" s="18">
        <f t="shared" si="1"/>
        <v>35.84</v>
      </c>
      <c r="G1028" s="17" t="str">
        <f>Github!H$1027</f>
        <v>Algorithms</v>
      </c>
      <c r="H1028" s="17" t="str">
        <f>Github!E$1027</f>
        <v>Medium</v>
      </c>
      <c r="I1028" s="17" t="str">
        <f>IF(TRIM(Github!D$1027)="TRUE","FALSE","TRUE")</f>
        <v>TRUE</v>
      </c>
      <c r="J1028" s="17"/>
      <c r="K1028" s="17" t="str">
        <f>Github!L$1027</f>
        <v>Tree;Depth-First Search;Binary Tree;</v>
      </c>
      <c r="L1028" s="17" t="b">
        <f>Github!M$1027</f>
        <v>1</v>
      </c>
      <c r="M1028" s="17" t="str">
        <f>ROUND(Github!N$1027, 2)&amp;"%"</f>
        <v>0%</v>
      </c>
      <c r="N1028" s="17">
        <f>Github!O$1027</f>
        <v>73.09993929</v>
      </c>
      <c r="O1028" s="17">
        <f>Github!P$1027</f>
        <v>126427</v>
      </c>
    </row>
    <row r="1029">
      <c r="A1029" s="17">
        <f>Github!J$1028</f>
        <v>1027</v>
      </c>
      <c r="B1029" s="27" t="str">
        <f>HYPERLINK(CONCAT("http://leetcode.com/problems/",Github!C$1028), Github!B$1028)</f>
        <v>Longest Arithmetic Subsequence</v>
      </c>
      <c r="C1029" s="17">
        <f>Github!F$1028</f>
        <v>1972</v>
      </c>
      <c r="D1029" s="17">
        <f>Github!G$1028</f>
        <v>94</v>
      </c>
      <c r="E1029" s="17">
        <f>Github!F$1028+Github!G$1028</f>
        <v>2066</v>
      </c>
      <c r="F1029" s="18">
        <f t="shared" si="1"/>
        <v>20.98</v>
      </c>
      <c r="G1029" s="17" t="str">
        <f>Github!H$1028</f>
        <v>Algorithms</v>
      </c>
      <c r="H1029" s="17" t="str">
        <f>Github!E$1028</f>
        <v>Medium</v>
      </c>
      <c r="I1029" s="17" t="str">
        <f>IF(TRIM(Github!D$1028)="TRUE","FALSE","TRUE")</f>
        <v>TRUE</v>
      </c>
      <c r="J1029" s="17"/>
      <c r="K1029" s="17" t="str">
        <f>Github!L$1028</f>
        <v>Array;Hash Table;Binary Search;Dynamic Programming;</v>
      </c>
      <c r="L1029" s="17" t="b">
        <f>Github!M$1028</f>
        <v>0</v>
      </c>
      <c r="M1029" s="17" t="str">
        <f>ROUND(Github!N$1028, 2)&amp;"%"</f>
        <v>0%</v>
      </c>
      <c r="N1029" s="17">
        <f>Github!O$1028</f>
        <v>48.33353731</v>
      </c>
      <c r="O1029" s="17">
        <f>Github!P$1028</f>
        <v>82936</v>
      </c>
    </row>
    <row r="1030">
      <c r="A1030" s="17">
        <f>Github!J$1029</f>
        <v>1028</v>
      </c>
      <c r="B1030" s="27" t="str">
        <f>HYPERLINK(CONCAT("http://leetcode.com/problems/",Github!C$1029), Github!B$1029)</f>
        <v>Recover a Tree From Preorder Traversal</v>
      </c>
      <c r="C1030" s="17">
        <f>Github!F$1029</f>
        <v>988</v>
      </c>
      <c r="D1030" s="17">
        <f>Github!G$1029</f>
        <v>29</v>
      </c>
      <c r="E1030" s="17">
        <f>Github!F$1029+Github!G$1029</f>
        <v>1017</v>
      </c>
      <c r="F1030" s="18">
        <f t="shared" si="1"/>
        <v>34.07</v>
      </c>
      <c r="G1030" s="17" t="str">
        <f>Github!H$1029</f>
        <v>Algorithms</v>
      </c>
      <c r="H1030" s="17" t="str">
        <f>Github!E$1029</f>
        <v>Hard</v>
      </c>
      <c r="I1030" s="17" t="str">
        <f>IF(TRIM(Github!D$1029)="TRUE","FALSE","TRUE")</f>
        <v>TRUE</v>
      </c>
      <c r="J1030" s="17"/>
      <c r="K1030" s="17" t="str">
        <f>Github!L$1029</f>
        <v>String;Tree;Depth-First Search;Binary Tree;</v>
      </c>
      <c r="L1030" s="17" t="b">
        <f>Github!M$1029</f>
        <v>0</v>
      </c>
      <c r="M1030" s="17" t="str">
        <f>ROUND(Github!N$1029, 2)&amp;"%"</f>
        <v>0%</v>
      </c>
      <c r="N1030" s="17">
        <f>Github!O$1029</f>
        <v>72.23468507</v>
      </c>
      <c r="O1030" s="17">
        <f>Github!P$1029</f>
        <v>33488</v>
      </c>
    </row>
    <row r="1031">
      <c r="A1031" s="17">
        <f>Github!J$1030</f>
        <v>1029</v>
      </c>
      <c r="B1031" s="27" t="str">
        <f>HYPERLINK(CONCAT("http://leetcode.com/problems/",Github!C$1030), Github!B$1030)</f>
        <v>Two City Scheduling</v>
      </c>
      <c r="C1031" s="17">
        <f>Github!F$1030</f>
        <v>2367</v>
      </c>
      <c r="D1031" s="17">
        <f>Github!G$1030</f>
        <v>230</v>
      </c>
      <c r="E1031" s="17">
        <f>Github!F$1030+Github!G$1030</f>
        <v>2597</v>
      </c>
      <c r="F1031" s="18">
        <f t="shared" si="1"/>
        <v>10.29</v>
      </c>
      <c r="G1031" s="17" t="str">
        <f>Github!H$1030</f>
        <v>Algorithms</v>
      </c>
      <c r="H1031" s="17" t="str">
        <f>Github!E$1030</f>
        <v>Medium</v>
      </c>
      <c r="I1031" s="17" t="str">
        <f>IF(TRIM(Github!D$1030)="TRUE","FALSE","TRUE")</f>
        <v>TRUE</v>
      </c>
      <c r="J1031" s="17"/>
      <c r="K1031" s="17" t="str">
        <f>Github!L$1030</f>
        <v>Array;Greedy;Sorting;</v>
      </c>
      <c r="L1031" s="17" t="b">
        <f>Github!M$1030</f>
        <v>1</v>
      </c>
      <c r="M1031" s="17" t="str">
        <f>ROUND(Github!N$1030, 2)&amp;"%"</f>
        <v>0%</v>
      </c>
      <c r="N1031" s="17">
        <f>Github!O$1030</f>
        <v>60.00071488</v>
      </c>
      <c r="O1031" s="17">
        <f>Github!P$1030</f>
        <v>134290</v>
      </c>
    </row>
    <row r="1032">
      <c r="A1032" s="17">
        <f>Github!J$1031</f>
        <v>1030</v>
      </c>
      <c r="B1032" s="27" t="str">
        <f>HYPERLINK(CONCAT("http://leetcode.com/problems/",Github!C$1031), Github!B$1031)</f>
        <v>Matrix Cells in Distance Order</v>
      </c>
      <c r="C1032" s="17">
        <f>Github!F$1031</f>
        <v>459</v>
      </c>
      <c r="D1032" s="17">
        <f>Github!G$1031</f>
        <v>214</v>
      </c>
      <c r="E1032" s="17">
        <f>Github!F$1031+Github!G$1031</f>
        <v>673</v>
      </c>
      <c r="F1032" s="18">
        <f t="shared" si="1"/>
        <v>2.14</v>
      </c>
      <c r="G1032" s="17" t="str">
        <f>Github!H$1031</f>
        <v>Algorithms</v>
      </c>
      <c r="H1032" s="17" t="str">
        <f>Github!E$1031</f>
        <v>Easy</v>
      </c>
      <c r="I1032" s="17" t="str">
        <f>IF(TRIM(Github!D$1031)="TRUE","FALSE","TRUE")</f>
        <v>TRUE</v>
      </c>
      <c r="J1032" s="17"/>
      <c r="K1032" s="17" t="str">
        <f>Github!L$1031</f>
        <v>Array;Math;Geometry;Sorting;Matrix;</v>
      </c>
      <c r="L1032" s="17" t="b">
        <f>Github!M$1031</f>
        <v>0</v>
      </c>
      <c r="M1032" s="17" t="str">
        <f>ROUND(Github!N$1031, 2)&amp;"%"</f>
        <v>0%</v>
      </c>
      <c r="N1032" s="17">
        <f>Github!O$1031</f>
        <v>68.92923808</v>
      </c>
      <c r="O1032" s="17">
        <f>Github!P$1031</f>
        <v>40620</v>
      </c>
    </row>
    <row r="1033">
      <c r="A1033" s="17">
        <f>Github!J$1032</f>
        <v>1031</v>
      </c>
      <c r="B1033" s="27" t="str">
        <f>HYPERLINK(CONCAT("http://leetcode.com/problems/",Github!C$1032), Github!B$1032)</f>
        <v>Maximum Sum of Two Non-Overlapping Subarrays</v>
      </c>
      <c r="C1033" s="17">
        <f>Github!F$1032</f>
        <v>1605</v>
      </c>
      <c r="D1033" s="17">
        <f>Github!G$1032</f>
        <v>69</v>
      </c>
      <c r="E1033" s="17">
        <f>Github!F$1032+Github!G$1032</f>
        <v>1674</v>
      </c>
      <c r="F1033" s="18">
        <f t="shared" si="1"/>
        <v>23.26</v>
      </c>
      <c r="G1033" s="17" t="str">
        <f>Github!H$1032</f>
        <v>Algorithms</v>
      </c>
      <c r="H1033" s="17" t="str">
        <f>Github!E$1032</f>
        <v>Medium</v>
      </c>
      <c r="I1033" s="17" t="str">
        <f>IF(TRIM(Github!D$1032)="TRUE","FALSE","TRUE")</f>
        <v>TRUE</v>
      </c>
      <c r="J1033" s="17"/>
      <c r="K1033" s="17" t="str">
        <f>Github!L$1032</f>
        <v>Array;Dynamic Programming;Sliding Window;</v>
      </c>
      <c r="L1033" s="17" t="b">
        <f>Github!M$1032</f>
        <v>0</v>
      </c>
      <c r="M1033" s="17" t="str">
        <f>ROUND(Github!N$1032, 2)&amp;"%"</f>
        <v>0%</v>
      </c>
      <c r="N1033" s="17">
        <f>Github!O$1032</f>
        <v>59.3634446</v>
      </c>
      <c r="O1033" s="17">
        <f>Github!P$1032</f>
        <v>47841</v>
      </c>
    </row>
    <row r="1034">
      <c r="A1034" s="17">
        <f>Github!J$1033</f>
        <v>1032</v>
      </c>
      <c r="B1034" s="27" t="str">
        <f>HYPERLINK(CONCAT("http://leetcode.com/problems/",Github!C$1033), Github!B$1033)</f>
        <v>Stream of Characters</v>
      </c>
      <c r="C1034" s="17">
        <f>Github!F$1033</f>
        <v>1480</v>
      </c>
      <c r="D1034" s="17">
        <f>Github!G$1033</f>
        <v>168</v>
      </c>
      <c r="E1034" s="17">
        <f>Github!F$1033+Github!G$1033</f>
        <v>1648</v>
      </c>
      <c r="F1034" s="18">
        <f t="shared" si="1"/>
        <v>8.81</v>
      </c>
      <c r="G1034" s="17" t="str">
        <f>Github!H$1033</f>
        <v>Algorithms</v>
      </c>
      <c r="H1034" s="17" t="str">
        <f>Github!E$1033</f>
        <v>Hard</v>
      </c>
      <c r="I1034" s="17" t="str">
        <f>IF(TRIM(Github!D$1033)="TRUE","FALSE","TRUE")</f>
        <v>TRUE</v>
      </c>
      <c r="J1034" s="17"/>
      <c r="K1034" s="17" t="str">
        <f>Github!L$1033</f>
        <v>Array;String;Design;Trie;Data Stream;</v>
      </c>
      <c r="L1034" s="17" t="b">
        <f>Github!M$1033</f>
        <v>1</v>
      </c>
      <c r="M1034" s="17" t="str">
        <f>ROUND(Github!N$1033, 2)&amp;"%"</f>
        <v>0%</v>
      </c>
      <c r="N1034" s="17">
        <f>Github!O$1033</f>
        <v>51.32767802</v>
      </c>
      <c r="O1034" s="17">
        <f>Github!P$1033</f>
        <v>72487</v>
      </c>
    </row>
    <row r="1035">
      <c r="A1035" s="17">
        <f>Github!J$1034</f>
        <v>1033</v>
      </c>
      <c r="B1035" s="27" t="str">
        <f>HYPERLINK(CONCAT("http://leetcode.com/problems/",Github!C$1034), Github!B$1034)</f>
        <v>Moving Stones Until Consecutive</v>
      </c>
      <c r="C1035" s="17">
        <f>Github!F$1034</f>
        <v>145</v>
      </c>
      <c r="D1035" s="17">
        <f>Github!G$1034</f>
        <v>575</v>
      </c>
      <c r="E1035" s="17">
        <f>Github!F$1034+Github!G$1034</f>
        <v>720</v>
      </c>
      <c r="F1035" s="18">
        <f t="shared" si="1"/>
        <v>0.25</v>
      </c>
      <c r="G1035" s="17" t="str">
        <f>Github!H$1034</f>
        <v>Algorithms</v>
      </c>
      <c r="H1035" s="17" t="str">
        <f>Github!E$1034</f>
        <v>Medium</v>
      </c>
      <c r="I1035" s="17" t="str">
        <f>IF(TRIM(Github!D$1034)="TRUE","FALSE","TRUE")</f>
        <v>TRUE</v>
      </c>
      <c r="J1035" s="17"/>
      <c r="K1035" s="17" t="str">
        <f>Github!L$1034</f>
        <v>Math;Brainteaser;</v>
      </c>
      <c r="L1035" s="17" t="b">
        <f>Github!M$1034</f>
        <v>0</v>
      </c>
      <c r="M1035" s="17" t="str">
        <f>ROUND(Github!N$1034, 2)&amp;"%"</f>
        <v>0%</v>
      </c>
      <c r="N1035" s="17">
        <f>Github!O$1034</f>
        <v>44.81217707</v>
      </c>
      <c r="O1035" s="17">
        <f>Github!P$1034</f>
        <v>19254</v>
      </c>
    </row>
    <row r="1036">
      <c r="A1036" s="17">
        <f>Github!J$1035</f>
        <v>1034</v>
      </c>
      <c r="B1036" s="27" t="str">
        <f>HYPERLINK(CONCAT("http://leetcode.com/problems/",Github!C$1035), Github!B$1035)</f>
        <v>Coloring A Border</v>
      </c>
      <c r="C1036" s="17">
        <f>Github!F$1035</f>
        <v>378</v>
      </c>
      <c r="D1036" s="17">
        <f>Github!G$1035</f>
        <v>573</v>
      </c>
      <c r="E1036" s="17">
        <f>Github!F$1035+Github!G$1035</f>
        <v>951</v>
      </c>
      <c r="F1036" s="18">
        <f t="shared" si="1"/>
        <v>0.66</v>
      </c>
      <c r="G1036" s="17" t="str">
        <f>Github!H$1035</f>
        <v>Algorithms</v>
      </c>
      <c r="H1036" s="17" t="str">
        <f>Github!E$1035</f>
        <v>Medium</v>
      </c>
      <c r="I1036" s="17" t="str">
        <f>IF(TRIM(Github!D$1035)="TRUE","FALSE","TRUE")</f>
        <v>TRUE</v>
      </c>
      <c r="J1036" s="17"/>
      <c r="K1036" s="17" t="str">
        <f>Github!L$1035</f>
        <v>Array;Depth-First Search;Breadth-First Search;Matrix;</v>
      </c>
      <c r="L1036" s="17" t="b">
        <f>Github!M$1035</f>
        <v>0</v>
      </c>
      <c r="M1036" s="17" t="str">
        <f>ROUND(Github!N$1035, 2)&amp;"%"</f>
        <v>0%</v>
      </c>
      <c r="N1036" s="17">
        <f>Github!O$1035</f>
        <v>48.16881679</v>
      </c>
      <c r="O1036" s="17">
        <f>Github!P$1035</f>
        <v>21320</v>
      </c>
    </row>
    <row r="1037">
      <c r="A1037" s="17">
        <f>Github!J$1036</f>
        <v>1035</v>
      </c>
      <c r="B1037" s="27" t="str">
        <f>HYPERLINK(CONCAT("http://leetcode.com/problems/",Github!C$1036), Github!B$1036)</f>
        <v>Uncrossed Lines</v>
      </c>
      <c r="C1037" s="17">
        <f>Github!F$1036</f>
        <v>1585</v>
      </c>
      <c r="D1037" s="17">
        <f>Github!G$1036</f>
        <v>27</v>
      </c>
      <c r="E1037" s="17">
        <f>Github!F$1036+Github!G$1036</f>
        <v>1612</v>
      </c>
      <c r="F1037" s="18">
        <f t="shared" si="1"/>
        <v>58.7</v>
      </c>
      <c r="G1037" s="17" t="str">
        <f>Github!H$1036</f>
        <v>Algorithms</v>
      </c>
      <c r="H1037" s="17" t="str">
        <f>Github!E$1036</f>
        <v>Medium</v>
      </c>
      <c r="I1037" s="17" t="str">
        <f>IF(TRIM(Github!D$1036)="TRUE","FALSE","TRUE")</f>
        <v>TRUE</v>
      </c>
      <c r="J1037" s="17"/>
      <c r="K1037" s="17" t="str">
        <f>Github!L$1036</f>
        <v>Array;Dynamic Programming;</v>
      </c>
      <c r="L1037" s="17" t="b">
        <f>Github!M$1036</f>
        <v>0</v>
      </c>
      <c r="M1037" s="17" t="str">
        <f>ROUND(Github!N$1036, 2)&amp;"%"</f>
        <v>0%</v>
      </c>
      <c r="N1037" s="17">
        <f>Github!O$1036</f>
        <v>57.75215986</v>
      </c>
      <c r="O1037" s="17">
        <f>Github!P$1036</f>
        <v>65577</v>
      </c>
    </row>
    <row r="1038">
      <c r="A1038" s="17">
        <f>Github!J$1037</f>
        <v>1036</v>
      </c>
      <c r="B1038" s="27" t="str">
        <f>HYPERLINK(CONCAT("http://leetcode.com/problems/",Github!C$1037), Github!B$1037)</f>
        <v>Escape a Large Maze</v>
      </c>
      <c r="C1038" s="17">
        <f>Github!F$1037</f>
        <v>440</v>
      </c>
      <c r="D1038" s="17">
        <f>Github!G$1037</f>
        <v>138</v>
      </c>
      <c r="E1038" s="17">
        <f>Github!F$1037+Github!G$1037</f>
        <v>578</v>
      </c>
      <c r="F1038" s="18">
        <f t="shared" si="1"/>
        <v>3.19</v>
      </c>
      <c r="G1038" s="17" t="str">
        <f>Github!H$1037</f>
        <v>Algorithms</v>
      </c>
      <c r="H1038" s="17" t="str">
        <f>Github!E$1037</f>
        <v>Hard</v>
      </c>
      <c r="I1038" s="17" t="str">
        <f>IF(TRIM(Github!D$1037)="TRUE","FALSE","TRUE")</f>
        <v>TRUE</v>
      </c>
      <c r="J1038" s="17"/>
      <c r="K1038" s="17" t="str">
        <f>Github!L$1037</f>
        <v>Array;Hash Table;Depth-First Search;Breadth-First Search;</v>
      </c>
      <c r="L1038" s="17" t="b">
        <f>Github!M$1037</f>
        <v>0</v>
      </c>
      <c r="M1038" s="17" t="str">
        <f>ROUND(Github!N$1037, 2)&amp;"%"</f>
        <v>0%</v>
      </c>
      <c r="N1038" s="17">
        <f>Github!O$1037</f>
        <v>34.28745158</v>
      </c>
      <c r="O1038" s="17">
        <f>Github!P$1037</f>
        <v>15224</v>
      </c>
    </row>
    <row r="1039">
      <c r="A1039" s="17">
        <f>Github!J$1038</f>
        <v>1037</v>
      </c>
      <c r="B1039" s="27" t="str">
        <f>HYPERLINK(CONCAT("http://leetcode.com/problems/",Github!C$1038), Github!B$1038)</f>
        <v>Valid Boomerang</v>
      </c>
      <c r="C1039" s="17">
        <f>Github!F$1038</f>
        <v>216</v>
      </c>
      <c r="D1039" s="17">
        <f>Github!G$1038</f>
        <v>341</v>
      </c>
      <c r="E1039" s="17">
        <f>Github!F$1038+Github!G$1038</f>
        <v>557</v>
      </c>
      <c r="F1039" s="18">
        <f t="shared" si="1"/>
        <v>0.63</v>
      </c>
      <c r="G1039" s="17" t="str">
        <f>Github!H$1038</f>
        <v>Algorithms</v>
      </c>
      <c r="H1039" s="17" t="str">
        <f>Github!E$1038</f>
        <v>Easy</v>
      </c>
      <c r="I1039" s="17" t="str">
        <f>IF(TRIM(Github!D$1038)="TRUE","FALSE","TRUE")</f>
        <v>TRUE</v>
      </c>
      <c r="J1039" s="17"/>
      <c r="K1039" s="17" t="str">
        <f>Github!L$1038</f>
        <v>Math;Geometry;</v>
      </c>
      <c r="L1039" s="17" t="b">
        <f>Github!M$1038</f>
        <v>0</v>
      </c>
      <c r="M1039" s="17" t="str">
        <f>ROUND(Github!N$1038, 2)&amp;"%"</f>
        <v>0%</v>
      </c>
      <c r="N1039" s="17">
        <f>Github!O$1038</f>
        <v>37.41984204</v>
      </c>
      <c r="O1039" s="17">
        <f>Github!P$1038</f>
        <v>30227</v>
      </c>
    </row>
    <row r="1040">
      <c r="A1040" s="17">
        <f>Github!J$1039</f>
        <v>1038</v>
      </c>
      <c r="B1040" s="27" t="str">
        <f>HYPERLINK(CONCAT("http://leetcode.com/problems/",Github!C$1039), Github!B$1039)</f>
        <v>Binary Search Tree to Greater Sum Tree</v>
      </c>
      <c r="C1040" s="17">
        <f>Github!F$1039</f>
        <v>2339</v>
      </c>
      <c r="D1040" s="17">
        <f>Github!G$1039</f>
        <v>128</v>
      </c>
      <c r="E1040" s="17">
        <f>Github!F$1039+Github!G$1039</f>
        <v>2467</v>
      </c>
      <c r="F1040" s="18">
        <f t="shared" si="1"/>
        <v>18.27</v>
      </c>
      <c r="G1040" s="17" t="str">
        <f>Github!H$1039</f>
        <v>Algorithms</v>
      </c>
      <c r="H1040" s="17" t="str">
        <f>Github!E$1039</f>
        <v>Medium</v>
      </c>
      <c r="I1040" s="17" t="str">
        <f>IF(TRIM(Github!D$1039)="TRUE","FALSE","TRUE")</f>
        <v>TRUE</v>
      </c>
      <c r="J1040" s="17"/>
      <c r="K1040" s="17" t="str">
        <f>Github!L$1039</f>
        <v>Tree;Depth-First Search;Binary Search Tree;Binary Tree;</v>
      </c>
      <c r="L1040" s="17" t="b">
        <f>Github!M$1039</f>
        <v>0</v>
      </c>
      <c r="M1040" s="17" t="str">
        <f>ROUND(Github!N$1039, 2)&amp;"%"</f>
        <v>0%</v>
      </c>
      <c r="N1040" s="17">
        <f>Github!O$1039</f>
        <v>84.45842683</v>
      </c>
      <c r="O1040" s="17">
        <f>Github!P$1039</f>
        <v>113288</v>
      </c>
    </row>
    <row r="1041">
      <c r="A1041" s="17">
        <f>Github!J$1040</f>
        <v>1039</v>
      </c>
      <c r="B1041" s="27" t="str">
        <f>HYPERLINK(CONCAT("http://leetcode.com/problems/",Github!C$1040), Github!B$1040)</f>
        <v>Minimum Score Triangulation of Polygon</v>
      </c>
      <c r="C1041" s="17">
        <f>Github!F$1040</f>
        <v>956</v>
      </c>
      <c r="D1041" s="17">
        <f>Github!G$1040</f>
        <v>109</v>
      </c>
      <c r="E1041" s="17">
        <f>Github!F$1040+Github!G$1040</f>
        <v>1065</v>
      </c>
      <c r="F1041" s="18">
        <f t="shared" si="1"/>
        <v>8.77</v>
      </c>
      <c r="G1041" s="17" t="str">
        <f>Github!H$1040</f>
        <v>Algorithms</v>
      </c>
      <c r="H1041" s="17" t="str">
        <f>Github!E$1040</f>
        <v>Medium</v>
      </c>
      <c r="I1041" s="17" t="str">
        <f>IF(TRIM(Github!D$1040)="TRUE","FALSE","TRUE")</f>
        <v>TRUE</v>
      </c>
      <c r="J1041" s="17"/>
      <c r="K1041" s="17" t="str">
        <f>Github!L$1040</f>
        <v>Array;Dynamic Programming;</v>
      </c>
      <c r="L1041" s="17" t="b">
        <f>Github!M$1040</f>
        <v>0</v>
      </c>
      <c r="M1041" s="17" t="str">
        <f>ROUND(Github!N$1040, 2)&amp;"%"</f>
        <v>0%</v>
      </c>
      <c r="N1041" s="17">
        <f>Github!O$1040</f>
        <v>52.40383431</v>
      </c>
      <c r="O1041" s="17">
        <f>Github!P$1040</f>
        <v>21266</v>
      </c>
    </row>
    <row r="1042">
      <c r="A1042" s="17">
        <f>Github!J$1041</f>
        <v>1040</v>
      </c>
      <c r="B1042" s="27" t="str">
        <f>HYPERLINK(CONCAT("http://leetcode.com/problems/",Github!C$1041), Github!B$1041)</f>
        <v>Moving Stones Until Consecutive II</v>
      </c>
      <c r="C1042" s="17">
        <f>Github!F$1041</f>
        <v>281</v>
      </c>
      <c r="D1042" s="17">
        <f>Github!G$1041</f>
        <v>493</v>
      </c>
      <c r="E1042" s="17">
        <f>Github!F$1041+Github!G$1041</f>
        <v>774</v>
      </c>
      <c r="F1042" s="18">
        <f t="shared" si="1"/>
        <v>0.57</v>
      </c>
      <c r="G1042" s="17" t="str">
        <f>Github!H$1041</f>
        <v>Algorithms</v>
      </c>
      <c r="H1042" s="17" t="str">
        <f>Github!E$1041</f>
        <v>Medium</v>
      </c>
      <c r="I1042" s="17" t="str">
        <f>IF(TRIM(Github!D$1041)="TRUE","FALSE","TRUE")</f>
        <v>TRUE</v>
      </c>
      <c r="J1042" s="17"/>
      <c r="K1042" s="17" t="str">
        <f>Github!L$1041</f>
        <v>Array;Math;Two Pointers;Sorting;</v>
      </c>
      <c r="L1042" s="17" t="b">
        <f>Github!M$1041</f>
        <v>0</v>
      </c>
      <c r="M1042" s="17" t="str">
        <f>ROUND(Github!N$1041, 2)&amp;"%"</f>
        <v>0%</v>
      </c>
      <c r="N1042" s="17">
        <f>Github!O$1041</f>
        <v>55.35332695</v>
      </c>
      <c r="O1042" s="17">
        <f>Github!P$1041</f>
        <v>7512</v>
      </c>
    </row>
    <row r="1043">
      <c r="A1043" s="17">
        <f>Github!J$1042</f>
        <v>1041</v>
      </c>
      <c r="B1043" s="27" t="str">
        <f>HYPERLINK(CONCAT("http://leetcode.com/problems/",Github!C$1042), Github!B$1042)</f>
        <v>Robot Bounded In Circle</v>
      </c>
      <c r="C1043" s="17">
        <f>Github!F$1042</f>
        <v>2870</v>
      </c>
      <c r="D1043" s="17">
        <f>Github!G$1042</f>
        <v>606</v>
      </c>
      <c r="E1043" s="17">
        <f>Github!F$1042+Github!G$1042</f>
        <v>3476</v>
      </c>
      <c r="F1043" s="18">
        <f t="shared" si="1"/>
        <v>4.74</v>
      </c>
      <c r="G1043" s="17" t="str">
        <f>Github!H$1042</f>
        <v>Algorithms</v>
      </c>
      <c r="H1043" s="17" t="str">
        <f>Github!E$1042</f>
        <v>Medium</v>
      </c>
      <c r="I1043" s="17" t="str">
        <f>IF(TRIM(Github!D$1042)="TRUE","FALSE","TRUE")</f>
        <v>TRUE</v>
      </c>
      <c r="J1043" s="17"/>
      <c r="K1043" s="17" t="str">
        <f>Github!L$1042</f>
        <v>Math;String;Simulation;</v>
      </c>
      <c r="L1043" s="17" t="b">
        <f>Github!M$1042</f>
        <v>1</v>
      </c>
      <c r="M1043" s="17" t="str">
        <f>ROUND(Github!N$1042, 2)&amp;"%"</f>
        <v>0%</v>
      </c>
      <c r="N1043" s="17">
        <f>Github!O$1042</f>
        <v>55.48114347</v>
      </c>
      <c r="O1043" s="17">
        <f>Github!P$1042</f>
        <v>178609</v>
      </c>
    </row>
    <row r="1044">
      <c r="A1044" s="17">
        <f>Github!J$1043</f>
        <v>1042</v>
      </c>
      <c r="B1044" s="27" t="str">
        <f>HYPERLINK(CONCAT("http://leetcode.com/problems/",Github!C$1043), Github!B$1043)</f>
        <v>Flower Planting With No Adjacent</v>
      </c>
      <c r="C1044" s="17">
        <f>Github!F$1043</f>
        <v>793</v>
      </c>
      <c r="D1044" s="17">
        <f>Github!G$1043</f>
        <v>647</v>
      </c>
      <c r="E1044" s="17">
        <f>Github!F$1043+Github!G$1043</f>
        <v>1440</v>
      </c>
      <c r="F1044" s="18">
        <f t="shared" si="1"/>
        <v>1.23</v>
      </c>
      <c r="G1044" s="17" t="str">
        <f>Github!H$1043</f>
        <v>Algorithms</v>
      </c>
      <c r="H1044" s="17" t="str">
        <f>Github!E$1043</f>
        <v>Medium</v>
      </c>
      <c r="I1044" s="17" t="str">
        <f>IF(TRIM(Github!D$1043)="TRUE","FALSE","TRUE")</f>
        <v>TRUE</v>
      </c>
      <c r="J1044" s="17"/>
      <c r="K1044" s="17" t="str">
        <f>Github!L$1043</f>
        <v>Depth-First Search;Breadth-First Search;Graph;</v>
      </c>
      <c r="L1044" s="17" t="b">
        <f>Github!M$1043</f>
        <v>0</v>
      </c>
      <c r="M1044" s="17" t="str">
        <f>ROUND(Github!N$1043, 2)&amp;"%"</f>
        <v>0%</v>
      </c>
      <c r="N1044" s="17">
        <f>Github!O$1043</f>
        <v>49.7610077</v>
      </c>
      <c r="O1044" s="17">
        <f>Github!P$1043</f>
        <v>53093</v>
      </c>
    </row>
    <row r="1045">
      <c r="A1045" s="17">
        <f>Github!J$1044</f>
        <v>1043</v>
      </c>
      <c r="B1045" s="27" t="str">
        <f>HYPERLINK(CONCAT("http://leetcode.com/problems/",Github!C$1044), Github!B$1044)</f>
        <v>Partition Array for Maximum Sum</v>
      </c>
      <c r="C1045" s="17">
        <f>Github!F$1044</f>
        <v>2006</v>
      </c>
      <c r="D1045" s="17">
        <f>Github!G$1044</f>
        <v>191</v>
      </c>
      <c r="E1045" s="17">
        <f>Github!F$1044+Github!G$1044</f>
        <v>2197</v>
      </c>
      <c r="F1045" s="18">
        <f t="shared" si="1"/>
        <v>10.5</v>
      </c>
      <c r="G1045" s="17" t="str">
        <f>Github!H$1044</f>
        <v>Algorithms</v>
      </c>
      <c r="H1045" s="17" t="str">
        <f>Github!E$1044</f>
        <v>Medium</v>
      </c>
      <c r="I1045" s="17" t="str">
        <f>IF(TRIM(Github!D$1044)="TRUE","FALSE","TRUE")</f>
        <v>TRUE</v>
      </c>
      <c r="J1045" s="17"/>
      <c r="K1045" s="17" t="str">
        <f>Github!L$1044</f>
        <v>Array;Dynamic Programming;</v>
      </c>
      <c r="L1045" s="17" t="b">
        <f>Github!M$1044</f>
        <v>0</v>
      </c>
      <c r="M1045" s="17" t="str">
        <f>ROUND(Github!N$1044, 2)&amp;"%"</f>
        <v>0%</v>
      </c>
      <c r="N1045" s="17">
        <f>Github!O$1044</f>
        <v>70.11057095</v>
      </c>
      <c r="O1045" s="17">
        <f>Github!P$1044</f>
        <v>45717</v>
      </c>
    </row>
    <row r="1046">
      <c r="A1046" s="17">
        <f>Github!J$1045</f>
        <v>1044</v>
      </c>
      <c r="B1046" s="27" t="str">
        <f>HYPERLINK(CONCAT("http://leetcode.com/problems/",Github!C$1045), Github!B$1045)</f>
        <v>Longest Duplicate Substring</v>
      </c>
      <c r="C1046" s="17">
        <f>Github!F$1045</f>
        <v>1590</v>
      </c>
      <c r="D1046" s="17">
        <f>Github!G$1045</f>
        <v>316</v>
      </c>
      <c r="E1046" s="17">
        <f>Github!F$1045+Github!G$1045</f>
        <v>1906</v>
      </c>
      <c r="F1046" s="18">
        <f t="shared" si="1"/>
        <v>5.03</v>
      </c>
      <c r="G1046" s="17" t="str">
        <f>Github!H$1045</f>
        <v>Algorithms</v>
      </c>
      <c r="H1046" s="17" t="str">
        <f>Github!E$1045</f>
        <v>Hard</v>
      </c>
      <c r="I1046" s="17" t="str">
        <f>IF(TRIM(Github!D$1045)="TRUE","FALSE","TRUE")</f>
        <v>TRUE</v>
      </c>
      <c r="J1046" s="17"/>
      <c r="K1046" s="17" t="str">
        <f>Github!L$1045</f>
        <v>String;Binary Search;Sliding Window;Rolling Hash;Suffix Array;Hash Function;</v>
      </c>
      <c r="L1046" s="17" t="b">
        <f>Github!M$1045</f>
        <v>1</v>
      </c>
      <c r="M1046" s="17" t="str">
        <f>ROUND(Github!N$1045, 2)&amp;"%"</f>
        <v>0%</v>
      </c>
      <c r="N1046" s="17">
        <f>Github!O$1045</f>
        <v>31.23228728</v>
      </c>
      <c r="O1046" s="17">
        <f>Github!P$1045</f>
        <v>51245</v>
      </c>
    </row>
    <row r="1047">
      <c r="A1047" s="17">
        <f>Github!J$1046</f>
        <v>1045</v>
      </c>
      <c r="B1047" s="27" t="str">
        <f>HYPERLINK(CONCAT("http://leetcode.com/problems/",Github!C$1046), Github!B$1046)</f>
        <v>Customers Who Bought All Products</v>
      </c>
      <c r="C1047" s="17">
        <f>Github!F$1046</f>
        <v>166</v>
      </c>
      <c r="D1047" s="17">
        <f>Github!G$1046</f>
        <v>35</v>
      </c>
      <c r="E1047" s="17">
        <f>Github!F$1046+Github!G$1046</f>
        <v>201</v>
      </c>
      <c r="F1047" s="18">
        <f t="shared" si="1"/>
        <v>4.74</v>
      </c>
      <c r="G1047" s="17" t="str">
        <f>Github!H$1046</f>
        <v>Database</v>
      </c>
      <c r="H1047" s="17" t="str">
        <f>Github!E$1046</f>
        <v>Medium</v>
      </c>
      <c r="I1047" s="17" t="str">
        <f>IF(TRIM(Github!D$1046)="TRUE","FALSE","TRUE")</f>
        <v>FALSE</v>
      </c>
      <c r="J1047" s="17"/>
      <c r="K1047" s="17" t="str">
        <f>Github!L$1046</f>
        <v>Database;</v>
      </c>
      <c r="L1047" s="17" t="b">
        <f>Github!M$1046</f>
        <v>0</v>
      </c>
      <c r="M1047" s="17" t="str">
        <f>ROUND(Github!N$1046, 2)&amp;"%"</f>
        <v>0%</v>
      </c>
      <c r="N1047" s="17">
        <f>Github!O$1046</f>
        <v>67.36478484</v>
      </c>
      <c r="O1047" s="17">
        <f>Github!P$1046</f>
        <v>34123</v>
      </c>
    </row>
    <row r="1048">
      <c r="A1048" s="17">
        <f>Github!J$1047</f>
        <v>1046</v>
      </c>
      <c r="B1048" s="27" t="str">
        <f>HYPERLINK(CONCAT("http://leetcode.com/problems/",Github!C$1047), Github!B$1047)</f>
        <v>Last Stone Weight</v>
      </c>
      <c r="C1048" s="17">
        <f>Github!F$1047</f>
        <v>2003</v>
      </c>
      <c r="D1048" s="17">
        <f>Github!G$1047</f>
        <v>49</v>
      </c>
      <c r="E1048" s="17">
        <f>Github!F$1047+Github!G$1047</f>
        <v>2052</v>
      </c>
      <c r="F1048" s="18">
        <f t="shared" si="1"/>
        <v>40.88</v>
      </c>
      <c r="G1048" s="17" t="str">
        <f>Github!H$1047</f>
        <v>Algorithms</v>
      </c>
      <c r="H1048" s="17" t="str">
        <f>Github!E$1047</f>
        <v>Easy</v>
      </c>
      <c r="I1048" s="17" t="str">
        <f>IF(TRIM(Github!D$1047)="TRUE","FALSE","TRUE")</f>
        <v>TRUE</v>
      </c>
      <c r="J1048" s="17"/>
      <c r="K1048" s="17" t="str">
        <f>Github!L$1047</f>
        <v>Array;Heap (Priority Queue);</v>
      </c>
      <c r="L1048" s="17" t="b">
        <f>Github!M$1047</f>
        <v>1</v>
      </c>
      <c r="M1048" s="17" t="str">
        <f>ROUND(Github!N$1047, 2)&amp;"%"</f>
        <v>0%</v>
      </c>
      <c r="N1048" s="17">
        <f>Github!O$1047</f>
        <v>63.03618053</v>
      </c>
      <c r="O1048" s="17">
        <f>Github!P$1047</f>
        <v>214625</v>
      </c>
    </row>
    <row r="1049">
      <c r="A1049" s="17">
        <f>Github!J$1048</f>
        <v>1047</v>
      </c>
      <c r="B1049" s="27" t="str">
        <f>HYPERLINK(CONCAT("http://leetcode.com/problems/",Github!C$1048), Github!B$1048)</f>
        <v>Remove All Adjacent Duplicates In String</v>
      </c>
      <c r="C1049" s="17">
        <f>Github!F$1048</f>
        <v>2938</v>
      </c>
      <c r="D1049" s="17">
        <f>Github!G$1048</f>
        <v>148</v>
      </c>
      <c r="E1049" s="17">
        <f>Github!F$1048+Github!G$1048</f>
        <v>3086</v>
      </c>
      <c r="F1049" s="18">
        <f t="shared" si="1"/>
        <v>19.85</v>
      </c>
      <c r="G1049" s="17" t="str">
        <f>Github!H$1048</f>
        <v>Algorithms</v>
      </c>
      <c r="H1049" s="17" t="str">
        <f>Github!E$1048</f>
        <v>Easy</v>
      </c>
      <c r="I1049" s="17" t="str">
        <f>IF(TRIM(Github!D$1048)="TRUE","FALSE","TRUE")</f>
        <v>TRUE</v>
      </c>
      <c r="J1049" s="17"/>
      <c r="K1049" s="17" t="str">
        <f>Github!L$1048</f>
        <v>String;Stack;</v>
      </c>
      <c r="L1049" s="17" t="b">
        <f>Github!M$1048</f>
        <v>1</v>
      </c>
      <c r="M1049" s="17" t="str">
        <f>ROUND(Github!N$1048, 2)&amp;"%"</f>
        <v>0%</v>
      </c>
      <c r="N1049" s="17">
        <f>Github!O$1048</f>
        <v>71.00672984</v>
      </c>
      <c r="O1049" s="17">
        <f>Github!P$1048</f>
        <v>263663</v>
      </c>
    </row>
    <row r="1050">
      <c r="A1050" s="17">
        <f>Github!J$1049</f>
        <v>1048</v>
      </c>
      <c r="B1050" s="27" t="str">
        <f>HYPERLINK(CONCAT("http://leetcode.com/problems/",Github!C$1049), Github!B$1049)</f>
        <v>Longest String Chain</v>
      </c>
      <c r="C1050" s="17">
        <f>Github!F$1049</f>
        <v>3132</v>
      </c>
      <c r="D1050" s="17">
        <f>Github!G$1049</f>
        <v>158</v>
      </c>
      <c r="E1050" s="17">
        <f>Github!F$1049+Github!G$1049</f>
        <v>3290</v>
      </c>
      <c r="F1050" s="18">
        <f t="shared" si="1"/>
        <v>19.82</v>
      </c>
      <c r="G1050" s="17" t="str">
        <f>Github!H$1049</f>
        <v>Algorithms</v>
      </c>
      <c r="H1050" s="17" t="str">
        <f>Github!E$1049</f>
        <v>Medium</v>
      </c>
      <c r="I1050" s="17" t="str">
        <f>IF(TRIM(Github!D$1049)="TRUE","FALSE","TRUE")</f>
        <v>TRUE</v>
      </c>
      <c r="J1050" s="17"/>
      <c r="K1050" s="17" t="str">
        <f>Github!L$1049</f>
        <v>Array;Hash Table;Two Pointers;String;Dynamic Programming;</v>
      </c>
      <c r="L1050" s="17" t="b">
        <f>Github!M$1049</f>
        <v>1</v>
      </c>
      <c r="M1050" s="17" t="str">
        <f>ROUND(Github!N$1049, 2)&amp;"%"</f>
        <v>0%</v>
      </c>
      <c r="N1050" s="17">
        <f>Github!O$1049</f>
        <v>57.67249753</v>
      </c>
      <c r="O1050" s="17">
        <f>Github!P$1049</f>
        <v>188220</v>
      </c>
    </row>
    <row r="1051">
      <c r="A1051" s="17">
        <f>Github!J$1050</f>
        <v>1049</v>
      </c>
      <c r="B1051" s="27" t="str">
        <f>HYPERLINK(CONCAT("http://leetcode.com/problems/",Github!C$1050), Github!B$1050)</f>
        <v>Last Stone Weight II</v>
      </c>
      <c r="C1051" s="17">
        <f>Github!F$1050</f>
        <v>1992</v>
      </c>
      <c r="D1051" s="17">
        <f>Github!G$1050</f>
        <v>70</v>
      </c>
      <c r="E1051" s="17">
        <f>Github!F$1050+Github!G$1050</f>
        <v>2062</v>
      </c>
      <c r="F1051" s="18">
        <f t="shared" si="1"/>
        <v>28.46</v>
      </c>
      <c r="G1051" s="17" t="str">
        <f>Github!H$1050</f>
        <v>Algorithms</v>
      </c>
      <c r="H1051" s="17" t="str">
        <f>Github!E$1050</f>
        <v>Medium</v>
      </c>
      <c r="I1051" s="17" t="str">
        <f>IF(TRIM(Github!D$1050)="TRUE","FALSE","TRUE")</f>
        <v>TRUE</v>
      </c>
      <c r="J1051" s="17"/>
      <c r="K1051" s="17" t="str">
        <f>Github!L$1050</f>
        <v>Array;Dynamic Programming;</v>
      </c>
      <c r="L1051" s="17" t="b">
        <f>Github!M$1050</f>
        <v>0</v>
      </c>
      <c r="M1051" s="17" t="str">
        <f>ROUND(Github!N$1050, 2)&amp;"%"</f>
        <v>0%</v>
      </c>
      <c r="N1051" s="17">
        <f>Github!O$1050</f>
        <v>50.69043435</v>
      </c>
      <c r="O1051" s="17">
        <f>Github!P$1050</f>
        <v>50475</v>
      </c>
    </row>
    <row r="1052">
      <c r="A1052" s="17">
        <f>Github!J$1051</f>
        <v>1050</v>
      </c>
      <c r="B1052" s="27" t="str">
        <f>HYPERLINK(CONCAT("http://leetcode.com/problems/",Github!C$1051), Github!B$1051)</f>
        <v>Actors and Directors Who Cooperated At Least Three Times</v>
      </c>
      <c r="C1052" s="17">
        <f>Github!F$1051</f>
        <v>117</v>
      </c>
      <c r="D1052" s="17">
        <f>Github!G$1051</f>
        <v>22</v>
      </c>
      <c r="E1052" s="17">
        <f>Github!F$1051+Github!G$1051</f>
        <v>139</v>
      </c>
      <c r="F1052" s="18">
        <f t="shared" si="1"/>
        <v>5.32</v>
      </c>
      <c r="G1052" s="17" t="str">
        <f>Github!H$1051</f>
        <v>Database</v>
      </c>
      <c r="H1052" s="17" t="str">
        <f>Github!E$1051</f>
        <v>Easy</v>
      </c>
      <c r="I1052" s="17" t="str">
        <f>IF(TRIM(Github!D$1051)="TRUE","FALSE","TRUE")</f>
        <v>FALSE</v>
      </c>
      <c r="J1052" s="17"/>
      <c r="K1052" s="17" t="str">
        <f>Github!L$1051</f>
        <v>Database;</v>
      </c>
      <c r="L1052" s="17" t="b">
        <f>Github!M$1051</f>
        <v>0</v>
      </c>
      <c r="M1052" s="17" t="str">
        <f>ROUND(Github!N$1051, 2)&amp;"%"</f>
        <v>0%</v>
      </c>
      <c r="N1052" s="17">
        <f>Github!O$1051</f>
        <v>72.42357447</v>
      </c>
      <c r="O1052" s="17">
        <f>Github!P$1051</f>
        <v>40085</v>
      </c>
    </row>
    <row r="1053">
      <c r="A1053" s="17">
        <f>Github!J$1052</f>
        <v>1051</v>
      </c>
      <c r="B1053" s="27" t="str">
        <f>HYPERLINK(CONCAT("http://leetcode.com/problems/",Github!C$1052), Github!B$1052)</f>
        <v>Height Checker</v>
      </c>
      <c r="C1053" s="17">
        <f>Github!F$1052</f>
        <v>396</v>
      </c>
      <c r="D1053" s="17">
        <f>Github!G$1052</f>
        <v>46</v>
      </c>
      <c r="E1053" s="17">
        <f>Github!F$1052+Github!G$1052</f>
        <v>442</v>
      </c>
      <c r="F1053" s="18">
        <f t="shared" si="1"/>
        <v>8.61</v>
      </c>
      <c r="G1053" s="17" t="str">
        <f>Github!H$1052</f>
        <v>Algorithms</v>
      </c>
      <c r="H1053" s="17" t="str">
        <f>Github!E$1052</f>
        <v>Easy</v>
      </c>
      <c r="I1053" s="17" t="str">
        <f>IF(TRIM(Github!D$1052)="TRUE","FALSE","TRUE")</f>
        <v>TRUE</v>
      </c>
      <c r="J1053" s="17"/>
      <c r="K1053" s="17" t="str">
        <f>Github!L$1052</f>
        <v>Array;Sorting;Counting Sort;</v>
      </c>
      <c r="L1053" s="17" t="b">
        <f>Github!M$1052</f>
        <v>0</v>
      </c>
      <c r="M1053" s="17" t="str">
        <f>ROUND(Github!N$1052, 2)&amp;"%"</f>
        <v>0%</v>
      </c>
      <c r="N1053" s="17">
        <f>Github!O$1052</f>
        <v>74.15327872</v>
      </c>
      <c r="O1053" s="17">
        <f>Github!P$1052</f>
        <v>188176</v>
      </c>
    </row>
    <row r="1054">
      <c r="A1054" s="17">
        <f>Github!J$1053</f>
        <v>1052</v>
      </c>
      <c r="B1054" s="27" t="str">
        <f>HYPERLINK(CONCAT("http://leetcode.com/problems/",Github!C$1053), Github!B$1053)</f>
        <v>Grumpy Bookstore Owner</v>
      </c>
      <c r="C1054" s="17">
        <f>Github!F$1053</f>
        <v>1078</v>
      </c>
      <c r="D1054" s="17">
        <f>Github!G$1053</f>
        <v>90</v>
      </c>
      <c r="E1054" s="17">
        <f>Github!F$1053+Github!G$1053</f>
        <v>1168</v>
      </c>
      <c r="F1054" s="18">
        <f t="shared" si="1"/>
        <v>11.98</v>
      </c>
      <c r="G1054" s="17" t="str">
        <f>Github!H$1053</f>
        <v>Algorithms</v>
      </c>
      <c r="H1054" s="17" t="str">
        <f>Github!E$1053</f>
        <v>Medium</v>
      </c>
      <c r="I1054" s="17" t="str">
        <f>IF(TRIM(Github!D$1053)="TRUE","FALSE","TRUE")</f>
        <v>TRUE</v>
      </c>
      <c r="J1054" s="17"/>
      <c r="K1054" s="17" t="str">
        <f>Github!L$1053</f>
        <v>Array;Sliding Window;</v>
      </c>
      <c r="L1054" s="17" t="b">
        <f>Github!M$1053</f>
        <v>0</v>
      </c>
      <c r="M1054" s="17" t="str">
        <f>ROUND(Github!N$1053, 2)&amp;"%"</f>
        <v>0%</v>
      </c>
      <c r="N1054" s="17">
        <f>Github!O$1053</f>
        <v>56.66071468</v>
      </c>
      <c r="O1054" s="17">
        <f>Github!P$1053</f>
        <v>51406</v>
      </c>
    </row>
    <row r="1055">
      <c r="A1055" s="17">
        <f>Github!J$1054</f>
        <v>1053</v>
      </c>
      <c r="B1055" s="27" t="str">
        <f>HYPERLINK(CONCAT("http://leetcode.com/problems/",Github!C$1054), Github!B$1054)</f>
        <v>Previous Permutation With One Swap</v>
      </c>
      <c r="C1055" s="17">
        <f>Github!F$1054</f>
        <v>197</v>
      </c>
      <c r="D1055" s="17">
        <f>Github!G$1054</f>
        <v>22</v>
      </c>
      <c r="E1055" s="17">
        <f>Github!F$1054+Github!G$1054</f>
        <v>219</v>
      </c>
      <c r="F1055" s="18">
        <f t="shared" si="1"/>
        <v>8.95</v>
      </c>
      <c r="G1055" s="17" t="str">
        <f>Github!H$1054</f>
        <v>Algorithms</v>
      </c>
      <c r="H1055" s="17" t="str">
        <f>Github!E$1054</f>
        <v>Medium</v>
      </c>
      <c r="I1055" s="17" t="str">
        <f>IF(TRIM(Github!D$1054)="TRUE","FALSE","TRUE")</f>
        <v>TRUE</v>
      </c>
      <c r="J1055" s="17"/>
      <c r="K1055" s="17" t="str">
        <f>Github!L$1054</f>
        <v>Array;Greedy;</v>
      </c>
      <c r="L1055" s="17" t="b">
        <f>Github!M$1054</f>
        <v>0</v>
      </c>
      <c r="M1055" s="17" t="str">
        <f>ROUND(Github!N$1054, 2)&amp;"%"</f>
        <v>0%</v>
      </c>
      <c r="N1055" s="17">
        <f>Github!O$1054</f>
        <v>51.92331326</v>
      </c>
      <c r="O1055" s="17">
        <f>Github!P$1054</f>
        <v>29574</v>
      </c>
    </row>
    <row r="1056">
      <c r="A1056" s="17">
        <f>Github!J$1055</f>
        <v>1054</v>
      </c>
      <c r="B1056" s="27" t="str">
        <f>HYPERLINK(CONCAT("http://leetcode.com/problems/",Github!C$1055), Github!B$1055)</f>
        <v>Distant Barcodes</v>
      </c>
      <c r="C1056" s="17">
        <f>Github!F$1055</f>
        <v>809</v>
      </c>
      <c r="D1056" s="17">
        <f>Github!G$1055</f>
        <v>36</v>
      </c>
      <c r="E1056" s="17">
        <f>Github!F$1055+Github!G$1055</f>
        <v>845</v>
      </c>
      <c r="F1056" s="18">
        <f t="shared" si="1"/>
        <v>22.47</v>
      </c>
      <c r="G1056" s="17" t="str">
        <f>Github!H$1055</f>
        <v>Algorithms</v>
      </c>
      <c r="H1056" s="17" t="str">
        <f>Github!E$1055</f>
        <v>Medium</v>
      </c>
      <c r="I1056" s="17" t="str">
        <f>IF(TRIM(Github!D$1055)="TRUE","FALSE","TRUE")</f>
        <v>TRUE</v>
      </c>
      <c r="J1056" s="17"/>
      <c r="K1056" s="17" t="str">
        <f>Github!L$1055</f>
        <v>Array;Hash Table;Greedy;Sorting;Heap (Priority Queue);Counting;</v>
      </c>
      <c r="L1056" s="17" t="b">
        <f>Github!M$1055</f>
        <v>0</v>
      </c>
      <c r="M1056" s="17" t="str">
        <f>ROUND(Github!N$1055, 2)&amp;"%"</f>
        <v>0%</v>
      </c>
      <c r="N1056" s="17">
        <f>Github!O$1055</f>
        <v>45.21469705</v>
      </c>
      <c r="O1056" s="17">
        <f>Github!P$1055</f>
        <v>28894</v>
      </c>
    </row>
    <row r="1057">
      <c r="A1057" s="17">
        <f>Github!J$1056</f>
        <v>1055</v>
      </c>
      <c r="B1057" s="27" t="str">
        <f>HYPERLINK(CONCAT("http://leetcode.com/problems/",Github!C$1056), Github!B$1056)</f>
        <v>Shortest Way to Form String</v>
      </c>
      <c r="C1057" s="17">
        <f>Github!F$1056</f>
        <v>799</v>
      </c>
      <c r="D1057" s="17">
        <f>Github!G$1056</f>
        <v>48</v>
      </c>
      <c r="E1057" s="17">
        <f>Github!F$1056+Github!G$1056</f>
        <v>847</v>
      </c>
      <c r="F1057" s="18">
        <f t="shared" si="1"/>
        <v>16.65</v>
      </c>
      <c r="G1057" s="17" t="str">
        <f>Github!H$1056</f>
        <v>Algorithms</v>
      </c>
      <c r="H1057" s="17" t="str">
        <f>Github!E$1056</f>
        <v>Medium</v>
      </c>
      <c r="I1057" s="17" t="str">
        <f>IF(TRIM(Github!D$1056)="TRUE","FALSE","TRUE")</f>
        <v>FALSE</v>
      </c>
      <c r="J1057" s="17"/>
      <c r="K1057" s="17" t="str">
        <f>Github!L$1056</f>
        <v>String;Dynamic Programming;Greedy;</v>
      </c>
      <c r="L1057" s="17" t="b">
        <f>Github!M$1056</f>
        <v>0</v>
      </c>
      <c r="M1057" s="17" t="str">
        <f>ROUND(Github!N$1056, 2)&amp;"%"</f>
        <v>0%</v>
      </c>
      <c r="N1057" s="17">
        <f>Github!O$1056</f>
        <v>58.17322243</v>
      </c>
      <c r="O1057" s="17">
        <f>Github!P$1056</f>
        <v>55741</v>
      </c>
    </row>
    <row r="1058">
      <c r="A1058" s="17">
        <f>Github!J$1057</f>
        <v>1056</v>
      </c>
      <c r="B1058" s="27" t="str">
        <f>HYPERLINK(CONCAT("http://leetcode.com/problems/",Github!C$1057), Github!B$1057)</f>
        <v>Confusing Number</v>
      </c>
      <c r="C1058" s="17">
        <f>Github!F$1057</f>
        <v>158</v>
      </c>
      <c r="D1058" s="17">
        <f>Github!G$1057</f>
        <v>89</v>
      </c>
      <c r="E1058" s="17">
        <f>Github!F$1057+Github!G$1057</f>
        <v>247</v>
      </c>
      <c r="F1058" s="18">
        <f t="shared" si="1"/>
        <v>1.78</v>
      </c>
      <c r="G1058" s="17" t="str">
        <f>Github!H$1057</f>
        <v>Algorithms</v>
      </c>
      <c r="H1058" s="17" t="str">
        <f>Github!E$1057</f>
        <v>Easy</v>
      </c>
      <c r="I1058" s="17" t="str">
        <f>IF(TRIM(Github!D$1057)="TRUE","FALSE","TRUE")</f>
        <v>FALSE</v>
      </c>
      <c r="J1058" s="17"/>
      <c r="K1058" s="17" t="str">
        <f>Github!L$1057</f>
        <v>Math;</v>
      </c>
      <c r="L1058" s="17" t="b">
        <f>Github!M$1057</f>
        <v>0</v>
      </c>
      <c r="M1058" s="17" t="str">
        <f>ROUND(Github!N$1057, 2)&amp;"%"</f>
        <v>0%</v>
      </c>
      <c r="N1058" s="17">
        <f>Github!O$1057</f>
        <v>46.12157745</v>
      </c>
      <c r="O1058" s="17">
        <f>Github!P$1057</f>
        <v>24408</v>
      </c>
    </row>
    <row r="1059">
      <c r="A1059" s="17">
        <f>Github!J$1058</f>
        <v>1057</v>
      </c>
      <c r="B1059" s="27" t="str">
        <f>HYPERLINK(CONCAT("http://leetcode.com/problems/",Github!C$1058), Github!B$1058)</f>
        <v>Campus Bikes</v>
      </c>
      <c r="C1059" s="17">
        <f>Github!F$1058</f>
        <v>783</v>
      </c>
      <c r="D1059" s="17">
        <f>Github!G$1058</f>
        <v>141</v>
      </c>
      <c r="E1059" s="17">
        <f>Github!F$1058+Github!G$1058</f>
        <v>924</v>
      </c>
      <c r="F1059" s="18">
        <f t="shared" si="1"/>
        <v>5.55</v>
      </c>
      <c r="G1059" s="17" t="str">
        <f>Github!H$1058</f>
        <v>Algorithms</v>
      </c>
      <c r="H1059" s="17" t="str">
        <f>Github!E$1058</f>
        <v>Medium</v>
      </c>
      <c r="I1059" s="17" t="str">
        <f>IF(TRIM(Github!D$1058)="TRUE","FALSE","TRUE")</f>
        <v>FALSE</v>
      </c>
      <c r="J1059" s="17"/>
      <c r="K1059" s="17" t="str">
        <f>Github!L$1058</f>
        <v>Array;Greedy;Sorting;</v>
      </c>
      <c r="L1059" s="17" t="b">
        <f>Github!M$1058</f>
        <v>1</v>
      </c>
      <c r="M1059" s="17" t="str">
        <f>ROUND(Github!N$1058, 2)&amp;"%"</f>
        <v>0%</v>
      </c>
      <c r="N1059" s="17">
        <f>Github!O$1058</f>
        <v>57.79111793</v>
      </c>
      <c r="O1059" s="17">
        <f>Github!P$1058</f>
        <v>56125</v>
      </c>
    </row>
    <row r="1060">
      <c r="A1060" s="17">
        <f>Github!J$1059</f>
        <v>1058</v>
      </c>
      <c r="B1060" s="27" t="str">
        <f>HYPERLINK(CONCAT("http://leetcode.com/problems/",Github!C$1059), Github!B$1059)</f>
        <v>Minimize Rounding Error to Meet Target</v>
      </c>
      <c r="C1060" s="17">
        <f>Github!F$1059</f>
        <v>127</v>
      </c>
      <c r="D1060" s="17">
        <f>Github!G$1059</f>
        <v>122</v>
      </c>
      <c r="E1060" s="17">
        <f>Github!F$1059+Github!G$1059</f>
        <v>249</v>
      </c>
      <c r="F1060" s="18">
        <f t="shared" si="1"/>
        <v>1.04</v>
      </c>
      <c r="G1060" s="17" t="str">
        <f>Github!H$1059</f>
        <v>Algorithms</v>
      </c>
      <c r="H1060" s="17" t="str">
        <f>Github!E$1059</f>
        <v>Medium</v>
      </c>
      <c r="I1060" s="17" t="str">
        <f>IF(TRIM(Github!D$1059)="TRUE","FALSE","TRUE")</f>
        <v>FALSE</v>
      </c>
      <c r="J1060" s="17"/>
      <c r="K1060" s="17" t="str">
        <f>Github!L$1059</f>
        <v>Array;Math;String;Greedy;</v>
      </c>
      <c r="L1060" s="17" t="b">
        <f>Github!M$1059</f>
        <v>0</v>
      </c>
      <c r="M1060" s="17" t="str">
        <f>ROUND(Github!N$1059, 2)&amp;"%"</f>
        <v>0%</v>
      </c>
      <c r="N1060" s="17">
        <f>Github!O$1059</f>
        <v>44.47860305</v>
      </c>
      <c r="O1060" s="17">
        <f>Github!P$1059</f>
        <v>7234</v>
      </c>
    </row>
    <row r="1061">
      <c r="A1061" s="17">
        <f>Github!J$1060</f>
        <v>1059</v>
      </c>
      <c r="B1061" s="27" t="str">
        <f>HYPERLINK(CONCAT("http://leetcode.com/problems/",Github!C$1060), Github!B$1060)</f>
        <v>All Paths from Source Lead to Destination</v>
      </c>
      <c r="C1061" s="17">
        <f>Github!F$1060</f>
        <v>466</v>
      </c>
      <c r="D1061" s="17">
        <f>Github!G$1060</f>
        <v>101</v>
      </c>
      <c r="E1061" s="17">
        <f>Github!F$1060+Github!G$1060</f>
        <v>567</v>
      </c>
      <c r="F1061" s="18">
        <f t="shared" si="1"/>
        <v>4.61</v>
      </c>
      <c r="G1061" s="17" t="str">
        <f>Github!H$1060</f>
        <v>Algorithms</v>
      </c>
      <c r="H1061" s="17" t="str">
        <f>Github!E$1060</f>
        <v>Medium</v>
      </c>
      <c r="I1061" s="17" t="str">
        <f>IF(TRIM(Github!D$1060)="TRUE","FALSE","TRUE")</f>
        <v>FALSE</v>
      </c>
      <c r="J1061" s="17"/>
      <c r="K1061" s="17" t="str">
        <f>Github!L$1060</f>
        <v>Depth-First Search;Graph;</v>
      </c>
      <c r="L1061" s="17" t="b">
        <f>Github!M$1060</f>
        <v>1</v>
      </c>
      <c r="M1061" s="17" t="str">
        <f>ROUND(Github!N$1060, 2)&amp;"%"</f>
        <v>0%</v>
      </c>
      <c r="N1061" s="17">
        <f>Github!O$1060</f>
        <v>42.23481342</v>
      </c>
      <c r="O1061" s="17">
        <f>Github!P$1060</f>
        <v>34214</v>
      </c>
    </row>
    <row r="1062">
      <c r="A1062" s="17">
        <f>Github!J$1061</f>
        <v>1060</v>
      </c>
      <c r="B1062" s="27" t="str">
        <f>HYPERLINK(CONCAT("http://leetcode.com/problems/",Github!C$1061), Github!B$1061)</f>
        <v>Missing Element in Sorted Array</v>
      </c>
      <c r="C1062" s="17">
        <f>Github!F$1061</f>
        <v>1234</v>
      </c>
      <c r="D1062" s="17">
        <f>Github!G$1061</f>
        <v>49</v>
      </c>
      <c r="E1062" s="17">
        <f>Github!F$1061+Github!G$1061</f>
        <v>1283</v>
      </c>
      <c r="F1062" s="18">
        <f t="shared" si="1"/>
        <v>25.18</v>
      </c>
      <c r="G1062" s="17" t="str">
        <f>Github!H$1061</f>
        <v>Algorithms</v>
      </c>
      <c r="H1062" s="17" t="str">
        <f>Github!E$1061</f>
        <v>Medium</v>
      </c>
      <c r="I1062" s="17" t="str">
        <f>IF(TRIM(Github!D$1061)="TRUE","FALSE","TRUE")</f>
        <v>FALSE</v>
      </c>
      <c r="J1062" s="17"/>
      <c r="K1062" s="17" t="str">
        <f>Github!L$1061</f>
        <v>Array;Binary Search;</v>
      </c>
      <c r="L1062" s="17" t="b">
        <f>Github!M$1061</f>
        <v>1</v>
      </c>
      <c r="M1062" s="17" t="str">
        <f>ROUND(Github!N$1061, 2)&amp;"%"</f>
        <v>0%</v>
      </c>
      <c r="N1062" s="17">
        <f>Github!O$1061</f>
        <v>55.09051663</v>
      </c>
      <c r="O1062" s="17">
        <f>Github!P$1061</f>
        <v>89067</v>
      </c>
    </row>
    <row r="1063">
      <c r="A1063" s="17">
        <f>Github!J$1062</f>
        <v>1061</v>
      </c>
      <c r="B1063" s="27" t="str">
        <f>HYPERLINK(CONCAT("http://leetcode.com/problems/",Github!C$1062), Github!B$1062)</f>
        <v>Lexicographically Smallest Equivalent String</v>
      </c>
      <c r="C1063" s="17">
        <f>Github!F$1062</f>
        <v>177</v>
      </c>
      <c r="D1063" s="17">
        <f>Github!G$1062</f>
        <v>9</v>
      </c>
      <c r="E1063" s="17">
        <f>Github!F$1062+Github!G$1062</f>
        <v>186</v>
      </c>
      <c r="F1063" s="18">
        <f t="shared" si="1"/>
        <v>19.67</v>
      </c>
      <c r="G1063" s="17" t="str">
        <f>Github!H$1062</f>
        <v>Algorithms</v>
      </c>
      <c r="H1063" s="17" t="str">
        <f>Github!E$1062</f>
        <v>Medium</v>
      </c>
      <c r="I1063" s="17" t="str">
        <f>IF(TRIM(Github!D$1062)="TRUE","FALSE","TRUE")</f>
        <v>FALSE</v>
      </c>
      <c r="J1063" s="17"/>
      <c r="K1063" s="17" t="str">
        <f>Github!L$1062</f>
        <v>String;Union Find;</v>
      </c>
      <c r="L1063" s="17" t="b">
        <f>Github!M$1062</f>
        <v>0</v>
      </c>
      <c r="M1063" s="17" t="str">
        <f>ROUND(Github!N$1062, 2)&amp;"%"</f>
        <v>0%</v>
      </c>
      <c r="N1063" s="17">
        <f>Github!O$1062</f>
        <v>68.37933059</v>
      </c>
      <c r="O1063" s="17">
        <f>Github!P$1062</f>
        <v>6987</v>
      </c>
    </row>
    <row r="1064">
      <c r="A1064" s="17">
        <f>Github!J$1063</f>
        <v>1062</v>
      </c>
      <c r="B1064" s="27" t="str">
        <f>HYPERLINK(CONCAT("http://leetcode.com/problems/",Github!C$1063), Github!B$1063)</f>
        <v>Longest Repeating Substring</v>
      </c>
      <c r="C1064" s="17">
        <f>Github!F$1063</f>
        <v>481</v>
      </c>
      <c r="D1064" s="17">
        <f>Github!G$1063</f>
        <v>30</v>
      </c>
      <c r="E1064" s="17">
        <f>Github!F$1063+Github!G$1063</f>
        <v>511</v>
      </c>
      <c r="F1064" s="18">
        <f t="shared" si="1"/>
        <v>16.03</v>
      </c>
      <c r="G1064" s="17" t="str">
        <f>Github!H$1063</f>
        <v>Algorithms</v>
      </c>
      <c r="H1064" s="17" t="str">
        <f>Github!E$1063</f>
        <v>Medium</v>
      </c>
      <c r="I1064" s="17" t="str">
        <f>IF(TRIM(Github!D$1063)="TRUE","FALSE","TRUE")</f>
        <v>FALSE</v>
      </c>
      <c r="J1064" s="17"/>
      <c r="K1064" s="17" t="str">
        <f>Github!L$1063</f>
        <v>String;Binary Search;Dynamic Programming;Rolling Hash;Suffix Array;Hash Function;</v>
      </c>
      <c r="L1064" s="17" t="b">
        <f>Github!M$1063</f>
        <v>1</v>
      </c>
      <c r="M1064" s="17" t="str">
        <f>ROUND(Github!N$1063, 2)&amp;"%"</f>
        <v>0%</v>
      </c>
      <c r="N1064" s="17">
        <f>Github!O$1063</f>
        <v>59.20216298</v>
      </c>
      <c r="O1064" s="17">
        <f>Github!P$1063</f>
        <v>24951</v>
      </c>
    </row>
    <row r="1065">
      <c r="A1065" s="17">
        <f>Github!J$1064</f>
        <v>1063</v>
      </c>
      <c r="B1065" s="27" t="str">
        <f>HYPERLINK(CONCAT("http://leetcode.com/problems/",Github!C$1064), Github!B$1064)</f>
        <v>Number of Valid Subarrays</v>
      </c>
      <c r="C1065" s="17">
        <f>Github!F$1064</f>
        <v>166</v>
      </c>
      <c r="D1065" s="17">
        <f>Github!G$1064</f>
        <v>8</v>
      </c>
      <c r="E1065" s="17">
        <f>Github!F$1064+Github!G$1064</f>
        <v>174</v>
      </c>
      <c r="F1065" s="18">
        <f t="shared" si="1"/>
        <v>20.75</v>
      </c>
      <c r="G1065" s="17" t="str">
        <f>Github!H$1064</f>
        <v>Algorithms</v>
      </c>
      <c r="H1065" s="17" t="str">
        <f>Github!E$1064</f>
        <v>Hard</v>
      </c>
      <c r="I1065" s="17" t="str">
        <f>IF(TRIM(Github!D$1064)="TRUE","FALSE","TRUE")</f>
        <v>FALSE</v>
      </c>
      <c r="J1065" s="17"/>
      <c r="K1065" s="17" t="str">
        <f>Github!L$1064</f>
        <v>Array;Stack;Monotonic Stack;</v>
      </c>
      <c r="L1065" s="17" t="b">
        <f>Github!M$1064</f>
        <v>0</v>
      </c>
      <c r="M1065" s="17" t="str">
        <f>ROUND(Github!N$1064, 2)&amp;"%"</f>
        <v>0%</v>
      </c>
      <c r="N1065" s="17">
        <f>Github!O$1064</f>
        <v>73.43001106</v>
      </c>
      <c r="O1065" s="17">
        <f>Github!P$1064</f>
        <v>5975</v>
      </c>
    </row>
    <row r="1066">
      <c r="A1066" s="17">
        <f>Github!J$1065</f>
        <v>1064</v>
      </c>
      <c r="B1066" s="27" t="str">
        <f>HYPERLINK(CONCAT("http://leetcode.com/problems/",Github!C$1065), Github!B$1065)</f>
        <v>Fixed Point</v>
      </c>
      <c r="C1066" s="17">
        <f>Github!F$1065</f>
        <v>328</v>
      </c>
      <c r="D1066" s="17">
        <f>Github!G$1065</f>
        <v>58</v>
      </c>
      <c r="E1066" s="17">
        <f>Github!F$1065+Github!G$1065</f>
        <v>386</v>
      </c>
      <c r="F1066" s="18">
        <f t="shared" si="1"/>
        <v>5.66</v>
      </c>
      <c r="G1066" s="17" t="str">
        <f>Github!H$1065</f>
        <v>Algorithms</v>
      </c>
      <c r="H1066" s="17" t="str">
        <f>Github!E$1065</f>
        <v>Easy</v>
      </c>
      <c r="I1066" s="17" t="str">
        <f>IF(TRIM(Github!D$1065)="TRUE","FALSE","TRUE")</f>
        <v>FALSE</v>
      </c>
      <c r="J1066" s="17"/>
      <c r="K1066" s="17" t="str">
        <f>Github!L$1065</f>
        <v>Array;Binary Search;</v>
      </c>
      <c r="L1066" s="17" t="b">
        <f>Github!M$1065</f>
        <v>1</v>
      </c>
      <c r="M1066" s="17" t="str">
        <f>ROUND(Github!N$1065, 2)&amp;"%"</f>
        <v>0%</v>
      </c>
      <c r="N1066" s="17">
        <f>Github!O$1065</f>
        <v>64.03147746</v>
      </c>
      <c r="O1066" s="17">
        <f>Github!P$1065</f>
        <v>33605</v>
      </c>
    </row>
    <row r="1067">
      <c r="A1067" s="17">
        <f>Github!J$1066</f>
        <v>1065</v>
      </c>
      <c r="B1067" s="27" t="str">
        <f>HYPERLINK(CONCAT("http://leetcode.com/problems/",Github!C$1066), Github!B$1066)</f>
        <v>Index Pairs of a String</v>
      </c>
      <c r="C1067" s="17">
        <f>Github!F$1066</f>
        <v>215</v>
      </c>
      <c r="D1067" s="17">
        <f>Github!G$1066</f>
        <v>75</v>
      </c>
      <c r="E1067" s="17">
        <f>Github!F$1066+Github!G$1066</f>
        <v>290</v>
      </c>
      <c r="F1067" s="18">
        <f t="shared" si="1"/>
        <v>2.87</v>
      </c>
      <c r="G1067" s="17" t="str">
        <f>Github!H$1066</f>
        <v>Algorithms</v>
      </c>
      <c r="H1067" s="17" t="str">
        <f>Github!E$1066</f>
        <v>Easy</v>
      </c>
      <c r="I1067" s="17" t="str">
        <f>IF(TRIM(Github!D$1066)="TRUE","FALSE","TRUE")</f>
        <v>FALSE</v>
      </c>
      <c r="J1067" s="17"/>
      <c r="K1067" s="17" t="str">
        <f>Github!L$1066</f>
        <v>Array;String;Trie;Sorting;</v>
      </c>
      <c r="L1067" s="17" t="b">
        <f>Github!M$1066</f>
        <v>0</v>
      </c>
      <c r="M1067" s="17" t="str">
        <f>ROUND(Github!N$1066, 2)&amp;"%"</f>
        <v>0%</v>
      </c>
      <c r="N1067" s="17">
        <f>Github!O$1066</f>
        <v>62.00364158</v>
      </c>
      <c r="O1067" s="17">
        <f>Github!P$1066</f>
        <v>16005</v>
      </c>
    </row>
    <row r="1068">
      <c r="A1068" s="17">
        <f>Github!J$1067</f>
        <v>1066</v>
      </c>
      <c r="B1068" s="27" t="str">
        <f>HYPERLINK(CONCAT("http://leetcode.com/problems/",Github!C$1067), Github!B$1067)</f>
        <v>Campus Bikes II</v>
      </c>
      <c r="C1068" s="17">
        <f>Github!F$1067</f>
        <v>675</v>
      </c>
      <c r="D1068" s="17">
        <f>Github!G$1067</f>
        <v>55</v>
      </c>
      <c r="E1068" s="17">
        <f>Github!F$1067+Github!G$1067</f>
        <v>730</v>
      </c>
      <c r="F1068" s="18">
        <f t="shared" si="1"/>
        <v>12.27</v>
      </c>
      <c r="G1068" s="17" t="str">
        <f>Github!H$1067</f>
        <v>Algorithms</v>
      </c>
      <c r="H1068" s="17" t="str">
        <f>Github!E$1067</f>
        <v>Medium</v>
      </c>
      <c r="I1068" s="17" t="str">
        <f>IF(TRIM(Github!D$1067)="TRUE","FALSE","TRUE")</f>
        <v>FALSE</v>
      </c>
      <c r="J1068" s="17"/>
      <c r="K1068" s="17" t="str">
        <f>Github!L$1067</f>
        <v>Array;Dynamic Programming;Backtracking;Bit Manipulation;Bitmask;</v>
      </c>
      <c r="L1068" s="17" t="b">
        <f>Github!M$1067</f>
        <v>1</v>
      </c>
      <c r="M1068" s="17" t="str">
        <f>ROUND(Github!N$1067, 2)&amp;"%"</f>
        <v>0%</v>
      </c>
      <c r="N1068" s="17">
        <f>Github!O$1067</f>
        <v>54.68069077</v>
      </c>
      <c r="O1068" s="17">
        <f>Github!P$1067</f>
        <v>37015</v>
      </c>
    </row>
    <row r="1069">
      <c r="A1069" s="17">
        <f>Github!J$1068</f>
        <v>1067</v>
      </c>
      <c r="B1069" s="27" t="str">
        <f>HYPERLINK(CONCAT("http://leetcode.com/problems/",Github!C$1068), Github!B$1068)</f>
        <v>Digit Count in Range</v>
      </c>
      <c r="C1069" s="17">
        <f>Github!F$1068</f>
        <v>59</v>
      </c>
      <c r="D1069" s="17">
        <f>Github!G$1068</f>
        <v>14</v>
      </c>
      <c r="E1069" s="17">
        <f>Github!F$1068+Github!G$1068</f>
        <v>73</v>
      </c>
      <c r="F1069" s="18">
        <f t="shared" si="1"/>
        <v>4.21</v>
      </c>
      <c r="G1069" s="17" t="str">
        <f>Github!H$1068</f>
        <v>Algorithms</v>
      </c>
      <c r="H1069" s="17" t="str">
        <f>Github!E$1068</f>
        <v>Hard</v>
      </c>
      <c r="I1069" s="17" t="str">
        <f>IF(TRIM(Github!D$1068)="TRUE","FALSE","TRUE")</f>
        <v>FALSE</v>
      </c>
      <c r="J1069" s="17"/>
      <c r="K1069" s="17" t="str">
        <f>Github!L$1068</f>
        <v>Math;Dynamic Programming;</v>
      </c>
      <c r="L1069" s="17" t="b">
        <f>Github!M$1068</f>
        <v>0</v>
      </c>
      <c r="M1069" s="17" t="str">
        <f>ROUND(Github!N$1068, 2)&amp;"%"</f>
        <v>0%</v>
      </c>
      <c r="N1069" s="17">
        <f>Github!O$1068</f>
        <v>42.4983585</v>
      </c>
      <c r="O1069" s="17">
        <f>Github!P$1068</f>
        <v>2589</v>
      </c>
    </row>
    <row r="1070">
      <c r="A1070" s="17">
        <f>Github!J$1069</f>
        <v>1068</v>
      </c>
      <c r="B1070" s="27" t="str">
        <f>HYPERLINK(CONCAT("http://leetcode.com/problems/",Github!C$1069), Github!B$1069)</f>
        <v>Product Sales Analysis I</v>
      </c>
      <c r="C1070" s="17">
        <f>Github!F$1069</f>
        <v>80</v>
      </c>
      <c r="D1070" s="17">
        <f>Github!G$1069</f>
        <v>89</v>
      </c>
      <c r="E1070" s="17">
        <f>Github!F$1069+Github!G$1069</f>
        <v>169</v>
      </c>
      <c r="F1070" s="18">
        <f t="shared" si="1"/>
        <v>0.9</v>
      </c>
      <c r="G1070" s="17" t="str">
        <f>Github!H$1069</f>
        <v>Database</v>
      </c>
      <c r="H1070" s="17" t="str">
        <f>Github!E$1069</f>
        <v>Easy</v>
      </c>
      <c r="I1070" s="17" t="str">
        <f>IF(TRIM(Github!D$1069)="TRUE","FALSE","TRUE")</f>
        <v>FALSE</v>
      </c>
      <c r="J1070" s="17"/>
      <c r="K1070" s="17" t="str">
        <f>Github!L$1069</f>
        <v>Database;</v>
      </c>
      <c r="L1070" s="17" t="b">
        <f>Github!M$1069</f>
        <v>0</v>
      </c>
      <c r="M1070" s="17" t="str">
        <f>ROUND(Github!N$1069, 2)&amp;"%"</f>
        <v>0%</v>
      </c>
      <c r="N1070" s="17">
        <f>Github!O$1069</f>
        <v>81.05324115</v>
      </c>
      <c r="O1070" s="17">
        <f>Github!P$1069</f>
        <v>46189</v>
      </c>
    </row>
    <row r="1071">
      <c r="A1071" s="17">
        <f>Github!J$1070</f>
        <v>1069</v>
      </c>
      <c r="B1071" s="27" t="str">
        <f>HYPERLINK(CONCAT("http://leetcode.com/problems/",Github!C$1070), Github!B$1070)</f>
        <v>Product Sales Analysis II</v>
      </c>
      <c r="C1071" s="17">
        <f>Github!F$1070</f>
        <v>54</v>
      </c>
      <c r="D1071" s="17">
        <f>Github!G$1070</f>
        <v>139</v>
      </c>
      <c r="E1071" s="17">
        <f>Github!F$1070+Github!G$1070</f>
        <v>193</v>
      </c>
      <c r="F1071" s="18">
        <f t="shared" si="1"/>
        <v>0.39</v>
      </c>
      <c r="G1071" s="17" t="str">
        <f>Github!H$1070</f>
        <v>Database</v>
      </c>
      <c r="H1071" s="17" t="str">
        <f>Github!E$1070</f>
        <v>Easy</v>
      </c>
      <c r="I1071" s="17" t="str">
        <f>IF(TRIM(Github!D$1070)="TRUE","FALSE","TRUE")</f>
        <v>FALSE</v>
      </c>
      <c r="J1071" s="17"/>
      <c r="K1071" s="17" t="str">
        <f>Github!L$1070</f>
        <v>Database;</v>
      </c>
      <c r="L1071" s="17" t="b">
        <f>Github!M$1070</f>
        <v>0</v>
      </c>
      <c r="M1071" s="17" t="str">
        <f>ROUND(Github!N$1070, 2)&amp;"%"</f>
        <v>0%</v>
      </c>
      <c r="N1071" s="17">
        <f>Github!O$1070</f>
        <v>82.58573463</v>
      </c>
      <c r="O1071" s="17">
        <f>Github!P$1070</f>
        <v>37688</v>
      </c>
    </row>
    <row r="1072">
      <c r="A1072" s="17">
        <f>Github!J$1071</f>
        <v>1070</v>
      </c>
      <c r="B1072" s="27" t="str">
        <f>HYPERLINK(CONCAT("http://leetcode.com/problems/",Github!C$1071), Github!B$1071)</f>
        <v>Product Sales Analysis III</v>
      </c>
      <c r="C1072" s="17">
        <f>Github!F$1071</f>
        <v>70</v>
      </c>
      <c r="D1072" s="17">
        <f>Github!G$1071</f>
        <v>258</v>
      </c>
      <c r="E1072" s="17">
        <f>Github!F$1071+Github!G$1071</f>
        <v>328</v>
      </c>
      <c r="F1072" s="18">
        <f t="shared" si="1"/>
        <v>0.27</v>
      </c>
      <c r="G1072" s="17" t="str">
        <f>Github!H$1071</f>
        <v>Database</v>
      </c>
      <c r="H1072" s="17" t="str">
        <f>Github!E$1071</f>
        <v>Medium</v>
      </c>
      <c r="I1072" s="17" t="str">
        <f>IF(TRIM(Github!D$1071)="TRUE","FALSE","TRUE")</f>
        <v>FALSE</v>
      </c>
      <c r="J1072" s="17"/>
      <c r="K1072" s="17" t="str">
        <f>Github!L$1071</f>
        <v>Database;</v>
      </c>
      <c r="L1072" s="17" t="b">
        <f>Github!M$1071</f>
        <v>0</v>
      </c>
      <c r="M1072" s="17" t="str">
        <f>ROUND(Github!N$1071, 2)&amp;"%"</f>
        <v>0%</v>
      </c>
      <c r="N1072" s="17">
        <f>Github!O$1071</f>
        <v>49.65665236</v>
      </c>
      <c r="O1072" s="17">
        <f>Github!P$1071</f>
        <v>28924</v>
      </c>
    </row>
    <row r="1073">
      <c r="A1073" s="17">
        <f>Github!J$1072</f>
        <v>1071</v>
      </c>
      <c r="B1073" s="27" t="str">
        <f>HYPERLINK(CONCAT("http://leetcode.com/problems/",Github!C$1072), Github!B$1072)</f>
        <v>Greatest Common Divisor of Strings</v>
      </c>
      <c r="C1073" s="17">
        <f>Github!F$1072</f>
        <v>1230</v>
      </c>
      <c r="D1073" s="17">
        <f>Github!G$1072</f>
        <v>247</v>
      </c>
      <c r="E1073" s="17">
        <f>Github!F$1072+Github!G$1072</f>
        <v>1477</v>
      </c>
      <c r="F1073" s="18">
        <f t="shared" si="1"/>
        <v>4.98</v>
      </c>
      <c r="G1073" s="17" t="str">
        <f>Github!H$1072</f>
        <v>Algorithms</v>
      </c>
      <c r="H1073" s="17" t="str">
        <f>Github!E$1072</f>
        <v>Easy</v>
      </c>
      <c r="I1073" s="17" t="str">
        <f>IF(TRIM(Github!D$1072)="TRUE","FALSE","TRUE")</f>
        <v>TRUE</v>
      </c>
      <c r="J1073" s="17"/>
      <c r="K1073" s="17" t="str">
        <f>Github!L$1072</f>
        <v>Math;String;</v>
      </c>
      <c r="L1073" s="17" t="b">
        <f>Github!M$1072</f>
        <v>0</v>
      </c>
      <c r="M1073" s="17" t="str">
        <f>ROUND(Github!N$1072, 2)&amp;"%"</f>
        <v>0%</v>
      </c>
      <c r="N1073" s="17">
        <f>Github!O$1072</f>
        <v>51.60287386</v>
      </c>
      <c r="O1073" s="17">
        <f>Github!P$1072</f>
        <v>68876</v>
      </c>
    </row>
    <row r="1074">
      <c r="A1074" s="17">
        <f>Github!J$1073</f>
        <v>1072</v>
      </c>
      <c r="B1074" s="27" t="str">
        <f>HYPERLINK(CONCAT("http://leetcode.com/problems/",Github!C$1073), Github!B$1073)</f>
        <v>Flip Columns For Maximum Number of Equal Rows</v>
      </c>
      <c r="C1074" s="17">
        <f>Github!F$1073</f>
        <v>504</v>
      </c>
      <c r="D1074" s="17">
        <f>Github!G$1073</f>
        <v>36</v>
      </c>
      <c r="E1074" s="17">
        <f>Github!F$1073+Github!G$1073</f>
        <v>540</v>
      </c>
      <c r="F1074" s="18">
        <f t="shared" si="1"/>
        <v>14</v>
      </c>
      <c r="G1074" s="17" t="str">
        <f>Github!H$1073</f>
        <v>Algorithms</v>
      </c>
      <c r="H1074" s="17" t="str">
        <f>Github!E$1073</f>
        <v>Medium</v>
      </c>
      <c r="I1074" s="17" t="str">
        <f>IF(TRIM(Github!D$1073)="TRUE","FALSE","TRUE")</f>
        <v>TRUE</v>
      </c>
      <c r="J1074" s="17"/>
      <c r="K1074" s="17" t="str">
        <f>Github!L$1073</f>
        <v>Array;Hash Table;Matrix;</v>
      </c>
      <c r="L1074" s="17" t="b">
        <f>Github!M$1073</f>
        <v>0</v>
      </c>
      <c r="M1074" s="17" t="str">
        <f>ROUND(Github!N$1073, 2)&amp;"%"</f>
        <v>0%</v>
      </c>
      <c r="N1074" s="17">
        <f>Github!O$1073</f>
        <v>62.93757461</v>
      </c>
      <c r="O1074" s="17">
        <f>Github!P$1073</f>
        <v>16343</v>
      </c>
    </row>
    <row r="1075">
      <c r="A1075" s="17">
        <f>Github!J$1074</f>
        <v>1073</v>
      </c>
      <c r="B1075" s="27" t="str">
        <f>HYPERLINK(CONCAT("http://leetcode.com/problems/",Github!C$1074), Github!B$1074)</f>
        <v>Adding Two Negabinary Numbers</v>
      </c>
      <c r="C1075" s="17">
        <f>Github!F$1074</f>
        <v>210</v>
      </c>
      <c r="D1075" s="17">
        <f>Github!G$1074</f>
        <v>87</v>
      </c>
      <c r="E1075" s="17">
        <f>Github!F$1074+Github!G$1074</f>
        <v>297</v>
      </c>
      <c r="F1075" s="18">
        <f t="shared" si="1"/>
        <v>2.41</v>
      </c>
      <c r="G1075" s="17" t="str">
        <f>Github!H$1074</f>
        <v>Algorithms</v>
      </c>
      <c r="H1075" s="17" t="str">
        <f>Github!E$1074</f>
        <v>Medium</v>
      </c>
      <c r="I1075" s="17" t="str">
        <f>IF(TRIM(Github!D$1074)="TRUE","FALSE","TRUE")</f>
        <v>TRUE</v>
      </c>
      <c r="J1075" s="17"/>
      <c r="K1075" s="17" t="str">
        <f>Github!L$1074</f>
        <v>Array;Math;</v>
      </c>
      <c r="L1075" s="17" t="b">
        <f>Github!M$1074</f>
        <v>0</v>
      </c>
      <c r="M1075" s="17" t="str">
        <f>ROUND(Github!N$1074, 2)&amp;"%"</f>
        <v>0%</v>
      </c>
      <c r="N1075" s="17">
        <f>Github!O$1074</f>
        <v>35.63751449</v>
      </c>
      <c r="O1075" s="17">
        <f>Github!P$1074</f>
        <v>11373</v>
      </c>
    </row>
    <row r="1076">
      <c r="A1076" s="17">
        <f>Github!J$1075</f>
        <v>1074</v>
      </c>
      <c r="B1076" s="27" t="str">
        <f>HYPERLINK(CONCAT("http://leetcode.com/problems/",Github!C$1075), Github!B$1075)</f>
        <v>Number of Submatrices That Sum to Target</v>
      </c>
      <c r="C1076" s="17">
        <f>Github!F$1075</f>
        <v>1497</v>
      </c>
      <c r="D1076" s="17">
        <f>Github!G$1075</f>
        <v>37</v>
      </c>
      <c r="E1076" s="17">
        <f>Github!F$1075+Github!G$1075</f>
        <v>1534</v>
      </c>
      <c r="F1076" s="18">
        <f t="shared" si="1"/>
        <v>40.46</v>
      </c>
      <c r="G1076" s="17" t="str">
        <f>Github!H$1075</f>
        <v>Algorithms</v>
      </c>
      <c r="H1076" s="17" t="str">
        <f>Github!E$1075</f>
        <v>Hard</v>
      </c>
      <c r="I1076" s="17" t="str">
        <f>IF(TRIM(Github!D$1075)="TRUE","FALSE","TRUE")</f>
        <v>TRUE</v>
      </c>
      <c r="J1076" s="17"/>
      <c r="K1076" s="17" t="str">
        <f>Github!L$1075</f>
        <v>Array;Hash Table;Matrix;Prefix Sum;</v>
      </c>
      <c r="L1076" s="17" t="b">
        <f>Github!M$1075</f>
        <v>1</v>
      </c>
      <c r="M1076" s="17" t="str">
        <f>ROUND(Github!N$1075, 2)&amp;"%"</f>
        <v>0%</v>
      </c>
      <c r="N1076" s="17">
        <f>Github!O$1075</f>
        <v>66.28334672</v>
      </c>
      <c r="O1076" s="17">
        <f>Github!P$1075</f>
        <v>47034</v>
      </c>
    </row>
    <row r="1077">
      <c r="A1077" s="17">
        <f>Github!J$1076</f>
        <v>1075</v>
      </c>
      <c r="B1077" s="27" t="str">
        <f>HYPERLINK(CONCAT("http://leetcode.com/problems/",Github!C$1076), Github!B$1076)</f>
        <v>Project Employees I</v>
      </c>
      <c r="C1077" s="17">
        <f>Github!F$1076</f>
        <v>77</v>
      </c>
      <c r="D1077" s="17">
        <f>Github!G$1076</f>
        <v>61</v>
      </c>
      <c r="E1077" s="17">
        <f>Github!F$1076+Github!G$1076</f>
        <v>138</v>
      </c>
      <c r="F1077" s="18">
        <f t="shared" si="1"/>
        <v>1.26</v>
      </c>
      <c r="G1077" s="17" t="str">
        <f>Github!H$1076</f>
        <v>Database</v>
      </c>
      <c r="H1077" s="17" t="str">
        <f>Github!E$1076</f>
        <v>Easy</v>
      </c>
      <c r="I1077" s="17" t="str">
        <f>IF(TRIM(Github!D$1076)="TRUE","FALSE","TRUE")</f>
        <v>FALSE</v>
      </c>
      <c r="J1077" s="17"/>
      <c r="K1077" s="17" t="str">
        <f>Github!L$1076</f>
        <v>Database;</v>
      </c>
      <c r="L1077" s="17" t="b">
        <f>Github!M$1076</f>
        <v>0</v>
      </c>
      <c r="M1077" s="17" t="str">
        <f>ROUND(Github!N$1076, 2)&amp;"%"</f>
        <v>0%</v>
      </c>
      <c r="N1077" s="17">
        <f>Github!O$1076</f>
        <v>66.84901324</v>
      </c>
      <c r="O1077" s="17">
        <f>Github!P$1076</f>
        <v>35192</v>
      </c>
    </row>
    <row r="1078">
      <c r="A1078" s="17">
        <f>Github!J$1077</f>
        <v>1076</v>
      </c>
      <c r="B1078" s="27" t="str">
        <f>HYPERLINK(CONCAT("http://leetcode.com/problems/",Github!C$1077), Github!B$1077)</f>
        <v>Project Employees II</v>
      </c>
      <c r="C1078" s="17">
        <f>Github!F$1077</f>
        <v>138</v>
      </c>
      <c r="D1078" s="17">
        <f>Github!G$1077</f>
        <v>44</v>
      </c>
      <c r="E1078" s="17">
        <f>Github!F$1077+Github!G$1077</f>
        <v>182</v>
      </c>
      <c r="F1078" s="18">
        <f t="shared" si="1"/>
        <v>3.14</v>
      </c>
      <c r="G1078" s="17" t="str">
        <f>Github!H$1077</f>
        <v>Database</v>
      </c>
      <c r="H1078" s="17" t="str">
        <f>Github!E$1077</f>
        <v>Easy</v>
      </c>
      <c r="I1078" s="17" t="str">
        <f>IF(TRIM(Github!D$1077)="TRUE","FALSE","TRUE")</f>
        <v>FALSE</v>
      </c>
      <c r="J1078" s="17"/>
      <c r="K1078" s="17" t="str">
        <f>Github!L$1077</f>
        <v>Database;</v>
      </c>
      <c r="L1078" s="17" t="b">
        <f>Github!M$1077</f>
        <v>0</v>
      </c>
      <c r="M1078" s="17" t="str">
        <f>ROUND(Github!N$1077, 2)&amp;"%"</f>
        <v>0%</v>
      </c>
      <c r="N1078" s="17">
        <f>Github!O$1077</f>
        <v>51.40431631</v>
      </c>
      <c r="O1078" s="17">
        <f>Github!P$1077</f>
        <v>37300</v>
      </c>
    </row>
    <row r="1079">
      <c r="A1079" s="17">
        <f>Github!J$1078</f>
        <v>1077</v>
      </c>
      <c r="B1079" s="27" t="str">
        <f>HYPERLINK(CONCAT("http://leetcode.com/problems/",Github!C$1078), Github!B$1078)</f>
        <v>Project Employees III</v>
      </c>
      <c r="C1079" s="17">
        <f>Github!F$1078</f>
        <v>168</v>
      </c>
      <c r="D1079" s="17">
        <f>Github!G$1078</f>
        <v>4</v>
      </c>
      <c r="E1079" s="17">
        <f>Github!F$1078+Github!G$1078</f>
        <v>172</v>
      </c>
      <c r="F1079" s="18">
        <f t="shared" si="1"/>
        <v>42</v>
      </c>
      <c r="G1079" s="17" t="str">
        <f>Github!H$1078</f>
        <v>Database</v>
      </c>
      <c r="H1079" s="17" t="str">
        <f>Github!E$1078</f>
        <v>Medium</v>
      </c>
      <c r="I1079" s="17" t="str">
        <f>IF(TRIM(Github!D$1078)="TRUE","FALSE","TRUE")</f>
        <v>FALSE</v>
      </c>
      <c r="J1079" s="17"/>
      <c r="K1079" s="17" t="str">
        <f>Github!L$1078</f>
        <v>Database;</v>
      </c>
      <c r="L1079" s="17" t="b">
        <f>Github!M$1078</f>
        <v>0</v>
      </c>
      <c r="M1079" s="17" t="str">
        <f>ROUND(Github!N$1078, 2)&amp;"%"</f>
        <v>0%</v>
      </c>
      <c r="N1079" s="17">
        <f>Github!O$1078</f>
        <v>78.59686267</v>
      </c>
      <c r="O1079" s="17">
        <f>Github!P$1078</f>
        <v>32668</v>
      </c>
    </row>
    <row r="1080">
      <c r="A1080" s="17">
        <f>Github!J$1079</f>
        <v>1078</v>
      </c>
      <c r="B1080" s="27" t="str">
        <f>HYPERLINK(CONCAT("http://leetcode.com/problems/",Github!C$1079), Github!B$1079)</f>
        <v>Occurrences After Bigram</v>
      </c>
      <c r="C1080" s="17">
        <f>Github!F$1079</f>
        <v>310</v>
      </c>
      <c r="D1080" s="17">
        <f>Github!G$1079</f>
        <v>283</v>
      </c>
      <c r="E1080" s="17">
        <f>Github!F$1079+Github!G$1079</f>
        <v>593</v>
      </c>
      <c r="F1080" s="18">
        <f t="shared" si="1"/>
        <v>1.1</v>
      </c>
      <c r="G1080" s="17" t="str">
        <f>Github!H$1079</f>
        <v>Algorithms</v>
      </c>
      <c r="H1080" s="17" t="str">
        <f>Github!E$1079</f>
        <v>Easy</v>
      </c>
      <c r="I1080" s="17" t="str">
        <f>IF(TRIM(Github!D$1079)="TRUE","FALSE","TRUE")</f>
        <v>TRUE</v>
      </c>
      <c r="J1080" s="17"/>
      <c r="K1080" s="17" t="str">
        <f>Github!L$1079</f>
        <v>String;</v>
      </c>
      <c r="L1080" s="17" t="b">
        <f>Github!M$1079</f>
        <v>0</v>
      </c>
      <c r="M1080" s="17" t="str">
        <f>ROUND(Github!N$1079, 2)&amp;"%"</f>
        <v>0%</v>
      </c>
      <c r="N1080" s="17">
        <f>Github!O$1079</f>
        <v>64.29536593</v>
      </c>
      <c r="O1080" s="17">
        <f>Github!P$1079</f>
        <v>49961</v>
      </c>
    </row>
    <row r="1081">
      <c r="A1081" s="17">
        <f>Github!J$1080</f>
        <v>1079</v>
      </c>
      <c r="B1081" s="27" t="str">
        <f>HYPERLINK(CONCAT("http://leetcode.com/problems/",Github!C$1080), Github!B$1080)</f>
        <v>Letter Tile Possibilities</v>
      </c>
      <c r="C1081" s="17">
        <f>Github!F$1080</f>
        <v>1563</v>
      </c>
      <c r="D1081" s="17">
        <f>Github!G$1080</f>
        <v>45</v>
      </c>
      <c r="E1081" s="17">
        <f>Github!F$1080+Github!G$1080</f>
        <v>1608</v>
      </c>
      <c r="F1081" s="18">
        <f t="shared" si="1"/>
        <v>34.73</v>
      </c>
      <c r="G1081" s="17" t="str">
        <f>Github!H$1080</f>
        <v>Algorithms</v>
      </c>
      <c r="H1081" s="17" t="str">
        <f>Github!E$1080</f>
        <v>Medium</v>
      </c>
      <c r="I1081" s="17" t="str">
        <f>IF(TRIM(Github!D$1080)="TRUE","FALSE","TRUE")</f>
        <v>TRUE</v>
      </c>
      <c r="J1081" s="17"/>
      <c r="K1081" s="17" t="str">
        <f>Github!L$1080</f>
        <v>String;Backtracking;</v>
      </c>
      <c r="L1081" s="17" t="b">
        <f>Github!M$1080</f>
        <v>0</v>
      </c>
      <c r="M1081" s="17" t="str">
        <f>ROUND(Github!N$1080, 2)&amp;"%"</f>
        <v>0%</v>
      </c>
      <c r="N1081" s="17">
        <f>Github!O$1080</f>
        <v>76.21234429</v>
      </c>
      <c r="O1081" s="17">
        <f>Github!P$1080</f>
        <v>65221</v>
      </c>
    </row>
    <row r="1082">
      <c r="A1082" s="17">
        <f>Github!J$1081</f>
        <v>1080</v>
      </c>
      <c r="B1082" s="27" t="str">
        <f>HYPERLINK(CONCAT("http://leetcode.com/problems/",Github!C$1081), Github!B$1081)</f>
        <v>Insufficient Nodes in Root to Leaf Paths</v>
      </c>
      <c r="C1082" s="17">
        <f>Github!F$1081</f>
        <v>391</v>
      </c>
      <c r="D1082" s="17">
        <f>Github!G$1081</f>
        <v>532</v>
      </c>
      <c r="E1082" s="17">
        <f>Github!F$1081+Github!G$1081</f>
        <v>923</v>
      </c>
      <c r="F1082" s="18">
        <f t="shared" si="1"/>
        <v>0.73</v>
      </c>
      <c r="G1082" s="17" t="str">
        <f>Github!H$1081</f>
        <v>Algorithms</v>
      </c>
      <c r="H1082" s="17" t="str">
        <f>Github!E$1081</f>
        <v>Medium</v>
      </c>
      <c r="I1082" s="17" t="str">
        <f>IF(TRIM(Github!D$1081)="TRUE","FALSE","TRUE")</f>
        <v>TRUE</v>
      </c>
      <c r="J1082" s="17"/>
      <c r="K1082" s="17" t="str">
        <f>Github!L$1081</f>
        <v>Tree;Depth-First Search;Binary Tree;</v>
      </c>
      <c r="L1082" s="17" t="b">
        <f>Github!M$1081</f>
        <v>0</v>
      </c>
      <c r="M1082" s="17" t="str">
        <f>ROUND(Github!N$1081, 2)&amp;"%"</f>
        <v>0%</v>
      </c>
      <c r="N1082" s="17">
        <f>Github!O$1081</f>
        <v>51.73864333</v>
      </c>
      <c r="O1082" s="17">
        <f>Github!P$1081</f>
        <v>24476</v>
      </c>
    </row>
    <row r="1083">
      <c r="A1083" s="17">
        <f>Github!J$1082</f>
        <v>1081</v>
      </c>
      <c r="B1083" s="27" t="str">
        <f>HYPERLINK(CONCAT("http://leetcode.com/problems/",Github!C$1082), Github!B$1082)</f>
        <v>Smallest Subsequence of Distinct Characters</v>
      </c>
      <c r="C1083" s="17">
        <f>Github!F$1082</f>
        <v>1412</v>
      </c>
      <c r="D1083" s="17">
        <f>Github!G$1082</f>
        <v>137</v>
      </c>
      <c r="E1083" s="17">
        <f>Github!F$1082+Github!G$1082</f>
        <v>1549</v>
      </c>
      <c r="F1083" s="18">
        <f t="shared" si="1"/>
        <v>10.31</v>
      </c>
      <c r="G1083" s="17" t="str">
        <f>Github!H$1082</f>
        <v>Algorithms</v>
      </c>
      <c r="H1083" s="17" t="str">
        <f>Github!E$1082</f>
        <v>Medium</v>
      </c>
      <c r="I1083" s="17" t="str">
        <f>IF(TRIM(Github!D$1082)="TRUE","FALSE","TRUE")</f>
        <v>TRUE</v>
      </c>
      <c r="J1083" s="17"/>
      <c r="K1083" s="17" t="str">
        <f>Github!L$1082</f>
        <v>String;Stack;Greedy;Monotonic Stack;</v>
      </c>
      <c r="L1083" s="17" t="b">
        <f>Github!M$1082</f>
        <v>0</v>
      </c>
      <c r="M1083" s="17" t="str">
        <f>ROUND(Github!N$1082, 2)&amp;"%"</f>
        <v>0%</v>
      </c>
      <c r="N1083" s="17">
        <f>Github!O$1082</f>
        <v>55.04674274</v>
      </c>
      <c r="O1083" s="17">
        <f>Github!P$1082</f>
        <v>33622</v>
      </c>
    </row>
    <row r="1084">
      <c r="A1084" s="17">
        <f>Github!J$1083</f>
        <v>1082</v>
      </c>
      <c r="B1084" s="27" t="str">
        <f>HYPERLINK(CONCAT("http://leetcode.com/problems/",Github!C$1083), Github!B$1083)</f>
        <v>Sales Analysis I</v>
      </c>
      <c r="C1084" s="17">
        <f>Github!F$1083</f>
        <v>143</v>
      </c>
      <c r="D1084" s="17">
        <f>Github!G$1083</f>
        <v>50</v>
      </c>
      <c r="E1084" s="17">
        <f>Github!F$1083+Github!G$1083</f>
        <v>193</v>
      </c>
      <c r="F1084" s="18">
        <f t="shared" si="1"/>
        <v>2.86</v>
      </c>
      <c r="G1084" s="17" t="str">
        <f>Github!H$1083</f>
        <v>Database</v>
      </c>
      <c r="H1084" s="17" t="str">
        <f>Github!E$1083</f>
        <v>Easy</v>
      </c>
      <c r="I1084" s="17" t="str">
        <f>IF(TRIM(Github!D$1083)="TRUE","FALSE","TRUE")</f>
        <v>FALSE</v>
      </c>
      <c r="J1084" s="17"/>
      <c r="K1084" s="17" t="str">
        <f>Github!L$1083</f>
        <v>Database;</v>
      </c>
      <c r="L1084" s="17" t="b">
        <f>Github!M$1083</f>
        <v>0</v>
      </c>
      <c r="M1084" s="17" t="str">
        <f>ROUND(Github!N$1083, 2)&amp;"%"</f>
        <v>0%</v>
      </c>
      <c r="N1084" s="17">
        <f>Github!O$1083</f>
        <v>75.16659867</v>
      </c>
      <c r="O1084" s="17">
        <f>Github!P$1083</f>
        <v>38689</v>
      </c>
    </row>
    <row r="1085">
      <c r="A1085" s="17">
        <f>Github!J$1084</f>
        <v>1083</v>
      </c>
      <c r="B1085" s="27" t="str">
        <f>HYPERLINK(CONCAT("http://leetcode.com/problems/",Github!C$1084), Github!B$1084)</f>
        <v>Sales Analysis II</v>
      </c>
      <c r="C1085" s="17">
        <f>Github!F$1084</f>
        <v>175</v>
      </c>
      <c r="D1085" s="17">
        <f>Github!G$1084</f>
        <v>34</v>
      </c>
      <c r="E1085" s="17">
        <f>Github!F$1084+Github!G$1084</f>
        <v>209</v>
      </c>
      <c r="F1085" s="18">
        <f t="shared" si="1"/>
        <v>5.15</v>
      </c>
      <c r="G1085" s="17" t="str">
        <f>Github!H$1084</f>
        <v>Database</v>
      </c>
      <c r="H1085" s="17" t="str">
        <f>Github!E$1084</f>
        <v>Easy</v>
      </c>
      <c r="I1085" s="17" t="str">
        <f>IF(TRIM(Github!D$1084)="TRUE","FALSE","TRUE")</f>
        <v>FALSE</v>
      </c>
      <c r="J1085" s="17"/>
      <c r="K1085" s="17" t="str">
        <f>Github!L$1084</f>
        <v>Database;</v>
      </c>
      <c r="L1085" s="17" t="b">
        <f>Github!M$1084</f>
        <v>0</v>
      </c>
      <c r="M1085" s="17" t="str">
        <f>ROUND(Github!N$1084, 2)&amp;"%"</f>
        <v>0%</v>
      </c>
      <c r="N1085" s="17">
        <f>Github!O$1084</f>
        <v>50.5234582</v>
      </c>
      <c r="O1085" s="17">
        <f>Github!P$1084</f>
        <v>38897</v>
      </c>
    </row>
    <row r="1086">
      <c r="A1086" s="17">
        <f>Github!J$1085</f>
        <v>1084</v>
      </c>
      <c r="B1086" s="27" t="str">
        <f>HYPERLINK(CONCAT("http://leetcode.com/problems/",Github!C$1085), Github!B$1085)</f>
        <v>Sales Analysis III</v>
      </c>
      <c r="C1086" s="17">
        <f>Github!F$1085</f>
        <v>151</v>
      </c>
      <c r="D1086" s="17">
        <f>Github!G$1085</f>
        <v>52</v>
      </c>
      <c r="E1086" s="17">
        <f>Github!F$1085+Github!G$1085</f>
        <v>203</v>
      </c>
      <c r="F1086" s="18">
        <f t="shared" si="1"/>
        <v>2.9</v>
      </c>
      <c r="G1086" s="17" t="str">
        <f>Github!H$1085</f>
        <v>Database</v>
      </c>
      <c r="H1086" s="17" t="str">
        <f>Github!E$1085</f>
        <v>Easy</v>
      </c>
      <c r="I1086" s="17" t="str">
        <f>IF(TRIM(Github!D$1085)="TRUE","FALSE","TRUE")</f>
        <v>FALSE</v>
      </c>
      <c r="J1086" s="17"/>
      <c r="K1086" s="17" t="str">
        <f>Github!L$1085</f>
        <v>Database;</v>
      </c>
      <c r="L1086" s="17" t="b">
        <f>Github!M$1085</f>
        <v>0</v>
      </c>
      <c r="M1086" s="17" t="str">
        <f>ROUND(Github!N$1085, 2)&amp;"%"</f>
        <v>0%</v>
      </c>
      <c r="N1086" s="17">
        <f>Github!O$1085</f>
        <v>53.64799521</v>
      </c>
      <c r="O1086" s="17">
        <f>Github!P$1085</f>
        <v>37608</v>
      </c>
    </row>
    <row r="1087">
      <c r="A1087" s="17">
        <f>Github!J$1086</f>
        <v>1085</v>
      </c>
      <c r="B1087" s="27" t="str">
        <f>HYPERLINK(CONCAT("http://leetcode.com/problems/",Github!C$1086), Github!B$1086)</f>
        <v>Sum of Digits in the Minimum Number</v>
      </c>
      <c r="C1087" s="17">
        <f>Github!F$1086</f>
        <v>81</v>
      </c>
      <c r="D1087" s="17">
        <f>Github!G$1086</f>
        <v>138</v>
      </c>
      <c r="E1087" s="17">
        <f>Github!F$1086+Github!G$1086</f>
        <v>219</v>
      </c>
      <c r="F1087" s="18">
        <f t="shared" si="1"/>
        <v>0.59</v>
      </c>
      <c r="G1087" s="17" t="str">
        <f>Github!H$1086</f>
        <v>Algorithms</v>
      </c>
      <c r="H1087" s="17" t="str">
        <f>Github!E$1086</f>
        <v>Easy</v>
      </c>
      <c r="I1087" s="17" t="str">
        <f>IF(TRIM(Github!D$1086)="TRUE","FALSE","TRUE")</f>
        <v>FALSE</v>
      </c>
      <c r="J1087" s="17"/>
      <c r="K1087" s="17" t="str">
        <f>Github!L$1086</f>
        <v>Array;Math;</v>
      </c>
      <c r="L1087" s="17" t="b">
        <f>Github!M$1086</f>
        <v>0</v>
      </c>
      <c r="M1087" s="17" t="str">
        <f>ROUND(Github!N$1086, 2)&amp;"%"</f>
        <v>0%</v>
      </c>
      <c r="N1087" s="17">
        <f>Github!O$1086</f>
        <v>75.5603816</v>
      </c>
      <c r="O1087" s="17">
        <f>Github!P$1086</f>
        <v>19484</v>
      </c>
    </row>
    <row r="1088">
      <c r="A1088" s="17">
        <f>Github!J$1087</f>
        <v>1086</v>
      </c>
      <c r="B1088" s="27" t="str">
        <f>HYPERLINK(CONCAT("http://leetcode.com/problems/",Github!C$1087), Github!B$1087)</f>
        <v>High Five</v>
      </c>
      <c r="C1088" s="17">
        <f>Github!F$1087</f>
        <v>639</v>
      </c>
      <c r="D1088" s="17">
        <f>Github!G$1087</f>
        <v>103</v>
      </c>
      <c r="E1088" s="17">
        <f>Github!F$1087+Github!G$1087</f>
        <v>742</v>
      </c>
      <c r="F1088" s="18">
        <f t="shared" si="1"/>
        <v>6.2</v>
      </c>
      <c r="G1088" s="17" t="str">
        <f>Github!H$1087</f>
        <v>Algorithms</v>
      </c>
      <c r="H1088" s="17" t="str">
        <f>Github!E$1087</f>
        <v>Easy</v>
      </c>
      <c r="I1088" s="17" t="str">
        <f>IF(TRIM(Github!D$1087)="TRUE","FALSE","TRUE")</f>
        <v>FALSE</v>
      </c>
      <c r="J1088" s="17"/>
      <c r="K1088" s="17" t="str">
        <f>Github!L$1087</f>
        <v>Array;Hash Table;Sorting;</v>
      </c>
      <c r="L1088" s="17" t="b">
        <f>Github!M$1087</f>
        <v>1</v>
      </c>
      <c r="M1088" s="17" t="str">
        <f>ROUND(Github!N$1087, 2)&amp;"%"</f>
        <v>0%</v>
      </c>
      <c r="N1088" s="17">
        <f>Github!O$1087</f>
        <v>75.55857232</v>
      </c>
      <c r="O1088" s="17">
        <f>Github!P$1087</f>
        <v>80147</v>
      </c>
    </row>
    <row r="1089">
      <c r="A1089" s="17">
        <f>Github!J$1088</f>
        <v>1087</v>
      </c>
      <c r="B1089" s="27" t="str">
        <f>HYPERLINK(CONCAT("http://leetcode.com/problems/",Github!C$1088), Github!B$1088)</f>
        <v>Brace Expansion</v>
      </c>
      <c r="C1089" s="17">
        <f>Github!F$1088</f>
        <v>435</v>
      </c>
      <c r="D1089" s="17">
        <f>Github!G$1088</f>
        <v>39</v>
      </c>
      <c r="E1089" s="17">
        <f>Github!F$1088+Github!G$1088</f>
        <v>474</v>
      </c>
      <c r="F1089" s="18">
        <f t="shared" si="1"/>
        <v>11.15</v>
      </c>
      <c r="G1089" s="17" t="str">
        <f>Github!H$1088</f>
        <v>Algorithms</v>
      </c>
      <c r="H1089" s="17" t="str">
        <f>Github!E$1088</f>
        <v>Medium</v>
      </c>
      <c r="I1089" s="17" t="str">
        <f>IF(TRIM(Github!D$1088)="TRUE","FALSE","TRUE")</f>
        <v>FALSE</v>
      </c>
      <c r="J1089" s="17"/>
      <c r="K1089" s="17" t="str">
        <f>Github!L$1088</f>
        <v>String;Backtracking;Breadth-First Search;</v>
      </c>
      <c r="L1089" s="17" t="b">
        <f>Github!M$1088</f>
        <v>1</v>
      </c>
      <c r="M1089" s="17" t="str">
        <f>ROUND(Github!N$1088, 2)&amp;"%"</f>
        <v>0%</v>
      </c>
      <c r="N1089" s="17">
        <f>Github!O$1088</f>
        <v>64.42404271</v>
      </c>
      <c r="O1089" s="17">
        <f>Github!P$1088</f>
        <v>36560</v>
      </c>
    </row>
    <row r="1090">
      <c r="A1090" s="17">
        <f>Github!J$1089</f>
        <v>1088</v>
      </c>
      <c r="B1090" s="27" t="str">
        <f>HYPERLINK(CONCAT("http://leetcode.com/problems/",Github!C$1089), Github!B$1089)</f>
        <v>Confusing Number II</v>
      </c>
      <c r="C1090" s="17">
        <f>Github!F$1089</f>
        <v>352</v>
      </c>
      <c r="D1090" s="17">
        <f>Github!G$1089</f>
        <v>95</v>
      </c>
      <c r="E1090" s="17">
        <f>Github!F$1089+Github!G$1089</f>
        <v>447</v>
      </c>
      <c r="F1090" s="18">
        <f t="shared" si="1"/>
        <v>3.71</v>
      </c>
      <c r="G1090" s="17" t="str">
        <f>Github!H$1089</f>
        <v>Algorithms</v>
      </c>
      <c r="H1090" s="17" t="str">
        <f>Github!E$1089</f>
        <v>Hard</v>
      </c>
      <c r="I1090" s="17" t="str">
        <f>IF(TRIM(Github!D$1089)="TRUE","FALSE","TRUE")</f>
        <v>FALSE</v>
      </c>
      <c r="J1090" s="17"/>
      <c r="K1090" s="17" t="str">
        <f>Github!L$1089</f>
        <v>Math;Backtracking;</v>
      </c>
      <c r="L1090" s="17" t="b">
        <f>Github!M$1089</f>
        <v>0</v>
      </c>
      <c r="M1090" s="17" t="str">
        <f>ROUND(Github!N$1089, 2)&amp;"%"</f>
        <v>0%</v>
      </c>
      <c r="N1090" s="17">
        <f>Github!O$1089</f>
        <v>46.49940224</v>
      </c>
      <c r="O1090" s="17">
        <f>Github!P$1089</f>
        <v>28393</v>
      </c>
    </row>
    <row r="1091">
      <c r="A1091" s="17">
        <f>Github!J$1090</f>
        <v>1089</v>
      </c>
      <c r="B1091" s="27" t="str">
        <f>HYPERLINK(CONCAT("http://leetcode.com/problems/",Github!C$1090), Github!B$1090)</f>
        <v>Duplicate Zeros</v>
      </c>
      <c r="C1091" s="17">
        <f>Github!F$1090</f>
        <v>1562</v>
      </c>
      <c r="D1091" s="17">
        <f>Github!G$1090</f>
        <v>501</v>
      </c>
      <c r="E1091" s="17">
        <f>Github!F$1090+Github!G$1090</f>
        <v>2063</v>
      </c>
      <c r="F1091" s="18">
        <f t="shared" si="1"/>
        <v>3.12</v>
      </c>
      <c r="G1091" s="17" t="str">
        <f>Github!H$1090</f>
        <v>Algorithms</v>
      </c>
      <c r="H1091" s="17" t="str">
        <f>Github!E$1090</f>
        <v>Easy</v>
      </c>
      <c r="I1091" s="17" t="str">
        <f>IF(TRIM(Github!D$1090)="TRUE","FALSE","TRUE")</f>
        <v>TRUE</v>
      </c>
      <c r="J1091" s="17"/>
      <c r="K1091" s="17" t="str">
        <f>Github!L$1090</f>
        <v>Array;Two Pointers;</v>
      </c>
      <c r="L1091" s="17" t="b">
        <f>Github!M$1090</f>
        <v>1</v>
      </c>
      <c r="M1091" s="17" t="str">
        <f>ROUND(Github!N$1090, 2)&amp;"%"</f>
        <v>0%</v>
      </c>
      <c r="N1091" s="17">
        <f>Github!O$1090</f>
        <v>51.12280702</v>
      </c>
      <c r="O1091" s="17">
        <f>Github!P$1090</f>
        <v>250588</v>
      </c>
    </row>
    <row r="1092">
      <c r="A1092" s="17">
        <f>Github!J$1091</f>
        <v>1090</v>
      </c>
      <c r="B1092" s="27" t="str">
        <f>HYPERLINK(CONCAT("http://leetcode.com/problems/",Github!C$1091), Github!B$1091)</f>
        <v>Largest Values From Labels</v>
      </c>
      <c r="C1092" s="17">
        <f>Github!F$1091</f>
        <v>278</v>
      </c>
      <c r="D1092" s="17">
        <f>Github!G$1091</f>
        <v>548</v>
      </c>
      <c r="E1092" s="17">
        <f>Github!F$1091+Github!G$1091</f>
        <v>826</v>
      </c>
      <c r="F1092" s="18">
        <f t="shared" si="1"/>
        <v>0.51</v>
      </c>
      <c r="G1092" s="17" t="str">
        <f>Github!H$1091</f>
        <v>Algorithms</v>
      </c>
      <c r="H1092" s="17" t="str">
        <f>Github!E$1091</f>
        <v>Medium</v>
      </c>
      <c r="I1092" s="17" t="str">
        <f>IF(TRIM(Github!D$1091)="TRUE","FALSE","TRUE")</f>
        <v>TRUE</v>
      </c>
      <c r="J1092" s="17"/>
      <c r="K1092" s="17" t="str">
        <f>Github!L$1091</f>
        <v>Array;Hash Table;Greedy;Sorting;Counting;</v>
      </c>
      <c r="L1092" s="17" t="b">
        <f>Github!M$1091</f>
        <v>0</v>
      </c>
      <c r="M1092" s="17" t="str">
        <f>ROUND(Github!N$1091, 2)&amp;"%"</f>
        <v>0%</v>
      </c>
      <c r="N1092" s="17">
        <f>Github!O$1091</f>
        <v>60.47100876</v>
      </c>
      <c r="O1092" s="17">
        <f>Github!P$1091</f>
        <v>26729</v>
      </c>
    </row>
    <row r="1093">
      <c r="A1093" s="17">
        <f>Github!J$1092</f>
        <v>1091</v>
      </c>
      <c r="B1093" s="27" t="str">
        <f>HYPERLINK(CONCAT("http://leetcode.com/problems/",Github!C$1092), Github!B$1092)</f>
        <v>Shortest Path in Binary Matrix</v>
      </c>
      <c r="C1093" s="17">
        <f>Github!F$1092</f>
        <v>2315</v>
      </c>
      <c r="D1093" s="17">
        <f>Github!G$1092</f>
        <v>120</v>
      </c>
      <c r="E1093" s="17">
        <f>Github!F$1092+Github!G$1092</f>
        <v>2435</v>
      </c>
      <c r="F1093" s="18">
        <f t="shared" si="1"/>
        <v>19.29</v>
      </c>
      <c r="G1093" s="17" t="str">
        <f>Github!H$1092</f>
        <v>Algorithms</v>
      </c>
      <c r="H1093" s="17" t="str">
        <f>Github!E$1092</f>
        <v>Medium</v>
      </c>
      <c r="I1093" s="17" t="str">
        <f>IF(TRIM(Github!D$1092)="TRUE","FALSE","TRUE")</f>
        <v>TRUE</v>
      </c>
      <c r="J1093" s="17"/>
      <c r="K1093" s="17" t="str">
        <f>Github!L$1092</f>
        <v>Array;Breadth-First Search;Matrix;</v>
      </c>
      <c r="L1093" s="17" t="b">
        <f>Github!M$1092</f>
        <v>1</v>
      </c>
      <c r="M1093" s="17" t="str">
        <f>ROUND(Github!N$1092, 2)&amp;"%"</f>
        <v>0%</v>
      </c>
      <c r="N1093" s="17">
        <f>Github!O$1092</f>
        <v>42.34417344</v>
      </c>
      <c r="O1093" s="17">
        <f>Github!P$1092</f>
        <v>162497</v>
      </c>
    </row>
    <row r="1094">
      <c r="A1094" s="17">
        <f>Github!J$1093</f>
        <v>1092</v>
      </c>
      <c r="B1094" s="27" t="str">
        <f>HYPERLINK(CONCAT("http://leetcode.com/problems/",Github!C$1093), Github!B$1093)</f>
        <v>Shortest Common Supersequence </v>
      </c>
      <c r="C1094" s="17">
        <f>Github!F$1093</f>
        <v>2005</v>
      </c>
      <c r="D1094" s="17">
        <f>Github!G$1093</f>
        <v>39</v>
      </c>
      <c r="E1094" s="17">
        <f>Github!F$1093+Github!G$1093</f>
        <v>2044</v>
      </c>
      <c r="F1094" s="18">
        <f t="shared" si="1"/>
        <v>51.41</v>
      </c>
      <c r="G1094" s="17" t="str">
        <f>Github!H$1093</f>
        <v>Algorithms</v>
      </c>
      <c r="H1094" s="17" t="str">
        <f>Github!E$1093</f>
        <v>Hard</v>
      </c>
      <c r="I1094" s="17" t="str">
        <f>IF(TRIM(Github!D$1093)="TRUE","FALSE","TRUE")</f>
        <v>TRUE</v>
      </c>
      <c r="J1094" s="17"/>
      <c r="K1094" s="17" t="str">
        <f>Github!L$1093</f>
        <v>String;Dynamic Programming;</v>
      </c>
      <c r="L1094" s="17" t="b">
        <f>Github!M$1093</f>
        <v>0</v>
      </c>
      <c r="M1094" s="17" t="str">
        <f>ROUND(Github!N$1093, 2)&amp;"%"</f>
        <v>0%</v>
      </c>
      <c r="N1094" s="17">
        <f>Github!O$1093</f>
        <v>55.64833864</v>
      </c>
      <c r="O1094" s="17">
        <f>Github!P$1093</f>
        <v>41384</v>
      </c>
    </row>
    <row r="1095">
      <c r="A1095" s="17">
        <f>Github!J$1094</f>
        <v>1093</v>
      </c>
      <c r="B1095" s="27" t="str">
        <f>HYPERLINK(CONCAT("http://leetcode.com/problems/",Github!C$1094), Github!B$1094)</f>
        <v>Statistics from a Large Sample</v>
      </c>
      <c r="C1095" s="17">
        <f>Github!F$1094</f>
        <v>45</v>
      </c>
      <c r="D1095" s="17">
        <f>Github!G$1094</f>
        <v>50</v>
      </c>
      <c r="E1095" s="17">
        <f>Github!F$1094+Github!G$1094</f>
        <v>95</v>
      </c>
      <c r="F1095" s="18">
        <f t="shared" si="1"/>
        <v>0.9</v>
      </c>
      <c r="G1095" s="17" t="str">
        <f>Github!H$1094</f>
        <v>Algorithms</v>
      </c>
      <c r="H1095" s="17" t="str">
        <f>Github!E$1094</f>
        <v>Medium</v>
      </c>
      <c r="I1095" s="17" t="str">
        <f>IF(TRIM(Github!D$1094)="TRUE","FALSE","TRUE")</f>
        <v>TRUE</v>
      </c>
      <c r="J1095" s="17"/>
      <c r="K1095" s="17" t="str">
        <f>Github!L$1094</f>
        <v>Math;Two Pointers;Probability and Statistics;</v>
      </c>
      <c r="L1095" s="17" t="b">
        <f>Github!M$1094</f>
        <v>0</v>
      </c>
      <c r="M1095" s="17" t="str">
        <f>ROUND(Github!N$1094, 2)&amp;"%"</f>
        <v>0%</v>
      </c>
      <c r="N1095" s="17">
        <f>Github!O$1094</f>
        <v>46.08649415</v>
      </c>
      <c r="O1095" s="17">
        <f>Github!P$1094</f>
        <v>13001</v>
      </c>
    </row>
    <row r="1096">
      <c r="A1096" s="17">
        <f>Github!J$1095</f>
        <v>1094</v>
      </c>
      <c r="B1096" s="27" t="str">
        <f>HYPERLINK(CONCAT("http://leetcode.com/problems/",Github!C$1095), Github!B$1095)</f>
        <v>Car Pooling</v>
      </c>
      <c r="C1096" s="17">
        <f>Github!F$1095</f>
        <v>2936</v>
      </c>
      <c r="D1096" s="17">
        <f>Github!G$1095</f>
        <v>64</v>
      </c>
      <c r="E1096" s="17">
        <f>Github!F$1095+Github!G$1095</f>
        <v>3000</v>
      </c>
      <c r="F1096" s="18">
        <f t="shared" si="1"/>
        <v>45.88</v>
      </c>
      <c r="G1096" s="17" t="str">
        <f>Github!H$1095</f>
        <v>Algorithms</v>
      </c>
      <c r="H1096" s="17" t="str">
        <f>Github!E$1095</f>
        <v>Medium</v>
      </c>
      <c r="I1096" s="17" t="str">
        <f>IF(TRIM(Github!D$1095)="TRUE","FALSE","TRUE")</f>
        <v>TRUE</v>
      </c>
      <c r="J1096" s="17"/>
      <c r="K1096" s="17" t="str">
        <f>Github!L$1095</f>
        <v>Array;Sorting;Heap (Priority Queue);Simulation;Prefix Sum;</v>
      </c>
      <c r="L1096" s="17" t="b">
        <f>Github!M$1095</f>
        <v>1</v>
      </c>
      <c r="M1096" s="17" t="str">
        <f>ROUND(Github!N$1095, 2)&amp;"%"</f>
        <v>0%</v>
      </c>
      <c r="N1096" s="17">
        <f>Github!O$1095</f>
        <v>58.42103768</v>
      </c>
      <c r="O1096" s="17">
        <f>Github!P$1095</f>
        <v>143932</v>
      </c>
    </row>
    <row r="1097">
      <c r="A1097" s="17">
        <f>Github!J$1096</f>
        <v>1095</v>
      </c>
      <c r="B1097" s="27" t="str">
        <f>HYPERLINK(CONCAT("http://leetcode.com/problems/",Github!C$1096), Github!B$1096)</f>
        <v>Find in Mountain Array</v>
      </c>
      <c r="C1097" s="17">
        <f>Github!F$1096</f>
        <v>1091</v>
      </c>
      <c r="D1097" s="17">
        <f>Github!G$1096</f>
        <v>55</v>
      </c>
      <c r="E1097" s="17">
        <f>Github!F$1096+Github!G$1096</f>
        <v>1146</v>
      </c>
      <c r="F1097" s="18">
        <f t="shared" si="1"/>
        <v>19.84</v>
      </c>
      <c r="G1097" s="17" t="str">
        <f>Github!H$1096</f>
        <v>Algorithms</v>
      </c>
      <c r="H1097" s="17" t="str">
        <f>Github!E$1096</f>
        <v>Hard</v>
      </c>
      <c r="I1097" s="17" t="str">
        <f>IF(TRIM(Github!D$1096)="TRUE","FALSE","TRUE")</f>
        <v>TRUE</v>
      </c>
      <c r="J1097" s="17"/>
      <c r="K1097" s="17" t="str">
        <f>Github!L$1096</f>
        <v>Array;Binary Search;Interactive;</v>
      </c>
      <c r="L1097" s="17" t="b">
        <f>Github!M$1096</f>
        <v>0</v>
      </c>
      <c r="M1097" s="17" t="str">
        <f>ROUND(Github!N$1096, 2)&amp;"%"</f>
        <v>0%</v>
      </c>
      <c r="N1097" s="17">
        <f>Github!O$1096</f>
        <v>35.9246536</v>
      </c>
      <c r="O1097" s="17">
        <f>Github!P$1096</f>
        <v>40679</v>
      </c>
    </row>
    <row r="1098">
      <c r="A1098" s="17">
        <f>Github!J$1097</f>
        <v>1096</v>
      </c>
      <c r="B1098" s="27" t="str">
        <f>HYPERLINK(CONCAT("http://leetcode.com/problems/",Github!C$1097), Github!B$1097)</f>
        <v>Brace Expansion II</v>
      </c>
      <c r="C1098" s="17">
        <f>Github!F$1097</f>
        <v>355</v>
      </c>
      <c r="D1098" s="17">
        <f>Github!G$1097</f>
        <v>224</v>
      </c>
      <c r="E1098" s="17">
        <f>Github!F$1097+Github!G$1097</f>
        <v>579</v>
      </c>
      <c r="F1098" s="18">
        <f t="shared" si="1"/>
        <v>1.58</v>
      </c>
      <c r="G1098" s="17" t="str">
        <f>Github!H$1097</f>
        <v>Algorithms</v>
      </c>
      <c r="H1098" s="17" t="str">
        <f>Github!E$1097</f>
        <v>Hard</v>
      </c>
      <c r="I1098" s="17" t="str">
        <f>IF(TRIM(Github!D$1097)="TRUE","FALSE","TRUE")</f>
        <v>TRUE</v>
      </c>
      <c r="J1098" s="17"/>
      <c r="K1098" s="17" t="str">
        <f>Github!L$1097</f>
        <v>String;Backtracking;Stack;Breadth-First Search;</v>
      </c>
      <c r="L1098" s="17" t="b">
        <f>Github!M$1097</f>
        <v>0</v>
      </c>
      <c r="M1098" s="17" t="str">
        <f>ROUND(Github!N$1097, 2)&amp;"%"</f>
        <v>0%</v>
      </c>
      <c r="N1098" s="17">
        <f>Github!O$1097</f>
        <v>62.49019006</v>
      </c>
      <c r="O1098" s="17">
        <f>Github!P$1097</f>
        <v>18314</v>
      </c>
    </row>
    <row r="1099">
      <c r="A1099" s="17">
        <f>Github!J$1098</f>
        <v>1097</v>
      </c>
      <c r="B1099" s="27" t="str">
        <f>HYPERLINK(CONCAT("http://leetcode.com/problems/",Github!C$1098), Github!B$1098)</f>
        <v>Game Play Analysis V</v>
      </c>
      <c r="C1099" s="17">
        <f>Github!F$1098</f>
        <v>117</v>
      </c>
      <c r="D1099" s="17">
        <f>Github!G$1098</f>
        <v>26</v>
      </c>
      <c r="E1099" s="17">
        <f>Github!F$1098+Github!G$1098</f>
        <v>143</v>
      </c>
      <c r="F1099" s="18">
        <f t="shared" si="1"/>
        <v>4.5</v>
      </c>
      <c r="G1099" s="17" t="str">
        <f>Github!H$1098</f>
        <v>Database</v>
      </c>
      <c r="H1099" s="17" t="str">
        <f>Github!E$1098</f>
        <v>Hard</v>
      </c>
      <c r="I1099" s="17" t="str">
        <f>IF(TRIM(Github!D$1098)="TRUE","FALSE","TRUE")</f>
        <v>FALSE</v>
      </c>
      <c r="J1099" s="17"/>
      <c r="K1099" s="17" t="str">
        <f>Github!L$1098</f>
        <v>Database;</v>
      </c>
      <c r="L1099" s="17" t="b">
        <f>Github!M$1098</f>
        <v>0</v>
      </c>
      <c r="M1099" s="17" t="str">
        <f>ROUND(Github!N$1098, 2)&amp;"%"</f>
        <v>0%</v>
      </c>
      <c r="N1099" s="17">
        <f>Github!O$1098</f>
        <v>55.70204609</v>
      </c>
      <c r="O1099" s="17">
        <f>Github!P$1098</f>
        <v>14238</v>
      </c>
    </row>
    <row r="1100">
      <c r="A1100" s="17">
        <f>Github!J$1099</f>
        <v>1098</v>
      </c>
      <c r="B1100" s="27" t="str">
        <f>HYPERLINK(CONCAT("http://leetcode.com/problems/",Github!C$1099), Github!B$1099)</f>
        <v>Unpopular Books</v>
      </c>
      <c r="C1100" s="17">
        <f>Github!F$1099</f>
        <v>139</v>
      </c>
      <c r="D1100" s="17">
        <f>Github!G$1099</f>
        <v>384</v>
      </c>
      <c r="E1100" s="17">
        <f>Github!F$1099+Github!G$1099</f>
        <v>523</v>
      </c>
      <c r="F1100" s="18">
        <f t="shared" si="1"/>
        <v>0.36</v>
      </c>
      <c r="G1100" s="17" t="str">
        <f>Github!H$1099</f>
        <v>Database</v>
      </c>
      <c r="H1100" s="17" t="str">
        <f>Github!E$1099</f>
        <v>Medium</v>
      </c>
      <c r="I1100" s="17" t="str">
        <f>IF(TRIM(Github!D$1099)="TRUE","FALSE","TRUE")</f>
        <v>FALSE</v>
      </c>
      <c r="J1100" s="17"/>
      <c r="K1100" s="17" t="str">
        <f>Github!L$1099</f>
        <v>Database;</v>
      </c>
      <c r="L1100" s="17" t="b">
        <f>Github!M$1099</f>
        <v>0</v>
      </c>
      <c r="M1100" s="17" t="str">
        <f>ROUND(Github!N$1099, 2)&amp;"%"</f>
        <v>0%</v>
      </c>
      <c r="N1100" s="17">
        <f>Github!O$1099</f>
        <v>45.30176383</v>
      </c>
      <c r="O1100" s="17">
        <f>Github!P$1099</f>
        <v>25581</v>
      </c>
    </row>
    <row r="1101">
      <c r="A1101" s="17">
        <f>Github!J$1100</f>
        <v>1099</v>
      </c>
      <c r="B1101" s="27" t="str">
        <f>HYPERLINK(CONCAT("http://leetcode.com/problems/",Github!C$1100), Github!B$1100)</f>
        <v>Two Sum Less Than K</v>
      </c>
      <c r="C1101" s="17">
        <f>Github!F$1100</f>
        <v>744</v>
      </c>
      <c r="D1101" s="17">
        <f>Github!G$1100</f>
        <v>84</v>
      </c>
      <c r="E1101" s="17">
        <f>Github!F$1100+Github!G$1100</f>
        <v>828</v>
      </c>
      <c r="F1101" s="18">
        <f t="shared" si="1"/>
        <v>8.86</v>
      </c>
      <c r="G1101" s="17" t="str">
        <f>Github!H$1100</f>
        <v>Algorithms</v>
      </c>
      <c r="H1101" s="17" t="str">
        <f>Github!E$1100</f>
        <v>Easy</v>
      </c>
      <c r="I1101" s="17" t="str">
        <f>IF(TRIM(Github!D$1100)="TRUE","FALSE","TRUE")</f>
        <v>FALSE</v>
      </c>
      <c r="J1101" s="17"/>
      <c r="K1101" s="17" t="str">
        <f>Github!L$1100</f>
        <v>Array;Two Pointers;Binary Search;Sorting;</v>
      </c>
      <c r="L1101" s="17" t="b">
        <f>Github!M$1100</f>
        <v>1</v>
      </c>
      <c r="M1101" s="17" t="str">
        <f>ROUND(Github!N$1100, 2)&amp;"%"</f>
        <v>1%</v>
      </c>
      <c r="N1101" s="17">
        <f>Github!O$1100</f>
        <v>60.48599244</v>
      </c>
      <c r="O1101" s="17">
        <f>Github!P$1100</f>
        <v>85304</v>
      </c>
    </row>
    <row r="1102">
      <c r="A1102" s="17">
        <f>Github!J$1101</f>
        <v>1100</v>
      </c>
      <c r="B1102" s="27" t="str">
        <f>HYPERLINK(CONCAT("http://leetcode.com/problems/",Github!C$1101), Github!B$1101)</f>
        <v>Find K-Length Substrings With No Repeated Characters</v>
      </c>
      <c r="C1102" s="17">
        <f>Github!F$1101</f>
        <v>431</v>
      </c>
      <c r="D1102" s="17">
        <f>Github!G$1101</f>
        <v>10</v>
      </c>
      <c r="E1102" s="17">
        <f>Github!F$1101+Github!G$1101</f>
        <v>441</v>
      </c>
      <c r="F1102" s="18">
        <f t="shared" si="1"/>
        <v>43.1</v>
      </c>
      <c r="G1102" s="17" t="str">
        <f>Github!H$1101</f>
        <v>Algorithms</v>
      </c>
      <c r="H1102" s="17" t="str">
        <f>Github!E$1101</f>
        <v>Medium</v>
      </c>
      <c r="I1102" s="17" t="str">
        <f>IF(TRIM(Github!D$1101)="TRUE","FALSE","TRUE")</f>
        <v>FALSE</v>
      </c>
      <c r="J1102" s="17"/>
      <c r="K1102" s="17" t="str">
        <f>Github!L$1101</f>
        <v>Hash Table;String;Sliding Window;</v>
      </c>
      <c r="L1102" s="17" t="b">
        <f>Github!M$1101</f>
        <v>1</v>
      </c>
      <c r="M1102" s="17" t="str">
        <f>ROUND(Github!N$1101, 2)&amp;"%"</f>
        <v>0%</v>
      </c>
      <c r="N1102" s="17">
        <f>Github!O$1101</f>
        <v>74.76163333</v>
      </c>
      <c r="O1102" s="17">
        <f>Github!P$1101</f>
        <v>28855</v>
      </c>
    </row>
    <row r="1103">
      <c r="A1103" s="17">
        <f>Github!J$1102</f>
        <v>1101</v>
      </c>
      <c r="B1103" s="27" t="str">
        <f>HYPERLINK(CONCAT("http://leetcode.com/problems/",Github!C$1102), Github!B$1102)</f>
        <v>The Earliest Moment When Everyone Become Friends</v>
      </c>
      <c r="C1103" s="17">
        <f>Github!F$1102</f>
        <v>462</v>
      </c>
      <c r="D1103" s="17">
        <f>Github!G$1102</f>
        <v>12</v>
      </c>
      <c r="E1103" s="17">
        <f>Github!F$1102+Github!G$1102</f>
        <v>474</v>
      </c>
      <c r="F1103" s="18">
        <f t="shared" si="1"/>
        <v>38.5</v>
      </c>
      <c r="G1103" s="17" t="str">
        <f>Github!H$1102</f>
        <v>Algorithms</v>
      </c>
      <c r="H1103" s="17" t="str">
        <f>Github!E$1102</f>
        <v>Medium</v>
      </c>
      <c r="I1103" s="17" t="str">
        <f>IF(TRIM(Github!D$1102)="TRUE","FALSE","TRUE")</f>
        <v>FALSE</v>
      </c>
      <c r="J1103" s="17"/>
      <c r="K1103" s="17" t="str">
        <f>Github!L$1102</f>
        <v>Array;Union Find;</v>
      </c>
      <c r="L1103" s="17" t="b">
        <f>Github!M$1102</f>
        <v>1</v>
      </c>
      <c r="M1103" s="17" t="str">
        <f>ROUND(Github!N$1102, 2)&amp;"%"</f>
        <v>0%</v>
      </c>
      <c r="N1103" s="17">
        <f>Github!O$1102</f>
        <v>64.58161168</v>
      </c>
      <c r="O1103" s="17">
        <f>Github!P$1102</f>
        <v>30477</v>
      </c>
    </row>
    <row r="1104">
      <c r="A1104" s="17">
        <f>Github!J$1103</f>
        <v>1102</v>
      </c>
      <c r="B1104" s="27" t="str">
        <f>HYPERLINK(CONCAT("http://leetcode.com/problems/",Github!C$1103), Github!B$1103)</f>
        <v>Path With Maximum Minimum Value</v>
      </c>
      <c r="C1104" s="17">
        <f>Github!F$1103</f>
        <v>890</v>
      </c>
      <c r="D1104" s="17">
        <f>Github!G$1103</f>
        <v>95</v>
      </c>
      <c r="E1104" s="17">
        <f>Github!F$1103+Github!G$1103</f>
        <v>985</v>
      </c>
      <c r="F1104" s="18">
        <f t="shared" si="1"/>
        <v>9.37</v>
      </c>
      <c r="G1104" s="17" t="str">
        <f>Github!H$1103</f>
        <v>Algorithms</v>
      </c>
      <c r="H1104" s="17" t="str">
        <f>Github!E$1103</f>
        <v>Medium</v>
      </c>
      <c r="I1104" s="17" t="str">
        <f>IF(TRIM(Github!D$1103)="TRUE","FALSE","TRUE")</f>
        <v>FALSE</v>
      </c>
      <c r="J1104" s="17"/>
      <c r="K1104" s="17" t="str">
        <f>Github!L$1103</f>
        <v>Array;Depth-First Search;Breadth-First Search;Union Find;Heap (Priority Queue);Matrix;</v>
      </c>
      <c r="L1104" s="17" t="b">
        <f>Github!M$1103</f>
        <v>1</v>
      </c>
      <c r="M1104" s="17" t="str">
        <f>ROUND(Github!N$1103, 2)&amp;"%"</f>
        <v>0%</v>
      </c>
      <c r="N1104" s="17">
        <f>Github!O$1103</f>
        <v>52.47521094</v>
      </c>
      <c r="O1104" s="17">
        <f>Github!P$1103</f>
        <v>42601</v>
      </c>
    </row>
    <row r="1105">
      <c r="A1105" s="17">
        <f>Github!J$1104</f>
        <v>1103</v>
      </c>
      <c r="B1105" s="27" t="str">
        <f>HYPERLINK(CONCAT("http://leetcode.com/problems/",Github!C$1104), Github!B$1104)</f>
        <v>Distribute Candies to People</v>
      </c>
      <c r="C1105" s="17">
        <f>Github!F$1104</f>
        <v>683</v>
      </c>
      <c r="D1105" s="17">
        <f>Github!G$1104</f>
        <v>164</v>
      </c>
      <c r="E1105" s="17">
        <f>Github!F$1104+Github!G$1104</f>
        <v>847</v>
      </c>
      <c r="F1105" s="18">
        <f t="shared" si="1"/>
        <v>4.16</v>
      </c>
      <c r="G1105" s="17" t="str">
        <f>Github!H$1104</f>
        <v>Algorithms</v>
      </c>
      <c r="H1105" s="17" t="str">
        <f>Github!E$1104</f>
        <v>Easy</v>
      </c>
      <c r="I1105" s="17" t="str">
        <f>IF(TRIM(Github!D$1104)="TRUE","FALSE","TRUE")</f>
        <v>TRUE</v>
      </c>
      <c r="J1105" s="17"/>
      <c r="K1105" s="17" t="str">
        <f>Github!L$1104</f>
        <v>Math;Simulation;</v>
      </c>
      <c r="L1105" s="17" t="b">
        <f>Github!M$1104</f>
        <v>0</v>
      </c>
      <c r="M1105" s="17" t="str">
        <f>ROUND(Github!N$1104, 2)&amp;"%"</f>
        <v>0%</v>
      </c>
      <c r="N1105" s="17">
        <f>Github!O$1104</f>
        <v>63.70782932</v>
      </c>
      <c r="O1105" s="17">
        <f>Github!P$1104</f>
        <v>65886</v>
      </c>
    </row>
    <row r="1106">
      <c r="A1106" s="17">
        <f>Github!J$1105</f>
        <v>1104</v>
      </c>
      <c r="B1106" s="27" t="str">
        <f>HYPERLINK(CONCAT("http://leetcode.com/problems/",Github!C$1105), Github!B$1105)</f>
        <v>Path In Zigzag Labelled Binary Tree</v>
      </c>
      <c r="C1106" s="17">
        <f>Github!F$1105</f>
        <v>930</v>
      </c>
      <c r="D1106" s="17">
        <f>Github!G$1105</f>
        <v>259</v>
      </c>
      <c r="E1106" s="17">
        <f>Github!F$1105+Github!G$1105</f>
        <v>1189</v>
      </c>
      <c r="F1106" s="18">
        <f t="shared" si="1"/>
        <v>3.59</v>
      </c>
      <c r="G1106" s="17" t="str">
        <f>Github!H$1105</f>
        <v>Algorithms</v>
      </c>
      <c r="H1106" s="17" t="str">
        <f>Github!E$1105</f>
        <v>Medium</v>
      </c>
      <c r="I1106" s="17" t="str">
        <f>IF(TRIM(Github!D$1105)="TRUE","FALSE","TRUE")</f>
        <v>TRUE</v>
      </c>
      <c r="J1106" s="17"/>
      <c r="K1106" s="17" t="str">
        <f>Github!L$1105</f>
        <v>Math;Tree;Binary Tree;</v>
      </c>
      <c r="L1106" s="17" t="b">
        <f>Github!M$1105</f>
        <v>0</v>
      </c>
      <c r="M1106" s="17" t="str">
        <f>ROUND(Github!N$1105, 2)&amp;"%"</f>
        <v>0%</v>
      </c>
      <c r="N1106" s="17">
        <f>Github!O$1105</f>
        <v>74.4260219</v>
      </c>
      <c r="O1106" s="17">
        <f>Github!P$1105</f>
        <v>31736</v>
      </c>
    </row>
    <row r="1107">
      <c r="A1107" s="17">
        <f>Github!J$1106</f>
        <v>1105</v>
      </c>
      <c r="B1107" s="27" t="str">
        <f>HYPERLINK(CONCAT("http://leetcode.com/problems/",Github!C$1106), Github!B$1106)</f>
        <v>Filling Bookcase Shelves</v>
      </c>
      <c r="C1107" s="17">
        <f>Github!F$1106</f>
        <v>1202</v>
      </c>
      <c r="D1107" s="17">
        <f>Github!G$1106</f>
        <v>72</v>
      </c>
      <c r="E1107" s="17">
        <f>Github!F$1106+Github!G$1106</f>
        <v>1274</v>
      </c>
      <c r="F1107" s="18">
        <f t="shared" si="1"/>
        <v>16.69</v>
      </c>
      <c r="G1107" s="17" t="str">
        <f>Github!H$1106</f>
        <v>Algorithms</v>
      </c>
      <c r="H1107" s="17" t="str">
        <f>Github!E$1106</f>
        <v>Medium</v>
      </c>
      <c r="I1107" s="17" t="str">
        <f>IF(TRIM(Github!D$1106)="TRUE","FALSE","TRUE")</f>
        <v>TRUE</v>
      </c>
      <c r="J1107" s="17"/>
      <c r="K1107" s="17" t="str">
        <f>Github!L$1106</f>
        <v>Array;Dynamic Programming;</v>
      </c>
      <c r="L1107" s="17" t="b">
        <f>Github!M$1106</f>
        <v>0</v>
      </c>
      <c r="M1107" s="17" t="str">
        <f>ROUND(Github!N$1106, 2)&amp;"%"</f>
        <v>0%</v>
      </c>
      <c r="N1107" s="17">
        <f>Github!O$1106</f>
        <v>58.00220954</v>
      </c>
      <c r="O1107" s="17">
        <f>Github!P$1106</f>
        <v>31501</v>
      </c>
    </row>
    <row r="1108">
      <c r="A1108" s="17">
        <f>Github!J$1107</f>
        <v>1106</v>
      </c>
      <c r="B1108" s="27" t="str">
        <f>HYPERLINK(CONCAT("http://leetcode.com/problems/",Github!C$1107), Github!B$1107)</f>
        <v>Parsing A Boolean Expression</v>
      </c>
      <c r="C1108" s="17">
        <f>Github!F$1107</f>
        <v>572</v>
      </c>
      <c r="D1108" s="17">
        <f>Github!G$1107</f>
        <v>32</v>
      </c>
      <c r="E1108" s="17">
        <f>Github!F$1107+Github!G$1107</f>
        <v>604</v>
      </c>
      <c r="F1108" s="18">
        <f t="shared" si="1"/>
        <v>17.88</v>
      </c>
      <c r="G1108" s="17" t="str">
        <f>Github!H$1107</f>
        <v>Algorithms</v>
      </c>
      <c r="H1108" s="17" t="str">
        <f>Github!E$1107</f>
        <v>Hard</v>
      </c>
      <c r="I1108" s="17" t="str">
        <f>IF(TRIM(Github!D$1107)="TRUE","FALSE","TRUE")</f>
        <v>TRUE</v>
      </c>
      <c r="J1108" s="17"/>
      <c r="K1108" s="17" t="str">
        <f>Github!L$1107</f>
        <v>String;Stack;Recursion;</v>
      </c>
      <c r="L1108" s="17" t="b">
        <f>Github!M$1107</f>
        <v>0</v>
      </c>
      <c r="M1108" s="17" t="str">
        <f>ROUND(Github!N$1107, 2)&amp;"%"</f>
        <v>0%</v>
      </c>
      <c r="N1108" s="17">
        <f>Github!O$1107</f>
        <v>59.2586414</v>
      </c>
      <c r="O1108" s="17">
        <f>Github!P$1107</f>
        <v>17761</v>
      </c>
    </row>
    <row r="1109">
      <c r="A1109" s="17">
        <f>Github!J$1108</f>
        <v>1107</v>
      </c>
      <c r="B1109" s="27" t="str">
        <f>HYPERLINK(CONCAT("http://leetcode.com/problems/",Github!C$1108), Github!B$1108)</f>
        <v>New Users Daily Count</v>
      </c>
      <c r="C1109" s="17">
        <f>Github!F$1108</f>
        <v>104</v>
      </c>
      <c r="D1109" s="17">
        <f>Github!G$1108</f>
        <v>99</v>
      </c>
      <c r="E1109" s="17">
        <f>Github!F$1108+Github!G$1108</f>
        <v>203</v>
      </c>
      <c r="F1109" s="18">
        <f t="shared" si="1"/>
        <v>1.05</v>
      </c>
      <c r="G1109" s="17" t="str">
        <f>Github!H$1108</f>
        <v>Database</v>
      </c>
      <c r="H1109" s="17" t="str">
        <f>Github!E$1108</f>
        <v>Medium</v>
      </c>
      <c r="I1109" s="17" t="str">
        <f>IF(TRIM(Github!D$1108)="TRUE","FALSE","TRUE")</f>
        <v>FALSE</v>
      </c>
      <c r="J1109" s="17"/>
      <c r="K1109" s="17" t="str">
        <f>Github!L$1108</f>
        <v>Database;</v>
      </c>
      <c r="L1109" s="17" t="b">
        <f>Github!M$1108</f>
        <v>0</v>
      </c>
      <c r="M1109" s="17" t="str">
        <f>ROUND(Github!N$1108, 2)&amp;"%"</f>
        <v>0%</v>
      </c>
      <c r="N1109" s="17">
        <f>Github!O$1108</f>
        <v>45.71650184</v>
      </c>
      <c r="O1109" s="17">
        <f>Github!P$1108</f>
        <v>23576</v>
      </c>
    </row>
    <row r="1110">
      <c r="A1110" s="17">
        <f>Github!J$1109</f>
        <v>1108</v>
      </c>
      <c r="B1110" s="27" t="str">
        <f>HYPERLINK(CONCAT("http://leetcode.com/problems/",Github!C$1109), Github!B$1109)</f>
        <v>Defanging an IP Address</v>
      </c>
      <c r="C1110" s="17">
        <f>Github!F$1109</f>
        <v>1030</v>
      </c>
      <c r="D1110" s="17">
        <f>Github!G$1109</f>
        <v>1438</v>
      </c>
      <c r="E1110" s="17">
        <f>Github!F$1109+Github!G$1109</f>
        <v>2468</v>
      </c>
      <c r="F1110" s="18">
        <f t="shared" si="1"/>
        <v>0.72</v>
      </c>
      <c r="G1110" s="17" t="str">
        <f>Github!H$1109</f>
        <v>Algorithms</v>
      </c>
      <c r="H1110" s="17" t="str">
        <f>Github!E$1109</f>
        <v>Easy</v>
      </c>
      <c r="I1110" s="17" t="str">
        <f>IF(TRIM(Github!D$1109)="TRUE","FALSE","TRUE")</f>
        <v>TRUE</v>
      </c>
      <c r="J1110" s="17"/>
      <c r="K1110" s="17" t="str">
        <f>Github!L$1109</f>
        <v>String;</v>
      </c>
      <c r="L1110" s="17" t="b">
        <f>Github!M$1109</f>
        <v>0</v>
      </c>
      <c r="M1110" s="17" t="str">
        <f>ROUND(Github!N$1109, 2)&amp;"%"</f>
        <v>0%</v>
      </c>
      <c r="N1110" s="17">
        <f>Github!O$1109</f>
        <v>88.90458134</v>
      </c>
      <c r="O1110" s="17">
        <f>Github!P$1109</f>
        <v>393427</v>
      </c>
    </row>
    <row r="1111">
      <c r="A1111" s="17">
        <f>Github!J$1110</f>
        <v>1109</v>
      </c>
      <c r="B1111" s="27" t="str">
        <f>HYPERLINK(CONCAT("http://leetcode.com/problems/",Github!C$1110), Github!B$1110)</f>
        <v>Corporate Flight Bookings</v>
      </c>
      <c r="C1111" s="17">
        <f>Github!F$1110</f>
        <v>972</v>
      </c>
      <c r="D1111" s="17">
        <f>Github!G$1110</f>
        <v>139</v>
      </c>
      <c r="E1111" s="17">
        <f>Github!F$1110+Github!G$1110</f>
        <v>1111</v>
      </c>
      <c r="F1111" s="18">
        <f t="shared" si="1"/>
        <v>6.99</v>
      </c>
      <c r="G1111" s="17" t="str">
        <f>Github!H$1110</f>
        <v>Algorithms</v>
      </c>
      <c r="H1111" s="17" t="str">
        <f>Github!E$1110</f>
        <v>Medium</v>
      </c>
      <c r="I1111" s="17" t="str">
        <f>IF(TRIM(Github!D$1110)="TRUE","FALSE","TRUE")</f>
        <v>TRUE</v>
      </c>
      <c r="J1111" s="17"/>
      <c r="K1111" s="17" t="str">
        <f>Github!L$1110</f>
        <v>Array;Prefix Sum;</v>
      </c>
      <c r="L1111" s="17" t="b">
        <f>Github!M$1110</f>
        <v>0</v>
      </c>
      <c r="M1111" s="17" t="str">
        <f>ROUND(Github!N$1110, 2)&amp;"%"</f>
        <v>0%</v>
      </c>
      <c r="N1111" s="17">
        <f>Github!O$1110</f>
        <v>58.06242899</v>
      </c>
      <c r="O1111" s="17">
        <f>Github!P$1110</f>
        <v>36790</v>
      </c>
    </row>
    <row r="1112">
      <c r="A1112" s="17">
        <f>Github!J$1111</f>
        <v>1110</v>
      </c>
      <c r="B1112" s="27" t="str">
        <f>HYPERLINK(CONCAT("http://leetcode.com/problems/",Github!C$1111), Github!B$1111)</f>
        <v>Delete Nodes And Return Forest</v>
      </c>
      <c r="C1112" s="17">
        <f>Github!F$1111</f>
        <v>2704</v>
      </c>
      <c r="D1112" s="17">
        <f>Github!G$1111</f>
        <v>78</v>
      </c>
      <c r="E1112" s="17">
        <f>Github!F$1111+Github!G$1111</f>
        <v>2782</v>
      </c>
      <c r="F1112" s="18">
        <f t="shared" si="1"/>
        <v>34.67</v>
      </c>
      <c r="G1112" s="17" t="str">
        <f>Github!H$1111</f>
        <v>Algorithms</v>
      </c>
      <c r="H1112" s="17" t="str">
        <f>Github!E$1111</f>
        <v>Medium</v>
      </c>
      <c r="I1112" s="17" t="str">
        <f>IF(TRIM(Github!D$1111)="TRUE","FALSE","TRUE")</f>
        <v>TRUE</v>
      </c>
      <c r="J1112" s="17"/>
      <c r="K1112" s="17" t="str">
        <f>Github!L$1111</f>
        <v>Tree;Depth-First Search;Binary Tree;</v>
      </c>
      <c r="L1112" s="17" t="b">
        <f>Github!M$1111</f>
        <v>0</v>
      </c>
      <c r="M1112" s="17" t="str">
        <f>ROUND(Github!N$1111, 2)&amp;"%"</f>
        <v>0%</v>
      </c>
      <c r="N1112" s="17">
        <f>Github!O$1111</f>
        <v>69.19569127</v>
      </c>
      <c r="O1112" s="17">
        <f>Github!P$1111</f>
        <v>150830</v>
      </c>
    </row>
    <row r="1113">
      <c r="A1113" s="17">
        <f>Github!J$1112</f>
        <v>1111</v>
      </c>
      <c r="B1113" s="27" t="str">
        <f>HYPERLINK(CONCAT("http://leetcode.com/problems/",Github!C$1112), Github!B$1112)</f>
        <v>Maximum Nesting Depth of Two Valid Parentheses Strings</v>
      </c>
      <c r="C1113" s="17">
        <f>Github!F$1112</f>
        <v>268</v>
      </c>
      <c r="D1113" s="17">
        <f>Github!G$1112</f>
        <v>1206</v>
      </c>
      <c r="E1113" s="17">
        <f>Github!F$1112+Github!G$1112</f>
        <v>1474</v>
      </c>
      <c r="F1113" s="18">
        <f t="shared" si="1"/>
        <v>0.22</v>
      </c>
      <c r="G1113" s="17" t="str">
        <f>Github!H$1112</f>
        <v>Algorithms</v>
      </c>
      <c r="H1113" s="17" t="str">
        <f>Github!E$1112</f>
        <v>Medium</v>
      </c>
      <c r="I1113" s="17" t="str">
        <f>IF(TRIM(Github!D$1112)="TRUE","FALSE","TRUE")</f>
        <v>TRUE</v>
      </c>
      <c r="J1113" s="17"/>
      <c r="K1113" s="17" t="str">
        <f>Github!L$1112</f>
        <v>String;Stack;</v>
      </c>
      <c r="L1113" s="17" t="b">
        <f>Github!M$1112</f>
        <v>0</v>
      </c>
      <c r="M1113" s="17" t="str">
        <f>ROUND(Github!N$1112, 2)&amp;"%"</f>
        <v>0%</v>
      </c>
      <c r="N1113" s="17">
        <f>Github!O$1112</f>
        <v>72.88481142</v>
      </c>
      <c r="O1113" s="17">
        <f>Github!P$1112</f>
        <v>18590</v>
      </c>
    </row>
    <row r="1114">
      <c r="A1114" s="17">
        <f>Github!J$1113</f>
        <v>1112</v>
      </c>
      <c r="B1114" s="27" t="str">
        <f>HYPERLINK(CONCAT("http://leetcode.com/problems/",Github!C$1113), Github!B$1113)</f>
        <v>Highest Grade For Each Student</v>
      </c>
      <c r="C1114" s="17">
        <f>Github!F$1113</f>
        <v>178</v>
      </c>
      <c r="D1114" s="17">
        <f>Github!G$1113</f>
        <v>7</v>
      </c>
      <c r="E1114" s="17">
        <f>Github!F$1113+Github!G$1113</f>
        <v>185</v>
      </c>
      <c r="F1114" s="18">
        <f t="shared" si="1"/>
        <v>25.43</v>
      </c>
      <c r="G1114" s="17" t="str">
        <f>Github!H$1113</f>
        <v>Database</v>
      </c>
      <c r="H1114" s="17" t="str">
        <f>Github!E$1113</f>
        <v>Medium</v>
      </c>
      <c r="I1114" s="17" t="str">
        <f>IF(TRIM(Github!D$1113)="TRUE","FALSE","TRUE")</f>
        <v>FALSE</v>
      </c>
      <c r="J1114" s="17"/>
      <c r="K1114" s="17" t="str">
        <f>Github!L$1113</f>
        <v>Database;</v>
      </c>
      <c r="L1114" s="17" t="b">
        <f>Github!M$1113</f>
        <v>0</v>
      </c>
      <c r="M1114" s="17" t="str">
        <f>ROUND(Github!N$1113, 2)&amp;"%"</f>
        <v>0%</v>
      </c>
      <c r="N1114" s="17">
        <f>Github!O$1113</f>
        <v>73.26789705</v>
      </c>
      <c r="O1114" s="17">
        <f>Github!P$1113</f>
        <v>31797</v>
      </c>
    </row>
    <row r="1115">
      <c r="A1115" s="17">
        <f>Github!J$1114</f>
        <v>1113</v>
      </c>
      <c r="B1115" s="27" t="str">
        <f>HYPERLINK(CONCAT("http://leetcode.com/problems/",Github!C$1114), Github!B$1114)</f>
        <v>Reported Posts</v>
      </c>
      <c r="C1115" s="17">
        <f>Github!F$1114</f>
        <v>70</v>
      </c>
      <c r="D1115" s="17">
        <f>Github!G$1114</f>
        <v>281</v>
      </c>
      <c r="E1115" s="17">
        <f>Github!F$1114+Github!G$1114</f>
        <v>351</v>
      </c>
      <c r="F1115" s="18">
        <f t="shared" si="1"/>
        <v>0.25</v>
      </c>
      <c r="G1115" s="17" t="str">
        <f>Github!H$1114</f>
        <v>Database</v>
      </c>
      <c r="H1115" s="17" t="str">
        <f>Github!E$1114</f>
        <v>Easy</v>
      </c>
      <c r="I1115" s="17" t="str">
        <f>IF(TRIM(Github!D$1114)="TRUE","FALSE","TRUE")</f>
        <v>FALSE</v>
      </c>
      <c r="J1115" s="17"/>
      <c r="K1115" s="17" t="str">
        <f>Github!L$1114</f>
        <v>Database;</v>
      </c>
      <c r="L1115" s="17" t="b">
        <f>Github!M$1114</f>
        <v>0</v>
      </c>
      <c r="M1115" s="17" t="str">
        <f>ROUND(Github!N$1114, 2)&amp;"%"</f>
        <v>0%</v>
      </c>
      <c r="N1115" s="17">
        <f>Github!O$1114</f>
        <v>66.29450944</v>
      </c>
      <c r="O1115" s="17">
        <f>Github!P$1114</f>
        <v>31054</v>
      </c>
    </row>
    <row r="1116">
      <c r="A1116" s="17">
        <f>Github!J$1115</f>
        <v>1114</v>
      </c>
      <c r="B1116" s="27" t="str">
        <f>HYPERLINK(CONCAT("http://leetcode.com/problems/",Github!C$1115), Github!B$1115)</f>
        <v>Print in Order</v>
      </c>
      <c r="C1116" s="17">
        <f>Github!F$1115</f>
        <v>943</v>
      </c>
      <c r="D1116" s="17">
        <f>Github!G$1115</f>
        <v>165</v>
      </c>
      <c r="E1116" s="17">
        <f>Github!F$1115+Github!G$1115</f>
        <v>1108</v>
      </c>
      <c r="F1116" s="18">
        <f t="shared" si="1"/>
        <v>5.72</v>
      </c>
      <c r="G1116" s="17" t="str">
        <f>Github!H$1115</f>
        <v>Concurrency</v>
      </c>
      <c r="H1116" s="17" t="str">
        <f>Github!E$1115</f>
        <v>Easy</v>
      </c>
      <c r="I1116" s="17" t="str">
        <f>IF(TRIM(Github!D$1115)="TRUE","FALSE","TRUE")</f>
        <v>TRUE</v>
      </c>
      <c r="J1116" s="17"/>
      <c r="K1116" s="17" t="str">
        <f>Github!L$1115</f>
        <v>Concurrency;</v>
      </c>
      <c r="L1116" s="17" t="b">
        <f>Github!M$1115</f>
        <v>1</v>
      </c>
      <c r="M1116" s="17" t="str">
        <f>ROUND(Github!N$1115, 2)&amp;"%"</f>
        <v>0%</v>
      </c>
      <c r="N1116" s="17">
        <f>Github!O$1115</f>
        <v>68.17334921</v>
      </c>
      <c r="O1116" s="17">
        <f>Github!P$1115</f>
        <v>101354</v>
      </c>
    </row>
    <row r="1117">
      <c r="A1117" s="17">
        <f>Github!J$1116</f>
        <v>1115</v>
      </c>
      <c r="B1117" s="27" t="str">
        <f>HYPERLINK(CONCAT("http://leetcode.com/problems/",Github!C$1116), Github!B$1116)</f>
        <v>Print FooBar Alternately</v>
      </c>
      <c r="C1117" s="17">
        <f>Github!F$1116</f>
        <v>458</v>
      </c>
      <c r="D1117" s="17">
        <f>Github!G$1116</f>
        <v>37</v>
      </c>
      <c r="E1117" s="17">
        <f>Github!F$1116+Github!G$1116</f>
        <v>495</v>
      </c>
      <c r="F1117" s="18">
        <f t="shared" si="1"/>
        <v>12.38</v>
      </c>
      <c r="G1117" s="17" t="str">
        <f>Github!H$1116</f>
        <v>Concurrency</v>
      </c>
      <c r="H1117" s="17" t="str">
        <f>Github!E$1116</f>
        <v>Medium</v>
      </c>
      <c r="I1117" s="17" t="str">
        <f>IF(TRIM(Github!D$1116)="TRUE","FALSE","TRUE")</f>
        <v>TRUE</v>
      </c>
      <c r="J1117" s="17"/>
      <c r="K1117" s="17" t="str">
        <f>Github!L$1116</f>
        <v>Concurrency;</v>
      </c>
      <c r="L1117" s="17" t="b">
        <f>Github!M$1116</f>
        <v>0</v>
      </c>
      <c r="M1117" s="17" t="str">
        <f>ROUND(Github!N$1116, 2)&amp;"%"</f>
        <v>0%</v>
      </c>
      <c r="N1117" s="17">
        <f>Github!O$1116</f>
        <v>60.35235423</v>
      </c>
      <c r="O1117" s="17">
        <f>Github!P$1116</f>
        <v>50323</v>
      </c>
    </row>
    <row r="1118">
      <c r="A1118" s="17">
        <f>Github!J$1117</f>
        <v>1116</v>
      </c>
      <c r="B1118" s="27" t="str">
        <f>HYPERLINK(CONCAT("http://leetcode.com/problems/",Github!C$1117), Github!B$1117)</f>
        <v>Print Zero Even Odd</v>
      </c>
      <c r="C1118" s="17">
        <f>Github!F$1117</f>
        <v>319</v>
      </c>
      <c r="D1118" s="17">
        <f>Github!G$1117</f>
        <v>221</v>
      </c>
      <c r="E1118" s="17">
        <f>Github!F$1117+Github!G$1117</f>
        <v>540</v>
      </c>
      <c r="F1118" s="18">
        <f t="shared" si="1"/>
        <v>1.44</v>
      </c>
      <c r="G1118" s="17" t="str">
        <f>Github!H$1117</f>
        <v>Concurrency</v>
      </c>
      <c r="H1118" s="17" t="str">
        <f>Github!E$1117</f>
        <v>Medium</v>
      </c>
      <c r="I1118" s="17" t="str">
        <f>IF(TRIM(Github!D$1117)="TRUE","FALSE","TRUE")</f>
        <v>TRUE</v>
      </c>
      <c r="J1118" s="17"/>
      <c r="K1118" s="17" t="str">
        <f>Github!L$1117</f>
        <v>Concurrency;</v>
      </c>
      <c r="L1118" s="17" t="b">
        <f>Github!M$1117</f>
        <v>0</v>
      </c>
      <c r="M1118" s="17" t="str">
        <f>ROUND(Github!N$1117, 2)&amp;"%"</f>
        <v>0%</v>
      </c>
      <c r="N1118" s="17">
        <f>Github!O$1117</f>
        <v>59.18672624</v>
      </c>
      <c r="O1118" s="17">
        <f>Github!P$1117</f>
        <v>30070</v>
      </c>
    </row>
    <row r="1119">
      <c r="A1119" s="17">
        <f>Github!J$1118</f>
        <v>1117</v>
      </c>
      <c r="B1119" s="27" t="str">
        <f>HYPERLINK(CONCAT("http://leetcode.com/problems/",Github!C$1118), Github!B$1118)</f>
        <v>Building H2O</v>
      </c>
      <c r="C1119" s="17">
        <f>Github!F$1118</f>
        <v>323</v>
      </c>
      <c r="D1119" s="17">
        <f>Github!G$1118</f>
        <v>89</v>
      </c>
      <c r="E1119" s="17">
        <f>Github!F$1118+Github!G$1118</f>
        <v>412</v>
      </c>
      <c r="F1119" s="18">
        <f t="shared" si="1"/>
        <v>3.63</v>
      </c>
      <c r="G1119" s="17" t="str">
        <f>Github!H$1118</f>
        <v>Concurrency</v>
      </c>
      <c r="H1119" s="17" t="str">
        <f>Github!E$1118</f>
        <v>Medium</v>
      </c>
      <c r="I1119" s="17" t="str">
        <f>IF(TRIM(Github!D$1118)="TRUE","FALSE","TRUE")</f>
        <v>TRUE</v>
      </c>
      <c r="J1119" s="17"/>
      <c r="K1119" s="17" t="str">
        <f>Github!L$1118</f>
        <v>Concurrency;</v>
      </c>
      <c r="L1119" s="17" t="b">
        <f>Github!M$1118</f>
        <v>0</v>
      </c>
      <c r="M1119" s="17" t="str">
        <f>ROUND(Github!N$1118, 2)&amp;"%"</f>
        <v>0%</v>
      </c>
      <c r="N1119" s="17">
        <f>Github!O$1118</f>
        <v>54.2986685</v>
      </c>
      <c r="O1119" s="17">
        <f>Github!P$1118</f>
        <v>28383</v>
      </c>
    </row>
    <row r="1120">
      <c r="A1120" s="17">
        <f>Github!J$1119</f>
        <v>1118</v>
      </c>
      <c r="B1120" s="27" t="str">
        <f>HYPERLINK(CONCAT("http://leetcode.com/problems/",Github!C$1119), Github!B$1119)</f>
        <v>Number of Days in a Month</v>
      </c>
      <c r="C1120" s="17">
        <f>Github!F$1119</f>
        <v>28</v>
      </c>
      <c r="D1120" s="17">
        <f>Github!G$1119</f>
        <v>131</v>
      </c>
      <c r="E1120" s="17">
        <f>Github!F$1119+Github!G$1119</f>
        <v>159</v>
      </c>
      <c r="F1120" s="18">
        <f t="shared" si="1"/>
        <v>0.21</v>
      </c>
      <c r="G1120" s="17" t="str">
        <f>Github!H$1119</f>
        <v>Algorithms</v>
      </c>
      <c r="H1120" s="17" t="str">
        <f>Github!E$1119</f>
        <v>Easy</v>
      </c>
      <c r="I1120" s="17" t="str">
        <f>IF(TRIM(Github!D$1119)="TRUE","FALSE","TRUE")</f>
        <v>FALSE</v>
      </c>
      <c r="J1120" s="17"/>
      <c r="K1120" s="17" t="str">
        <f>Github!L$1119</f>
        <v>Math;</v>
      </c>
      <c r="L1120" s="17" t="b">
        <f>Github!M$1119</f>
        <v>0</v>
      </c>
      <c r="M1120" s="17" t="str">
        <f>ROUND(Github!N$1119, 2)&amp;"%"</f>
        <v>0%</v>
      </c>
      <c r="N1120" s="17">
        <f>Github!O$1119</f>
        <v>57.03334257</v>
      </c>
      <c r="O1120" s="17">
        <f>Github!P$1119</f>
        <v>6175</v>
      </c>
    </row>
    <row r="1121">
      <c r="A1121" s="17">
        <f>Github!J$1120</f>
        <v>1119</v>
      </c>
      <c r="B1121" s="27" t="str">
        <f>HYPERLINK(CONCAT("http://leetcode.com/problems/",Github!C$1120), Github!B$1120)</f>
        <v>Remove Vowels from a String</v>
      </c>
      <c r="C1121" s="17">
        <f>Github!F$1120</f>
        <v>252</v>
      </c>
      <c r="D1121" s="17">
        <f>Github!G$1120</f>
        <v>102</v>
      </c>
      <c r="E1121" s="17">
        <f>Github!F$1120+Github!G$1120</f>
        <v>354</v>
      </c>
      <c r="F1121" s="18">
        <f t="shared" si="1"/>
        <v>2.47</v>
      </c>
      <c r="G1121" s="17" t="str">
        <f>Github!H$1120</f>
        <v>Algorithms</v>
      </c>
      <c r="H1121" s="17" t="str">
        <f>Github!E$1120</f>
        <v>Easy</v>
      </c>
      <c r="I1121" s="17" t="str">
        <f>IF(TRIM(Github!D$1120)="TRUE","FALSE","TRUE")</f>
        <v>FALSE</v>
      </c>
      <c r="J1121" s="17"/>
      <c r="K1121" s="17" t="str">
        <f>Github!L$1120</f>
        <v>String;</v>
      </c>
      <c r="L1121" s="17" t="b">
        <f>Github!M$1120</f>
        <v>0</v>
      </c>
      <c r="M1121" s="17" t="str">
        <f>ROUND(Github!N$1120, 2)&amp;"%"</f>
        <v>0%</v>
      </c>
      <c r="N1121" s="17">
        <f>Github!O$1120</f>
        <v>90.67792788</v>
      </c>
      <c r="O1121" s="17">
        <f>Github!P$1120</f>
        <v>80414</v>
      </c>
    </row>
    <row r="1122">
      <c r="A1122" s="17">
        <f>Github!J$1121</f>
        <v>1120</v>
      </c>
      <c r="B1122" s="27" t="str">
        <f>HYPERLINK(CONCAT("http://leetcode.com/problems/",Github!C$1121), Github!B$1121)</f>
        <v>Maximum Average Subtree</v>
      </c>
      <c r="C1122" s="17">
        <f>Github!F$1121</f>
        <v>678</v>
      </c>
      <c r="D1122" s="17">
        <f>Github!G$1121</f>
        <v>27</v>
      </c>
      <c r="E1122" s="17">
        <f>Github!F$1121+Github!G$1121</f>
        <v>705</v>
      </c>
      <c r="F1122" s="18">
        <f t="shared" si="1"/>
        <v>25.11</v>
      </c>
      <c r="G1122" s="17" t="str">
        <f>Github!H$1121</f>
        <v>Algorithms</v>
      </c>
      <c r="H1122" s="17" t="str">
        <f>Github!E$1121</f>
        <v>Medium</v>
      </c>
      <c r="I1122" s="17" t="str">
        <f>IF(TRIM(Github!D$1121)="TRUE","FALSE","TRUE")</f>
        <v>FALSE</v>
      </c>
      <c r="J1122" s="17"/>
      <c r="K1122" s="17" t="str">
        <f>Github!L$1121</f>
        <v>Tree;Depth-First Search;Binary Tree;</v>
      </c>
      <c r="L1122" s="17" t="b">
        <f>Github!M$1121</f>
        <v>1</v>
      </c>
      <c r="M1122" s="17" t="str">
        <f>ROUND(Github!N$1121, 2)&amp;"%"</f>
        <v>0%</v>
      </c>
      <c r="N1122" s="17">
        <f>Github!O$1121</f>
        <v>65.07169404</v>
      </c>
      <c r="O1122" s="17">
        <f>Github!P$1121</f>
        <v>53051</v>
      </c>
    </row>
    <row r="1123">
      <c r="A1123" s="17">
        <f>Github!J$1122</f>
        <v>1121</v>
      </c>
      <c r="B1123" s="27" t="str">
        <f>HYPERLINK(CONCAT("http://leetcode.com/problems/",Github!C$1122), Github!B$1122)</f>
        <v>Divide Array Into Increasing Sequences</v>
      </c>
      <c r="C1123" s="17">
        <f>Github!F$1122</f>
        <v>87</v>
      </c>
      <c r="D1123" s="17">
        <f>Github!G$1122</f>
        <v>25</v>
      </c>
      <c r="E1123" s="17">
        <f>Github!F$1122+Github!G$1122</f>
        <v>112</v>
      </c>
      <c r="F1123" s="18">
        <f t="shared" si="1"/>
        <v>3.48</v>
      </c>
      <c r="G1123" s="17" t="str">
        <f>Github!H$1122</f>
        <v>Algorithms</v>
      </c>
      <c r="H1123" s="17" t="str">
        <f>Github!E$1122</f>
        <v>Hard</v>
      </c>
      <c r="I1123" s="17" t="str">
        <f>IF(TRIM(Github!D$1122)="TRUE","FALSE","TRUE")</f>
        <v>FALSE</v>
      </c>
      <c r="J1123" s="17"/>
      <c r="K1123" s="17" t="str">
        <f>Github!L$1122</f>
        <v>Array;Greedy;</v>
      </c>
      <c r="L1123" s="17" t="b">
        <f>Github!M$1122</f>
        <v>0</v>
      </c>
      <c r="M1123" s="17" t="str">
        <f>ROUND(Github!N$1122, 2)&amp;"%"</f>
        <v>0%</v>
      </c>
      <c r="N1123" s="17">
        <f>Github!O$1122</f>
        <v>59.6493974</v>
      </c>
      <c r="O1123" s="17">
        <f>Github!P$1122</f>
        <v>3811</v>
      </c>
    </row>
    <row r="1124">
      <c r="A1124" s="17">
        <f>Github!J$1123</f>
        <v>1122</v>
      </c>
      <c r="B1124" s="27" t="str">
        <f>HYPERLINK(CONCAT("http://leetcode.com/problems/",Github!C$1123), Github!B$1123)</f>
        <v>Relative Sort Array</v>
      </c>
      <c r="C1124" s="17">
        <f>Github!F$1123</f>
        <v>1583</v>
      </c>
      <c r="D1124" s="17">
        <f>Github!G$1123</f>
        <v>96</v>
      </c>
      <c r="E1124" s="17">
        <f>Github!F$1123+Github!G$1123</f>
        <v>1679</v>
      </c>
      <c r="F1124" s="18">
        <f t="shared" si="1"/>
        <v>16.49</v>
      </c>
      <c r="G1124" s="17" t="str">
        <f>Github!H$1123</f>
        <v>Algorithms</v>
      </c>
      <c r="H1124" s="17" t="str">
        <f>Github!E$1123</f>
        <v>Easy</v>
      </c>
      <c r="I1124" s="17" t="str">
        <f>IF(TRIM(Github!D$1123)="TRUE","FALSE","TRUE")</f>
        <v>TRUE</v>
      </c>
      <c r="J1124" s="17"/>
      <c r="K1124" s="17" t="str">
        <f>Github!L$1123</f>
        <v>Array;Hash Table;Sorting;Counting Sort;</v>
      </c>
      <c r="L1124" s="17" t="b">
        <f>Github!M$1123</f>
        <v>0</v>
      </c>
      <c r="M1124" s="17" t="str">
        <f>ROUND(Github!N$1123, 2)&amp;"%"</f>
        <v>0%</v>
      </c>
      <c r="N1124" s="17">
        <f>Github!O$1123</f>
        <v>68.08678032</v>
      </c>
      <c r="O1124" s="17">
        <f>Github!P$1123</f>
        <v>120288</v>
      </c>
    </row>
    <row r="1125">
      <c r="A1125" s="17">
        <f>Github!J$1124</f>
        <v>1123</v>
      </c>
      <c r="B1125" s="27" t="str">
        <f>HYPERLINK(CONCAT("http://leetcode.com/problems/",Github!C$1124), Github!B$1124)</f>
        <v>Lowest Common Ancestor of Deepest Leaves</v>
      </c>
      <c r="C1125" s="17">
        <f>Github!F$1124</f>
        <v>1122</v>
      </c>
      <c r="D1125" s="17">
        <f>Github!G$1124</f>
        <v>732</v>
      </c>
      <c r="E1125" s="17">
        <f>Github!F$1124+Github!G$1124</f>
        <v>1854</v>
      </c>
      <c r="F1125" s="18">
        <f t="shared" si="1"/>
        <v>1.53</v>
      </c>
      <c r="G1125" s="17" t="str">
        <f>Github!H$1124</f>
        <v>Algorithms</v>
      </c>
      <c r="H1125" s="17" t="str">
        <f>Github!E$1124</f>
        <v>Medium</v>
      </c>
      <c r="I1125" s="17" t="str">
        <f>IF(TRIM(Github!D$1124)="TRUE","FALSE","TRUE")</f>
        <v>TRUE</v>
      </c>
      <c r="J1125" s="17"/>
      <c r="K1125" s="17" t="str">
        <f>Github!L$1124</f>
        <v>Hash Table;Tree;Depth-First Search;Breadth-First Search;Binary Tree;</v>
      </c>
      <c r="L1125" s="17" t="b">
        <f>Github!M$1124</f>
        <v>0</v>
      </c>
      <c r="M1125" s="17" t="str">
        <f>ROUND(Github!N$1124, 2)&amp;"%"</f>
        <v>0%</v>
      </c>
      <c r="N1125" s="17">
        <f>Github!O$1124</f>
        <v>69.92404224</v>
      </c>
      <c r="O1125" s="17">
        <f>Github!P$1124</f>
        <v>71705</v>
      </c>
    </row>
    <row r="1126">
      <c r="A1126" s="17">
        <f>Github!J$1125</f>
        <v>1124</v>
      </c>
      <c r="B1126" s="27" t="str">
        <f>HYPERLINK(CONCAT("http://leetcode.com/problems/",Github!C$1125), Github!B$1125)</f>
        <v>Longest Well-Performing Interval</v>
      </c>
      <c r="C1126" s="17">
        <f>Github!F$1125</f>
        <v>904</v>
      </c>
      <c r="D1126" s="17">
        <f>Github!G$1125</f>
        <v>94</v>
      </c>
      <c r="E1126" s="17">
        <f>Github!F$1125+Github!G$1125</f>
        <v>998</v>
      </c>
      <c r="F1126" s="18">
        <f t="shared" si="1"/>
        <v>9.62</v>
      </c>
      <c r="G1126" s="17" t="str">
        <f>Github!H$1125</f>
        <v>Algorithms</v>
      </c>
      <c r="H1126" s="17" t="str">
        <f>Github!E$1125</f>
        <v>Medium</v>
      </c>
      <c r="I1126" s="17" t="str">
        <f>IF(TRIM(Github!D$1125)="TRUE","FALSE","TRUE")</f>
        <v>TRUE</v>
      </c>
      <c r="J1126" s="17"/>
      <c r="K1126" s="17" t="str">
        <f>Github!L$1125</f>
        <v>Array;Hash Table;Stack;Monotonic Stack;Prefix Sum;</v>
      </c>
      <c r="L1126" s="17" t="b">
        <f>Github!M$1125</f>
        <v>0</v>
      </c>
      <c r="M1126" s="17" t="str">
        <f>ROUND(Github!N$1125, 2)&amp;"%"</f>
        <v>0%</v>
      </c>
      <c r="N1126" s="17">
        <f>Github!O$1125</f>
        <v>34.14856399</v>
      </c>
      <c r="O1126" s="17">
        <f>Github!P$1125</f>
        <v>20986</v>
      </c>
    </row>
    <row r="1127">
      <c r="A1127" s="17">
        <f>Github!J$1126</f>
        <v>1125</v>
      </c>
      <c r="B1127" s="27" t="str">
        <f>HYPERLINK(CONCAT("http://leetcode.com/problems/",Github!C$1126), Github!B$1126)</f>
        <v>Smallest Sufficient Team</v>
      </c>
      <c r="C1127" s="17">
        <f>Github!F$1126</f>
        <v>676</v>
      </c>
      <c r="D1127" s="17">
        <f>Github!G$1126</f>
        <v>13</v>
      </c>
      <c r="E1127" s="17">
        <f>Github!F$1126+Github!G$1126</f>
        <v>689</v>
      </c>
      <c r="F1127" s="18">
        <f t="shared" si="1"/>
        <v>52</v>
      </c>
      <c r="G1127" s="17" t="str">
        <f>Github!H$1126</f>
        <v>Algorithms</v>
      </c>
      <c r="H1127" s="17" t="str">
        <f>Github!E$1126</f>
        <v>Hard</v>
      </c>
      <c r="I1127" s="17" t="str">
        <f>IF(TRIM(Github!D$1126)="TRUE","FALSE","TRUE")</f>
        <v>TRUE</v>
      </c>
      <c r="J1127" s="17"/>
      <c r="K1127" s="17" t="str">
        <f>Github!L$1126</f>
        <v>Array;Dynamic Programming;Bit Manipulation;Bitmask;</v>
      </c>
      <c r="L1127" s="17" t="b">
        <f>Github!M$1126</f>
        <v>0</v>
      </c>
      <c r="M1127" s="17" t="str">
        <f>ROUND(Github!N$1126, 2)&amp;"%"</f>
        <v>0%</v>
      </c>
      <c r="N1127" s="17">
        <f>Github!O$1126</f>
        <v>47.82915312</v>
      </c>
      <c r="O1127" s="17">
        <f>Github!P$1126</f>
        <v>15598</v>
      </c>
    </row>
    <row r="1128">
      <c r="A1128" s="17">
        <f>Github!J$1127</f>
        <v>1126</v>
      </c>
      <c r="B1128" s="27" t="str">
        <f>HYPERLINK(CONCAT("http://leetcode.com/problems/",Github!C$1127), Github!B$1127)</f>
        <v>Active Businesses</v>
      </c>
      <c r="C1128" s="17">
        <f>Github!F$1127</f>
        <v>174</v>
      </c>
      <c r="D1128" s="17">
        <f>Github!G$1127</f>
        <v>19</v>
      </c>
      <c r="E1128" s="17">
        <f>Github!F$1127+Github!G$1127</f>
        <v>193</v>
      </c>
      <c r="F1128" s="18">
        <f t="shared" si="1"/>
        <v>9.16</v>
      </c>
      <c r="G1128" s="17" t="str">
        <f>Github!H$1127</f>
        <v>Database</v>
      </c>
      <c r="H1128" s="17" t="str">
        <f>Github!E$1127</f>
        <v>Medium</v>
      </c>
      <c r="I1128" s="17" t="str">
        <f>IF(TRIM(Github!D$1127)="TRUE","FALSE","TRUE")</f>
        <v>FALSE</v>
      </c>
      <c r="J1128" s="17"/>
      <c r="K1128" s="17" t="str">
        <f>Github!L$1127</f>
        <v>Database;</v>
      </c>
      <c r="L1128" s="17" t="b">
        <f>Github!M$1127</f>
        <v>0</v>
      </c>
      <c r="M1128" s="17" t="str">
        <f>ROUND(Github!N$1127, 2)&amp;"%"</f>
        <v>0%</v>
      </c>
      <c r="N1128" s="17">
        <f>Github!O$1127</f>
        <v>67.87753234</v>
      </c>
      <c r="O1128" s="17">
        <f>Github!P$1127</f>
        <v>28177</v>
      </c>
    </row>
    <row r="1129">
      <c r="A1129" s="17">
        <f>Github!J$1128</f>
        <v>1127</v>
      </c>
      <c r="B1129" s="27" t="str">
        <f>HYPERLINK(CONCAT("http://leetcode.com/problems/",Github!C$1128), Github!B$1128)</f>
        <v>User Purchase Platform</v>
      </c>
      <c r="C1129" s="17">
        <f>Github!F$1128</f>
        <v>132</v>
      </c>
      <c r="D1129" s="17">
        <f>Github!G$1128</f>
        <v>97</v>
      </c>
      <c r="E1129" s="17">
        <f>Github!F$1128+Github!G$1128</f>
        <v>229</v>
      </c>
      <c r="F1129" s="18">
        <f t="shared" si="1"/>
        <v>1.36</v>
      </c>
      <c r="G1129" s="17" t="str">
        <f>Github!H$1128</f>
        <v>Database</v>
      </c>
      <c r="H1129" s="17" t="str">
        <f>Github!E$1128</f>
        <v>Hard</v>
      </c>
      <c r="I1129" s="17" t="str">
        <f>IF(TRIM(Github!D$1128)="TRUE","FALSE","TRUE")</f>
        <v>FALSE</v>
      </c>
      <c r="J1129" s="17"/>
      <c r="K1129" s="17" t="str">
        <f>Github!L$1128</f>
        <v>Database;</v>
      </c>
      <c r="L1129" s="17" t="b">
        <f>Github!M$1128</f>
        <v>0</v>
      </c>
      <c r="M1129" s="17" t="str">
        <f>ROUND(Github!N$1128, 2)&amp;"%"</f>
        <v>0%</v>
      </c>
      <c r="N1129" s="17">
        <f>Github!O$1128</f>
        <v>51.2163399</v>
      </c>
      <c r="O1129" s="17">
        <f>Github!P$1128</f>
        <v>10632</v>
      </c>
    </row>
    <row r="1130">
      <c r="A1130" s="17">
        <f>Github!J$1129</f>
        <v>1128</v>
      </c>
      <c r="B1130" s="27" t="str">
        <f>HYPERLINK(CONCAT("http://leetcode.com/problems/",Github!C$1129), Github!B$1129)</f>
        <v>Number of Equivalent Domino Pairs</v>
      </c>
      <c r="C1130" s="17">
        <f>Github!F$1129</f>
        <v>457</v>
      </c>
      <c r="D1130" s="17">
        <f>Github!G$1129</f>
        <v>226</v>
      </c>
      <c r="E1130" s="17">
        <f>Github!F$1129+Github!G$1129</f>
        <v>683</v>
      </c>
      <c r="F1130" s="18">
        <f t="shared" si="1"/>
        <v>2.02</v>
      </c>
      <c r="G1130" s="17" t="str">
        <f>Github!H$1129</f>
        <v>Algorithms</v>
      </c>
      <c r="H1130" s="17" t="str">
        <f>Github!E$1129</f>
        <v>Easy</v>
      </c>
      <c r="I1130" s="17" t="str">
        <f>IF(TRIM(Github!D$1129)="TRUE","FALSE","TRUE")</f>
        <v>TRUE</v>
      </c>
      <c r="J1130" s="17"/>
      <c r="K1130" s="17" t="str">
        <f>Github!L$1129</f>
        <v>Array;Hash Table;Counting;</v>
      </c>
      <c r="L1130" s="17" t="b">
        <f>Github!M$1129</f>
        <v>0</v>
      </c>
      <c r="M1130" s="17" t="str">
        <f>ROUND(Github!N$1129, 2)&amp;"%"</f>
        <v>0%</v>
      </c>
      <c r="N1130" s="17">
        <f>Github!O$1129</f>
        <v>46.26426842</v>
      </c>
      <c r="O1130" s="17">
        <f>Github!P$1129</f>
        <v>45475</v>
      </c>
    </row>
    <row r="1131">
      <c r="A1131" s="17">
        <f>Github!J$1130</f>
        <v>1129</v>
      </c>
      <c r="B1131" s="27" t="str">
        <f>HYPERLINK(CONCAT("http://leetcode.com/problems/",Github!C$1130), Github!B$1130)</f>
        <v>Shortest Path with Alternating Colors</v>
      </c>
      <c r="C1131" s="17">
        <f>Github!F$1130</f>
        <v>1097</v>
      </c>
      <c r="D1131" s="17">
        <f>Github!G$1130</f>
        <v>59</v>
      </c>
      <c r="E1131" s="17">
        <f>Github!F$1130+Github!G$1130</f>
        <v>1156</v>
      </c>
      <c r="F1131" s="18">
        <f t="shared" si="1"/>
        <v>18.59</v>
      </c>
      <c r="G1131" s="17" t="str">
        <f>Github!H$1130</f>
        <v>Algorithms</v>
      </c>
      <c r="H1131" s="17" t="str">
        <f>Github!E$1130</f>
        <v>Medium</v>
      </c>
      <c r="I1131" s="17" t="str">
        <f>IF(TRIM(Github!D$1130)="TRUE","FALSE","TRUE")</f>
        <v>TRUE</v>
      </c>
      <c r="J1131" s="17"/>
      <c r="K1131" s="17" t="str">
        <f>Github!L$1130</f>
        <v>Breadth-First Search;Graph;</v>
      </c>
      <c r="L1131" s="17" t="b">
        <f>Github!M$1130</f>
        <v>0</v>
      </c>
      <c r="M1131" s="17" t="str">
        <f>ROUND(Github!N$1130, 2)&amp;"%"</f>
        <v>0%</v>
      </c>
      <c r="N1131" s="17">
        <f>Github!O$1130</f>
        <v>41.67368026</v>
      </c>
      <c r="O1131" s="17">
        <f>Github!P$1130</f>
        <v>32184</v>
      </c>
    </row>
    <row r="1132">
      <c r="A1132" s="17">
        <f>Github!J$1131</f>
        <v>1130</v>
      </c>
      <c r="B1132" s="27" t="str">
        <f>HYPERLINK(CONCAT("http://leetcode.com/problems/",Github!C$1131), Github!B$1131)</f>
        <v>Minimum Cost Tree From Leaf Values</v>
      </c>
      <c r="C1132" s="17">
        <f>Github!F$1131</f>
        <v>2940</v>
      </c>
      <c r="D1132" s="17">
        <f>Github!G$1131</f>
        <v>207</v>
      </c>
      <c r="E1132" s="17">
        <f>Github!F$1131+Github!G$1131</f>
        <v>3147</v>
      </c>
      <c r="F1132" s="18">
        <f t="shared" si="1"/>
        <v>14.2</v>
      </c>
      <c r="G1132" s="17" t="str">
        <f>Github!H$1131</f>
        <v>Algorithms</v>
      </c>
      <c r="H1132" s="17" t="str">
        <f>Github!E$1131</f>
        <v>Medium</v>
      </c>
      <c r="I1132" s="17" t="str">
        <f>IF(TRIM(Github!D$1131)="TRUE","FALSE","TRUE")</f>
        <v>TRUE</v>
      </c>
      <c r="J1132" s="17"/>
      <c r="K1132" s="17" t="str">
        <f>Github!L$1131</f>
        <v>Dynamic Programming;Stack;Greedy;Monotonic Stack;</v>
      </c>
      <c r="L1132" s="17" t="b">
        <f>Github!M$1131</f>
        <v>0</v>
      </c>
      <c r="M1132" s="17" t="str">
        <f>ROUND(Github!N$1131, 2)&amp;"%"</f>
        <v>0%</v>
      </c>
      <c r="N1132" s="17">
        <f>Github!O$1131</f>
        <v>68.3882396</v>
      </c>
      <c r="O1132" s="17">
        <f>Github!P$1131</f>
        <v>69104</v>
      </c>
    </row>
    <row r="1133">
      <c r="A1133" s="17">
        <f>Github!J$1132</f>
        <v>1131</v>
      </c>
      <c r="B1133" s="27" t="str">
        <f>HYPERLINK(CONCAT("http://leetcode.com/problems/",Github!C$1132), Github!B$1132)</f>
        <v>Maximum of Absolute Value Expression</v>
      </c>
      <c r="C1133" s="17">
        <f>Github!F$1132</f>
        <v>439</v>
      </c>
      <c r="D1133" s="17">
        <f>Github!G$1132</f>
        <v>324</v>
      </c>
      <c r="E1133" s="17">
        <f>Github!F$1132+Github!G$1132</f>
        <v>763</v>
      </c>
      <c r="F1133" s="18">
        <f t="shared" si="1"/>
        <v>1.35</v>
      </c>
      <c r="G1133" s="17" t="str">
        <f>Github!H$1132</f>
        <v>Algorithms</v>
      </c>
      <c r="H1133" s="17" t="str">
        <f>Github!E$1132</f>
        <v>Medium</v>
      </c>
      <c r="I1133" s="17" t="str">
        <f>IF(TRIM(Github!D$1132)="TRUE","FALSE","TRUE")</f>
        <v>TRUE</v>
      </c>
      <c r="J1133" s="17"/>
      <c r="K1133" s="17" t="str">
        <f>Github!L$1132</f>
        <v>Array;Math;</v>
      </c>
      <c r="L1133" s="17" t="b">
        <f>Github!M$1132</f>
        <v>0</v>
      </c>
      <c r="M1133" s="17" t="str">
        <f>ROUND(Github!N$1132, 2)&amp;"%"</f>
        <v>0%</v>
      </c>
      <c r="N1133" s="17">
        <f>Github!O$1132</f>
        <v>50.04494382</v>
      </c>
      <c r="O1133" s="17">
        <f>Github!P$1132</f>
        <v>15589</v>
      </c>
    </row>
    <row r="1134">
      <c r="A1134" s="17">
        <f>Github!J$1133</f>
        <v>1132</v>
      </c>
      <c r="B1134" s="27" t="str">
        <f>HYPERLINK(CONCAT("http://leetcode.com/problems/",Github!C$1133), Github!B$1133)</f>
        <v>Reported Posts II</v>
      </c>
      <c r="C1134" s="17">
        <f>Github!F$1133</f>
        <v>110</v>
      </c>
      <c r="D1134" s="17">
        <f>Github!G$1133</f>
        <v>392</v>
      </c>
      <c r="E1134" s="17">
        <f>Github!F$1133+Github!G$1133</f>
        <v>502</v>
      </c>
      <c r="F1134" s="18">
        <f t="shared" si="1"/>
        <v>0.28</v>
      </c>
      <c r="G1134" s="17" t="str">
        <f>Github!H$1133</f>
        <v>Database</v>
      </c>
      <c r="H1134" s="17" t="str">
        <f>Github!E$1133</f>
        <v>Medium</v>
      </c>
      <c r="I1134" s="17" t="str">
        <f>IF(TRIM(Github!D$1133)="TRUE","FALSE","TRUE")</f>
        <v>FALSE</v>
      </c>
      <c r="J1134" s="17"/>
      <c r="K1134" s="17" t="str">
        <f>Github!L$1133</f>
        <v>Database;</v>
      </c>
      <c r="L1134" s="17" t="b">
        <f>Github!M$1133</f>
        <v>0</v>
      </c>
      <c r="M1134" s="17" t="str">
        <f>ROUND(Github!N$1133, 2)&amp;"%"</f>
        <v>0%</v>
      </c>
      <c r="N1134" s="17">
        <f>Github!O$1133</f>
        <v>33.79763644</v>
      </c>
      <c r="O1134" s="17">
        <f>Github!P$1133</f>
        <v>25452</v>
      </c>
    </row>
    <row r="1135">
      <c r="A1135" s="17">
        <f>Github!J$1134</f>
        <v>1133</v>
      </c>
      <c r="B1135" s="27" t="str">
        <f>HYPERLINK(CONCAT("http://leetcode.com/problems/",Github!C$1134), Github!B$1134)</f>
        <v>Largest Unique Number</v>
      </c>
      <c r="C1135" s="17">
        <f>Github!F$1134</f>
        <v>224</v>
      </c>
      <c r="D1135" s="17">
        <f>Github!G$1134</f>
        <v>16</v>
      </c>
      <c r="E1135" s="17">
        <f>Github!F$1134+Github!G$1134</f>
        <v>240</v>
      </c>
      <c r="F1135" s="18">
        <f t="shared" si="1"/>
        <v>14</v>
      </c>
      <c r="G1135" s="17" t="str">
        <f>Github!H$1134</f>
        <v>Algorithms</v>
      </c>
      <c r="H1135" s="17" t="str">
        <f>Github!E$1134</f>
        <v>Easy</v>
      </c>
      <c r="I1135" s="17" t="str">
        <f>IF(TRIM(Github!D$1134)="TRUE","FALSE","TRUE")</f>
        <v>FALSE</v>
      </c>
      <c r="J1135" s="17"/>
      <c r="K1135" s="17" t="str">
        <f>Github!L$1134</f>
        <v>Array;Hash Table;Sorting;</v>
      </c>
      <c r="L1135" s="17" t="b">
        <f>Github!M$1134</f>
        <v>1</v>
      </c>
      <c r="M1135" s="17" t="str">
        <f>ROUND(Github!N$1134, 2)&amp;"%"</f>
        <v>0%</v>
      </c>
      <c r="N1135" s="17">
        <f>Github!O$1134</f>
        <v>67.37538721</v>
      </c>
      <c r="O1135" s="17">
        <f>Github!P$1134</f>
        <v>28710</v>
      </c>
    </row>
    <row r="1136">
      <c r="A1136" s="17">
        <f>Github!J$1135</f>
        <v>1134</v>
      </c>
      <c r="B1136" s="27" t="str">
        <f>HYPERLINK(CONCAT("http://leetcode.com/problems/",Github!C$1135), Github!B$1135)</f>
        <v>Armstrong Number</v>
      </c>
      <c r="C1136" s="17">
        <f>Github!F$1135</f>
        <v>149</v>
      </c>
      <c r="D1136" s="17">
        <f>Github!G$1135</f>
        <v>17</v>
      </c>
      <c r="E1136" s="17">
        <f>Github!F$1135+Github!G$1135</f>
        <v>166</v>
      </c>
      <c r="F1136" s="18">
        <f t="shared" si="1"/>
        <v>8.76</v>
      </c>
      <c r="G1136" s="17" t="str">
        <f>Github!H$1135</f>
        <v>Algorithms</v>
      </c>
      <c r="H1136" s="17" t="str">
        <f>Github!E$1135</f>
        <v>Easy</v>
      </c>
      <c r="I1136" s="17" t="str">
        <f>IF(TRIM(Github!D$1135)="TRUE","FALSE","TRUE")</f>
        <v>FALSE</v>
      </c>
      <c r="J1136" s="17"/>
      <c r="K1136" s="17" t="str">
        <f>Github!L$1135</f>
        <v>Math;</v>
      </c>
      <c r="L1136" s="17" t="b">
        <f>Github!M$1135</f>
        <v>1</v>
      </c>
      <c r="M1136" s="17" t="str">
        <f>ROUND(Github!N$1135, 2)&amp;"%"</f>
        <v>0%</v>
      </c>
      <c r="N1136" s="17">
        <f>Github!O$1135</f>
        <v>78.33433917</v>
      </c>
      <c r="O1136" s="17">
        <f>Github!P$1135</f>
        <v>27258</v>
      </c>
    </row>
    <row r="1137">
      <c r="A1137" s="17">
        <f>Github!J$1136</f>
        <v>1135</v>
      </c>
      <c r="B1137" s="27" t="str">
        <f>HYPERLINK(CONCAT("http://leetcode.com/problems/",Github!C$1136), Github!B$1136)</f>
        <v>Connecting Cities With Minimum Cost</v>
      </c>
      <c r="C1137" s="17">
        <f>Github!F$1136</f>
        <v>864</v>
      </c>
      <c r="D1137" s="17">
        <f>Github!G$1136</f>
        <v>46</v>
      </c>
      <c r="E1137" s="17">
        <f>Github!F$1136+Github!G$1136</f>
        <v>910</v>
      </c>
      <c r="F1137" s="18">
        <f t="shared" si="1"/>
        <v>18.78</v>
      </c>
      <c r="G1137" s="17" t="str">
        <f>Github!H$1136</f>
        <v>Algorithms</v>
      </c>
      <c r="H1137" s="17" t="str">
        <f>Github!E$1136</f>
        <v>Medium</v>
      </c>
      <c r="I1137" s="17" t="str">
        <f>IF(TRIM(Github!D$1136)="TRUE","FALSE","TRUE")</f>
        <v>FALSE</v>
      </c>
      <c r="J1137" s="17"/>
      <c r="K1137" s="17" t="str">
        <f>Github!L$1136</f>
        <v>Union Find;Graph;Heap (Priority Queue);Minimum Spanning Tree;</v>
      </c>
      <c r="L1137" s="17" t="b">
        <f>Github!M$1136</f>
        <v>1</v>
      </c>
      <c r="M1137" s="17" t="str">
        <f>ROUND(Github!N$1136, 2)&amp;"%"</f>
        <v>0%</v>
      </c>
      <c r="N1137" s="17">
        <f>Github!O$1136</f>
        <v>60.69321202</v>
      </c>
      <c r="O1137" s="17">
        <f>Github!P$1136</f>
        <v>53898</v>
      </c>
    </row>
    <row r="1138">
      <c r="A1138" s="17">
        <f>Github!J$1137</f>
        <v>1136</v>
      </c>
      <c r="B1138" s="27" t="str">
        <f>HYPERLINK(CONCAT("http://leetcode.com/problems/",Github!C$1137), Github!B$1137)</f>
        <v>Parallel Courses</v>
      </c>
      <c r="C1138" s="17">
        <f>Github!F$1137</f>
        <v>644</v>
      </c>
      <c r="D1138" s="17">
        <f>Github!G$1137</f>
        <v>19</v>
      </c>
      <c r="E1138" s="17">
        <f>Github!F$1137+Github!G$1137</f>
        <v>663</v>
      </c>
      <c r="F1138" s="18">
        <f t="shared" si="1"/>
        <v>33.89</v>
      </c>
      <c r="G1138" s="17" t="str">
        <f>Github!H$1137</f>
        <v>Algorithms</v>
      </c>
      <c r="H1138" s="17" t="str">
        <f>Github!E$1137</f>
        <v>Medium</v>
      </c>
      <c r="I1138" s="17" t="str">
        <f>IF(TRIM(Github!D$1137)="TRUE","FALSE","TRUE")</f>
        <v>FALSE</v>
      </c>
      <c r="J1138" s="17"/>
      <c r="K1138" s="17" t="str">
        <f>Github!L$1137</f>
        <v>Graph;Topological Sort;</v>
      </c>
      <c r="L1138" s="17" t="b">
        <f>Github!M$1137</f>
        <v>1</v>
      </c>
      <c r="M1138" s="17" t="str">
        <f>ROUND(Github!N$1137, 2)&amp;"%"</f>
        <v>0%</v>
      </c>
      <c r="N1138" s="17">
        <f>Github!O$1137</f>
        <v>60.81889281</v>
      </c>
      <c r="O1138" s="17">
        <f>Github!P$1137</f>
        <v>35694</v>
      </c>
    </row>
    <row r="1139">
      <c r="A1139" s="17">
        <f>Github!J$1138</f>
        <v>1137</v>
      </c>
      <c r="B1139" s="27" t="str">
        <f>HYPERLINK(CONCAT("http://leetcode.com/problems/",Github!C$1138), Github!B$1138)</f>
        <v>N-th Tribonacci Number</v>
      </c>
      <c r="C1139" s="17">
        <f>Github!F$1138</f>
        <v>1597</v>
      </c>
      <c r="D1139" s="17">
        <f>Github!G$1138</f>
        <v>98</v>
      </c>
      <c r="E1139" s="17">
        <f>Github!F$1138+Github!G$1138</f>
        <v>1695</v>
      </c>
      <c r="F1139" s="18">
        <f t="shared" si="1"/>
        <v>16.3</v>
      </c>
      <c r="G1139" s="17" t="str">
        <f>Github!H$1138</f>
        <v>Algorithms</v>
      </c>
      <c r="H1139" s="17" t="str">
        <f>Github!E$1138</f>
        <v>Easy</v>
      </c>
      <c r="I1139" s="17" t="str">
        <f>IF(TRIM(Github!D$1138)="TRUE","FALSE","TRUE")</f>
        <v>TRUE</v>
      </c>
      <c r="J1139" s="17"/>
      <c r="K1139" s="17" t="str">
        <f>Github!L$1138</f>
        <v>Math;Dynamic Programming;Memoization;</v>
      </c>
      <c r="L1139" s="17" t="b">
        <f>Github!M$1138</f>
        <v>1</v>
      </c>
      <c r="M1139" s="17" t="str">
        <f>ROUND(Github!N$1138, 2)&amp;"%"</f>
        <v>0%</v>
      </c>
      <c r="N1139" s="17">
        <f>Github!O$1138</f>
        <v>62.62534232</v>
      </c>
      <c r="O1139" s="17">
        <f>Github!P$1138</f>
        <v>237127</v>
      </c>
    </row>
    <row r="1140">
      <c r="A1140" s="17">
        <f>Github!J$1139</f>
        <v>1138</v>
      </c>
      <c r="B1140" s="27" t="str">
        <f>HYPERLINK(CONCAT("http://leetcode.com/problems/",Github!C$1139), Github!B$1139)</f>
        <v>Alphabet Board Path</v>
      </c>
      <c r="C1140" s="17">
        <f>Github!F$1139</f>
        <v>622</v>
      </c>
      <c r="D1140" s="17">
        <f>Github!G$1139</f>
        <v>134</v>
      </c>
      <c r="E1140" s="17">
        <f>Github!F$1139+Github!G$1139</f>
        <v>756</v>
      </c>
      <c r="F1140" s="18">
        <f t="shared" si="1"/>
        <v>4.64</v>
      </c>
      <c r="G1140" s="17" t="str">
        <f>Github!H$1139</f>
        <v>Algorithms</v>
      </c>
      <c r="H1140" s="17" t="str">
        <f>Github!E$1139</f>
        <v>Medium</v>
      </c>
      <c r="I1140" s="17" t="str">
        <f>IF(TRIM(Github!D$1139)="TRUE","FALSE","TRUE")</f>
        <v>TRUE</v>
      </c>
      <c r="J1140" s="17"/>
      <c r="K1140" s="17" t="str">
        <f>Github!L$1139</f>
        <v>Hash Table;String;</v>
      </c>
      <c r="L1140" s="17" t="b">
        <f>Github!M$1139</f>
        <v>0</v>
      </c>
      <c r="M1140" s="17" t="str">
        <f>ROUND(Github!N$1139, 2)&amp;"%"</f>
        <v>0%</v>
      </c>
      <c r="N1140" s="17">
        <f>Github!O$1139</f>
        <v>52.32828317</v>
      </c>
      <c r="O1140" s="17">
        <f>Github!P$1139</f>
        <v>38511</v>
      </c>
    </row>
    <row r="1141">
      <c r="A1141" s="17">
        <f>Github!J$1140</f>
        <v>1139</v>
      </c>
      <c r="B1141" s="27" t="str">
        <f>HYPERLINK(CONCAT("http://leetcode.com/problems/",Github!C$1140), Github!B$1140)</f>
        <v>Largest 1-Bordered Square</v>
      </c>
      <c r="C1141" s="17">
        <f>Github!F$1140</f>
        <v>477</v>
      </c>
      <c r="D1141" s="17">
        <f>Github!G$1140</f>
        <v>80</v>
      </c>
      <c r="E1141" s="17">
        <f>Github!F$1140+Github!G$1140</f>
        <v>557</v>
      </c>
      <c r="F1141" s="18">
        <f t="shared" si="1"/>
        <v>5.96</v>
      </c>
      <c r="G1141" s="17" t="str">
        <f>Github!H$1140</f>
        <v>Algorithms</v>
      </c>
      <c r="H1141" s="17" t="str">
        <f>Github!E$1140</f>
        <v>Medium</v>
      </c>
      <c r="I1141" s="17" t="str">
        <f>IF(TRIM(Github!D$1140)="TRUE","FALSE","TRUE")</f>
        <v>TRUE</v>
      </c>
      <c r="J1141" s="17"/>
      <c r="K1141" s="17" t="str">
        <f>Github!L$1140</f>
        <v>Array;Dynamic Programming;Matrix;</v>
      </c>
      <c r="L1141" s="17" t="b">
        <f>Github!M$1140</f>
        <v>0</v>
      </c>
      <c r="M1141" s="17" t="str">
        <f>ROUND(Github!N$1140, 2)&amp;"%"</f>
        <v>0%</v>
      </c>
      <c r="N1141" s="17">
        <f>Github!O$1140</f>
        <v>49.24858065</v>
      </c>
      <c r="O1141" s="17">
        <f>Github!P$1140</f>
        <v>17696</v>
      </c>
    </row>
    <row r="1142">
      <c r="A1142" s="17">
        <f>Github!J$1141</f>
        <v>1140</v>
      </c>
      <c r="B1142" s="27" t="str">
        <f>HYPERLINK(CONCAT("http://leetcode.com/problems/",Github!C$1141), Github!B$1141)</f>
        <v>Stone Game II</v>
      </c>
      <c r="C1142" s="17">
        <f>Github!F$1141</f>
        <v>1245</v>
      </c>
      <c r="D1142" s="17">
        <f>Github!G$1141</f>
        <v>248</v>
      </c>
      <c r="E1142" s="17">
        <f>Github!F$1141+Github!G$1141</f>
        <v>1493</v>
      </c>
      <c r="F1142" s="18">
        <f t="shared" si="1"/>
        <v>5.02</v>
      </c>
      <c r="G1142" s="17" t="str">
        <f>Github!H$1141</f>
        <v>Algorithms</v>
      </c>
      <c r="H1142" s="17" t="str">
        <f>Github!E$1141</f>
        <v>Medium</v>
      </c>
      <c r="I1142" s="17" t="str">
        <f>IF(TRIM(Github!D$1141)="TRUE","FALSE","TRUE")</f>
        <v>TRUE</v>
      </c>
      <c r="J1142" s="17"/>
      <c r="K1142" s="17" t="str">
        <f>Github!L$1141</f>
        <v>Array;Math;Dynamic Programming;Game Theory;</v>
      </c>
      <c r="L1142" s="17" t="b">
        <f>Github!M$1141</f>
        <v>0</v>
      </c>
      <c r="M1142" s="17" t="str">
        <f>ROUND(Github!N$1141, 2)&amp;"%"</f>
        <v>0%</v>
      </c>
      <c r="N1142" s="17">
        <f>Github!O$1141</f>
        <v>64.94728528</v>
      </c>
      <c r="O1142" s="17">
        <f>Github!P$1141</f>
        <v>37823</v>
      </c>
    </row>
    <row r="1143">
      <c r="A1143" s="17">
        <f>Github!J$1142</f>
        <v>1141</v>
      </c>
      <c r="B1143" s="27" t="str">
        <f>HYPERLINK(CONCAT("http://leetcode.com/problems/",Github!C$1142), Github!B$1142)</f>
        <v>User Activity for the Past 30 Days I</v>
      </c>
      <c r="C1143" s="17">
        <f>Github!F$1142</f>
        <v>88</v>
      </c>
      <c r="D1143" s="17">
        <f>Github!G$1142</f>
        <v>86</v>
      </c>
      <c r="E1143" s="17">
        <f>Github!F$1142+Github!G$1142</f>
        <v>174</v>
      </c>
      <c r="F1143" s="18">
        <f t="shared" si="1"/>
        <v>1.02</v>
      </c>
      <c r="G1143" s="17" t="str">
        <f>Github!H$1142</f>
        <v>Database</v>
      </c>
      <c r="H1143" s="17" t="str">
        <f>Github!E$1142</f>
        <v>Easy</v>
      </c>
      <c r="I1143" s="17" t="str">
        <f>IF(TRIM(Github!D$1142)="TRUE","FALSE","TRUE")</f>
        <v>FALSE</v>
      </c>
      <c r="J1143" s="17"/>
      <c r="K1143" s="17" t="str">
        <f>Github!L$1142</f>
        <v>Database;</v>
      </c>
      <c r="L1143" s="17" t="b">
        <f>Github!M$1142</f>
        <v>0</v>
      </c>
      <c r="M1143" s="17" t="str">
        <f>ROUND(Github!N$1142, 2)&amp;"%"</f>
        <v>0%</v>
      </c>
      <c r="N1143" s="17">
        <f>Github!O$1142</f>
        <v>54.06114752</v>
      </c>
      <c r="O1143" s="17">
        <f>Github!P$1142</f>
        <v>31102</v>
      </c>
    </row>
    <row r="1144">
      <c r="A1144" s="17">
        <f>Github!J$1143</f>
        <v>1142</v>
      </c>
      <c r="B1144" s="27" t="str">
        <f>HYPERLINK(CONCAT("http://leetcode.com/problems/",Github!C$1143), Github!B$1143)</f>
        <v>User Activity for the Past 30 Days II</v>
      </c>
      <c r="C1144" s="17">
        <f>Github!F$1143</f>
        <v>68</v>
      </c>
      <c r="D1144" s="17">
        <f>Github!G$1143</f>
        <v>278</v>
      </c>
      <c r="E1144" s="17">
        <f>Github!F$1143+Github!G$1143</f>
        <v>346</v>
      </c>
      <c r="F1144" s="18">
        <f t="shared" si="1"/>
        <v>0.24</v>
      </c>
      <c r="G1144" s="17" t="str">
        <f>Github!H$1143</f>
        <v>Database</v>
      </c>
      <c r="H1144" s="17" t="str">
        <f>Github!E$1143</f>
        <v>Easy</v>
      </c>
      <c r="I1144" s="17" t="str">
        <f>IF(TRIM(Github!D$1143)="TRUE","FALSE","TRUE")</f>
        <v>FALSE</v>
      </c>
      <c r="J1144" s="17"/>
      <c r="K1144" s="17" t="str">
        <f>Github!L$1143</f>
        <v>Database;</v>
      </c>
      <c r="L1144" s="17" t="b">
        <f>Github!M$1143</f>
        <v>0</v>
      </c>
      <c r="M1144" s="17" t="str">
        <f>ROUND(Github!N$1143, 2)&amp;"%"</f>
        <v>0%</v>
      </c>
      <c r="N1144" s="17">
        <f>Github!O$1143</f>
        <v>35.92676789</v>
      </c>
      <c r="O1144" s="17">
        <f>Github!P$1143</f>
        <v>29553</v>
      </c>
    </row>
    <row r="1145">
      <c r="A1145" s="17">
        <f>Github!J$1144</f>
        <v>1143</v>
      </c>
      <c r="B1145" s="27" t="str">
        <f>HYPERLINK(CONCAT("http://leetcode.com/problems/",Github!C$1144), Github!B$1144)</f>
        <v>Longest Common Subsequence</v>
      </c>
      <c r="C1145" s="17">
        <f>Github!F$1144</f>
        <v>5883</v>
      </c>
      <c r="D1145" s="17">
        <f>Github!G$1144</f>
        <v>65</v>
      </c>
      <c r="E1145" s="17">
        <f>Github!F$1144+Github!G$1144</f>
        <v>5948</v>
      </c>
      <c r="F1145" s="18">
        <f t="shared" si="1"/>
        <v>90.51</v>
      </c>
      <c r="G1145" s="17" t="str">
        <f>Github!H$1144</f>
        <v>Algorithms</v>
      </c>
      <c r="H1145" s="17" t="str">
        <f>Github!E$1144</f>
        <v>Medium</v>
      </c>
      <c r="I1145" s="17" t="str">
        <f>IF(TRIM(Github!D$1144)="TRUE","FALSE","TRUE")</f>
        <v>TRUE</v>
      </c>
      <c r="J1145" s="17"/>
      <c r="K1145" s="17" t="str">
        <f>Github!L$1144</f>
        <v>String;Dynamic Programming;</v>
      </c>
      <c r="L1145" s="17" t="b">
        <f>Github!M$1144</f>
        <v>1</v>
      </c>
      <c r="M1145" s="17" t="str">
        <f>ROUND(Github!N$1144, 2)&amp;"%"</f>
        <v>0%</v>
      </c>
      <c r="N1145" s="17">
        <f>Github!O$1144</f>
        <v>58.87424</v>
      </c>
      <c r="O1145" s="17">
        <f>Github!P$1144</f>
        <v>370279</v>
      </c>
    </row>
    <row r="1146">
      <c r="A1146" s="17">
        <f>Github!J$1145</f>
        <v>1144</v>
      </c>
      <c r="B1146" s="27" t="str">
        <f>HYPERLINK(CONCAT("http://leetcode.com/problems/",Github!C$1145), Github!B$1145)</f>
        <v>Decrease Elements To Make Array Zigzag</v>
      </c>
      <c r="C1146" s="17">
        <f>Github!F$1145</f>
        <v>268</v>
      </c>
      <c r="D1146" s="17">
        <f>Github!G$1145</f>
        <v>141</v>
      </c>
      <c r="E1146" s="17">
        <f>Github!F$1145+Github!G$1145</f>
        <v>409</v>
      </c>
      <c r="F1146" s="18">
        <f t="shared" si="1"/>
        <v>1.9</v>
      </c>
      <c r="G1146" s="17" t="str">
        <f>Github!H$1145</f>
        <v>Algorithms</v>
      </c>
      <c r="H1146" s="17" t="str">
        <f>Github!E$1145</f>
        <v>Medium</v>
      </c>
      <c r="I1146" s="17" t="str">
        <f>IF(TRIM(Github!D$1145)="TRUE","FALSE","TRUE")</f>
        <v>TRUE</v>
      </c>
      <c r="J1146" s="17"/>
      <c r="K1146" s="17" t="str">
        <f>Github!L$1145</f>
        <v>Array;Greedy;</v>
      </c>
      <c r="L1146" s="17" t="b">
        <f>Github!M$1145</f>
        <v>0</v>
      </c>
      <c r="M1146" s="17" t="str">
        <f>ROUND(Github!N$1145, 2)&amp;"%"</f>
        <v>0%</v>
      </c>
      <c r="N1146" s="17">
        <f>Github!O$1145</f>
        <v>46.96320232</v>
      </c>
      <c r="O1146" s="17">
        <f>Github!P$1145</f>
        <v>14243</v>
      </c>
    </row>
    <row r="1147">
      <c r="A1147" s="17">
        <f>Github!J$1146</f>
        <v>1145</v>
      </c>
      <c r="B1147" s="27" t="str">
        <f>HYPERLINK(CONCAT("http://leetcode.com/problems/",Github!C$1146), Github!B$1146)</f>
        <v>Binary Tree Coloring Game</v>
      </c>
      <c r="C1147" s="17">
        <f>Github!F$1146</f>
        <v>911</v>
      </c>
      <c r="D1147" s="17">
        <f>Github!G$1146</f>
        <v>171</v>
      </c>
      <c r="E1147" s="17">
        <f>Github!F$1146+Github!G$1146</f>
        <v>1082</v>
      </c>
      <c r="F1147" s="18">
        <f t="shared" si="1"/>
        <v>5.33</v>
      </c>
      <c r="G1147" s="17" t="str">
        <f>Github!H$1146</f>
        <v>Algorithms</v>
      </c>
      <c r="H1147" s="17" t="str">
        <f>Github!E$1146</f>
        <v>Medium</v>
      </c>
      <c r="I1147" s="17" t="str">
        <f>IF(TRIM(Github!D$1146)="TRUE","FALSE","TRUE")</f>
        <v>TRUE</v>
      </c>
      <c r="J1147" s="17"/>
      <c r="K1147" s="17" t="str">
        <f>Github!L$1146</f>
        <v>Tree;Depth-First Search;Binary Tree;</v>
      </c>
      <c r="L1147" s="17" t="b">
        <f>Github!M$1146</f>
        <v>0</v>
      </c>
      <c r="M1147" s="17" t="str">
        <f>ROUND(Github!N$1146, 2)&amp;"%"</f>
        <v>0%</v>
      </c>
      <c r="N1147" s="17">
        <f>Github!O$1146</f>
        <v>51.09197592</v>
      </c>
      <c r="O1147" s="17">
        <f>Github!P$1146</f>
        <v>33524</v>
      </c>
    </row>
    <row r="1148">
      <c r="A1148" s="17">
        <f>Github!J$1147</f>
        <v>1146</v>
      </c>
      <c r="B1148" s="27" t="str">
        <f>HYPERLINK(CONCAT("http://leetcode.com/problems/",Github!C$1147), Github!B$1147)</f>
        <v>Snapshot Array</v>
      </c>
      <c r="C1148" s="17">
        <f>Github!F$1147</f>
        <v>1528</v>
      </c>
      <c r="D1148" s="17">
        <f>Github!G$1147</f>
        <v>237</v>
      </c>
      <c r="E1148" s="17">
        <f>Github!F$1147+Github!G$1147</f>
        <v>1765</v>
      </c>
      <c r="F1148" s="18">
        <f t="shared" si="1"/>
        <v>6.45</v>
      </c>
      <c r="G1148" s="17" t="str">
        <f>Github!H$1147</f>
        <v>Algorithms</v>
      </c>
      <c r="H1148" s="17" t="str">
        <f>Github!E$1147</f>
        <v>Medium</v>
      </c>
      <c r="I1148" s="17" t="str">
        <f>IF(TRIM(Github!D$1147)="TRUE","FALSE","TRUE")</f>
        <v>TRUE</v>
      </c>
      <c r="J1148" s="17"/>
      <c r="K1148" s="17" t="str">
        <f>Github!L$1147</f>
        <v>Array;Hash Table;Binary Search;Design;</v>
      </c>
      <c r="L1148" s="17" t="b">
        <f>Github!M$1147</f>
        <v>0</v>
      </c>
      <c r="M1148" s="17" t="str">
        <f>ROUND(Github!N$1147, 2)&amp;"%"</f>
        <v>0%</v>
      </c>
      <c r="N1148" s="17">
        <f>Github!O$1147</f>
        <v>37.01948414</v>
      </c>
      <c r="O1148" s="17">
        <f>Github!P$1147</f>
        <v>97639</v>
      </c>
    </row>
    <row r="1149">
      <c r="A1149" s="17">
        <f>Github!J$1148</f>
        <v>1147</v>
      </c>
      <c r="B1149" s="27" t="str">
        <f>HYPERLINK(CONCAT("http://leetcode.com/problems/",Github!C$1148), Github!B$1148)</f>
        <v>Longest Chunked Palindrome Decomposition</v>
      </c>
      <c r="C1149" s="17">
        <f>Github!F$1148</f>
        <v>400</v>
      </c>
      <c r="D1149" s="17">
        <f>Github!G$1148</f>
        <v>24</v>
      </c>
      <c r="E1149" s="17">
        <f>Github!F$1148+Github!G$1148</f>
        <v>424</v>
      </c>
      <c r="F1149" s="18">
        <f t="shared" si="1"/>
        <v>16.67</v>
      </c>
      <c r="G1149" s="17" t="str">
        <f>Github!H$1148</f>
        <v>Algorithms</v>
      </c>
      <c r="H1149" s="17" t="str">
        <f>Github!E$1148</f>
        <v>Hard</v>
      </c>
      <c r="I1149" s="17" t="str">
        <f>IF(TRIM(Github!D$1148)="TRUE","FALSE","TRUE")</f>
        <v>TRUE</v>
      </c>
      <c r="J1149" s="17"/>
      <c r="K1149" s="17" t="str">
        <f>Github!L$1148</f>
        <v>Two Pointers;String;Dynamic Programming;Greedy;Rolling Hash;Hash Function;</v>
      </c>
      <c r="L1149" s="17" t="b">
        <f>Github!M$1148</f>
        <v>0</v>
      </c>
      <c r="M1149" s="17" t="str">
        <f>ROUND(Github!N$1148, 2)&amp;"%"</f>
        <v>0%</v>
      </c>
      <c r="N1149" s="17">
        <f>Github!O$1148</f>
        <v>60.24938598</v>
      </c>
      <c r="O1149" s="17">
        <f>Github!P$1148</f>
        <v>15945</v>
      </c>
    </row>
    <row r="1150">
      <c r="A1150" s="17">
        <f>Github!J$1149</f>
        <v>1148</v>
      </c>
      <c r="B1150" s="27" t="str">
        <f>HYPERLINK(CONCAT("http://leetcode.com/problems/",Github!C$1149), Github!B$1149)</f>
        <v>Article Views I</v>
      </c>
      <c r="C1150" s="17">
        <f>Github!F$1149</f>
        <v>79</v>
      </c>
      <c r="D1150" s="17">
        <f>Github!G$1149</f>
        <v>12</v>
      </c>
      <c r="E1150" s="17">
        <f>Github!F$1149+Github!G$1149</f>
        <v>91</v>
      </c>
      <c r="F1150" s="18">
        <f t="shared" si="1"/>
        <v>6.58</v>
      </c>
      <c r="G1150" s="17" t="str">
        <f>Github!H$1149</f>
        <v>Database</v>
      </c>
      <c r="H1150" s="17" t="str">
        <f>Github!E$1149</f>
        <v>Easy</v>
      </c>
      <c r="I1150" s="17" t="str">
        <f>IF(TRIM(Github!D$1149)="TRUE","FALSE","TRUE")</f>
        <v>FALSE</v>
      </c>
      <c r="J1150" s="17"/>
      <c r="K1150" s="17" t="str">
        <f>Github!L$1149</f>
        <v>Database;</v>
      </c>
      <c r="L1150" s="17" t="b">
        <f>Github!M$1149</f>
        <v>0</v>
      </c>
      <c r="M1150" s="17" t="str">
        <f>ROUND(Github!N$1149, 2)&amp;"%"</f>
        <v>0%</v>
      </c>
      <c r="N1150" s="17">
        <f>Github!O$1149</f>
        <v>76.71669704</v>
      </c>
      <c r="O1150" s="17">
        <f>Github!P$1149</f>
        <v>31997</v>
      </c>
    </row>
    <row r="1151">
      <c r="A1151" s="17">
        <f>Github!J$1150</f>
        <v>1149</v>
      </c>
      <c r="B1151" s="27" t="str">
        <f>HYPERLINK(CONCAT("http://leetcode.com/problems/",Github!C$1150), Github!B$1150)</f>
        <v>Article Views II</v>
      </c>
      <c r="C1151" s="17">
        <f>Github!F$1150</f>
        <v>77</v>
      </c>
      <c r="D1151" s="17">
        <f>Github!G$1150</f>
        <v>25</v>
      </c>
      <c r="E1151" s="17">
        <f>Github!F$1150+Github!G$1150</f>
        <v>102</v>
      </c>
      <c r="F1151" s="18">
        <f t="shared" si="1"/>
        <v>3.08</v>
      </c>
      <c r="G1151" s="17" t="str">
        <f>Github!H$1150</f>
        <v>Database</v>
      </c>
      <c r="H1151" s="17" t="str">
        <f>Github!E$1150</f>
        <v>Medium</v>
      </c>
      <c r="I1151" s="17" t="str">
        <f>IF(TRIM(Github!D$1150)="TRUE","FALSE","TRUE")</f>
        <v>FALSE</v>
      </c>
      <c r="J1151" s="17"/>
      <c r="K1151" s="17" t="str">
        <f>Github!L$1150</f>
        <v>Database;</v>
      </c>
      <c r="L1151" s="17" t="b">
        <f>Github!M$1150</f>
        <v>0</v>
      </c>
      <c r="M1151" s="17" t="str">
        <f>ROUND(Github!N$1150, 2)&amp;"%"</f>
        <v>0%</v>
      </c>
      <c r="N1151" s="17">
        <f>Github!O$1150</f>
        <v>47.9309705</v>
      </c>
      <c r="O1151" s="17">
        <f>Github!P$1150</f>
        <v>23247</v>
      </c>
    </row>
    <row r="1152">
      <c r="A1152" s="17">
        <f>Github!J$1151</f>
        <v>1150</v>
      </c>
      <c r="B1152" s="27" t="str">
        <f>HYPERLINK(CONCAT("http://leetcode.com/problems/",Github!C$1151), Github!B$1151)</f>
        <v>Check If a Number Is Majority Element in a Sorted Array</v>
      </c>
      <c r="C1152" s="17">
        <f>Github!F$1151</f>
        <v>288</v>
      </c>
      <c r="D1152" s="17">
        <f>Github!G$1151</f>
        <v>30</v>
      </c>
      <c r="E1152" s="17">
        <f>Github!F$1151+Github!G$1151</f>
        <v>318</v>
      </c>
      <c r="F1152" s="18">
        <f t="shared" si="1"/>
        <v>9.6</v>
      </c>
      <c r="G1152" s="17" t="str">
        <f>Github!H$1151</f>
        <v>Algorithms</v>
      </c>
      <c r="H1152" s="17" t="str">
        <f>Github!E$1151</f>
        <v>Easy</v>
      </c>
      <c r="I1152" s="17" t="str">
        <f>IF(TRIM(Github!D$1151)="TRUE","FALSE","TRUE")</f>
        <v>FALSE</v>
      </c>
      <c r="J1152" s="17"/>
      <c r="K1152" s="17" t="str">
        <f>Github!L$1151</f>
        <v>Array;Binary Search;</v>
      </c>
      <c r="L1152" s="17" t="b">
        <f>Github!M$1151</f>
        <v>0</v>
      </c>
      <c r="M1152" s="17" t="str">
        <f>ROUND(Github!N$1151, 2)&amp;"%"</f>
        <v>0%</v>
      </c>
      <c r="N1152" s="17">
        <f>Github!O$1151</f>
        <v>56.71169073</v>
      </c>
      <c r="O1152" s="17">
        <f>Github!P$1151</f>
        <v>30438</v>
      </c>
    </row>
    <row r="1153">
      <c r="A1153" s="17">
        <f>Github!J$1152</f>
        <v>1151</v>
      </c>
      <c r="B1153" s="27" t="str">
        <f>HYPERLINK(CONCAT("http://leetcode.com/problems/",Github!C$1152), Github!B$1152)</f>
        <v>Minimum Swaps to Group All 1's Together</v>
      </c>
      <c r="C1153" s="17">
        <f>Github!F$1152</f>
        <v>739</v>
      </c>
      <c r="D1153" s="17">
        <f>Github!G$1152</f>
        <v>9</v>
      </c>
      <c r="E1153" s="17">
        <f>Github!F$1152+Github!G$1152</f>
        <v>748</v>
      </c>
      <c r="F1153" s="18">
        <f t="shared" si="1"/>
        <v>82.11</v>
      </c>
      <c r="G1153" s="17" t="str">
        <f>Github!H$1152</f>
        <v>Algorithms</v>
      </c>
      <c r="H1153" s="17" t="str">
        <f>Github!E$1152</f>
        <v>Medium</v>
      </c>
      <c r="I1153" s="17" t="str">
        <f>IF(TRIM(Github!D$1152)="TRUE","FALSE","TRUE")</f>
        <v>FALSE</v>
      </c>
      <c r="J1153" s="17"/>
      <c r="K1153" s="17" t="str">
        <f>Github!L$1152</f>
        <v>Array;Sliding Window;</v>
      </c>
      <c r="L1153" s="17" t="b">
        <f>Github!M$1152</f>
        <v>1</v>
      </c>
      <c r="M1153" s="17" t="str">
        <f>ROUND(Github!N$1152, 2)&amp;"%"</f>
        <v>1%</v>
      </c>
      <c r="N1153" s="17">
        <f>Github!O$1152</f>
        <v>59.40306058</v>
      </c>
      <c r="O1153" s="17">
        <f>Github!P$1152</f>
        <v>32879</v>
      </c>
    </row>
    <row r="1154">
      <c r="A1154" s="17">
        <f>Github!J$1153</f>
        <v>1152</v>
      </c>
      <c r="B1154" s="27" t="str">
        <f>HYPERLINK(CONCAT("http://leetcode.com/problems/",Github!C$1153), Github!B$1153)</f>
        <v>Analyze User Website Visit Pattern</v>
      </c>
      <c r="C1154" s="17">
        <f>Github!F$1153</f>
        <v>294</v>
      </c>
      <c r="D1154" s="17">
        <f>Github!G$1153</f>
        <v>2553</v>
      </c>
      <c r="E1154" s="17">
        <f>Github!F$1153+Github!G$1153</f>
        <v>2847</v>
      </c>
      <c r="F1154" s="18">
        <f t="shared" si="1"/>
        <v>0.12</v>
      </c>
      <c r="G1154" s="17" t="str">
        <f>Github!H$1153</f>
        <v>Algorithms</v>
      </c>
      <c r="H1154" s="17" t="str">
        <f>Github!E$1153</f>
        <v>Medium</v>
      </c>
      <c r="I1154" s="17" t="str">
        <f>IF(TRIM(Github!D$1153)="TRUE","FALSE","TRUE")</f>
        <v>FALSE</v>
      </c>
      <c r="J1154" s="17"/>
      <c r="K1154" s="17" t="str">
        <f>Github!L$1153</f>
        <v>Array;Hash Table;Sorting;</v>
      </c>
      <c r="L1154" s="17" t="b">
        <f>Github!M$1153</f>
        <v>0</v>
      </c>
      <c r="M1154" s="17" t="str">
        <f>ROUND(Github!N$1153, 2)&amp;"%"</f>
        <v>0%</v>
      </c>
      <c r="N1154" s="17">
        <f>Github!O$1153</f>
        <v>43.53318993</v>
      </c>
      <c r="O1154" s="17">
        <f>Github!P$1153</f>
        <v>57476</v>
      </c>
    </row>
    <row r="1155">
      <c r="A1155" s="17">
        <f>Github!J$1154</f>
        <v>1153</v>
      </c>
      <c r="B1155" s="27" t="str">
        <f>HYPERLINK(CONCAT("http://leetcode.com/problems/",Github!C$1154), Github!B$1154)</f>
        <v>String Transforms Into Another String</v>
      </c>
      <c r="C1155" s="17">
        <f>Github!F$1154</f>
        <v>785</v>
      </c>
      <c r="D1155" s="17">
        <f>Github!G$1154</f>
        <v>297</v>
      </c>
      <c r="E1155" s="17">
        <f>Github!F$1154+Github!G$1154</f>
        <v>1082</v>
      </c>
      <c r="F1155" s="18">
        <f t="shared" si="1"/>
        <v>2.64</v>
      </c>
      <c r="G1155" s="17" t="str">
        <f>Github!H$1154</f>
        <v>Algorithms</v>
      </c>
      <c r="H1155" s="17" t="str">
        <f>Github!E$1154</f>
        <v>Hard</v>
      </c>
      <c r="I1155" s="17" t="str">
        <f>IF(TRIM(Github!D$1154)="TRUE","FALSE","TRUE")</f>
        <v>FALSE</v>
      </c>
      <c r="J1155" s="17"/>
      <c r="K1155" s="17" t="str">
        <f>Github!L$1154</f>
        <v>Hash Table;String;</v>
      </c>
      <c r="L1155" s="17" t="b">
        <f>Github!M$1154</f>
        <v>1</v>
      </c>
      <c r="M1155" s="17" t="str">
        <f>ROUND(Github!N$1154, 2)&amp;"%"</f>
        <v>0%</v>
      </c>
      <c r="N1155" s="17">
        <f>Github!O$1154</f>
        <v>35.51839772</v>
      </c>
      <c r="O1155" s="17">
        <f>Github!P$1154</f>
        <v>46392</v>
      </c>
    </row>
    <row r="1156">
      <c r="A1156" s="17">
        <f>Github!J$1155</f>
        <v>1154</v>
      </c>
      <c r="B1156" s="27" t="str">
        <f>HYPERLINK(CONCAT("http://leetcode.com/problems/",Github!C$1155), Github!B$1155)</f>
        <v>Day of the Year</v>
      </c>
      <c r="C1156" s="17">
        <f>Github!F$1155</f>
        <v>232</v>
      </c>
      <c r="D1156" s="17">
        <f>Github!G$1155</f>
        <v>298</v>
      </c>
      <c r="E1156" s="17">
        <f>Github!F$1155+Github!G$1155</f>
        <v>530</v>
      </c>
      <c r="F1156" s="18">
        <f t="shared" si="1"/>
        <v>0.78</v>
      </c>
      <c r="G1156" s="17" t="str">
        <f>Github!H$1155</f>
        <v>Algorithms</v>
      </c>
      <c r="H1156" s="17" t="str">
        <f>Github!E$1155</f>
        <v>Easy</v>
      </c>
      <c r="I1156" s="17" t="str">
        <f>IF(TRIM(Github!D$1155)="TRUE","FALSE","TRUE")</f>
        <v>TRUE</v>
      </c>
      <c r="J1156" s="17"/>
      <c r="K1156" s="17" t="str">
        <f>Github!L$1155</f>
        <v>Math;String;</v>
      </c>
      <c r="L1156" s="17" t="b">
        <f>Github!M$1155</f>
        <v>0</v>
      </c>
      <c r="M1156" s="17" t="str">
        <f>ROUND(Github!N$1155, 2)&amp;"%"</f>
        <v>0%</v>
      </c>
      <c r="N1156" s="17">
        <f>Github!O$1155</f>
        <v>50.99995165</v>
      </c>
      <c r="O1156" s="17">
        <f>Github!P$1155</f>
        <v>31647</v>
      </c>
    </row>
    <row r="1157">
      <c r="A1157" s="17">
        <f>Github!J$1156</f>
        <v>1155</v>
      </c>
      <c r="B1157" s="27" t="str">
        <f>HYPERLINK(CONCAT("http://leetcode.com/problems/",Github!C$1156), Github!B$1156)</f>
        <v>Number of Dice Rolls With Target Sum</v>
      </c>
      <c r="C1157" s="17">
        <f>Github!F$1156</f>
        <v>1884</v>
      </c>
      <c r="D1157" s="17">
        <f>Github!G$1156</f>
        <v>84</v>
      </c>
      <c r="E1157" s="17">
        <f>Github!F$1156+Github!G$1156</f>
        <v>1968</v>
      </c>
      <c r="F1157" s="18">
        <f t="shared" si="1"/>
        <v>22.43</v>
      </c>
      <c r="G1157" s="17" t="str">
        <f>Github!H$1156</f>
        <v>Algorithms</v>
      </c>
      <c r="H1157" s="17" t="str">
        <f>Github!E$1156</f>
        <v>Medium</v>
      </c>
      <c r="I1157" s="17" t="str">
        <f>IF(TRIM(Github!D$1156)="TRUE","FALSE","TRUE")</f>
        <v>TRUE</v>
      </c>
      <c r="J1157" s="17"/>
      <c r="K1157" s="17" t="str">
        <f>Github!L$1156</f>
        <v>Dynamic Programming;</v>
      </c>
      <c r="L1157" s="17" t="b">
        <f>Github!M$1156</f>
        <v>0</v>
      </c>
      <c r="M1157" s="17" t="str">
        <f>ROUND(Github!N$1156, 2)&amp;"%"</f>
        <v>0%</v>
      </c>
      <c r="N1157" s="17">
        <f>Github!O$1156</f>
        <v>47.6488007</v>
      </c>
      <c r="O1157" s="17">
        <f>Github!P$1156</f>
        <v>97993</v>
      </c>
    </row>
    <row r="1158">
      <c r="A1158" s="17">
        <f>Github!J$1157</f>
        <v>1156</v>
      </c>
      <c r="B1158" s="27" t="str">
        <f>HYPERLINK(CONCAT("http://leetcode.com/problems/",Github!C$1157), Github!B$1157)</f>
        <v>Swap For Longest Repeated Character Substring</v>
      </c>
      <c r="C1158" s="17">
        <f>Github!F$1157</f>
        <v>678</v>
      </c>
      <c r="D1158" s="17">
        <f>Github!G$1157</f>
        <v>62</v>
      </c>
      <c r="E1158" s="17">
        <f>Github!F$1157+Github!G$1157</f>
        <v>740</v>
      </c>
      <c r="F1158" s="18">
        <f t="shared" si="1"/>
        <v>10.94</v>
      </c>
      <c r="G1158" s="17" t="str">
        <f>Github!H$1157</f>
        <v>Algorithms</v>
      </c>
      <c r="H1158" s="17" t="str">
        <f>Github!E$1157</f>
        <v>Medium</v>
      </c>
      <c r="I1158" s="17" t="str">
        <f>IF(TRIM(Github!D$1157)="TRUE","FALSE","TRUE")</f>
        <v>TRUE</v>
      </c>
      <c r="J1158" s="17"/>
      <c r="K1158" s="17" t="str">
        <f>Github!L$1157</f>
        <v>String;Sliding Window;</v>
      </c>
      <c r="L1158" s="17" t="b">
        <f>Github!M$1157</f>
        <v>0</v>
      </c>
      <c r="M1158" s="17" t="str">
        <f>ROUND(Github!N$1157, 2)&amp;"%"</f>
        <v>0%</v>
      </c>
      <c r="N1158" s="17">
        <f>Github!O$1157</f>
        <v>46.43377001</v>
      </c>
      <c r="O1158" s="17">
        <f>Github!P$1157</f>
        <v>22011</v>
      </c>
    </row>
    <row r="1159">
      <c r="A1159" s="17">
        <f>Github!J$1158</f>
        <v>1157</v>
      </c>
      <c r="B1159" s="27" t="str">
        <f>HYPERLINK(CONCAT("http://leetcode.com/problems/",Github!C$1158), Github!B$1158)</f>
        <v>Online Majority Element In Subarray</v>
      </c>
      <c r="C1159" s="17">
        <f>Github!F$1158</f>
        <v>432</v>
      </c>
      <c r="D1159" s="17">
        <f>Github!G$1158</f>
        <v>45</v>
      </c>
      <c r="E1159" s="17">
        <f>Github!F$1158+Github!G$1158</f>
        <v>477</v>
      </c>
      <c r="F1159" s="18">
        <f t="shared" si="1"/>
        <v>9.6</v>
      </c>
      <c r="G1159" s="17" t="str">
        <f>Github!H$1158</f>
        <v>Algorithms</v>
      </c>
      <c r="H1159" s="17" t="str">
        <f>Github!E$1158</f>
        <v>Hard</v>
      </c>
      <c r="I1159" s="17" t="str">
        <f>IF(TRIM(Github!D$1158)="TRUE","FALSE","TRUE")</f>
        <v>TRUE</v>
      </c>
      <c r="J1159" s="17"/>
      <c r="K1159" s="17" t="str">
        <f>Github!L$1158</f>
        <v>Array;Binary Search;Design;Binary Indexed Tree;Segment Tree;</v>
      </c>
      <c r="L1159" s="17" t="b">
        <f>Github!M$1158</f>
        <v>0</v>
      </c>
      <c r="M1159" s="17" t="str">
        <f>ROUND(Github!N$1158, 2)&amp;"%"</f>
        <v>0%</v>
      </c>
      <c r="N1159" s="17">
        <f>Github!O$1158</f>
        <v>41.94183992</v>
      </c>
      <c r="O1159" s="17">
        <f>Github!P$1158</f>
        <v>12346</v>
      </c>
    </row>
    <row r="1160">
      <c r="A1160" s="17">
        <f>Github!J$1159</f>
        <v>1158</v>
      </c>
      <c r="B1160" s="27" t="str">
        <f>HYPERLINK(CONCAT("http://leetcode.com/problems/",Github!C$1159), Github!B$1159)</f>
        <v>Market Analysis I</v>
      </c>
      <c r="C1160" s="17">
        <f>Github!F$1159</f>
        <v>99</v>
      </c>
      <c r="D1160" s="17">
        <f>Github!G$1159</f>
        <v>30</v>
      </c>
      <c r="E1160" s="17">
        <f>Github!F$1159+Github!G$1159</f>
        <v>129</v>
      </c>
      <c r="F1160" s="18">
        <f t="shared" si="1"/>
        <v>3.3</v>
      </c>
      <c r="G1160" s="17" t="str">
        <f>Github!H$1159</f>
        <v>Database</v>
      </c>
      <c r="H1160" s="17" t="str">
        <f>Github!E$1159</f>
        <v>Medium</v>
      </c>
      <c r="I1160" s="17" t="str">
        <f>IF(TRIM(Github!D$1159)="TRUE","FALSE","TRUE")</f>
        <v>FALSE</v>
      </c>
      <c r="J1160" s="17"/>
      <c r="K1160" s="17" t="str">
        <f>Github!L$1159</f>
        <v>Database;</v>
      </c>
      <c r="L1160" s="17" t="b">
        <f>Github!M$1159</f>
        <v>0</v>
      </c>
      <c r="M1160" s="17" t="str">
        <f>ROUND(Github!N$1159, 2)&amp;"%"</f>
        <v>0%</v>
      </c>
      <c r="N1160" s="17">
        <f>Github!O$1159</f>
        <v>65.4076559</v>
      </c>
      <c r="O1160" s="17">
        <f>Github!P$1159</f>
        <v>21837</v>
      </c>
    </row>
    <row r="1161">
      <c r="A1161" s="17">
        <f>Github!J$1160</f>
        <v>1159</v>
      </c>
      <c r="B1161" s="27" t="str">
        <f>HYPERLINK(CONCAT("http://leetcode.com/problems/",Github!C$1160), Github!B$1160)</f>
        <v>Market Analysis II</v>
      </c>
      <c r="C1161" s="17">
        <f>Github!F$1160</f>
        <v>81</v>
      </c>
      <c r="D1161" s="17">
        <f>Github!G$1160</f>
        <v>38</v>
      </c>
      <c r="E1161" s="17">
        <f>Github!F$1160+Github!G$1160</f>
        <v>119</v>
      </c>
      <c r="F1161" s="18">
        <f t="shared" si="1"/>
        <v>2.13</v>
      </c>
      <c r="G1161" s="17" t="str">
        <f>Github!H$1160</f>
        <v>Database</v>
      </c>
      <c r="H1161" s="17" t="str">
        <f>Github!E$1160</f>
        <v>Hard</v>
      </c>
      <c r="I1161" s="17" t="str">
        <f>IF(TRIM(Github!D$1160)="TRUE","FALSE","TRUE")</f>
        <v>FALSE</v>
      </c>
      <c r="J1161" s="17"/>
      <c r="K1161" s="17" t="str">
        <f>Github!L$1160</f>
        <v>Database;</v>
      </c>
      <c r="L1161" s="17" t="b">
        <f>Github!M$1160</f>
        <v>0</v>
      </c>
      <c r="M1161" s="17" t="str">
        <f>ROUND(Github!N$1160, 2)&amp;"%"</f>
        <v>0%</v>
      </c>
      <c r="N1161" s="17">
        <f>Github!O$1160</f>
        <v>57.64752933</v>
      </c>
      <c r="O1161" s="17">
        <f>Github!P$1160</f>
        <v>12973</v>
      </c>
    </row>
    <row r="1162">
      <c r="A1162" s="17">
        <f>Github!J$1161</f>
        <v>1160</v>
      </c>
      <c r="B1162" s="27" t="str">
        <f>HYPERLINK(CONCAT("http://leetcode.com/problems/",Github!C$1161), Github!B$1161)</f>
        <v>Find Words That Can Be Formed by Characters</v>
      </c>
      <c r="C1162" s="17">
        <f>Github!F$1161</f>
        <v>920</v>
      </c>
      <c r="D1162" s="17">
        <f>Github!G$1161</f>
        <v>120</v>
      </c>
      <c r="E1162" s="17">
        <f>Github!F$1161+Github!G$1161</f>
        <v>1040</v>
      </c>
      <c r="F1162" s="18">
        <f t="shared" si="1"/>
        <v>7.67</v>
      </c>
      <c r="G1162" s="17" t="str">
        <f>Github!H$1161</f>
        <v>Algorithms</v>
      </c>
      <c r="H1162" s="17" t="str">
        <f>Github!E$1161</f>
        <v>Easy</v>
      </c>
      <c r="I1162" s="17" t="str">
        <f>IF(TRIM(Github!D$1161)="TRUE","FALSE","TRUE")</f>
        <v>TRUE</v>
      </c>
      <c r="J1162" s="17"/>
      <c r="K1162" s="17" t="str">
        <f>Github!L$1161</f>
        <v>Array;Hash Table;String;</v>
      </c>
      <c r="L1162" s="17" t="b">
        <f>Github!M$1161</f>
        <v>0</v>
      </c>
      <c r="M1162" s="17" t="str">
        <f>ROUND(Github!N$1161, 2)&amp;"%"</f>
        <v>0%</v>
      </c>
      <c r="N1162" s="17">
        <f>Github!O$1161</f>
        <v>67.67644598</v>
      </c>
      <c r="O1162" s="17">
        <f>Github!P$1161</f>
        <v>108370</v>
      </c>
    </row>
    <row r="1163">
      <c r="A1163" s="17">
        <f>Github!J$1162</f>
        <v>1161</v>
      </c>
      <c r="B1163" s="27" t="str">
        <f>HYPERLINK(CONCAT("http://leetcode.com/problems/",Github!C$1162), Github!B$1162)</f>
        <v>Maximum Level Sum of a Binary Tree</v>
      </c>
      <c r="C1163" s="17">
        <f>Github!F$1162</f>
        <v>1316</v>
      </c>
      <c r="D1163" s="17">
        <f>Github!G$1162</f>
        <v>54</v>
      </c>
      <c r="E1163" s="17">
        <f>Github!F$1162+Github!G$1162</f>
        <v>1370</v>
      </c>
      <c r="F1163" s="18">
        <f t="shared" si="1"/>
        <v>24.37</v>
      </c>
      <c r="G1163" s="17" t="str">
        <f>Github!H$1162</f>
        <v>Algorithms</v>
      </c>
      <c r="H1163" s="17" t="str">
        <f>Github!E$1162</f>
        <v>Medium</v>
      </c>
      <c r="I1163" s="17" t="str">
        <f>IF(TRIM(Github!D$1162)="TRUE","FALSE","TRUE")</f>
        <v>TRUE</v>
      </c>
      <c r="J1163" s="17"/>
      <c r="K1163" s="17" t="str">
        <f>Github!L$1162</f>
        <v>Tree;Depth-First Search;Breadth-First Search;Binary Tree;</v>
      </c>
      <c r="L1163" s="17" t="b">
        <f>Github!M$1162</f>
        <v>1</v>
      </c>
      <c r="M1163" s="17" t="str">
        <f>ROUND(Github!N$1162, 2)&amp;"%"</f>
        <v>0%</v>
      </c>
      <c r="N1163" s="17">
        <f>Github!O$1162</f>
        <v>66.66216882</v>
      </c>
      <c r="O1163" s="17">
        <f>Github!P$1162</f>
        <v>98806</v>
      </c>
    </row>
    <row r="1164">
      <c r="A1164" s="17">
        <f>Github!J$1163</f>
        <v>1162</v>
      </c>
      <c r="B1164" s="27" t="str">
        <f>HYPERLINK(CONCAT("http://leetcode.com/problems/",Github!C$1163), Github!B$1163)</f>
        <v>As Far from Land as Possible</v>
      </c>
      <c r="C1164" s="17">
        <f>Github!F$1163</f>
        <v>1545</v>
      </c>
      <c r="D1164" s="17">
        <f>Github!G$1163</f>
        <v>52</v>
      </c>
      <c r="E1164" s="17">
        <f>Github!F$1163+Github!G$1163</f>
        <v>1597</v>
      </c>
      <c r="F1164" s="18">
        <f t="shared" si="1"/>
        <v>29.71</v>
      </c>
      <c r="G1164" s="17" t="str">
        <f>Github!H$1163</f>
        <v>Algorithms</v>
      </c>
      <c r="H1164" s="17" t="str">
        <f>Github!E$1163</f>
        <v>Medium</v>
      </c>
      <c r="I1164" s="17" t="str">
        <f>IF(TRIM(Github!D$1163)="TRUE","FALSE","TRUE")</f>
        <v>TRUE</v>
      </c>
      <c r="J1164" s="17"/>
      <c r="K1164" s="17" t="str">
        <f>Github!L$1163</f>
        <v>Array;Dynamic Programming;Breadth-First Search;Matrix;</v>
      </c>
      <c r="L1164" s="17" t="b">
        <f>Github!M$1163</f>
        <v>0</v>
      </c>
      <c r="M1164" s="17" t="str">
        <f>ROUND(Github!N$1163, 2)&amp;"%"</f>
        <v>0%</v>
      </c>
      <c r="N1164" s="17">
        <f>Github!O$1163</f>
        <v>47.8487044</v>
      </c>
      <c r="O1164" s="17">
        <f>Github!P$1163</f>
        <v>53621</v>
      </c>
    </row>
    <row r="1165">
      <c r="A1165" s="17">
        <f>Github!J$1164</f>
        <v>1163</v>
      </c>
      <c r="B1165" s="27" t="str">
        <f>HYPERLINK(CONCAT("http://leetcode.com/problems/",Github!C$1164), Github!B$1164)</f>
        <v>Last Substring in Lexicographical Order</v>
      </c>
      <c r="C1165" s="17">
        <f>Github!F$1164</f>
        <v>426</v>
      </c>
      <c r="D1165" s="17">
        <f>Github!G$1164</f>
        <v>404</v>
      </c>
      <c r="E1165" s="17">
        <f>Github!F$1164+Github!G$1164</f>
        <v>830</v>
      </c>
      <c r="F1165" s="18">
        <f t="shared" si="1"/>
        <v>1.05</v>
      </c>
      <c r="G1165" s="17" t="str">
        <f>Github!H$1164</f>
        <v>Algorithms</v>
      </c>
      <c r="H1165" s="17" t="str">
        <f>Github!E$1164</f>
        <v>Hard</v>
      </c>
      <c r="I1165" s="17" t="str">
        <f>IF(TRIM(Github!D$1164)="TRUE","FALSE","TRUE")</f>
        <v>TRUE</v>
      </c>
      <c r="J1165" s="17"/>
      <c r="K1165" s="17" t="str">
        <f>Github!L$1164</f>
        <v>Two Pointers;String;</v>
      </c>
      <c r="L1165" s="17" t="b">
        <f>Github!M$1164</f>
        <v>0</v>
      </c>
      <c r="M1165" s="17" t="str">
        <f>ROUND(Github!N$1164, 2)&amp;"%"</f>
        <v>0%</v>
      </c>
      <c r="N1165" s="17">
        <f>Github!O$1164</f>
        <v>35.70079937</v>
      </c>
      <c r="O1165" s="17">
        <f>Github!P$1164</f>
        <v>29119</v>
      </c>
    </row>
    <row r="1166">
      <c r="A1166" s="17">
        <f>Github!J$1165</f>
        <v>1164</v>
      </c>
      <c r="B1166" s="27" t="str">
        <f>HYPERLINK(CONCAT("http://leetcode.com/problems/",Github!C$1165), Github!B$1165)</f>
        <v>Product Price at a Given Date</v>
      </c>
      <c r="C1166" s="17">
        <f>Github!F$1165</f>
        <v>229</v>
      </c>
      <c r="D1166" s="17">
        <f>Github!G$1165</f>
        <v>65</v>
      </c>
      <c r="E1166" s="17">
        <f>Github!F$1165+Github!G$1165</f>
        <v>294</v>
      </c>
      <c r="F1166" s="18">
        <f t="shared" si="1"/>
        <v>3.52</v>
      </c>
      <c r="G1166" s="17" t="str">
        <f>Github!H$1165</f>
        <v>Database</v>
      </c>
      <c r="H1166" s="17" t="str">
        <f>Github!E$1165</f>
        <v>Medium</v>
      </c>
      <c r="I1166" s="17" t="str">
        <f>IF(TRIM(Github!D$1165)="TRUE","FALSE","TRUE")</f>
        <v>FALSE</v>
      </c>
      <c r="J1166" s="17"/>
      <c r="K1166" s="17" t="str">
        <f>Github!L$1165</f>
        <v>Database;</v>
      </c>
      <c r="L1166" s="17" t="b">
        <f>Github!M$1165</f>
        <v>0</v>
      </c>
      <c r="M1166" s="17" t="str">
        <f>ROUND(Github!N$1165, 2)&amp;"%"</f>
        <v>0%</v>
      </c>
      <c r="N1166" s="17">
        <f>Github!O$1165</f>
        <v>68.31535796</v>
      </c>
      <c r="O1166" s="17">
        <f>Github!P$1165</f>
        <v>27997</v>
      </c>
    </row>
    <row r="1167">
      <c r="A1167" s="17">
        <f>Github!J$1166</f>
        <v>1165</v>
      </c>
      <c r="B1167" s="27" t="str">
        <f>HYPERLINK(CONCAT("http://leetcode.com/problems/",Github!C$1166), Github!B$1166)</f>
        <v>Single-Row Keyboard</v>
      </c>
      <c r="C1167" s="17">
        <f>Github!F$1166</f>
        <v>336</v>
      </c>
      <c r="D1167" s="17">
        <f>Github!G$1166</f>
        <v>17</v>
      </c>
      <c r="E1167" s="17">
        <f>Github!F$1166+Github!G$1166</f>
        <v>353</v>
      </c>
      <c r="F1167" s="18">
        <f t="shared" si="1"/>
        <v>19.76</v>
      </c>
      <c r="G1167" s="17" t="str">
        <f>Github!H$1166</f>
        <v>Algorithms</v>
      </c>
      <c r="H1167" s="17" t="str">
        <f>Github!E$1166</f>
        <v>Easy</v>
      </c>
      <c r="I1167" s="17" t="str">
        <f>IF(TRIM(Github!D$1166)="TRUE","FALSE","TRUE")</f>
        <v>FALSE</v>
      </c>
      <c r="J1167" s="17"/>
      <c r="K1167" s="17" t="str">
        <f>Github!L$1166</f>
        <v>Hash Table;String;</v>
      </c>
      <c r="L1167" s="17" t="b">
        <f>Github!M$1166</f>
        <v>1</v>
      </c>
      <c r="M1167" s="17" t="str">
        <f>ROUND(Github!N$1166, 2)&amp;"%"</f>
        <v>0%</v>
      </c>
      <c r="N1167" s="17">
        <f>Github!O$1166</f>
        <v>85.63757588</v>
      </c>
      <c r="O1167" s="17">
        <f>Github!P$1166</f>
        <v>57414</v>
      </c>
    </row>
    <row r="1168">
      <c r="A1168" s="17">
        <f>Github!J$1167</f>
        <v>1166</v>
      </c>
      <c r="B1168" s="27" t="str">
        <f>HYPERLINK(CONCAT("http://leetcode.com/problems/",Github!C$1167), Github!B$1167)</f>
        <v>Design File System</v>
      </c>
      <c r="C1168" s="17">
        <f>Github!F$1167</f>
        <v>264</v>
      </c>
      <c r="D1168" s="17">
        <f>Github!G$1167</f>
        <v>23</v>
      </c>
      <c r="E1168" s="17">
        <f>Github!F$1167+Github!G$1167</f>
        <v>287</v>
      </c>
      <c r="F1168" s="18">
        <f t="shared" si="1"/>
        <v>11.48</v>
      </c>
      <c r="G1168" s="17" t="str">
        <f>Github!H$1167</f>
        <v>Algorithms</v>
      </c>
      <c r="H1168" s="17" t="str">
        <f>Github!E$1167</f>
        <v>Medium</v>
      </c>
      <c r="I1168" s="17" t="str">
        <f>IF(TRIM(Github!D$1167)="TRUE","FALSE","TRUE")</f>
        <v>FALSE</v>
      </c>
      <c r="J1168" s="17"/>
      <c r="K1168" s="17" t="str">
        <f>Github!L$1167</f>
        <v>Hash Table;String;Design;Trie;</v>
      </c>
      <c r="L1168" s="17" t="b">
        <f>Github!M$1167</f>
        <v>1</v>
      </c>
      <c r="M1168" s="17" t="str">
        <f>ROUND(Github!N$1167, 2)&amp;"%"</f>
        <v>0%</v>
      </c>
      <c r="N1168" s="17">
        <f>Github!O$1167</f>
        <v>60.3035097</v>
      </c>
      <c r="O1168" s="17">
        <f>Github!P$1167</f>
        <v>20584</v>
      </c>
    </row>
    <row r="1169">
      <c r="A1169" s="17">
        <f>Github!J$1168</f>
        <v>1167</v>
      </c>
      <c r="B1169" s="27" t="str">
        <f>HYPERLINK(CONCAT("http://leetcode.com/problems/",Github!C$1168), Github!B$1168)</f>
        <v>Minimum Cost to Connect Sticks</v>
      </c>
      <c r="C1169" s="17">
        <f>Github!F$1168</f>
        <v>969</v>
      </c>
      <c r="D1169" s="17">
        <f>Github!G$1168</f>
        <v>148</v>
      </c>
      <c r="E1169" s="17">
        <f>Github!F$1168+Github!G$1168</f>
        <v>1117</v>
      </c>
      <c r="F1169" s="18">
        <f t="shared" si="1"/>
        <v>6.55</v>
      </c>
      <c r="G1169" s="17" t="str">
        <f>Github!H$1168</f>
        <v>Algorithms</v>
      </c>
      <c r="H1169" s="17" t="str">
        <f>Github!E$1168</f>
        <v>Medium</v>
      </c>
      <c r="I1169" s="17" t="str">
        <f>IF(TRIM(Github!D$1168)="TRUE","FALSE","TRUE")</f>
        <v>FALSE</v>
      </c>
      <c r="J1169" s="17"/>
      <c r="K1169" s="17" t="str">
        <f>Github!L$1168</f>
        <v>Array;Greedy;Heap (Priority Queue);</v>
      </c>
      <c r="L1169" s="17" t="b">
        <f>Github!M$1168</f>
        <v>1</v>
      </c>
      <c r="M1169" s="17" t="str">
        <f>ROUND(Github!N$1168, 2)&amp;"%"</f>
        <v>1%</v>
      </c>
      <c r="N1169" s="17">
        <f>Github!O$1168</f>
        <v>66.83027557</v>
      </c>
      <c r="O1169" s="17">
        <f>Github!P$1168</f>
        <v>81558</v>
      </c>
    </row>
    <row r="1170">
      <c r="A1170" s="17">
        <f>Github!J$1169</f>
        <v>1168</v>
      </c>
      <c r="B1170" s="27" t="str">
        <f>HYPERLINK(CONCAT("http://leetcode.com/problems/",Github!C$1169), Github!B$1169)</f>
        <v>Optimize Water Distribution in a Village</v>
      </c>
      <c r="C1170" s="17">
        <f>Github!F$1169</f>
        <v>772</v>
      </c>
      <c r="D1170" s="17">
        <f>Github!G$1169</f>
        <v>30</v>
      </c>
      <c r="E1170" s="17">
        <f>Github!F$1169+Github!G$1169</f>
        <v>802</v>
      </c>
      <c r="F1170" s="18">
        <f t="shared" si="1"/>
        <v>25.73</v>
      </c>
      <c r="G1170" s="17" t="str">
        <f>Github!H$1169</f>
        <v>Algorithms</v>
      </c>
      <c r="H1170" s="17" t="str">
        <f>Github!E$1169</f>
        <v>Hard</v>
      </c>
      <c r="I1170" s="17" t="str">
        <f>IF(TRIM(Github!D$1169)="TRUE","FALSE","TRUE")</f>
        <v>FALSE</v>
      </c>
      <c r="J1170" s="17"/>
      <c r="K1170" s="17" t="str">
        <f>Github!L$1169</f>
        <v>Union Find;Graph;Minimum Spanning Tree;</v>
      </c>
      <c r="L1170" s="17" t="b">
        <f>Github!M$1169</f>
        <v>1</v>
      </c>
      <c r="M1170" s="17" t="str">
        <f>ROUND(Github!N$1169, 2)&amp;"%"</f>
        <v>0%</v>
      </c>
      <c r="N1170" s="17">
        <f>Github!O$1169</f>
        <v>63.60032619</v>
      </c>
      <c r="O1170" s="17">
        <f>Github!P$1169</f>
        <v>28075</v>
      </c>
    </row>
    <row r="1171">
      <c r="A1171" s="17">
        <f>Github!J$1170</f>
        <v>1169</v>
      </c>
      <c r="B1171" s="27" t="str">
        <f>HYPERLINK(CONCAT("http://leetcode.com/problems/",Github!C$1170), Github!B$1170)</f>
        <v>Invalid Transactions</v>
      </c>
      <c r="C1171" s="17">
        <f>Github!F$1170</f>
        <v>271</v>
      </c>
      <c r="D1171" s="17">
        <f>Github!G$1170</f>
        <v>1394</v>
      </c>
      <c r="E1171" s="17">
        <f>Github!F$1170+Github!G$1170</f>
        <v>1665</v>
      </c>
      <c r="F1171" s="18">
        <f t="shared" si="1"/>
        <v>0.19</v>
      </c>
      <c r="G1171" s="17" t="str">
        <f>Github!H$1170</f>
        <v>Algorithms</v>
      </c>
      <c r="H1171" s="17" t="str">
        <f>Github!E$1170</f>
        <v>Medium</v>
      </c>
      <c r="I1171" s="17" t="str">
        <f>IF(TRIM(Github!D$1170)="TRUE","FALSE","TRUE")</f>
        <v>TRUE</v>
      </c>
      <c r="J1171" s="17"/>
      <c r="K1171" s="17" t="str">
        <f>Github!L$1170</f>
        <v>Array;Hash Table;String;Sorting;</v>
      </c>
      <c r="L1171" s="17" t="b">
        <f>Github!M$1170</f>
        <v>0</v>
      </c>
      <c r="M1171" s="17" t="str">
        <f>ROUND(Github!N$1170, 2)&amp;"%"</f>
        <v>0%</v>
      </c>
      <c r="N1171" s="17">
        <f>Github!O$1170</f>
        <v>30.13811939</v>
      </c>
      <c r="O1171" s="17">
        <f>Github!P$1170</f>
        <v>38622</v>
      </c>
    </row>
    <row r="1172">
      <c r="A1172" s="17">
        <f>Github!J$1171</f>
        <v>1170</v>
      </c>
      <c r="B1172" s="27" t="str">
        <f>HYPERLINK(CONCAT("http://leetcode.com/problems/",Github!C$1171), Github!B$1171)</f>
        <v>Compare Strings by Frequency of the Smallest Character</v>
      </c>
      <c r="C1172" s="17">
        <f>Github!F$1171</f>
        <v>484</v>
      </c>
      <c r="D1172" s="17">
        <f>Github!G$1171</f>
        <v>882</v>
      </c>
      <c r="E1172" s="17">
        <f>Github!F$1171+Github!G$1171</f>
        <v>1366</v>
      </c>
      <c r="F1172" s="18">
        <f t="shared" si="1"/>
        <v>0.55</v>
      </c>
      <c r="G1172" s="17" t="str">
        <f>Github!H$1171</f>
        <v>Algorithms</v>
      </c>
      <c r="H1172" s="17" t="str">
        <f>Github!E$1171</f>
        <v>Medium</v>
      </c>
      <c r="I1172" s="17" t="str">
        <f>IF(TRIM(Github!D$1171)="TRUE","FALSE","TRUE")</f>
        <v>TRUE</v>
      </c>
      <c r="J1172" s="17"/>
      <c r="K1172" s="17" t="str">
        <f>Github!L$1171</f>
        <v>Array;Hash Table;String;Binary Search;Sorting;</v>
      </c>
      <c r="L1172" s="17" t="b">
        <f>Github!M$1171</f>
        <v>0</v>
      </c>
      <c r="M1172" s="17" t="str">
        <f>ROUND(Github!N$1171, 2)&amp;"%"</f>
        <v>0%</v>
      </c>
      <c r="N1172" s="17">
        <f>Github!O$1171</f>
        <v>61.03769107</v>
      </c>
      <c r="O1172" s="17">
        <f>Github!P$1171</f>
        <v>64290</v>
      </c>
    </row>
    <row r="1173">
      <c r="A1173" s="17">
        <f>Github!J$1172</f>
        <v>1171</v>
      </c>
      <c r="B1173" s="27" t="str">
        <f>HYPERLINK(CONCAT("http://leetcode.com/problems/",Github!C$1172), Github!B$1172)</f>
        <v>Remove Zero Sum Consecutive Nodes from Linked List</v>
      </c>
      <c r="C1173" s="17">
        <f>Github!F$1172</f>
        <v>1341</v>
      </c>
      <c r="D1173" s="17">
        <f>Github!G$1172</f>
        <v>68</v>
      </c>
      <c r="E1173" s="17">
        <f>Github!F$1172+Github!G$1172</f>
        <v>1409</v>
      </c>
      <c r="F1173" s="18">
        <f t="shared" si="1"/>
        <v>19.72</v>
      </c>
      <c r="G1173" s="17" t="str">
        <f>Github!H$1172</f>
        <v>Algorithms</v>
      </c>
      <c r="H1173" s="17" t="str">
        <f>Github!E$1172</f>
        <v>Medium</v>
      </c>
      <c r="I1173" s="17" t="str">
        <f>IF(TRIM(Github!D$1172)="TRUE","FALSE","TRUE")</f>
        <v>TRUE</v>
      </c>
      <c r="J1173" s="17"/>
      <c r="K1173" s="17" t="str">
        <f>Github!L$1172</f>
        <v>Hash Table;Linked List;</v>
      </c>
      <c r="L1173" s="17" t="b">
        <f>Github!M$1172</f>
        <v>0</v>
      </c>
      <c r="M1173" s="17" t="str">
        <f>ROUND(Github!N$1172, 2)&amp;"%"</f>
        <v>0%</v>
      </c>
      <c r="N1173" s="17">
        <f>Github!O$1172</f>
        <v>42.41371208</v>
      </c>
      <c r="O1173" s="17">
        <f>Github!P$1172</f>
        <v>34297</v>
      </c>
    </row>
    <row r="1174">
      <c r="A1174" s="17">
        <f>Github!J$1173</f>
        <v>1172</v>
      </c>
      <c r="B1174" s="27" t="str">
        <f>HYPERLINK(CONCAT("http://leetcode.com/problems/",Github!C$1173), Github!B$1173)</f>
        <v>Dinner Plate Stacks</v>
      </c>
      <c r="C1174" s="17">
        <f>Github!F$1173</f>
        <v>310</v>
      </c>
      <c r="D1174" s="17">
        <f>Github!G$1173</f>
        <v>47</v>
      </c>
      <c r="E1174" s="17">
        <f>Github!F$1173+Github!G$1173</f>
        <v>357</v>
      </c>
      <c r="F1174" s="18">
        <f t="shared" si="1"/>
        <v>6.6</v>
      </c>
      <c r="G1174" s="17" t="str">
        <f>Github!H$1173</f>
        <v>Algorithms</v>
      </c>
      <c r="H1174" s="17" t="str">
        <f>Github!E$1173</f>
        <v>Hard</v>
      </c>
      <c r="I1174" s="17" t="str">
        <f>IF(TRIM(Github!D$1173)="TRUE","FALSE","TRUE")</f>
        <v>TRUE</v>
      </c>
      <c r="J1174" s="17"/>
      <c r="K1174" s="17" t="str">
        <f>Github!L$1173</f>
        <v>Hash Table;Stack;Design;Heap (Priority Queue);</v>
      </c>
      <c r="L1174" s="17" t="b">
        <f>Github!M$1173</f>
        <v>0</v>
      </c>
      <c r="M1174" s="17" t="str">
        <f>ROUND(Github!N$1173, 2)&amp;"%"</f>
        <v>0%</v>
      </c>
      <c r="N1174" s="17">
        <f>Github!O$1173</f>
        <v>34.64404298</v>
      </c>
      <c r="O1174" s="17">
        <f>Github!P$1173</f>
        <v>13251</v>
      </c>
    </row>
    <row r="1175">
      <c r="A1175" s="17">
        <f>Github!J$1174</f>
        <v>1173</v>
      </c>
      <c r="B1175" s="27" t="str">
        <f>HYPERLINK(CONCAT("http://leetcode.com/problems/",Github!C$1174), Github!B$1174)</f>
        <v>Immediate Food Delivery I</v>
      </c>
      <c r="C1175" s="17">
        <f>Github!F$1174</f>
        <v>148</v>
      </c>
      <c r="D1175" s="17">
        <f>Github!G$1174</f>
        <v>8</v>
      </c>
      <c r="E1175" s="17">
        <f>Github!F$1174+Github!G$1174</f>
        <v>156</v>
      </c>
      <c r="F1175" s="18">
        <f t="shared" si="1"/>
        <v>18.5</v>
      </c>
      <c r="G1175" s="17" t="str">
        <f>Github!H$1174</f>
        <v>Database</v>
      </c>
      <c r="H1175" s="17" t="str">
        <f>Github!E$1174</f>
        <v>Easy</v>
      </c>
      <c r="I1175" s="17" t="str">
        <f>IF(TRIM(Github!D$1174)="TRUE","FALSE","TRUE")</f>
        <v>FALSE</v>
      </c>
      <c r="J1175" s="17"/>
      <c r="K1175" s="17" t="str">
        <f>Github!L$1174</f>
        <v>Database;</v>
      </c>
      <c r="L1175" s="17" t="b">
        <f>Github!M$1174</f>
        <v>0</v>
      </c>
      <c r="M1175" s="17" t="str">
        <f>ROUND(Github!N$1174, 2)&amp;"%"</f>
        <v>0%</v>
      </c>
      <c r="N1175" s="17">
        <f>Github!O$1174</f>
        <v>83.19491939</v>
      </c>
      <c r="O1175" s="17">
        <f>Github!P$1174</f>
        <v>35763</v>
      </c>
    </row>
    <row r="1176">
      <c r="A1176" s="17">
        <f>Github!J$1175</f>
        <v>1174</v>
      </c>
      <c r="B1176" s="27" t="str">
        <f>HYPERLINK(CONCAT("http://leetcode.com/problems/",Github!C$1175), Github!B$1175)</f>
        <v>Immediate Food Delivery II</v>
      </c>
      <c r="C1176" s="17">
        <f>Github!F$1175</f>
        <v>83</v>
      </c>
      <c r="D1176" s="17">
        <f>Github!G$1175</f>
        <v>43</v>
      </c>
      <c r="E1176" s="17">
        <f>Github!F$1175+Github!G$1175</f>
        <v>126</v>
      </c>
      <c r="F1176" s="18">
        <f t="shared" si="1"/>
        <v>1.93</v>
      </c>
      <c r="G1176" s="17" t="str">
        <f>Github!H$1175</f>
        <v>Database</v>
      </c>
      <c r="H1176" s="17" t="str">
        <f>Github!E$1175</f>
        <v>Medium</v>
      </c>
      <c r="I1176" s="17" t="str">
        <f>IF(TRIM(Github!D$1175)="TRUE","FALSE","TRUE")</f>
        <v>FALSE</v>
      </c>
      <c r="J1176" s="17"/>
      <c r="K1176" s="17" t="str">
        <f>Github!L$1175</f>
        <v>Database;</v>
      </c>
      <c r="L1176" s="17" t="b">
        <f>Github!M$1175</f>
        <v>0</v>
      </c>
      <c r="M1176" s="17" t="str">
        <f>ROUND(Github!N$1175, 2)&amp;"%"</f>
        <v>0%</v>
      </c>
      <c r="N1176" s="17">
        <f>Github!O$1175</f>
        <v>63.60270158</v>
      </c>
      <c r="O1176" s="17">
        <f>Github!P$1175</f>
        <v>21471</v>
      </c>
    </row>
    <row r="1177">
      <c r="A1177" s="17">
        <f>Github!J$1176</f>
        <v>1175</v>
      </c>
      <c r="B1177" s="27" t="str">
        <f>HYPERLINK(CONCAT("http://leetcode.com/problems/",Github!C$1176), Github!B$1176)</f>
        <v>Prime Arrangements</v>
      </c>
      <c r="C1177" s="17">
        <f>Github!F$1176</f>
        <v>234</v>
      </c>
      <c r="D1177" s="17">
        <f>Github!G$1176</f>
        <v>343</v>
      </c>
      <c r="E1177" s="17">
        <f>Github!F$1176+Github!G$1176</f>
        <v>577</v>
      </c>
      <c r="F1177" s="18">
        <f t="shared" si="1"/>
        <v>0.68</v>
      </c>
      <c r="G1177" s="17" t="str">
        <f>Github!H$1176</f>
        <v>Algorithms</v>
      </c>
      <c r="H1177" s="17" t="str">
        <f>Github!E$1176</f>
        <v>Easy</v>
      </c>
      <c r="I1177" s="17" t="str">
        <f>IF(TRIM(Github!D$1176)="TRUE","FALSE","TRUE")</f>
        <v>TRUE</v>
      </c>
      <c r="J1177" s="17"/>
      <c r="K1177" s="17" t="str">
        <f>Github!L$1176</f>
        <v>Math;</v>
      </c>
      <c r="L1177" s="17" t="b">
        <f>Github!M$1176</f>
        <v>0</v>
      </c>
      <c r="M1177" s="17" t="str">
        <f>ROUND(Github!N$1176, 2)&amp;"%"</f>
        <v>0%</v>
      </c>
      <c r="N1177" s="17">
        <f>Github!O$1176</f>
        <v>52.67357261</v>
      </c>
      <c r="O1177" s="17">
        <f>Github!P$1176</f>
        <v>19475</v>
      </c>
    </row>
    <row r="1178">
      <c r="A1178" s="17">
        <f>Github!J$1177</f>
        <v>1176</v>
      </c>
      <c r="B1178" s="27" t="str">
        <f>HYPERLINK(CONCAT("http://leetcode.com/problems/",Github!C$1177), Github!B$1177)</f>
        <v>Diet Plan Performance</v>
      </c>
      <c r="C1178" s="17">
        <f>Github!F$1177</f>
        <v>117</v>
      </c>
      <c r="D1178" s="17">
        <f>Github!G$1177</f>
        <v>252</v>
      </c>
      <c r="E1178" s="17">
        <f>Github!F$1177+Github!G$1177</f>
        <v>369</v>
      </c>
      <c r="F1178" s="18">
        <f t="shared" si="1"/>
        <v>0.46</v>
      </c>
      <c r="G1178" s="17" t="str">
        <f>Github!H$1177</f>
        <v>Algorithms</v>
      </c>
      <c r="H1178" s="17" t="str">
        <f>Github!E$1177</f>
        <v>Easy</v>
      </c>
      <c r="I1178" s="17" t="str">
        <f>IF(TRIM(Github!D$1177)="TRUE","FALSE","TRUE")</f>
        <v>FALSE</v>
      </c>
      <c r="J1178" s="17"/>
      <c r="K1178" s="17" t="str">
        <f>Github!L$1177</f>
        <v>Array;Sliding Window;</v>
      </c>
      <c r="L1178" s="17" t="b">
        <f>Github!M$1177</f>
        <v>0</v>
      </c>
      <c r="M1178" s="17" t="str">
        <f>ROUND(Github!N$1177, 2)&amp;"%"</f>
        <v>0%</v>
      </c>
      <c r="N1178" s="17">
        <f>Github!O$1177</f>
        <v>52.71628428</v>
      </c>
      <c r="O1178" s="17">
        <f>Github!P$1177</f>
        <v>23551</v>
      </c>
    </row>
    <row r="1179">
      <c r="A1179" s="17">
        <f>Github!J$1178</f>
        <v>1177</v>
      </c>
      <c r="B1179" s="27" t="str">
        <f>HYPERLINK(CONCAT("http://leetcode.com/problems/",Github!C$1178), Github!B$1178)</f>
        <v>Can Make Palindrome from Substring</v>
      </c>
      <c r="C1179" s="17">
        <f>Github!F$1178</f>
        <v>518</v>
      </c>
      <c r="D1179" s="17">
        <f>Github!G$1178</f>
        <v>222</v>
      </c>
      <c r="E1179" s="17">
        <f>Github!F$1178+Github!G$1178</f>
        <v>740</v>
      </c>
      <c r="F1179" s="18">
        <f t="shared" si="1"/>
        <v>2.33</v>
      </c>
      <c r="G1179" s="17" t="str">
        <f>Github!H$1178</f>
        <v>Algorithms</v>
      </c>
      <c r="H1179" s="17" t="str">
        <f>Github!E$1178</f>
        <v>Medium</v>
      </c>
      <c r="I1179" s="17" t="str">
        <f>IF(TRIM(Github!D$1178)="TRUE","FALSE","TRUE")</f>
        <v>TRUE</v>
      </c>
      <c r="J1179" s="17"/>
      <c r="K1179" s="17" t="str">
        <f>Github!L$1178</f>
        <v>Hash Table;String;Bit Manipulation;Prefix Sum;</v>
      </c>
      <c r="L1179" s="17" t="b">
        <f>Github!M$1178</f>
        <v>0</v>
      </c>
      <c r="M1179" s="17" t="str">
        <f>ROUND(Github!N$1178, 2)&amp;"%"</f>
        <v>0%</v>
      </c>
      <c r="N1179" s="17">
        <f>Github!O$1178</f>
        <v>37.23958333</v>
      </c>
      <c r="O1179" s="17">
        <f>Github!P$1178</f>
        <v>19591</v>
      </c>
    </row>
    <row r="1180">
      <c r="A1180" s="17">
        <f>Github!J$1179</f>
        <v>1178</v>
      </c>
      <c r="B1180" s="27" t="str">
        <f>HYPERLINK(CONCAT("http://leetcode.com/problems/",Github!C$1179), Github!B$1179)</f>
        <v>Number of Valid Words for Each Puzzle</v>
      </c>
      <c r="C1180" s="17">
        <f>Github!F$1179</f>
        <v>1055</v>
      </c>
      <c r="D1180" s="17">
        <f>Github!G$1179</f>
        <v>71</v>
      </c>
      <c r="E1180" s="17">
        <f>Github!F$1179+Github!G$1179</f>
        <v>1126</v>
      </c>
      <c r="F1180" s="18">
        <f t="shared" si="1"/>
        <v>14.86</v>
      </c>
      <c r="G1180" s="17" t="str">
        <f>Github!H$1179</f>
        <v>Algorithms</v>
      </c>
      <c r="H1180" s="17" t="str">
        <f>Github!E$1179</f>
        <v>Hard</v>
      </c>
      <c r="I1180" s="17" t="str">
        <f>IF(TRIM(Github!D$1179)="TRUE","FALSE","TRUE")</f>
        <v>TRUE</v>
      </c>
      <c r="J1180" s="17"/>
      <c r="K1180" s="17" t="str">
        <f>Github!L$1179</f>
        <v>Array;Hash Table;String;Bit Manipulation;Trie;</v>
      </c>
      <c r="L1180" s="17" t="b">
        <f>Github!M$1179</f>
        <v>1</v>
      </c>
      <c r="M1180" s="17" t="str">
        <f>ROUND(Github!N$1179, 2)&amp;"%"</f>
        <v>0%</v>
      </c>
      <c r="N1180" s="17">
        <f>Github!O$1179</f>
        <v>46.88285526</v>
      </c>
      <c r="O1180" s="17">
        <f>Github!P$1179</f>
        <v>26298</v>
      </c>
    </row>
    <row r="1181">
      <c r="A1181" s="17">
        <f>Github!J$1180</f>
        <v>1179</v>
      </c>
      <c r="B1181" s="27" t="str">
        <f>HYPERLINK(CONCAT("http://leetcode.com/problems/",Github!C$1180), Github!B$1180)</f>
        <v>Reformat Department Table</v>
      </c>
      <c r="C1181" s="17">
        <f>Github!F$1180</f>
        <v>414</v>
      </c>
      <c r="D1181" s="17">
        <f>Github!G$1180</f>
        <v>307</v>
      </c>
      <c r="E1181" s="17">
        <f>Github!F$1180+Github!G$1180</f>
        <v>721</v>
      </c>
      <c r="F1181" s="18">
        <f t="shared" si="1"/>
        <v>1.35</v>
      </c>
      <c r="G1181" s="17" t="str">
        <f>Github!H$1180</f>
        <v>Database</v>
      </c>
      <c r="H1181" s="17" t="str">
        <f>Github!E$1180</f>
        <v>Easy</v>
      </c>
      <c r="I1181" s="17" t="str">
        <f>IF(TRIM(Github!D$1180)="TRUE","FALSE","TRUE")</f>
        <v>TRUE</v>
      </c>
      <c r="J1181" s="17"/>
      <c r="K1181" s="17" t="str">
        <f>Github!L$1180</f>
        <v>Database;</v>
      </c>
      <c r="L1181" s="17" t="b">
        <f>Github!M$1180</f>
        <v>0</v>
      </c>
      <c r="M1181" s="17" t="str">
        <f>ROUND(Github!N$1180, 2)&amp;"%"</f>
        <v>0%</v>
      </c>
      <c r="N1181" s="17">
        <f>Github!O$1180</f>
        <v>82.27777155</v>
      </c>
      <c r="O1181" s="17">
        <f>Github!P$1180</f>
        <v>66060</v>
      </c>
    </row>
    <row r="1182">
      <c r="A1182" s="17">
        <f>Github!J$1181</f>
        <v>1180</v>
      </c>
      <c r="B1182" s="27" t="str">
        <f>HYPERLINK(CONCAT("http://leetcode.com/problems/",Github!C$1181), Github!B$1181)</f>
        <v>Count Substrings with Only One Distinct Letter</v>
      </c>
      <c r="C1182" s="17">
        <f>Github!F$1181</f>
        <v>262</v>
      </c>
      <c r="D1182" s="17">
        <f>Github!G$1181</f>
        <v>42</v>
      </c>
      <c r="E1182" s="17">
        <f>Github!F$1181+Github!G$1181</f>
        <v>304</v>
      </c>
      <c r="F1182" s="18">
        <f t="shared" si="1"/>
        <v>6.24</v>
      </c>
      <c r="G1182" s="17" t="str">
        <f>Github!H$1181</f>
        <v>Algorithms</v>
      </c>
      <c r="H1182" s="17" t="str">
        <f>Github!E$1181</f>
        <v>Easy</v>
      </c>
      <c r="I1182" s="17" t="str">
        <f>IF(TRIM(Github!D$1181)="TRUE","FALSE","TRUE")</f>
        <v>FALSE</v>
      </c>
      <c r="J1182" s="17"/>
      <c r="K1182" s="17" t="str">
        <f>Github!L$1181</f>
        <v>Math;String;</v>
      </c>
      <c r="L1182" s="17" t="b">
        <f>Github!M$1181</f>
        <v>1</v>
      </c>
      <c r="M1182" s="17" t="str">
        <f>ROUND(Github!N$1181, 2)&amp;"%"</f>
        <v>0%</v>
      </c>
      <c r="N1182" s="17">
        <f>Github!O$1181</f>
        <v>78.72282397</v>
      </c>
      <c r="O1182" s="17">
        <f>Github!P$1181</f>
        <v>20205</v>
      </c>
    </row>
    <row r="1183">
      <c r="A1183" s="17">
        <f>Github!J$1182</f>
        <v>1181</v>
      </c>
      <c r="B1183" s="27" t="str">
        <f>HYPERLINK(CONCAT("http://leetcode.com/problems/",Github!C$1182), Github!B$1182)</f>
        <v>Before and After Puzzle</v>
      </c>
      <c r="C1183" s="17">
        <f>Github!F$1182</f>
        <v>61</v>
      </c>
      <c r="D1183" s="17">
        <f>Github!G$1182</f>
        <v>140</v>
      </c>
      <c r="E1183" s="17">
        <f>Github!F$1182+Github!G$1182</f>
        <v>201</v>
      </c>
      <c r="F1183" s="18">
        <f t="shared" si="1"/>
        <v>0.44</v>
      </c>
      <c r="G1183" s="17" t="str">
        <f>Github!H$1182</f>
        <v>Algorithms</v>
      </c>
      <c r="H1183" s="17" t="str">
        <f>Github!E$1182</f>
        <v>Medium</v>
      </c>
      <c r="I1183" s="17" t="str">
        <f>IF(TRIM(Github!D$1182)="TRUE","FALSE","TRUE")</f>
        <v>FALSE</v>
      </c>
      <c r="J1183" s="17"/>
      <c r="K1183" s="17" t="str">
        <f>Github!L$1182</f>
        <v>Array;Hash Table;String;Sorting;</v>
      </c>
      <c r="L1183" s="17" t="b">
        <f>Github!M$1182</f>
        <v>0</v>
      </c>
      <c r="M1183" s="17" t="str">
        <f>ROUND(Github!N$1182, 2)&amp;"%"</f>
        <v>0%</v>
      </c>
      <c r="N1183" s="17">
        <f>Github!O$1182</f>
        <v>44.92092457</v>
      </c>
      <c r="O1183" s="17">
        <f>Github!P$1182</f>
        <v>8861</v>
      </c>
    </row>
    <row r="1184">
      <c r="A1184" s="17">
        <f>Github!J$1183</f>
        <v>1182</v>
      </c>
      <c r="B1184" s="27" t="str">
        <f>HYPERLINK(CONCAT("http://leetcode.com/problems/",Github!C$1183), Github!B$1183)</f>
        <v>Shortest Distance to Target Color</v>
      </c>
      <c r="C1184" s="17">
        <f>Github!F$1183</f>
        <v>342</v>
      </c>
      <c r="D1184" s="17">
        <f>Github!G$1183</f>
        <v>15</v>
      </c>
      <c r="E1184" s="17">
        <f>Github!F$1183+Github!G$1183</f>
        <v>357</v>
      </c>
      <c r="F1184" s="18">
        <f t="shared" si="1"/>
        <v>22.8</v>
      </c>
      <c r="G1184" s="17" t="str">
        <f>Github!H$1183</f>
        <v>Algorithms</v>
      </c>
      <c r="H1184" s="17" t="str">
        <f>Github!E$1183</f>
        <v>Medium</v>
      </c>
      <c r="I1184" s="17" t="str">
        <f>IF(TRIM(Github!D$1183)="TRUE","FALSE","TRUE")</f>
        <v>FALSE</v>
      </c>
      <c r="J1184" s="17"/>
      <c r="K1184" s="17" t="str">
        <f>Github!L$1183</f>
        <v>Array;Binary Search;Dynamic Programming;</v>
      </c>
      <c r="L1184" s="17" t="b">
        <f>Github!M$1183</f>
        <v>1</v>
      </c>
      <c r="M1184" s="17" t="str">
        <f>ROUND(Github!N$1183, 2)&amp;"%"</f>
        <v>0%</v>
      </c>
      <c r="N1184" s="17">
        <f>Github!O$1183</f>
        <v>54.23876077</v>
      </c>
      <c r="O1184" s="17">
        <f>Github!P$1183</f>
        <v>21848</v>
      </c>
    </row>
    <row r="1185">
      <c r="A1185" s="17">
        <f>Github!J$1184</f>
        <v>1183</v>
      </c>
      <c r="B1185" s="27" t="str">
        <f>HYPERLINK(CONCAT("http://leetcode.com/problems/",Github!C$1184), Github!B$1184)</f>
        <v>Maximum Number of Ones</v>
      </c>
      <c r="C1185" s="17">
        <f>Github!F$1184</f>
        <v>98</v>
      </c>
      <c r="D1185" s="17">
        <f>Github!G$1184</f>
        <v>9</v>
      </c>
      <c r="E1185" s="17">
        <f>Github!F$1184+Github!G$1184</f>
        <v>107</v>
      </c>
      <c r="F1185" s="18">
        <f t="shared" si="1"/>
        <v>10.89</v>
      </c>
      <c r="G1185" s="17" t="str">
        <f>Github!H$1184</f>
        <v>Algorithms</v>
      </c>
      <c r="H1185" s="17" t="str">
        <f>Github!E$1184</f>
        <v>Hard</v>
      </c>
      <c r="I1185" s="17" t="str">
        <f>IF(TRIM(Github!D$1184)="TRUE","FALSE","TRUE")</f>
        <v>FALSE</v>
      </c>
      <c r="J1185" s="17"/>
      <c r="K1185" s="17" t="str">
        <f>Github!L$1184</f>
        <v>Greedy;Heap (Priority Queue);</v>
      </c>
      <c r="L1185" s="17" t="b">
        <f>Github!M$1184</f>
        <v>0</v>
      </c>
      <c r="M1185" s="17" t="str">
        <f>ROUND(Github!N$1184, 2)&amp;"%"</f>
        <v>0%</v>
      </c>
      <c r="N1185" s="17">
        <f>Github!O$1184</f>
        <v>59.88041002</v>
      </c>
      <c r="O1185" s="17">
        <f>Github!P$1184</f>
        <v>2103</v>
      </c>
    </row>
    <row r="1186">
      <c r="A1186" s="17">
        <f>Github!J$1185</f>
        <v>1184</v>
      </c>
      <c r="B1186" s="27" t="str">
        <f>HYPERLINK(CONCAT("http://leetcode.com/problems/",Github!C$1185), Github!B$1185)</f>
        <v>Distance Between Bus Stops</v>
      </c>
      <c r="C1186" s="17">
        <f>Github!F$1185</f>
        <v>502</v>
      </c>
      <c r="D1186" s="17">
        <f>Github!G$1185</f>
        <v>58</v>
      </c>
      <c r="E1186" s="17">
        <f>Github!F$1185+Github!G$1185</f>
        <v>560</v>
      </c>
      <c r="F1186" s="18">
        <f t="shared" si="1"/>
        <v>8.66</v>
      </c>
      <c r="G1186" s="17" t="str">
        <f>Github!H$1185</f>
        <v>Algorithms</v>
      </c>
      <c r="H1186" s="17" t="str">
        <f>Github!E$1185</f>
        <v>Easy</v>
      </c>
      <c r="I1186" s="17" t="str">
        <f>IF(TRIM(Github!D$1185)="TRUE","FALSE","TRUE")</f>
        <v>TRUE</v>
      </c>
      <c r="J1186" s="17"/>
      <c r="K1186" s="17" t="str">
        <f>Github!L$1185</f>
        <v>Array;</v>
      </c>
      <c r="L1186" s="17" t="b">
        <f>Github!M$1185</f>
        <v>0</v>
      </c>
      <c r="M1186" s="17" t="str">
        <f>ROUND(Github!N$1185, 2)&amp;"%"</f>
        <v>0%</v>
      </c>
      <c r="N1186" s="17">
        <f>Github!O$1185</f>
        <v>54.07409397</v>
      </c>
      <c r="O1186" s="17">
        <f>Github!P$1185</f>
        <v>40256</v>
      </c>
    </row>
    <row r="1187">
      <c r="A1187" s="17">
        <f>Github!J$1186</f>
        <v>1185</v>
      </c>
      <c r="B1187" s="27" t="str">
        <f>HYPERLINK(CONCAT("http://leetcode.com/problems/",Github!C$1186), Github!B$1186)</f>
        <v>Day of the Week</v>
      </c>
      <c r="C1187" s="17">
        <f>Github!F$1186</f>
        <v>222</v>
      </c>
      <c r="D1187" s="17">
        <f>Github!G$1186</f>
        <v>1839</v>
      </c>
      <c r="E1187" s="17">
        <f>Github!F$1186+Github!G$1186</f>
        <v>2061</v>
      </c>
      <c r="F1187" s="18">
        <f t="shared" si="1"/>
        <v>0.12</v>
      </c>
      <c r="G1187" s="17" t="str">
        <f>Github!H$1186</f>
        <v>Algorithms</v>
      </c>
      <c r="H1187" s="17" t="str">
        <f>Github!E$1186</f>
        <v>Easy</v>
      </c>
      <c r="I1187" s="17" t="str">
        <f>IF(TRIM(Github!D$1186)="TRUE","FALSE","TRUE")</f>
        <v>TRUE</v>
      </c>
      <c r="J1187" s="17"/>
      <c r="K1187" s="17" t="str">
        <f>Github!L$1186</f>
        <v>Math;</v>
      </c>
      <c r="L1187" s="17" t="b">
        <f>Github!M$1186</f>
        <v>0</v>
      </c>
      <c r="M1187" s="17" t="str">
        <f>ROUND(Github!N$1186, 2)&amp;"%"</f>
        <v>0%</v>
      </c>
      <c r="N1187" s="17">
        <f>Github!O$1186</f>
        <v>58.69332733</v>
      </c>
      <c r="O1187" s="17">
        <f>Github!P$1186</f>
        <v>41710</v>
      </c>
    </row>
    <row r="1188">
      <c r="A1188" s="17">
        <f>Github!J$1187</f>
        <v>1186</v>
      </c>
      <c r="B1188" s="27" t="str">
        <f>HYPERLINK(CONCAT("http://leetcode.com/problems/",Github!C$1187), Github!B$1187)</f>
        <v>Maximum Subarray Sum with One Deletion</v>
      </c>
      <c r="C1188" s="17">
        <f>Github!F$1187</f>
        <v>1181</v>
      </c>
      <c r="D1188" s="17">
        <f>Github!G$1187</f>
        <v>42</v>
      </c>
      <c r="E1188" s="17">
        <f>Github!F$1187+Github!G$1187</f>
        <v>1223</v>
      </c>
      <c r="F1188" s="18">
        <f t="shared" si="1"/>
        <v>28.12</v>
      </c>
      <c r="G1188" s="17" t="str">
        <f>Github!H$1187</f>
        <v>Algorithms</v>
      </c>
      <c r="H1188" s="17" t="str">
        <f>Github!E$1187</f>
        <v>Medium</v>
      </c>
      <c r="I1188" s="17" t="str">
        <f>IF(TRIM(Github!D$1187)="TRUE","FALSE","TRUE")</f>
        <v>TRUE</v>
      </c>
      <c r="J1188" s="17"/>
      <c r="K1188" s="17" t="str">
        <f>Github!L$1187</f>
        <v>Array;Dynamic Programming;</v>
      </c>
      <c r="L1188" s="17" t="b">
        <f>Github!M$1187</f>
        <v>0</v>
      </c>
      <c r="M1188" s="17" t="str">
        <f>ROUND(Github!N$1187, 2)&amp;"%"</f>
        <v>0%</v>
      </c>
      <c r="N1188" s="17">
        <f>Github!O$1187</f>
        <v>40.51604733</v>
      </c>
      <c r="O1188" s="17">
        <f>Github!P$1187</f>
        <v>30714</v>
      </c>
    </row>
    <row r="1189">
      <c r="A1189" s="17">
        <f>Github!J$1188</f>
        <v>1187</v>
      </c>
      <c r="B1189" s="27" t="str">
        <f>HYPERLINK(CONCAT("http://leetcode.com/problems/",Github!C$1188), Github!B$1188)</f>
        <v>Make Array Strictly Increasing</v>
      </c>
      <c r="C1189" s="17">
        <f>Github!F$1188</f>
        <v>578</v>
      </c>
      <c r="D1189" s="17">
        <f>Github!G$1188</f>
        <v>16</v>
      </c>
      <c r="E1189" s="17">
        <f>Github!F$1188+Github!G$1188</f>
        <v>594</v>
      </c>
      <c r="F1189" s="18">
        <f t="shared" si="1"/>
        <v>36.13</v>
      </c>
      <c r="G1189" s="17" t="str">
        <f>Github!H$1188</f>
        <v>Algorithms</v>
      </c>
      <c r="H1189" s="17" t="str">
        <f>Github!E$1188</f>
        <v>Hard</v>
      </c>
      <c r="I1189" s="17" t="str">
        <f>IF(TRIM(Github!D$1188)="TRUE","FALSE","TRUE")</f>
        <v>TRUE</v>
      </c>
      <c r="J1189" s="17"/>
      <c r="K1189" s="17" t="str">
        <f>Github!L$1188</f>
        <v>Array;Binary Search;Dynamic Programming;</v>
      </c>
      <c r="L1189" s="17" t="b">
        <f>Github!M$1188</f>
        <v>0</v>
      </c>
      <c r="M1189" s="17" t="str">
        <f>ROUND(Github!N$1188, 2)&amp;"%"</f>
        <v>0%</v>
      </c>
      <c r="N1189" s="17">
        <f>Github!O$1188</f>
        <v>44.52428743</v>
      </c>
      <c r="O1189" s="17">
        <f>Github!P$1188</f>
        <v>11091</v>
      </c>
    </row>
    <row r="1190">
      <c r="A1190" s="17">
        <f>Github!J$1189</f>
        <v>1188</v>
      </c>
      <c r="B1190" s="27" t="str">
        <f>HYPERLINK(CONCAT("http://leetcode.com/problems/",Github!C$1189), Github!B$1189)</f>
        <v>Design Bounded Blocking Queue</v>
      </c>
      <c r="C1190" s="17">
        <f>Github!F$1189</f>
        <v>393</v>
      </c>
      <c r="D1190" s="17">
        <f>Github!G$1189</f>
        <v>31</v>
      </c>
      <c r="E1190" s="17">
        <f>Github!F$1189+Github!G$1189</f>
        <v>424</v>
      </c>
      <c r="F1190" s="18">
        <f t="shared" si="1"/>
        <v>12.68</v>
      </c>
      <c r="G1190" s="17" t="str">
        <f>Github!H$1189</f>
        <v>Concurrency</v>
      </c>
      <c r="H1190" s="17" t="str">
        <f>Github!E$1189</f>
        <v>Medium</v>
      </c>
      <c r="I1190" s="17" t="str">
        <f>IF(TRIM(Github!D$1189)="TRUE","FALSE","TRUE")</f>
        <v>FALSE</v>
      </c>
      <c r="J1190" s="17"/>
      <c r="K1190" s="17" t="str">
        <f>Github!L$1189</f>
        <v>Concurrency;</v>
      </c>
      <c r="L1190" s="17" t="b">
        <f>Github!M$1189</f>
        <v>0</v>
      </c>
      <c r="M1190" s="17" t="str">
        <f>ROUND(Github!N$1189, 2)&amp;"%"</f>
        <v>0%</v>
      </c>
      <c r="N1190" s="17">
        <f>Github!O$1189</f>
        <v>72.95354803</v>
      </c>
      <c r="O1190" s="17">
        <f>Github!P$1189</f>
        <v>34410</v>
      </c>
    </row>
    <row r="1191">
      <c r="A1191" s="17">
        <f>Github!J$1190</f>
        <v>1189</v>
      </c>
      <c r="B1191" s="27" t="str">
        <f>HYPERLINK(CONCAT("http://leetcode.com/problems/",Github!C$1190), Github!B$1190)</f>
        <v>Maximum Number of Balloons</v>
      </c>
      <c r="C1191" s="17">
        <f>Github!F$1190</f>
        <v>977</v>
      </c>
      <c r="D1191" s="17">
        <f>Github!G$1190</f>
        <v>66</v>
      </c>
      <c r="E1191" s="17">
        <f>Github!F$1190+Github!G$1190</f>
        <v>1043</v>
      </c>
      <c r="F1191" s="18">
        <f t="shared" si="1"/>
        <v>14.8</v>
      </c>
      <c r="G1191" s="17" t="str">
        <f>Github!H$1190</f>
        <v>Algorithms</v>
      </c>
      <c r="H1191" s="17" t="str">
        <f>Github!E$1190</f>
        <v>Easy</v>
      </c>
      <c r="I1191" s="17" t="str">
        <f>IF(TRIM(Github!D$1190)="TRUE","FALSE","TRUE")</f>
        <v>TRUE</v>
      </c>
      <c r="J1191" s="17"/>
      <c r="K1191" s="17" t="str">
        <f>Github!L$1190</f>
        <v>Hash Table;String;Counting;</v>
      </c>
      <c r="L1191" s="17" t="b">
        <f>Github!M$1190</f>
        <v>1</v>
      </c>
      <c r="M1191" s="17" t="str">
        <f>ROUND(Github!N$1190, 2)&amp;"%"</f>
        <v>0%</v>
      </c>
      <c r="N1191" s="17">
        <f>Github!O$1190</f>
        <v>62.55441407</v>
      </c>
      <c r="O1191" s="17">
        <f>Github!P$1190</f>
        <v>107775</v>
      </c>
    </row>
    <row r="1192">
      <c r="A1192" s="17">
        <f>Github!J$1191</f>
        <v>1190</v>
      </c>
      <c r="B1192" s="27" t="str">
        <f>HYPERLINK(CONCAT("http://leetcode.com/problems/",Github!C$1191), Github!B$1191)</f>
        <v>Reverse Substrings Between Each Pair of Parentheses</v>
      </c>
      <c r="C1192" s="17">
        <f>Github!F$1191</f>
        <v>1218</v>
      </c>
      <c r="D1192" s="17">
        <f>Github!G$1191</f>
        <v>34</v>
      </c>
      <c r="E1192" s="17">
        <f>Github!F$1191+Github!G$1191</f>
        <v>1252</v>
      </c>
      <c r="F1192" s="18">
        <f t="shared" si="1"/>
        <v>35.82</v>
      </c>
      <c r="G1192" s="17" t="str">
        <f>Github!H$1191</f>
        <v>Algorithms</v>
      </c>
      <c r="H1192" s="17" t="str">
        <f>Github!E$1191</f>
        <v>Medium</v>
      </c>
      <c r="I1192" s="17" t="str">
        <f>IF(TRIM(Github!D$1191)="TRUE","FALSE","TRUE")</f>
        <v>TRUE</v>
      </c>
      <c r="J1192" s="17"/>
      <c r="K1192" s="17" t="str">
        <f>Github!L$1191</f>
        <v>String;Stack;</v>
      </c>
      <c r="L1192" s="17" t="b">
        <f>Github!M$1191</f>
        <v>0</v>
      </c>
      <c r="M1192" s="17" t="str">
        <f>ROUND(Github!N$1191, 2)&amp;"%"</f>
        <v>0%</v>
      </c>
      <c r="N1192" s="17">
        <f>Github!O$1191</f>
        <v>65.60086324</v>
      </c>
      <c r="O1192" s="17">
        <f>Github!P$1191</f>
        <v>46204</v>
      </c>
    </row>
    <row r="1193">
      <c r="A1193" s="17">
        <f>Github!J$1192</f>
        <v>1191</v>
      </c>
      <c r="B1193" s="27" t="str">
        <f>HYPERLINK(CONCAT("http://leetcode.com/problems/",Github!C$1192), Github!B$1192)</f>
        <v>K-Concatenation Maximum Sum</v>
      </c>
      <c r="C1193" s="17">
        <f>Github!F$1192</f>
        <v>852</v>
      </c>
      <c r="D1193" s="17">
        <f>Github!G$1192</f>
        <v>80</v>
      </c>
      <c r="E1193" s="17">
        <f>Github!F$1192+Github!G$1192</f>
        <v>932</v>
      </c>
      <c r="F1193" s="18">
        <f t="shared" si="1"/>
        <v>10.65</v>
      </c>
      <c r="G1193" s="17" t="str">
        <f>Github!H$1192</f>
        <v>Algorithms</v>
      </c>
      <c r="H1193" s="17" t="str">
        <f>Github!E$1192</f>
        <v>Medium</v>
      </c>
      <c r="I1193" s="17" t="str">
        <f>IF(TRIM(Github!D$1192)="TRUE","FALSE","TRUE")</f>
        <v>TRUE</v>
      </c>
      <c r="J1193" s="17"/>
      <c r="K1193" s="17" t="str">
        <f>Github!L$1192</f>
        <v>Array;Dynamic Programming;</v>
      </c>
      <c r="L1193" s="17" t="b">
        <f>Github!M$1192</f>
        <v>0</v>
      </c>
      <c r="M1193" s="17" t="str">
        <f>ROUND(Github!N$1192, 2)&amp;"%"</f>
        <v>0%</v>
      </c>
      <c r="N1193" s="17">
        <f>Github!O$1192</f>
        <v>24.13375358</v>
      </c>
      <c r="O1193" s="17">
        <f>Github!P$1192</f>
        <v>23507</v>
      </c>
    </row>
    <row r="1194">
      <c r="A1194" s="17">
        <f>Github!J$1193</f>
        <v>1192</v>
      </c>
      <c r="B1194" s="27" t="str">
        <f>HYPERLINK(CONCAT("http://leetcode.com/problems/",Github!C$1193), Github!B$1193)</f>
        <v>Critical Connections in a Network</v>
      </c>
      <c r="C1194" s="17">
        <f>Github!F$1193</f>
        <v>3395</v>
      </c>
      <c r="D1194" s="17">
        <f>Github!G$1193</f>
        <v>138</v>
      </c>
      <c r="E1194" s="17">
        <f>Github!F$1193+Github!G$1193</f>
        <v>3533</v>
      </c>
      <c r="F1194" s="18">
        <f t="shared" si="1"/>
        <v>24.6</v>
      </c>
      <c r="G1194" s="17" t="str">
        <f>Github!H$1193</f>
        <v>Algorithms</v>
      </c>
      <c r="H1194" s="17" t="str">
        <f>Github!E$1193</f>
        <v>Hard</v>
      </c>
      <c r="I1194" s="17" t="str">
        <f>IF(TRIM(Github!D$1193)="TRUE","FALSE","TRUE")</f>
        <v>TRUE</v>
      </c>
      <c r="J1194" s="17"/>
      <c r="K1194" s="17" t="str">
        <f>Github!L$1193</f>
        <v>Depth-First Search;Graph;Biconnected Component;</v>
      </c>
      <c r="L1194" s="17" t="b">
        <f>Github!M$1193</f>
        <v>1</v>
      </c>
      <c r="M1194" s="17" t="str">
        <f>ROUND(Github!N$1193, 2)&amp;"%"</f>
        <v>0%</v>
      </c>
      <c r="N1194" s="17">
        <f>Github!O$1193</f>
        <v>52.03385871</v>
      </c>
      <c r="O1194" s="17">
        <f>Github!P$1193</f>
        <v>142553</v>
      </c>
    </row>
    <row r="1195">
      <c r="A1195" s="17">
        <f>Github!J$1194</f>
        <v>1193</v>
      </c>
      <c r="B1195" s="27" t="str">
        <f>HYPERLINK(CONCAT("http://leetcode.com/problems/",Github!C$1194), Github!B$1194)</f>
        <v>Monthly Transactions I</v>
      </c>
      <c r="C1195" s="17">
        <f>Github!F$1194</f>
        <v>100</v>
      </c>
      <c r="D1195" s="17">
        <f>Github!G$1194</f>
        <v>20</v>
      </c>
      <c r="E1195" s="17">
        <f>Github!F$1194+Github!G$1194</f>
        <v>120</v>
      </c>
      <c r="F1195" s="18">
        <f t="shared" si="1"/>
        <v>5</v>
      </c>
      <c r="G1195" s="17" t="str">
        <f>Github!H$1194</f>
        <v>Database</v>
      </c>
      <c r="H1195" s="17" t="str">
        <f>Github!E$1194</f>
        <v>Medium</v>
      </c>
      <c r="I1195" s="17" t="str">
        <f>IF(TRIM(Github!D$1194)="TRUE","FALSE","TRUE")</f>
        <v>FALSE</v>
      </c>
      <c r="J1195" s="17"/>
      <c r="K1195" s="17" t="str">
        <f>Github!L$1194</f>
        <v>Database;</v>
      </c>
      <c r="L1195" s="17" t="b">
        <f>Github!M$1194</f>
        <v>0</v>
      </c>
      <c r="M1195" s="17" t="str">
        <f>ROUND(Github!N$1194, 2)&amp;"%"</f>
        <v>0%</v>
      </c>
      <c r="N1195" s="17">
        <f>Github!O$1194</f>
        <v>67.46749025</v>
      </c>
      <c r="O1195" s="17">
        <f>Github!P$1194</f>
        <v>20753</v>
      </c>
    </row>
    <row r="1196">
      <c r="A1196" s="17">
        <f>Github!J$1195</f>
        <v>1194</v>
      </c>
      <c r="B1196" s="27" t="str">
        <f>HYPERLINK(CONCAT("http://leetcode.com/problems/",Github!C$1195), Github!B$1195)</f>
        <v>Tournament Winners</v>
      </c>
      <c r="C1196" s="17">
        <f>Github!F$1195</f>
        <v>88</v>
      </c>
      <c r="D1196" s="17">
        <f>Github!G$1195</f>
        <v>42</v>
      </c>
      <c r="E1196" s="17">
        <f>Github!F$1195+Github!G$1195</f>
        <v>130</v>
      </c>
      <c r="F1196" s="18">
        <f t="shared" si="1"/>
        <v>2.1</v>
      </c>
      <c r="G1196" s="17" t="str">
        <f>Github!H$1195</f>
        <v>Database</v>
      </c>
      <c r="H1196" s="17" t="str">
        <f>Github!E$1195</f>
        <v>Hard</v>
      </c>
      <c r="I1196" s="17" t="str">
        <f>IF(TRIM(Github!D$1195)="TRUE","FALSE","TRUE")</f>
        <v>FALSE</v>
      </c>
      <c r="J1196" s="17"/>
      <c r="K1196" s="17" t="str">
        <f>Github!L$1195</f>
        <v>Database;</v>
      </c>
      <c r="L1196" s="17" t="b">
        <f>Github!M$1195</f>
        <v>0</v>
      </c>
      <c r="M1196" s="17" t="str">
        <f>ROUND(Github!N$1195, 2)&amp;"%"</f>
        <v>0%</v>
      </c>
      <c r="N1196" s="17">
        <f>Github!O$1195</f>
        <v>52.00752823</v>
      </c>
      <c r="O1196" s="17">
        <f>Github!P$1195</f>
        <v>12435</v>
      </c>
    </row>
    <row r="1197">
      <c r="A1197" s="17">
        <f>Github!J$1196</f>
        <v>1195</v>
      </c>
      <c r="B1197" s="27" t="str">
        <f>HYPERLINK(CONCAT("http://leetcode.com/problems/",Github!C$1196), Github!B$1196)</f>
        <v>Fizz Buzz Multithreaded</v>
      </c>
      <c r="C1197" s="17">
        <f>Github!F$1196</f>
        <v>337</v>
      </c>
      <c r="D1197" s="17">
        <f>Github!G$1196</f>
        <v>265</v>
      </c>
      <c r="E1197" s="17">
        <f>Github!F$1196+Github!G$1196</f>
        <v>602</v>
      </c>
      <c r="F1197" s="18">
        <f t="shared" si="1"/>
        <v>1.27</v>
      </c>
      <c r="G1197" s="17" t="str">
        <f>Github!H$1196</f>
        <v>Concurrency</v>
      </c>
      <c r="H1197" s="17" t="str">
        <f>Github!E$1196</f>
        <v>Medium</v>
      </c>
      <c r="I1197" s="17" t="str">
        <f>IF(TRIM(Github!D$1196)="TRUE","FALSE","TRUE")</f>
        <v>TRUE</v>
      </c>
      <c r="J1197" s="17"/>
      <c r="K1197" s="17" t="str">
        <f>Github!L$1196</f>
        <v>Concurrency;</v>
      </c>
      <c r="L1197" s="17" t="b">
        <f>Github!M$1196</f>
        <v>0</v>
      </c>
      <c r="M1197" s="17" t="str">
        <f>ROUND(Github!N$1196, 2)&amp;"%"</f>
        <v>0%</v>
      </c>
      <c r="N1197" s="17">
        <f>Github!O$1196</f>
        <v>72.03604088</v>
      </c>
      <c r="O1197" s="17">
        <f>Github!P$1196</f>
        <v>26781</v>
      </c>
    </row>
    <row r="1198">
      <c r="A1198" s="17">
        <f>Github!J$1197</f>
        <v>1196</v>
      </c>
      <c r="B1198" s="27" t="str">
        <f>HYPERLINK(CONCAT("http://leetcode.com/problems/",Github!C$1197), Github!B$1197)</f>
        <v>How Many Apples Can You Put into the Basket</v>
      </c>
      <c r="C1198" s="17">
        <f>Github!F$1197</f>
        <v>145</v>
      </c>
      <c r="D1198" s="17">
        <f>Github!G$1197</f>
        <v>13</v>
      </c>
      <c r="E1198" s="17">
        <f>Github!F$1197+Github!G$1197</f>
        <v>158</v>
      </c>
      <c r="F1198" s="18">
        <f t="shared" si="1"/>
        <v>11.15</v>
      </c>
      <c r="G1198" s="17" t="str">
        <f>Github!H$1197</f>
        <v>Algorithms</v>
      </c>
      <c r="H1198" s="17" t="str">
        <f>Github!E$1197</f>
        <v>Easy</v>
      </c>
      <c r="I1198" s="17" t="str">
        <f>IF(TRIM(Github!D$1197)="TRUE","FALSE","TRUE")</f>
        <v>FALSE</v>
      </c>
      <c r="J1198" s="17"/>
      <c r="K1198" s="17" t="str">
        <f>Github!L$1197</f>
        <v>Array;Greedy;Sorting;</v>
      </c>
      <c r="L1198" s="17" t="b">
        <f>Github!M$1197</f>
        <v>1</v>
      </c>
      <c r="M1198" s="17" t="str">
        <f>ROUND(Github!N$1197, 2)&amp;"%"</f>
        <v>0%</v>
      </c>
      <c r="N1198" s="17">
        <f>Github!O$1197</f>
        <v>67.5461451</v>
      </c>
      <c r="O1198" s="17">
        <f>Github!P$1197</f>
        <v>18407</v>
      </c>
    </row>
    <row r="1199">
      <c r="A1199" s="17">
        <f>Github!J$1198</f>
        <v>1197</v>
      </c>
      <c r="B1199" s="27" t="str">
        <f>HYPERLINK(CONCAT("http://leetcode.com/problems/",Github!C$1198), Github!B$1198)</f>
        <v>Minimum Knight Moves</v>
      </c>
      <c r="C1199" s="17">
        <f>Github!F$1198</f>
        <v>1063</v>
      </c>
      <c r="D1199" s="17">
        <f>Github!G$1198</f>
        <v>325</v>
      </c>
      <c r="E1199" s="17">
        <f>Github!F$1198+Github!G$1198</f>
        <v>1388</v>
      </c>
      <c r="F1199" s="18">
        <f t="shared" si="1"/>
        <v>3.27</v>
      </c>
      <c r="G1199" s="17" t="str">
        <f>Github!H$1198</f>
        <v>Algorithms</v>
      </c>
      <c r="H1199" s="17" t="str">
        <f>Github!E$1198</f>
        <v>Medium</v>
      </c>
      <c r="I1199" s="17" t="str">
        <f>IF(TRIM(Github!D$1198)="TRUE","FALSE","TRUE")</f>
        <v>FALSE</v>
      </c>
      <c r="J1199" s="17"/>
      <c r="K1199" s="17" t="str">
        <f>Github!L$1198</f>
        <v>Breadth-First Search;</v>
      </c>
      <c r="L1199" s="17" t="b">
        <f>Github!M$1198</f>
        <v>1</v>
      </c>
      <c r="M1199" s="17" t="str">
        <f>ROUND(Github!N$1198, 2)&amp;"%"</f>
        <v>0%</v>
      </c>
      <c r="N1199" s="17">
        <f>Github!O$1198</f>
        <v>39.51212256</v>
      </c>
      <c r="O1199" s="17">
        <f>Github!P$1198</f>
        <v>106256</v>
      </c>
    </row>
    <row r="1200">
      <c r="A1200" s="17">
        <f>Github!J$1199</f>
        <v>1198</v>
      </c>
      <c r="B1200" s="27" t="str">
        <f>HYPERLINK(CONCAT("http://leetcode.com/problems/",Github!C$1199), Github!B$1199)</f>
        <v>Find Smallest Common Element in All Rows</v>
      </c>
      <c r="C1200" s="17">
        <f>Github!F$1199</f>
        <v>338</v>
      </c>
      <c r="D1200" s="17">
        <f>Github!G$1199</f>
        <v>24</v>
      </c>
      <c r="E1200" s="17">
        <f>Github!F$1199+Github!G$1199</f>
        <v>362</v>
      </c>
      <c r="F1200" s="18">
        <f t="shared" si="1"/>
        <v>14.08</v>
      </c>
      <c r="G1200" s="17" t="str">
        <f>Github!H$1199</f>
        <v>Algorithms</v>
      </c>
      <c r="H1200" s="17" t="str">
        <f>Github!E$1199</f>
        <v>Medium</v>
      </c>
      <c r="I1200" s="17" t="str">
        <f>IF(TRIM(Github!D$1199)="TRUE","FALSE","TRUE")</f>
        <v>FALSE</v>
      </c>
      <c r="J1200" s="17"/>
      <c r="K1200" s="17" t="str">
        <f>Github!L$1199</f>
        <v>Array;Hash Table;Binary Search;Matrix;Counting;</v>
      </c>
      <c r="L1200" s="17" t="b">
        <f>Github!M$1199</f>
        <v>1</v>
      </c>
      <c r="M1200" s="17" t="str">
        <f>ROUND(Github!N$1199, 2)&amp;"%"</f>
        <v>1%</v>
      </c>
      <c r="N1200" s="17">
        <f>Github!O$1199</f>
        <v>75.99398548</v>
      </c>
      <c r="O1200" s="17">
        <f>Github!P$1199</f>
        <v>26280</v>
      </c>
    </row>
    <row r="1201">
      <c r="A1201" s="17">
        <f>Github!J$1200</f>
        <v>1199</v>
      </c>
      <c r="B1201" s="27" t="str">
        <f>HYPERLINK(CONCAT("http://leetcode.com/problems/",Github!C$1200), Github!B$1200)</f>
        <v>Minimum Time to Build Blocks</v>
      </c>
      <c r="C1201" s="17">
        <f>Github!F$1200</f>
        <v>139</v>
      </c>
      <c r="D1201" s="17">
        <f>Github!G$1200</f>
        <v>18</v>
      </c>
      <c r="E1201" s="17">
        <f>Github!F$1200+Github!G$1200</f>
        <v>157</v>
      </c>
      <c r="F1201" s="18">
        <f t="shared" si="1"/>
        <v>7.72</v>
      </c>
      <c r="G1201" s="17" t="str">
        <f>Github!H$1200</f>
        <v>Algorithms</v>
      </c>
      <c r="H1201" s="17" t="str">
        <f>Github!E$1200</f>
        <v>Hard</v>
      </c>
      <c r="I1201" s="17" t="str">
        <f>IF(TRIM(Github!D$1200)="TRUE","FALSE","TRUE")</f>
        <v>FALSE</v>
      </c>
      <c r="J1201" s="17"/>
      <c r="K1201" s="17" t="str">
        <f>Github!L$1200</f>
        <v>Math;Greedy;Heap (Priority Queue);</v>
      </c>
      <c r="L1201" s="17" t="b">
        <f>Github!M$1200</f>
        <v>0</v>
      </c>
      <c r="M1201" s="17" t="str">
        <f>ROUND(Github!N$1200, 2)&amp;"%"</f>
        <v>0%</v>
      </c>
      <c r="N1201" s="17">
        <f>Github!O$1200</f>
        <v>40.15662651</v>
      </c>
      <c r="O1201" s="17">
        <f>Github!P$1200</f>
        <v>3333</v>
      </c>
    </row>
    <row r="1202">
      <c r="A1202" s="17">
        <f>Github!J$1201</f>
        <v>1200</v>
      </c>
      <c r="B1202" s="27" t="str">
        <f>HYPERLINK(CONCAT("http://leetcode.com/problems/",Github!C$1201), Github!B$1201)</f>
        <v>Minimum Absolute Difference</v>
      </c>
      <c r="C1202" s="17">
        <f>Github!F$1201</f>
        <v>1414</v>
      </c>
      <c r="D1202" s="17">
        <f>Github!G$1201</f>
        <v>58</v>
      </c>
      <c r="E1202" s="17">
        <f>Github!F$1201+Github!G$1201</f>
        <v>1472</v>
      </c>
      <c r="F1202" s="18">
        <f t="shared" si="1"/>
        <v>24.38</v>
      </c>
      <c r="G1202" s="17" t="str">
        <f>Github!H$1201</f>
        <v>Algorithms</v>
      </c>
      <c r="H1202" s="17" t="str">
        <f>Github!E$1201</f>
        <v>Easy</v>
      </c>
      <c r="I1202" s="17" t="str">
        <f>IF(TRIM(Github!D$1201)="TRUE","FALSE","TRUE")</f>
        <v>TRUE</v>
      </c>
      <c r="J1202" s="17"/>
      <c r="K1202" s="17" t="str">
        <f>Github!L$1201</f>
        <v>Array;Sorting;</v>
      </c>
      <c r="L1202" s="17" t="b">
        <f>Github!M$1201</f>
        <v>1</v>
      </c>
      <c r="M1202" s="17" t="str">
        <f>ROUND(Github!N$1201, 2)&amp;"%"</f>
        <v>0%</v>
      </c>
      <c r="N1202" s="17">
        <f>Github!O$1201</f>
        <v>69.83183768</v>
      </c>
      <c r="O1202" s="17">
        <f>Github!P$1201</f>
        <v>115399</v>
      </c>
    </row>
    <row r="1203">
      <c r="A1203" s="17">
        <f>Github!J$1202</f>
        <v>1201</v>
      </c>
      <c r="B1203" s="27" t="str">
        <f>HYPERLINK(CONCAT("http://leetcode.com/problems/",Github!C$1202), Github!B$1202)</f>
        <v>Ugly Number III</v>
      </c>
      <c r="C1203" s="17">
        <f>Github!F$1202</f>
        <v>716</v>
      </c>
      <c r="D1203" s="17">
        <f>Github!G$1202</f>
        <v>384</v>
      </c>
      <c r="E1203" s="17">
        <f>Github!F$1202+Github!G$1202</f>
        <v>1100</v>
      </c>
      <c r="F1203" s="18">
        <f t="shared" si="1"/>
        <v>1.86</v>
      </c>
      <c r="G1203" s="17" t="str">
        <f>Github!H$1202</f>
        <v>Algorithms</v>
      </c>
      <c r="H1203" s="17" t="str">
        <f>Github!E$1202</f>
        <v>Medium</v>
      </c>
      <c r="I1203" s="17" t="str">
        <f>IF(TRIM(Github!D$1202)="TRUE","FALSE","TRUE")</f>
        <v>TRUE</v>
      </c>
      <c r="J1203" s="17"/>
      <c r="K1203" s="17" t="str">
        <f>Github!L$1202</f>
        <v>Math;Binary Search;Number Theory;</v>
      </c>
      <c r="L1203" s="17" t="b">
        <f>Github!M$1202</f>
        <v>0</v>
      </c>
      <c r="M1203" s="17" t="str">
        <f>ROUND(Github!N$1202, 2)&amp;"%"</f>
        <v>0%</v>
      </c>
      <c r="N1203" s="17">
        <f>Github!O$1202</f>
        <v>27.68582205</v>
      </c>
      <c r="O1203" s="17">
        <f>Github!P$1202</f>
        <v>18717</v>
      </c>
    </row>
    <row r="1204">
      <c r="A1204" s="17">
        <f>Github!J$1203</f>
        <v>1202</v>
      </c>
      <c r="B1204" s="27" t="str">
        <f>HYPERLINK(CONCAT("http://leetcode.com/problems/",Github!C$1203), Github!B$1203)</f>
        <v>Smallest String With Swaps</v>
      </c>
      <c r="C1204" s="17">
        <f>Github!F$1203</f>
        <v>1431</v>
      </c>
      <c r="D1204" s="17">
        <f>Github!G$1203</f>
        <v>49</v>
      </c>
      <c r="E1204" s="17">
        <f>Github!F$1203+Github!G$1203</f>
        <v>1480</v>
      </c>
      <c r="F1204" s="18">
        <f t="shared" si="1"/>
        <v>29.2</v>
      </c>
      <c r="G1204" s="17" t="str">
        <f>Github!H$1203</f>
        <v>Algorithms</v>
      </c>
      <c r="H1204" s="17" t="str">
        <f>Github!E$1203</f>
        <v>Medium</v>
      </c>
      <c r="I1204" s="17" t="str">
        <f>IF(TRIM(Github!D$1203)="TRUE","FALSE","TRUE")</f>
        <v>TRUE</v>
      </c>
      <c r="J1204" s="17"/>
      <c r="K1204" s="17" t="str">
        <f>Github!L$1203</f>
        <v>Hash Table;String;Depth-First Search;Breadth-First Search;Union Find;</v>
      </c>
      <c r="L1204" s="17" t="b">
        <f>Github!M$1203</f>
        <v>0</v>
      </c>
      <c r="M1204" s="17" t="str">
        <f>ROUND(Github!N$1203, 2)&amp;"%"</f>
        <v>0%</v>
      </c>
      <c r="N1204" s="17">
        <f>Github!O$1203</f>
        <v>52.39041396</v>
      </c>
      <c r="O1204" s="17">
        <f>Github!P$1203</f>
        <v>42978</v>
      </c>
    </row>
    <row r="1205">
      <c r="A1205" s="17">
        <f>Github!J$1204</f>
        <v>1203</v>
      </c>
      <c r="B1205" s="27" t="str">
        <f>HYPERLINK(CONCAT("http://leetcode.com/problems/",Github!C$1204), Github!B$1204)</f>
        <v>Sort Items by Groups Respecting Dependencies</v>
      </c>
      <c r="C1205" s="17">
        <f>Github!F$1204</f>
        <v>560</v>
      </c>
      <c r="D1205" s="17">
        <f>Github!G$1204</f>
        <v>83</v>
      </c>
      <c r="E1205" s="17">
        <f>Github!F$1204+Github!G$1204</f>
        <v>643</v>
      </c>
      <c r="F1205" s="18">
        <f t="shared" si="1"/>
        <v>6.75</v>
      </c>
      <c r="G1205" s="17" t="str">
        <f>Github!H$1204</f>
        <v>Algorithms</v>
      </c>
      <c r="H1205" s="17" t="str">
        <f>Github!E$1204</f>
        <v>Hard</v>
      </c>
      <c r="I1205" s="17" t="str">
        <f>IF(TRIM(Github!D$1204)="TRUE","FALSE","TRUE")</f>
        <v>TRUE</v>
      </c>
      <c r="J1205" s="17"/>
      <c r="K1205" s="17" t="str">
        <f>Github!L$1204</f>
        <v>Depth-First Search;Breadth-First Search;Graph;Topological Sort;</v>
      </c>
      <c r="L1205" s="17" t="b">
        <f>Github!M$1204</f>
        <v>0</v>
      </c>
      <c r="M1205" s="17" t="str">
        <f>ROUND(Github!N$1204, 2)&amp;"%"</f>
        <v>0%</v>
      </c>
      <c r="N1205" s="17">
        <f>Github!O$1204</f>
        <v>49.23360164</v>
      </c>
      <c r="O1205" s="17">
        <f>Github!P$1204</f>
        <v>11499</v>
      </c>
    </row>
    <row r="1206">
      <c r="A1206" s="17">
        <f>Github!J$1205</f>
        <v>1204</v>
      </c>
      <c r="B1206" s="27" t="str">
        <f>HYPERLINK(CONCAT("http://leetcode.com/problems/",Github!C$1205), Github!B$1205)</f>
        <v>Last Person to Fit in the Bus</v>
      </c>
      <c r="C1206" s="17">
        <f>Github!F$1205</f>
        <v>188</v>
      </c>
      <c r="D1206" s="17">
        <f>Github!G$1205</f>
        <v>16</v>
      </c>
      <c r="E1206" s="17">
        <f>Github!F$1205+Github!G$1205</f>
        <v>204</v>
      </c>
      <c r="F1206" s="18">
        <f t="shared" si="1"/>
        <v>11.75</v>
      </c>
      <c r="G1206" s="17" t="str">
        <f>Github!H$1205</f>
        <v>Database</v>
      </c>
      <c r="H1206" s="17" t="str">
        <f>Github!E$1205</f>
        <v>Medium</v>
      </c>
      <c r="I1206" s="17" t="str">
        <f>IF(TRIM(Github!D$1205)="TRUE","FALSE","TRUE")</f>
        <v>FALSE</v>
      </c>
      <c r="J1206" s="17"/>
      <c r="K1206" s="17" t="str">
        <f>Github!L$1205</f>
        <v>Database;</v>
      </c>
      <c r="L1206" s="17" t="b">
        <f>Github!M$1205</f>
        <v>0</v>
      </c>
      <c r="M1206" s="17" t="str">
        <f>ROUND(Github!N$1205, 2)&amp;"%"</f>
        <v>0%</v>
      </c>
      <c r="N1206" s="17">
        <f>Github!O$1205</f>
        <v>73.55032603</v>
      </c>
      <c r="O1206" s="17">
        <f>Github!P$1205</f>
        <v>27410</v>
      </c>
    </row>
    <row r="1207">
      <c r="A1207" s="17">
        <f>Github!J$1206</f>
        <v>1205</v>
      </c>
      <c r="B1207" s="27" t="str">
        <f>HYPERLINK(CONCAT("http://leetcode.com/problems/",Github!C$1206), Github!B$1206)</f>
        <v>Monthly Transactions II</v>
      </c>
      <c r="C1207" s="17">
        <f>Github!F$1206</f>
        <v>98</v>
      </c>
      <c r="D1207" s="17">
        <f>Github!G$1206</f>
        <v>366</v>
      </c>
      <c r="E1207" s="17">
        <f>Github!F$1206+Github!G$1206</f>
        <v>464</v>
      </c>
      <c r="F1207" s="18">
        <f t="shared" si="1"/>
        <v>0.27</v>
      </c>
      <c r="G1207" s="17" t="str">
        <f>Github!H$1206</f>
        <v>Database</v>
      </c>
      <c r="H1207" s="17" t="str">
        <f>Github!E$1206</f>
        <v>Medium</v>
      </c>
      <c r="I1207" s="17" t="str">
        <f>IF(TRIM(Github!D$1206)="TRUE","FALSE","TRUE")</f>
        <v>FALSE</v>
      </c>
      <c r="J1207" s="17"/>
      <c r="K1207" s="17" t="str">
        <f>Github!L$1206</f>
        <v>Database;</v>
      </c>
      <c r="L1207" s="17" t="b">
        <f>Github!M$1206</f>
        <v>0</v>
      </c>
      <c r="M1207" s="17" t="str">
        <f>ROUND(Github!N$1206, 2)&amp;"%"</f>
        <v>0%</v>
      </c>
      <c r="N1207" s="17">
        <f>Github!O$1206</f>
        <v>44.78928858</v>
      </c>
      <c r="O1207" s="17">
        <f>Github!P$1206</f>
        <v>14518</v>
      </c>
    </row>
    <row r="1208">
      <c r="A1208" s="17">
        <f>Github!J$1207</f>
        <v>1206</v>
      </c>
      <c r="B1208" s="27" t="str">
        <f>HYPERLINK(CONCAT("http://leetcode.com/problems/",Github!C$1207), Github!B$1207)</f>
        <v>Design Skiplist</v>
      </c>
      <c r="C1208" s="17">
        <f>Github!F$1207</f>
        <v>378</v>
      </c>
      <c r="D1208" s="17">
        <f>Github!G$1207</f>
        <v>45</v>
      </c>
      <c r="E1208" s="17">
        <f>Github!F$1207+Github!G$1207</f>
        <v>423</v>
      </c>
      <c r="F1208" s="18">
        <f t="shared" si="1"/>
        <v>8.4</v>
      </c>
      <c r="G1208" s="17" t="str">
        <f>Github!H$1207</f>
        <v>Algorithms</v>
      </c>
      <c r="H1208" s="17" t="str">
        <f>Github!E$1207</f>
        <v>Hard</v>
      </c>
      <c r="I1208" s="17" t="str">
        <f>IF(TRIM(Github!D$1207)="TRUE","FALSE","TRUE")</f>
        <v>TRUE</v>
      </c>
      <c r="J1208" s="17"/>
      <c r="K1208" s="17" t="str">
        <f>Github!L$1207</f>
        <v>Linked List;Design;</v>
      </c>
      <c r="L1208" s="17" t="b">
        <f>Github!M$1207</f>
        <v>0</v>
      </c>
      <c r="M1208" s="17" t="str">
        <f>ROUND(Github!N$1207, 2)&amp;"%"</f>
        <v>0%</v>
      </c>
      <c r="N1208" s="17">
        <f>Github!O$1207</f>
        <v>59.72767607</v>
      </c>
      <c r="O1208" s="17">
        <f>Github!P$1207</f>
        <v>11712</v>
      </c>
    </row>
    <row r="1209">
      <c r="A1209" s="17">
        <f>Github!J$1208</f>
        <v>1207</v>
      </c>
      <c r="B1209" s="27" t="str">
        <f>HYPERLINK(CONCAT("http://leetcode.com/problems/",Github!C$1208), Github!B$1208)</f>
        <v>Unique Number of Occurrences</v>
      </c>
      <c r="C1209" s="17">
        <f>Github!F$1208</f>
        <v>1301</v>
      </c>
      <c r="D1209" s="17">
        <f>Github!G$1208</f>
        <v>33</v>
      </c>
      <c r="E1209" s="17">
        <f>Github!F$1208+Github!G$1208</f>
        <v>1334</v>
      </c>
      <c r="F1209" s="18">
        <f t="shared" si="1"/>
        <v>39.42</v>
      </c>
      <c r="G1209" s="17" t="str">
        <f>Github!H$1208</f>
        <v>Algorithms</v>
      </c>
      <c r="H1209" s="17" t="str">
        <f>Github!E$1208</f>
        <v>Easy</v>
      </c>
      <c r="I1209" s="17" t="str">
        <f>IF(TRIM(Github!D$1208)="TRUE","FALSE","TRUE")</f>
        <v>TRUE</v>
      </c>
      <c r="J1209" s="17"/>
      <c r="K1209" s="17" t="str">
        <f>Github!L$1208</f>
        <v>Array;Hash Table;</v>
      </c>
      <c r="L1209" s="17" t="b">
        <f>Github!M$1208</f>
        <v>0</v>
      </c>
      <c r="M1209" s="17" t="str">
        <f>ROUND(Github!N$1208, 2)&amp;"%"</f>
        <v>0%</v>
      </c>
      <c r="N1209" s="17">
        <f>Github!O$1208</f>
        <v>71.98717356</v>
      </c>
      <c r="O1209" s="17">
        <f>Github!P$1208</f>
        <v>116738</v>
      </c>
    </row>
    <row r="1210">
      <c r="A1210" s="17">
        <f>Github!J$1209</f>
        <v>1208</v>
      </c>
      <c r="B1210" s="27" t="str">
        <f>HYPERLINK(CONCAT("http://leetcode.com/problems/",Github!C$1209), Github!B$1209)</f>
        <v>Get Equal Substrings Within Budget</v>
      </c>
      <c r="C1210" s="17">
        <f>Github!F$1209</f>
        <v>606</v>
      </c>
      <c r="D1210" s="17">
        <f>Github!G$1209</f>
        <v>42</v>
      </c>
      <c r="E1210" s="17">
        <f>Github!F$1209+Github!G$1209</f>
        <v>648</v>
      </c>
      <c r="F1210" s="18">
        <f t="shared" si="1"/>
        <v>14.43</v>
      </c>
      <c r="G1210" s="17" t="str">
        <f>Github!H$1209</f>
        <v>Algorithms</v>
      </c>
      <c r="H1210" s="17" t="str">
        <f>Github!E$1209</f>
        <v>Medium</v>
      </c>
      <c r="I1210" s="17" t="str">
        <f>IF(TRIM(Github!D$1209)="TRUE","FALSE","TRUE")</f>
        <v>TRUE</v>
      </c>
      <c r="J1210" s="17"/>
      <c r="K1210" s="17" t="str">
        <f>Github!L$1209</f>
        <v>String;Binary Search;Sliding Window;Prefix Sum;</v>
      </c>
      <c r="L1210" s="17" t="b">
        <f>Github!M$1209</f>
        <v>0</v>
      </c>
      <c r="M1210" s="17" t="str">
        <f>ROUND(Github!N$1209, 2)&amp;"%"</f>
        <v>0%</v>
      </c>
      <c r="N1210" s="17">
        <f>Github!O$1209</f>
        <v>46.33341665</v>
      </c>
      <c r="O1210" s="17">
        <f>Github!P$1209</f>
        <v>27807</v>
      </c>
    </row>
    <row r="1211">
      <c r="A1211" s="17">
        <f>Github!J$1210</f>
        <v>1209</v>
      </c>
      <c r="B1211" s="27" t="str">
        <f>HYPERLINK(CONCAT("http://leetcode.com/problems/",Github!C$1210), Github!B$1210)</f>
        <v>Remove All Adjacent Duplicates in String II</v>
      </c>
      <c r="C1211" s="17">
        <f>Github!F$1210</f>
        <v>2470</v>
      </c>
      <c r="D1211" s="17">
        <f>Github!G$1210</f>
        <v>48</v>
      </c>
      <c r="E1211" s="17">
        <f>Github!F$1210+Github!G$1210</f>
        <v>2518</v>
      </c>
      <c r="F1211" s="18">
        <f t="shared" si="1"/>
        <v>51.46</v>
      </c>
      <c r="G1211" s="17" t="str">
        <f>Github!H$1210</f>
        <v>Algorithms</v>
      </c>
      <c r="H1211" s="17" t="str">
        <f>Github!E$1210</f>
        <v>Medium</v>
      </c>
      <c r="I1211" s="17" t="str">
        <f>IF(TRIM(Github!D$1210)="TRUE","FALSE","TRUE")</f>
        <v>TRUE</v>
      </c>
      <c r="J1211" s="17"/>
      <c r="K1211" s="17" t="str">
        <f>Github!L$1210</f>
        <v>String;Stack;</v>
      </c>
      <c r="L1211" s="17" t="b">
        <f>Github!M$1210</f>
        <v>1</v>
      </c>
      <c r="M1211" s="17" t="str">
        <f>ROUND(Github!N$1210, 2)&amp;"%"</f>
        <v>0%</v>
      </c>
      <c r="N1211" s="17">
        <f>Github!O$1210</f>
        <v>56.02576136</v>
      </c>
      <c r="O1211" s="17">
        <f>Github!P$1210</f>
        <v>151016</v>
      </c>
    </row>
    <row r="1212">
      <c r="A1212" s="17">
        <f>Github!J$1211</f>
        <v>1210</v>
      </c>
      <c r="B1212" s="27" t="str">
        <f>HYPERLINK(CONCAT("http://leetcode.com/problems/",Github!C$1211), Github!B$1211)</f>
        <v>Minimum Moves to Reach Target with Rotations</v>
      </c>
      <c r="C1212" s="17">
        <f>Github!F$1211</f>
        <v>192</v>
      </c>
      <c r="D1212" s="17">
        <f>Github!G$1211</f>
        <v>56</v>
      </c>
      <c r="E1212" s="17">
        <f>Github!F$1211+Github!G$1211</f>
        <v>248</v>
      </c>
      <c r="F1212" s="18">
        <f t="shared" si="1"/>
        <v>3.43</v>
      </c>
      <c r="G1212" s="17" t="str">
        <f>Github!H$1211</f>
        <v>Algorithms</v>
      </c>
      <c r="H1212" s="17" t="str">
        <f>Github!E$1211</f>
        <v>Hard</v>
      </c>
      <c r="I1212" s="17" t="str">
        <f>IF(TRIM(Github!D$1211)="TRUE","FALSE","TRUE")</f>
        <v>TRUE</v>
      </c>
      <c r="J1212" s="17"/>
      <c r="K1212" s="17" t="str">
        <f>Github!L$1211</f>
        <v>Array;Breadth-First Search;Matrix;</v>
      </c>
      <c r="L1212" s="17" t="b">
        <f>Github!M$1211</f>
        <v>0</v>
      </c>
      <c r="M1212" s="17" t="str">
        <f>ROUND(Github!N$1211, 2)&amp;"%"</f>
        <v>0%</v>
      </c>
      <c r="N1212" s="17">
        <f>Github!O$1211</f>
        <v>47.93119794</v>
      </c>
      <c r="O1212" s="17">
        <f>Github!P$1211</f>
        <v>7078</v>
      </c>
    </row>
    <row r="1213">
      <c r="A1213" s="17">
        <f>Github!J$1212</f>
        <v>1211</v>
      </c>
      <c r="B1213" s="27" t="str">
        <f>HYPERLINK(CONCAT("http://leetcode.com/problems/",Github!C$1212), Github!B$1212)</f>
        <v>Queries Quality and Percentage</v>
      </c>
      <c r="C1213" s="17">
        <f>Github!F$1212</f>
        <v>85</v>
      </c>
      <c r="D1213" s="17">
        <f>Github!G$1212</f>
        <v>142</v>
      </c>
      <c r="E1213" s="17">
        <f>Github!F$1212+Github!G$1212</f>
        <v>227</v>
      </c>
      <c r="F1213" s="18">
        <f t="shared" si="1"/>
        <v>0.6</v>
      </c>
      <c r="G1213" s="17" t="str">
        <f>Github!H$1212</f>
        <v>Database</v>
      </c>
      <c r="H1213" s="17" t="str">
        <f>Github!E$1212</f>
        <v>Easy</v>
      </c>
      <c r="I1213" s="17" t="str">
        <f>IF(TRIM(Github!D$1212)="TRUE","FALSE","TRUE")</f>
        <v>FALSE</v>
      </c>
      <c r="J1213" s="17"/>
      <c r="K1213" s="17" t="str">
        <f>Github!L$1212</f>
        <v>Database;</v>
      </c>
      <c r="L1213" s="17" t="b">
        <f>Github!M$1212</f>
        <v>0</v>
      </c>
      <c r="M1213" s="17" t="str">
        <f>ROUND(Github!N$1212, 2)&amp;"%"</f>
        <v>0%</v>
      </c>
      <c r="N1213" s="17">
        <f>Github!O$1212</f>
        <v>70.67564645</v>
      </c>
      <c r="O1213" s="17">
        <f>Github!P$1212</f>
        <v>22877</v>
      </c>
    </row>
    <row r="1214">
      <c r="A1214" s="17">
        <f>Github!J$1213</f>
        <v>1212</v>
      </c>
      <c r="B1214" s="27" t="str">
        <f>HYPERLINK(CONCAT("http://leetcode.com/problems/",Github!C$1213), Github!B$1213)</f>
        <v>Team Scores in Football Tournament</v>
      </c>
      <c r="C1214" s="17">
        <f>Github!F$1213</f>
        <v>223</v>
      </c>
      <c r="D1214" s="17">
        <f>Github!G$1213</f>
        <v>19</v>
      </c>
      <c r="E1214" s="17">
        <f>Github!F$1213+Github!G$1213</f>
        <v>242</v>
      </c>
      <c r="F1214" s="18">
        <f t="shared" si="1"/>
        <v>11.74</v>
      </c>
      <c r="G1214" s="17" t="str">
        <f>Github!H$1213</f>
        <v>Database</v>
      </c>
      <c r="H1214" s="17" t="str">
        <f>Github!E$1213</f>
        <v>Medium</v>
      </c>
      <c r="I1214" s="17" t="str">
        <f>IF(TRIM(Github!D$1213)="TRUE","FALSE","TRUE")</f>
        <v>FALSE</v>
      </c>
      <c r="J1214" s="17"/>
      <c r="K1214" s="17" t="str">
        <f>Github!L$1213</f>
        <v>Database;</v>
      </c>
      <c r="L1214" s="17" t="b">
        <f>Github!M$1213</f>
        <v>0</v>
      </c>
      <c r="M1214" s="17" t="str">
        <f>ROUND(Github!N$1213, 2)&amp;"%"</f>
        <v>0%</v>
      </c>
      <c r="N1214" s="17">
        <f>Github!O$1213</f>
        <v>57.22550319</v>
      </c>
      <c r="O1214" s="17">
        <f>Github!P$1213</f>
        <v>23740</v>
      </c>
    </row>
    <row r="1215">
      <c r="A1215" s="17">
        <f>Github!J$1214</f>
        <v>1213</v>
      </c>
      <c r="B1215" s="27" t="str">
        <f>HYPERLINK(CONCAT("http://leetcode.com/problems/",Github!C$1214), Github!B$1214)</f>
        <v>Intersection of Three Sorted Arrays</v>
      </c>
      <c r="C1215" s="17">
        <f>Github!F$1214</f>
        <v>419</v>
      </c>
      <c r="D1215" s="17">
        <f>Github!G$1214</f>
        <v>22</v>
      </c>
      <c r="E1215" s="17">
        <f>Github!F$1214+Github!G$1214</f>
        <v>441</v>
      </c>
      <c r="F1215" s="18">
        <f t="shared" si="1"/>
        <v>19.05</v>
      </c>
      <c r="G1215" s="17" t="str">
        <f>Github!H$1214</f>
        <v>Algorithms</v>
      </c>
      <c r="H1215" s="17" t="str">
        <f>Github!E$1214</f>
        <v>Easy</v>
      </c>
      <c r="I1215" s="17" t="str">
        <f>IF(TRIM(Github!D$1214)="TRUE","FALSE","TRUE")</f>
        <v>FALSE</v>
      </c>
      <c r="J1215" s="17"/>
      <c r="K1215" s="17" t="str">
        <f>Github!L$1214</f>
        <v>Array;Hash Table;Binary Search;Counting;</v>
      </c>
      <c r="L1215" s="17" t="b">
        <f>Github!M$1214</f>
        <v>1</v>
      </c>
      <c r="M1215" s="17" t="str">
        <f>ROUND(Github!N$1214, 2)&amp;"%"</f>
        <v>0%</v>
      </c>
      <c r="N1215" s="17">
        <f>Github!O$1214</f>
        <v>79.91048723</v>
      </c>
      <c r="O1215" s="17">
        <f>Github!P$1214</f>
        <v>62848</v>
      </c>
    </row>
    <row r="1216">
      <c r="A1216" s="17">
        <f>Github!J$1215</f>
        <v>1214</v>
      </c>
      <c r="B1216" s="27" t="str">
        <f>HYPERLINK(CONCAT("http://leetcode.com/problems/",Github!C$1215), Github!B$1215)</f>
        <v>Two Sum BSTs</v>
      </c>
      <c r="C1216" s="17">
        <f>Github!F$1215</f>
        <v>374</v>
      </c>
      <c r="D1216" s="17">
        <f>Github!G$1215</f>
        <v>36</v>
      </c>
      <c r="E1216" s="17">
        <f>Github!F$1215+Github!G$1215</f>
        <v>410</v>
      </c>
      <c r="F1216" s="18">
        <f t="shared" si="1"/>
        <v>10.39</v>
      </c>
      <c r="G1216" s="17" t="str">
        <f>Github!H$1215</f>
        <v>Algorithms</v>
      </c>
      <c r="H1216" s="17" t="str">
        <f>Github!E$1215</f>
        <v>Medium</v>
      </c>
      <c r="I1216" s="17" t="str">
        <f>IF(TRIM(Github!D$1215)="TRUE","FALSE","TRUE")</f>
        <v>FALSE</v>
      </c>
      <c r="J1216" s="17"/>
      <c r="K1216" s="17" t="str">
        <f>Github!L$1215</f>
        <v>Two Pointers;Binary Search;Stack;Tree;Depth-First Search;Binary Search Tree;Binary Tree;</v>
      </c>
      <c r="L1216" s="17" t="b">
        <f>Github!M$1215</f>
        <v>1</v>
      </c>
      <c r="M1216" s="17" t="str">
        <f>ROUND(Github!N$1215, 2)&amp;"%"</f>
        <v>0%</v>
      </c>
      <c r="N1216" s="17">
        <f>Github!O$1215</f>
        <v>66.86156087</v>
      </c>
      <c r="O1216" s="17">
        <f>Github!P$1215</f>
        <v>31219</v>
      </c>
    </row>
    <row r="1217">
      <c r="A1217" s="17">
        <f>Github!J$1216</f>
        <v>1215</v>
      </c>
      <c r="B1217" s="27" t="str">
        <f>HYPERLINK(CONCAT("http://leetcode.com/problems/",Github!C$1216), Github!B$1216)</f>
        <v>Stepping Numbers</v>
      </c>
      <c r="C1217" s="17">
        <f>Github!F$1216</f>
        <v>156</v>
      </c>
      <c r="D1217" s="17">
        <f>Github!G$1216</f>
        <v>16</v>
      </c>
      <c r="E1217" s="17">
        <f>Github!F$1216+Github!G$1216</f>
        <v>172</v>
      </c>
      <c r="F1217" s="18">
        <f t="shared" si="1"/>
        <v>9.75</v>
      </c>
      <c r="G1217" s="17" t="str">
        <f>Github!H$1216</f>
        <v>Algorithms</v>
      </c>
      <c r="H1217" s="17" t="str">
        <f>Github!E$1216</f>
        <v>Medium</v>
      </c>
      <c r="I1217" s="17" t="str">
        <f>IF(TRIM(Github!D$1216)="TRUE","FALSE","TRUE")</f>
        <v>FALSE</v>
      </c>
      <c r="J1217" s="17"/>
      <c r="K1217" s="17" t="str">
        <f>Github!L$1216</f>
        <v>Backtracking;Breadth-First Search;</v>
      </c>
      <c r="L1217" s="17" t="b">
        <f>Github!M$1216</f>
        <v>0</v>
      </c>
      <c r="M1217" s="17" t="str">
        <f>ROUND(Github!N$1216, 2)&amp;"%"</f>
        <v>0%</v>
      </c>
      <c r="N1217" s="17">
        <f>Github!O$1216</f>
        <v>45.30799877</v>
      </c>
      <c r="O1217" s="17">
        <f>Github!P$1216</f>
        <v>7392</v>
      </c>
    </row>
    <row r="1218">
      <c r="A1218" s="17">
        <f>Github!J$1217</f>
        <v>1216</v>
      </c>
      <c r="B1218" s="27" t="str">
        <f>HYPERLINK(CONCAT("http://leetcode.com/problems/",Github!C$1217), Github!B$1217)</f>
        <v>Valid Palindrome III</v>
      </c>
      <c r="C1218" s="17">
        <f>Github!F$1217</f>
        <v>434</v>
      </c>
      <c r="D1218" s="17">
        <f>Github!G$1217</f>
        <v>6</v>
      </c>
      <c r="E1218" s="17">
        <f>Github!F$1217+Github!G$1217</f>
        <v>440</v>
      </c>
      <c r="F1218" s="18">
        <f t="shared" si="1"/>
        <v>72.33</v>
      </c>
      <c r="G1218" s="17" t="str">
        <f>Github!H$1217</f>
        <v>Algorithms</v>
      </c>
      <c r="H1218" s="17" t="str">
        <f>Github!E$1217</f>
        <v>Hard</v>
      </c>
      <c r="I1218" s="17" t="str">
        <f>IF(TRIM(Github!D$1217)="TRUE","FALSE","TRUE")</f>
        <v>FALSE</v>
      </c>
      <c r="J1218" s="17"/>
      <c r="K1218" s="17" t="str">
        <f>Github!L$1217</f>
        <v>String;Dynamic Programming;</v>
      </c>
      <c r="L1218" s="17" t="b">
        <f>Github!M$1217</f>
        <v>1</v>
      </c>
      <c r="M1218" s="17" t="str">
        <f>ROUND(Github!N$1217, 2)&amp;"%"</f>
        <v>0%</v>
      </c>
      <c r="N1218" s="17">
        <f>Github!O$1217</f>
        <v>51.25821771</v>
      </c>
      <c r="O1218" s="17">
        <f>Github!P$1217</f>
        <v>30330</v>
      </c>
    </row>
    <row r="1219">
      <c r="A1219" s="17">
        <f>Github!J$1218</f>
        <v>1217</v>
      </c>
      <c r="B1219" s="27" t="str">
        <f>HYPERLINK(CONCAT("http://leetcode.com/problems/",Github!C$1218), Github!B$1218)</f>
        <v>Minimum Cost to Move Chips to The Same Position</v>
      </c>
      <c r="C1219" s="17">
        <f>Github!F$1218</f>
        <v>1398</v>
      </c>
      <c r="D1219" s="17">
        <f>Github!G$1218</f>
        <v>192</v>
      </c>
      <c r="E1219" s="17">
        <f>Github!F$1218+Github!G$1218</f>
        <v>1590</v>
      </c>
      <c r="F1219" s="18">
        <f t="shared" si="1"/>
        <v>7.28</v>
      </c>
      <c r="G1219" s="17" t="str">
        <f>Github!H$1218</f>
        <v>Algorithms</v>
      </c>
      <c r="H1219" s="17" t="str">
        <f>Github!E$1218</f>
        <v>Easy</v>
      </c>
      <c r="I1219" s="17" t="str">
        <f>IF(TRIM(Github!D$1218)="TRUE","FALSE","TRUE")</f>
        <v>TRUE</v>
      </c>
      <c r="J1219" s="17"/>
      <c r="K1219" s="17" t="str">
        <f>Github!L$1218</f>
        <v>Array;Math;Greedy;</v>
      </c>
      <c r="L1219" s="17" t="b">
        <f>Github!M$1218</f>
        <v>1</v>
      </c>
      <c r="M1219" s="17" t="str">
        <f>ROUND(Github!N$1218, 2)&amp;"%"</f>
        <v>0%</v>
      </c>
      <c r="N1219" s="17">
        <f>Github!O$1218</f>
        <v>72.74454836</v>
      </c>
      <c r="O1219" s="17">
        <f>Github!P$1218</f>
        <v>92638</v>
      </c>
    </row>
    <row r="1220">
      <c r="A1220" s="17">
        <f>Github!J$1219</f>
        <v>1218</v>
      </c>
      <c r="B1220" s="27" t="str">
        <f>HYPERLINK(CONCAT("http://leetcode.com/problems/",Github!C$1219), Github!B$1219)</f>
        <v>Longest Arithmetic Subsequence of Given Difference</v>
      </c>
      <c r="C1220" s="17">
        <f>Github!F$1219</f>
        <v>920</v>
      </c>
      <c r="D1220" s="17">
        <f>Github!G$1219</f>
        <v>42</v>
      </c>
      <c r="E1220" s="17">
        <f>Github!F$1219+Github!G$1219</f>
        <v>962</v>
      </c>
      <c r="F1220" s="18">
        <f t="shared" si="1"/>
        <v>21.9</v>
      </c>
      <c r="G1220" s="17" t="str">
        <f>Github!H$1219</f>
        <v>Algorithms</v>
      </c>
      <c r="H1220" s="17" t="str">
        <f>Github!E$1219</f>
        <v>Medium</v>
      </c>
      <c r="I1220" s="17" t="str">
        <f>IF(TRIM(Github!D$1219)="TRUE","FALSE","TRUE")</f>
        <v>TRUE</v>
      </c>
      <c r="J1220" s="17"/>
      <c r="K1220" s="17" t="str">
        <f>Github!L$1219</f>
        <v>Array;Hash Table;Dynamic Programming;</v>
      </c>
      <c r="L1220" s="17" t="b">
        <f>Github!M$1219</f>
        <v>0</v>
      </c>
      <c r="M1220" s="17" t="str">
        <f>ROUND(Github!N$1219, 2)&amp;"%"</f>
        <v>0%</v>
      </c>
      <c r="N1220" s="17">
        <f>Github!O$1219</f>
        <v>50.81654714</v>
      </c>
      <c r="O1220" s="17">
        <f>Github!P$1219</f>
        <v>43717</v>
      </c>
    </row>
    <row r="1221">
      <c r="A1221" s="17">
        <f>Github!J$1220</f>
        <v>1219</v>
      </c>
      <c r="B1221" s="27" t="str">
        <f>HYPERLINK(CONCAT("http://leetcode.com/problems/",Github!C$1220), Github!B$1220)</f>
        <v>Path with Maximum Gold</v>
      </c>
      <c r="C1221" s="17">
        <f>Github!F$1220</f>
        <v>1760</v>
      </c>
      <c r="D1221" s="17">
        <f>Github!G$1220</f>
        <v>47</v>
      </c>
      <c r="E1221" s="17">
        <f>Github!F$1220+Github!G$1220</f>
        <v>1807</v>
      </c>
      <c r="F1221" s="18">
        <f t="shared" si="1"/>
        <v>37.45</v>
      </c>
      <c r="G1221" s="17" t="str">
        <f>Github!H$1220</f>
        <v>Algorithms</v>
      </c>
      <c r="H1221" s="17" t="str">
        <f>Github!E$1220</f>
        <v>Medium</v>
      </c>
      <c r="I1221" s="17" t="str">
        <f>IF(TRIM(Github!D$1220)="TRUE","FALSE","TRUE")</f>
        <v>TRUE</v>
      </c>
      <c r="J1221" s="17"/>
      <c r="K1221" s="17" t="str">
        <f>Github!L$1220</f>
        <v>Array;Backtracking;Matrix;</v>
      </c>
      <c r="L1221" s="17" t="b">
        <f>Github!M$1220</f>
        <v>0</v>
      </c>
      <c r="M1221" s="17" t="str">
        <f>ROUND(Github!N$1220, 2)&amp;"%"</f>
        <v>0%</v>
      </c>
      <c r="N1221" s="17">
        <f>Github!O$1220</f>
        <v>65.86194174</v>
      </c>
      <c r="O1221" s="17">
        <f>Github!P$1220</f>
        <v>78540</v>
      </c>
    </row>
    <row r="1222">
      <c r="A1222" s="17">
        <f>Github!J$1221</f>
        <v>1220</v>
      </c>
      <c r="B1222" s="27" t="str">
        <f>HYPERLINK(CONCAT("http://leetcode.com/problems/",Github!C$1221), Github!B$1221)</f>
        <v>Count Vowels Permutation</v>
      </c>
      <c r="C1222" s="17">
        <f>Github!F$1221</f>
        <v>912</v>
      </c>
      <c r="D1222" s="17">
        <f>Github!G$1221</f>
        <v>91</v>
      </c>
      <c r="E1222" s="17">
        <f>Github!F$1221+Github!G$1221</f>
        <v>1003</v>
      </c>
      <c r="F1222" s="18">
        <f t="shared" si="1"/>
        <v>10.02</v>
      </c>
      <c r="G1222" s="17" t="str">
        <f>Github!H$1221</f>
        <v>Algorithms</v>
      </c>
      <c r="H1222" s="17" t="str">
        <f>Github!E$1221</f>
        <v>Hard</v>
      </c>
      <c r="I1222" s="17" t="str">
        <f>IF(TRIM(Github!D$1221)="TRUE","FALSE","TRUE")</f>
        <v>TRUE</v>
      </c>
      <c r="J1222" s="17"/>
      <c r="K1222" s="17" t="str">
        <f>Github!L$1221</f>
        <v>Dynamic Programming;</v>
      </c>
      <c r="L1222" s="17" t="b">
        <f>Github!M$1221</f>
        <v>1</v>
      </c>
      <c r="M1222" s="17" t="str">
        <f>ROUND(Github!N$1221, 2)&amp;"%"</f>
        <v>0%</v>
      </c>
      <c r="N1222" s="17">
        <f>Github!O$1221</f>
        <v>56.31471768</v>
      </c>
      <c r="O1222" s="17">
        <f>Github!P$1221</f>
        <v>45629</v>
      </c>
    </row>
    <row r="1223">
      <c r="A1223" s="17">
        <f>Github!J$1222</f>
        <v>1221</v>
      </c>
      <c r="B1223" s="27" t="str">
        <f>HYPERLINK(CONCAT("http://leetcode.com/problems/",Github!C$1222), Github!B$1222)</f>
        <v>Split a String in Balanced Strings</v>
      </c>
      <c r="C1223" s="17">
        <f>Github!F$1222</f>
        <v>1617</v>
      </c>
      <c r="D1223" s="17">
        <f>Github!G$1222</f>
        <v>732</v>
      </c>
      <c r="E1223" s="17">
        <f>Github!F$1222+Github!G$1222</f>
        <v>2349</v>
      </c>
      <c r="F1223" s="18">
        <f t="shared" si="1"/>
        <v>2.21</v>
      </c>
      <c r="G1223" s="17" t="str">
        <f>Github!H$1222</f>
        <v>Algorithms</v>
      </c>
      <c r="H1223" s="17" t="str">
        <f>Github!E$1222</f>
        <v>Easy</v>
      </c>
      <c r="I1223" s="17" t="str">
        <f>IF(TRIM(Github!D$1222)="TRUE","FALSE","TRUE")</f>
        <v>TRUE</v>
      </c>
      <c r="J1223" s="17"/>
      <c r="K1223" s="17" t="str">
        <f>Github!L$1222</f>
        <v>String;Greedy;Counting;</v>
      </c>
      <c r="L1223" s="17" t="b">
        <f>Github!M$1222</f>
        <v>0</v>
      </c>
      <c r="M1223" s="17" t="str">
        <f>ROUND(Github!N$1222, 2)&amp;"%"</f>
        <v>0%</v>
      </c>
      <c r="N1223" s="17">
        <f>Github!O$1222</f>
        <v>84.69934967</v>
      </c>
      <c r="O1223" s="17">
        <f>Github!P$1222</f>
        <v>191583</v>
      </c>
    </row>
    <row r="1224">
      <c r="A1224" s="17">
        <f>Github!J$1223</f>
        <v>1222</v>
      </c>
      <c r="B1224" s="27" t="str">
        <f>HYPERLINK(CONCAT("http://leetcode.com/problems/",Github!C$1223), Github!B$1223)</f>
        <v>Queens That Can Attack the King</v>
      </c>
      <c r="C1224" s="17">
        <f>Github!F$1223</f>
        <v>648</v>
      </c>
      <c r="D1224" s="17">
        <f>Github!G$1223</f>
        <v>119</v>
      </c>
      <c r="E1224" s="17">
        <f>Github!F$1223+Github!G$1223</f>
        <v>767</v>
      </c>
      <c r="F1224" s="18">
        <f t="shared" si="1"/>
        <v>5.45</v>
      </c>
      <c r="G1224" s="17" t="str">
        <f>Github!H$1223</f>
        <v>Algorithms</v>
      </c>
      <c r="H1224" s="17" t="str">
        <f>Github!E$1223</f>
        <v>Medium</v>
      </c>
      <c r="I1224" s="17" t="str">
        <f>IF(TRIM(Github!D$1223)="TRUE","FALSE","TRUE")</f>
        <v>TRUE</v>
      </c>
      <c r="J1224" s="17"/>
      <c r="K1224" s="17" t="str">
        <f>Github!L$1223</f>
        <v>Array;Matrix;Simulation;</v>
      </c>
      <c r="L1224" s="17" t="b">
        <f>Github!M$1223</f>
        <v>0</v>
      </c>
      <c r="M1224" s="17" t="str">
        <f>ROUND(Github!N$1223, 2)&amp;"%"</f>
        <v>0%</v>
      </c>
      <c r="N1224" s="17">
        <f>Github!O$1223</f>
        <v>70.97762447</v>
      </c>
      <c r="O1224" s="17">
        <f>Github!P$1223</f>
        <v>31277</v>
      </c>
    </row>
    <row r="1225">
      <c r="A1225" s="17">
        <f>Github!J$1224</f>
        <v>1223</v>
      </c>
      <c r="B1225" s="27" t="str">
        <f>HYPERLINK(CONCAT("http://leetcode.com/problems/",Github!C$1224), Github!B$1224)</f>
        <v>Dice Roll Simulation</v>
      </c>
      <c r="C1225" s="17">
        <f>Github!F$1224</f>
        <v>661</v>
      </c>
      <c r="D1225" s="17">
        <f>Github!G$1224</f>
        <v>172</v>
      </c>
      <c r="E1225" s="17">
        <f>Github!F$1224+Github!G$1224</f>
        <v>833</v>
      </c>
      <c r="F1225" s="18">
        <f t="shared" si="1"/>
        <v>3.84</v>
      </c>
      <c r="G1225" s="17" t="str">
        <f>Github!H$1224</f>
        <v>Algorithms</v>
      </c>
      <c r="H1225" s="17" t="str">
        <f>Github!E$1224</f>
        <v>Hard</v>
      </c>
      <c r="I1225" s="17" t="str">
        <f>IF(TRIM(Github!D$1224)="TRUE","FALSE","TRUE")</f>
        <v>TRUE</v>
      </c>
      <c r="J1225" s="17"/>
      <c r="K1225" s="17" t="str">
        <f>Github!L$1224</f>
        <v>Array;Dynamic Programming;</v>
      </c>
      <c r="L1225" s="17" t="b">
        <f>Github!M$1224</f>
        <v>0</v>
      </c>
      <c r="M1225" s="17" t="str">
        <f>ROUND(Github!N$1224, 2)&amp;"%"</f>
        <v>0%</v>
      </c>
      <c r="N1225" s="17">
        <f>Github!O$1224</f>
        <v>47.71456167</v>
      </c>
      <c r="O1225" s="17">
        <f>Github!P$1224</f>
        <v>21243</v>
      </c>
    </row>
    <row r="1226">
      <c r="A1226" s="17">
        <f>Github!J$1225</f>
        <v>1224</v>
      </c>
      <c r="B1226" s="27" t="str">
        <f>HYPERLINK(CONCAT("http://leetcode.com/problems/",Github!C$1225), Github!B$1225)</f>
        <v>Maximum Equal Frequency</v>
      </c>
      <c r="C1226" s="17">
        <f>Github!F$1225</f>
        <v>349</v>
      </c>
      <c r="D1226" s="17">
        <f>Github!G$1225</f>
        <v>38</v>
      </c>
      <c r="E1226" s="17">
        <f>Github!F$1225+Github!G$1225</f>
        <v>387</v>
      </c>
      <c r="F1226" s="18">
        <f t="shared" si="1"/>
        <v>9.18</v>
      </c>
      <c r="G1226" s="17" t="str">
        <f>Github!H$1225</f>
        <v>Algorithms</v>
      </c>
      <c r="H1226" s="17" t="str">
        <f>Github!E$1225</f>
        <v>Hard</v>
      </c>
      <c r="I1226" s="17" t="str">
        <f>IF(TRIM(Github!D$1225)="TRUE","FALSE","TRUE")</f>
        <v>TRUE</v>
      </c>
      <c r="J1226" s="17"/>
      <c r="K1226" s="17" t="str">
        <f>Github!L$1225</f>
        <v>Array;Hash Table;</v>
      </c>
      <c r="L1226" s="17" t="b">
        <f>Github!M$1225</f>
        <v>0</v>
      </c>
      <c r="M1226" s="17" t="str">
        <f>ROUND(Github!N$1225, 2)&amp;"%"</f>
        <v>0%</v>
      </c>
      <c r="N1226" s="17">
        <f>Github!O$1225</f>
        <v>36.59058989</v>
      </c>
      <c r="O1226" s="17">
        <f>Github!P$1225</f>
        <v>10421</v>
      </c>
    </row>
    <row r="1227">
      <c r="A1227" s="17">
        <f>Github!J$1226</f>
        <v>1225</v>
      </c>
      <c r="B1227" s="27" t="str">
        <f>HYPERLINK(CONCAT("http://leetcode.com/problems/",Github!C$1226), Github!B$1226)</f>
        <v>Report Contiguous Dates</v>
      </c>
      <c r="C1227" s="17">
        <f>Github!F$1226</f>
        <v>214</v>
      </c>
      <c r="D1227" s="17">
        <f>Github!G$1226</f>
        <v>17</v>
      </c>
      <c r="E1227" s="17">
        <f>Github!F$1226+Github!G$1226</f>
        <v>231</v>
      </c>
      <c r="F1227" s="18">
        <f t="shared" si="1"/>
        <v>12.59</v>
      </c>
      <c r="G1227" s="17" t="str">
        <f>Github!H$1226</f>
        <v>Database</v>
      </c>
      <c r="H1227" s="17" t="str">
        <f>Github!E$1226</f>
        <v>Hard</v>
      </c>
      <c r="I1227" s="17" t="str">
        <f>IF(TRIM(Github!D$1226)="TRUE","FALSE","TRUE")</f>
        <v>FALSE</v>
      </c>
      <c r="J1227" s="17"/>
      <c r="K1227" s="17" t="str">
        <f>Github!L$1226</f>
        <v>Database;</v>
      </c>
      <c r="L1227" s="17" t="b">
        <f>Github!M$1226</f>
        <v>0</v>
      </c>
      <c r="M1227" s="17" t="str">
        <f>ROUND(Github!N$1226, 2)&amp;"%"</f>
        <v>0%</v>
      </c>
      <c r="N1227" s="17">
        <f>Github!O$1226</f>
        <v>63.15229482</v>
      </c>
      <c r="O1227" s="17">
        <f>Github!P$1226</f>
        <v>13058</v>
      </c>
    </row>
    <row r="1228">
      <c r="A1228" s="17">
        <f>Github!J$1227</f>
        <v>1226</v>
      </c>
      <c r="B1228" s="27" t="str">
        <f>HYPERLINK(CONCAT("http://leetcode.com/problems/",Github!C$1227), Github!B$1227)</f>
        <v>The Dining Philosophers</v>
      </c>
      <c r="C1228" s="17">
        <f>Github!F$1227</f>
        <v>172</v>
      </c>
      <c r="D1228" s="17">
        <f>Github!G$1227</f>
        <v>194</v>
      </c>
      <c r="E1228" s="17">
        <f>Github!F$1227+Github!G$1227</f>
        <v>366</v>
      </c>
      <c r="F1228" s="18">
        <f t="shared" si="1"/>
        <v>0.89</v>
      </c>
      <c r="G1228" s="17" t="str">
        <f>Github!H$1227</f>
        <v>Concurrency</v>
      </c>
      <c r="H1228" s="17" t="str">
        <f>Github!E$1227</f>
        <v>Medium</v>
      </c>
      <c r="I1228" s="17" t="str">
        <f>IF(TRIM(Github!D$1227)="TRUE","FALSE","TRUE")</f>
        <v>TRUE</v>
      </c>
      <c r="J1228" s="17"/>
      <c r="K1228" s="17" t="str">
        <f>Github!L$1227</f>
        <v>Concurrency;</v>
      </c>
      <c r="L1228" s="17" t="b">
        <f>Github!M$1227</f>
        <v>0</v>
      </c>
      <c r="M1228" s="17" t="str">
        <f>ROUND(Github!N$1227, 2)&amp;"%"</f>
        <v>0%</v>
      </c>
      <c r="N1228" s="17">
        <f>Github!O$1227</f>
        <v>58.63692448</v>
      </c>
      <c r="O1228" s="17">
        <f>Github!P$1227</f>
        <v>18058</v>
      </c>
    </row>
    <row r="1229">
      <c r="A1229" s="17">
        <f>Github!J$1228</f>
        <v>1227</v>
      </c>
      <c r="B1229" s="27" t="str">
        <f>HYPERLINK(CONCAT("http://leetcode.com/problems/",Github!C$1228), Github!B$1228)</f>
        <v>Airplane Seat Assignment Probability</v>
      </c>
      <c r="C1229" s="17">
        <f>Github!F$1228</f>
        <v>347</v>
      </c>
      <c r="D1229" s="17">
        <f>Github!G$1228</f>
        <v>633</v>
      </c>
      <c r="E1229" s="17">
        <f>Github!F$1228+Github!G$1228</f>
        <v>980</v>
      </c>
      <c r="F1229" s="18">
        <f t="shared" si="1"/>
        <v>0.55</v>
      </c>
      <c r="G1229" s="17" t="str">
        <f>Github!H$1228</f>
        <v>Algorithms</v>
      </c>
      <c r="H1229" s="17" t="str">
        <f>Github!E$1228</f>
        <v>Medium</v>
      </c>
      <c r="I1229" s="17" t="str">
        <f>IF(TRIM(Github!D$1228)="TRUE","FALSE","TRUE")</f>
        <v>TRUE</v>
      </c>
      <c r="J1229" s="17"/>
      <c r="K1229" s="17" t="str">
        <f>Github!L$1228</f>
        <v>Math;Dynamic Programming;Brainteaser;Probability and Statistics;</v>
      </c>
      <c r="L1229" s="17" t="b">
        <f>Github!M$1228</f>
        <v>0</v>
      </c>
      <c r="M1229" s="17" t="str">
        <f>ROUND(Github!N$1228, 2)&amp;"%"</f>
        <v>0%</v>
      </c>
      <c r="N1229" s="17">
        <f>Github!O$1228</f>
        <v>63.92830668</v>
      </c>
      <c r="O1229" s="17">
        <f>Github!P$1228</f>
        <v>24147</v>
      </c>
    </row>
    <row r="1230">
      <c r="A1230" s="17">
        <f>Github!J$1229</f>
        <v>1228</v>
      </c>
      <c r="B1230" s="27" t="str">
        <f>HYPERLINK(CONCAT("http://leetcode.com/problems/",Github!C$1229), Github!B$1229)</f>
        <v>Missing Number In Arithmetic Progression</v>
      </c>
      <c r="C1230" s="17">
        <f>Github!F$1229</f>
        <v>238</v>
      </c>
      <c r="D1230" s="17">
        <f>Github!G$1229</f>
        <v>30</v>
      </c>
      <c r="E1230" s="17">
        <f>Github!F$1229+Github!G$1229</f>
        <v>268</v>
      </c>
      <c r="F1230" s="18">
        <f t="shared" si="1"/>
        <v>7.93</v>
      </c>
      <c r="G1230" s="17" t="str">
        <f>Github!H$1229</f>
        <v>Algorithms</v>
      </c>
      <c r="H1230" s="17" t="str">
        <f>Github!E$1229</f>
        <v>Easy</v>
      </c>
      <c r="I1230" s="17" t="str">
        <f>IF(TRIM(Github!D$1229)="TRUE","FALSE","TRUE")</f>
        <v>FALSE</v>
      </c>
      <c r="J1230" s="17"/>
      <c r="K1230" s="17" t="str">
        <f>Github!L$1229</f>
        <v>Array;Math;</v>
      </c>
      <c r="L1230" s="17" t="b">
        <f>Github!M$1229</f>
        <v>1</v>
      </c>
      <c r="M1230" s="17" t="str">
        <f>ROUND(Github!N$1229, 2)&amp;"%"</f>
        <v>1%</v>
      </c>
      <c r="N1230" s="17">
        <f>Github!O$1229</f>
        <v>51.12180712</v>
      </c>
      <c r="O1230" s="17">
        <f>Github!P$1229</f>
        <v>20071</v>
      </c>
    </row>
    <row r="1231">
      <c r="A1231" s="17">
        <f>Github!J$1230</f>
        <v>1229</v>
      </c>
      <c r="B1231" s="27" t="str">
        <f>HYPERLINK(CONCAT("http://leetcode.com/problems/",Github!C$1230), Github!B$1230)</f>
        <v>Meeting Scheduler</v>
      </c>
      <c r="C1231" s="17">
        <f>Github!F$1230</f>
        <v>608</v>
      </c>
      <c r="D1231" s="17">
        <f>Github!G$1230</f>
        <v>25</v>
      </c>
      <c r="E1231" s="17">
        <f>Github!F$1230+Github!G$1230</f>
        <v>633</v>
      </c>
      <c r="F1231" s="18">
        <f t="shared" si="1"/>
        <v>24.32</v>
      </c>
      <c r="G1231" s="17" t="str">
        <f>Github!H$1230</f>
        <v>Algorithms</v>
      </c>
      <c r="H1231" s="17" t="str">
        <f>Github!E$1230</f>
        <v>Medium</v>
      </c>
      <c r="I1231" s="17" t="str">
        <f>IF(TRIM(Github!D$1230)="TRUE","FALSE","TRUE")</f>
        <v>FALSE</v>
      </c>
      <c r="J1231" s="17"/>
      <c r="K1231" s="17" t="str">
        <f>Github!L$1230</f>
        <v>Array;Two Pointers;Sorting;</v>
      </c>
      <c r="L1231" s="17" t="b">
        <f>Github!M$1230</f>
        <v>1</v>
      </c>
      <c r="M1231" s="17" t="str">
        <f>ROUND(Github!N$1230, 2)&amp;"%"</f>
        <v>0%</v>
      </c>
      <c r="N1231" s="17">
        <f>Github!O$1230</f>
        <v>54.61564727</v>
      </c>
      <c r="O1231" s="17">
        <f>Github!P$1230</f>
        <v>49584</v>
      </c>
    </row>
    <row r="1232">
      <c r="A1232" s="17">
        <f>Github!J$1231</f>
        <v>1230</v>
      </c>
      <c r="B1232" s="27" t="str">
        <f>HYPERLINK(CONCAT("http://leetcode.com/problems/",Github!C$1231), Github!B$1231)</f>
        <v>Toss Strange Coins</v>
      </c>
      <c r="C1232" s="17">
        <f>Github!F$1231</f>
        <v>221</v>
      </c>
      <c r="D1232" s="17">
        <f>Github!G$1231</f>
        <v>19</v>
      </c>
      <c r="E1232" s="17">
        <f>Github!F$1231+Github!G$1231</f>
        <v>240</v>
      </c>
      <c r="F1232" s="18">
        <f t="shared" si="1"/>
        <v>11.63</v>
      </c>
      <c r="G1232" s="17" t="str">
        <f>Github!H$1231</f>
        <v>Algorithms</v>
      </c>
      <c r="H1232" s="17" t="str">
        <f>Github!E$1231</f>
        <v>Medium</v>
      </c>
      <c r="I1232" s="17" t="str">
        <f>IF(TRIM(Github!D$1231)="TRUE","FALSE","TRUE")</f>
        <v>FALSE</v>
      </c>
      <c r="J1232" s="17"/>
      <c r="K1232" s="17" t="str">
        <f>Github!L$1231</f>
        <v>Math;Dynamic Programming;Probability and Statistics;</v>
      </c>
      <c r="L1232" s="17" t="b">
        <f>Github!M$1231</f>
        <v>0</v>
      </c>
      <c r="M1232" s="17" t="str">
        <f>ROUND(Github!N$1231, 2)&amp;"%"</f>
        <v>0%</v>
      </c>
      <c r="N1232" s="17">
        <f>Github!O$1231</f>
        <v>52.320445</v>
      </c>
      <c r="O1232" s="17">
        <f>Github!P$1231</f>
        <v>9594</v>
      </c>
    </row>
    <row r="1233">
      <c r="A1233" s="17">
        <f>Github!J$1232</f>
        <v>1231</v>
      </c>
      <c r="B1233" s="27" t="str">
        <f>HYPERLINK(CONCAT("http://leetcode.com/problems/",Github!C$1232), Github!B$1232)</f>
        <v>Divide Chocolate</v>
      </c>
      <c r="C1233" s="17">
        <f>Github!F$1232</f>
        <v>689</v>
      </c>
      <c r="D1233" s="17">
        <f>Github!G$1232</f>
        <v>45</v>
      </c>
      <c r="E1233" s="17">
        <f>Github!F$1232+Github!G$1232</f>
        <v>734</v>
      </c>
      <c r="F1233" s="18">
        <f t="shared" si="1"/>
        <v>15.31</v>
      </c>
      <c r="G1233" s="17" t="str">
        <f>Github!H$1232</f>
        <v>Algorithms</v>
      </c>
      <c r="H1233" s="17" t="str">
        <f>Github!E$1232</f>
        <v>Hard</v>
      </c>
      <c r="I1233" s="17" t="str">
        <f>IF(TRIM(Github!D$1232)="TRUE","FALSE","TRUE")</f>
        <v>FALSE</v>
      </c>
      <c r="J1233" s="17"/>
      <c r="K1233" s="17" t="str">
        <f>Github!L$1232</f>
        <v>Array;Binary Search;</v>
      </c>
      <c r="L1233" s="17" t="b">
        <f>Github!M$1232</f>
        <v>1</v>
      </c>
      <c r="M1233" s="17" t="str">
        <f>ROUND(Github!N$1232, 2)&amp;"%"</f>
        <v>0%</v>
      </c>
      <c r="N1233" s="17">
        <f>Github!O$1232</f>
        <v>55.99384013</v>
      </c>
      <c r="O1233" s="17">
        <f>Github!P$1232</f>
        <v>34906</v>
      </c>
    </row>
    <row r="1234">
      <c r="A1234" s="17">
        <f>Github!J$1233</f>
        <v>1232</v>
      </c>
      <c r="B1234" s="27" t="str">
        <f>HYPERLINK(CONCAT("http://leetcode.com/problems/",Github!C$1233), Github!B$1233)</f>
        <v>Check If It Is a Straight Line</v>
      </c>
      <c r="C1234" s="17">
        <f>Github!F$1233</f>
        <v>801</v>
      </c>
      <c r="D1234" s="17">
        <f>Github!G$1233</f>
        <v>119</v>
      </c>
      <c r="E1234" s="17">
        <f>Github!F$1233+Github!G$1233</f>
        <v>920</v>
      </c>
      <c r="F1234" s="18">
        <f t="shared" si="1"/>
        <v>6.73</v>
      </c>
      <c r="G1234" s="17" t="str">
        <f>Github!H$1233</f>
        <v>Algorithms</v>
      </c>
      <c r="H1234" s="17" t="str">
        <f>Github!E$1233</f>
        <v>Easy</v>
      </c>
      <c r="I1234" s="17" t="str">
        <f>IF(TRIM(Github!D$1233)="TRUE","FALSE","TRUE")</f>
        <v>TRUE</v>
      </c>
      <c r="J1234" s="17"/>
      <c r="K1234" s="17" t="str">
        <f>Github!L$1233</f>
        <v>Array;Math;Geometry;</v>
      </c>
      <c r="L1234" s="17" t="b">
        <f>Github!M$1233</f>
        <v>0</v>
      </c>
      <c r="M1234" s="17" t="str">
        <f>ROUND(Github!N$1233, 2)&amp;"%"</f>
        <v>0%</v>
      </c>
      <c r="N1234" s="17">
        <f>Github!O$1233</f>
        <v>42.13448537</v>
      </c>
      <c r="O1234" s="17">
        <f>Github!P$1233</f>
        <v>106693</v>
      </c>
    </row>
    <row r="1235">
      <c r="A1235" s="17">
        <f>Github!J$1234</f>
        <v>1233</v>
      </c>
      <c r="B1235" s="27" t="str">
        <f>HYPERLINK(CONCAT("http://leetcode.com/problems/",Github!C$1234), Github!B$1234)</f>
        <v>Remove Sub-Folders from the Filesystem</v>
      </c>
      <c r="C1235" s="17">
        <f>Github!F$1234</f>
        <v>569</v>
      </c>
      <c r="D1235" s="17">
        <f>Github!G$1234</f>
        <v>75</v>
      </c>
      <c r="E1235" s="17">
        <f>Github!F$1234+Github!G$1234</f>
        <v>644</v>
      </c>
      <c r="F1235" s="18">
        <f t="shared" si="1"/>
        <v>7.59</v>
      </c>
      <c r="G1235" s="17" t="str">
        <f>Github!H$1234</f>
        <v>Algorithms</v>
      </c>
      <c r="H1235" s="17" t="str">
        <f>Github!E$1234</f>
        <v>Medium</v>
      </c>
      <c r="I1235" s="17" t="str">
        <f>IF(TRIM(Github!D$1234)="TRUE","FALSE","TRUE")</f>
        <v>TRUE</v>
      </c>
      <c r="J1235" s="17"/>
      <c r="K1235" s="17" t="str">
        <f>Github!L$1234</f>
        <v>Array;String;Trie;</v>
      </c>
      <c r="L1235" s="17" t="b">
        <f>Github!M$1234</f>
        <v>0</v>
      </c>
      <c r="M1235" s="17" t="str">
        <f>ROUND(Github!N$1234, 2)&amp;"%"</f>
        <v>0%</v>
      </c>
      <c r="N1235" s="17">
        <f>Github!O$1234</f>
        <v>64.96875892</v>
      </c>
      <c r="O1235" s="17">
        <f>Github!P$1234</f>
        <v>40968</v>
      </c>
    </row>
    <row r="1236">
      <c r="A1236" s="17">
        <f>Github!J$1235</f>
        <v>1234</v>
      </c>
      <c r="B1236" s="27" t="str">
        <f>HYPERLINK(CONCAT("http://leetcode.com/problems/",Github!C$1235), Github!B$1235)</f>
        <v>Replace the Substring for Balanced String</v>
      </c>
      <c r="C1236" s="17">
        <f>Github!F$1235</f>
        <v>720</v>
      </c>
      <c r="D1236" s="17">
        <f>Github!G$1235</f>
        <v>150</v>
      </c>
      <c r="E1236" s="17">
        <f>Github!F$1235+Github!G$1235</f>
        <v>870</v>
      </c>
      <c r="F1236" s="18">
        <f t="shared" si="1"/>
        <v>4.8</v>
      </c>
      <c r="G1236" s="17" t="str">
        <f>Github!H$1235</f>
        <v>Algorithms</v>
      </c>
      <c r="H1236" s="17" t="str">
        <f>Github!E$1235</f>
        <v>Medium</v>
      </c>
      <c r="I1236" s="17" t="str">
        <f>IF(TRIM(Github!D$1235)="TRUE","FALSE","TRUE")</f>
        <v>TRUE</v>
      </c>
      <c r="J1236" s="17"/>
      <c r="K1236" s="17" t="str">
        <f>Github!L$1235</f>
        <v>String;Sliding Window;</v>
      </c>
      <c r="L1236" s="17" t="b">
        <f>Github!M$1235</f>
        <v>0</v>
      </c>
      <c r="M1236" s="17" t="str">
        <f>ROUND(Github!N$1235, 2)&amp;"%"</f>
        <v>0%</v>
      </c>
      <c r="N1236" s="17">
        <f>Github!O$1235</f>
        <v>36.09965352</v>
      </c>
      <c r="O1236" s="17">
        <f>Github!P$1235</f>
        <v>21880</v>
      </c>
    </row>
    <row r="1237">
      <c r="A1237" s="17">
        <f>Github!J$1236</f>
        <v>1235</v>
      </c>
      <c r="B1237" s="27" t="str">
        <f>HYPERLINK(CONCAT("http://leetcode.com/problems/",Github!C$1236), Github!B$1236)</f>
        <v>Maximum Profit in Job Scheduling</v>
      </c>
      <c r="C1237" s="17">
        <f>Github!F$1236</f>
        <v>3007</v>
      </c>
      <c r="D1237" s="17">
        <f>Github!G$1236</f>
        <v>32</v>
      </c>
      <c r="E1237" s="17">
        <f>Github!F$1236+Github!G$1236</f>
        <v>3039</v>
      </c>
      <c r="F1237" s="18">
        <f t="shared" si="1"/>
        <v>93.97</v>
      </c>
      <c r="G1237" s="17" t="str">
        <f>Github!H$1236</f>
        <v>Algorithms</v>
      </c>
      <c r="H1237" s="17" t="str">
        <f>Github!E$1236</f>
        <v>Hard</v>
      </c>
      <c r="I1237" s="17" t="str">
        <f>IF(TRIM(Github!D$1236)="TRUE","FALSE","TRUE")</f>
        <v>TRUE</v>
      </c>
      <c r="J1237" s="17"/>
      <c r="K1237" s="17" t="str">
        <f>Github!L$1236</f>
        <v>Array;Binary Search;Dynamic Programming;Sorting;</v>
      </c>
      <c r="L1237" s="17" t="b">
        <f>Github!M$1236</f>
        <v>1</v>
      </c>
      <c r="M1237" s="17" t="str">
        <f>ROUND(Github!N$1236, 2)&amp;"%"</f>
        <v>0%</v>
      </c>
      <c r="N1237" s="17">
        <f>Github!O$1236</f>
        <v>50.84158058</v>
      </c>
      <c r="O1237" s="17">
        <f>Github!P$1236</f>
        <v>105570</v>
      </c>
    </row>
    <row r="1238">
      <c r="A1238" s="17">
        <f>Github!J$1237</f>
        <v>1236</v>
      </c>
      <c r="B1238" s="27" t="str">
        <f>HYPERLINK(CONCAT("http://leetcode.com/problems/",Github!C$1237), Github!B$1237)</f>
        <v>Web Crawler</v>
      </c>
      <c r="C1238" s="17">
        <f>Github!F$1237</f>
        <v>178</v>
      </c>
      <c r="D1238" s="17">
        <f>Github!G$1237</f>
        <v>195</v>
      </c>
      <c r="E1238" s="17">
        <f>Github!F$1237+Github!G$1237</f>
        <v>373</v>
      </c>
      <c r="F1238" s="18">
        <f t="shared" si="1"/>
        <v>0.91</v>
      </c>
      <c r="G1238" s="17" t="str">
        <f>Github!H$1237</f>
        <v>Algorithms</v>
      </c>
      <c r="H1238" s="17" t="str">
        <f>Github!E$1237</f>
        <v>Medium</v>
      </c>
      <c r="I1238" s="17" t="str">
        <f>IF(TRIM(Github!D$1237)="TRUE","FALSE","TRUE")</f>
        <v>FALSE</v>
      </c>
      <c r="J1238" s="17"/>
      <c r="K1238" s="17" t="str">
        <f>Github!L$1237</f>
        <v>String;Depth-First Search;Breadth-First Search;Interactive;</v>
      </c>
      <c r="L1238" s="17" t="b">
        <f>Github!M$1237</f>
        <v>0</v>
      </c>
      <c r="M1238" s="17" t="str">
        <f>ROUND(Github!N$1237, 2)&amp;"%"</f>
        <v>0%</v>
      </c>
      <c r="N1238" s="17">
        <f>Github!O$1237</f>
        <v>65.50308008</v>
      </c>
      <c r="O1238" s="17">
        <f>Github!P$1237</f>
        <v>21373</v>
      </c>
    </row>
    <row r="1239">
      <c r="A1239" s="17">
        <f>Github!J$1238</f>
        <v>1237</v>
      </c>
      <c r="B1239" s="27" t="str">
        <f>HYPERLINK(CONCAT("http://leetcode.com/problems/",Github!C$1238), Github!B$1238)</f>
        <v>Find Positive Integer Solution for a Given Equation</v>
      </c>
      <c r="C1239" s="17">
        <f>Github!F$1238</f>
        <v>331</v>
      </c>
      <c r="D1239" s="17">
        <f>Github!G$1238</f>
        <v>1125</v>
      </c>
      <c r="E1239" s="17">
        <f>Github!F$1238+Github!G$1238</f>
        <v>1456</v>
      </c>
      <c r="F1239" s="18">
        <f t="shared" si="1"/>
        <v>0.29</v>
      </c>
      <c r="G1239" s="17" t="str">
        <f>Github!H$1238</f>
        <v>Algorithms</v>
      </c>
      <c r="H1239" s="17" t="str">
        <f>Github!E$1238</f>
        <v>Medium</v>
      </c>
      <c r="I1239" s="17" t="str">
        <f>IF(TRIM(Github!D$1238)="TRUE","FALSE","TRUE")</f>
        <v>TRUE</v>
      </c>
      <c r="J1239" s="17"/>
      <c r="K1239" s="17" t="str">
        <f>Github!L$1238</f>
        <v>Math;Two Pointers;Binary Search;Interactive;</v>
      </c>
      <c r="L1239" s="17" t="b">
        <f>Github!M$1238</f>
        <v>0</v>
      </c>
      <c r="M1239" s="17" t="str">
        <f>ROUND(Github!N$1238, 2)&amp;"%"</f>
        <v>0%</v>
      </c>
      <c r="N1239" s="17">
        <f>Github!O$1238</f>
        <v>69.46125375</v>
      </c>
      <c r="O1239" s="17">
        <f>Github!P$1238</f>
        <v>47291</v>
      </c>
    </row>
    <row r="1240">
      <c r="A1240" s="17">
        <f>Github!J$1239</f>
        <v>1238</v>
      </c>
      <c r="B1240" s="27" t="str">
        <f>HYPERLINK(CONCAT("http://leetcode.com/problems/",Github!C$1239), Github!B$1239)</f>
        <v>Circular Permutation in Binary Representation</v>
      </c>
      <c r="C1240" s="17">
        <f>Github!F$1239</f>
        <v>230</v>
      </c>
      <c r="D1240" s="17">
        <f>Github!G$1239</f>
        <v>152</v>
      </c>
      <c r="E1240" s="17">
        <f>Github!F$1239+Github!G$1239</f>
        <v>382</v>
      </c>
      <c r="F1240" s="18">
        <f t="shared" si="1"/>
        <v>1.51</v>
      </c>
      <c r="G1240" s="17" t="str">
        <f>Github!H$1239</f>
        <v>Algorithms</v>
      </c>
      <c r="H1240" s="17" t="str">
        <f>Github!E$1239</f>
        <v>Medium</v>
      </c>
      <c r="I1240" s="17" t="str">
        <f>IF(TRIM(Github!D$1239)="TRUE","FALSE","TRUE")</f>
        <v>TRUE</v>
      </c>
      <c r="J1240" s="17"/>
      <c r="K1240" s="17" t="str">
        <f>Github!L$1239</f>
        <v>Math;Backtracking;Bit Manipulation;</v>
      </c>
      <c r="L1240" s="17" t="b">
        <f>Github!M$1239</f>
        <v>0</v>
      </c>
      <c r="M1240" s="17" t="str">
        <f>ROUND(Github!N$1239, 2)&amp;"%"</f>
        <v>0%</v>
      </c>
      <c r="N1240" s="17">
        <f>Github!O$1239</f>
        <v>67.76754891</v>
      </c>
      <c r="O1240" s="17">
        <f>Github!P$1239</f>
        <v>11778</v>
      </c>
    </row>
    <row r="1241">
      <c r="A1241" s="17">
        <f>Github!J$1240</f>
        <v>1239</v>
      </c>
      <c r="B1241" s="27" t="str">
        <f>HYPERLINK(CONCAT("http://leetcode.com/problems/",Github!C$1240), Github!B$1240)</f>
        <v>Maximum Length of a Concatenated String with Unique Characters</v>
      </c>
      <c r="C1241" s="17">
        <f>Github!F$1240</f>
        <v>1672</v>
      </c>
      <c r="D1241" s="17">
        <f>Github!G$1240</f>
        <v>151</v>
      </c>
      <c r="E1241" s="17">
        <f>Github!F$1240+Github!G$1240</f>
        <v>1823</v>
      </c>
      <c r="F1241" s="18">
        <f t="shared" si="1"/>
        <v>11.07</v>
      </c>
      <c r="G1241" s="17" t="str">
        <f>Github!H$1240</f>
        <v>Algorithms</v>
      </c>
      <c r="H1241" s="17" t="str">
        <f>Github!E$1240</f>
        <v>Medium</v>
      </c>
      <c r="I1241" s="17" t="str">
        <f>IF(TRIM(Github!D$1240)="TRUE","FALSE","TRUE")</f>
        <v>TRUE</v>
      </c>
      <c r="J1241" s="17"/>
      <c r="K1241" s="17" t="str">
        <f>Github!L$1240</f>
        <v>Array;String;Backtracking;Bit Manipulation;</v>
      </c>
      <c r="L1241" s="17" t="b">
        <f>Github!M$1240</f>
        <v>1</v>
      </c>
      <c r="M1241" s="17" t="str">
        <f>ROUND(Github!N$1240, 2)&amp;"%"</f>
        <v>0%</v>
      </c>
      <c r="N1241" s="17">
        <f>Github!O$1240</f>
        <v>50.60320892</v>
      </c>
      <c r="O1241" s="17">
        <f>Github!P$1240</f>
        <v>102974</v>
      </c>
    </row>
    <row r="1242">
      <c r="A1242" s="17">
        <f>Github!J$1241</f>
        <v>1240</v>
      </c>
      <c r="B1242" s="27" t="str">
        <f>HYPERLINK(CONCAT("http://leetcode.com/problems/",Github!C$1241), Github!B$1241)</f>
        <v>Tiling a Rectangle with the Fewest Squares</v>
      </c>
      <c r="C1242" s="17">
        <f>Github!F$1241</f>
        <v>437</v>
      </c>
      <c r="D1242" s="17">
        <f>Github!G$1241</f>
        <v>404</v>
      </c>
      <c r="E1242" s="17">
        <f>Github!F$1241+Github!G$1241</f>
        <v>841</v>
      </c>
      <c r="F1242" s="18">
        <f t="shared" si="1"/>
        <v>1.08</v>
      </c>
      <c r="G1242" s="17" t="str">
        <f>Github!H$1241</f>
        <v>Algorithms</v>
      </c>
      <c r="H1242" s="17" t="str">
        <f>Github!E$1241</f>
        <v>Hard</v>
      </c>
      <c r="I1242" s="17" t="str">
        <f>IF(TRIM(Github!D$1241)="TRUE","FALSE","TRUE")</f>
        <v>TRUE</v>
      </c>
      <c r="J1242" s="17"/>
      <c r="K1242" s="17" t="str">
        <f>Github!L$1241</f>
        <v>Dynamic Programming;Backtracking;</v>
      </c>
      <c r="L1242" s="17" t="b">
        <f>Github!M$1241</f>
        <v>0</v>
      </c>
      <c r="M1242" s="17" t="str">
        <f>ROUND(Github!N$1241, 2)&amp;"%"</f>
        <v>0%</v>
      </c>
      <c r="N1242" s="17">
        <f>Github!O$1241</f>
        <v>52.83407884</v>
      </c>
      <c r="O1242" s="17">
        <f>Github!P$1241</f>
        <v>15118</v>
      </c>
    </row>
    <row r="1243">
      <c r="A1243" s="17">
        <f>Github!J$1242</f>
        <v>1241</v>
      </c>
      <c r="B1243" s="27" t="str">
        <f>HYPERLINK(CONCAT("http://leetcode.com/problems/",Github!C$1242), Github!B$1242)</f>
        <v>Number of Comments per Post</v>
      </c>
      <c r="C1243" s="17">
        <f>Github!F$1242</f>
        <v>120</v>
      </c>
      <c r="D1243" s="17">
        <f>Github!G$1242</f>
        <v>372</v>
      </c>
      <c r="E1243" s="17">
        <f>Github!F$1242+Github!G$1242</f>
        <v>492</v>
      </c>
      <c r="F1243" s="18">
        <f t="shared" si="1"/>
        <v>0.32</v>
      </c>
      <c r="G1243" s="17" t="str">
        <f>Github!H$1242</f>
        <v>Database</v>
      </c>
      <c r="H1243" s="17" t="str">
        <f>Github!E$1242</f>
        <v>Easy</v>
      </c>
      <c r="I1243" s="17" t="str">
        <f>IF(TRIM(Github!D$1242)="TRUE","FALSE","TRUE")</f>
        <v>FALSE</v>
      </c>
      <c r="J1243" s="17"/>
      <c r="K1243" s="17" t="str">
        <f>Github!L$1242</f>
        <v>Database;</v>
      </c>
      <c r="L1243" s="17" t="b">
        <f>Github!M$1242</f>
        <v>0</v>
      </c>
      <c r="M1243" s="17" t="str">
        <f>ROUND(Github!N$1242, 2)&amp;"%"</f>
        <v>0%</v>
      </c>
      <c r="N1243" s="17">
        <f>Github!O$1242</f>
        <v>67.83596838</v>
      </c>
      <c r="O1243" s="17">
        <f>Github!P$1242</f>
        <v>24714</v>
      </c>
    </row>
    <row r="1244">
      <c r="A1244" s="17">
        <f>Github!J$1243</f>
        <v>1242</v>
      </c>
      <c r="B1244" s="27" t="str">
        <f>HYPERLINK(CONCAT("http://leetcode.com/problems/",Github!C$1243), Github!B$1243)</f>
        <v>Web Crawler Multithreaded</v>
      </c>
      <c r="C1244" s="17">
        <f>Github!F$1243</f>
        <v>378</v>
      </c>
      <c r="D1244" s="17">
        <f>Github!G$1243</f>
        <v>69</v>
      </c>
      <c r="E1244" s="17">
        <f>Github!F$1243+Github!G$1243</f>
        <v>447</v>
      </c>
      <c r="F1244" s="18">
        <f t="shared" si="1"/>
        <v>5.48</v>
      </c>
      <c r="G1244" s="17" t="str">
        <f>Github!H$1243</f>
        <v>Concurrency</v>
      </c>
      <c r="H1244" s="17" t="str">
        <f>Github!E$1243</f>
        <v>Medium</v>
      </c>
      <c r="I1244" s="17" t="str">
        <f>IF(TRIM(Github!D$1243)="TRUE","FALSE","TRUE")</f>
        <v>FALSE</v>
      </c>
      <c r="J1244" s="17"/>
      <c r="K1244" s="17" t="str">
        <f>Github!L$1243</f>
        <v>Depth-First Search;Breadth-First Search;Concurrency;</v>
      </c>
      <c r="L1244" s="17" t="b">
        <f>Github!M$1243</f>
        <v>0</v>
      </c>
      <c r="M1244" s="17" t="str">
        <f>ROUND(Github!N$1243, 2)&amp;"%"</f>
        <v>0%</v>
      </c>
      <c r="N1244" s="17">
        <f>Github!O$1243</f>
        <v>48.51078505</v>
      </c>
      <c r="O1244" s="17">
        <f>Github!P$1243</f>
        <v>30946</v>
      </c>
    </row>
    <row r="1245">
      <c r="A1245" s="17">
        <f>Github!J$1244</f>
        <v>1243</v>
      </c>
      <c r="B1245" s="27" t="str">
        <f>HYPERLINK(CONCAT("http://leetcode.com/problems/",Github!C$1244), Github!B$1244)</f>
        <v>Array Transformation</v>
      </c>
      <c r="C1245" s="17">
        <f>Github!F$1244</f>
        <v>110</v>
      </c>
      <c r="D1245" s="17">
        <f>Github!G$1244</f>
        <v>49</v>
      </c>
      <c r="E1245" s="17">
        <f>Github!F$1244+Github!G$1244</f>
        <v>159</v>
      </c>
      <c r="F1245" s="18">
        <f t="shared" si="1"/>
        <v>2.24</v>
      </c>
      <c r="G1245" s="17" t="str">
        <f>Github!H$1244</f>
        <v>Algorithms</v>
      </c>
      <c r="H1245" s="17" t="str">
        <f>Github!E$1244</f>
        <v>Easy</v>
      </c>
      <c r="I1245" s="17" t="str">
        <f>IF(TRIM(Github!D$1244)="TRUE","FALSE","TRUE")</f>
        <v>FALSE</v>
      </c>
      <c r="J1245" s="17"/>
      <c r="K1245" s="17" t="str">
        <f>Github!L$1244</f>
        <v>Array;Simulation;</v>
      </c>
      <c r="L1245" s="17" t="b">
        <f>Github!M$1244</f>
        <v>0</v>
      </c>
      <c r="M1245" s="17" t="str">
        <f>ROUND(Github!N$1244, 2)&amp;"%"</f>
        <v>0%</v>
      </c>
      <c r="N1245" s="17">
        <f>Github!O$1244</f>
        <v>50.29814994</v>
      </c>
      <c r="O1245" s="17">
        <f>Github!P$1244</f>
        <v>9869</v>
      </c>
    </row>
    <row r="1246">
      <c r="A1246" s="17">
        <f>Github!J$1245</f>
        <v>1244</v>
      </c>
      <c r="B1246" s="27" t="str">
        <f>HYPERLINK(CONCAT("http://leetcode.com/problems/",Github!C$1245), Github!B$1245)</f>
        <v>Design A Leaderboard</v>
      </c>
      <c r="C1246" s="17">
        <f>Github!F$1245</f>
        <v>452</v>
      </c>
      <c r="D1246" s="17">
        <f>Github!G$1245</f>
        <v>73</v>
      </c>
      <c r="E1246" s="17">
        <f>Github!F$1245+Github!G$1245</f>
        <v>525</v>
      </c>
      <c r="F1246" s="18">
        <f t="shared" si="1"/>
        <v>6.19</v>
      </c>
      <c r="G1246" s="17" t="str">
        <f>Github!H$1245</f>
        <v>Algorithms</v>
      </c>
      <c r="H1246" s="17" t="str">
        <f>Github!E$1245</f>
        <v>Medium</v>
      </c>
      <c r="I1246" s="17" t="str">
        <f>IF(TRIM(Github!D$1245)="TRUE","FALSE","TRUE")</f>
        <v>FALSE</v>
      </c>
      <c r="J1246" s="17"/>
      <c r="K1246" s="17" t="str">
        <f>Github!L$1245</f>
        <v>Hash Table;Design;Sorting;</v>
      </c>
      <c r="L1246" s="17" t="b">
        <f>Github!M$1245</f>
        <v>1</v>
      </c>
      <c r="M1246" s="17" t="str">
        <f>ROUND(Github!N$1245, 2)&amp;"%"</f>
        <v>0%</v>
      </c>
      <c r="N1246" s="17">
        <f>Github!O$1245</f>
        <v>68.00174061</v>
      </c>
      <c r="O1246" s="17">
        <f>Github!P$1245</f>
        <v>37504</v>
      </c>
    </row>
    <row r="1247">
      <c r="A1247" s="17">
        <f>Github!J$1246</f>
        <v>1245</v>
      </c>
      <c r="B1247" s="27" t="str">
        <f>HYPERLINK(CONCAT("http://leetcode.com/problems/",Github!C$1246), Github!B$1246)</f>
        <v>Tree Diameter</v>
      </c>
      <c r="C1247" s="17">
        <f>Github!F$1246</f>
        <v>584</v>
      </c>
      <c r="D1247" s="17">
        <f>Github!G$1246</f>
        <v>13</v>
      </c>
      <c r="E1247" s="17">
        <f>Github!F$1246+Github!G$1246</f>
        <v>597</v>
      </c>
      <c r="F1247" s="18">
        <f t="shared" si="1"/>
        <v>44.92</v>
      </c>
      <c r="G1247" s="17" t="str">
        <f>Github!H$1246</f>
        <v>Algorithms</v>
      </c>
      <c r="H1247" s="17" t="str">
        <f>Github!E$1246</f>
        <v>Medium</v>
      </c>
      <c r="I1247" s="17" t="str">
        <f>IF(TRIM(Github!D$1246)="TRUE","FALSE","TRUE")</f>
        <v>FALSE</v>
      </c>
      <c r="J1247" s="17"/>
      <c r="K1247" s="17" t="str">
        <f>Github!L$1246</f>
        <v>Tree;Depth-First Search;Breadth-First Search;</v>
      </c>
      <c r="L1247" s="17" t="b">
        <f>Github!M$1246</f>
        <v>1</v>
      </c>
      <c r="M1247" s="17" t="str">
        <f>ROUND(Github!N$1246, 2)&amp;"%"</f>
        <v>0%</v>
      </c>
      <c r="N1247" s="17">
        <f>Github!O$1246</f>
        <v>62.31655918</v>
      </c>
      <c r="O1247" s="17">
        <f>Github!P$1246</f>
        <v>24544</v>
      </c>
    </row>
    <row r="1248">
      <c r="A1248" s="17">
        <f>Github!J$1247</f>
        <v>1246</v>
      </c>
      <c r="B1248" s="27" t="str">
        <f>HYPERLINK(CONCAT("http://leetcode.com/problems/",Github!C$1247), Github!B$1247)</f>
        <v>Palindrome Removal</v>
      </c>
      <c r="C1248" s="17">
        <f>Github!F$1247</f>
        <v>266</v>
      </c>
      <c r="D1248" s="17">
        <f>Github!G$1247</f>
        <v>9</v>
      </c>
      <c r="E1248" s="17">
        <f>Github!F$1247+Github!G$1247</f>
        <v>275</v>
      </c>
      <c r="F1248" s="18">
        <f t="shared" si="1"/>
        <v>29.56</v>
      </c>
      <c r="G1248" s="17" t="str">
        <f>Github!H$1247</f>
        <v>Algorithms</v>
      </c>
      <c r="H1248" s="17" t="str">
        <f>Github!E$1247</f>
        <v>Hard</v>
      </c>
      <c r="I1248" s="17" t="str">
        <f>IF(TRIM(Github!D$1247)="TRUE","FALSE","TRUE")</f>
        <v>FALSE</v>
      </c>
      <c r="J1248" s="17"/>
      <c r="K1248" s="17" t="str">
        <f>Github!L$1247</f>
        <v>Array;Dynamic Programming;</v>
      </c>
      <c r="L1248" s="17" t="b">
        <f>Github!M$1247</f>
        <v>0</v>
      </c>
      <c r="M1248" s="17" t="str">
        <f>ROUND(Github!N$1247, 2)&amp;"%"</f>
        <v>0%</v>
      </c>
      <c r="N1248" s="17">
        <f>Github!O$1247</f>
        <v>46.13082514</v>
      </c>
      <c r="O1248" s="17">
        <f>Github!P$1247</f>
        <v>8632</v>
      </c>
    </row>
    <row r="1249">
      <c r="A1249" s="17">
        <f>Github!J$1248</f>
        <v>1247</v>
      </c>
      <c r="B1249" s="27" t="str">
        <f>HYPERLINK(CONCAT("http://leetcode.com/problems/",Github!C$1248), Github!B$1248)</f>
        <v>Minimum Swaps to Make Strings Equal</v>
      </c>
      <c r="C1249" s="17">
        <f>Github!F$1248</f>
        <v>820</v>
      </c>
      <c r="D1249" s="17">
        <f>Github!G$1248</f>
        <v>205</v>
      </c>
      <c r="E1249" s="17">
        <f>Github!F$1248+Github!G$1248</f>
        <v>1025</v>
      </c>
      <c r="F1249" s="18">
        <f t="shared" si="1"/>
        <v>4</v>
      </c>
      <c r="G1249" s="17" t="str">
        <f>Github!H$1248</f>
        <v>Algorithms</v>
      </c>
      <c r="H1249" s="17" t="str">
        <f>Github!E$1248</f>
        <v>Medium</v>
      </c>
      <c r="I1249" s="17" t="str">
        <f>IF(TRIM(Github!D$1248)="TRUE","FALSE","TRUE")</f>
        <v>TRUE</v>
      </c>
      <c r="J1249" s="17"/>
      <c r="K1249" s="17" t="str">
        <f>Github!L$1248</f>
        <v>Math;String;Greedy;</v>
      </c>
      <c r="L1249" s="17" t="b">
        <f>Github!M$1248</f>
        <v>0</v>
      </c>
      <c r="M1249" s="17" t="str">
        <f>ROUND(Github!N$1248, 2)&amp;"%"</f>
        <v>0%</v>
      </c>
      <c r="N1249" s="17">
        <f>Github!O$1248</f>
        <v>63.70048447</v>
      </c>
      <c r="O1249" s="17">
        <f>Github!P$1248</f>
        <v>26823</v>
      </c>
    </row>
    <row r="1250">
      <c r="A1250" s="17">
        <f>Github!J$1249</f>
        <v>1248</v>
      </c>
      <c r="B1250" s="27" t="str">
        <f>HYPERLINK(CONCAT("http://leetcode.com/problems/",Github!C$1249), Github!B$1249)</f>
        <v>Count Number of Nice Subarrays</v>
      </c>
      <c r="C1250" s="17">
        <f>Github!F$1249</f>
        <v>1583</v>
      </c>
      <c r="D1250" s="17">
        <f>Github!G$1249</f>
        <v>39</v>
      </c>
      <c r="E1250" s="17">
        <f>Github!F$1249+Github!G$1249</f>
        <v>1622</v>
      </c>
      <c r="F1250" s="18">
        <f t="shared" si="1"/>
        <v>40.59</v>
      </c>
      <c r="G1250" s="17" t="str">
        <f>Github!H$1249</f>
        <v>Algorithms</v>
      </c>
      <c r="H1250" s="17" t="str">
        <f>Github!E$1249</f>
        <v>Medium</v>
      </c>
      <c r="I1250" s="17" t="str">
        <f>IF(TRIM(Github!D$1249)="TRUE","FALSE","TRUE")</f>
        <v>TRUE</v>
      </c>
      <c r="J1250" s="17"/>
      <c r="K1250" s="17" t="str">
        <f>Github!L$1249</f>
        <v>Array;Hash Table;Math;Sliding Window;</v>
      </c>
      <c r="L1250" s="17" t="b">
        <f>Github!M$1249</f>
        <v>0</v>
      </c>
      <c r="M1250" s="17" t="str">
        <f>ROUND(Github!N$1249, 2)&amp;"%"</f>
        <v>0%</v>
      </c>
      <c r="N1250" s="17">
        <f>Github!O$1249</f>
        <v>58.36026178</v>
      </c>
      <c r="O1250" s="17">
        <f>Github!P$1249</f>
        <v>50027</v>
      </c>
    </row>
    <row r="1251">
      <c r="A1251" s="17">
        <f>Github!J$1250</f>
        <v>1249</v>
      </c>
      <c r="B1251" s="27" t="str">
        <f>HYPERLINK(CONCAT("http://leetcode.com/problems/",Github!C$1250), Github!B$1250)</f>
        <v>Minimum Remove to Make Valid Parentheses</v>
      </c>
      <c r="C1251" s="17">
        <f>Github!F$1250</f>
        <v>3646</v>
      </c>
      <c r="D1251" s="17">
        <f>Github!G$1250</f>
        <v>69</v>
      </c>
      <c r="E1251" s="17">
        <f>Github!F$1250+Github!G$1250</f>
        <v>3715</v>
      </c>
      <c r="F1251" s="18">
        <f t="shared" si="1"/>
        <v>52.84</v>
      </c>
      <c r="G1251" s="17" t="str">
        <f>Github!H$1250</f>
        <v>Algorithms</v>
      </c>
      <c r="H1251" s="17" t="str">
        <f>Github!E$1250</f>
        <v>Medium</v>
      </c>
      <c r="I1251" s="17" t="str">
        <f>IF(TRIM(Github!D$1250)="TRUE","FALSE","TRUE")</f>
        <v>TRUE</v>
      </c>
      <c r="J1251" s="17"/>
      <c r="K1251" s="17" t="str">
        <f>Github!L$1250</f>
        <v>String;Stack;</v>
      </c>
      <c r="L1251" s="17" t="b">
        <f>Github!M$1250</f>
        <v>1</v>
      </c>
      <c r="M1251" s="17" t="str">
        <f>ROUND(Github!N$1250, 2)&amp;"%"</f>
        <v>0%</v>
      </c>
      <c r="N1251" s="17">
        <f>Github!O$1250</f>
        <v>65.22413044</v>
      </c>
      <c r="O1251" s="17">
        <f>Github!P$1250</f>
        <v>352622</v>
      </c>
    </row>
    <row r="1252">
      <c r="A1252" s="17">
        <f>Github!J$1251</f>
        <v>1250</v>
      </c>
      <c r="B1252" s="27" t="str">
        <f>HYPERLINK(CONCAT("http://leetcode.com/problems/",Github!C$1251), Github!B$1251)</f>
        <v>Check If It Is a Good Array</v>
      </c>
      <c r="C1252" s="17">
        <f>Github!F$1251</f>
        <v>235</v>
      </c>
      <c r="D1252" s="17">
        <f>Github!G$1251</f>
        <v>265</v>
      </c>
      <c r="E1252" s="17">
        <f>Github!F$1251+Github!G$1251</f>
        <v>500</v>
      </c>
      <c r="F1252" s="18">
        <f t="shared" si="1"/>
        <v>0.89</v>
      </c>
      <c r="G1252" s="17" t="str">
        <f>Github!H$1251</f>
        <v>Algorithms</v>
      </c>
      <c r="H1252" s="17" t="str">
        <f>Github!E$1251</f>
        <v>Hard</v>
      </c>
      <c r="I1252" s="17" t="str">
        <f>IF(TRIM(Github!D$1251)="TRUE","FALSE","TRUE")</f>
        <v>TRUE</v>
      </c>
      <c r="J1252" s="17"/>
      <c r="K1252" s="17" t="str">
        <f>Github!L$1251</f>
        <v>Array;Math;Number Theory;</v>
      </c>
      <c r="L1252" s="17" t="b">
        <f>Github!M$1251</f>
        <v>0</v>
      </c>
      <c r="M1252" s="17" t="str">
        <f>ROUND(Github!N$1251, 2)&amp;"%"</f>
        <v>0%</v>
      </c>
      <c r="N1252" s="17">
        <f>Github!O$1251</f>
        <v>57.75333</v>
      </c>
      <c r="O1252" s="17">
        <f>Github!P$1251</f>
        <v>12704</v>
      </c>
    </row>
    <row r="1253">
      <c r="A1253" s="17">
        <f>Github!J$1252</f>
        <v>1251</v>
      </c>
      <c r="B1253" s="27" t="str">
        <f>HYPERLINK(CONCAT("http://leetcode.com/problems/",Github!C$1252), Github!B$1252)</f>
        <v>Average Selling Price</v>
      </c>
      <c r="C1253" s="17">
        <f>Github!F$1252</f>
        <v>211</v>
      </c>
      <c r="D1253" s="17">
        <f>Github!G$1252</f>
        <v>20</v>
      </c>
      <c r="E1253" s="17">
        <f>Github!F$1252+Github!G$1252</f>
        <v>231</v>
      </c>
      <c r="F1253" s="18">
        <f t="shared" si="1"/>
        <v>10.55</v>
      </c>
      <c r="G1253" s="17" t="str">
        <f>Github!H$1252</f>
        <v>Database</v>
      </c>
      <c r="H1253" s="17" t="str">
        <f>Github!E$1252</f>
        <v>Easy</v>
      </c>
      <c r="I1253" s="17" t="str">
        <f>IF(TRIM(Github!D$1252)="TRUE","FALSE","TRUE")</f>
        <v>FALSE</v>
      </c>
      <c r="J1253" s="17"/>
      <c r="K1253" s="17" t="str">
        <f>Github!L$1252</f>
        <v>Database;</v>
      </c>
      <c r="L1253" s="17" t="b">
        <f>Github!M$1252</f>
        <v>0</v>
      </c>
      <c r="M1253" s="17" t="str">
        <f>ROUND(Github!N$1252, 2)&amp;"%"</f>
        <v>0%</v>
      </c>
      <c r="N1253" s="17">
        <f>Github!O$1252</f>
        <v>83.34159255</v>
      </c>
      <c r="O1253" s="17">
        <f>Github!P$1252</f>
        <v>31954</v>
      </c>
    </row>
    <row r="1254">
      <c r="A1254" s="17">
        <f>Github!J$1253</f>
        <v>1252</v>
      </c>
      <c r="B1254" s="27" t="str">
        <f>HYPERLINK(CONCAT("http://leetcode.com/problems/",Github!C$1253), Github!B$1253)</f>
        <v>Cells with Odd Values in a Matrix</v>
      </c>
      <c r="C1254" s="17">
        <f>Github!F$1253</f>
        <v>707</v>
      </c>
      <c r="D1254" s="17">
        <f>Github!G$1253</f>
        <v>1061</v>
      </c>
      <c r="E1254" s="17">
        <f>Github!F$1253+Github!G$1253</f>
        <v>1768</v>
      </c>
      <c r="F1254" s="18">
        <f t="shared" si="1"/>
        <v>0.67</v>
      </c>
      <c r="G1254" s="17" t="str">
        <f>Github!H$1253</f>
        <v>Algorithms</v>
      </c>
      <c r="H1254" s="17" t="str">
        <f>Github!E$1253</f>
        <v>Easy</v>
      </c>
      <c r="I1254" s="17" t="str">
        <f>IF(TRIM(Github!D$1253)="TRUE","FALSE","TRUE")</f>
        <v>TRUE</v>
      </c>
      <c r="J1254" s="17"/>
      <c r="K1254" s="17" t="str">
        <f>Github!L$1253</f>
        <v>Array;Math;Simulation;</v>
      </c>
      <c r="L1254" s="17" t="b">
        <f>Github!M$1253</f>
        <v>0</v>
      </c>
      <c r="M1254" s="17" t="str">
        <f>ROUND(Github!N$1253, 2)&amp;"%"</f>
        <v>0%</v>
      </c>
      <c r="N1254" s="17">
        <f>Github!O$1253</f>
        <v>78.52963363</v>
      </c>
      <c r="O1254" s="17">
        <f>Github!P$1253</f>
        <v>77036</v>
      </c>
    </row>
    <row r="1255">
      <c r="A1255" s="17">
        <f>Github!J$1254</f>
        <v>1253</v>
      </c>
      <c r="B1255" s="27" t="str">
        <f>HYPERLINK(CONCAT("http://leetcode.com/problems/",Github!C$1254), Github!B$1254)</f>
        <v>Reconstruct a 2-Row Binary Matrix</v>
      </c>
      <c r="C1255" s="17">
        <f>Github!F$1254</f>
        <v>309</v>
      </c>
      <c r="D1255" s="17">
        <f>Github!G$1254</f>
        <v>24</v>
      </c>
      <c r="E1255" s="17">
        <f>Github!F$1254+Github!G$1254</f>
        <v>333</v>
      </c>
      <c r="F1255" s="18">
        <f t="shared" si="1"/>
        <v>12.88</v>
      </c>
      <c r="G1255" s="17" t="str">
        <f>Github!H$1254</f>
        <v>Algorithms</v>
      </c>
      <c r="H1255" s="17" t="str">
        <f>Github!E$1254</f>
        <v>Medium</v>
      </c>
      <c r="I1255" s="17" t="str">
        <f>IF(TRIM(Github!D$1254)="TRUE","FALSE","TRUE")</f>
        <v>TRUE</v>
      </c>
      <c r="J1255" s="17"/>
      <c r="K1255" s="17" t="str">
        <f>Github!L$1254</f>
        <v>Array;Greedy;Matrix;</v>
      </c>
      <c r="L1255" s="17" t="b">
        <f>Github!M$1254</f>
        <v>0</v>
      </c>
      <c r="M1255" s="17" t="str">
        <f>ROUND(Github!N$1254, 2)&amp;"%"</f>
        <v>0%</v>
      </c>
      <c r="N1255" s="17">
        <f>Github!O$1254</f>
        <v>43.08513095</v>
      </c>
      <c r="O1255" s="17">
        <f>Github!P$1254</f>
        <v>18655</v>
      </c>
    </row>
    <row r="1256">
      <c r="A1256" s="17">
        <f>Github!J$1255</f>
        <v>1254</v>
      </c>
      <c r="B1256" s="27" t="str">
        <f>HYPERLINK(CONCAT("http://leetcode.com/problems/",Github!C$1255), Github!B$1255)</f>
        <v>Number of Closed Islands</v>
      </c>
      <c r="C1256" s="17">
        <f>Github!F$1255</f>
        <v>1607</v>
      </c>
      <c r="D1256" s="17">
        <f>Github!G$1255</f>
        <v>35</v>
      </c>
      <c r="E1256" s="17">
        <f>Github!F$1255+Github!G$1255</f>
        <v>1642</v>
      </c>
      <c r="F1256" s="18">
        <f t="shared" si="1"/>
        <v>45.91</v>
      </c>
      <c r="G1256" s="17" t="str">
        <f>Github!H$1255</f>
        <v>Algorithms</v>
      </c>
      <c r="H1256" s="17" t="str">
        <f>Github!E$1255</f>
        <v>Medium</v>
      </c>
      <c r="I1256" s="17" t="str">
        <f>IF(TRIM(Github!D$1255)="TRUE","FALSE","TRUE")</f>
        <v>TRUE</v>
      </c>
      <c r="J1256" s="17"/>
      <c r="K1256" s="17" t="str">
        <f>Github!L$1255</f>
        <v>Array;Depth-First Search;Breadth-First Search;Union Find;Matrix;</v>
      </c>
      <c r="L1256" s="17" t="b">
        <f>Github!M$1255</f>
        <v>0</v>
      </c>
      <c r="M1256" s="17" t="str">
        <f>ROUND(Github!N$1255, 2)&amp;"%"</f>
        <v>0%</v>
      </c>
      <c r="N1256" s="17">
        <f>Github!O$1255</f>
        <v>63.08800378</v>
      </c>
      <c r="O1256" s="17">
        <f>Github!P$1255</f>
        <v>77337</v>
      </c>
    </row>
    <row r="1257">
      <c r="A1257" s="17">
        <f>Github!J$1256</f>
        <v>1255</v>
      </c>
      <c r="B1257" s="27" t="str">
        <f>HYPERLINK(CONCAT("http://leetcode.com/problems/",Github!C$1256), Github!B$1256)</f>
        <v>Maximum Score Words Formed by Letters</v>
      </c>
      <c r="C1257" s="17">
        <f>Github!F$1256</f>
        <v>599</v>
      </c>
      <c r="D1257" s="17">
        <f>Github!G$1256</f>
        <v>36</v>
      </c>
      <c r="E1257" s="17">
        <f>Github!F$1256+Github!G$1256</f>
        <v>635</v>
      </c>
      <c r="F1257" s="18">
        <f t="shared" si="1"/>
        <v>16.64</v>
      </c>
      <c r="G1257" s="17" t="str">
        <f>Github!H$1256</f>
        <v>Algorithms</v>
      </c>
      <c r="H1257" s="17" t="str">
        <f>Github!E$1256</f>
        <v>Hard</v>
      </c>
      <c r="I1257" s="17" t="str">
        <f>IF(TRIM(Github!D$1256)="TRUE","FALSE","TRUE")</f>
        <v>TRUE</v>
      </c>
      <c r="J1257" s="17"/>
      <c r="K1257" s="17" t="str">
        <f>Github!L$1256</f>
        <v>Array;String;Dynamic Programming;Backtracking;Bit Manipulation;Bitmask;</v>
      </c>
      <c r="L1257" s="17" t="b">
        <f>Github!M$1256</f>
        <v>0</v>
      </c>
      <c r="M1257" s="17" t="str">
        <f>ROUND(Github!N$1256, 2)&amp;"%"</f>
        <v>0%</v>
      </c>
      <c r="N1257" s="17">
        <f>Github!O$1256</f>
        <v>71.93376068</v>
      </c>
      <c r="O1257" s="17">
        <f>Github!P$1256</f>
        <v>20197</v>
      </c>
    </row>
    <row r="1258">
      <c r="A1258" s="17">
        <f>Github!J$1257</f>
        <v>1256</v>
      </c>
      <c r="B1258" s="27" t="str">
        <f>HYPERLINK(CONCAT("http://leetcode.com/problems/",Github!C$1257), Github!B$1257)</f>
        <v>Encode Number</v>
      </c>
      <c r="C1258" s="17">
        <f>Github!F$1257</f>
        <v>62</v>
      </c>
      <c r="D1258" s="17">
        <f>Github!G$1257</f>
        <v>206</v>
      </c>
      <c r="E1258" s="17">
        <f>Github!F$1257+Github!G$1257</f>
        <v>268</v>
      </c>
      <c r="F1258" s="18">
        <f t="shared" si="1"/>
        <v>0.3</v>
      </c>
      <c r="G1258" s="17" t="str">
        <f>Github!H$1257</f>
        <v>Algorithms</v>
      </c>
      <c r="H1258" s="17" t="str">
        <f>Github!E$1257</f>
        <v>Medium</v>
      </c>
      <c r="I1258" s="17" t="str">
        <f>IF(TRIM(Github!D$1257)="TRUE","FALSE","TRUE")</f>
        <v>FALSE</v>
      </c>
      <c r="J1258" s="17"/>
      <c r="K1258" s="17" t="str">
        <f>Github!L$1257</f>
        <v>Math;String;Bit Manipulation;</v>
      </c>
      <c r="L1258" s="17" t="b">
        <f>Github!M$1257</f>
        <v>0</v>
      </c>
      <c r="M1258" s="17" t="str">
        <f>ROUND(Github!N$1257, 2)&amp;"%"</f>
        <v>0%</v>
      </c>
      <c r="N1258" s="17">
        <f>Github!O$1257</f>
        <v>69.34200202</v>
      </c>
      <c r="O1258" s="17">
        <f>Github!P$1257</f>
        <v>6186</v>
      </c>
    </row>
    <row r="1259">
      <c r="A1259" s="17">
        <f>Github!J$1258</f>
        <v>1257</v>
      </c>
      <c r="B1259" s="27" t="str">
        <f>HYPERLINK(CONCAT("http://leetcode.com/problems/",Github!C$1258), Github!B$1258)</f>
        <v>Smallest Common Region</v>
      </c>
      <c r="C1259" s="17">
        <f>Github!F$1258</f>
        <v>289</v>
      </c>
      <c r="D1259" s="17">
        <f>Github!G$1258</f>
        <v>26</v>
      </c>
      <c r="E1259" s="17">
        <f>Github!F$1258+Github!G$1258</f>
        <v>315</v>
      </c>
      <c r="F1259" s="18">
        <f t="shared" si="1"/>
        <v>11.12</v>
      </c>
      <c r="G1259" s="17" t="str">
        <f>Github!H$1258</f>
        <v>Algorithms</v>
      </c>
      <c r="H1259" s="17" t="str">
        <f>Github!E$1258</f>
        <v>Medium</v>
      </c>
      <c r="I1259" s="17" t="str">
        <f>IF(TRIM(Github!D$1258)="TRUE","FALSE","TRUE")</f>
        <v>FALSE</v>
      </c>
      <c r="J1259" s="17"/>
      <c r="K1259" s="17" t="str">
        <f>Github!L$1258</f>
        <v>Array;Hash Table;String;Tree;Depth-First Search;Breadth-First Search;</v>
      </c>
      <c r="L1259" s="17" t="b">
        <f>Github!M$1258</f>
        <v>0</v>
      </c>
      <c r="M1259" s="17" t="str">
        <f>ROUND(Github!N$1258, 2)&amp;"%"</f>
        <v>0%</v>
      </c>
      <c r="N1259" s="17">
        <f>Github!O$1258</f>
        <v>62.72071388</v>
      </c>
      <c r="O1259" s="17">
        <f>Github!P$1258</f>
        <v>13214</v>
      </c>
    </row>
    <row r="1260">
      <c r="A1260" s="17">
        <f>Github!J$1259</f>
        <v>1258</v>
      </c>
      <c r="B1260" s="27" t="str">
        <f>HYPERLINK(CONCAT("http://leetcode.com/problems/",Github!C$1259), Github!B$1259)</f>
        <v>Synonymous Sentences</v>
      </c>
      <c r="C1260" s="17">
        <f>Github!F$1259</f>
        <v>211</v>
      </c>
      <c r="D1260" s="17">
        <f>Github!G$1259</f>
        <v>81</v>
      </c>
      <c r="E1260" s="17">
        <f>Github!F$1259+Github!G$1259</f>
        <v>292</v>
      </c>
      <c r="F1260" s="18">
        <f t="shared" si="1"/>
        <v>2.6</v>
      </c>
      <c r="G1260" s="17" t="str">
        <f>Github!H$1259</f>
        <v>Algorithms</v>
      </c>
      <c r="H1260" s="17" t="str">
        <f>Github!E$1259</f>
        <v>Medium</v>
      </c>
      <c r="I1260" s="17" t="str">
        <f>IF(TRIM(Github!D$1259)="TRUE","FALSE","TRUE")</f>
        <v>FALSE</v>
      </c>
      <c r="J1260" s="17"/>
      <c r="K1260" s="17" t="str">
        <f>Github!L$1259</f>
        <v>Array;Hash Table;String;Backtracking;Union Find;</v>
      </c>
      <c r="L1260" s="17" t="b">
        <f>Github!M$1259</f>
        <v>0</v>
      </c>
      <c r="M1260" s="17" t="str">
        <f>ROUND(Github!N$1259, 2)&amp;"%"</f>
        <v>0%</v>
      </c>
      <c r="N1260" s="17">
        <f>Github!O$1259</f>
        <v>56.26088551</v>
      </c>
      <c r="O1260" s="17">
        <f>Github!P$1259</f>
        <v>12275</v>
      </c>
    </row>
    <row r="1261">
      <c r="A1261" s="17">
        <f>Github!J$1260</f>
        <v>1259</v>
      </c>
      <c r="B1261" s="27" t="str">
        <f>HYPERLINK(CONCAT("http://leetcode.com/problems/",Github!C$1260), Github!B$1260)</f>
        <v>Handshakes That Don't Cross</v>
      </c>
      <c r="C1261" s="17">
        <f>Github!F$1260</f>
        <v>99</v>
      </c>
      <c r="D1261" s="17">
        <f>Github!G$1260</f>
        <v>8</v>
      </c>
      <c r="E1261" s="17">
        <f>Github!F$1260+Github!G$1260</f>
        <v>107</v>
      </c>
      <c r="F1261" s="18">
        <f t="shared" si="1"/>
        <v>12.38</v>
      </c>
      <c r="G1261" s="17" t="str">
        <f>Github!H$1260</f>
        <v>Algorithms</v>
      </c>
      <c r="H1261" s="17" t="str">
        <f>Github!E$1260</f>
        <v>Hard</v>
      </c>
      <c r="I1261" s="17" t="str">
        <f>IF(TRIM(Github!D$1260)="TRUE","FALSE","TRUE")</f>
        <v>FALSE</v>
      </c>
      <c r="J1261" s="17"/>
      <c r="K1261" s="17" t="str">
        <f>Github!L$1260</f>
        <v>Math;Dynamic Programming;</v>
      </c>
      <c r="L1261" s="17" t="b">
        <f>Github!M$1260</f>
        <v>0</v>
      </c>
      <c r="M1261" s="17" t="str">
        <f>ROUND(Github!N$1260, 2)&amp;"%"</f>
        <v>0%</v>
      </c>
      <c r="N1261" s="17">
        <f>Github!O$1260</f>
        <v>55.49664192</v>
      </c>
      <c r="O1261" s="17">
        <f>Github!P$1260</f>
        <v>4709</v>
      </c>
    </row>
    <row r="1262">
      <c r="A1262" s="17">
        <f>Github!J$1261</f>
        <v>1260</v>
      </c>
      <c r="B1262" s="27" t="str">
        <f>HYPERLINK(CONCAT("http://leetcode.com/problems/",Github!C$1261), Github!B$1261)</f>
        <v>Shift 2D Grid</v>
      </c>
      <c r="C1262" s="17">
        <f>Github!F$1261</f>
        <v>453</v>
      </c>
      <c r="D1262" s="17">
        <f>Github!G$1261</f>
        <v>138</v>
      </c>
      <c r="E1262" s="17">
        <f>Github!F$1261+Github!G$1261</f>
        <v>591</v>
      </c>
      <c r="F1262" s="18">
        <f t="shared" si="1"/>
        <v>3.28</v>
      </c>
      <c r="G1262" s="17" t="str">
        <f>Github!H$1261</f>
        <v>Algorithms</v>
      </c>
      <c r="H1262" s="17" t="str">
        <f>Github!E$1261</f>
        <v>Easy</v>
      </c>
      <c r="I1262" s="17" t="str">
        <f>IF(TRIM(Github!D$1261)="TRUE","FALSE","TRUE")</f>
        <v>TRUE</v>
      </c>
      <c r="J1262" s="17"/>
      <c r="K1262" s="17" t="str">
        <f>Github!L$1261</f>
        <v>Array;Matrix;Simulation;</v>
      </c>
      <c r="L1262" s="17" t="b">
        <f>Github!M$1261</f>
        <v>1</v>
      </c>
      <c r="M1262" s="17" t="str">
        <f>ROUND(Github!N$1261, 2)&amp;"%"</f>
        <v>0%</v>
      </c>
      <c r="N1262" s="17">
        <f>Github!O$1261</f>
        <v>62.55210789</v>
      </c>
      <c r="O1262" s="17">
        <f>Github!P$1261</f>
        <v>33161</v>
      </c>
    </row>
    <row r="1263">
      <c r="A1263" s="17">
        <f>Github!J$1262</f>
        <v>1261</v>
      </c>
      <c r="B1263" s="27" t="str">
        <f>HYPERLINK(CONCAT("http://leetcode.com/problems/",Github!C$1262), Github!B$1262)</f>
        <v>Find Elements in a Contaminated Binary Tree</v>
      </c>
      <c r="C1263" s="17">
        <f>Github!F$1262</f>
        <v>564</v>
      </c>
      <c r="D1263" s="17">
        <f>Github!G$1262</f>
        <v>76</v>
      </c>
      <c r="E1263" s="17">
        <f>Github!F$1262+Github!G$1262</f>
        <v>640</v>
      </c>
      <c r="F1263" s="18">
        <f t="shared" si="1"/>
        <v>7.42</v>
      </c>
      <c r="G1263" s="17" t="str">
        <f>Github!H$1262</f>
        <v>Algorithms</v>
      </c>
      <c r="H1263" s="17" t="str">
        <f>Github!E$1262</f>
        <v>Medium</v>
      </c>
      <c r="I1263" s="17" t="str">
        <f>IF(TRIM(Github!D$1262)="TRUE","FALSE","TRUE")</f>
        <v>TRUE</v>
      </c>
      <c r="J1263" s="17"/>
      <c r="K1263" s="17" t="str">
        <f>Github!L$1262</f>
        <v>Hash Table;Tree;Depth-First Search;Breadth-First Search;Design;Binary Tree;</v>
      </c>
      <c r="L1263" s="17" t="b">
        <f>Github!M$1262</f>
        <v>0</v>
      </c>
      <c r="M1263" s="17" t="str">
        <f>ROUND(Github!N$1262, 2)&amp;"%"</f>
        <v>0%</v>
      </c>
      <c r="N1263" s="17">
        <f>Github!O$1262</f>
        <v>75.67723343</v>
      </c>
      <c r="O1263" s="17">
        <f>Github!P$1262</f>
        <v>42016</v>
      </c>
    </row>
    <row r="1264">
      <c r="A1264" s="17">
        <f>Github!J$1263</f>
        <v>1262</v>
      </c>
      <c r="B1264" s="27" t="str">
        <f>HYPERLINK(CONCAT("http://leetcode.com/problems/",Github!C$1263), Github!B$1263)</f>
        <v>Greatest Sum Divisible by Three</v>
      </c>
      <c r="C1264" s="17">
        <f>Github!F$1263</f>
        <v>1135</v>
      </c>
      <c r="D1264" s="17">
        <f>Github!G$1263</f>
        <v>33</v>
      </c>
      <c r="E1264" s="17">
        <f>Github!F$1263+Github!G$1263</f>
        <v>1168</v>
      </c>
      <c r="F1264" s="18">
        <f t="shared" si="1"/>
        <v>34.39</v>
      </c>
      <c r="G1264" s="17" t="str">
        <f>Github!H$1263</f>
        <v>Algorithms</v>
      </c>
      <c r="H1264" s="17" t="str">
        <f>Github!E$1263</f>
        <v>Medium</v>
      </c>
      <c r="I1264" s="17" t="str">
        <f>IF(TRIM(Github!D$1263)="TRUE","FALSE","TRUE")</f>
        <v>TRUE</v>
      </c>
      <c r="J1264" s="17"/>
      <c r="K1264" s="17" t="str">
        <f>Github!L$1263</f>
        <v>Array;Dynamic Programming;Greedy;</v>
      </c>
      <c r="L1264" s="17" t="b">
        <f>Github!M$1263</f>
        <v>0</v>
      </c>
      <c r="M1264" s="17" t="str">
        <f>ROUND(Github!N$1263, 2)&amp;"%"</f>
        <v>0%</v>
      </c>
      <c r="N1264" s="17">
        <f>Github!O$1263</f>
        <v>50.80760524</v>
      </c>
      <c r="O1264" s="17">
        <f>Github!P$1263</f>
        <v>36583</v>
      </c>
    </row>
    <row r="1265">
      <c r="A1265" s="17">
        <f>Github!J$1264</f>
        <v>1263</v>
      </c>
      <c r="B1265" s="27" t="str">
        <f>HYPERLINK(CONCAT("http://leetcode.com/problems/",Github!C$1264), Github!B$1264)</f>
        <v>Minimum Moves to Move a Box to Their Target Location</v>
      </c>
      <c r="C1265" s="17">
        <f>Github!F$1264</f>
        <v>599</v>
      </c>
      <c r="D1265" s="17">
        <f>Github!G$1264</f>
        <v>45</v>
      </c>
      <c r="E1265" s="17">
        <f>Github!F$1264+Github!G$1264</f>
        <v>644</v>
      </c>
      <c r="F1265" s="18">
        <f t="shared" si="1"/>
        <v>13.31</v>
      </c>
      <c r="G1265" s="17" t="str">
        <f>Github!H$1264</f>
        <v>Algorithms</v>
      </c>
      <c r="H1265" s="17" t="str">
        <f>Github!E$1264</f>
        <v>Hard</v>
      </c>
      <c r="I1265" s="17" t="str">
        <f>IF(TRIM(Github!D$1264)="TRUE","FALSE","TRUE")</f>
        <v>TRUE</v>
      </c>
      <c r="J1265" s="17"/>
      <c r="K1265" s="17" t="str">
        <f>Github!L$1264</f>
        <v>Array;Breadth-First Search;Heap (Priority Queue);Matrix;</v>
      </c>
      <c r="L1265" s="17" t="b">
        <f>Github!M$1264</f>
        <v>0</v>
      </c>
      <c r="M1265" s="17" t="str">
        <f>ROUND(Github!N$1264, 2)&amp;"%"</f>
        <v>0%</v>
      </c>
      <c r="N1265" s="17">
        <f>Github!O$1264</f>
        <v>48.26774867</v>
      </c>
      <c r="O1265" s="17">
        <f>Github!P$1264</f>
        <v>20104</v>
      </c>
    </row>
    <row r="1266">
      <c r="A1266" s="17">
        <f>Github!J$1265</f>
        <v>1264</v>
      </c>
      <c r="B1266" s="27" t="str">
        <f>HYPERLINK(CONCAT("http://leetcode.com/problems/",Github!C$1265), Github!B$1265)</f>
        <v>Page Recommendations</v>
      </c>
      <c r="C1266" s="17">
        <f>Github!F$1265</f>
        <v>136</v>
      </c>
      <c r="D1266" s="17">
        <f>Github!G$1265</f>
        <v>10</v>
      </c>
      <c r="E1266" s="17">
        <f>Github!F$1265+Github!G$1265</f>
        <v>146</v>
      </c>
      <c r="F1266" s="18">
        <f t="shared" si="1"/>
        <v>13.6</v>
      </c>
      <c r="G1266" s="17" t="str">
        <f>Github!H$1265</f>
        <v>Database</v>
      </c>
      <c r="H1266" s="17" t="str">
        <f>Github!E$1265</f>
        <v>Medium</v>
      </c>
      <c r="I1266" s="17" t="str">
        <f>IF(TRIM(Github!D$1265)="TRUE","FALSE","TRUE")</f>
        <v>FALSE</v>
      </c>
      <c r="J1266" s="17"/>
      <c r="K1266" s="17" t="str">
        <f>Github!L$1265</f>
        <v>Database;</v>
      </c>
      <c r="L1266" s="17" t="b">
        <f>Github!M$1265</f>
        <v>0</v>
      </c>
      <c r="M1266" s="17" t="str">
        <f>ROUND(Github!N$1265, 2)&amp;"%"</f>
        <v>0%</v>
      </c>
      <c r="N1266" s="17">
        <f>Github!O$1265</f>
        <v>67.5894069</v>
      </c>
      <c r="O1266" s="17">
        <f>Github!P$1265</f>
        <v>21413</v>
      </c>
    </row>
    <row r="1267">
      <c r="A1267" s="17">
        <f>Github!J$1266</f>
        <v>1265</v>
      </c>
      <c r="B1267" s="27" t="str">
        <f>HYPERLINK(CONCAT("http://leetcode.com/problems/",Github!C$1266), Github!B$1266)</f>
        <v>Print Immutable Linked List in Reverse</v>
      </c>
      <c r="C1267" s="17">
        <f>Github!F$1266</f>
        <v>410</v>
      </c>
      <c r="D1267" s="17">
        <f>Github!G$1266</f>
        <v>73</v>
      </c>
      <c r="E1267" s="17">
        <f>Github!F$1266+Github!G$1266</f>
        <v>483</v>
      </c>
      <c r="F1267" s="18">
        <f t="shared" si="1"/>
        <v>5.62</v>
      </c>
      <c r="G1267" s="17" t="str">
        <f>Github!H$1266</f>
        <v>Algorithms</v>
      </c>
      <c r="H1267" s="17" t="str">
        <f>Github!E$1266</f>
        <v>Medium</v>
      </c>
      <c r="I1267" s="17" t="str">
        <f>IF(TRIM(Github!D$1266)="TRUE","FALSE","TRUE")</f>
        <v>FALSE</v>
      </c>
      <c r="J1267" s="17"/>
      <c r="K1267" s="17" t="str">
        <f>Github!L$1266</f>
        <v>Linked List;Two Pointers;Stack;Recursion;</v>
      </c>
      <c r="L1267" s="17" t="b">
        <f>Github!M$1266</f>
        <v>0</v>
      </c>
      <c r="M1267" s="17" t="str">
        <f>ROUND(Github!N$1266, 2)&amp;"%"</f>
        <v>0%</v>
      </c>
      <c r="N1267" s="17">
        <f>Github!O$1266</f>
        <v>94.27830596</v>
      </c>
      <c r="O1267" s="17">
        <f>Github!P$1266</f>
        <v>38176</v>
      </c>
    </row>
    <row r="1268">
      <c r="A1268" s="17">
        <f>Github!J$1267</f>
        <v>1266</v>
      </c>
      <c r="B1268" s="27" t="str">
        <f>HYPERLINK(CONCAT("http://leetcode.com/problems/",Github!C$1267), Github!B$1267)</f>
        <v>Minimum Time Visiting All Points</v>
      </c>
      <c r="C1268" s="17">
        <f>Github!F$1267</f>
        <v>1143</v>
      </c>
      <c r="D1268" s="17">
        <f>Github!G$1267</f>
        <v>155</v>
      </c>
      <c r="E1268" s="17">
        <f>Github!F$1267+Github!G$1267</f>
        <v>1298</v>
      </c>
      <c r="F1268" s="18">
        <f t="shared" si="1"/>
        <v>7.37</v>
      </c>
      <c r="G1268" s="17" t="str">
        <f>Github!H$1267</f>
        <v>Algorithms</v>
      </c>
      <c r="H1268" s="17" t="str">
        <f>Github!E$1267</f>
        <v>Easy</v>
      </c>
      <c r="I1268" s="17" t="str">
        <f>IF(TRIM(Github!D$1267)="TRUE","FALSE","TRUE")</f>
        <v>TRUE</v>
      </c>
      <c r="J1268" s="17"/>
      <c r="K1268" s="17" t="str">
        <f>Github!L$1267</f>
        <v>Array;Math;Geometry;</v>
      </c>
      <c r="L1268" s="17" t="b">
        <f>Github!M$1267</f>
        <v>0</v>
      </c>
      <c r="M1268" s="17" t="str">
        <f>ROUND(Github!N$1267, 2)&amp;"%"</f>
        <v>0%</v>
      </c>
      <c r="N1268" s="17">
        <f>Github!O$1267</f>
        <v>79.11359658</v>
      </c>
      <c r="O1268" s="17">
        <f>Github!P$1267</f>
        <v>111617</v>
      </c>
    </row>
    <row r="1269">
      <c r="A1269" s="17">
        <f>Github!J$1268</f>
        <v>1267</v>
      </c>
      <c r="B1269" s="27" t="str">
        <f>HYPERLINK(CONCAT("http://leetcode.com/problems/",Github!C$1268), Github!B$1268)</f>
        <v>Count Servers that Communicate</v>
      </c>
      <c r="C1269" s="17">
        <f>Github!F$1268</f>
        <v>822</v>
      </c>
      <c r="D1269" s="17">
        <f>Github!G$1268</f>
        <v>69</v>
      </c>
      <c r="E1269" s="17">
        <f>Github!F$1268+Github!G$1268</f>
        <v>891</v>
      </c>
      <c r="F1269" s="18">
        <f t="shared" si="1"/>
        <v>11.91</v>
      </c>
      <c r="G1269" s="17" t="str">
        <f>Github!H$1268</f>
        <v>Algorithms</v>
      </c>
      <c r="H1269" s="17" t="str">
        <f>Github!E$1268</f>
        <v>Medium</v>
      </c>
      <c r="I1269" s="17" t="str">
        <f>IF(TRIM(Github!D$1268)="TRUE","FALSE","TRUE")</f>
        <v>TRUE</v>
      </c>
      <c r="J1269" s="17"/>
      <c r="K1269" s="17" t="str">
        <f>Github!L$1268</f>
        <v>Array;Depth-First Search;Breadth-First Search;Union Find;Matrix;Counting;</v>
      </c>
      <c r="L1269" s="17" t="b">
        <f>Github!M$1268</f>
        <v>0</v>
      </c>
      <c r="M1269" s="17" t="str">
        <f>ROUND(Github!N$1268, 2)&amp;"%"</f>
        <v>0%</v>
      </c>
      <c r="N1269" s="17">
        <f>Github!O$1268</f>
        <v>58.1172592</v>
      </c>
      <c r="O1269" s="17">
        <f>Github!P$1268</f>
        <v>39135</v>
      </c>
    </row>
    <row r="1270">
      <c r="A1270" s="17">
        <f>Github!J$1269</f>
        <v>1268</v>
      </c>
      <c r="B1270" s="27" t="str">
        <f>HYPERLINK(CONCAT("http://leetcode.com/problems/",Github!C$1269), Github!B$1269)</f>
        <v>Search Suggestions System</v>
      </c>
      <c r="C1270" s="17">
        <f>Github!F$1269</f>
        <v>2101</v>
      </c>
      <c r="D1270" s="17">
        <f>Github!G$1269</f>
        <v>126</v>
      </c>
      <c r="E1270" s="17">
        <f>Github!F$1269+Github!G$1269</f>
        <v>2227</v>
      </c>
      <c r="F1270" s="18">
        <f t="shared" si="1"/>
        <v>16.67</v>
      </c>
      <c r="G1270" s="17" t="str">
        <f>Github!H$1269</f>
        <v>Algorithms</v>
      </c>
      <c r="H1270" s="17" t="str">
        <f>Github!E$1269</f>
        <v>Medium</v>
      </c>
      <c r="I1270" s="17" t="str">
        <f>IF(TRIM(Github!D$1269)="TRUE","FALSE","TRUE")</f>
        <v>TRUE</v>
      </c>
      <c r="J1270" s="17"/>
      <c r="K1270" s="17" t="str">
        <f>Github!L$1269</f>
        <v>Array;String;Trie;</v>
      </c>
      <c r="L1270" s="17" t="b">
        <f>Github!M$1269</f>
        <v>1</v>
      </c>
      <c r="M1270" s="17" t="str">
        <f>ROUND(Github!N$1269, 2)&amp;"%"</f>
        <v>0%</v>
      </c>
      <c r="N1270" s="17">
        <f>Github!O$1269</f>
        <v>65.51235797</v>
      </c>
      <c r="O1270" s="17">
        <f>Github!P$1269</f>
        <v>141087</v>
      </c>
    </row>
    <row r="1271">
      <c r="A1271" s="17">
        <f>Github!J$1270</f>
        <v>1269</v>
      </c>
      <c r="B1271" s="27" t="str">
        <f>HYPERLINK(CONCAT("http://leetcode.com/problems/",Github!C$1270), Github!B$1270)</f>
        <v>Number of Ways to Stay in the Same Place After Some Steps</v>
      </c>
      <c r="C1271" s="17">
        <f>Github!F$1270</f>
        <v>509</v>
      </c>
      <c r="D1271" s="17">
        <f>Github!G$1270</f>
        <v>29</v>
      </c>
      <c r="E1271" s="17">
        <f>Github!F$1270+Github!G$1270</f>
        <v>538</v>
      </c>
      <c r="F1271" s="18">
        <f t="shared" si="1"/>
        <v>17.55</v>
      </c>
      <c r="G1271" s="17" t="str">
        <f>Github!H$1270</f>
        <v>Algorithms</v>
      </c>
      <c r="H1271" s="17" t="str">
        <f>Github!E$1270</f>
        <v>Hard</v>
      </c>
      <c r="I1271" s="17" t="str">
        <f>IF(TRIM(Github!D$1270)="TRUE","FALSE","TRUE")</f>
        <v>TRUE</v>
      </c>
      <c r="J1271" s="17"/>
      <c r="K1271" s="17" t="str">
        <f>Github!L$1270</f>
        <v>Dynamic Programming;</v>
      </c>
      <c r="L1271" s="17" t="b">
        <f>Github!M$1270</f>
        <v>0</v>
      </c>
      <c r="M1271" s="17" t="str">
        <f>ROUND(Github!N$1270, 2)&amp;"%"</f>
        <v>0%</v>
      </c>
      <c r="N1271" s="17">
        <f>Github!O$1270</f>
        <v>43.36992762</v>
      </c>
      <c r="O1271" s="17">
        <f>Github!P$1270</f>
        <v>26666</v>
      </c>
    </row>
    <row r="1272">
      <c r="A1272" s="17">
        <f>Github!J$1271</f>
        <v>1270</v>
      </c>
      <c r="B1272" s="27" t="str">
        <f>HYPERLINK(CONCAT("http://leetcode.com/problems/",Github!C$1271), Github!B$1271)</f>
        <v>All People Report to the Given Manager</v>
      </c>
      <c r="C1272" s="17">
        <f>Github!F$1271</f>
        <v>280</v>
      </c>
      <c r="D1272" s="17">
        <f>Github!G$1271</f>
        <v>21</v>
      </c>
      <c r="E1272" s="17">
        <f>Github!F$1271+Github!G$1271</f>
        <v>301</v>
      </c>
      <c r="F1272" s="18">
        <f t="shared" si="1"/>
        <v>13.33</v>
      </c>
      <c r="G1272" s="17" t="str">
        <f>Github!H$1271</f>
        <v>Database</v>
      </c>
      <c r="H1272" s="17" t="str">
        <f>Github!E$1271</f>
        <v>Medium</v>
      </c>
      <c r="I1272" s="17" t="str">
        <f>IF(TRIM(Github!D$1271)="TRUE","FALSE","TRUE")</f>
        <v>FALSE</v>
      </c>
      <c r="J1272" s="17"/>
      <c r="K1272" s="17" t="str">
        <f>Github!L$1271</f>
        <v>Database;</v>
      </c>
      <c r="L1272" s="17" t="b">
        <f>Github!M$1271</f>
        <v>0</v>
      </c>
      <c r="M1272" s="17" t="str">
        <f>ROUND(Github!N$1271, 2)&amp;"%"</f>
        <v>0%</v>
      </c>
      <c r="N1272" s="17">
        <f>Github!O$1271</f>
        <v>88.0512746</v>
      </c>
      <c r="O1272" s="17">
        <f>Github!P$1271</f>
        <v>36337</v>
      </c>
    </row>
    <row r="1273">
      <c r="A1273" s="17">
        <f>Github!J$1272</f>
        <v>1271</v>
      </c>
      <c r="B1273" s="27" t="str">
        <f>HYPERLINK(CONCAT("http://leetcode.com/problems/",Github!C$1272), Github!B$1272)</f>
        <v>Hexspeak</v>
      </c>
      <c r="C1273" s="17">
        <f>Github!F$1272</f>
        <v>57</v>
      </c>
      <c r="D1273" s="17">
        <f>Github!G$1272</f>
        <v>101</v>
      </c>
      <c r="E1273" s="17">
        <f>Github!F$1272+Github!G$1272</f>
        <v>158</v>
      </c>
      <c r="F1273" s="18">
        <f t="shared" si="1"/>
        <v>0.56</v>
      </c>
      <c r="G1273" s="17" t="str">
        <f>Github!H$1272</f>
        <v>Algorithms</v>
      </c>
      <c r="H1273" s="17" t="str">
        <f>Github!E$1272</f>
        <v>Easy</v>
      </c>
      <c r="I1273" s="17" t="str">
        <f>IF(TRIM(Github!D$1272)="TRUE","FALSE","TRUE")</f>
        <v>FALSE</v>
      </c>
      <c r="J1273" s="17"/>
      <c r="K1273" s="17" t="str">
        <f>Github!L$1272</f>
        <v>Math;String;</v>
      </c>
      <c r="L1273" s="17" t="b">
        <f>Github!M$1272</f>
        <v>0</v>
      </c>
      <c r="M1273" s="17" t="str">
        <f>ROUND(Github!N$1272, 2)&amp;"%"</f>
        <v>0%</v>
      </c>
      <c r="N1273" s="17">
        <f>Github!O$1272</f>
        <v>56.30627333</v>
      </c>
      <c r="O1273" s="17">
        <f>Github!P$1272</f>
        <v>7692</v>
      </c>
    </row>
    <row r="1274">
      <c r="A1274" s="17">
        <f>Github!J$1273</f>
        <v>1272</v>
      </c>
      <c r="B1274" s="27" t="str">
        <f>HYPERLINK(CONCAT("http://leetcode.com/problems/",Github!C$1273), Github!B$1273)</f>
        <v>Remove Interval</v>
      </c>
      <c r="C1274" s="17">
        <f>Github!F$1273</f>
        <v>257</v>
      </c>
      <c r="D1274" s="17">
        <f>Github!G$1273</f>
        <v>20</v>
      </c>
      <c r="E1274" s="17">
        <f>Github!F$1273+Github!G$1273</f>
        <v>277</v>
      </c>
      <c r="F1274" s="18">
        <f t="shared" si="1"/>
        <v>12.85</v>
      </c>
      <c r="G1274" s="17" t="str">
        <f>Github!H$1273</f>
        <v>Algorithms</v>
      </c>
      <c r="H1274" s="17" t="str">
        <f>Github!E$1273</f>
        <v>Medium</v>
      </c>
      <c r="I1274" s="17" t="str">
        <f>IF(TRIM(Github!D$1273)="TRUE","FALSE","TRUE")</f>
        <v>FALSE</v>
      </c>
      <c r="J1274" s="17"/>
      <c r="K1274" s="17" t="str">
        <f>Github!L$1273</f>
        <v>Array;</v>
      </c>
      <c r="L1274" s="17" t="b">
        <f>Github!M$1273</f>
        <v>1</v>
      </c>
      <c r="M1274" s="17" t="str">
        <f>ROUND(Github!N$1273, 2)&amp;"%"</f>
        <v>1%</v>
      </c>
      <c r="N1274" s="17">
        <f>Github!O$1273</f>
        <v>60.84576616</v>
      </c>
      <c r="O1274" s="17">
        <f>Github!P$1273</f>
        <v>18230</v>
      </c>
    </row>
    <row r="1275">
      <c r="A1275" s="17">
        <f>Github!J$1274</f>
        <v>1273</v>
      </c>
      <c r="B1275" s="27" t="str">
        <f>HYPERLINK(CONCAT("http://leetcode.com/problems/",Github!C$1274), Github!B$1274)</f>
        <v>Delete Tree Nodes</v>
      </c>
      <c r="C1275" s="17">
        <f>Github!F$1274</f>
        <v>185</v>
      </c>
      <c r="D1275" s="17">
        <f>Github!G$1274</f>
        <v>58</v>
      </c>
      <c r="E1275" s="17">
        <f>Github!F$1274+Github!G$1274</f>
        <v>243</v>
      </c>
      <c r="F1275" s="18">
        <f t="shared" si="1"/>
        <v>3.19</v>
      </c>
      <c r="G1275" s="17" t="str">
        <f>Github!H$1274</f>
        <v>Algorithms</v>
      </c>
      <c r="H1275" s="17" t="str">
        <f>Github!E$1274</f>
        <v>Medium</v>
      </c>
      <c r="I1275" s="17" t="str">
        <f>IF(TRIM(Github!D$1274)="TRUE","FALSE","TRUE")</f>
        <v>FALSE</v>
      </c>
      <c r="J1275" s="17"/>
      <c r="K1275" s="17" t="str">
        <f>Github!L$1274</f>
        <v>Tree;Depth-First Search;Breadth-First Search;</v>
      </c>
      <c r="L1275" s="17" t="b">
        <f>Github!M$1274</f>
        <v>0</v>
      </c>
      <c r="M1275" s="17" t="str">
        <f>ROUND(Github!N$1274, 2)&amp;"%"</f>
        <v>0%</v>
      </c>
      <c r="N1275" s="17">
        <f>Github!O$1274</f>
        <v>61.22173978</v>
      </c>
      <c r="O1275" s="17">
        <f>Github!P$1274</f>
        <v>8178</v>
      </c>
    </row>
    <row r="1276">
      <c r="A1276" s="17">
        <f>Github!J$1275</f>
        <v>1274</v>
      </c>
      <c r="B1276" s="27" t="str">
        <f>HYPERLINK(CONCAT("http://leetcode.com/problems/",Github!C$1275), Github!B$1275)</f>
        <v>Number of Ships in a Rectangle</v>
      </c>
      <c r="C1276" s="17">
        <f>Github!F$1275</f>
        <v>357</v>
      </c>
      <c r="D1276" s="17">
        <f>Github!G$1275</f>
        <v>42</v>
      </c>
      <c r="E1276" s="17">
        <f>Github!F$1275+Github!G$1275</f>
        <v>399</v>
      </c>
      <c r="F1276" s="18">
        <f t="shared" si="1"/>
        <v>8.5</v>
      </c>
      <c r="G1276" s="17" t="str">
        <f>Github!H$1275</f>
        <v>Algorithms</v>
      </c>
      <c r="H1276" s="17" t="str">
        <f>Github!E$1275</f>
        <v>Hard</v>
      </c>
      <c r="I1276" s="17" t="str">
        <f>IF(TRIM(Github!D$1275)="TRUE","FALSE","TRUE")</f>
        <v>FALSE</v>
      </c>
      <c r="J1276" s="17"/>
      <c r="K1276" s="17" t="str">
        <f>Github!L$1275</f>
        <v>Array;Divide and Conquer;Interactive;</v>
      </c>
      <c r="L1276" s="17" t="b">
        <f>Github!M$1275</f>
        <v>1</v>
      </c>
      <c r="M1276" s="17" t="str">
        <f>ROUND(Github!N$1275, 2)&amp;"%"</f>
        <v>0%</v>
      </c>
      <c r="N1276" s="17">
        <f>Github!O$1275</f>
        <v>68.47599165</v>
      </c>
      <c r="O1276" s="17">
        <f>Github!P$1275</f>
        <v>16727</v>
      </c>
    </row>
    <row r="1277">
      <c r="A1277" s="17">
        <f>Github!J$1276</f>
        <v>1275</v>
      </c>
      <c r="B1277" s="27" t="str">
        <f>HYPERLINK(CONCAT("http://leetcode.com/problems/",Github!C$1276), Github!B$1276)</f>
        <v>Find Winner on a Tic Tac Toe Game</v>
      </c>
      <c r="C1277" s="17">
        <f>Github!F$1276</f>
        <v>784</v>
      </c>
      <c r="D1277" s="17">
        <f>Github!G$1276</f>
        <v>202</v>
      </c>
      <c r="E1277" s="17">
        <f>Github!F$1276+Github!G$1276</f>
        <v>986</v>
      </c>
      <c r="F1277" s="18">
        <f t="shared" si="1"/>
        <v>3.88</v>
      </c>
      <c r="G1277" s="17" t="str">
        <f>Github!H$1276</f>
        <v>Algorithms</v>
      </c>
      <c r="H1277" s="17" t="str">
        <f>Github!E$1276</f>
        <v>Easy</v>
      </c>
      <c r="I1277" s="17" t="str">
        <f>IF(TRIM(Github!D$1276)="TRUE","FALSE","TRUE")</f>
        <v>TRUE</v>
      </c>
      <c r="J1277" s="17"/>
      <c r="K1277" s="17" t="str">
        <f>Github!L$1276</f>
        <v>Array;Hash Table;Matrix;Simulation;</v>
      </c>
      <c r="L1277" s="17" t="b">
        <f>Github!M$1276</f>
        <v>1</v>
      </c>
      <c r="M1277" s="17" t="str">
        <f>ROUND(Github!N$1276, 2)&amp;"%"</f>
        <v>0%</v>
      </c>
      <c r="N1277" s="17">
        <f>Github!O$1276</f>
        <v>55.05381261</v>
      </c>
      <c r="O1277" s="17">
        <f>Github!P$1276</f>
        <v>67419</v>
      </c>
    </row>
    <row r="1278">
      <c r="A1278" s="17">
        <f>Github!J$1277</f>
        <v>1276</v>
      </c>
      <c r="B1278" s="27" t="str">
        <f>HYPERLINK(CONCAT("http://leetcode.com/problems/",Github!C$1277), Github!B$1277)</f>
        <v>Number of Burgers with No Waste of Ingredients</v>
      </c>
      <c r="C1278" s="17">
        <f>Github!F$1277</f>
        <v>211</v>
      </c>
      <c r="D1278" s="17">
        <f>Github!G$1277</f>
        <v>183</v>
      </c>
      <c r="E1278" s="17">
        <f>Github!F$1277+Github!G$1277</f>
        <v>394</v>
      </c>
      <c r="F1278" s="18">
        <f t="shared" si="1"/>
        <v>1.15</v>
      </c>
      <c r="G1278" s="17" t="str">
        <f>Github!H$1277</f>
        <v>Algorithms</v>
      </c>
      <c r="H1278" s="17" t="str">
        <f>Github!E$1277</f>
        <v>Medium</v>
      </c>
      <c r="I1278" s="17" t="str">
        <f>IF(TRIM(Github!D$1277)="TRUE","FALSE","TRUE")</f>
        <v>TRUE</v>
      </c>
      <c r="J1278" s="17"/>
      <c r="K1278" s="17" t="str">
        <f>Github!L$1277</f>
        <v>Math;</v>
      </c>
      <c r="L1278" s="17" t="b">
        <f>Github!M$1277</f>
        <v>0</v>
      </c>
      <c r="M1278" s="17" t="str">
        <f>ROUND(Github!N$1277, 2)&amp;"%"</f>
        <v>0%</v>
      </c>
      <c r="N1278" s="17">
        <f>Github!O$1277</f>
        <v>50.62626848</v>
      </c>
      <c r="O1278" s="17">
        <f>Github!P$1277</f>
        <v>17461</v>
      </c>
    </row>
    <row r="1279">
      <c r="A1279" s="17">
        <f>Github!J$1278</f>
        <v>1277</v>
      </c>
      <c r="B1279" s="27" t="str">
        <f>HYPERLINK(CONCAT("http://leetcode.com/problems/",Github!C$1278), Github!B$1278)</f>
        <v>Count Square Submatrices with All Ones</v>
      </c>
      <c r="C1279" s="17">
        <f>Github!F$1278</f>
        <v>3121</v>
      </c>
      <c r="D1279" s="17">
        <f>Github!G$1278</f>
        <v>52</v>
      </c>
      <c r="E1279" s="17">
        <f>Github!F$1278+Github!G$1278</f>
        <v>3173</v>
      </c>
      <c r="F1279" s="18">
        <f t="shared" si="1"/>
        <v>60.02</v>
      </c>
      <c r="G1279" s="17" t="str">
        <f>Github!H$1278</f>
        <v>Algorithms</v>
      </c>
      <c r="H1279" s="17" t="str">
        <f>Github!E$1278</f>
        <v>Medium</v>
      </c>
      <c r="I1279" s="17" t="str">
        <f>IF(TRIM(Github!D$1278)="TRUE","FALSE","TRUE")</f>
        <v>TRUE</v>
      </c>
      <c r="J1279" s="17"/>
      <c r="K1279" s="17" t="str">
        <f>Github!L$1278</f>
        <v>Array;Dynamic Programming;Matrix;</v>
      </c>
      <c r="L1279" s="17" t="b">
        <f>Github!M$1278</f>
        <v>0</v>
      </c>
      <c r="M1279" s="17" t="str">
        <f>ROUND(Github!N$1278, 2)&amp;"%"</f>
        <v>0%</v>
      </c>
      <c r="N1279" s="17">
        <f>Github!O$1278</f>
        <v>74.14456658</v>
      </c>
      <c r="O1279" s="17">
        <f>Github!P$1278</f>
        <v>155277</v>
      </c>
    </row>
    <row r="1280">
      <c r="A1280" s="17">
        <f>Github!J$1279</f>
        <v>1278</v>
      </c>
      <c r="B1280" s="27" t="str">
        <f>HYPERLINK(CONCAT("http://leetcode.com/problems/",Github!C$1279), Github!B$1279)</f>
        <v>Palindrome Partitioning III</v>
      </c>
      <c r="C1280" s="17">
        <f>Github!F$1279</f>
        <v>682</v>
      </c>
      <c r="D1280" s="17">
        <f>Github!G$1279</f>
        <v>12</v>
      </c>
      <c r="E1280" s="17">
        <f>Github!F$1279+Github!G$1279</f>
        <v>694</v>
      </c>
      <c r="F1280" s="18">
        <f t="shared" si="1"/>
        <v>56.83</v>
      </c>
      <c r="G1280" s="17" t="str">
        <f>Github!H$1279</f>
        <v>Algorithms</v>
      </c>
      <c r="H1280" s="17" t="str">
        <f>Github!E$1279</f>
        <v>Hard</v>
      </c>
      <c r="I1280" s="17" t="str">
        <f>IF(TRIM(Github!D$1279)="TRUE","FALSE","TRUE")</f>
        <v>TRUE</v>
      </c>
      <c r="J1280" s="17"/>
      <c r="K1280" s="17" t="str">
        <f>Github!L$1279</f>
        <v>String;Dynamic Programming;</v>
      </c>
      <c r="L1280" s="17" t="b">
        <f>Github!M$1279</f>
        <v>0</v>
      </c>
      <c r="M1280" s="17" t="str">
        <f>ROUND(Github!N$1279, 2)&amp;"%"</f>
        <v>0%</v>
      </c>
      <c r="N1280" s="17">
        <f>Github!O$1279</f>
        <v>60.94648081</v>
      </c>
      <c r="O1280" s="17">
        <f>Github!P$1279</f>
        <v>17708</v>
      </c>
    </row>
    <row r="1281">
      <c r="A1281" s="17">
        <f>Github!J$1280</f>
        <v>1279</v>
      </c>
      <c r="B1281" s="27" t="str">
        <f>HYPERLINK(CONCAT("http://leetcode.com/problems/",Github!C$1280), Github!B$1280)</f>
        <v>Traffic Light Controlled Intersection</v>
      </c>
      <c r="C1281" s="17">
        <f>Github!F$1280</f>
        <v>49</v>
      </c>
      <c r="D1281" s="17">
        <f>Github!G$1280</f>
        <v>236</v>
      </c>
      <c r="E1281" s="17">
        <f>Github!F$1280+Github!G$1280</f>
        <v>285</v>
      </c>
      <c r="F1281" s="18">
        <f t="shared" si="1"/>
        <v>0.21</v>
      </c>
      <c r="G1281" s="17" t="str">
        <f>Github!H$1280</f>
        <v>Concurrency</v>
      </c>
      <c r="H1281" s="17" t="str">
        <f>Github!E$1280</f>
        <v>Easy</v>
      </c>
      <c r="I1281" s="17" t="str">
        <f>IF(TRIM(Github!D$1280)="TRUE","FALSE","TRUE")</f>
        <v>FALSE</v>
      </c>
      <c r="J1281" s="17"/>
      <c r="K1281" s="17" t="str">
        <f>Github!L$1280</f>
        <v>Concurrency;</v>
      </c>
      <c r="L1281" s="17" t="b">
        <f>Github!M$1280</f>
        <v>0</v>
      </c>
      <c r="M1281" s="17" t="str">
        <f>ROUND(Github!N$1280, 2)&amp;"%"</f>
        <v>0%</v>
      </c>
      <c r="N1281" s="17">
        <f>Github!O$1280</f>
        <v>75.47791091</v>
      </c>
      <c r="O1281" s="17">
        <f>Github!P$1280</f>
        <v>8252</v>
      </c>
    </row>
    <row r="1282">
      <c r="A1282" s="17">
        <f>Github!J$1281</f>
        <v>1280</v>
      </c>
      <c r="B1282" s="27" t="str">
        <f>HYPERLINK(CONCAT("http://leetcode.com/problems/",Github!C$1281), Github!B$1281)</f>
        <v>Students and Examinations</v>
      </c>
      <c r="C1282" s="17">
        <f>Github!F$1281</f>
        <v>231</v>
      </c>
      <c r="D1282" s="17">
        <f>Github!G$1281</f>
        <v>31</v>
      </c>
      <c r="E1282" s="17">
        <f>Github!F$1281+Github!G$1281</f>
        <v>262</v>
      </c>
      <c r="F1282" s="18">
        <f t="shared" si="1"/>
        <v>7.45</v>
      </c>
      <c r="G1282" s="17" t="str">
        <f>Github!H$1281</f>
        <v>Database</v>
      </c>
      <c r="H1282" s="17" t="str">
        <f>Github!E$1281</f>
        <v>Easy</v>
      </c>
      <c r="I1282" s="17" t="str">
        <f>IF(TRIM(Github!D$1281)="TRUE","FALSE","TRUE")</f>
        <v>FALSE</v>
      </c>
      <c r="J1282" s="17"/>
      <c r="K1282" s="17" t="str">
        <f>Github!L$1281</f>
        <v>Database;</v>
      </c>
      <c r="L1282" s="17" t="b">
        <f>Github!M$1281</f>
        <v>0</v>
      </c>
      <c r="M1282" s="17" t="str">
        <f>ROUND(Github!N$1281, 2)&amp;"%"</f>
        <v>0%</v>
      </c>
      <c r="N1282" s="17">
        <f>Github!O$1281</f>
        <v>74.53836411</v>
      </c>
      <c r="O1282" s="17">
        <f>Github!P$1281</f>
        <v>22363</v>
      </c>
    </row>
    <row r="1283">
      <c r="A1283" s="17">
        <f>Github!J$1282</f>
        <v>1281</v>
      </c>
      <c r="B1283" s="27" t="str">
        <f>HYPERLINK(CONCAT("http://leetcode.com/problems/",Github!C$1282), Github!B$1282)</f>
        <v>Subtract the Product and Sum of Digits of an Integer</v>
      </c>
      <c r="C1283" s="17">
        <f>Github!F$1282</f>
        <v>1028</v>
      </c>
      <c r="D1283" s="17">
        <f>Github!G$1282</f>
        <v>183</v>
      </c>
      <c r="E1283" s="17">
        <f>Github!F$1282+Github!G$1282</f>
        <v>1211</v>
      </c>
      <c r="F1283" s="18">
        <f t="shared" si="1"/>
        <v>5.62</v>
      </c>
      <c r="G1283" s="17" t="str">
        <f>Github!H$1282</f>
        <v>Algorithms</v>
      </c>
      <c r="H1283" s="17" t="str">
        <f>Github!E$1282</f>
        <v>Easy</v>
      </c>
      <c r="I1283" s="17" t="str">
        <f>IF(TRIM(Github!D$1282)="TRUE","FALSE","TRUE")</f>
        <v>TRUE</v>
      </c>
      <c r="J1283" s="17"/>
      <c r="K1283" s="17" t="str">
        <f>Github!L$1282</f>
        <v>Math;</v>
      </c>
      <c r="L1283" s="17" t="b">
        <f>Github!M$1282</f>
        <v>0</v>
      </c>
      <c r="M1283" s="17" t="str">
        <f>ROUND(Github!N$1282, 2)&amp;"%"</f>
        <v>0%</v>
      </c>
      <c r="N1283" s="17">
        <f>Github!O$1282</f>
        <v>86.10027526</v>
      </c>
      <c r="O1283" s="17">
        <f>Github!P$1282</f>
        <v>203937</v>
      </c>
    </row>
    <row r="1284">
      <c r="A1284" s="17">
        <f>Github!J$1283</f>
        <v>1282</v>
      </c>
      <c r="B1284" s="27" t="str">
        <f>HYPERLINK(CONCAT("http://leetcode.com/problems/",Github!C$1283), Github!B$1283)</f>
        <v>Group the People Given the Group Size They Belong To</v>
      </c>
      <c r="C1284" s="17">
        <f>Github!F$1283</f>
        <v>953</v>
      </c>
      <c r="D1284" s="17">
        <f>Github!G$1283</f>
        <v>454</v>
      </c>
      <c r="E1284" s="17">
        <f>Github!F$1283+Github!G$1283</f>
        <v>1407</v>
      </c>
      <c r="F1284" s="18">
        <f t="shared" si="1"/>
        <v>2.1</v>
      </c>
      <c r="G1284" s="17" t="str">
        <f>Github!H$1283</f>
        <v>Algorithms</v>
      </c>
      <c r="H1284" s="17" t="str">
        <f>Github!E$1283</f>
        <v>Medium</v>
      </c>
      <c r="I1284" s="17" t="str">
        <f>IF(TRIM(Github!D$1283)="TRUE","FALSE","TRUE")</f>
        <v>TRUE</v>
      </c>
      <c r="J1284" s="17"/>
      <c r="K1284" s="17" t="str">
        <f>Github!L$1283</f>
        <v>Array;Hash Table;</v>
      </c>
      <c r="L1284" s="17" t="b">
        <f>Github!M$1283</f>
        <v>0</v>
      </c>
      <c r="M1284" s="17" t="str">
        <f>ROUND(Github!N$1283, 2)&amp;"%"</f>
        <v>0%</v>
      </c>
      <c r="N1284" s="17">
        <f>Github!O$1283</f>
        <v>85.21950784</v>
      </c>
      <c r="O1284" s="17">
        <f>Github!P$1283</f>
        <v>76326</v>
      </c>
    </row>
    <row r="1285">
      <c r="A1285" s="17">
        <f>Github!J$1284</f>
        <v>1283</v>
      </c>
      <c r="B1285" s="27" t="str">
        <f>HYPERLINK(CONCAT("http://leetcode.com/problems/",Github!C$1284), Github!B$1284)</f>
        <v>Find the Smallest Divisor Given a Threshold</v>
      </c>
      <c r="C1285" s="17">
        <f>Github!F$1284</f>
        <v>1268</v>
      </c>
      <c r="D1285" s="17">
        <f>Github!G$1284</f>
        <v>149</v>
      </c>
      <c r="E1285" s="17">
        <f>Github!F$1284+Github!G$1284</f>
        <v>1417</v>
      </c>
      <c r="F1285" s="18">
        <f t="shared" si="1"/>
        <v>8.51</v>
      </c>
      <c r="G1285" s="17" t="str">
        <f>Github!H$1284</f>
        <v>Algorithms</v>
      </c>
      <c r="H1285" s="17" t="str">
        <f>Github!E$1284</f>
        <v>Medium</v>
      </c>
      <c r="I1285" s="17" t="str">
        <f>IF(TRIM(Github!D$1284)="TRUE","FALSE","TRUE")</f>
        <v>TRUE</v>
      </c>
      <c r="J1285" s="17"/>
      <c r="K1285" s="17" t="str">
        <f>Github!L$1284</f>
        <v>Array;Binary Search;</v>
      </c>
      <c r="L1285" s="17" t="b">
        <f>Github!M$1284</f>
        <v>0</v>
      </c>
      <c r="M1285" s="17" t="str">
        <f>ROUND(Github!N$1284, 2)&amp;"%"</f>
        <v>0%</v>
      </c>
      <c r="N1285" s="17">
        <f>Github!O$1284</f>
        <v>53.36428659</v>
      </c>
      <c r="O1285" s="17">
        <f>Github!P$1284</f>
        <v>78038</v>
      </c>
    </row>
    <row r="1286">
      <c r="A1286" s="17">
        <f>Github!J$1285</f>
        <v>1284</v>
      </c>
      <c r="B1286" s="27" t="str">
        <f>HYPERLINK(CONCAT("http://leetcode.com/problems/",Github!C$1285), Github!B$1285)</f>
        <v>Minimum Number of Flips to Convert Binary Matrix to Zero Matrix</v>
      </c>
      <c r="C1286" s="17">
        <f>Github!F$1285</f>
        <v>550</v>
      </c>
      <c r="D1286" s="17">
        <f>Github!G$1285</f>
        <v>56</v>
      </c>
      <c r="E1286" s="17">
        <f>Github!F$1285+Github!G$1285</f>
        <v>606</v>
      </c>
      <c r="F1286" s="18">
        <f t="shared" si="1"/>
        <v>9.82</v>
      </c>
      <c r="G1286" s="17" t="str">
        <f>Github!H$1285</f>
        <v>Algorithms</v>
      </c>
      <c r="H1286" s="17" t="str">
        <f>Github!E$1285</f>
        <v>Hard</v>
      </c>
      <c r="I1286" s="17" t="str">
        <f>IF(TRIM(Github!D$1285)="TRUE","FALSE","TRUE")</f>
        <v>TRUE</v>
      </c>
      <c r="J1286" s="17"/>
      <c r="K1286" s="17" t="str">
        <f>Github!L$1285</f>
        <v>Array;Bit Manipulation;Breadth-First Search;Matrix;</v>
      </c>
      <c r="L1286" s="17" t="b">
        <f>Github!M$1285</f>
        <v>0</v>
      </c>
      <c r="M1286" s="17" t="str">
        <f>ROUND(Github!N$1285, 2)&amp;"%"</f>
        <v>0%</v>
      </c>
      <c r="N1286" s="17">
        <f>Github!O$1285</f>
        <v>71.53843254</v>
      </c>
      <c r="O1286" s="17">
        <f>Github!P$1285</f>
        <v>18974</v>
      </c>
    </row>
    <row r="1287">
      <c r="A1287" s="17">
        <f>Github!J$1286</f>
        <v>1285</v>
      </c>
      <c r="B1287" s="27" t="str">
        <f>HYPERLINK(CONCAT("http://leetcode.com/problems/",Github!C$1286), Github!B$1286)</f>
        <v>Find the Start and End Number of Continuous Ranges</v>
      </c>
      <c r="C1287" s="17">
        <f>Github!F$1286</f>
        <v>329</v>
      </c>
      <c r="D1287" s="17">
        <f>Github!G$1286</f>
        <v>24</v>
      </c>
      <c r="E1287" s="17">
        <f>Github!F$1286+Github!G$1286</f>
        <v>353</v>
      </c>
      <c r="F1287" s="18">
        <f t="shared" si="1"/>
        <v>13.71</v>
      </c>
      <c r="G1287" s="17" t="str">
        <f>Github!H$1286</f>
        <v>Database</v>
      </c>
      <c r="H1287" s="17" t="str">
        <f>Github!E$1286</f>
        <v>Medium</v>
      </c>
      <c r="I1287" s="17" t="str">
        <f>IF(TRIM(Github!D$1286)="TRUE","FALSE","TRUE")</f>
        <v>FALSE</v>
      </c>
      <c r="J1287" s="17"/>
      <c r="K1287" s="17" t="str">
        <f>Github!L$1286</f>
        <v>Database;</v>
      </c>
      <c r="L1287" s="17" t="b">
        <f>Github!M$1286</f>
        <v>0</v>
      </c>
      <c r="M1287" s="17" t="str">
        <f>ROUND(Github!N$1286, 2)&amp;"%"</f>
        <v>0%</v>
      </c>
      <c r="N1287" s="17">
        <f>Github!O$1286</f>
        <v>88.35775202</v>
      </c>
      <c r="O1287" s="17">
        <f>Github!P$1286</f>
        <v>20203</v>
      </c>
    </row>
    <row r="1288">
      <c r="A1288" s="17">
        <f>Github!J$1287</f>
        <v>1286</v>
      </c>
      <c r="B1288" s="27" t="str">
        <f>HYPERLINK(CONCAT("http://leetcode.com/problems/",Github!C$1287), Github!B$1287)</f>
        <v>Iterator for Combination</v>
      </c>
      <c r="C1288" s="17">
        <f>Github!F$1287</f>
        <v>1118</v>
      </c>
      <c r="D1288" s="17">
        <f>Github!G$1287</f>
        <v>90</v>
      </c>
      <c r="E1288" s="17">
        <f>Github!F$1287+Github!G$1287</f>
        <v>1208</v>
      </c>
      <c r="F1288" s="18">
        <f t="shared" si="1"/>
        <v>12.42</v>
      </c>
      <c r="G1288" s="17" t="str">
        <f>Github!H$1287</f>
        <v>Algorithms</v>
      </c>
      <c r="H1288" s="17" t="str">
        <f>Github!E$1287</f>
        <v>Medium</v>
      </c>
      <c r="I1288" s="17" t="str">
        <f>IF(TRIM(Github!D$1287)="TRUE","FALSE","TRUE")</f>
        <v>TRUE</v>
      </c>
      <c r="J1288" s="17"/>
      <c r="K1288" s="17" t="str">
        <f>Github!L$1287</f>
        <v>String;Backtracking;Design;Iterator;</v>
      </c>
      <c r="L1288" s="17" t="b">
        <f>Github!M$1287</f>
        <v>1</v>
      </c>
      <c r="M1288" s="17" t="str">
        <f>ROUND(Github!N$1287, 2)&amp;"%"</f>
        <v>0%</v>
      </c>
      <c r="N1288" s="17">
        <f>Github!O$1287</f>
        <v>73.18869997</v>
      </c>
      <c r="O1288" s="17">
        <f>Github!P$1287</f>
        <v>61297</v>
      </c>
    </row>
    <row r="1289">
      <c r="A1289" s="17">
        <f>Github!J$1288</f>
        <v>1287</v>
      </c>
      <c r="B1289" s="27" t="str">
        <f>HYPERLINK(CONCAT("http://leetcode.com/problems/",Github!C$1288), Github!B$1288)</f>
        <v>Element Appearing More Than 25% In Sorted Array</v>
      </c>
      <c r="C1289" s="17">
        <f>Github!F$1288</f>
        <v>618</v>
      </c>
      <c r="D1289" s="17">
        <f>Github!G$1288</f>
        <v>35</v>
      </c>
      <c r="E1289" s="17">
        <f>Github!F$1288+Github!G$1288</f>
        <v>653</v>
      </c>
      <c r="F1289" s="18">
        <f t="shared" si="1"/>
        <v>17.66</v>
      </c>
      <c r="G1289" s="17" t="str">
        <f>Github!H$1288</f>
        <v>Algorithms</v>
      </c>
      <c r="H1289" s="17" t="str">
        <f>Github!E$1288</f>
        <v>Easy</v>
      </c>
      <c r="I1289" s="17" t="str">
        <f>IF(TRIM(Github!D$1288)="TRUE","FALSE","TRUE")</f>
        <v>TRUE</v>
      </c>
      <c r="J1289" s="17"/>
      <c r="K1289" s="17" t="str">
        <f>Github!L$1288</f>
        <v>Array;</v>
      </c>
      <c r="L1289" s="17" t="b">
        <f>Github!M$1288</f>
        <v>0</v>
      </c>
      <c r="M1289" s="17" t="str">
        <f>ROUND(Github!N$1288, 2)&amp;"%"</f>
        <v>0%</v>
      </c>
      <c r="N1289" s="17">
        <f>Github!O$1288</f>
        <v>59.53154724</v>
      </c>
      <c r="O1289" s="17">
        <f>Github!P$1288</f>
        <v>60084</v>
      </c>
    </row>
    <row r="1290">
      <c r="A1290" s="17">
        <f>Github!J$1289</f>
        <v>1288</v>
      </c>
      <c r="B1290" s="27" t="str">
        <f>HYPERLINK(CONCAT("http://leetcode.com/problems/",Github!C$1289), Github!B$1289)</f>
        <v>Remove Covered Intervals</v>
      </c>
      <c r="C1290" s="17">
        <f>Github!F$1289</f>
        <v>1829</v>
      </c>
      <c r="D1290" s="17">
        <f>Github!G$1289</f>
        <v>44</v>
      </c>
      <c r="E1290" s="17">
        <f>Github!F$1289+Github!G$1289</f>
        <v>1873</v>
      </c>
      <c r="F1290" s="18">
        <f t="shared" si="1"/>
        <v>41.57</v>
      </c>
      <c r="G1290" s="17" t="str">
        <f>Github!H$1289</f>
        <v>Algorithms</v>
      </c>
      <c r="H1290" s="17" t="str">
        <f>Github!E$1289</f>
        <v>Medium</v>
      </c>
      <c r="I1290" s="17" t="str">
        <f>IF(TRIM(Github!D$1289)="TRUE","FALSE","TRUE")</f>
        <v>TRUE</v>
      </c>
      <c r="J1290" s="17"/>
      <c r="K1290" s="17" t="str">
        <f>Github!L$1289</f>
        <v>Array;Sorting;</v>
      </c>
      <c r="L1290" s="17" t="b">
        <f>Github!M$1289</f>
        <v>1</v>
      </c>
      <c r="M1290" s="17" t="str">
        <f>ROUND(Github!N$1289, 2)&amp;"%"</f>
        <v>0%</v>
      </c>
      <c r="N1290" s="17">
        <f>Github!O$1289</f>
        <v>57.39973605</v>
      </c>
      <c r="O1290" s="17">
        <f>Github!P$1289</f>
        <v>93945</v>
      </c>
    </row>
    <row r="1291">
      <c r="A1291" s="17">
        <f>Github!J$1290</f>
        <v>1289</v>
      </c>
      <c r="B1291" s="27" t="str">
        <f>HYPERLINK(CONCAT("http://leetcode.com/problems/",Github!C$1290), Github!B$1290)</f>
        <v>Minimum Falling Path Sum II</v>
      </c>
      <c r="C1291" s="17">
        <f>Github!F$1290</f>
        <v>712</v>
      </c>
      <c r="D1291" s="17">
        <f>Github!G$1290</f>
        <v>62</v>
      </c>
      <c r="E1291" s="17">
        <f>Github!F$1290+Github!G$1290</f>
        <v>774</v>
      </c>
      <c r="F1291" s="18">
        <f t="shared" si="1"/>
        <v>11.48</v>
      </c>
      <c r="G1291" s="17" t="str">
        <f>Github!H$1290</f>
        <v>Algorithms</v>
      </c>
      <c r="H1291" s="17" t="str">
        <f>Github!E$1290</f>
        <v>Hard</v>
      </c>
      <c r="I1291" s="17" t="str">
        <f>IF(TRIM(Github!D$1290)="TRUE","FALSE","TRUE")</f>
        <v>TRUE</v>
      </c>
      <c r="J1291" s="17"/>
      <c r="K1291" s="17" t="str">
        <f>Github!L$1290</f>
        <v>Array;Dynamic Programming;Matrix;</v>
      </c>
      <c r="L1291" s="17" t="b">
        <f>Github!M$1290</f>
        <v>0</v>
      </c>
      <c r="M1291" s="17" t="str">
        <f>ROUND(Github!N$1290, 2)&amp;"%"</f>
        <v>0%</v>
      </c>
      <c r="N1291" s="17">
        <f>Github!O$1290</f>
        <v>61.52158693</v>
      </c>
      <c r="O1291" s="17">
        <f>Github!P$1290</f>
        <v>26362</v>
      </c>
    </row>
    <row r="1292">
      <c r="A1292" s="17">
        <f>Github!J$1291</f>
        <v>1290</v>
      </c>
      <c r="B1292" s="27" t="str">
        <f>HYPERLINK(CONCAT("http://leetcode.com/problems/",Github!C$1291), Github!B$1291)</f>
        <v>Convert Binary Number in a Linked List to Integer</v>
      </c>
      <c r="C1292" s="17">
        <f>Github!F$1291</f>
        <v>2349</v>
      </c>
      <c r="D1292" s="17">
        <f>Github!G$1291</f>
        <v>116</v>
      </c>
      <c r="E1292" s="17">
        <f>Github!F$1291+Github!G$1291</f>
        <v>2465</v>
      </c>
      <c r="F1292" s="18">
        <f t="shared" si="1"/>
        <v>20.25</v>
      </c>
      <c r="G1292" s="17" t="str">
        <f>Github!H$1291</f>
        <v>Algorithms</v>
      </c>
      <c r="H1292" s="17" t="str">
        <f>Github!E$1291</f>
        <v>Easy</v>
      </c>
      <c r="I1292" s="17" t="str">
        <f>IF(TRIM(Github!D$1291)="TRUE","FALSE","TRUE")</f>
        <v>TRUE</v>
      </c>
      <c r="J1292" s="17"/>
      <c r="K1292" s="17" t="str">
        <f>Github!L$1291</f>
        <v>Linked List;Math;</v>
      </c>
      <c r="L1292" s="17" t="b">
        <f>Github!M$1291</f>
        <v>1</v>
      </c>
      <c r="M1292" s="17" t="str">
        <f>ROUND(Github!N$1291, 2)&amp;"%"</f>
        <v>0%</v>
      </c>
      <c r="N1292" s="17">
        <f>Github!O$1291</f>
        <v>82.67432777</v>
      </c>
      <c r="O1292" s="17">
        <f>Github!P$1291</f>
        <v>270929</v>
      </c>
    </row>
    <row r="1293">
      <c r="A1293" s="17">
        <f>Github!J$1292</f>
        <v>1291</v>
      </c>
      <c r="B1293" s="27" t="str">
        <f>HYPERLINK(CONCAT("http://leetcode.com/problems/",Github!C$1292), Github!B$1292)</f>
        <v>Sequential Digits</v>
      </c>
      <c r="C1293" s="17">
        <f>Github!F$1292</f>
        <v>1572</v>
      </c>
      <c r="D1293" s="17">
        <f>Github!G$1292</f>
        <v>98</v>
      </c>
      <c r="E1293" s="17">
        <f>Github!F$1292+Github!G$1292</f>
        <v>1670</v>
      </c>
      <c r="F1293" s="18">
        <f t="shared" si="1"/>
        <v>16.04</v>
      </c>
      <c r="G1293" s="17" t="str">
        <f>Github!H$1292</f>
        <v>Algorithms</v>
      </c>
      <c r="H1293" s="17" t="str">
        <f>Github!E$1292</f>
        <v>Medium</v>
      </c>
      <c r="I1293" s="17" t="str">
        <f>IF(TRIM(Github!D$1292)="TRUE","FALSE","TRUE")</f>
        <v>TRUE</v>
      </c>
      <c r="J1293" s="17"/>
      <c r="K1293" s="17" t="str">
        <f>Github!L$1292</f>
        <v>Enumeration;</v>
      </c>
      <c r="L1293" s="17" t="b">
        <f>Github!M$1292</f>
        <v>1</v>
      </c>
      <c r="M1293" s="17" t="str">
        <f>ROUND(Github!N$1292, 2)&amp;"%"</f>
        <v>0%</v>
      </c>
      <c r="N1293" s="17">
        <f>Github!O$1292</f>
        <v>60.83410883</v>
      </c>
      <c r="O1293" s="17">
        <f>Github!P$1292</f>
        <v>74523</v>
      </c>
    </row>
    <row r="1294">
      <c r="A1294" s="17">
        <f>Github!J$1293</f>
        <v>1292</v>
      </c>
      <c r="B1294" s="27" t="str">
        <f>HYPERLINK(CONCAT("http://leetcode.com/problems/",Github!C$1293), Github!B$1293)</f>
        <v>Maximum Side Length of a Square with Sum Less than or Equal to Threshold</v>
      </c>
      <c r="C1294" s="17">
        <f>Github!F$1293</f>
        <v>746</v>
      </c>
      <c r="D1294" s="17">
        <f>Github!G$1293</f>
        <v>56</v>
      </c>
      <c r="E1294" s="17">
        <f>Github!F$1293+Github!G$1293</f>
        <v>802</v>
      </c>
      <c r="F1294" s="18">
        <f t="shared" si="1"/>
        <v>13.32</v>
      </c>
      <c r="G1294" s="17" t="str">
        <f>Github!H$1293</f>
        <v>Algorithms</v>
      </c>
      <c r="H1294" s="17" t="str">
        <f>Github!E$1293</f>
        <v>Medium</v>
      </c>
      <c r="I1294" s="17" t="str">
        <f>IF(TRIM(Github!D$1293)="TRUE","FALSE","TRUE")</f>
        <v>TRUE</v>
      </c>
      <c r="J1294" s="17"/>
      <c r="K1294" s="17" t="str">
        <f>Github!L$1293</f>
        <v>Array;Binary Search;Matrix;Prefix Sum;</v>
      </c>
      <c r="L1294" s="17" t="b">
        <f>Github!M$1293</f>
        <v>0</v>
      </c>
      <c r="M1294" s="17" t="str">
        <f>ROUND(Github!N$1293, 2)&amp;"%"</f>
        <v>0%</v>
      </c>
      <c r="N1294" s="17">
        <f>Github!O$1293</f>
        <v>52.14429129</v>
      </c>
      <c r="O1294" s="17">
        <f>Github!P$1293</f>
        <v>23114</v>
      </c>
    </row>
    <row r="1295">
      <c r="A1295" s="17">
        <f>Github!J$1294</f>
        <v>1293</v>
      </c>
      <c r="B1295" s="27" t="str">
        <f>HYPERLINK(CONCAT("http://leetcode.com/problems/",Github!C$1294), Github!B$1294)</f>
        <v>Shortest Path in a Grid with Obstacles Elimination</v>
      </c>
      <c r="C1295" s="17">
        <f>Github!F$1294</f>
        <v>1943</v>
      </c>
      <c r="D1295" s="17">
        <f>Github!G$1294</f>
        <v>36</v>
      </c>
      <c r="E1295" s="17">
        <f>Github!F$1294+Github!G$1294</f>
        <v>1979</v>
      </c>
      <c r="F1295" s="18">
        <f t="shared" si="1"/>
        <v>53.97</v>
      </c>
      <c r="G1295" s="17" t="str">
        <f>Github!H$1294</f>
        <v>Algorithms</v>
      </c>
      <c r="H1295" s="17" t="str">
        <f>Github!E$1294</f>
        <v>Hard</v>
      </c>
      <c r="I1295" s="17" t="str">
        <f>IF(TRIM(Github!D$1294)="TRUE","FALSE","TRUE")</f>
        <v>TRUE</v>
      </c>
      <c r="J1295" s="17"/>
      <c r="K1295" s="17" t="str">
        <f>Github!L$1294</f>
        <v>Array;Breadth-First Search;Matrix;</v>
      </c>
      <c r="L1295" s="17" t="b">
        <f>Github!M$1294</f>
        <v>1</v>
      </c>
      <c r="M1295" s="17" t="str">
        <f>ROUND(Github!N$1294, 2)&amp;"%"</f>
        <v>0%</v>
      </c>
      <c r="N1295" s="17">
        <f>Github!O$1294</f>
        <v>43.57236786</v>
      </c>
      <c r="O1295" s="17">
        <f>Github!P$1294</f>
        <v>82171</v>
      </c>
    </row>
    <row r="1296">
      <c r="A1296" s="17">
        <f>Github!J$1295</f>
        <v>1294</v>
      </c>
      <c r="B1296" s="27" t="str">
        <f>HYPERLINK(CONCAT("http://leetcode.com/problems/",Github!C$1295), Github!B$1295)</f>
        <v>Weather Type in Each Country</v>
      </c>
      <c r="C1296" s="17">
        <f>Github!F$1295</f>
        <v>76</v>
      </c>
      <c r="D1296" s="17">
        <f>Github!G$1295</f>
        <v>17</v>
      </c>
      <c r="E1296" s="17">
        <f>Github!F$1295+Github!G$1295</f>
        <v>93</v>
      </c>
      <c r="F1296" s="18">
        <f t="shared" si="1"/>
        <v>4.47</v>
      </c>
      <c r="G1296" s="17" t="str">
        <f>Github!H$1295</f>
        <v>Database</v>
      </c>
      <c r="H1296" s="17" t="str">
        <f>Github!E$1295</f>
        <v>Easy</v>
      </c>
      <c r="I1296" s="17" t="str">
        <f>IF(TRIM(Github!D$1295)="TRUE","FALSE","TRUE")</f>
        <v>FALSE</v>
      </c>
      <c r="J1296" s="17"/>
      <c r="K1296" s="17" t="str">
        <f>Github!L$1295</f>
        <v>Database;</v>
      </c>
      <c r="L1296" s="17" t="b">
        <f>Github!M$1295</f>
        <v>0</v>
      </c>
      <c r="M1296" s="17" t="str">
        <f>ROUND(Github!N$1295, 2)&amp;"%"</f>
        <v>0%</v>
      </c>
      <c r="N1296" s="17">
        <f>Github!O$1295</f>
        <v>67.4169607</v>
      </c>
      <c r="O1296" s="17">
        <f>Github!P$1295</f>
        <v>22164</v>
      </c>
    </row>
    <row r="1297">
      <c r="A1297" s="17">
        <f>Github!J$1296</f>
        <v>1295</v>
      </c>
      <c r="B1297" s="27" t="str">
        <f>HYPERLINK(CONCAT("http://leetcode.com/problems/",Github!C$1296), Github!B$1296)</f>
        <v>Find Numbers with Even Number of Digits</v>
      </c>
      <c r="C1297" s="17">
        <f>Github!F$1296</f>
        <v>1157</v>
      </c>
      <c r="D1297" s="17">
        <f>Github!G$1296</f>
        <v>95</v>
      </c>
      <c r="E1297" s="17">
        <f>Github!F$1296+Github!G$1296</f>
        <v>1252</v>
      </c>
      <c r="F1297" s="18">
        <f t="shared" si="1"/>
        <v>12.18</v>
      </c>
      <c r="G1297" s="17" t="str">
        <f>Github!H$1296</f>
        <v>Algorithms</v>
      </c>
      <c r="H1297" s="17" t="str">
        <f>Github!E$1296</f>
        <v>Easy</v>
      </c>
      <c r="I1297" s="17" t="str">
        <f>IF(TRIM(Github!D$1296)="TRUE","FALSE","TRUE")</f>
        <v>TRUE</v>
      </c>
      <c r="J1297" s="17"/>
      <c r="K1297" s="17" t="str">
        <f>Github!L$1296</f>
        <v>Array;</v>
      </c>
      <c r="L1297" s="17" t="b">
        <f>Github!M$1296</f>
        <v>0</v>
      </c>
      <c r="M1297" s="17" t="str">
        <f>ROUND(Github!N$1296, 2)&amp;"%"</f>
        <v>0%</v>
      </c>
      <c r="N1297" s="17">
        <f>Github!O$1296</f>
        <v>77.22084179</v>
      </c>
      <c r="O1297" s="17">
        <f>Github!P$1296</f>
        <v>407106</v>
      </c>
    </row>
    <row r="1298">
      <c r="A1298" s="17">
        <f>Github!J$1297</f>
        <v>1296</v>
      </c>
      <c r="B1298" s="27" t="str">
        <f>HYPERLINK(CONCAT("http://leetcode.com/problems/",Github!C$1297), Github!B$1297)</f>
        <v>Divide Array in Sets of K Consecutive Numbers</v>
      </c>
      <c r="C1298" s="17">
        <f>Github!F$1297</f>
        <v>1029</v>
      </c>
      <c r="D1298" s="17">
        <f>Github!G$1297</f>
        <v>77</v>
      </c>
      <c r="E1298" s="17">
        <f>Github!F$1297+Github!G$1297</f>
        <v>1106</v>
      </c>
      <c r="F1298" s="18">
        <f t="shared" si="1"/>
        <v>13.36</v>
      </c>
      <c r="G1298" s="17" t="str">
        <f>Github!H$1297</f>
        <v>Algorithms</v>
      </c>
      <c r="H1298" s="17" t="str">
        <f>Github!E$1297</f>
        <v>Medium</v>
      </c>
      <c r="I1298" s="17" t="str">
        <f>IF(TRIM(Github!D$1297)="TRUE","FALSE","TRUE")</f>
        <v>TRUE</v>
      </c>
      <c r="J1298" s="17"/>
      <c r="K1298" s="17" t="str">
        <f>Github!L$1297</f>
        <v>Array;Hash Table;Greedy;Sorting;</v>
      </c>
      <c r="L1298" s="17" t="b">
        <f>Github!M$1297</f>
        <v>0</v>
      </c>
      <c r="M1298" s="17" t="str">
        <f>ROUND(Github!N$1297, 2)&amp;"%"</f>
        <v>0%</v>
      </c>
      <c r="N1298" s="17">
        <f>Github!O$1297</f>
        <v>56.44676849</v>
      </c>
      <c r="O1298" s="17">
        <f>Github!P$1297</f>
        <v>57320</v>
      </c>
    </row>
    <row r="1299">
      <c r="A1299" s="17">
        <f>Github!J$1298</f>
        <v>1297</v>
      </c>
      <c r="B1299" s="27" t="str">
        <f>HYPERLINK(CONCAT("http://leetcode.com/problems/",Github!C$1298), Github!B$1298)</f>
        <v>Maximum Number of Occurrences of a Substring</v>
      </c>
      <c r="C1299" s="17">
        <f>Github!F$1298</f>
        <v>567</v>
      </c>
      <c r="D1299" s="17">
        <f>Github!G$1298</f>
        <v>286</v>
      </c>
      <c r="E1299" s="17">
        <f>Github!F$1298+Github!G$1298</f>
        <v>853</v>
      </c>
      <c r="F1299" s="18">
        <f t="shared" si="1"/>
        <v>1.98</v>
      </c>
      <c r="G1299" s="17" t="str">
        <f>Github!H$1298</f>
        <v>Algorithms</v>
      </c>
      <c r="H1299" s="17" t="str">
        <f>Github!E$1298</f>
        <v>Medium</v>
      </c>
      <c r="I1299" s="17" t="str">
        <f>IF(TRIM(Github!D$1298)="TRUE","FALSE","TRUE")</f>
        <v>TRUE</v>
      </c>
      <c r="J1299" s="17"/>
      <c r="K1299" s="17" t="str">
        <f>Github!L$1298</f>
        <v>Hash Table;String;Sliding Window;</v>
      </c>
      <c r="L1299" s="17" t="b">
        <f>Github!M$1298</f>
        <v>0</v>
      </c>
      <c r="M1299" s="17" t="str">
        <f>ROUND(Github!N$1298, 2)&amp;"%"</f>
        <v>0%</v>
      </c>
      <c r="N1299" s="17">
        <f>Github!O$1298</f>
        <v>52.38349936</v>
      </c>
      <c r="O1299" s="17">
        <f>Github!P$1298</f>
        <v>31339</v>
      </c>
    </row>
    <row r="1300">
      <c r="A1300" s="17">
        <f>Github!J$1299</f>
        <v>1298</v>
      </c>
      <c r="B1300" s="27" t="str">
        <f>HYPERLINK(CONCAT("http://leetcode.com/problems/",Github!C$1299), Github!B$1299)</f>
        <v>Maximum Candies You Can Get from Boxes</v>
      </c>
      <c r="C1300" s="17">
        <f>Github!F$1299</f>
        <v>173</v>
      </c>
      <c r="D1300" s="17">
        <f>Github!G$1299</f>
        <v>112</v>
      </c>
      <c r="E1300" s="17">
        <f>Github!F$1299+Github!G$1299</f>
        <v>285</v>
      </c>
      <c r="F1300" s="18">
        <f t="shared" si="1"/>
        <v>1.54</v>
      </c>
      <c r="G1300" s="17" t="str">
        <f>Github!H$1299</f>
        <v>Algorithms</v>
      </c>
      <c r="H1300" s="17" t="str">
        <f>Github!E$1299</f>
        <v>Hard</v>
      </c>
      <c r="I1300" s="17" t="str">
        <f>IF(TRIM(Github!D$1299)="TRUE","FALSE","TRUE")</f>
        <v>TRUE</v>
      </c>
      <c r="J1300" s="17"/>
      <c r="K1300" s="17" t="str">
        <f>Github!L$1299</f>
        <v>Array;Breadth-First Search;</v>
      </c>
      <c r="L1300" s="17" t="b">
        <f>Github!M$1299</f>
        <v>0</v>
      </c>
      <c r="M1300" s="17" t="str">
        <f>ROUND(Github!N$1299, 2)&amp;"%"</f>
        <v>0%</v>
      </c>
      <c r="N1300" s="17">
        <f>Github!O$1299</f>
        <v>60.86045365</v>
      </c>
      <c r="O1300" s="17">
        <f>Github!P$1299</f>
        <v>9874</v>
      </c>
    </row>
    <row r="1301">
      <c r="A1301" s="17">
        <f>Github!J$1300</f>
        <v>1299</v>
      </c>
      <c r="B1301" s="27" t="str">
        <f>HYPERLINK(CONCAT("http://leetcode.com/problems/",Github!C$1300), Github!B$1300)</f>
        <v>Replace Elements with Greatest Element on Right Side</v>
      </c>
      <c r="C1301" s="17">
        <f>Github!F$1300</f>
        <v>1163</v>
      </c>
      <c r="D1301" s="17">
        <f>Github!G$1300</f>
        <v>162</v>
      </c>
      <c r="E1301" s="17">
        <f>Github!F$1300+Github!G$1300</f>
        <v>1325</v>
      </c>
      <c r="F1301" s="18">
        <f t="shared" si="1"/>
        <v>7.18</v>
      </c>
      <c r="G1301" s="17" t="str">
        <f>Github!H$1300</f>
        <v>Algorithms</v>
      </c>
      <c r="H1301" s="17" t="str">
        <f>Github!E$1300</f>
        <v>Easy</v>
      </c>
      <c r="I1301" s="17" t="str">
        <f>IF(TRIM(Github!D$1300)="TRUE","FALSE","TRUE")</f>
        <v>TRUE</v>
      </c>
      <c r="J1301" s="17"/>
      <c r="K1301" s="17" t="str">
        <f>Github!L$1300</f>
        <v>Array;</v>
      </c>
      <c r="L1301" s="17" t="b">
        <f>Github!M$1300</f>
        <v>0</v>
      </c>
      <c r="M1301" s="17" t="str">
        <f>ROUND(Github!N$1300, 2)&amp;"%"</f>
        <v>0%</v>
      </c>
      <c r="N1301" s="17">
        <f>Github!O$1300</f>
        <v>74.41899636</v>
      </c>
      <c r="O1301" s="17">
        <f>Github!P$1300</f>
        <v>194397</v>
      </c>
    </row>
    <row r="1302">
      <c r="A1302" s="17">
        <f>Github!J$1301</f>
        <v>1300</v>
      </c>
      <c r="B1302" s="27" t="str">
        <f>HYPERLINK(CONCAT("http://leetcode.com/problems/",Github!C$1301), Github!B$1301)</f>
        <v>Sum of Mutated Array Closest to Target</v>
      </c>
      <c r="C1302" s="17">
        <f>Github!F$1301</f>
        <v>706</v>
      </c>
      <c r="D1302" s="17">
        <f>Github!G$1301</f>
        <v>88</v>
      </c>
      <c r="E1302" s="17">
        <f>Github!F$1301+Github!G$1301</f>
        <v>794</v>
      </c>
      <c r="F1302" s="18">
        <f t="shared" si="1"/>
        <v>8.02</v>
      </c>
      <c r="G1302" s="17" t="str">
        <f>Github!H$1301</f>
        <v>Algorithms</v>
      </c>
      <c r="H1302" s="17" t="str">
        <f>Github!E$1301</f>
        <v>Medium</v>
      </c>
      <c r="I1302" s="17" t="str">
        <f>IF(TRIM(Github!D$1301)="TRUE","FALSE","TRUE")</f>
        <v>TRUE</v>
      </c>
      <c r="J1302" s="17"/>
      <c r="K1302" s="17" t="str">
        <f>Github!L$1301</f>
        <v>Array;Binary Search;Sorting;</v>
      </c>
      <c r="L1302" s="17" t="b">
        <f>Github!M$1301</f>
        <v>0</v>
      </c>
      <c r="M1302" s="17" t="str">
        <f>ROUND(Github!N$1301, 2)&amp;"%"</f>
        <v>0%</v>
      </c>
      <c r="N1302" s="17">
        <f>Github!O$1301</f>
        <v>42.5173439</v>
      </c>
      <c r="O1302" s="17">
        <f>Github!P$1301</f>
        <v>23595</v>
      </c>
    </row>
    <row r="1303">
      <c r="A1303" s="17">
        <f>Github!J$1302</f>
        <v>1301</v>
      </c>
      <c r="B1303" s="27" t="str">
        <f>HYPERLINK(CONCAT("http://leetcode.com/problems/",Github!C$1302), Github!B$1302)</f>
        <v>Number of Paths with Max Score</v>
      </c>
      <c r="C1303" s="17">
        <f>Github!F$1302</f>
        <v>303</v>
      </c>
      <c r="D1303" s="17">
        <f>Github!G$1302</f>
        <v>15</v>
      </c>
      <c r="E1303" s="17">
        <f>Github!F$1302+Github!G$1302</f>
        <v>318</v>
      </c>
      <c r="F1303" s="18">
        <f t="shared" si="1"/>
        <v>20.2</v>
      </c>
      <c r="G1303" s="17" t="str">
        <f>Github!H$1302</f>
        <v>Algorithms</v>
      </c>
      <c r="H1303" s="17" t="str">
        <f>Github!E$1302</f>
        <v>Hard</v>
      </c>
      <c r="I1303" s="17" t="str">
        <f>IF(TRIM(Github!D$1302)="TRUE","FALSE","TRUE")</f>
        <v>TRUE</v>
      </c>
      <c r="J1303" s="17"/>
      <c r="K1303" s="17" t="str">
        <f>Github!L$1302</f>
        <v>Array;Dynamic Programming;Matrix;</v>
      </c>
      <c r="L1303" s="17" t="b">
        <f>Github!M$1302</f>
        <v>0</v>
      </c>
      <c r="M1303" s="17" t="str">
        <f>ROUND(Github!N$1302, 2)&amp;"%"</f>
        <v>0%</v>
      </c>
      <c r="N1303" s="17">
        <f>Github!O$1302</f>
        <v>38.72925764</v>
      </c>
      <c r="O1303" s="17">
        <f>Github!P$1302</f>
        <v>8869</v>
      </c>
    </row>
    <row r="1304">
      <c r="A1304" s="17">
        <f>Github!J$1303</f>
        <v>1302</v>
      </c>
      <c r="B1304" s="27" t="str">
        <f>HYPERLINK(CONCAT("http://leetcode.com/problems/",Github!C$1303), Github!B$1303)</f>
        <v>Deepest Leaves Sum</v>
      </c>
      <c r="C1304" s="17">
        <f>Github!F$1303</f>
        <v>2303</v>
      </c>
      <c r="D1304" s="17">
        <f>Github!G$1303</f>
        <v>74</v>
      </c>
      <c r="E1304" s="17">
        <f>Github!F$1303+Github!G$1303</f>
        <v>2377</v>
      </c>
      <c r="F1304" s="18">
        <f t="shared" si="1"/>
        <v>31.12</v>
      </c>
      <c r="G1304" s="17" t="str">
        <f>Github!H$1303</f>
        <v>Algorithms</v>
      </c>
      <c r="H1304" s="17" t="str">
        <f>Github!E$1303</f>
        <v>Medium</v>
      </c>
      <c r="I1304" s="17" t="str">
        <f>IF(TRIM(Github!D$1303)="TRUE","FALSE","TRUE")</f>
        <v>TRUE</v>
      </c>
      <c r="J1304" s="17"/>
      <c r="K1304" s="17" t="str">
        <f>Github!L$1303</f>
        <v>Tree;Depth-First Search;Breadth-First Search;Binary Tree;</v>
      </c>
      <c r="L1304" s="17" t="b">
        <f>Github!M$1303</f>
        <v>1</v>
      </c>
      <c r="M1304" s="17" t="str">
        <f>ROUND(Github!N$1303, 2)&amp;"%"</f>
        <v>0%</v>
      </c>
      <c r="N1304" s="17">
        <f>Github!O$1303</f>
        <v>85.66771959</v>
      </c>
      <c r="O1304" s="17">
        <f>Github!P$1303</f>
        <v>161363</v>
      </c>
    </row>
    <row r="1305">
      <c r="A1305" s="17">
        <f>Github!J$1304</f>
        <v>1303</v>
      </c>
      <c r="B1305" s="27" t="str">
        <f>HYPERLINK(CONCAT("http://leetcode.com/problems/",Github!C$1304), Github!B$1304)</f>
        <v>Find the Team Size</v>
      </c>
      <c r="C1305" s="17">
        <f>Github!F$1304</f>
        <v>204</v>
      </c>
      <c r="D1305" s="17">
        <f>Github!G$1304</f>
        <v>12</v>
      </c>
      <c r="E1305" s="17">
        <f>Github!F$1304+Github!G$1304</f>
        <v>216</v>
      </c>
      <c r="F1305" s="18">
        <f t="shared" si="1"/>
        <v>17</v>
      </c>
      <c r="G1305" s="17" t="str">
        <f>Github!H$1304</f>
        <v>Database</v>
      </c>
      <c r="H1305" s="17" t="str">
        <f>Github!E$1304</f>
        <v>Easy</v>
      </c>
      <c r="I1305" s="17" t="str">
        <f>IF(TRIM(Github!D$1304)="TRUE","FALSE","TRUE")</f>
        <v>FALSE</v>
      </c>
      <c r="J1305" s="17"/>
      <c r="K1305" s="17" t="str">
        <f>Github!L$1304</f>
        <v>Database;</v>
      </c>
      <c r="L1305" s="17" t="b">
        <f>Github!M$1304</f>
        <v>0</v>
      </c>
      <c r="M1305" s="17" t="str">
        <f>ROUND(Github!N$1304, 2)&amp;"%"</f>
        <v>0%</v>
      </c>
      <c r="N1305" s="17">
        <f>Github!O$1304</f>
        <v>90.64172389</v>
      </c>
      <c r="O1305" s="17">
        <f>Github!P$1304</f>
        <v>38277</v>
      </c>
    </row>
    <row r="1306">
      <c r="A1306" s="17">
        <f>Github!J$1305</f>
        <v>1304</v>
      </c>
      <c r="B1306" s="27" t="str">
        <f>HYPERLINK(CONCAT("http://leetcode.com/problems/",Github!C$1305), Github!B$1305)</f>
        <v>Find N Unique Integers Sum up to Zero</v>
      </c>
      <c r="C1306" s="17">
        <f>Github!F$1305</f>
        <v>988</v>
      </c>
      <c r="D1306" s="17">
        <f>Github!G$1305</f>
        <v>444</v>
      </c>
      <c r="E1306" s="17">
        <f>Github!F$1305+Github!G$1305</f>
        <v>1432</v>
      </c>
      <c r="F1306" s="18">
        <f t="shared" si="1"/>
        <v>2.23</v>
      </c>
      <c r="G1306" s="17" t="str">
        <f>Github!H$1305</f>
        <v>Algorithms</v>
      </c>
      <c r="H1306" s="17" t="str">
        <f>Github!E$1305</f>
        <v>Easy</v>
      </c>
      <c r="I1306" s="17" t="str">
        <f>IF(TRIM(Github!D$1305)="TRUE","FALSE","TRUE")</f>
        <v>TRUE</v>
      </c>
      <c r="J1306" s="17"/>
      <c r="K1306" s="17" t="str">
        <f>Github!L$1305</f>
        <v>Array;Math;</v>
      </c>
      <c r="L1306" s="17" t="b">
        <f>Github!M$1305</f>
        <v>0</v>
      </c>
      <c r="M1306" s="17" t="str">
        <f>ROUND(Github!N$1305, 2)&amp;"%"</f>
        <v>0%</v>
      </c>
      <c r="N1306" s="17">
        <f>Github!O$1305</f>
        <v>76.89114117</v>
      </c>
      <c r="O1306" s="17">
        <f>Github!P$1305</f>
        <v>129270</v>
      </c>
    </row>
    <row r="1307">
      <c r="A1307" s="17">
        <f>Github!J$1306</f>
        <v>1305</v>
      </c>
      <c r="B1307" s="27" t="str">
        <f>HYPERLINK(CONCAT("http://leetcode.com/problems/",Github!C$1306), Github!B$1306)</f>
        <v>All Elements in Two Binary Search Trees</v>
      </c>
      <c r="C1307" s="17">
        <f>Github!F$1306</f>
        <v>2138</v>
      </c>
      <c r="D1307" s="17">
        <f>Github!G$1306</f>
        <v>63</v>
      </c>
      <c r="E1307" s="17">
        <f>Github!F$1306+Github!G$1306</f>
        <v>2201</v>
      </c>
      <c r="F1307" s="18">
        <f t="shared" si="1"/>
        <v>33.94</v>
      </c>
      <c r="G1307" s="17" t="str">
        <f>Github!H$1306</f>
        <v>Algorithms</v>
      </c>
      <c r="H1307" s="17" t="str">
        <f>Github!E$1306</f>
        <v>Medium</v>
      </c>
      <c r="I1307" s="17" t="str">
        <f>IF(TRIM(Github!D$1306)="TRUE","FALSE","TRUE")</f>
        <v>TRUE</v>
      </c>
      <c r="J1307" s="17"/>
      <c r="K1307" s="17" t="str">
        <f>Github!L$1306</f>
        <v>Tree;Depth-First Search;Binary Search Tree;Sorting;Binary Tree;</v>
      </c>
      <c r="L1307" s="17" t="b">
        <f>Github!M$1306</f>
        <v>1</v>
      </c>
      <c r="M1307" s="17" t="str">
        <f>ROUND(Github!N$1306, 2)&amp;"%"</f>
        <v>0%</v>
      </c>
      <c r="N1307" s="17">
        <f>Github!O$1306</f>
        <v>79.62003015</v>
      </c>
      <c r="O1307" s="17">
        <f>Github!P$1306</f>
        <v>156360</v>
      </c>
    </row>
    <row r="1308">
      <c r="A1308" s="17">
        <f>Github!J$1307</f>
        <v>1306</v>
      </c>
      <c r="B1308" s="27" t="str">
        <f>HYPERLINK(CONCAT("http://leetcode.com/problems/",Github!C$1307), Github!B$1307)</f>
        <v>Jump Game III</v>
      </c>
      <c r="C1308" s="17">
        <f>Github!F$1307</f>
        <v>2521</v>
      </c>
      <c r="D1308" s="17">
        <f>Github!G$1307</f>
        <v>60</v>
      </c>
      <c r="E1308" s="17">
        <f>Github!F$1307+Github!G$1307</f>
        <v>2581</v>
      </c>
      <c r="F1308" s="18">
        <f t="shared" si="1"/>
        <v>42.02</v>
      </c>
      <c r="G1308" s="17" t="str">
        <f>Github!H$1307</f>
        <v>Algorithms</v>
      </c>
      <c r="H1308" s="17" t="str">
        <f>Github!E$1307</f>
        <v>Medium</v>
      </c>
      <c r="I1308" s="17" t="str">
        <f>IF(TRIM(Github!D$1307)="TRUE","FALSE","TRUE")</f>
        <v>TRUE</v>
      </c>
      <c r="J1308" s="17"/>
      <c r="K1308" s="17" t="str">
        <f>Github!L$1307</f>
        <v>Array;Depth-First Search;Breadth-First Search;</v>
      </c>
      <c r="L1308" s="17" t="b">
        <f>Github!M$1307</f>
        <v>1</v>
      </c>
      <c r="M1308" s="17" t="str">
        <f>ROUND(Github!N$1307, 2)&amp;"%"</f>
        <v>1%</v>
      </c>
      <c r="N1308" s="17">
        <f>Github!O$1307</f>
        <v>62.61778997</v>
      </c>
      <c r="O1308" s="17">
        <f>Github!P$1307</f>
        <v>136082</v>
      </c>
    </row>
    <row r="1309">
      <c r="A1309" s="17">
        <f>Github!J$1308</f>
        <v>1307</v>
      </c>
      <c r="B1309" s="27" t="str">
        <f>HYPERLINK(CONCAT("http://leetcode.com/problems/",Github!C$1308), Github!B$1308)</f>
        <v>Verbal Arithmetic Puzzle</v>
      </c>
      <c r="C1309" s="17">
        <f>Github!F$1308</f>
        <v>288</v>
      </c>
      <c r="D1309" s="17">
        <f>Github!G$1308</f>
        <v>76</v>
      </c>
      <c r="E1309" s="17">
        <f>Github!F$1308+Github!G$1308</f>
        <v>364</v>
      </c>
      <c r="F1309" s="18">
        <f t="shared" si="1"/>
        <v>3.79</v>
      </c>
      <c r="G1309" s="17" t="str">
        <f>Github!H$1308</f>
        <v>Algorithms</v>
      </c>
      <c r="H1309" s="17" t="str">
        <f>Github!E$1308</f>
        <v>Hard</v>
      </c>
      <c r="I1309" s="17" t="str">
        <f>IF(TRIM(Github!D$1308)="TRUE","FALSE","TRUE")</f>
        <v>TRUE</v>
      </c>
      <c r="J1309" s="17"/>
      <c r="K1309" s="17" t="str">
        <f>Github!L$1308</f>
        <v>Array;Math;String;Backtracking;</v>
      </c>
      <c r="L1309" s="17" t="b">
        <f>Github!M$1308</f>
        <v>0</v>
      </c>
      <c r="M1309" s="17" t="str">
        <f>ROUND(Github!N$1308, 2)&amp;"%"</f>
        <v>0%</v>
      </c>
      <c r="N1309" s="17">
        <f>Github!O$1308</f>
        <v>35.04434997</v>
      </c>
      <c r="O1309" s="17">
        <f>Github!P$1308</f>
        <v>6677</v>
      </c>
    </row>
    <row r="1310">
      <c r="A1310" s="17">
        <f>Github!J$1309</f>
        <v>1308</v>
      </c>
      <c r="B1310" s="27" t="str">
        <f>HYPERLINK(CONCAT("http://leetcode.com/problems/",Github!C$1309), Github!B$1309)</f>
        <v>Running Total for Different Genders</v>
      </c>
      <c r="C1310" s="17">
        <f>Github!F$1309</f>
        <v>131</v>
      </c>
      <c r="D1310" s="17">
        <f>Github!G$1309</f>
        <v>31</v>
      </c>
      <c r="E1310" s="17">
        <f>Github!F$1309+Github!G$1309</f>
        <v>162</v>
      </c>
      <c r="F1310" s="18">
        <f t="shared" si="1"/>
        <v>4.23</v>
      </c>
      <c r="G1310" s="17" t="str">
        <f>Github!H$1309</f>
        <v>Database</v>
      </c>
      <c r="H1310" s="17" t="str">
        <f>Github!E$1309</f>
        <v>Medium</v>
      </c>
      <c r="I1310" s="17" t="str">
        <f>IF(TRIM(Github!D$1309)="TRUE","FALSE","TRUE")</f>
        <v>FALSE</v>
      </c>
      <c r="J1310" s="17"/>
      <c r="K1310" s="17" t="str">
        <f>Github!L$1309</f>
        <v>Database;</v>
      </c>
      <c r="L1310" s="17" t="b">
        <f>Github!M$1309</f>
        <v>0</v>
      </c>
      <c r="M1310" s="17" t="str">
        <f>ROUND(Github!N$1309, 2)&amp;"%"</f>
        <v>0%</v>
      </c>
      <c r="N1310" s="17">
        <f>Github!O$1309</f>
        <v>88.23529412</v>
      </c>
      <c r="O1310" s="17">
        <f>Github!P$1309</f>
        <v>22245</v>
      </c>
    </row>
    <row r="1311">
      <c r="A1311" s="17">
        <f>Github!J$1310</f>
        <v>1309</v>
      </c>
      <c r="B1311" s="27" t="str">
        <f>HYPERLINK(CONCAT("http://leetcode.com/problems/",Github!C$1310), Github!B$1310)</f>
        <v>Decrypt String from Alphabet to Integer Mapping</v>
      </c>
      <c r="C1311" s="17">
        <f>Github!F$1310</f>
        <v>853</v>
      </c>
      <c r="D1311" s="17">
        <f>Github!G$1310</f>
        <v>70</v>
      </c>
      <c r="E1311" s="17">
        <f>Github!F$1310+Github!G$1310</f>
        <v>923</v>
      </c>
      <c r="F1311" s="18">
        <f t="shared" si="1"/>
        <v>12.19</v>
      </c>
      <c r="G1311" s="17" t="str">
        <f>Github!H$1310</f>
        <v>Algorithms</v>
      </c>
      <c r="H1311" s="17" t="str">
        <f>Github!E$1310</f>
        <v>Easy</v>
      </c>
      <c r="I1311" s="17" t="str">
        <f>IF(TRIM(Github!D$1310)="TRUE","FALSE","TRUE")</f>
        <v>TRUE</v>
      </c>
      <c r="J1311" s="17"/>
      <c r="K1311" s="17" t="str">
        <f>Github!L$1310</f>
        <v>String;</v>
      </c>
      <c r="L1311" s="17" t="b">
        <f>Github!M$1310</f>
        <v>0</v>
      </c>
      <c r="M1311" s="17" t="str">
        <f>ROUND(Github!N$1310, 2)&amp;"%"</f>
        <v>0%</v>
      </c>
      <c r="N1311" s="17">
        <f>Github!O$1310</f>
        <v>78.41330031</v>
      </c>
      <c r="O1311" s="17">
        <f>Github!P$1310</f>
        <v>71544</v>
      </c>
    </row>
    <row r="1312">
      <c r="A1312" s="17">
        <f>Github!J$1311</f>
        <v>1310</v>
      </c>
      <c r="B1312" s="27" t="str">
        <f>HYPERLINK(CONCAT("http://leetcode.com/problems/",Github!C$1311), Github!B$1311)</f>
        <v>XOR Queries of a Subarray</v>
      </c>
      <c r="C1312" s="17">
        <f>Github!F$1311</f>
        <v>860</v>
      </c>
      <c r="D1312" s="17">
        <f>Github!G$1311</f>
        <v>29</v>
      </c>
      <c r="E1312" s="17">
        <f>Github!F$1311+Github!G$1311</f>
        <v>889</v>
      </c>
      <c r="F1312" s="18">
        <f t="shared" si="1"/>
        <v>29.66</v>
      </c>
      <c r="G1312" s="17" t="str">
        <f>Github!H$1311</f>
        <v>Algorithms</v>
      </c>
      <c r="H1312" s="17" t="str">
        <f>Github!E$1311</f>
        <v>Medium</v>
      </c>
      <c r="I1312" s="17" t="str">
        <f>IF(TRIM(Github!D$1311)="TRUE","FALSE","TRUE")</f>
        <v>TRUE</v>
      </c>
      <c r="J1312" s="17"/>
      <c r="K1312" s="17" t="str">
        <f>Github!L$1311</f>
        <v>Array;Bit Manipulation;Prefix Sum;</v>
      </c>
      <c r="L1312" s="17" t="b">
        <f>Github!M$1311</f>
        <v>0</v>
      </c>
      <c r="M1312" s="17" t="str">
        <f>ROUND(Github!N$1311, 2)&amp;"%"</f>
        <v>0%</v>
      </c>
      <c r="N1312" s="17">
        <f>Github!O$1311</f>
        <v>71.1335991</v>
      </c>
      <c r="O1312" s="17">
        <f>Github!P$1311</f>
        <v>34795</v>
      </c>
    </row>
    <row r="1313">
      <c r="A1313" s="17">
        <f>Github!J$1312</f>
        <v>1311</v>
      </c>
      <c r="B1313" s="27" t="str">
        <f>HYPERLINK(CONCAT("http://leetcode.com/problems/",Github!C$1312), Github!B$1312)</f>
        <v>Get Watched Videos by Your Friends</v>
      </c>
      <c r="C1313" s="17">
        <f>Github!F$1312</f>
        <v>201</v>
      </c>
      <c r="D1313" s="17">
        <f>Github!G$1312</f>
        <v>285</v>
      </c>
      <c r="E1313" s="17">
        <f>Github!F$1312+Github!G$1312</f>
        <v>486</v>
      </c>
      <c r="F1313" s="18">
        <f t="shared" si="1"/>
        <v>0.71</v>
      </c>
      <c r="G1313" s="17" t="str">
        <f>Github!H$1312</f>
        <v>Algorithms</v>
      </c>
      <c r="H1313" s="17" t="str">
        <f>Github!E$1312</f>
        <v>Medium</v>
      </c>
      <c r="I1313" s="17" t="str">
        <f>IF(TRIM(Github!D$1312)="TRUE","FALSE","TRUE")</f>
        <v>TRUE</v>
      </c>
      <c r="J1313" s="17"/>
      <c r="K1313" s="17" t="str">
        <f>Github!L$1312</f>
        <v>Array;Hash Table;Breadth-First Search;Sorting;</v>
      </c>
      <c r="L1313" s="17" t="b">
        <f>Github!M$1312</f>
        <v>0</v>
      </c>
      <c r="M1313" s="17" t="str">
        <f>ROUND(Github!N$1312, 2)&amp;"%"</f>
        <v>0%</v>
      </c>
      <c r="N1313" s="17">
        <f>Github!O$1312</f>
        <v>45.08750384</v>
      </c>
      <c r="O1313" s="17">
        <f>Github!P$1312</f>
        <v>14684</v>
      </c>
    </row>
    <row r="1314">
      <c r="A1314" s="17">
        <f>Github!J$1313</f>
        <v>1312</v>
      </c>
      <c r="B1314" s="27" t="str">
        <f>HYPERLINK(CONCAT("http://leetcode.com/problems/",Github!C$1313), Github!B$1313)</f>
        <v>Minimum Insertion Steps to Make a String Palindrome</v>
      </c>
      <c r="C1314" s="17">
        <f>Github!F$1313</f>
        <v>1567</v>
      </c>
      <c r="D1314" s="17">
        <f>Github!G$1313</f>
        <v>25</v>
      </c>
      <c r="E1314" s="17">
        <f>Github!F$1313+Github!G$1313</f>
        <v>1592</v>
      </c>
      <c r="F1314" s="18">
        <f t="shared" si="1"/>
        <v>62.68</v>
      </c>
      <c r="G1314" s="17" t="str">
        <f>Github!H$1313</f>
        <v>Algorithms</v>
      </c>
      <c r="H1314" s="17" t="str">
        <f>Github!E$1313</f>
        <v>Hard</v>
      </c>
      <c r="I1314" s="17" t="str">
        <f>IF(TRIM(Github!D$1313)="TRUE","FALSE","TRUE")</f>
        <v>TRUE</v>
      </c>
      <c r="J1314" s="17"/>
      <c r="K1314" s="17" t="str">
        <f>Github!L$1313</f>
        <v>String;Dynamic Programming;</v>
      </c>
      <c r="L1314" s="17" t="b">
        <f>Github!M$1313</f>
        <v>0</v>
      </c>
      <c r="M1314" s="17" t="str">
        <f>ROUND(Github!N$1313, 2)&amp;"%"</f>
        <v>0%</v>
      </c>
      <c r="N1314" s="17">
        <f>Github!O$1313</f>
        <v>63.11961246</v>
      </c>
      <c r="O1314" s="17">
        <f>Github!P$1313</f>
        <v>43129</v>
      </c>
    </row>
    <row r="1315">
      <c r="A1315" s="17">
        <f>Github!J$1314</f>
        <v>1313</v>
      </c>
      <c r="B1315" s="27" t="str">
        <f>HYPERLINK(CONCAT("http://leetcode.com/problems/",Github!C$1314), Github!B$1314)</f>
        <v>Decompress Run-Length Encoded List</v>
      </c>
      <c r="C1315" s="17">
        <f>Github!F$1314</f>
        <v>705</v>
      </c>
      <c r="D1315" s="17">
        <f>Github!G$1314</f>
        <v>1045</v>
      </c>
      <c r="E1315" s="17">
        <f>Github!F$1314+Github!G$1314</f>
        <v>1750</v>
      </c>
      <c r="F1315" s="18">
        <f t="shared" si="1"/>
        <v>0.67</v>
      </c>
      <c r="G1315" s="17" t="str">
        <f>Github!H$1314</f>
        <v>Algorithms</v>
      </c>
      <c r="H1315" s="17" t="str">
        <f>Github!E$1314</f>
        <v>Easy</v>
      </c>
      <c r="I1315" s="17" t="str">
        <f>IF(TRIM(Github!D$1314)="TRUE","FALSE","TRUE")</f>
        <v>TRUE</v>
      </c>
      <c r="J1315" s="17"/>
      <c r="K1315" s="17" t="str">
        <f>Github!L$1314</f>
        <v>Array;</v>
      </c>
      <c r="L1315" s="17" t="b">
        <f>Github!M$1314</f>
        <v>0</v>
      </c>
      <c r="M1315" s="17" t="str">
        <f>ROUND(Github!N$1314, 2)&amp;"%"</f>
        <v>0%</v>
      </c>
      <c r="N1315" s="17">
        <f>Github!O$1314</f>
        <v>85.81904058</v>
      </c>
      <c r="O1315" s="17">
        <f>Github!P$1314</f>
        <v>172971</v>
      </c>
    </row>
    <row r="1316">
      <c r="A1316" s="17">
        <f>Github!J$1315</f>
        <v>1314</v>
      </c>
      <c r="B1316" s="27" t="str">
        <f>HYPERLINK(CONCAT("http://leetcode.com/problems/",Github!C$1315), Github!B$1315)</f>
        <v>Matrix Block Sum</v>
      </c>
      <c r="C1316" s="17">
        <f>Github!F$1315</f>
        <v>1578</v>
      </c>
      <c r="D1316" s="17">
        <f>Github!G$1315</f>
        <v>251</v>
      </c>
      <c r="E1316" s="17">
        <f>Github!F$1315+Github!G$1315</f>
        <v>1829</v>
      </c>
      <c r="F1316" s="18">
        <f t="shared" si="1"/>
        <v>6.29</v>
      </c>
      <c r="G1316" s="17" t="str">
        <f>Github!H$1315</f>
        <v>Algorithms</v>
      </c>
      <c r="H1316" s="17" t="str">
        <f>Github!E$1315</f>
        <v>Medium</v>
      </c>
      <c r="I1316" s="17" t="str">
        <f>IF(TRIM(Github!D$1315)="TRUE","FALSE","TRUE")</f>
        <v>TRUE</v>
      </c>
      <c r="J1316" s="17"/>
      <c r="K1316" s="17" t="str">
        <f>Github!L$1315</f>
        <v>Array;Matrix;Prefix Sum;</v>
      </c>
      <c r="L1316" s="17" t="b">
        <f>Github!M$1315</f>
        <v>0</v>
      </c>
      <c r="M1316" s="17" t="str">
        <f>ROUND(Github!N$1315, 2)&amp;"%"</f>
        <v>0%</v>
      </c>
      <c r="N1316" s="17">
        <f>Github!O$1315</f>
        <v>75.0345414</v>
      </c>
      <c r="O1316" s="17">
        <f>Github!P$1315</f>
        <v>56480</v>
      </c>
    </row>
    <row r="1317">
      <c r="A1317" s="17">
        <f>Github!J$1316</f>
        <v>1315</v>
      </c>
      <c r="B1317" s="27" t="str">
        <f>HYPERLINK(CONCAT("http://leetcode.com/problems/",Github!C$1316), Github!B$1316)</f>
        <v>Sum of Nodes with Even-Valued Grandparent</v>
      </c>
      <c r="C1317" s="17">
        <f>Github!F$1316</f>
        <v>1626</v>
      </c>
      <c r="D1317" s="17">
        <f>Github!G$1316</f>
        <v>54</v>
      </c>
      <c r="E1317" s="17">
        <f>Github!F$1316+Github!G$1316</f>
        <v>1680</v>
      </c>
      <c r="F1317" s="18">
        <f t="shared" si="1"/>
        <v>30.11</v>
      </c>
      <c r="G1317" s="17" t="str">
        <f>Github!H$1316</f>
        <v>Algorithms</v>
      </c>
      <c r="H1317" s="17" t="str">
        <f>Github!E$1316</f>
        <v>Medium</v>
      </c>
      <c r="I1317" s="17" t="str">
        <f>IF(TRIM(Github!D$1316)="TRUE","FALSE","TRUE")</f>
        <v>TRUE</v>
      </c>
      <c r="J1317" s="17"/>
      <c r="K1317" s="17" t="str">
        <f>Github!L$1316</f>
        <v>Tree;Depth-First Search;Breadth-First Search;Binary Tree;</v>
      </c>
      <c r="L1317" s="17" t="b">
        <f>Github!M$1316</f>
        <v>0</v>
      </c>
      <c r="M1317" s="17" t="str">
        <f>ROUND(Github!N$1316, 2)&amp;"%"</f>
        <v>0%</v>
      </c>
      <c r="N1317" s="17">
        <f>Github!O$1316</f>
        <v>85.13161649</v>
      </c>
      <c r="O1317" s="17">
        <f>Github!P$1316</f>
        <v>95470</v>
      </c>
    </row>
    <row r="1318">
      <c r="A1318" s="17">
        <f>Github!J$1317</f>
        <v>1316</v>
      </c>
      <c r="B1318" s="27" t="str">
        <f>HYPERLINK(CONCAT("http://leetcode.com/problems/",Github!C$1317), Github!B$1317)</f>
        <v>Distinct Echo Substrings</v>
      </c>
      <c r="C1318" s="17">
        <f>Github!F$1317</f>
        <v>172</v>
      </c>
      <c r="D1318" s="17">
        <f>Github!G$1317</f>
        <v>164</v>
      </c>
      <c r="E1318" s="17">
        <f>Github!F$1317+Github!G$1317</f>
        <v>336</v>
      </c>
      <c r="F1318" s="18">
        <f t="shared" si="1"/>
        <v>1.05</v>
      </c>
      <c r="G1318" s="17" t="str">
        <f>Github!H$1317</f>
        <v>Algorithms</v>
      </c>
      <c r="H1318" s="17" t="str">
        <f>Github!E$1317</f>
        <v>Hard</v>
      </c>
      <c r="I1318" s="17" t="str">
        <f>IF(TRIM(Github!D$1317)="TRUE","FALSE","TRUE")</f>
        <v>TRUE</v>
      </c>
      <c r="J1318" s="17"/>
      <c r="K1318" s="17" t="str">
        <f>Github!L$1317</f>
        <v>String;Dynamic Programming;Trie;Sliding Window;Rolling Hash;Hash Function;</v>
      </c>
      <c r="L1318" s="17" t="b">
        <f>Github!M$1317</f>
        <v>0</v>
      </c>
      <c r="M1318" s="17" t="str">
        <f>ROUND(Github!N$1317, 2)&amp;"%"</f>
        <v>0%</v>
      </c>
      <c r="N1318" s="17">
        <f>Github!O$1317</f>
        <v>50.13416816</v>
      </c>
      <c r="O1318" s="17">
        <f>Github!P$1317</f>
        <v>11210</v>
      </c>
    </row>
    <row r="1319">
      <c r="A1319" s="17">
        <f>Github!J$1318</f>
        <v>1317</v>
      </c>
      <c r="B1319" s="27" t="str">
        <f>HYPERLINK(CONCAT("http://leetcode.com/problems/",Github!C$1318), Github!B$1318)</f>
        <v>Convert Integer to the Sum of Two No-Zero Integers</v>
      </c>
      <c r="C1319" s="17">
        <f>Github!F$1318</f>
        <v>249</v>
      </c>
      <c r="D1319" s="17">
        <f>Github!G$1318</f>
        <v>210</v>
      </c>
      <c r="E1319" s="17">
        <f>Github!F$1318+Github!G$1318</f>
        <v>459</v>
      </c>
      <c r="F1319" s="18">
        <f t="shared" si="1"/>
        <v>1.19</v>
      </c>
      <c r="G1319" s="17" t="str">
        <f>Github!H$1318</f>
        <v>Algorithms</v>
      </c>
      <c r="H1319" s="17" t="str">
        <f>Github!E$1318</f>
        <v>Easy</v>
      </c>
      <c r="I1319" s="17" t="str">
        <f>IF(TRIM(Github!D$1318)="TRUE","FALSE","TRUE")</f>
        <v>TRUE</v>
      </c>
      <c r="J1319" s="17"/>
      <c r="K1319" s="17" t="str">
        <f>Github!L$1318</f>
        <v>Math;</v>
      </c>
      <c r="L1319" s="17" t="b">
        <f>Github!M$1318</f>
        <v>0</v>
      </c>
      <c r="M1319" s="17" t="str">
        <f>ROUND(Github!N$1318, 2)&amp;"%"</f>
        <v>0%</v>
      </c>
      <c r="N1319" s="17">
        <f>Github!O$1318</f>
        <v>57.10742337</v>
      </c>
      <c r="O1319" s="17">
        <f>Github!P$1318</f>
        <v>29010</v>
      </c>
    </row>
    <row r="1320">
      <c r="A1320" s="17">
        <f>Github!J$1319</f>
        <v>1318</v>
      </c>
      <c r="B1320" s="27" t="str">
        <f>HYPERLINK(CONCAT("http://leetcode.com/problems/",Github!C$1319), Github!B$1319)</f>
        <v>Minimum Flips to Make a OR b Equal to c</v>
      </c>
      <c r="C1320" s="17">
        <f>Github!F$1319</f>
        <v>406</v>
      </c>
      <c r="D1320" s="17">
        <f>Github!G$1319</f>
        <v>35</v>
      </c>
      <c r="E1320" s="17">
        <f>Github!F$1319+Github!G$1319</f>
        <v>441</v>
      </c>
      <c r="F1320" s="18">
        <f t="shared" si="1"/>
        <v>11.6</v>
      </c>
      <c r="G1320" s="17" t="str">
        <f>Github!H$1319</f>
        <v>Algorithms</v>
      </c>
      <c r="H1320" s="17" t="str">
        <f>Github!E$1319</f>
        <v>Medium</v>
      </c>
      <c r="I1320" s="17" t="str">
        <f>IF(TRIM(Github!D$1319)="TRUE","FALSE","TRUE")</f>
        <v>TRUE</v>
      </c>
      <c r="J1320" s="17"/>
      <c r="K1320" s="17" t="str">
        <f>Github!L$1319</f>
        <v>Bit Manipulation;</v>
      </c>
      <c r="L1320" s="17" t="b">
        <f>Github!M$1319</f>
        <v>0</v>
      </c>
      <c r="M1320" s="17" t="str">
        <f>ROUND(Github!N$1319, 2)&amp;"%"</f>
        <v>0%</v>
      </c>
      <c r="N1320" s="17">
        <f>Github!O$1319</f>
        <v>65.06197183</v>
      </c>
      <c r="O1320" s="17">
        <f>Github!P$1319</f>
        <v>23097</v>
      </c>
    </row>
    <row r="1321">
      <c r="A1321" s="17">
        <f>Github!J$1320</f>
        <v>1319</v>
      </c>
      <c r="B1321" s="27" t="str">
        <f>HYPERLINK(CONCAT("http://leetcode.com/problems/",Github!C$1320), Github!B$1320)</f>
        <v>Number of Operations to Make Network Connected</v>
      </c>
      <c r="C1321" s="17">
        <f>Github!F$1320</f>
        <v>1886</v>
      </c>
      <c r="D1321" s="17">
        <f>Github!G$1320</f>
        <v>29</v>
      </c>
      <c r="E1321" s="17">
        <f>Github!F$1320+Github!G$1320</f>
        <v>1915</v>
      </c>
      <c r="F1321" s="18">
        <f t="shared" si="1"/>
        <v>65.03</v>
      </c>
      <c r="G1321" s="17" t="str">
        <f>Github!H$1320</f>
        <v>Algorithms</v>
      </c>
      <c r="H1321" s="17" t="str">
        <f>Github!E$1320</f>
        <v>Medium</v>
      </c>
      <c r="I1321" s="17" t="str">
        <f>IF(TRIM(Github!D$1320)="TRUE","FALSE","TRUE")</f>
        <v>TRUE</v>
      </c>
      <c r="J1321" s="17"/>
      <c r="K1321" s="17" t="str">
        <f>Github!L$1320</f>
        <v>Depth-First Search;Breadth-First Search;Union Find;Graph;</v>
      </c>
      <c r="L1321" s="17" t="b">
        <f>Github!M$1320</f>
        <v>0</v>
      </c>
      <c r="M1321" s="17" t="str">
        <f>ROUND(Github!N$1320, 2)&amp;"%"</f>
        <v>0%</v>
      </c>
      <c r="N1321" s="17">
        <f>Github!O$1320</f>
        <v>57.45923417</v>
      </c>
      <c r="O1321" s="17">
        <f>Github!P$1320</f>
        <v>67690</v>
      </c>
    </row>
    <row r="1322">
      <c r="A1322" s="17">
        <f>Github!J$1321</f>
        <v>1320</v>
      </c>
      <c r="B1322" s="27" t="str">
        <f>HYPERLINK(CONCAT("http://leetcode.com/problems/",Github!C$1321), Github!B$1321)</f>
        <v>Minimum Distance to Type a Word Using Two Fingers</v>
      </c>
      <c r="C1322" s="17">
        <f>Github!F$1321</f>
        <v>733</v>
      </c>
      <c r="D1322" s="17">
        <f>Github!G$1321</f>
        <v>28</v>
      </c>
      <c r="E1322" s="17">
        <f>Github!F$1321+Github!G$1321</f>
        <v>761</v>
      </c>
      <c r="F1322" s="18">
        <f t="shared" si="1"/>
        <v>26.18</v>
      </c>
      <c r="G1322" s="17" t="str">
        <f>Github!H$1321</f>
        <v>Algorithms</v>
      </c>
      <c r="H1322" s="17" t="str">
        <f>Github!E$1321</f>
        <v>Hard</v>
      </c>
      <c r="I1322" s="17" t="str">
        <f>IF(TRIM(Github!D$1321)="TRUE","FALSE","TRUE")</f>
        <v>TRUE</v>
      </c>
      <c r="J1322" s="17"/>
      <c r="K1322" s="17" t="str">
        <f>Github!L$1321</f>
        <v>String;Dynamic Programming;</v>
      </c>
      <c r="L1322" s="17" t="b">
        <f>Github!M$1321</f>
        <v>0</v>
      </c>
      <c r="M1322" s="17" t="str">
        <f>ROUND(Github!N$1321, 2)&amp;"%"</f>
        <v>0%</v>
      </c>
      <c r="N1322" s="17">
        <f>Github!O$1321</f>
        <v>60.36017226</v>
      </c>
      <c r="O1322" s="17">
        <f>Github!P$1321</f>
        <v>23127</v>
      </c>
    </row>
    <row r="1323">
      <c r="A1323" s="17">
        <f>Github!J$1322</f>
        <v>1321</v>
      </c>
      <c r="B1323" s="27" t="str">
        <f>HYPERLINK(CONCAT("http://leetcode.com/problems/",Github!C$1322), Github!B$1322)</f>
        <v>Restaurant Growth</v>
      </c>
      <c r="C1323" s="17">
        <f>Github!F$1322</f>
        <v>232</v>
      </c>
      <c r="D1323" s="17">
        <f>Github!G$1322</f>
        <v>35</v>
      </c>
      <c r="E1323" s="17">
        <f>Github!F$1322+Github!G$1322</f>
        <v>267</v>
      </c>
      <c r="F1323" s="18">
        <f t="shared" si="1"/>
        <v>6.63</v>
      </c>
      <c r="G1323" s="17" t="str">
        <f>Github!H$1322</f>
        <v>Database</v>
      </c>
      <c r="H1323" s="17" t="str">
        <f>Github!E$1322</f>
        <v>Medium</v>
      </c>
      <c r="I1323" s="17" t="str">
        <f>IF(TRIM(Github!D$1322)="TRUE","FALSE","TRUE")</f>
        <v>FALSE</v>
      </c>
      <c r="J1323" s="17"/>
      <c r="K1323" s="17" t="str">
        <f>Github!L$1322</f>
        <v>Database;</v>
      </c>
      <c r="L1323" s="17" t="b">
        <f>Github!M$1322</f>
        <v>0</v>
      </c>
      <c r="M1323" s="17" t="str">
        <f>ROUND(Github!N$1322, 2)&amp;"%"</f>
        <v>0%</v>
      </c>
      <c r="N1323" s="17">
        <f>Github!O$1322</f>
        <v>72.51096736</v>
      </c>
      <c r="O1323" s="17">
        <f>Github!P$1322</f>
        <v>19504</v>
      </c>
    </row>
    <row r="1324">
      <c r="A1324" s="17">
        <f>Github!J$1323</f>
        <v>1322</v>
      </c>
      <c r="B1324" s="27" t="str">
        <f>HYPERLINK(CONCAT("http://leetcode.com/problems/",Github!C$1323), Github!B$1323)</f>
        <v>Ads Performance</v>
      </c>
      <c r="C1324" s="17">
        <f>Github!F$1323</f>
        <v>176</v>
      </c>
      <c r="D1324" s="17">
        <f>Github!G$1323</f>
        <v>42</v>
      </c>
      <c r="E1324" s="17">
        <f>Github!F$1323+Github!G$1323</f>
        <v>218</v>
      </c>
      <c r="F1324" s="18">
        <f t="shared" si="1"/>
        <v>4.19</v>
      </c>
      <c r="G1324" s="17" t="str">
        <f>Github!H$1323</f>
        <v>Database</v>
      </c>
      <c r="H1324" s="17" t="str">
        <f>Github!E$1323</f>
        <v>Easy</v>
      </c>
      <c r="I1324" s="17" t="str">
        <f>IF(TRIM(Github!D$1323)="TRUE","FALSE","TRUE")</f>
        <v>FALSE</v>
      </c>
      <c r="J1324" s="17"/>
      <c r="K1324" s="17" t="str">
        <f>Github!L$1323</f>
        <v>Database;</v>
      </c>
      <c r="L1324" s="17" t="b">
        <f>Github!M$1323</f>
        <v>0</v>
      </c>
      <c r="M1324" s="17" t="str">
        <f>ROUND(Github!N$1323, 2)&amp;"%"</f>
        <v>0%</v>
      </c>
      <c r="N1324" s="17">
        <f>Github!O$1323</f>
        <v>59.99104645</v>
      </c>
      <c r="O1324" s="17">
        <f>Github!P$1323</f>
        <v>26801</v>
      </c>
    </row>
    <row r="1325">
      <c r="A1325" s="17">
        <f>Github!J$1324</f>
        <v>1323</v>
      </c>
      <c r="B1325" s="27" t="str">
        <f>HYPERLINK(CONCAT("http://leetcode.com/problems/",Github!C$1324), Github!B$1324)</f>
        <v>Maximum 69 Number</v>
      </c>
      <c r="C1325" s="17">
        <f>Github!F$1324</f>
        <v>931</v>
      </c>
      <c r="D1325" s="17">
        <f>Github!G$1324</f>
        <v>116</v>
      </c>
      <c r="E1325" s="17">
        <f>Github!F$1324+Github!G$1324</f>
        <v>1047</v>
      </c>
      <c r="F1325" s="18">
        <f t="shared" si="1"/>
        <v>8.03</v>
      </c>
      <c r="G1325" s="17" t="str">
        <f>Github!H$1324</f>
        <v>Algorithms</v>
      </c>
      <c r="H1325" s="17" t="str">
        <f>Github!E$1324</f>
        <v>Easy</v>
      </c>
      <c r="I1325" s="17" t="str">
        <f>IF(TRIM(Github!D$1324)="TRUE","FALSE","TRUE")</f>
        <v>TRUE</v>
      </c>
      <c r="J1325" s="17"/>
      <c r="K1325" s="17" t="str">
        <f>Github!L$1324</f>
        <v>Math;Greedy;</v>
      </c>
      <c r="L1325" s="17" t="b">
        <f>Github!M$1324</f>
        <v>0</v>
      </c>
      <c r="M1325" s="17" t="str">
        <f>ROUND(Github!N$1324, 2)&amp;"%"</f>
        <v>0%</v>
      </c>
      <c r="N1325" s="17">
        <f>Github!O$1324</f>
        <v>78.79895561</v>
      </c>
      <c r="O1325" s="17">
        <f>Github!P$1324</f>
        <v>105630</v>
      </c>
    </row>
    <row r="1326">
      <c r="A1326" s="17">
        <f>Github!J$1325</f>
        <v>1324</v>
      </c>
      <c r="B1326" s="27" t="str">
        <f>HYPERLINK(CONCAT("http://leetcode.com/problems/",Github!C$1325), Github!B$1325)</f>
        <v>Print Words Vertically</v>
      </c>
      <c r="C1326" s="17">
        <f>Github!F$1325</f>
        <v>416</v>
      </c>
      <c r="D1326" s="17">
        <f>Github!G$1325</f>
        <v>87</v>
      </c>
      <c r="E1326" s="17">
        <f>Github!F$1325+Github!G$1325</f>
        <v>503</v>
      </c>
      <c r="F1326" s="18">
        <f t="shared" si="1"/>
        <v>4.78</v>
      </c>
      <c r="G1326" s="17" t="str">
        <f>Github!H$1325</f>
        <v>Algorithms</v>
      </c>
      <c r="H1326" s="17" t="str">
        <f>Github!E$1325</f>
        <v>Medium</v>
      </c>
      <c r="I1326" s="17" t="str">
        <f>IF(TRIM(Github!D$1325)="TRUE","FALSE","TRUE")</f>
        <v>TRUE</v>
      </c>
      <c r="J1326" s="17"/>
      <c r="K1326" s="17" t="str">
        <f>Github!L$1325</f>
        <v>Array;String;Simulation;</v>
      </c>
      <c r="L1326" s="17" t="b">
        <f>Github!M$1325</f>
        <v>0</v>
      </c>
      <c r="M1326" s="17" t="str">
        <f>ROUND(Github!N$1325, 2)&amp;"%"</f>
        <v>0%</v>
      </c>
      <c r="N1326" s="17">
        <f>Github!O$1325</f>
        <v>59.43642741</v>
      </c>
      <c r="O1326" s="17">
        <f>Github!P$1325</f>
        <v>25248</v>
      </c>
    </row>
    <row r="1327">
      <c r="A1327" s="17">
        <f>Github!J$1326</f>
        <v>1325</v>
      </c>
      <c r="B1327" s="27" t="str">
        <f>HYPERLINK(CONCAT("http://leetcode.com/problems/",Github!C$1326), Github!B$1326)</f>
        <v>Delete Leaves With a Given Value</v>
      </c>
      <c r="C1327" s="17">
        <f>Github!F$1326</f>
        <v>1331</v>
      </c>
      <c r="D1327" s="17">
        <f>Github!G$1326</f>
        <v>25</v>
      </c>
      <c r="E1327" s="17">
        <f>Github!F$1326+Github!G$1326</f>
        <v>1356</v>
      </c>
      <c r="F1327" s="18">
        <f t="shared" si="1"/>
        <v>53.24</v>
      </c>
      <c r="G1327" s="17" t="str">
        <f>Github!H$1326</f>
        <v>Algorithms</v>
      </c>
      <c r="H1327" s="17" t="str">
        <f>Github!E$1326</f>
        <v>Medium</v>
      </c>
      <c r="I1327" s="17" t="str">
        <f>IF(TRIM(Github!D$1326)="TRUE","FALSE","TRUE")</f>
        <v>TRUE</v>
      </c>
      <c r="J1327" s="17"/>
      <c r="K1327" s="17" t="str">
        <f>Github!L$1326</f>
        <v>Tree;Depth-First Search;Binary Tree;</v>
      </c>
      <c r="L1327" s="17" t="b">
        <f>Github!M$1326</f>
        <v>0</v>
      </c>
      <c r="M1327" s="17" t="str">
        <f>ROUND(Github!N$1326, 2)&amp;"%"</f>
        <v>0%</v>
      </c>
      <c r="N1327" s="17">
        <f>Github!O$1326</f>
        <v>74.81934276</v>
      </c>
      <c r="O1327" s="17">
        <f>Github!P$1326</f>
        <v>63158</v>
      </c>
    </row>
    <row r="1328">
      <c r="A1328" s="17">
        <f>Github!J$1327</f>
        <v>1326</v>
      </c>
      <c r="B1328" s="27" t="str">
        <f>HYPERLINK(CONCAT("http://leetcode.com/problems/",Github!C$1327), Github!B$1327)</f>
        <v>Minimum Number of Taps to Open to Water a Garden</v>
      </c>
      <c r="C1328" s="17">
        <f>Github!F$1327</f>
        <v>1392</v>
      </c>
      <c r="D1328" s="17">
        <f>Github!G$1327</f>
        <v>99</v>
      </c>
      <c r="E1328" s="17">
        <f>Github!F$1327+Github!G$1327</f>
        <v>1491</v>
      </c>
      <c r="F1328" s="18">
        <f t="shared" si="1"/>
        <v>14.06</v>
      </c>
      <c r="G1328" s="17" t="str">
        <f>Github!H$1327</f>
        <v>Algorithms</v>
      </c>
      <c r="H1328" s="17" t="str">
        <f>Github!E$1327</f>
        <v>Hard</v>
      </c>
      <c r="I1328" s="17" t="str">
        <f>IF(TRIM(Github!D$1327)="TRUE","FALSE","TRUE")</f>
        <v>TRUE</v>
      </c>
      <c r="J1328" s="17"/>
      <c r="K1328" s="17" t="str">
        <f>Github!L$1327</f>
        <v>Array;Dynamic Programming;Greedy;</v>
      </c>
      <c r="L1328" s="17" t="b">
        <f>Github!M$1327</f>
        <v>0</v>
      </c>
      <c r="M1328" s="17" t="str">
        <f>ROUND(Github!N$1327, 2)&amp;"%"</f>
        <v>0%</v>
      </c>
      <c r="N1328" s="17">
        <f>Github!O$1327</f>
        <v>48.17769752</v>
      </c>
      <c r="O1328" s="17">
        <f>Github!P$1327</f>
        <v>52294</v>
      </c>
    </row>
    <row r="1329">
      <c r="A1329" s="17">
        <f>Github!J$1328</f>
        <v>1327</v>
      </c>
      <c r="B1329" s="27" t="str">
        <f>HYPERLINK(CONCAT("http://leetcode.com/problems/",Github!C$1328), Github!B$1328)</f>
        <v>List the Products Ordered in a Period</v>
      </c>
      <c r="C1329" s="17">
        <f>Github!F$1328</f>
        <v>77</v>
      </c>
      <c r="D1329" s="17">
        <f>Github!G$1328</f>
        <v>18</v>
      </c>
      <c r="E1329" s="17">
        <f>Github!F$1328+Github!G$1328</f>
        <v>95</v>
      </c>
      <c r="F1329" s="18">
        <f t="shared" si="1"/>
        <v>4.28</v>
      </c>
      <c r="G1329" s="17" t="str">
        <f>Github!H$1328</f>
        <v>Database</v>
      </c>
      <c r="H1329" s="17" t="str">
        <f>Github!E$1328</f>
        <v>Easy</v>
      </c>
      <c r="I1329" s="17" t="str">
        <f>IF(TRIM(Github!D$1328)="TRUE","FALSE","TRUE")</f>
        <v>FALSE</v>
      </c>
      <c r="J1329" s="17"/>
      <c r="K1329" s="17" t="str">
        <f>Github!L$1328</f>
        <v>Database;</v>
      </c>
      <c r="L1329" s="17" t="b">
        <f>Github!M$1328</f>
        <v>0</v>
      </c>
      <c r="M1329" s="17" t="str">
        <f>ROUND(Github!N$1328, 2)&amp;"%"</f>
        <v>0%</v>
      </c>
      <c r="N1329" s="17">
        <f>Github!O$1328</f>
        <v>77.35082424</v>
      </c>
      <c r="O1329" s="17">
        <f>Github!P$1328</f>
        <v>26652</v>
      </c>
    </row>
    <row r="1330">
      <c r="A1330" s="17">
        <f>Github!J$1329</f>
        <v>1328</v>
      </c>
      <c r="B1330" s="27" t="str">
        <f>HYPERLINK(CONCAT("http://leetcode.com/problems/",Github!C$1329), Github!B$1329)</f>
        <v>Break a Palindrome</v>
      </c>
      <c r="C1330" s="17">
        <f>Github!F$1329</f>
        <v>702</v>
      </c>
      <c r="D1330" s="17">
        <f>Github!G$1329</f>
        <v>429</v>
      </c>
      <c r="E1330" s="17">
        <f>Github!F$1329+Github!G$1329</f>
        <v>1131</v>
      </c>
      <c r="F1330" s="18">
        <f t="shared" si="1"/>
        <v>1.64</v>
      </c>
      <c r="G1330" s="17" t="str">
        <f>Github!H$1329</f>
        <v>Algorithms</v>
      </c>
      <c r="H1330" s="17" t="str">
        <f>Github!E$1329</f>
        <v>Medium</v>
      </c>
      <c r="I1330" s="17" t="str">
        <f>IF(TRIM(Github!D$1329)="TRUE","FALSE","TRUE")</f>
        <v>TRUE</v>
      </c>
      <c r="J1330" s="17"/>
      <c r="K1330" s="17" t="str">
        <f>Github!L$1329</f>
        <v>String;Greedy;</v>
      </c>
      <c r="L1330" s="17" t="b">
        <f>Github!M$1329</f>
        <v>1</v>
      </c>
      <c r="M1330" s="17" t="str">
        <f>ROUND(Github!N$1329, 2)&amp;"%"</f>
        <v>0%</v>
      </c>
      <c r="N1330" s="17">
        <f>Github!O$1329</f>
        <v>52.40777916</v>
      </c>
      <c r="O1330" s="17">
        <f>Github!P$1329</f>
        <v>66049</v>
      </c>
    </row>
    <row r="1331">
      <c r="A1331" s="17">
        <f>Github!J$1330</f>
        <v>1329</v>
      </c>
      <c r="B1331" s="27" t="str">
        <f>HYPERLINK(CONCAT("http://leetcode.com/problems/",Github!C$1330), Github!B$1330)</f>
        <v>Sort the Matrix Diagonally</v>
      </c>
      <c r="C1331" s="17">
        <f>Github!F$1330</f>
        <v>1533</v>
      </c>
      <c r="D1331" s="17">
        <f>Github!G$1330</f>
        <v>173</v>
      </c>
      <c r="E1331" s="17">
        <f>Github!F$1330+Github!G$1330</f>
        <v>1706</v>
      </c>
      <c r="F1331" s="18">
        <f t="shared" si="1"/>
        <v>8.86</v>
      </c>
      <c r="G1331" s="17" t="str">
        <f>Github!H$1330</f>
        <v>Algorithms</v>
      </c>
      <c r="H1331" s="17" t="str">
        <f>Github!E$1330</f>
        <v>Medium</v>
      </c>
      <c r="I1331" s="17" t="str">
        <f>IF(TRIM(Github!D$1330)="TRUE","FALSE","TRUE")</f>
        <v>TRUE</v>
      </c>
      <c r="J1331" s="17"/>
      <c r="K1331" s="17" t="str">
        <f>Github!L$1330</f>
        <v>Array;Sorting;Matrix;</v>
      </c>
      <c r="L1331" s="17" t="b">
        <f>Github!M$1330</f>
        <v>1</v>
      </c>
      <c r="M1331" s="17" t="str">
        <f>ROUND(Github!N$1330, 2)&amp;"%"</f>
        <v>1%</v>
      </c>
      <c r="N1331" s="17">
        <f>Github!O$1330</f>
        <v>81.35463233</v>
      </c>
      <c r="O1331" s="17">
        <f>Github!P$1330</f>
        <v>80620</v>
      </c>
    </row>
    <row r="1332">
      <c r="A1332" s="17">
        <f>Github!J$1331</f>
        <v>1330</v>
      </c>
      <c r="B1332" s="27" t="str">
        <f>HYPERLINK(CONCAT("http://leetcode.com/problems/",Github!C$1331), Github!B$1331)</f>
        <v>Reverse Subarray To Maximize Array Value</v>
      </c>
      <c r="C1332" s="17">
        <f>Github!F$1331</f>
        <v>318</v>
      </c>
      <c r="D1332" s="17">
        <f>Github!G$1331</f>
        <v>32</v>
      </c>
      <c r="E1332" s="17">
        <f>Github!F$1331+Github!G$1331</f>
        <v>350</v>
      </c>
      <c r="F1332" s="18">
        <f t="shared" si="1"/>
        <v>9.94</v>
      </c>
      <c r="G1332" s="17" t="str">
        <f>Github!H$1331</f>
        <v>Algorithms</v>
      </c>
      <c r="H1332" s="17" t="str">
        <f>Github!E$1331</f>
        <v>Hard</v>
      </c>
      <c r="I1332" s="17" t="str">
        <f>IF(TRIM(Github!D$1331)="TRUE","FALSE","TRUE")</f>
        <v>TRUE</v>
      </c>
      <c r="J1332" s="17"/>
      <c r="K1332" s="17" t="str">
        <f>Github!L$1331</f>
        <v>Array;Math;Greedy;</v>
      </c>
      <c r="L1332" s="17" t="b">
        <f>Github!M$1331</f>
        <v>0</v>
      </c>
      <c r="M1332" s="17" t="str">
        <f>ROUND(Github!N$1331, 2)&amp;"%"</f>
        <v>0%</v>
      </c>
      <c r="N1332" s="17">
        <f>Github!O$1331</f>
        <v>38.79505664</v>
      </c>
      <c r="O1332" s="17">
        <f>Github!P$1331</f>
        <v>3767</v>
      </c>
    </row>
    <row r="1333">
      <c r="A1333" s="17">
        <f>Github!J$1332</f>
        <v>1331</v>
      </c>
      <c r="B1333" s="27" t="str">
        <f>HYPERLINK(CONCAT("http://leetcode.com/problems/",Github!C$1332), Github!B$1332)</f>
        <v>Rank Transform of an Array</v>
      </c>
      <c r="C1333" s="17">
        <f>Github!F$1332</f>
        <v>849</v>
      </c>
      <c r="D1333" s="17">
        <f>Github!G$1332</f>
        <v>54</v>
      </c>
      <c r="E1333" s="17">
        <f>Github!F$1332+Github!G$1332</f>
        <v>903</v>
      </c>
      <c r="F1333" s="18">
        <f t="shared" si="1"/>
        <v>15.72</v>
      </c>
      <c r="G1333" s="17" t="str">
        <f>Github!H$1332</f>
        <v>Algorithms</v>
      </c>
      <c r="H1333" s="17" t="str">
        <f>Github!E$1332</f>
        <v>Easy</v>
      </c>
      <c r="I1333" s="17" t="str">
        <f>IF(TRIM(Github!D$1332)="TRUE","FALSE","TRUE")</f>
        <v>TRUE</v>
      </c>
      <c r="J1333" s="17"/>
      <c r="K1333" s="17" t="str">
        <f>Github!L$1332</f>
        <v>Array;Hash Table;Sorting;</v>
      </c>
      <c r="L1333" s="17" t="b">
        <f>Github!M$1332</f>
        <v>0</v>
      </c>
      <c r="M1333" s="17" t="str">
        <f>ROUND(Github!N$1332, 2)&amp;"%"</f>
        <v>0%</v>
      </c>
      <c r="N1333" s="17">
        <f>Github!O$1332</f>
        <v>58.39354605</v>
      </c>
      <c r="O1333" s="17">
        <f>Github!P$1332</f>
        <v>54792</v>
      </c>
    </row>
    <row r="1334">
      <c r="A1334" s="17">
        <f>Github!J$1333</f>
        <v>1332</v>
      </c>
      <c r="B1334" s="27" t="str">
        <f>HYPERLINK(CONCAT("http://leetcode.com/problems/",Github!C$1333), Github!B$1333)</f>
        <v>Remove Palindromic Subsequences</v>
      </c>
      <c r="C1334" s="17">
        <f>Github!F$1333</f>
        <v>178</v>
      </c>
      <c r="D1334" s="17">
        <f>Github!G$1333</f>
        <v>280</v>
      </c>
      <c r="E1334" s="17">
        <f>Github!F$1333+Github!G$1333</f>
        <v>458</v>
      </c>
      <c r="F1334" s="18">
        <f t="shared" si="1"/>
        <v>0.64</v>
      </c>
      <c r="G1334" s="17" t="str">
        <f>Github!H$1333</f>
        <v>Algorithms</v>
      </c>
      <c r="H1334" s="17" t="str">
        <f>Github!E$1333</f>
        <v>Easy</v>
      </c>
      <c r="I1334" s="17" t="str">
        <f>IF(TRIM(Github!D$1333)="TRUE","FALSE","TRUE")</f>
        <v>TRUE</v>
      </c>
      <c r="J1334" s="17"/>
      <c r="K1334" s="17" t="str">
        <f>Github!L$1333</f>
        <v>Two Pointers;String;</v>
      </c>
      <c r="L1334" s="17" t="b">
        <f>Github!M$1333</f>
        <v>1</v>
      </c>
      <c r="M1334" s="17" t="str">
        <f>ROUND(Github!N$1333, 2)&amp;"%"</f>
        <v>0%</v>
      </c>
      <c r="N1334" s="17">
        <f>Github!O$1333</f>
        <v>69.46413828</v>
      </c>
      <c r="O1334" s="17">
        <f>Github!P$1333</f>
        <v>53006</v>
      </c>
    </row>
    <row r="1335">
      <c r="A1335" s="17">
        <f>Github!J$1334</f>
        <v>1333</v>
      </c>
      <c r="B1335" s="27" t="str">
        <f>HYPERLINK(CONCAT("http://leetcode.com/problems/",Github!C$1334), Github!B$1334)</f>
        <v>Filter Restaurants by Vegan-Friendly, Price and Distance</v>
      </c>
      <c r="C1335" s="17">
        <f>Github!F$1334</f>
        <v>200</v>
      </c>
      <c r="D1335" s="17">
        <f>Github!G$1334</f>
        <v>171</v>
      </c>
      <c r="E1335" s="17">
        <f>Github!F$1334+Github!G$1334</f>
        <v>371</v>
      </c>
      <c r="F1335" s="18">
        <f t="shared" si="1"/>
        <v>1.17</v>
      </c>
      <c r="G1335" s="17" t="str">
        <f>Github!H$1334</f>
        <v>Algorithms</v>
      </c>
      <c r="H1335" s="17" t="str">
        <f>Github!E$1334</f>
        <v>Medium</v>
      </c>
      <c r="I1335" s="17" t="str">
        <f>IF(TRIM(Github!D$1334)="TRUE","FALSE","TRUE")</f>
        <v>TRUE</v>
      </c>
      <c r="J1335" s="17"/>
      <c r="K1335" s="17" t="str">
        <f>Github!L$1334</f>
        <v>Array;Sorting;</v>
      </c>
      <c r="L1335" s="17" t="b">
        <f>Github!M$1334</f>
        <v>0</v>
      </c>
      <c r="M1335" s="17" t="str">
        <f>ROUND(Github!N$1334, 2)&amp;"%"</f>
        <v>0%</v>
      </c>
      <c r="N1335" s="17">
        <f>Github!O$1334</f>
        <v>58.6233544</v>
      </c>
      <c r="O1335" s="17">
        <f>Github!P$1334</f>
        <v>21241</v>
      </c>
    </row>
    <row r="1336">
      <c r="A1336" s="17">
        <f>Github!J$1335</f>
        <v>1334</v>
      </c>
      <c r="B1336" s="27" t="str">
        <f>HYPERLINK(CONCAT("http://leetcode.com/problems/",Github!C$1335), Github!B$1335)</f>
        <v>Find the City With the Smallest Number of Neighbors at a Threshold Distance</v>
      </c>
      <c r="C1336" s="17">
        <f>Github!F$1335</f>
        <v>1058</v>
      </c>
      <c r="D1336" s="17">
        <f>Github!G$1335</f>
        <v>56</v>
      </c>
      <c r="E1336" s="17">
        <f>Github!F$1335+Github!G$1335</f>
        <v>1114</v>
      </c>
      <c r="F1336" s="18">
        <f t="shared" si="1"/>
        <v>18.89</v>
      </c>
      <c r="G1336" s="17" t="str">
        <f>Github!H$1335</f>
        <v>Algorithms</v>
      </c>
      <c r="H1336" s="17" t="str">
        <f>Github!E$1335</f>
        <v>Medium</v>
      </c>
      <c r="I1336" s="17" t="str">
        <f>IF(TRIM(Github!D$1335)="TRUE","FALSE","TRUE")</f>
        <v>TRUE</v>
      </c>
      <c r="J1336" s="17"/>
      <c r="K1336" s="17" t="str">
        <f>Github!L$1335</f>
        <v>Dynamic Programming;Graph;Shortest Path;</v>
      </c>
      <c r="L1336" s="17" t="b">
        <f>Github!M$1335</f>
        <v>0</v>
      </c>
      <c r="M1336" s="17" t="str">
        <f>ROUND(Github!N$1335, 2)&amp;"%"</f>
        <v>0%</v>
      </c>
      <c r="N1336" s="17">
        <f>Github!O$1335</f>
        <v>50.84305371</v>
      </c>
      <c r="O1336" s="17">
        <f>Github!P$1335</f>
        <v>36396</v>
      </c>
    </row>
    <row r="1337">
      <c r="A1337" s="17">
        <f>Github!J$1336</f>
        <v>1335</v>
      </c>
      <c r="B1337" s="27" t="str">
        <f>HYPERLINK(CONCAT("http://leetcode.com/problems/",Github!C$1336), Github!B$1336)</f>
        <v>Minimum Difficulty of a Job Schedule</v>
      </c>
      <c r="C1337" s="17">
        <f>Github!F$1336</f>
        <v>1171</v>
      </c>
      <c r="D1337" s="17">
        <f>Github!G$1336</f>
        <v>136</v>
      </c>
      <c r="E1337" s="17">
        <f>Github!F$1336+Github!G$1336</f>
        <v>1307</v>
      </c>
      <c r="F1337" s="18">
        <f t="shared" si="1"/>
        <v>8.61</v>
      </c>
      <c r="G1337" s="17" t="str">
        <f>Github!H$1336</f>
        <v>Algorithms</v>
      </c>
      <c r="H1337" s="17" t="str">
        <f>Github!E$1336</f>
        <v>Hard</v>
      </c>
      <c r="I1337" s="17" t="str">
        <f>IF(TRIM(Github!D$1336)="TRUE","FALSE","TRUE")</f>
        <v>TRUE</v>
      </c>
      <c r="J1337" s="17"/>
      <c r="K1337" s="17" t="str">
        <f>Github!L$1336</f>
        <v>Array;Dynamic Programming;</v>
      </c>
      <c r="L1337" s="17" t="b">
        <f>Github!M$1336</f>
        <v>0</v>
      </c>
      <c r="M1337" s="17" t="str">
        <f>ROUND(Github!N$1336, 2)&amp;"%"</f>
        <v>0%</v>
      </c>
      <c r="N1337" s="17">
        <f>Github!O$1336</f>
        <v>56.76557838</v>
      </c>
      <c r="O1337" s="17">
        <f>Github!P$1336</f>
        <v>64870</v>
      </c>
    </row>
    <row r="1338">
      <c r="A1338" s="17">
        <f>Github!J$1337</f>
        <v>1336</v>
      </c>
      <c r="B1338" s="27" t="str">
        <f>HYPERLINK(CONCAT("http://leetcode.com/problems/",Github!C$1337), Github!B$1337)</f>
        <v>Number of Transactions per Visit</v>
      </c>
      <c r="C1338" s="17">
        <f>Github!F$1337</f>
        <v>57</v>
      </c>
      <c r="D1338" s="17">
        <f>Github!G$1337</f>
        <v>235</v>
      </c>
      <c r="E1338" s="17">
        <f>Github!F$1337+Github!G$1337</f>
        <v>292</v>
      </c>
      <c r="F1338" s="18">
        <f t="shared" si="1"/>
        <v>0.24</v>
      </c>
      <c r="G1338" s="17" t="str">
        <f>Github!H$1337</f>
        <v>Database</v>
      </c>
      <c r="H1338" s="17" t="str">
        <f>Github!E$1337</f>
        <v>Hard</v>
      </c>
      <c r="I1338" s="17" t="str">
        <f>IF(TRIM(Github!D$1337)="TRUE","FALSE","TRUE")</f>
        <v>FALSE</v>
      </c>
      <c r="J1338" s="17"/>
      <c r="K1338" s="17" t="str">
        <f>Github!L$1337</f>
        <v>Database;</v>
      </c>
      <c r="L1338" s="17" t="b">
        <f>Github!M$1337</f>
        <v>0</v>
      </c>
      <c r="M1338" s="17" t="str">
        <f>ROUND(Github!N$1337, 2)&amp;"%"</f>
        <v>0%</v>
      </c>
      <c r="N1338" s="17">
        <f>Github!O$1337</f>
        <v>51.25121477</v>
      </c>
      <c r="O1338" s="17">
        <f>Github!P$1337</f>
        <v>8438</v>
      </c>
    </row>
    <row r="1339">
      <c r="A1339" s="17">
        <f>Github!J$1338</f>
        <v>1337</v>
      </c>
      <c r="B1339" s="27" t="str">
        <f>HYPERLINK(CONCAT("http://leetcode.com/problems/",Github!C$1338), Github!B$1338)</f>
        <v>The K Weakest Rows in a Matrix</v>
      </c>
      <c r="C1339" s="17">
        <f>Github!F$1338</f>
        <v>1481</v>
      </c>
      <c r="D1339" s="17">
        <f>Github!G$1338</f>
        <v>88</v>
      </c>
      <c r="E1339" s="17">
        <f>Github!F$1338+Github!G$1338</f>
        <v>1569</v>
      </c>
      <c r="F1339" s="18">
        <f t="shared" si="1"/>
        <v>16.83</v>
      </c>
      <c r="G1339" s="17" t="str">
        <f>Github!H$1338</f>
        <v>Algorithms</v>
      </c>
      <c r="H1339" s="17" t="str">
        <f>Github!E$1338</f>
        <v>Easy</v>
      </c>
      <c r="I1339" s="17" t="str">
        <f>IF(TRIM(Github!D$1338)="TRUE","FALSE","TRUE")</f>
        <v>TRUE</v>
      </c>
      <c r="J1339" s="17"/>
      <c r="K1339" s="17" t="str">
        <f>Github!L$1338</f>
        <v>Array;Binary Search;Sorting;Heap (Priority Queue);Matrix;</v>
      </c>
      <c r="L1339" s="17" t="b">
        <f>Github!M$1338</f>
        <v>1</v>
      </c>
      <c r="M1339" s="17" t="str">
        <f>ROUND(Github!N$1338, 2)&amp;"%"</f>
        <v>0%</v>
      </c>
      <c r="N1339" s="17">
        <f>Github!O$1338</f>
        <v>72.22260463</v>
      </c>
      <c r="O1339" s="17">
        <f>Github!P$1338</f>
        <v>104923</v>
      </c>
    </row>
    <row r="1340">
      <c r="A1340" s="17">
        <f>Github!J$1339</f>
        <v>1338</v>
      </c>
      <c r="B1340" s="27" t="str">
        <f>HYPERLINK(CONCAT("http://leetcode.com/problems/",Github!C$1339), Github!B$1339)</f>
        <v>Reduce Array Size to The Half</v>
      </c>
      <c r="C1340" s="17">
        <f>Github!F$1339</f>
        <v>1180</v>
      </c>
      <c r="D1340" s="17">
        <f>Github!G$1339</f>
        <v>81</v>
      </c>
      <c r="E1340" s="17">
        <f>Github!F$1339+Github!G$1339</f>
        <v>1261</v>
      </c>
      <c r="F1340" s="18">
        <f t="shared" si="1"/>
        <v>14.57</v>
      </c>
      <c r="G1340" s="17" t="str">
        <f>Github!H$1339</f>
        <v>Algorithms</v>
      </c>
      <c r="H1340" s="17" t="str">
        <f>Github!E$1339</f>
        <v>Medium</v>
      </c>
      <c r="I1340" s="17" t="str">
        <f>IF(TRIM(Github!D$1339)="TRUE","FALSE","TRUE")</f>
        <v>TRUE</v>
      </c>
      <c r="J1340" s="17"/>
      <c r="K1340" s="17" t="str">
        <f>Github!L$1339</f>
        <v>Array;Hash Table;Greedy;Sorting;Heap (Priority Queue);</v>
      </c>
      <c r="L1340" s="17" t="b">
        <f>Github!M$1339</f>
        <v>1</v>
      </c>
      <c r="M1340" s="17" t="str">
        <f>ROUND(Github!N$1339, 2)&amp;"%"</f>
        <v>0%</v>
      </c>
      <c r="N1340" s="17">
        <f>Github!O$1339</f>
        <v>68.45387686</v>
      </c>
      <c r="O1340" s="17">
        <f>Github!P$1339</f>
        <v>81443</v>
      </c>
    </row>
    <row r="1341">
      <c r="A1341" s="17">
        <f>Github!J$1340</f>
        <v>1339</v>
      </c>
      <c r="B1341" s="27" t="str">
        <f>HYPERLINK(CONCAT("http://leetcode.com/problems/",Github!C$1340), Github!B$1340)</f>
        <v>Maximum Product of Splitted Binary Tree</v>
      </c>
      <c r="C1341" s="17">
        <f>Github!F$1340</f>
        <v>1182</v>
      </c>
      <c r="D1341" s="17">
        <f>Github!G$1340</f>
        <v>52</v>
      </c>
      <c r="E1341" s="17">
        <f>Github!F$1340+Github!G$1340</f>
        <v>1234</v>
      </c>
      <c r="F1341" s="18">
        <f t="shared" si="1"/>
        <v>22.73</v>
      </c>
      <c r="G1341" s="17" t="str">
        <f>Github!H$1340</f>
        <v>Algorithms</v>
      </c>
      <c r="H1341" s="17" t="str">
        <f>Github!E$1340</f>
        <v>Medium</v>
      </c>
      <c r="I1341" s="17" t="str">
        <f>IF(TRIM(Github!D$1340)="TRUE","FALSE","TRUE")</f>
        <v>TRUE</v>
      </c>
      <c r="J1341" s="17"/>
      <c r="K1341" s="17" t="str">
        <f>Github!L$1340</f>
        <v>Tree;Depth-First Search;Binary Tree;</v>
      </c>
      <c r="L1341" s="17" t="b">
        <f>Github!M$1340</f>
        <v>1</v>
      </c>
      <c r="M1341" s="17" t="str">
        <f>ROUND(Github!N$1340, 2)&amp;"%"</f>
        <v>0%</v>
      </c>
      <c r="N1341" s="17">
        <f>Github!O$1340</f>
        <v>42.83791819</v>
      </c>
      <c r="O1341" s="17">
        <f>Github!P$1340</f>
        <v>54751</v>
      </c>
    </row>
    <row r="1342">
      <c r="A1342" s="17">
        <f>Github!J$1341</f>
        <v>1340</v>
      </c>
      <c r="B1342" s="27" t="str">
        <f>HYPERLINK(CONCAT("http://leetcode.com/problems/",Github!C$1341), Github!B$1341)</f>
        <v>Jump Game V</v>
      </c>
      <c r="C1342" s="17">
        <f>Github!F$1341</f>
        <v>615</v>
      </c>
      <c r="D1342" s="17">
        <f>Github!G$1341</f>
        <v>22</v>
      </c>
      <c r="E1342" s="17">
        <f>Github!F$1341+Github!G$1341</f>
        <v>637</v>
      </c>
      <c r="F1342" s="18">
        <f t="shared" si="1"/>
        <v>27.95</v>
      </c>
      <c r="G1342" s="17" t="str">
        <f>Github!H$1341</f>
        <v>Algorithms</v>
      </c>
      <c r="H1342" s="17" t="str">
        <f>Github!E$1341</f>
        <v>Hard</v>
      </c>
      <c r="I1342" s="17" t="str">
        <f>IF(TRIM(Github!D$1341)="TRUE","FALSE","TRUE")</f>
        <v>TRUE</v>
      </c>
      <c r="J1342" s="17"/>
      <c r="K1342" s="17" t="str">
        <f>Github!L$1341</f>
        <v>Array;Dynamic Programming;Sorting;</v>
      </c>
      <c r="L1342" s="17" t="b">
        <f>Github!M$1341</f>
        <v>0</v>
      </c>
      <c r="M1342" s="17" t="str">
        <f>ROUND(Github!N$1341, 2)&amp;"%"</f>
        <v>0%</v>
      </c>
      <c r="N1342" s="17">
        <f>Github!O$1341</f>
        <v>61.95494437</v>
      </c>
      <c r="O1342" s="17">
        <f>Github!P$1341</f>
        <v>17928</v>
      </c>
    </row>
    <row r="1343">
      <c r="A1343" s="17">
        <f>Github!J$1342</f>
        <v>1341</v>
      </c>
      <c r="B1343" s="27" t="str">
        <f>HYPERLINK(CONCAT("http://leetcode.com/problems/",Github!C$1342), Github!B$1342)</f>
        <v>Movie Rating</v>
      </c>
      <c r="C1343" s="17">
        <f>Github!F$1342</f>
        <v>86</v>
      </c>
      <c r="D1343" s="17">
        <f>Github!G$1342</f>
        <v>59</v>
      </c>
      <c r="E1343" s="17">
        <f>Github!F$1342+Github!G$1342</f>
        <v>145</v>
      </c>
      <c r="F1343" s="18">
        <f t="shared" si="1"/>
        <v>1.46</v>
      </c>
      <c r="G1343" s="17" t="str">
        <f>Github!H$1342</f>
        <v>Database</v>
      </c>
      <c r="H1343" s="17" t="str">
        <f>Github!E$1342</f>
        <v>Medium</v>
      </c>
      <c r="I1343" s="17" t="str">
        <f>IF(TRIM(Github!D$1342)="TRUE","FALSE","TRUE")</f>
        <v>FALSE</v>
      </c>
      <c r="J1343" s="17"/>
      <c r="K1343" s="17" t="str">
        <f>Github!L$1342</f>
        <v>Database;</v>
      </c>
      <c r="L1343" s="17" t="b">
        <f>Github!M$1342</f>
        <v>0</v>
      </c>
      <c r="M1343" s="17" t="str">
        <f>ROUND(Github!N$1342, 2)&amp;"%"</f>
        <v>0%</v>
      </c>
      <c r="N1343" s="17">
        <f>Github!O$1342</f>
        <v>57.96398668</v>
      </c>
      <c r="O1343" s="17">
        <f>Github!P$1342</f>
        <v>17930</v>
      </c>
    </row>
    <row r="1344">
      <c r="A1344" s="17">
        <f>Github!J$1343</f>
        <v>1342</v>
      </c>
      <c r="B1344" s="27" t="str">
        <f>HYPERLINK(CONCAT("http://leetcode.com/problems/",Github!C$1343), Github!B$1343)</f>
        <v>Number of Steps to Reduce a Number to Zero</v>
      </c>
      <c r="C1344" s="17">
        <f>Github!F$1343</f>
        <v>1515</v>
      </c>
      <c r="D1344" s="17">
        <f>Github!G$1343</f>
        <v>103</v>
      </c>
      <c r="E1344" s="17">
        <f>Github!F$1343+Github!G$1343</f>
        <v>1618</v>
      </c>
      <c r="F1344" s="18">
        <f t="shared" si="1"/>
        <v>14.71</v>
      </c>
      <c r="G1344" s="17" t="str">
        <f>Github!H$1343</f>
        <v>Algorithms</v>
      </c>
      <c r="H1344" s="17" t="str">
        <f>Github!E$1343</f>
        <v>Easy</v>
      </c>
      <c r="I1344" s="17" t="str">
        <f>IF(TRIM(Github!D$1343)="TRUE","FALSE","TRUE")</f>
        <v>TRUE</v>
      </c>
      <c r="J1344" s="17"/>
      <c r="K1344" s="17" t="str">
        <f>Github!L$1343</f>
        <v>Math;Bit Manipulation;</v>
      </c>
      <c r="L1344" s="17" t="b">
        <f>Github!M$1343</f>
        <v>1</v>
      </c>
      <c r="M1344" s="17" t="str">
        <f>ROUND(Github!N$1343, 2)&amp;"%"</f>
        <v>0%</v>
      </c>
      <c r="N1344" s="17">
        <f>Github!O$1343</f>
        <v>85.70872756</v>
      </c>
      <c r="O1344" s="17">
        <f>Github!P$1343</f>
        <v>242318</v>
      </c>
    </row>
    <row r="1345">
      <c r="A1345" s="17">
        <f>Github!J$1344</f>
        <v>1343</v>
      </c>
      <c r="B1345" s="27" t="str">
        <f>HYPERLINK(CONCAT("http://leetcode.com/problems/",Github!C$1344), Github!B$1344)</f>
        <v>Number of Sub-arrays of Size K and Average Greater than or Equal to Threshold</v>
      </c>
      <c r="C1345" s="17">
        <f>Github!F$1344</f>
        <v>540</v>
      </c>
      <c r="D1345" s="17">
        <f>Github!G$1344</f>
        <v>56</v>
      </c>
      <c r="E1345" s="17">
        <f>Github!F$1344+Github!G$1344</f>
        <v>596</v>
      </c>
      <c r="F1345" s="18">
        <f t="shared" si="1"/>
        <v>9.64</v>
      </c>
      <c r="G1345" s="17" t="str">
        <f>Github!H$1344</f>
        <v>Algorithms</v>
      </c>
      <c r="H1345" s="17" t="str">
        <f>Github!E$1344</f>
        <v>Medium</v>
      </c>
      <c r="I1345" s="17" t="str">
        <f>IF(TRIM(Github!D$1344)="TRUE","FALSE","TRUE")</f>
        <v>TRUE</v>
      </c>
      <c r="J1345" s="17"/>
      <c r="K1345" s="17" t="str">
        <f>Github!L$1344</f>
        <v>Array;Sliding Window;</v>
      </c>
      <c r="L1345" s="17" t="b">
        <f>Github!M$1344</f>
        <v>0</v>
      </c>
      <c r="M1345" s="17" t="str">
        <f>ROUND(Github!N$1344, 2)&amp;"%"</f>
        <v>0%</v>
      </c>
      <c r="N1345" s="17">
        <f>Github!O$1344</f>
        <v>67.86352702</v>
      </c>
      <c r="O1345" s="17">
        <f>Github!P$1344</f>
        <v>30751</v>
      </c>
    </row>
    <row r="1346">
      <c r="A1346" s="17">
        <f>Github!J$1345</f>
        <v>1344</v>
      </c>
      <c r="B1346" s="27" t="str">
        <f>HYPERLINK(CONCAT("http://leetcode.com/problems/",Github!C$1345), Github!B$1345)</f>
        <v>Angle Between Hands of a Clock</v>
      </c>
      <c r="C1346" s="17">
        <f>Github!F$1345</f>
        <v>878</v>
      </c>
      <c r="D1346" s="17">
        <f>Github!G$1345</f>
        <v>182</v>
      </c>
      <c r="E1346" s="17">
        <f>Github!F$1345+Github!G$1345</f>
        <v>1060</v>
      </c>
      <c r="F1346" s="18">
        <f t="shared" si="1"/>
        <v>4.82</v>
      </c>
      <c r="G1346" s="17" t="str">
        <f>Github!H$1345</f>
        <v>Algorithms</v>
      </c>
      <c r="H1346" s="17" t="str">
        <f>Github!E$1345</f>
        <v>Medium</v>
      </c>
      <c r="I1346" s="17" t="str">
        <f>IF(TRIM(Github!D$1345)="TRUE","FALSE","TRUE")</f>
        <v>TRUE</v>
      </c>
      <c r="J1346" s="17"/>
      <c r="K1346" s="17" t="str">
        <f>Github!L$1345</f>
        <v>Math;</v>
      </c>
      <c r="L1346" s="17" t="b">
        <f>Github!M$1345</f>
        <v>1</v>
      </c>
      <c r="M1346" s="17" t="str">
        <f>ROUND(Github!N$1345, 2)&amp;"%"</f>
        <v>0%</v>
      </c>
      <c r="N1346" s="17">
        <f>Github!O$1345</f>
        <v>62.94964029</v>
      </c>
      <c r="O1346" s="17">
        <f>Github!P$1345</f>
        <v>85223</v>
      </c>
    </row>
    <row r="1347">
      <c r="A1347" s="17">
        <f>Github!J$1346</f>
        <v>1345</v>
      </c>
      <c r="B1347" s="27" t="str">
        <f>HYPERLINK(CONCAT("http://leetcode.com/problems/",Github!C$1346), Github!B$1346)</f>
        <v>Jump Game IV</v>
      </c>
      <c r="C1347" s="17">
        <f>Github!F$1346</f>
        <v>1746</v>
      </c>
      <c r="D1347" s="17">
        <f>Github!G$1346</f>
        <v>69</v>
      </c>
      <c r="E1347" s="17">
        <f>Github!F$1346+Github!G$1346</f>
        <v>1815</v>
      </c>
      <c r="F1347" s="18">
        <f t="shared" si="1"/>
        <v>25.3</v>
      </c>
      <c r="G1347" s="17" t="str">
        <f>Github!H$1346</f>
        <v>Algorithms</v>
      </c>
      <c r="H1347" s="17" t="str">
        <f>Github!E$1346</f>
        <v>Hard</v>
      </c>
      <c r="I1347" s="17" t="str">
        <f>IF(TRIM(Github!D$1346)="TRUE","FALSE","TRUE")</f>
        <v>TRUE</v>
      </c>
      <c r="J1347" s="17"/>
      <c r="K1347" s="17" t="str">
        <f>Github!L$1346</f>
        <v>Array;Hash Table;Breadth-First Search;</v>
      </c>
      <c r="L1347" s="17" t="b">
        <f>Github!M$1346</f>
        <v>1</v>
      </c>
      <c r="M1347" s="17" t="str">
        <f>ROUND(Github!N$1346, 2)&amp;"%"</f>
        <v>0%</v>
      </c>
      <c r="N1347" s="17">
        <f>Github!O$1346</f>
        <v>44.39930728</v>
      </c>
      <c r="O1347" s="17">
        <f>Github!P$1346</f>
        <v>68964</v>
      </c>
    </row>
    <row r="1348">
      <c r="A1348" s="17">
        <f>Github!J$1347</f>
        <v>1346</v>
      </c>
      <c r="B1348" s="27" t="str">
        <f>HYPERLINK(CONCAT("http://leetcode.com/problems/",Github!C$1347), Github!B$1347)</f>
        <v>Check If N and Its Double Exist</v>
      </c>
      <c r="C1348" s="17">
        <f>Github!F$1347</f>
        <v>771</v>
      </c>
      <c r="D1348" s="17">
        <f>Github!G$1347</f>
        <v>103</v>
      </c>
      <c r="E1348" s="17">
        <f>Github!F$1347+Github!G$1347</f>
        <v>874</v>
      </c>
      <c r="F1348" s="18">
        <f t="shared" si="1"/>
        <v>7.49</v>
      </c>
      <c r="G1348" s="17" t="str">
        <f>Github!H$1347</f>
        <v>Algorithms</v>
      </c>
      <c r="H1348" s="17" t="str">
        <f>Github!E$1347</f>
        <v>Easy</v>
      </c>
      <c r="I1348" s="17" t="str">
        <f>IF(TRIM(Github!D$1347)="TRUE","FALSE","TRUE")</f>
        <v>TRUE</v>
      </c>
      <c r="J1348" s="17"/>
      <c r="K1348" s="17" t="str">
        <f>Github!L$1347</f>
        <v>Array;Hash Table;Two Pointers;Binary Search;Sorting;</v>
      </c>
      <c r="L1348" s="17" t="b">
        <f>Github!M$1347</f>
        <v>0</v>
      </c>
      <c r="M1348" s="17" t="str">
        <f>ROUND(Github!N$1347, 2)&amp;"%"</f>
        <v>0%</v>
      </c>
      <c r="N1348" s="17">
        <f>Github!O$1347</f>
        <v>35.456627</v>
      </c>
      <c r="O1348" s="17">
        <f>Github!P$1347</f>
        <v>176990</v>
      </c>
    </row>
    <row r="1349">
      <c r="A1349" s="17">
        <f>Github!J$1348</f>
        <v>1347</v>
      </c>
      <c r="B1349" s="27" t="str">
        <f>HYPERLINK(CONCAT("http://leetcode.com/problems/",Github!C$1348), Github!B$1348)</f>
        <v>Minimum Number of Steps to Make Two Strings Anagram</v>
      </c>
      <c r="C1349" s="17">
        <f>Github!F$1348</f>
        <v>1141</v>
      </c>
      <c r="D1349" s="17">
        <f>Github!G$1348</f>
        <v>56</v>
      </c>
      <c r="E1349" s="17">
        <f>Github!F$1348+Github!G$1348</f>
        <v>1197</v>
      </c>
      <c r="F1349" s="18">
        <f t="shared" si="1"/>
        <v>20.38</v>
      </c>
      <c r="G1349" s="17" t="str">
        <f>Github!H$1348</f>
        <v>Algorithms</v>
      </c>
      <c r="H1349" s="17" t="str">
        <f>Github!E$1348</f>
        <v>Medium</v>
      </c>
      <c r="I1349" s="17" t="str">
        <f>IF(TRIM(Github!D$1348)="TRUE","FALSE","TRUE")</f>
        <v>TRUE</v>
      </c>
      <c r="J1349" s="17"/>
      <c r="K1349" s="17" t="str">
        <f>Github!L$1348</f>
        <v>Hash Table;String;Counting;</v>
      </c>
      <c r="L1349" s="17" t="b">
        <f>Github!M$1348</f>
        <v>0</v>
      </c>
      <c r="M1349" s="17" t="str">
        <f>ROUND(Github!N$1348, 2)&amp;"%"</f>
        <v>0%</v>
      </c>
      <c r="N1349" s="17">
        <f>Github!O$1348</f>
        <v>76.1203092</v>
      </c>
      <c r="O1349" s="17">
        <f>Github!P$1348</f>
        <v>83997</v>
      </c>
    </row>
    <row r="1350">
      <c r="A1350" s="17">
        <f>Github!J$1349</f>
        <v>1348</v>
      </c>
      <c r="B1350" s="27" t="str">
        <f>HYPERLINK(CONCAT("http://leetcode.com/problems/",Github!C$1349), Github!B$1349)</f>
        <v>Tweet Counts Per Frequency</v>
      </c>
      <c r="C1350" s="17">
        <f>Github!F$1349</f>
        <v>99</v>
      </c>
      <c r="D1350" s="17">
        <f>Github!G$1349</f>
        <v>184</v>
      </c>
      <c r="E1350" s="17">
        <f>Github!F$1349+Github!G$1349</f>
        <v>283</v>
      </c>
      <c r="F1350" s="18">
        <f t="shared" si="1"/>
        <v>0.54</v>
      </c>
      <c r="G1350" s="17" t="str">
        <f>Github!H$1349</f>
        <v>Algorithms</v>
      </c>
      <c r="H1350" s="17" t="str">
        <f>Github!E$1349</f>
        <v>Medium</v>
      </c>
      <c r="I1350" s="17" t="str">
        <f>IF(TRIM(Github!D$1349)="TRUE","FALSE","TRUE")</f>
        <v>TRUE</v>
      </c>
      <c r="J1350" s="17"/>
      <c r="K1350" s="17" t="str">
        <f>Github!L$1349</f>
        <v>Hash Table;Binary Search;Design;Sorting;Ordered Set;</v>
      </c>
      <c r="L1350" s="17" t="b">
        <f>Github!M$1349</f>
        <v>0</v>
      </c>
      <c r="M1350" s="17" t="str">
        <f>ROUND(Github!N$1349, 2)&amp;"%"</f>
        <v>0%</v>
      </c>
      <c r="N1350" s="17">
        <f>Github!O$1349</f>
        <v>42.74435157</v>
      </c>
      <c r="O1350" s="17">
        <f>Github!P$1349</f>
        <v>25823</v>
      </c>
    </row>
    <row r="1351">
      <c r="A1351" s="17">
        <f>Github!J$1350</f>
        <v>1349</v>
      </c>
      <c r="B1351" s="27" t="str">
        <f>HYPERLINK(CONCAT("http://leetcode.com/problems/",Github!C$1350), Github!B$1350)</f>
        <v>Maximum Students Taking Exam</v>
      </c>
      <c r="C1351" s="17">
        <f>Github!F$1350</f>
        <v>542</v>
      </c>
      <c r="D1351" s="17">
        <f>Github!G$1350</f>
        <v>10</v>
      </c>
      <c r="E1351" s="17">
        <f>Github!F$1350+Github!G$1350</f>
        <v>552</v>
      </c>
      <c r="F1351" s="18">
        <f t="shared" si="1"/>
        <v>54.2</v>
      </c>
      <c r="G1351" s="17" t="str">
        <f>Github!H$1350</f>
        <v>Algorithms</v>
      </c>
      <c r="H1351" s="17" t="str">
        <f>Github!E$1350</f>
        <v>Hard</v>
      </c>
      <c r="I1351" s="17" t="str">
        <f>IF(TRIM(Github!D$1350)="TRUE","FALSE","TRUE")</f>
        <v>TRUE</v>
      </c>
      <c r="J1351" s="17"/>
      <c r="K1351" s="17" t="str">
        <f>Github!L$1350</f>
        <v>Array;Dynamic Programming;Bit Manipulation;Matrix;Bitmask;</v>
      </c>
      <c r="L1351" s="17" t="b">
        <f>Github!M$1350</f>
        <v>0</v>
      </c>
      <c r="M1351" s="17" t="str">
        <f>ROUND(Github!N$1350, 2)&amp;"%"</f>
        <v>0%</v>
      </c>
      <c r="N1351" s="17">
        <f>Github!O$1350</f>
        <v>46.60792527</v>
      </c>
      <c r="O1351" s="17">
        <f>Github!P$1350</f>
        <v>9680</v>
      </c>
    </row>
    <row r="1352">
      <c r="A1352" s="17">
        <f>Github!J$1351</f>
        <v>1350</v>
      </c>
      <c r="B1352" s="27" t="str">
        <f>HYPERLINK(CONCAT("http://leetcode.com/problems/",Github!C$1351), Github!B$1351)</f>
        <v>Students With Invalid Departments</v>
      </c>
      <c r="C1352" s="17">
        <f>Github!F$1351</f>
        <v>126</v>
      </c>
      <c r="D1352" s="17">
        <f>Github!G$1351</f>
        <v>7</v>
      </c>
      <c r="E1352" s="17">
        <f>Github!F$1351+Github!G$1351</f>
        <v>133</v>
      </c>
      <c r="F1352" s="18">
        <f t="shared" si="1"/>
        <v>18</v>
      </c>
      <c r="G1352" s="17" t="str">
        <f>Github!H$1351</f>
        <v>Database</v>
      </c>
      <c r="H1352" s="17" t="str">
        <f>Github!E$1351</f>
        <v>Easy</v>
      </c>
      <c r="I1352" s="17" t="str">
        <f>IF(TRIM(Github!D$1351)="TRUE","FALSE","TRUE")</f>
        <v>FALSE</v>
      </c>
      <c r="J1352" s="17"/>
      <c r="K1352" s="17" t="str">
        <f>Github!L$1351</f>
        <v>Database;</v>
      </c>
      <c r="L1352" s="17" t="b">
        <f>Github!M$1351</f>
        <v>0</v>
      </c>
      <c r="M1352" s="17" t="str">
        <f>ROUND(Github!N$1351, 2)&amp;"%"</f>
        <v>0%</v>
      </c>
      <c r="N1352" s="17">
        <f>Github!O$1351</f>
        <v>90.46170794</v>
      </c>
      <c r="O1352" s="17">
        <f>Github!P$1351</f>
        <v>37775</v>
      </c>
    </row>
    <row r="1353">
      <c r="A1353" s="17">
        <f>Github!J$1352</f>
        <v>1351</v>
      </c>
      <c r="B1353" s="27" t="str">
        <f>HYPERLINK(CONCAT("http://leetcode.com/problems/",Github!C$1352), Github!B$1352)</f>
        <v>Count Negative Numbers in a Sorted Matrix</v>
      </c>
      <c r="C1353" s="17">
        <f>Github!F$1352</f>
        <v>1950</v>
      </c>
      <c r="D1353" s="17">
        <f>Github!G$1352</f>
        <v>68</v>
      </c>
      <c r="E1353" s="17">
        <f>Github!F$1352+Github!G$1352</f>
        <v>2018</v>
      </c>
      <c r="F1353" s="18">
        <f t="shared" si="1"/>
        <v>28.68</v>
      </c>
      <c r="G1353" s="17" t="str">
        <f>Github!H$1352</f>
        <v>Algorithms</v>
      </c>
      <c r="H1353" s="17" t="str">
        <f>Github!E$1352</f>
        <v>Easy</v>
      </c>
      <c r="I1353" s="17" t="str">
        <f>IF(TRIM(Github!D$1352)="TRUE","FALSE","TRUE")</f>
        <v>TRUE</v>
      </c>
      <c r="J1353" s="17"/>
      <c r="K1353" s="17" t="str">
        <f>Github!L$1352</f>
        <v>Array;Binary Search;Matrix;</v>
      </c>
      <c r="L1353" s="17" t="b">
        <f>Github!M$1352</f>
        <v>0</v>
      </c>
      <c r="M1353" s="17" t="str">
        <f>ROUND(Github!N$1352, 2)&amp;"%"</f>
        <v>0%</v>
      </c>
      <c r="N1353" s="17">
        <f>Github!O$1352</f>
        <v>75.14825962</v>
      </c>
      <c r="O1353" s="17">
        <f>Github!P$1352</f>
        <v>160042</v>
      </c>
    </row>
    <row r="1354">
      <c r="A1354" s="17">
        <f>Github!J$1353</f>
        <v>1352</v>
      </c>
      <c r="B1354" s="27" t="str">
        <f>HYPERLINK(CONCAT("http://leetcode.com/problems/",Github!C$1353), Github!B$1353)</f>
        <v>Product of the Last K Numbers</v>
      </c>
      <c r="C1354" s="17">
        <f>Github!F$1353</f>
        <v>843</v>
      </c>
      <c r="D1354" s="17">
        <f>Github!G$1353</f>
        <v>48</v>
      </c>
      <c r="E1354" s="17">
        <f>Github!F$1353+Github!G$1353</f>
        <v>891</v>
      </c>
      <c r="F1354" s="18">
        <f t="shared" si="1"/>
        <v>17.56</v>
      </c>
      <c r="G1354" s="17" t="str">
        <f>Github!H$1353</f>
        <v>Algorithms</v>
      </c>
      <c r="H1354" s="17" t="str">
        <f>Github!E$1353</f>
        <v>Medium</v>
      </c>
      <c r="I1354" s="17" t="str">
        <f>IF(TRIM(Github!D$1353)="TRUE","FALSE","TRUE")</f>
        <v>TRUE</v>
      </c>
      <c r="J1354" s="17"/>
      <c r="K1354" s="17" t="str">
        <f>Github!L$1353</f>
        <v>Array;Math;Design;Queue;Data Stream;</v>
      </c>
      <c r="L1354" s="17" t="b">
        <f>Github!M$1353</f>
        <v>0</v>
      </c>
      <c r="M1354" s="17" t="str">
        <f>ROUND(Github!N$1353, 2)&amp;"%"</f>
        <v>0%</v>
      </c>
      <c r="N1354" s="17">
        <f>Github!O$1353</f>
        <v>47.55219734</v>
      </c>
      <c r="O1354" s="17">
        <f>Github!P$1353</f>
        <v>45185</v>
      </c>
    </row>
    <row r="1355">
      <c r="A1355" s="17">
        <f>Github!J$1354</f>
        <v>1353</v>
      </c>
      <c r="B1355" s="27" t="str">
        <f>HYPERLINK(CONCAT("http://leetcode.com/problems/",Github!C$1354), Github!B$1354)</f>
        <v>Maximum Number of Events That Can Be Attended</v>
      </c>
      <c r="C1355" s="17">
        <f>Github!F$1354</f>
        <v>1667</v>
      </c>
      <c r="D1355" s="17">
        <f>Github!G$1354</f>
        <v>233</v>
      </c>
      <c r="E1355" s="17">
        <f>Github!F$1354+Github!G$1354</f>
        <v>1900</v>
      </c>
      <c r="F1355" s="18">
        <f t="shared" si="1"/>
        <v>7.15</v>
      </c>
      <c r="G1355" s="17" t="str">
        <f>Github!H$1354</f>
        <v>Algorithms</v>
      </c>
      <c r="H1355" s="17" t="str">
        <f>Github!E$1354</f>
        <v>Medium</v>
      </c>
      <c r="I1355" s="17" t="str">
        <f>IF(TRIM(Github!D$1354)="TRUE","FALSE","TRUE")</f>
        <v>TRUE</v>
      </c>
      <c r="J1355" s="17"/>
      <c r="K1355" s="17" t="str">
        <f>Github!L$1354</f>
        <v>Array;Greedy;Heap (Priority Queue);</v>
      </c>
      <c r="L1355" s="17" t="b">
        <f>Github!M$1354</f>
        <v>0</v>
      </c>
      <c r="M1355" s="17" t="str">
        <f>ROUND(Github!N$1354, 2)&amp;"%"</f>
        <v>0%</v>
      </c>
      <c r="N1355" s="17">
        <f>Github!O$1354</f>
        <v>33.32366608</v>
      </c>
      <c r="O1355" s="17">
        <f>Github!P$1354</f>
        <v>51705</v>
      </c>
    </row>
    <row r="1356">
      <c r="A1356" s="17">
        <f>Github!J$1355</f>
        <v>1354</v>
      </c>
      <c r="B1356" s="27" t="str">
        <f>HYPERLINK(CONCAT("http://leetcode.com/problems/",Github!C$1355), Github!B$1355)</f>
        <v>Construct Target Array With Multiple Sums</v>
      </c>
      <c r="C1356" s="17">
        <f>Github!F$1355</f>
        <v>631</v>
      </c>
      <c r="D1356" s="17">
        <f>Github!G$1355</f>
        <v>73</v>
      </c>
      <c r="E1356" s="17">
        <f>Github!F$1355+Github!G$1355</f>
        <v>704</v>
      </c>
      <c r="F1356" s="18">
        <f t="shared" si="1"/>
        <v>8.64</v>
      </c>
      <c r="G1356" s="17" t="str">
        <f>Github!H$1355</f>
        <v>Algorithms</v>
      </c>
      <c r="H1356" s="17" t="str">
        <f>Github!E$1355</f>
        <v>Hard</v>
      </c>
      <c r="I1356" s="17" t="str">
        <f>IF(TRIM(Github!D$1355)="TRUE","FALSE","TRUE")</f>
        <v>TRUE</v>
      </c>
      <c r="J1356" s="17"/>
      <c r="K1356" s="17" t="str">
        <f>Github!L$1355</f>
        <v>Array;Heap (Priority Queue);</v>
      </c>
      <c r="L1356" s="17" t="b">
        <f>Github!M$1355</f>
        <v>1</v>
      </c>
      <c r="M1356" s="17" t="str">
        <f>ROUND(Github!N$1355, 2)&amp;"%"</f>
        <v>0%</v>
      </c>
      <c r="N1356" s="17">
        <f>Github!O$1355</f>
        <v>31.20687297</v>
      </c>
      <c r="O1356" s="17">
        <f>Github!P$1355</f>
        <v>25100</v>
      </c>
    </row>
    <row r="1357">
      <c r="A1357" s="17">
        <f>Github!J$1356</f>
        <v>1355</v>
      </c>
      <c r="B1357" s="27" t="str">
        <f>HYPERLINK(CONCAT("http://leetcode.com/problems/",Github!C$1356), Github!B$1356)</f>
        <v>Activity Participants</v>
      </c>
      <c r="C1357" s="17">
        <f>Github!F$1356</f>
        <v>91</v>
      </c>
      <c r="D1357" s="17">
        <f>Github!G$1356</f>
        <v>34</v>
      </c>
      <c r="E1357" s="17">
        <f>Github!F$1356+Github!G$1356</f>
        <v>125</v>
      </c>
      <c r="F1357" s="18">
        <f t="shared" si="1"/>
        <v>2.68</v>
      </c>
      <c r="G1357" s="17" t="str">
        <f>Github!H$1356</f>
        <v>Database</v>
      </c>
      <c r="H1357" s="17" t="str">
        <f>Github!E$1356</f>
        <v>Medium</v>
      </c>
      <c r="I1357" s="17" t="str">
        <f>IF(TRIM(Github!D$1356)="TRUE","FALSE","TRUE")</f>
        <v>FALSE</v>
      </c>
      <c r="J1357" s="17"/>
      <c r="K1357" s="17" t="str">
        <f>Github!L$1356</f>
        <v>Database;</v>
      </c>
      <c r="L1357" s="17" t="b">
        <f>Github!M$1356</f>
        <v>0</v>
      </c>
      <c r="M1357" s="17" t="str">
        <f>ROUND(Github!N$1356, 2)&amp;"%"</f>
        <v>0%</v>
      </c>
      <c r="N1357" s="17">
        <f>Github!O$1356</f>
        <v>74.49337711</v>
      </c>
      <c r="O1357" s="17">
        <f>Github!P$1356</f>
        <v>19740</v>
      </c>
    </row>
    <row r="1358">
      <c r="A1358" s="17">
        <f>Github!J$1357</f>
        <v>1356</v>
      </c>
      <c r="B1358" s="27" t="str">
        <f>HYPERLINK(CONCAT("http://leetcode.com/problems/",Github!C$1357), Github!B$1357)</f>
        <v>Sort Integers by The Number of 1 Bits</v>
      </c>
      <c r="C1358" s="17">
        <f>Github!F$1357</f>
        <v>914</v>
      </c>
      <c r="D1358" s="17">
        <f>Github!G$1357</f>
        <v>42</v>
      </c>
      <c r="E1358" s="17">
        <f>Github!F$1357+Github!G$1357</f>
        <v>956</v>
      </c>
      <c r="F1358" s="18">
        <f t="shared" si="1"/>
        <v>21.76</v>
      </c>
      <c r="G1358" s="17" t="str">
        <f>Github!H$1357</f>
        <v>Algorithms</v>
      </c>
      <c r="H1358" s="17" t="str">
        <f>Github!E$1357</f>
        <v>Easy</v>
      </c>
      <c r="I1358" s="17" t="str">
        <f>IF(TRIM(Github!D$1357)="TRUE","FALSE","TRUE")</f>
        <v>TRUE</v>
      </c>
      <c r="J1358" s="17"/>
      <c r="K1358" s="17" t="str">
        <f>Github!L$1357</f>
        <v>Array;Bit Manipulation;Sorting;Counting;</v>
      </c>
      <c r="L1358" s="17" t="b">
        <f>Github!M$1357</f>
        <v>0</v>
      </c>
      <c r="M1358" s="17" t="str">
        <f>ROUND(Github!N$1357, 2)&amp;"%"</f>
        <v>0%</v>
      </c>
      <c r="N1358" s="17">
        <f>Github!O$1357</f>
        <v>71.06783979</v>
      </c>
      <c r="O1358" s="17">
        <f>Github!P$1357</f>
        <v>60255</v>
      </c>
    </row>
    <row r="1359">
      <c r="A1359" s="17">
        <f>Github!J$1358</f>
        <v>1357</v>
      </c>
      <c r="B1359" s="27" t="str">
        <f>HYPERLINK(CONCAT("http://leetcode.com/problems/",Github!C$1358), Github!B$1358)</f>
        <v>Apply Discount Every n Orders</v>
      </c>
      <c r="C1359" s="17">
        <f>Github!F$1358</f>
        <v>113</v>
      </c>
      <c r="D1359" s="17">
        <f>Github!G$1358</f>
        <v>156</v>
      </c>
      <c r="E1359" s="17">
        <f>Github!F$1358+Github!G$1358</f>
        <v>269</v>
      </c>
      <c r="F1359" s="18">
        <f t="shared" si="1"/>
        <v>0.72</v>
      </c>
      <c r="G1359" s="17" t="str">
        <f>Github!H$1358</f>
        <v>Algorithms</v>
      </c>
      <c r="H1359" s="17" t="str">
        <f>Github!E$1358</f>
        <v>Medium</v>
      </c>
      <c r="I1359" s="17" t="str">
        <f>IF(TRIM(Github!D$1358)="TRUE","FALSE","TRUE")</f>
        <v>TRUE</v>
      </c>
      <c r="J1359" s="17"/>
      <c r="K1359" s="17" t="str">
        <f>Github!L$1358</f>
        <v>Array;Hash Table;Design;</v>
      </c>
      <c r="L1359" s="17" t="b">
        <f>Github!M$1358</f>
        <v>0</v>
      </c>
      <c r="M1359" s="17" t="str">
        <f>ROUND(Github!N$1358, 2)&amp;"%"</f>
        <v>0%</v>
      </c>
      <c r="N1359" s="17">
        <f>Github!O$1358</f>
        <v>68.70000491</v>
      </c>
      <c r="O1359" s="17">
        <f>Github!P$1358</f>
        <v>13999</v>
      </c>
    </row>
    <row r="1360">
      <c r="A1360" s="17">
        <f>Github!J$1359</f>
        <v>1358</v>
      </c>
      <c r="B1360" s="27" t="str">
        <f>HYPERLINK(CONCAT("http://leetcode.com/problems/",Github!C$1359), Github!B$1359)</f>
        <v>Number of Substrings Containing All Three Characters</v>
      </c>
      <c r="C1360" s="17">
        <f>Github!F$1359</f>
        <v>1321</v>
      </c>
      <c r="D1360" s="17">
        <f>Github!G$1359</f>
        <v>24</v>
      </c>
      <c r="E1360" s="17">
        <f>Github!F$1359+Github!G$1359</f>
        <v>1345</v>
      </c>
      <c r="F1360" s="18">
        <f t="shared" si="1"/>
        <v>55.04</v>
      </c>
      <c r="G1360" s="17" t="str">
        <f>Github!H$1359</f>
        <v>Algorithms</v>
      </c>
      <c r="H1360" s="17" t="str">
        <f>Github!E$1359</f>
        <v>Medium</v>
      </c>
      <c r="I1360" s="17" t="str">
        <f>IF(TRIM(Github!D$1359)="TRUE","FALSE","TRUE")</f>
        <v>TRUE</v>
      </c>
      <c r="J1360" s="17"/>
      <c r="K1360" s="17" t="str">
        <f>Github!L$1359</f>
        <v>Hash Table;String;Sliding Window;</v>
      </c>
      <c r="L1360" s="17" t="b">
        <f>Github!M$1359</f>
        <v>0</v>
      </c>
      <c r="M1360" s="17" t="str">
        <f>ROUND(Github!N$1359, 2)&amp;"%"</f>
        <v>0%</v>
      </c>
      <c r="N1360" s="17">
        <f>Github!O$1359</f>
        <v>62.09675965</v>
      </c>
      <c r="O1360" s="17">
        <f>Github!P$1359</f>
        <v>34437</v>
      </c>
    </row>
    <row r="1361">
      <c r="A1361" s="17">
        <f>Github!J$1360</f>
        <v>1359</v>
      </c>
      <c r="B1361" s="27" t="str">
        <f>HYPERLINK(CONCAT("http://leetcode.com/problems/",Github!C$1360), Github!B$1360)</f>
        <v>Count All Valid Pickup and Delivery Options</v>
      </c>
      <c r="C1361" s="17">
        <f>Github!F$1360</f>
        <v>1462</v>
      </c>
      <c r="D1361" s="17">
        <f>Github!G$1360</f>
        <v>132</v>
      </c>
      <c r="E1361" s="17">
        <f>Github!F$1360+Github!G$1360</f>
        <v>1594</v>
      </c>
      <c r="F1361" s="18">
        <f t="shared" si="1"/>
        <v>11.08</v>
      </c>
      <c r="G1361" s="17" t="str">
        <f>Github!H$1360</f>
        <v>Algorithms</v>
      </c>
      <c r="H1361" s="17" t="str">
        <f>Github!E$1360</f>
        <v>Hard</v>
      </c>
      <c r="I1361" s="17" t="str">
        <f>IF(TRIM(Github!D$1360)="TRUE","FALSE","TRUE")</f>
        <v>TRUE</v>
      </c>
      <c r="J1361" s="17"/>
      <c r="K1361" s="17" t="str">
        <f>Github!L$1360</f>
        <v>Math;Dynamic Programming;Combinatorics;</v>
      </c>
      <c r="L1361" s="17" t="b">
        <f>Github!M$1360</f>
        <v>1</v>
      </c>
      <c r="M1361" s="17" t="str">
        <f>ROUND(Github!N$1360, 2)&amp;"%"</f>
        <v>0%</v>
      </c>
      <c r="N1361" s="17">
        <f>Github!O$1360</f>
        <v>63.31883873</v>
      </c>
      <c r="O1361" s="17">
        <f>Github!P$1360</f>
        <v>49508</v>
      </c>
    </row>
    <row r="1362">
      <c r="A1362" s="17">
        <f>Github!J$1361</f>
        <v>1360</v>
      </c>
      <c r="B1362" s="27" t="str">
        <f>HYPERLINK(CONCAT("http://leetcode.com/problems/",Github!C$1361), Github!B$1361)</f>
        <v>Number of Days Between Two Dates</v>
      </c>
      <c r="C1362" s="17">
        <f>Github!F$1361</f>
        <v>178</v>
      </c>
      <c r="D1362" s="17">
        <f>Github!G$1361</f>
        <v>770</v>
      </c>
      <c r="E1362" s="17">
        <f>Github!F$1361+Github!G$1361</f>
        <v>948</v>
      </c>
      <c r="F1362" s="18">
        <f t="shared" si="1"/>
        <v>0.23</v>
      </c>
      <c r="G1362" s="17" t="str">
        <f>Github!H$1361</f>
        <v>Algorithms</v>
      </c>
      <c r="H1362" s="17" t="str">
        <f>Github!E$1361</f>
        <v>Easy</v>
      </c>
      <c r="I1362" s="17" t="str">
        <f>IF(TRIM(Github!D$1361)="TRUE","FALSE","TRUE")</f>
        <v>TRUE</v>
      </c>
      <c r="J1362" s="17"/>
      <c r="K1362" s="17" t="str">
        <f>Github!L$1361</f>
        <v>Math;String;</v>
      </c>
      <c r="L1362" s="17" t="b">
        <f>Github!M$1361</f>
        <v>0</v>
      </c>
      <c r="M1362" s="17" t="str">
        <f>ROUND(Github!N$1361, 2)&amp;"%"</f>
        <v>0%</v>
      </c>
      <c r="N1362" s="17">
        <f>Github!O$1361</f>
        <v>46.70113369</v>
      </c>
      <c r="O1362" s="17">
        <f>Github!P$1361</f>
        <v>27641</v>
      </c>
    </row>
    <row r="1363">
      <c r="A1363" s="17">
        <f>Github!J$1362</f>
        <v>1361</v>
      </c>
      <c r="B1363" s="27" t="str">
        <f>HYPERLINK(CONCAT("http://leetcode.com/problems/",Github!C$1362), Github!B$1362)</f>
        <v>Validate Binary Tree Nodes</v>
      </c>
      <c r="C1363" s="17">
        <f>Github!F$1362</f>
        <v>711</v>
      </c>
      <c r="D1363" s="17">
        <f>Github!G$1362</f>
        <v>240</v>
      </c>
      <c r="E1363" s="17">
        <f>Github!F$1362+Github!G$1362</f>
        <v>951</v>
      </c>
      <c r="F1363" s="18">
        <f t="shared" si="1"/>
        <v>2.96</v>
      </c>
      <c r="G1363" s="17" t="str">
        <f>Github!H$1362</f>
        <v>Algorithms</v>
      </c>
      <c r="H1363" s="17" t="str">
        <f>Github!E$1362</f>
        <v>Medium</v>
      </c>
      <c r="I1363" s="17" t="str">
        <f>IF(TRIM(Github!D$1362)="TRUE","FALSE","TRUE")</f>
        <v>TRUE</v>
      </c>
      <c r="J1363" s="17"/>
      <c r="K1363" s="17" t="str">
        <f>Github!L$1362</f>
        <v>Tree;Depth-First Search;Breadth-First Search;Union Find;Graph;Binary Tree;</v>
      </c>
      <c r="L1363" s="17" t="b">
        <f>Github!M$1362</f>
        <v>0</v>
      </c>
      <c r="M1363" s="17" t="str">
        <f>ROUND(Github!N$1362, 2)&amp;"%"</f>
        <v>0%</v>
      </c>
      <c r="N1363" s="17">
        <f>Github!O$1362</f>
        <v>41.59782703</v>
      </c>
      <c r="O1363" s="17">
        <f>Github!P$1362</f>
        <v>33385</v>
      </c>
    </row>
    <row r="1364">
      <c r="A1364" s="17">
        <f>Github!J$1363</f>
        <v>1362</v>
      </c>
      <c r="B1364" s="27" t="str">
        <f>HYPERLINK(CONCAT("http://leetcode.com/problems/",Github!C$1363), Github!B$1363)</f>
        <v>Closest Divisors</v>
      </c>
      <c r="C1364" s="17">
        <f>Github!F$1363</f>
        <v>175</v>
      </c>
      <c r="D1364" s="17">
        <f>Github!G$1363</f>
        <v>80</v>
      </c>
      <c r="E1364" s="17">
        <f>Github!F$1363+Github!G$1363</f>
        <v>255</v>
      </c>
      <c r="F1364" s="18">
        <f t="shared" si="1"/>
        <v>2.19</v>
      </c>
      <c r="G1364" s="17" t="str">
        <f>Github!H$1363</f>
        <v>Algorithms</v>
      </c>
      <c r="H1364" s="17" t="str">
        <f>Github!E$1363</f>
        <v>Medium</v>
      </c>
      <c r="I1364" s="17" t="str">
        <f>IF(TRIM(Github!D$1363)="TRUE","FALSE","TRUE")</f>
        <v>TRUE</v>
      </c>
      <c r="J1364" s="17"/>
      <c r="K1364" s="17" t="str">
        <f>Github!L$1363</f>
        <v>Math;</v>
      </c>
      <c r="L1364" s="17" t="b">
        <f>Github!M$1363</f>
        <v>0</v>
      </c>
      <c r="M1364" s="17" t="str">
        <f>ROUND(Github!N$1363, 2)&amp;"%"</f>
        <v>0%</v>
      </c>
      <c r="N1364" s="17">
        <f>Github!O$1363</f>
        <v>59.10331384</v>
      </c>
      <c r="O1364" s="17">
        <f>Github!P$1363</f>
        <v>15160</v>
      </c>
    </row>
    <row r="1365">
      <c r="A1365" s="17">
        <f>Github!J$1364</f>
        <v>1363</v>
      </c>
      <c r="B1365" s="27" t="str">
        <f>HYPERLINK(CONCAT("http://leetcode.com/problems/",Github!C$1364), Github!B$1364)</f>
        <v>Largest Multiple of Three</v>
      </c>
      <c r="C1365" s="17">
        <f>Github!F$1364</f>
        <v>373</v>
      </c>
      <c r="D1365" s="17">
        <f>Github!G$1364</f>
        <v>53</v>
      </c>
      <c r="E1365" s="17">
        <f>Github!F$1364+Github!G$1364</f>
        <v>426</v>
      </c>
      <c r="F1365" s="18">
        <f t="shared" si="1"/>
        <v>7.04</v>
      </c>
      <c r="G1365" s="17" t="str">
        <f>Github!H$1364</f>
        <v>Algorithms</v>
      </c>
      <c r="H1365" s="17" t="str">
        <f>Github!E$1364</f>
        <v>Hard</v>
      </c>
      <c r="I1365" s="17" t="str">
        <f>IF(TRIM(Github!D$1364)="TRUE","FALSE","TRUE")</f>
        <v>TRUE</v>
      </c>
      <c r="J1365" s="17"/>
      <c r="K1365" s="17" t="str">
        <f>Github!L$1364</f>
        <v>Array;Dynamic Programming;Greedy;</v>
      </c>
      <c r="L1365" s="17" t="b">
        <f>Github!M$1364</f>
        <v>0</v>
      </c>
      <c r="M1365" s="17" t="str">
        <f>ROUND(Github!N$1364, 2)&amp;"%"</f>
        <v>0%</v>
      </c>
      <c r="N1365" s="17">
        <f>Github!O$1364</f>
        <v>34.33369336</v>
      </c>
      <c r="O1365" s="17">
        <f>Github!P$1364</f>
        <v>13351</v>
      </c>
    </row>
    <row r="1366">
      <c r="A1366" s="17">
        <f>Github!J$1365</f>
        <v>1364</v>
      </c>
      <c r="B1366" s="27" t="str">
        <f>HYPERLINK(CONCAT("http://leetcode.com/problems/",Github!C$1365), Github!B$1365)</f>
        <v>Number of Trusted Contacts of a Customer</v>
      </c>
      <c r="C1366" s="17">
        <f>Github!F$1365</f>
        <v>52</v>
      </c>
      <c r="D1366" s="17">
        <f>Github!G$1365</f>
        <v>265</v>
      </c>
      <c r="E1366" s="17">
        <f>Github!F$1365+Github!G$1365</f>
        <v>317</v>
      </c>
      <c r="F1366" s="18">
        <f t="shared" si="1"/>
        <v>0.2</v>
      </c>
      <c r="G1366" s="17" t="str">
        <f>Github!H$1365</f>
        <v>Database</v>
      </c>
      <c r="H1366" s="17" t="str">
        <f>Github!E$1365</f>
        <v>Medium</v>
      </c>
      <c r="I1366" s="17" t="str">
        <f>IF(TRIM(Github!D$1365)="TRUE","FALSE","TRUE")</f>
        <v>FALSE</v>
      </c>
      <c r="J1366" s="17"/>
      <c r="K1366" s="17" t="str">
        <f>Github!L$1365</f>
        <v>Database;</v>
      </c>
      <c r="L1366" s="17" t="b">
        <f>Github!M$1365</f>
        <v>0</v>
      </c>
      <c r="M1366" s="17" t="str">
        <f>ROUND(Github!N$1365, 2)&amp;"%"</f>
        <v>0%</v>
      </c>
      <c r="N1366" s="17">
        <f>Github!O$1365</f>
        <v>78.57142857</v>
      </c>
      <c r="O1366" s="17">
        <f>Github!P$1365</f>
        <v>12386</v>
      </c>
    </row>
    <row r="1367">
      <c r="A1367" s="17">
        <f>Github!J$1366</f>
        <v>1365</v>
      </c>
      <c r="B1367" s="27" t="str">
        <f>HYPERLINK(CONCAT("http://leetcode.com/problems/",Github!C$1366), Github!B$1366)</f>
        <v>How Many Numbers Are Smaller Than the Current Number</v>
      </c>
      <c r="C1367" s="17">
        <f>Github!F$1366</f>
        <v>2902</v>
      </c>
      <c r="D1367" s="17">
        <f>Github!G$1366</f>
        <v>60</v>
      </c>
      <c r="E1367" s="17">
        <f>Github!F$1366+Github!G$1366</f>
        <v>2962</v>
      </c>
      <c r="F1367" s="18">
        <f t="shared" si="1"/>
        <v>48.37</v>
      </c>
      <c r="G1367" s="17" t="str">
        <f>Github!H$1366</f>
        <v>Algorithms</v>
      </c>
      <c r="H1367" s="17" t="str">
        <f>Github!E$1366</f>
        <v>Easy</v>
      </c>
      <c r="I1367" s="17" t="str">
        <f>IF(TRIM(Github!D$1366)="TRUE","FALSE","TRUE")</f>
        <v>TRUE</v>
      </c>
      <c r="J1367" s="17"/>
      <c r="K1367" s="17" t="str">
        <f>Github!L$1366</f>
        <v>Array;Hash Table;Sorting;Counting;</v>
      </c>
      <c r="L1367" s="17" t="b">
        <f>Github!M$1366</f>
        <v>0</v>
      </c>
      <c r="M1367" s="17" t="str">
        <f>ROUND(Github!N$1366, 2)&amp;"%"</f>
        <v>0%</v>
      </c>
      <c r="N1367" s="17">
        <f>Github!O$1366</f>
        <v>86.2511645</v>
      </c>
      <c r="O1367" s="17">
        <f>Github!P$1366</f>
        <v>290706</v>
      </c>
    </row>
    <row r="1368">
      <c r="A1368" s="17">
        <f>Github!J$1367</f>
        <v>1366</v>
      </c>
      <c r="B1368" s="27" t="str">
        <f>HYPERLINK(CONCAT("http://leetcode.com/problems/",Github!C$1367), Github!B$1367)</f>
        <v>Rank Teams by Votes</v>
      </c>
      <c r="C1368" s="17">
        <f>Github!F$1367</f>
        <v>750</v>
      </c>
      <c r="D1368" s="17">
        <f>Github!G$1367</f>
        <v>81</v>
      </c>
      <c r="E1368" s="17">
        <f>Github!F$1367+Github!G$1367</f>
        <v>831</v>
      </c>
      <c r="F1368" s="18">
        <f t="shared" si="1"/>
        <v>9.26</v>
      </c>
      <c r="G1368" s="17" t="str">
        <f>Github!H$1367</f>
        <v>Algorithms</v>
      </c>
      <c r="H1368" s="17" t="str">
        <f>Github!E$1367</f>
        <v>Medium</v>
      </c>
      <c r="I1368" s="17" t="str">
        <f>IF(TRIM(Github!D$1367)="TRUE","FALSE","TRUE")</f>
        <v>TRUE</v>
      </c>
      <c r="J1368" s="17"/>
      <c r="K1368" s="17" t="str">
        <f>Github!L$1367</f>
        <v>Array;Hash Table;String;Sorting;Counting;</v>
      </c>
      <c r="L1368" s="17" t="b">
        <f>Github!M$1367</f>
        <v>0</v>
      </c>
      <c r="M1368" s="17" t="str">
        <f>ROUND(Github!N$1367, 2)&amp;"%"</f>
        <v>0%</v>
      </c>
      <c r="N1368" s="17">
        <f>Github!O$1367</f>
        <v>58.7133606</v>
      </c>
      <c r="O1368" s="17">
        <f>Github!P$1367</f>
        <v>34451</v>
      </c>
    </row>
    <row r="1369">
      <c r="A1369" s="17">
        <f>Github!J$1368</f>
        <v>1367</v>
      </c>
      <c r="B1369" s="27" t="str">
        <f>HYPERLINK(CONCAT("http://leetcode.com/problems/",Github!C$1368), Github!B$1368)</f>
        <v>Linked List in Binary Tree</v>
      </c>
      <c r="C1369" s="17">
        <f>Github!F$1368</f>
        <v>1279</v>
      </c>
      <c r="D1369" s="17">
        <f>Github!G$1368</f>
        <v>46</v>
      </c>
      <c r="E1369" s="17">
        <f>Github!F$1368+Github!G$1368</f>
        <v>1325</v>
      </c>
      <c r="F1369" s="18">
        <f t="shared" si="1"/>
        <v>27.8</v>
      </c>
      <c r="G1369" s="17" t="str">
        <f>Github!H$1368</f>
        <v>Algorithms</v>
      </c>
      <c r="H1369" s="17" t="str">
        <f>Github!E$1368</f>
        <v>Medium</v>
      </c>
      <c r="I1369" s="17" t="str">
        <f>IF(TRIM(Github!D$1368)="TRUE","FALSE","TRUE")</f>
        <v>TRUE</v>
      </c>
      <c r="J1369" s="17"/>
      <c r="K1369" s="17" t="str">
        <f>Github!L$1368</f>
        <v>Linked List;Tree;Depth-First Search;Breadth-First Search;Binary Tree;</v>
      </c>
      <c r="L1369" s="17" t="b">
        <f>Github!M$1368</f>
        <v>0</v>
      </c>
      <c r="M1369" s="17" t="str">
        <f>ROUND(Github!N$1368, 2)&amp;"%"</f>
        <v>0%</v>
      </c>
      <c r="N1369" s="17">
        <f>Github!O$1368</f>
        <v>42.4380805</v>
      </c>
      <c r="O1369" s="17">
        <f>Github!P$1368</f>
        <v>43864</v>
      </c>
    </row>
    <row r="1370">
      <c r="A1370" s="17">
        <f>Github!J$1369</f>
        <v>1368</v>
      </c>
      <c r="B1370" s="27" t="str">
        <f>HYPERLINK(CONCAT("http://leetcode.com/problems/",Github!C$1369), Github!B$1369)</f>
        <v>Minimum Cost to Make at Least One Valid Path in a Grid</v>
      </c>
      <c r="C1370" s="17">
        <f>Github!F$1369</f>
        <v>964</v>
      </c>
      <c r="D1370" s="17">
        <f>Github!G$1369</f>
        <v>7</v>
      </c>
      <c r="E1370" s="17">
        <f>Github!F$1369+Github!G$1369</f>
        <v>971</v>
      </c>
      <c r="F1370" s="18">
        <f t="shared" si="1"/>
        <v>137.71</v>
      </c>
      <c r="G1370" s="17" t="str">
        <f>Github!H$1369</f>
        <v>Algorithms</v>
      </c>
      <c r="H1370" s="17" t="str">
        <f>Github!E$1369</f>
        <v>Hard</v>
      </c>
      <c r="I1370" s="17" t="str">
        <f>IF(TRIM(Github!D$1369)="TRUE","FALSE","TRUE")</f>
        <v>TRUE</v>
      </c>
      <c r="J1370" s="17"/>
      <c r="K1370" s="17" t="str">
        <f>Github!L$1369</f>
        <v>Array;Breadth-First Search;Graph;Heap (Priority Queue);Matrix;Shortest Path;</v>
      </c>
      <c r="L1370" s="17" t="b">
        <f>Github!M$1369</f>
        <v>0</v>
      </c>
      <c r="M1370" s="17" t="str">
        <f>ROUND(Github!N$1369, 2)&amp;"%"</f>
        <v>0%</v>
      </c>
      <c r="N1370" s="17">
        <f>Github!O$1369</f>
        <v>60.36807012</v>
      </c>
      <c r="O1370" s="17">
        <f>Github!P$1369</f>
        <v>29063</v>
      </c>
    </row>
    <row r="1371">
      <c r="A1371" s="17">
        <f>Github!J$1370</f>
        <v>1369</v>
      </c>
      <c r="B1371" s="27" t="str">
        <f>HYPERLINK(CONCAT("http://leetcode.com/problems/",Github!C$1370), Github!B$1370)</f>
        <v>Get the Second Most Recent Activity</v>
      </c>
      <c r="C1371" s="17">
        <f>Github!F$1370</f>
        <v>101</v>
      </c>
      <c r="D1371" s="17">
        <f>Github!G$1370</f>
        <v>8</v>
      </c>
      <c r="E1371" s="17">
        <f>Github!F$1370+Github!G$1370</f>
        <v>109</v>
      </c>
      <c r="F1371" s="18">
        <f t="shared" si="1"/>
        <v>12.63</v>
      </c>
      <c r="G1371" s="17" t="str">
        <f>Github!H$1370</f>
        <v>Database</v>
      </c>
      <c r="H1371" s="17" t="str">
        <f>Github!E$1370</f>
        <v>Hard</v>
      </c>
      <c r="I1371" s="17" t="str">
        <f>IF(TRIM(Github!D$1370)="TRUE","FALSE","TRUE")</f>
        <v>FALSE</v>
      </c>
      <c r="J1371" s="17"/>
      <c r="K1371" s="17" t="str">
        <f>Github!L$1370</f>
        <v>Database;</v>
      </c>
      <c r="L1371" s="17" t="b">
        <f>Github!M$1370</f>
        <v>0</v>
      </c>
      <c r="M1371" s="17" t="str">
        <f>ROUND(Github!N$1370, 2)&amp;"%"</f>
        <v>0%</v>
      </c>
      <c r="N1371" s="17">
        <f>Github!O$1370</f>
        <v>68.80469642</v>
      </c>
      <c r="O1371" s="17">
        <f>Github!P$1370</f>
        <v>12658</v>
      </c>
    </row>
    <row r="1372">
      <c r="A1372" s="17">
        <f>Github!J$1371</f>
        <v>1370</v>
      </c>
      <c r="B1372" s="27" t="str">
        <f>HYPERLINK(CONCAT("http://leetcode.com/problems/",Github!C$1371), Github!B$1371)</f>
        <v>Increasing Decreasing String</v>
      </c>
      <c r="C1372" s="17">
        <f>Github!F$1371</f>
        <v>489</v>
      </c>
      <c r="D1372" s="17">
        <f>Github!G$1371</f>
        <v>585</v>
      </c>
      <c r="E1372" s="17">
        <f>Github!F$1371+Github!G$1371</f>
        <v>1074</v>
      </c>
      <c r="F1372" s="18">
        <f t="shared" si="1"/>
        <v>0.84</v>
      </c>
      <c r="G1372" s="17" t="str">
        <f>Github!H$1371</f>
        <v>Algorithms</v>
      </c>
      <c r="H1372" s="17" t="str">
        <f>Github!E$1371</f>
        <v>Easy</v>
      </c>
      <c r="I1372" s="17" t="str">
        <f>IF(TRIM(Github!D$1371)="TRUE","FALSE","TRUE")</f>
        <v>TRUE</v>
      </c>
      <c r="J1372" s="17"/>
      <c r="K1372" s="17" t="str">
        <f>Github!L$1371</f>
        <v>Hash Table;String;Counting;</v>
      </c>
      <c r="L1372" s="17" t="b">
        <f>Github!M$1371</f>
        <v>0</v>
      </c>
      <c r="M1372" s="17" t="str">
        <f>ROUND(Github!N$1371, 2)&amp;"%"</f>
        <v>0%</v>
      </c>
      <c r="N1372" s="17">
        <f>Github!O$1371</f>
        <v>77.73646947</v>
      </c>
      <c r="O1372" s="17">
        <f>Github!P$1371</f>
        <v>52482</v>
      </c>
    </row>
    <row r="1373">
      <c r="A1373" s="17">
        <f>Github!J$1372</f>
        <v>1371</v>
      </c>
      <c r="B1373" s="27" t="str">
        <f>HYPERLINK(CONCAT("http://leetcode.com/problems/",Github!C$1372), Github!B$1372)</f>
        <v>Find the Longest Substring Containing Vowels in Even Counts</v>
      </c>
      <c r="C1373" s="17">
        <f>Github!F$1372</f>
        <v>1054</v>
      </c>
      <c r="D1373" s="17">
        <f>Github!G$1372</f>
        <v>40</v>
      </c>
      <c r="E1373" s="17">
        <f>Github!F$1372+Github!G$1372</f>
        <v>1094</v>
      </c>
      <c r="F1373" s="18">
        <f t="shared" si="1"/>
        <v>26.35</v>
      </c>
      <c r="G1373" s="17" t="str">
        <f>Github!H$1372</f>
        <v>Algorithms</v>
      </c>
      <c r="H1373" s="17" t="str">
        <f>Github!E$1372</f>
        <v>Medium</v>
      </c>
      <c r="I1373" s="17" t="str">
        <f>IF(TRIM(Github!D$1372)="TRUE","FALSE","TRUE")</f>
        <v>TRUE</v>
      </c>
      <c r="J1373" s="17"/>
      <c r="K1373" s="17" t="str">
        <f>Github!L$1372</f>
        <v>Hash Table;String;Bit Manipulation;Prefix Sum;</v>
      </c>
      <c r="L1373" s="17" t="b">
        <f>Github!M$1372</f>
        <v>0</v>
      </c>
      <c r="M1373" s="17" t="str">
        <f>ROUND(Github!N$1372, 2)&amp;"%"</f>
        <v>0%</v>
      </c>
      <c r="N1373" s="17">
        <f>Github!O$1372</f>
        <v>62.34634915</v>
      </c>
      <c r="O1373" s="17">
        <f>Github!P$1372</f>
        <v>17803</v>
      </c>
    </row>
    <row r="1374">
      <c r="A1374" s="17">
        <f>Github!J$1373</f>
        <v>1372</v>
      </c>
      <c r="B1374" s="27" t="str">
        <f>HYPERLINK(CONCAT("http://leetcode.com/problems/",Github!C$1373), Github!B$1373)</f>
        <v>Longest ZigZag Path in a Binary Tree</v>
      </c>
      <c r="C1374" s="17">
        <f>Github!F$1373</f>
        <v>1016</v>
      </c>
      <c r="D1374" s="17">
        <f>Github!G$1373</f>
        <v>20</v>
      </c>
      <c r="E1374" s="17">
        <f>Github!F$1373+Github!G$1373</f>
        <v>1036</v>
      </c>
      <c r="F1374" s="18">
        <f t="shared" si="1"/>
        <v>50.8</v>
      </c>
      <c r="G1374" s="17" t="str">
        <f>Github!H$1373</f>
        <v>Algorithms</v>
      </c>
      <c r="H1374" s="17" t="str">
        <f>Github!E$1373</f>
        <v>Medium</v>
      </c>
      <c r="I1374" s="17" t="str">
        <f>IF(TRIM(Github!D$1373)="TRUE","FALSE","TRUE")</f>
        <v>TRUE</v>
      </c>
      <c r="J1374" s="17"/>
      <c r="K1374" s="17" t="str">
        <f>Github!L$1373</f>
        <v>Dynamic Programming;Tree;Depth-First Search;Binary Tree;</v>
      </c>
      <c r="L1374" s="17" t="b">
        <f>Github!M$1373</f>
        <v>0</v>
      </c>
      <c r="M1374" s="17" t="str">
        <f>ROUND(Github!N$1373, 2)&amp;"%"</f>
        <v>0%</v>
      </c>
      <c r="N1374" s="17">
        <f>Github!O$1373</f>
        <v>57.87808517</v>
      </c>
      <c r="O1374" s="17">
        <f>Github!P$1373</f>
        <v>32194</v>
      </c>
    </row>
    <row r="1375">
      <c r="A1375" s="17">
        <f>Github!J$1374</f>
        <v>1373</v>
      </c>
      <c r="B1375" s="27" t="str">
        <f>HYPERLINK(CONCAT("http://leetcode.com/problems/",Github!C$1374), Github!B$1374)</f>
        <v>Maximum Sum BST in Binary Tree</v>
      </c>
      <c r="C1375" s="17">
        <f>Github!F$1374</f>
        <v>1006</v>
      </c>
      <c r="D1375" s="17">
        <f>Github!G$1374</f>
        <v>117</v>
      </c>
      <c r="E1375" s="17">
        <f>Github!F$1374+Github!G$1374</f>
        <v>1123</v>
      </c>
      <c r="F1375" s="18">
        <f t="shared" si="1"/>
        <v>8.6</v>
      </c>
      <c r="G1375" s="17" t="str">
        <f>Github!H$1374</f>
        <v>Algorithms</v>
      </c>
      <c r="H1375" s="17" t="str">
        <f>Github!E$1374</f>
        <v>Hard</v>
      </c>
      <c r="I1375" s="17" t="str">
        <f>IF(TRIM(Github!D$1374)="TRUE","FALSE","TRUE")</f>
        <v>TRUE</v>
      </c>
      <c r="J1375" s="17"/>
      <c r="K1375" s="17" t="str">
        <f>Github!L$1374</f>
        <v>Dynamic Programming;Tree;Depth-First Search;Binary Search Tree;Binary Tree;</v>
      </c>
      <c r="L1375" s="17" t="b">
        <f>Github!M$1374</f>
        <v>0</v>
      </c>
      <c r="M1375" s="17" t="str">
        <f>ROUND(Github!N$1374, 2)&amp;"%"</f>
        <v>0%</v>
      </c>
      <c r="N1375" s="17">
        <f>Github!O$1374</f>
        <v>38.55197058</v>
      </c>
      <c r="O1375" s="17">
        <f>Github!P$1374</f>
        <v>29776</v>
      </c>
    </row>
    <row r="1376">
      <c r="A1376" s="17">
        <f>Github!J$1375</f>
        <v>1374</v>
      </c>
      <c r="B1376" s="27" t="str">
        <f>HYPERLINK(CONCAT("http://leetcode.com/problems/",Github!C$1375), Github!B$1375)</f>
        <v>Generate a String With Characters That Have Odd Counts</v>
      </c>
      <c r="C1376" s="17">
        <f>Github!F$1375</f>
        <v>293</v>
      </c>
      <c r="D1376" s="17">
        <f>Github!G$1375</f>
        <v>963</v>
      </c>
      <c r="E1376" s="17">
        <f>Github!F$1375+Github!G$1375</f>
        <v>1256</v>
      </c>
      <c r="F1376" s="18">
        <f t="shared" si="1"/>
        <v>0.3</v>
      </c>
      <c r="G1376" s="17" t="str">
        <f>Github!H$1375</f>
        <v>Algorithms</v>
      </c>
      <c r="H1376" s="17" t="str">
        <f>Github!E$1375</f>
        <v>Easy</v>
      </c>
      <c r="I1376" s="17" t="str">
        <f>IF(TRIM(Github!D$1375)="TRUE","FALSE","TRUE")</f>
        <v>TRUE</v>
      </c>
      <c r="J1376" s="17"/>
      <c r="K1376" s="17" t="str">
        <f>Github!L$1375</f>
        <v>String;</v>
      </c>
      <c r="L1376" s="17" t="b">
        <f>Github!M$1375</f>
        <v>0</v>
      </c>
      <c r="M1376" s="17" t="str">
        <f>ROUND(Github!N$1375, 2)&amp;"%"</f>
        <v>0%</v>
      </c>
      <c r="N1376" s="17">
        <f>Github!O$1375</f>
        <v>77.31138379</v>
      </c>
      <c r="O1376" s="17">
        <f>Github!P$1375</f>
        <v>63634</v>
      </c>
    </row>
    <row r="1377">
      <c r="A1377" s="17">
        <f>Github!J$1376</f>
        <v>1375</v>
      </c>
      <c r="B1377" s="27" t="str">
        <f>HYPERLINK(CONCAT("http://leetcode.com/problems/",Github!C$1376), Github!B$1376)</f>
        <v>Number of Times Binary String Is Prefix-Aligned</v>
      </c>
      <c r="C1377" s="17">
        <f>Github!F$1376</f>
        <v>683</v>
      </c>
      <c r="D1377" s="17">
        <f>Github!G$1376</f>
        <v>108</v>
      </c>
      <c r="E1377" s="17">
        <f>Github!F$1376+Github!G$1376</f>
        <v>791</v>
      </c>
      <c r="F1377" s="18">
        <f t="shared" si="1"/>
        <v>6.32</v>
      </c>
      <c r="G1377" s="17" t="str">
        <f>Github!H$1376</f>
        <v>Algorithms</v>
      </c>
      <c r="H1377" s="17" t="str">
        <f>Github!E$1376</f>
        <v>Medium</v>
      </c>
      <c r="I1377" s="17" t="str">
        <f>IF(TRIM(Github!D$1376)="TRUE","FALSE","TRUE")</f>
        <v>TRUE</v>
      </c>
      <c r="J1377" s="17"/>
      <c r="K1377" s="17" t="str">
        <f>Github!L$1376</f>
        <v>Array;</v>
      </c>
      <c r="L1377" s="17" t="b">
        <f>Github!M$1376</f>
        <v>0</v>
      </c>
      <c r="M1377" s="17" t="str">
        <f>ROUND(Github!N$1376, 2)&amp;"%"</f>
        <v>0%</v>
      </c>
      <c r="N1377" s="17">
        <f>Github!O$1376</f>
        <v>65.54957249</v>
      </c>
      <c r="O1377" s="17">
        <f>Github!P$1376</f>
        <v>38101</v>
      </c>
    </row>
    <row r="1378">
      <c r="A1378" s="17">
        <f>Github!J$1377</f>
        <v>1376</v>
      </c>
      <c r="B1378" s="27" t="str">
        <f>HYPERLINK(CONCAT("http://leetcode.com/problems/",Github!C$1377), Github!B$1377)</f>
        <v>Time Needed to Inform All Employees</v>
      </c>
      <c r="C1378" s="17">
        <f>Github!F$1377</f>
        <v>1523</v>
      </c>
      <c r="D1378" s="17">
        <f>Github!G$1377</f>
        <v>89</v>
      </c>
      <c r="E1378" s="17">
        <f>Github!F$1377+Github!G$1377</f>
        <v>1612</v>
      </c>
      <c r="F1378" s="18">
        <f t="shared" si="1"/>
        <v>17.11</v>
      </c>
      <c r="G1378" s="17" t="str">
        <f>Github!H$1377</f>
        <v>Algorithms</v>
      </c>
      <c r="H1378" s="17" t="str">
        <f>Github!E$1377</f>
        <v>Medium</v>
      </c>
      <c r="I1378" s="17" t="str">
        <f>IF(TRIM(Github!D$1377)="TRUE","FALSE","TRUE")</f>
        <v>TRUE</v>
      </c>
      <c r="J1378" s="17"/>
      <c r="K1378" s="17" t="str">
        <f>Github!L$1377</f>
        <v>Tree;Depth-First Search;Breadth-First Search;</v>
      </c>
      <c r="L1378" s="17" t="b">
        <f>Github!M$1377</f>
        <v>0</v>
      </c>
      <c r="M1378" s="17" t="str">
        <f>ROUND(Github!N$1377, 2)&amp;"%"</f>
        <v>0%</v>
      </c>
      <c r="N1378" s="17">
        <f>Github!O$1377</f>
        <v>57.85343294</v>
      </c>
      <c r="O1378" s="17">
        <f>Github!P$1377</f>
        <v>81283</v>
      </c>
    </row>
    <row r="1379">
      <c r="A1379" s="17">
        <f>Github!J$1378</f>
        <v>1377</v>
      </c>
      <c r="B1379" s="27" t="str">
        <f>HYPERLINK(CONCAT("http://leetcode.com/problems/",Github!C$1378), Github!B$1378)</f>
        <v>Frog Position After T Seconds</v>
      </c>
      <c r="C1379" s="17">
        <f>Github!F$1378</f>
        <v>388</v>
      </c>
      <c r="D1379" s="17">
        <f>Github!G$1378</f>
        <v>90</v>
      </c>
      <c r="E1379" s="17">
        <f>Github!F$1378+Github!G$1378</f>
        <v>478</v>
      </c>
      <c r="F1379" s="18">
        <f t="shared" si="1"/>
        <v>4.31</v>
      </c>
      <c r="G1379" s="17" t="str">
        <f>Github!H$1378</f>
        <v>Algorithms</v>
      </c>
      <c r="H1379" s="17" t="str">
        <f>Github!E$1378</f>
        <v>Hard</v>
      </c>
      <c r="I1379" s="17" t="str">
        <f>IF(TRIM(Github!D$1378)="TRUE","FALSE","TRUE")</f>
        <v>TRUE</v>
      </c>
      <c r="J1379" s="17"/>
      <c r="K1379" s="17" t="str">
        <f>Github!L$1378</f>
        <v>Tree;Depth-First Search;Breadth-First Search;Graph;</v>
      </c>
      <c r="L1379" s="17" t="b">
        <f>Github!M$1378</f>
        <v>0</v>
      </c>
      <c r="M1379" s="17" t="str">
        <f>ROUND(Github!N$1378, 2)&amp;"%"</f>
        <v>0%</v>
      </c>
      <c r="N1379" s="17">
        <f>Github!O$1378</f>
        <v>36.25787688</v>
      </c>
      <c r="O1379" s="17">
        <f>Github!P$1378</f>
        <v>18699</v>
      </c>
    </row>
    <row r="1380">
      <c r="A1380" s="17">
        <f>Github!J$1379</f>
        <v>1378</v>
      </c>
      <c r="B1380" s="27" t="str">
        <f>HYPERLINK(CONCAT("http://leetcode.com/problems/",Github!C$1379), Github!B$1379)</f>
        <v>Replace Employee ID With The Unique Identifier</v>
      </c>
      <c r="C1380" s="17">
        <f>Github!F$1379</f>
        <v>58</v>
      </c>
      <c r="D1380" s="17">
        <f>Github!G$1379</f>
        <v>30</v>
      </c>
      <c r="E1380" s="17">
        <f>Github!F$1379+Github!G$1379</f>
        <v>88</v>
      </c>
      <c r="F1380" s="18">
        <f t="shared" si="1"/>
        <v>1.93</v>
      </c>
      <c r="G1380" s="17" t="str">
        <f>Github!H$1379</f>
        <v>Database</v>
      </c>
      <c r="H1380" s="17" t="str">
        <f>Github!E$1379</f>
        <v>Easy</v>
      </c>
      <c r="I1380" s="17" t="str">
        <f>IF(TRIM(Github!D$1379)="TRUE","FALSE","TRUE")</f>
        <v>FALSE</v>
      </c>
      <c r="J1380" s="17"/>
      <c r="K1380" s="17" t="str">
        <f>Github!L$1379</f>
        <v>Database;</v>
      </c>
      <c r="L1380" s="17" t="b">
        <f>Github!M$1379</f>
        <v>0</v>
      </c>
      <c r="M1380" s="17" t="str">
        <f>ROUND(Github!N$1379, 2)&amp;"%"</f>
        <v>0%</v>
      </c>
      <c r="N1380" s="17">
        <f>Github!O$1379</f>
        <v>91.07322639</v>
      </c>
      <c r="O1380" s="17">
        <f>Github!P$1379</f>
        <v>27138</v>
      </c>
    </row>
    <row r="1381">
      <c r="A1381" s="17">
        <f>Github!J$1380</f>
        <v>1379</v>
      </c>
      <c r="B1381" s="27" t="str">
        <f>HYPERLINK(CONCAT("http://leetcode.com/problems/",Github!C$1380), Github!B$1380)</f>
        <v>Find a Corresponding Node of a Binary Tree in a Clone of That Tree</v>
      </c>
      <c r="C1381" s="17">
        <f>Github!F$1380</f>
        <v>693</v>
      </c>
      <c r="D1381" s="17">
        <f>Github!G$1380</f>
        <v>905</v>
      </c>
      <c r="E1381" s="17">
        <f>Github!F$1380+Github!G$1380</f>
        <v>1598</v>
      </c>
      <c r="F1381" s="18">
        <f t="shared" si="1"/>
        <v>0.77</v>
      </c>
      <c r="G1381" s="17" t="str">
        <f>Github!H$1380</f>
        <v>Algorithms</v>
      </c>
      <c r="H1381" s="17" t="str">
        <f>Github!E$1380</f>
        <v>Medium</v>
      </c>
      <c r="I1381" s="17" t="str">
        <f>IF(TRIM(Github!D$1380)="TRUE","FALSE","TRUE")</f>
        <v>TRUE</v>
      </c>
      <c r="J1381" s="17"/>
      <c r="K1381" s="17" t="str">
        <f>Github!L$1380</f>
        <v>Tree;Depth-First Search;Breadth-First Search;Binary Tree;</v>
      </c>
      <c r="L1381" s="17" t="b">
        <f>Github!M$1380</f>
        <v>1</v>
      </c>
      <c r="M1381" s="17" t="str">
        <f>ROUND(Github!N$1380, 2)&amp;"%"</f>
        <v>0%</v>
      </c>
      <c r="N1381" s="17">
        <f>Github!O$1380</f>
        <v>85.42347022</v>
      </c>
      <c r="O1381" s="17">
        <f>Github!P$1380</f>
        <v>99661</v>
      </c>
    </row>
    <row r="1382">
      <c r="A1382" s="17">
        <f>Github!J$1381</f>
        <v>1380</v>
      </c>
      <c r="B1382" s="27" t="str">
        <f>HYPERLINK(CONCAT("http://leetcode.com/problems/",Github!C$1381), Github!B$1381)</f>
        <v>Lucky Numbers in a Matrix</v>
      </c>
      <c r="C1382" s="17">
        <f>Github!F$1381</f>
        <v>870</v>
      </c>
      <c r="D1382" s="17">
        <f>Github!G$1381</f>
        <v>63</v>
      </c>
      <c r="E1382" s="17">
        <f>Github!F$1381+Github!G$1381</f>
        <v>933</v>
      </c>
      <c r="F1382" s="18">
        <f t="shared" si="1"/>
        <v>13.81</v>
      </c>
      <c r="G1382" s="17" t="str">
        <f>Github!H$1381</f>
        <v>Algorithms</v>
      </c>
      <c r="H1382" s="17" t="str">
        <f>Github!E$1381</f>
        <v>Easy</v>
      </c>
      <c r="I1382" s="17" t="str">
        <f>IF(TRIM(Github!D$1381)="TRUE","FALSE","TRUE")</f>
        <v>TRUE</v>
      </c>
      <c r="J1382" s="17"/>
      <c r="K1382" s="17" t="str">
        <f>Github!L$1381</f>
        <v>Array;Matrix;</v>
      </c>
      <c r="L1382" s="17" t="b">
        <f>Github!M$1381</f>
        <v>0</v>
      </c>
      <c r="M1382" s="17" t="str">
        <f>ROUND(Github!N$1381, 2)&amp;"%"</f>
        <v>0%</v>
      </c>
      <c r="N1382" s="17">
        <f>Github!O$1381</f>
        <v>70.93542883</v>
      </c>
      <c r="O1382" s="17">
        <f>Github!P$1381</f>
        <v>61113</v>
      </c>
    </row>
    <row r="1383">
      <c r="A1383" s="17">
        <f>Github!J$1382</f>
        <v>1381</v>
      </c>
      <c r="B1383" s="27" t="str">
        <f>HYPERLINK(CONCAT("http://leetcode.com/problems/",Github!C$1382), Github!B$1382)</f>
        <v>Design a Stack With Increment Operation</v>
      </c>
      <c r="C1383" s="17">
        <f>Github!F$1382</f>
        <v>1049</v>
      </c>
      <c r="D1383" s="17">
        <f>Github!G$1382</f>
        <v>66</v>
      </c>
      <c r="E1383" s="17">
        <f>Github!F$1382+Github!G$1382</f>
        <v>1115</v>
      </c>
      <c r="F1383" s="18">
        <f t="shared" si="1"/>
        <v>15.89</v>
      </c>
      <c r="G1383" s="17" t="str">
        <f>Github!H$1382</f>
        <v>Algorithms</v>
      </c>
      <c r="H1383" s="17" t="str">
        <f>Github!E$1382</f>
        <v>Medium</v>
      </c>
      <c r="I1383" s="17" t="str">
        <f>IF(TRIM(Github!D$1382)="TRUE","FALSE","TRUE")</f>
        <v>TRUE</v>
      </c>
      <c r="J1383" s="17"/>
      <c r="K1383" s="17" t="str">
        <f>Github!L$1382</f>
        <v>Array;Stack;Design;</v>
      </c>
      <c r="L1383" s="17" t="b">
        <f>Github!M$1382</f>
        <v>0</v>
      </c>
      <c r="M1383" s="17" t="str">
        <f>ROUND(Github!N$1382, 2)&amp;"%"</f>
        <v>0%</v>
      </c>
      <c r="N1383" s="17">
        <f>Github!O$1382</f>
        <v>77.05832669</v>
      </c>
      <c r="O1383" s="17">
        <f>Github!P$1382</f>
        <v>64774</v>
      </c>
    </row>
    <row r="1384">
      <c r="A1384" s="17">
        <f>Github!J$1383</f>
        <v>1382</v>
      </c>
      <c r="B1384" s="27" t="str">
        <f>HYPERLINK(CONCAT("http://leetcode.com/problems/",Github!C$1383), Github!B$1383)</f>
        <v>Balance a Binary Search Tree</v>
      </c>
      <c r="C1384" s="17">
        <f>Github!F$1383</f>
        <v>1664</v>
      </c>
      <c r="D1384" s="17">
        <f>Github!G$1383</f>
        <v>54</v>
      </c>
      <c r="E1384" s="17">
        <f>Github!F$1383+Github!G$1383</f>
        <v>1718</v>
      </c>
      <c r="F1384" s="18">
        <f t="shared" si="1"/>
        <v>30.81</v>
      </c>
      <c r="G1384" s="17" t="str">
        <f>Github!H$1383</f>
        <v>Algorithms</v>
      </c>
      <c r="H1384" s="17" t="str">
        <f>Github!E$1383</f>
        <v>Medium</v>
      </c>
      <c r="I1384" s="17" t="str">
        <f>IF(TRIM(Github!D$1383)="TRUE","FALSE","TRUE")</f>
        <v>TRUE</v>
      </c>
      <c r="J1384" s="17"/>
      <c r="K1384" s="17" t="str">
        <f>Github!L$1383</f>
        <v>Divide and Conquer;Greedy;Tree;Depth-First Search;Binary Search Tree;Binary Tree;</v>
      </c>
      <c r="L1384" s="17" t="b">
        <f>Github!M$1383</f>
        <v>0</v>
      </c>
      <c r="M1384" s="17" t="str">
        <f>ROUND(Github!N$1383, 2)&amp;"%"</f>
        <v>0%</v>
      </c>
      <c r="N1384" s="17">
        <f>Github!O$1383</f>
        <v>80.1486409</v>
      </c>
      <c r="O1384" s="17">
        <f>Github!P$1383</f>
        <v>85301</v>
      </c>
    </row>
    <row r="1385">
      <c r="A1385" s="17">
        <f>Github!J$1384</f>
        <v>1383</v>
      </c>
      <c r="B1385" s="27" t="str">
        <f>HYPERLINK(CONCAT("http://leetcode.com/problems/",Github!C$1384), Github!B$1384)</f>
        <v>Maximum Performance of a Team</v>
      </c>
      <c r="C1385" s="17">
        <f>Github!F$1384</f>
        <v>1119</v>
      </c>
      <c r="D1385" s="17">
        <f>Github!G$1384</f>
        <v>39</v>
      </c>
      <c r="E1385" s="17">
        <f>Github!F$1384+Github!G$1384</f>
        <v>1158</v>
      </c>
      <c r="F1385" s="18">
        <f t="shared" si="1"/>
        <v>28.69</v>
      </c>
      <c r="G1385" s="17" t="str">
        <f>Github!H$1384</f>
        <v>Algorithms</v>
      </c>
      <c r="H1385" s="17" t="str">
        <f>Github!E$1384</f>
        <v>Hard</v>
      </c>
      <c r="I1385" s="17" t="str">
        <f>IF(TRIM(Github!D$1384)="TRUE","FALSE","TRUE")</f>
        <v>TRUE</v>
      </c>
      <c r="J1385" s="17"/>
      <c r="K1385" s="17" t="str">
        <f>Github!L$1384</f>
        <v>Array;Greedy;Sorting;Heap (Priority Queue);</v>
      </c>
      <c r="L1385" s="17" t="b">
        <f>Github!M$1384</f>
        <v>1</v>
      </c>
      <c r="M1385" s="17" t="str">
        <f>ROUND(Github!N$1384, 2)&amp;"%"</f>
        <v>0%</v>
      </c>
      <c r="N1385" s="17">
        <f>Github!O$1384</f>
        <v>41.42676299</v>
      </c>
      <c r="O1385" s="17">
        <f>Github!P$1384</f>
        <v>37960</v>
      </c>
    </row>
    <row r="1386">
      <c r="A1386" s="17">
        <f>Github!J$1385</f>
        <v>1384</v>
      </c>
      <c r="B1386" s="27" t="str">
        <f>HYPERLINK(CONCAT("http://leetcode.com/problems/",Github!C$1385), Github!B$1385)</f>
        <v>Total Sales Amount by Year</v>
      </c>
      <c r="C1386" s="17">
        <f>Github!F$1385</f>
        <v>132</v>
      </c>
      <c r="D1386" s="17">
        <f>Github!G$1385</f>
        <v>64</v>
      </c>
      <c r="E1386" s="17">
        <f>Github!F$1385+Github!G$1385</f>
        <v>196</v>
      </c>
      <c r="F1386" s="18">
        <f t="shared" si="1"/>
        <v>2.06</v>
      </c>
      <c r="G1386" s="17" t="str">
        <f>Github!H$1385</f>
        <v>Database</v>
      </c>
      <c r="H1386" s="17" t="str">
        <f>Github!E$1385</f>
        <v>Hard</v>
      </c>
      <c r="I1386" s="17" t="str">
        <f>IF(TRIM(Github!D$1385)="TRUE","FALSE","TRUE")</f>
        <v>FALSE</v>
      </c>
      <c r="J1386" s="17"/>
      <c r="K1386" s="17" t="str">
        <f>Github!L$1385</f>
        <v>Database;</v>
      </c>
      <c r="L1386" s="17" t="b">
        <f>Github!M$1385</f>
        <v>0</v>
      </c>
      <c r="M1386" s="17" t="str">
        <f>ROUND(Github!N$1385, 2)&amp;"%"</f>
        <v>0%</v>
      </c>
      <c r="N1386" s="17">
        <f>Github!O$1385</f>
        <v>65.89067335</v>
      </c>
      <c r="O1386" s="17">
        <f>Github!P$1385</f>
        <v>8944</v>
      </c>
    </row>
    <row r="1387">
      <c r="A1387" s="17">
        <f>Github!J$1386</f>
        <v>1385</v>
      </c>
      <c r="B1387" s="27" t="str">
        <f>HYPERLINK(CONCAT("http://leetcode.com/problems/",Github!C$1386), Github!B$1386)</f>
        <v>Find the Distance Value Between Two Arrays</v>
      </c>
      <c r="C1387" s="17">
        <f>Github!F$1386</f>
        <v>297</v>
      </c>
      <c r="D1387" s="17">
        <f>Github!G$1386</f>
        <v>1162</v>
      </c>
      <c r="E1387" s="17">
        <f>Github!F$1386+Github!G$1386</f>
        <v>1459</v>
      </c>
      <c r="F1387" s="18">
        <f t="shared" si="1"/>
        <v>0.26</v>
      </c>
      <c r="G1387" s="17" t="str">
        <f>Github!H$1386</f>
        <v>Algorithms</v>
      </c>
      <c r="H1387" s="17" t="str">
        <f>Github!E$1386</f>
        <v>Easy</v>
      </c>
      <c r="I1387" s="17" t="str">
        <f>IF(TRIM(Github!D$1386)="TRUE","FALSE","TRUE")</f>
        <v>TRUE</v>
      </c>
      <c r="J1387" s="17"/>
      <c r="K1387" s="17" t="str">
        <f>Github!L$1386</f>
        <v>Array;Two Pointers;Binary Search;Sorting;</v>
      </c>
      <c r="L1387" s="17" t="b">
        <f>Github!M$1386</f>
        <v>0</v>
      </c>
      <c r="M1387" s="17" t="str">
        <f>ROUND(Github!N$1386, 2)&amp;"%"</f>
        <v>0%</v>
      </c>
      <c r="N1387" s="17">
        <f>Github!O$1386</f>
        <v>66.11359285</v>
      </c>
      <c r="O1387" s="17">
        <f>Github!P$1386</f>
        <v>38332</v>
      </c>
    </row>
    <row r="1388">
      <c r="A1388" s="17">
        <f>Github!J$1387</f>
        <v>1386</v>
      </c>
      <c r="B1388" s="27" t="str">
        <f>HYPERLINK(CONCAT("http://leetcode.com/problems/",Github!C$1387), Github!B$1387)</f>
        <v>Cinema Seat Allocation</v>
      </c>
      <c r="C1388" s="17">
        <f>Github!F$1387</f>
        <v>431</v>
      </c>
      <c r="D1388" s="17">
        <f>Github!G$1387</f>
        <v>235</v>
      </c>
      <c r="E1388" s="17">
        <f>Github!F$1387+Github!G$1387</f>
        <v>666</v>
      </c>
      <c r="F1388" s="18">
        <f t="shared" si="1"/>
        <v>1.83</v>
      </c>
      <c r="G1388" s="17" t="str">
        <f>Github!H$1387</f>
        <v>Algorithms</v>
      </c>
      <c r="H1388" s="17" t="str">
        <f>Github!E$1387</f>
        <v>Medium</v>
      </c>
      <c r="I1388" s="17" t="str">
        <f>IF(TRIM(Github!D$1387)="TRUE","FALSE","TRUE")</f>
        <v>TRUE</v>
      </c>
      <c r="J1388" s="17"/>
      <c r="K1388" s="17" t="str">
        <f>Github!L$1387</f>
        <v>Array;Hash Table;Greedy;Bit Manipulation;</v>
      </c>
      <c r="L1388" s="17" t="b">
        <f>Github!M$1387</f>
        <v>0</v>
      </c>
      <c r="M1388" s="17" t="str">
        <f>ROUND(Github!N$1387, 2)&amp;"%"</f>
        <v>0%</v>
      </c>
      <c r="N1388" s="17">
        <f>Github!O$1387</f>
        <v>39.14462097</v>
      </c>
      <c r="O1388" s="17">
        <f>Github!P$1387</f>
        <v>21115</v>
      </c>
    </row>
    <row r="1389">
      <c r="A1389" s="17">
        <f>Github!J$1388</f>
        <v>1387</v>
      </c>
      <c r="B1389" s="27" t="str">
        <f>HYPERLINK(CONCAT("http://leetcode.com/problems/",Github!C$1388), Github!B$1388)</f>
        <v>Sort Integers by The Power Value</v>
      </c>
      <c r="C1389" s="17">
        <f>Github!F$1388</f>
        <v>791</v>
      </c>
      <c r="D1389" s="17">
        <f>Github!G$1388</f>
        <v>89</v>
      </c>
      <c r="E1389" s="17">
        <f>Github!F$1388+Github!G$1388</f>
        <v>880</v>
      </c>
      <c r="F1389" s="18">
        <f t="shared" si="1"/>
        <v>8.89</v>
      </c>
      <c r="G1389" s="17" t="str">
        <f>Github!H$1388</f>
        <v>Algorithms</v>
      </c>
      <c r="H1389" s="17" t="str">
        <f>Github!E$1388</f>
        <v>Medium</v>
      </c>
      <c r="I1389" s="17" t="str">
        <f>IF(TRIM(Github!D$1388)="TRUE","FALSE","TRUE")</f>
        <v>TRUE</v>
      </c>
      <c r="J1389" s="17"/>
      <c r="K1389" s="17" t="str">
        <f>Github!L$1388</f>
        <v>Dynamic Programming;Memoization;Sorting;</v>
      </c>
      <c r="L1389" s="17" t="b">
        <f>Github!M$1388</f>
        <v>0</v>
      </c>
      <c r="M1389" s="17" t="str">
        <f>ROUND(Github!N$1388, 2)&amp;"%"</f>
        <v>0%</v>
      </c>
      <c r="N1389" s="17">
        <f>Github!O$1388</f>
        <v>70.06159476</v>
      </c>
      <c r="O1389" s="17">
        <f>Github!P$1388</f>
        <v>50161</v>
      </c>
    </row>
    <row r="1390">
      <c r="A1390" s="17">
        <f>Github!J$1389</f>
        <v>1388</v>
      </c>
      <c r="B1390" s="27" t="str">
        <f>HYPERLINK(CONCAT("http://leetcode.com/problems/",Github!C$1389), Github!B$1389)</f>
        <v>Pizza With 3n Slices</v>
      </c>
      <c r="C1390" s="17">
        <f>Github!F$1389</f>
        <v>511</v>
      </c>
      <c r="D1390" s="17">
        <f>Github!G$1389</f>
        <v>9</v>
      </c>
      <c r="E1390" s="17">
        <f>Github!F$1389+Github!G$1389</f>
        <v>520</v>
      </c>
      <c r="F1390" s="18">
        <f t="shared" si="1"/>
        <v>56.78</v>
      </c>
      <c r="G1390" s="17" t="str">
        <f>Github!H$1389</f>
        <v>Algorithms</v>
      </c>
      <c r="H1390" s="17" t="str">
        <f>Github!E$1389</f>
        <v>Hard</v>
      </c>
      <c r="I1390" s="17" t="str">
        <f>IF(TRIM(Github!D$1389)="TRUE","FALSE","TRUE")</f>
        <v>TRUE</v>
      </c>
      <c r="J1390" s="17"/>
      <c r="K1390" s="17" t="str">
        <f>Github!L$1389</f>
        <v>Array;Dynamic Programming;Greedy;Heap (Priority Queue);</v>
      </c>
      <c r="L1390" s="17" t="b">
        <f>Github!M$1389</f>
        <v>0</v>
      </c>
      <c r="M1390" s="17" t="str">
        <f>ROUND(Github!N$1389, 2)&amp;"%"</f>
        <v>0%</v>
      </c>
      <c r="N1390" s="17">
        <f>Github!O$1389</f>
        <v>48.39336048</v>
      </c>
      <c r="O1390" s="17">
        <f>Github!P$1389</f>
        <v>7726</v>
      </c>
    </row>
    <row r="1391">
      <c r="A1391" s="17">
        <f>Github!J$1390</f>
        <v>1389</v>
      </c>
      <c r="B1391" s="27" t="str">
        <f>HYPERLINK(CONCAT("http://leetcode.com/problems/",Github!C$1390), Github!B$1390)</f>
        <v>Create Target Array in the Given Order</v>
      </c>
      <c r="C1391" s="17">
        <f>Github!F$1390</f>
        <v>945</v>
      </c>
      <c r="D1391" s="17">
        <f>Github!G$1390</f>
        <v>1112</v>
      </c>
      <c r="E1391" s="17">
        <f>Github!F$1390+Github!G$1390</f>
        <v>2057</v>
      </c>
      <c r="F1391" s="18">
        <f t="shared" si="1"/>
        <v>0.85</v>
      </c>
      <c r="G1391" s="17" t="str">
        <f>Github!H$1390</f>
        <v>Algorithms</v>
      </c>
      <c r="H1391" s="17" t="str">
        <f>Github!E$1390</f>
        <v>Easy</v>
      </c>
      <c r="I1391" s="17" t="str">
        <f>IF(TRIM(Github!D$1390)="TRUE","FALSE","TRUE")</f>
        <v>TRUE</v>
      </c>
      <c r="J1391" s="17"/>
      <c r="K1391" s="17" t="str">
        <f>Github!L$1390</f>
        <v>Array;Simulation;</v>
      </c>
      <c r="L1391" s="17" t="b">
        <f>Github!M$1390</f>
        <v>0</v>
      </c>
      <c r="M1391" s="17" t="str">
        <f>ROUND(Github!N$1390, 2)&amp;"%"</f>
        <v>0%</v>
      </c>
      <c r="N1391" s="17">
        <f>Github!O$1390</f>
        <v>85.52234852</v>
      </c>
      <c r="O1391" s="17">
        <f>Github!P$1390</f>
        <v>135579</v>
      </c>
    </row>
    <row r="1392">
      <c r="A1392" s="17">
        <f>Github!J$1391</f>
        <v>1390</v>
      </c>
      <c r="B1392" s="27" t="str">
        <f>HYPERLINK(CONCAT("http://leetcode.com/problems/",Github!C$1391), Github!B$1391)</f>
        <v>Four Divisors</v>
      </c>
      <c r="C1392" s="17">
        <f>Github!F$1391</f>
        <v>196</v>
      </c>
      <c r="D1392" s="17">
        <f>Github!G$1391</f>
        <v>143</v>
      </c>
      <c r="E1392" s="17">
        <f>Github!F$1391+Github!G$1391</f>
        <v>339</v>
      </c>
      <c r="F1392" s="18">
        <f t="shared" si="1"/>
        <v>1.37</v>
      </c>
      <c r="G1392" s="17" t="str">
        <f>Github!H$1391</f>
        <v>Algorithms</v>
      </c>
      <c r="H1392" s="17" t="str">
        <f>Github!E$1391</f>
        <v>Medium</v>
      </c>
      <c r="I1392" s="17" t="str">
        <f>IF(TRIM(Github!D$1391)="TRUE","FALSE","TRUE")</f>
        <v>TRUE</v>
      </c>
      <c r="J1392" s="17"/>
      <c r="K1392" s="17" t="str">
        <f>Github!L$1391</f>
        <v>Array;Math;</v>
      </c>
      <c r="L1392" s="17" t="b">
        <f>Github!M$1391</f>
        <v>0</v>
      </c>
      <c r="M1392" s="17" t="str">
        <f>ROUND(Github!N$1391, 2)&amp;"%"</f>
        <v>0%</v>
      </c>
      <c r="N1392" s="17">
        <f>Github!O$1391</f>
        <v>40.65297306</v>
      </c>
      <c r="O1392" s="17">
        <f>Github!P$1391</f>
        <v>19574</v>
      </c>
    </row>
    <row r="1393">
      <c r="A1393" s="17">
        <f>Github!J$1392</f>
        <v>1391</v>
      </c>
      <c r="B1393" s="27" t="str">
        <f>HYPERLINK(CONCAT("http://leetcode.com/problems/",Github!C$1392), Github!B$1392)</f>
        <v>Check if There is a Valid Path in a Grid</v>
      </c>
      <c r="C1393" s="17">
        <f>Github!F$1392</f>
        <v>528</v>
      </c>
      <c r="D1393" s="17">
        <f>Github!G$1392</f>
        <v>237</v>
      </c>
      <c r="E1393" s="17">
        <f>Github!F$1392+Github!G$1392</f>
        <v>765</v>
      </c>
      <c r="F1393" s="18">
        <f t="shared" si="1"/>
        <v>2.23</v>
      </c>
      <c r="G1393" s="17" t="str">
        <f>Github!H$1392</f>
        <v>Algorithms</v>
      </c>
      <c r="H1393" s="17" t="str">
        <f>Github!E$1392</f>
        <v>Medium</v>
      </c>
      <c r="I1393" s="17" t="str">
        <f>IF(TRIM(Github!D$1392)="TRUE","FALSE","TRUE")</f>
        <v>TRUE</v>
      </c>
      <c r="J1393" s="17"/>
      <c r="K1393" s="17" t="str">
        <f>Github!L$1392</f>
        <v>Array;Depth-First Search;Breadth-First Search;Union Find;Matrix;</v>
      </c>
      <c r="L1393" s="17" t="b">
        <f>Github!M$1392</f>
        <v>0</v>
      </c>
      <c r="M1393" s="17" t="str">
        <f>ROUND(Github!N$1392, 2)&amp;"%"</f>
        <v>0%</v>
      </c>
      <c r="N1393" s="17">
        <f>Github!O$1392</f>
        <v>46.48339219</v>
      </c>
      <c r="O1393" s="17">
        <f>Github!P$1392</f>
        <v>20138</v>
      </c>
    </row>
    <row r="1394">
      <c r="A1394" s="17">
        <f>Github!J$1393</f>
        <v>1392</v>
      </c>
      <c r="B1394" s="27" t="str">
        <f>HYPERLINK(CONCAT("http://leetcode.com/problems/",Github!C$1393), Github!B$1393)</f>
        <v>Longest Happy Prefix</v>
      </c>
      <c r="C1394" s="17">
        <f>Github!F$1393</f>
        <v>599</v>
      </c>
      <c r="D1394" s="17">
        <f>Github!G$1393</f>
        <v>23</v>
      </c>
      <c r="E1394" s="17">
        <f>Github!F$1393+Github!G$1393</f>
        <v>622</v>
      </c>
      <c r="F1394" s="18">
        <f t="shared" si="1"/>
        <v>26.04</v>
      </c>
      <c r="G1394" s="17" t="str">
        <f>Github!H$1393</f>
        <v>Algorithms</v>
      </c>
      <c r="H1394" s="17" t="str">
        <f>Github!E$1393</f>
        <v>Hard</v>
      </c>
      <c r="I1394" s="17" t="str">
        <f>IF(TRIM(Github!D$1393)="TRUE","FALSE","TRUE")</f>
        <v>TRUE</v>
      </c>
      <c r="J1394" s="17"/>
      <c r="K1394" s="17" t="str">
        <f>Github!L$1393</f>
        <v>String;Rolling Hash;String Matching;Hash Function;</v>
      </c>
      <c r="L1394" s="17" t="b">
        <f>Github!M$1393</f>
        <v>0</v>
      </c>
      <c r="M1394" s="17" t="str">
        <f>ROUND(Github!N$1393, 2)&amp;"%"</f>
        <v>0%</v>
      </c>
      <c r="N1394" s="17">
        <f>Github!O$1393</f>
        <v>44.2597283</v>
      </c>
      <c r="O1394" s="17">
        <f>Github!P$1393</f>
        <v>19222</v>
      </c>
    </row>
    <row r="1395">
      <c r="A1395" s="17">
        <f>Github!J$1394</f>
        <v>1393</v>
      </c>
      <c r="B1395" s="27" t="str">
        <f>HYPERLINK(CONCAT("http://leetcode.com/problems/",Github!C$1394), Github!B$1394)</f>
        <v>Capital Gain/Loss</v>
      </c>
      <c r="C1395" s="17">
        <f>Github!F$1394</f>
        <v>121</v>
      </c>
      <c r="D1395" s="17">
        <f>Github!G$1394</f>
        <v>19</v>
      </c>
      <c r="E1395" s="17">
        <f>Github!F$1394+Github!G$1394</f>
        <v>140</v>
      </c>
      <c r="F1395" s="18">
        <f t="shared" si="1"/>
        <v>6.37</v>
      </c>
      <c r="G1395" s="17" t="str">
        <f>Github!H$1394</f>
        <v>Database</v>
      </c>
      <c r="H1395" s="17" t="str">
        <f>Github!E$1394</f>
        <v>Medium</v>
      </c>
      <c r="I1395" s="17" t="str">
        <f>IF(TRIM(Github!D$1394)="TRUE","FALSE","TRUE")</f>
        <v>FALSE</v>
      </c>
      <c r="J1395" s="17"/>
      <c r="K1395" s="17" t="str">
        <f>Github!L$1394</f>
        <v>Database;</v>
      </c>
      <c r="L1395" s="17" t="b">
        <f>Github!M$1394</f>
        <v>0</v>
      </c>
      <c r="M1395" s="17" t="str">
        <f>ROUND(Github!N$1394, 2)&amp;"%"</f>
        <v>0%</v>
      </c>
      <c r="N1395" s="17">
        <f>Github!O$1394</f>
        <v>91.35717953</v>
      </c>
      <c r="O1395" s="17">
        <f>Github!P$1394</f>
        <v>21352</v>
      </c>
    </row>
    <row r="1396">
      <c r="A1396" s="17">
        <f>Github!J$1395</f>
        <v>1394</v>
      </c>
      <c r="B1396" s="27" t="str">
        <f>HYPERLINK(CONCAT("http://leetcode.com/problems/",Github!C$1395), Github!B$1395)</f>
        <v>Find Lucky Integer in an Array</v>
      </c>
      <c r="C1396" s="17">
        <f>Github!F$1395</f>
        <v>595</v>
      </c>
      <c r="D1396" s="17">
        <f>Github!G$1395</f>
        <v>19</v>
      </c>
      <c r="E1396" s="17">
        <f>Github!F$1395+Github!G$1395</f>
        <v>614</v>
      </c>
      <c r="F1396" s="18">
        <f t="shared" si="1"/>
        <v>31.32</v>
      </c>
      <c r="G1396" s="17" t="str">
        <f>Github!H$1395</f>
        <v>Algorithms</v>
      </c>
      <c r="H1396" s="17" t="str">
        <f>Github!E$1395</f>
        <v>Easy</v>
      </c>
      <c r="I1396" s="17" t="str">
        <f>IF(TRIM(Github!D$1395)="TRUE","FALSE","TRUE")</f>
        <v>TRUE</v>
      </c>
      <c r="J1396" s="17"/>
      <c r="K1396" s="17" t="str">
        <f>Github!L$1395</f>
        <v>Array;Hash Table;Counting;</v>
      </c>
      <c r="L1396" s="17" t="b">
        <f>Github!M$1395</f>
        <v>1</v>
      </c>
      <c r="M1396" s="17" t="str">
        <f>ROUND(Github!N$1395, 2)&amp;"%"</f>
        <v>0%</v>
      </c>
      <c r="N1396" s="17">
        <f>Github!O$1395</f>
        <v>63.5455261</v>
      </c>
      <c r="O1396" s="17">
        <f>Github!P$1395</f>
        <v>66203</v>
      </c>
    </row>
    <row r="1397">
      <c r="A1397" s="17">
        <f>Github!J$1396</f>
        <v>1395</v>
      </c>
      <c r="B1397" s="27" t="str">
        <f>HYPERLINK(CONCAT("http://leetcode.com/problems/",Github!C$1396), Github!B$1396)</f>
        <v>Count Number of Teams</v>
      </c>
      <c r="C1397" s="17">
        <f>Github!F$1396</f>
        <v>1799</v>
      </c>
      <c r="D1397" s="17">
        <f>Github!G$1396</f>
        <v>158</v>
      </c>
      <c r="E1397" s="17">
        <f>Github!F$1396+Github!G$1396</f>
        <v>1957</v>
      </c>
      <c r="F1397" s="18">
        <f t="shared" si="1"/>
        <v>11.39</v>
      </c>
      <c r="G1397" s="17" t="str">
        <f>Github!H$1396</f>
        <v>Algorithms</v>
      </c>
      <c r="H1397" s="17" t="str">
        <f>Github!E$1396</f>
        <v>Medium</v>
      </c>
      <c r="I1397" s="17" t="str">
        <f>IF(TRIM(Github!D$1396)="TRUE","FALSE","TRUE")</f>
        <v>TRUE</v>
      </c>
      <c r="J1397" s="17"/>
      <c r="K1397" s="17" t="str">
        <f>Github!L$1396</f>
        <v>Array;Dynamic Programming;Binary Indexed Tree;</v>
      </c>
      <c r="L1397" s="17" t="b">
        <f>Github!M$1396</f>
        <v>0</v>
      </c>
      <c r="M1397" s="17" t="str">
        <f>ROUND(Github!N$1396, 2)&amp;"%"</f>
        <v>0%</v>
      </c>
      <c r="N1397" s="17">
        <f>Github!O$1396</f>
        <v>69.70098109</v>
      </c>
      <c r="O1397" s="17">
        <f>Github!P$1396</f>
        <v>83191</v>
      </c>
    </row>
    <row r="1398">
      <c r="A1398" s="17">
        <f>Github!J$1397</f>
        <v>1396</v>
      </c>
      <c r="B1398" s="27" t="str">
        <f>HYPERLINK(CONCAT("http://leetcode.com/problems/",Github!C$1397), Github!B$1397)</f>
        <v>Design Underground System</v>
      </c>
      <c r="C1398" s="17">
        <f>Github!F$1397</f>
        <v>1163</v>
      </c>
      <c r="D1398" s="17">
        <f>Github!G$1397</f>
        <v>65</v>
      </c>
      <c r="E1398" s="17">
        <f>Github!F$1397+Github!G$1397</f>
        <v>1228</v>
      </c>
      <c r="F1398" s="18">
        <f t="shared" si="1"/>
        <v>17.89</v>
      </c>
      <c r="G1398" s="17" t="str">
        <f>Github!H$1397</f>
        <v>Algorithms</v>
      </c>
      <c r="H1398" s="17" t="str">
        <f>Github!E$1397</f>
        <v>Medium</v>
      </c>
      <c r="I1398" s="17" t="str">
        <f>IF(TRIM(Github!D$1397)="TRUE","FALSE","TRUE")</f>
        <v>TRUE</v>
      </c>
      <c r="J1398" s="17"/>
      <c r="K1398" s="17" t="str">
        <f>Github!L$1397</f>
        <v>Hash Table;String;Design;</v>
      </c>
      <c r="L1398" s="17" t="b">
        <f>Github!M$1397</f>
        <v>1</v>
      </c>
      <c r="M1398" s="17" t="str">
        <f>ROUND(Github!N$1397, 2)&amp;"%"</f>
        <v>0%</v>
      </c>
      <c r="N1398" s="17">
        <f>Github!O$1397</f>
        <v>71.83658401</v>
      </c>
      <c r="O1398" s="17">
        <f>Github!P$1397</f>
        <v>91452</v>
      </c>
    </row>
    <row r="1399">
      <c r="A1399" s="17">
        <f>Github!J$1398</f>
        <v>1397</v>
      </c>
      <c r="B1399" s="27" t="str">
        <f>HYPERLINK(CONCAT("http://leetcode.com/problems/",Github!C$1398), Github!B$1398)</f>
        <v>Find All Good Strings</v>
      </c>
      <c r="C1399" s="17">
        <f>Github!F$1398</f>
        <v>270</v>
      </c>
      <c r="D1399" s="17">
        <f>Github!G$1398</f>
        <v>100</v>
      </c>
      <c r="E1399" s="17">
        <f>Github!F$1398+Github!G$1398</f>
        <v>370</v>
      </c>
      <c r="F1399" s="18">
        <f t="shared" si="1"/>
        <v>2.7</v>
      </c>
      <c r="G1399" s="17" t="str">
        <f>Github!H$1398</f>
        <v>Algorithms</v>
      </c>
      <c r="H1399" s="17" t="str">
        <f>Github!E$1398</f>
        <v>Hard</v>
      </c>
      <c r="I1399" s="17" t="str">
        <f>IF(TRIM(Github!D$1398)="TRUE","FALSE","TRUE")</f>
        <v>TRUE</v>
      </c>
      <c r="J1399" s="17"/>
      <c r="K1399" s="17" t="str">
        <f>Github!L$1398</f>
        <v>String;Dynamic Programming;String Matching;</v>
      </c>
      <c r="L1399" s="17" t="b">
        <f>Github!M$1398</f>
        <v>0</v>
      </c>
      <c r="M1399" s="17" t="str">
        <f>ROUND(Github!N$1398, 2)&amp;"%"</f>
        <v>0%</v>
      </c>
      <c r="N1399" s="17">
        <f>Github!O$1398</f>
        <v>40.53216499</v>
      </c>
      <c r="O1399" s="17">
        <f>Github!P$1398</f>
        <v>3793</v>
      </c>
    </row>
    <row r="1400">
      <c r="A1400" s="17">
        <f>Github!J$1399</f>
        <v>1398</v>
      </c>
      <c r="B1400" s="27" t="str">
        <f>HYPERLINK(CONCAT("http://leetcode.com/problems/",Github!C$1399), Github!B$1399)</f>
        <v>Customers Who Bought Products A and B but Not C</v>
      </c>
      <c r="C1400" s="17">
        <f>Github!F$1399</f>
        <v>153</v>
      </c>
      <c r="D1400" s="17">
        <f>Github!G$1399</f>
        <v>7</v>
      </c>
      <c r="E1400" s="17">
        <f>Github!F$1399+Github!G$1399</f>
        <v>160</v>
      </c>
      <c r="F1400" s="18">
        <f t="shared" si="1"/>
        <v>21.86</v>
      </c>
      <c r="G1400" s="17" t="str">
        <f>Github!H$1399</f>
        <v>Database</v>
      </c>
      <c r="H1400" s="17" t="str">
        <f>Github!E$1399</f>
        <v>Medium</v>
      </c>
      <c r="I1400" s="17" t="str">
        <f>IF(TRIM(Github!D$1399)="TRUE","FALSE","TRUE")</f>
        <v>FALSE</v>
      </c>
      <c r="J1400" s="17"/>
      <c r="K1400" s="17" t="str">
        <f>Github!L$1399</f>
        <v>Database;</v>
      </c>
      <c r="L1400" s="17" t="b">
        <f>Github!M$1399</f>
        <v>0</v>
      </c>
      <c r="M1400" s="17" t="str">
        <f>ROUND(Github!N$1399, 2)&amp;"%"</f>
        <v>0%</v>
      </c>
      <c r="N1400" s="17">
        <f>Github!O$1399</f>
        <v>79.03497176</v>
      </c>
      <c r="O1400" s="17">
        <f>Github!P$1399</f>
        <v>26306</v>
      </c>
    </row>
    <row r="1401">
      <c r="A1401" s="17">
        <f>Github!J$1400</f>
        <v>1399</v>
      </c>
      <c r="B1401" s="27" t="str">
        <f>HYPERLINK(CONCAT("http://leetcode.com/problems/",Github!C$1400), Github!B$1400)</f>
        <v>Count Largest Group</v>
      </c>
      <c r="C1401" s="17">
        <f>Github!F$1400</f>
        <v>254</v>
      </c>
      <c r="D1401" s="17">
        <f>Github!G$1400</f>
        <v>637</v>
      </c>
      <c r="E1401" s="17">
        <f>Github!F$1400+Github!G$1400</f>
        <v>891</v>
      </c>
      <c r="F1401" s="18">
        <f t="shared" si="1"/>
        <v>0.4</v>
      </c>
      <c r="G1401" s="17" t="str">
        <f>Github!H$1400</f>
        <v>Algorithms</v>
      </c>
      <c r="H1401" s="17" t="str">
        <f>Github!E$1400</f>
        <v>Easy</v>
      </c>
      <c r="I1401" s="17" t="str">
        <f>IF(TRIM(Github!D$1400)="TRUE","FALSE","TRUE")</f>
        <v>TRUE</v>
      </c>
      <c r="J1401" s="17"/>
      <c r="K1401" s="17" t="str">
        <f>Github!L$1400</f>
        <v>Hash Table;Math;</v>
      </c>
      <c r="L1401" s="17" t="b">
        <f>Github!M$1400</f>
        <v>0</v>
      </c>
      <c r="M1401" s="17" t="str">
        <f>ROUND(Github!N$1400, 2)&amp;"%"</f>
        <v>0%</v>
      </c>
      <c r="N1401" s="17">
        <f>Github!O$1400</f>
        <v>66.64121109</v>
      </c>
      <c r="O1401" s="17">
        <f>Github!P$1400</f>
        <v>29670</v>
      </c>
    </row>
    <row r="1402">
      <c r="A1402" s="17">
        <f>Github!J$1401</f>
        <v>1400</v>
      </c>
      <c r="B1402" s="27" t="str">
        <f>HYPERLINK(CONCAT("http://leetcode.com/problems/",Github!C$1401), Github!B$1401)</f>
        <v>Construct K Palindrome Strings</v>
      </c>
      <c r="C1402" s="17">
        <f>Github!F$1401</f>
        <v>658</v>
      </c>
      <c r="D1402" s="17">
        <f>Github!G$1401</f>
        <v>67</v>
      </c>
      <c r="E1402" s="17">
        <f>Github!F$1401+Github!G$1401</f>
        <v>725</v>
      </c>
      <c r="F1402" s="18">
        <f t="shared" si="1"/>
        <v>9.82</v>
      </c>
      <c r="G1402" s="17" t="str">
        <f>Github!H$1401</f>
        <v>Algorithms</v>
      </c>
      <c r="H1402" s="17" t="str">
        <f>Github!E$1401</f>
        <v>Medium</v>
      </c>
      <c r="I1402" s="17" t="str">
        <f>IF(TRIM(Github!D$1401)="TRUE","FALSE","TRUE")</f>
        <v>TRUE</v>
      </c>
      <c r="J1402" s="17"/>
      <c r="K1402" s="17" t="str">
        <f>Github!L$1401</f>
        <v>Hash Table;String;Greedy;Counting;</v>
      </c>
      <c r="L1402" s="17" t="b">
        <f>Github!M$1401</f>
        <v>0</v>
      </c>
      <c r="M1402" s="17" t="str">
        <f>ROUND(Github!N$1401, 2)&amp;"%"</f>
        <v>0%</v>
      </c>
      <c r="N1402" s="17">
        <f>Github!O$1401</f>
        <v>63.83333959</v>
      </c>
      <c r="O1402" s="17">
        <f>Github!P$1401</f>
        <v>34027</v>
      </c>
    </row>
    <row r="1403">
      <c r="A1403" s="17">
        <f>Github!J$1402</f>
        <v>1401</v>
      </c>
      <c r="B1403" s="27" t="str">
        <f>HYPERLINK(CONCAT("http://leetcode.com/problems/",Github!C$1402), Github!B$1402)</f>
        <v>Circle and Rectangle Overlapping</v>
      </c>
      <c r="C1403" s="17">
        <f>Github!F$1402</f>
        <v>217</v>
      </c>
      <c r="D1403" s="17">
        <f>Github!G$1402</f>
        <v>55</v>
      </c>
      <c r="E1403" s="17">
        <f>Github!F$1402+Github!G$1402</f>
        <v>272</v>
      </c>
      <c r="F1403" s="18">
        <f t="shared" si="1"/>
        <v>3.95</v>
      </c>
      <c r="G1403" s="17" t="str">
        <f>Github!H$1402</f>
        <v>Algorithms</v>
      </c>
      <c r="H1403" s="17" t="str">
        <f>Github!E$1402</f>
        <v>Medium</v>
      </c>
      <c r="I1403" s="17" t="str">
        <f>IF(TRIM(Github!D$1402)="TRUE","FALSE","TRUE")</f>
        <v>TRUE</v>
      </c>
      <c r="J1403" s="17"/>
      <c r="K1403" s="17" t="str">
        <f>Github!L$1402</f>
        <v>Math;Geometry;</v>
      </c>
      <c r="L1403" s="17" t="b">
        <f>Github!M$1402</f>
        <v>0</v>
      </c>
      <c r="M1403" s="17" t="str">
        <f>ROUND(Github!N$1402, 2)&amp;"%"</f>
        <v>0%</v>
      </c>
      <c r="N1403" s="17">
        <f>Github!O$1402</f>
        <v>43.63477541</v>
      </c>
      <c r="O1403" s="17">
        <f>Github!P$1402</f>
        <v>9491</v>
      </c>
    </row>
    <row r="1404">
      <c r="A1404" s="17">
        <f>Github!J$1403</f>
        <v>1402</v>
      </c>
      <c r="B1404" s="27" t="str">
        <f>HYPERLINK(CONCAT("http://leetcode.com/problems/",Github!C$1403), Github!B$1403)</f>
        <v>Reducing Dishes</v>
      </c>
      <c r="C1404" s="17">
        <f>Github!F$1403</f>
        <v>873</v>
      </c>
      <c r="D1404" s="17">
        <f>Github!G$1403</f>
        <v>133</v>
      </c>
      <c r="E1404" s="17">
        <f>Github!F$1403+Github!G$1403</f>
        <v>1006</v>
      </c>
      <c r="F1404" s="18">
        <f t="shared" si="1"/>
        <v>6.56</v>
      </c>
      <c r="G1404" s="17" t="str">
        <f>Github!H$1403</f>
        <v>Algorithms</v>
      </c>
      <c r="H1404" s="17" t="str">
        <f>Github!E$1403</f>
        <v>Hard</v>
      </c>
      <c r="I1404" s="17" t="str">
        <f>IF(TRIM(Github!D$1403)="TRUE","FALSE","TRUE")</f>
        <v>TRUE</v>
      </c>
      <c r="J1404" s="17"/>
      <c r="K1404" s="17" t="str">
        <f>Github!L$1403</f>
        <v>Array;Dynamic Programming;Greedy;Sorting;</v>
      </c>
      <c r="L1404" s="17" t="b">
        <f>Github!M$1403</f>
        <v>0</v>
      </c>
      <c r="M1404" s="17" t="str">
        <f>ROUND(Github!N$1403, 2)&amp;"%"</f>
        <v>0%</v>
      </c>
      <c r="N1404" s="17">
        <f>Github!O$1403</f>
        <v>72.49048077</v>
      </c>
      <c r="O1404" s="17">
        <f>Github!P$1403</f>
        <v>34649</v>
      </c>
    </row>
    <row r="1405">
      <c r="A1405" s="17">
        <f>Github!J$1404</f>
        <v>1403</v>
      </c>
      <c r="B1405" s="27" t="str">
        <f>HYPERLINK(CONCAT("http://leetcode.com/problems/",Github!C$1404), Github!B$1404)</f>
        <v>Minimum Subsequence in Non-Increasing Order</v>
      </c>
      <c r="C1405" s="17">
        <f>Github!F$1404</f>
        <v>334</v>
      </c>
      <c r="D1405" s="17">
        <f>Github!G$1404</f>
        <v>370</v>
      </c>
      <c r="E1405" s="17">
        <f>Github!F$1404+Github!G$1404</f>
        <v>704</v>
      </c>
      <c r="F1405" s="18">
        <f t="shared" si="1"/>
        <v>0.9</v>
      </c>
      <c r="G1405" s="17" t="str">
        <f>Github!H$1404</f>
        <v>Algorithms</v>
      </c>
      <c r="H1405" s="17" t="str">
        <f>Github!E$1404</f>
        <v>Easy</v>
      </c>
      <c r="I1405" s="17" t="str">
        <f>IF(TRIM(Github!D$1404)="TRUE","FALSE","TRUE")</f>
        <v>TRUE</v>
      </c>
      <c r="J1405" s="17"/>
      <c r="K1405" s="17" t="str">
        <f>Github!L$1404</f>
        <v>Array;Greedy;Sorting;</v>
      </c>
      <c r="L1405" s="17" t="b">
        <f>Github!M$1404</f>
        <v>0</v>
      </c>
      <c r="M1405" s="17" t="str">
        <f>ROUND(Github!N$1404, 2)&amp;"%"</f>
        <v>0%</v>
      </c>
      <c r="N1405" s="17">
        <f>Github!O$1404</f>
        <v>72.13034003</v>
      </c>
      <c r="O1405" s="17">
        <f>Github!P$1404</f>
        <v>48323</v>
      </c>
    </row>
    <row r="1406">
      <c r="A1406" s="17">
        <f>Github!J$1405</f>
        <v>1404</v>
      </c>
      <c r="B1406" s="27" t="str">
        <f>HYPERLINK(CONCAT("http://leetcode.com/problems/",Github!C$1405), Github!B$1405)</f>
        <v>Number of Steps to Reduce a Number in Binary Representation to One</v>
      </c>
      <c r="C1406" s="17">
        <f>Github!F$1405</f>
        <v>448</v>
      </c>
      <c r="D1406" s="17">
        <f>Github!G$1405</f>
        <v>41</v>
      </c>
      <c r="E1406" s="17">
        <f>Github!F$1405+Github!G$1405</f>
        <v>489</v>
      </c>
      <c r="F1406" s="18">
        <f t="shared" si="1"/>
        <v>10.93</v>
      </c>
      <c r="G1406" s="17" t="str">
        <f>Github!H$1405</f>
        <v>Algorithms</v>
      </c>
      <c r="H1406" s="17" t="str">
        <f>Github!E$1405</f>
        <v>Medium</v>
      </c>
      <c r="I1406" s="17" t="str">
        <f>IF(TRIM(Github!D$1405)="TRUE","FALSE","TRUE")</f>
        <v>TRUE</v>
      </c>
      <c r="J1406" s="17"/>
      <c r="K1406" s="17" t="str">
        <f>Github!L$1405</f>
        <v>String;Bit Manipulation;</v>
      </c>
      <c r="L1406" s="17" t="b">
        <f>Github!M$1405</f>
        <v>0</v>
      </c>
      <c r="M1406" s="17" t="str">
        <f>ROUND(Github!N$1405, 2)&amp;"%"</f>
        <v>0%</v>
      </c>
      <c r="N1406" s="17">
        <f>Github!O$1405</f>
        <v>50.71365956</v>
      </c>
      <c r="O1406" s="17">
        <f>Github!P$1405</f>
        <v>22562</v>
      </c>
    </row>
    <row r="1407">
      <c r="A1407" s="17">
        <f>Github!J$1406</f>
        <v>1405</v>
      </c>
      <c r="B1407" s="27" t="str">
        <f>HYPERLINK(CONCAT("http://leetcode.com/problems/",Github!C$1406), Github!B$1406)</f>
        <v>Longest Happy String</v>
      </c>
      <c r="C1407" s="17">
        <f>Github!F$1406</f>
        <v>1019</v>
      </c>
      <c r="D1407" s="17">
        <f>Github!G$1406</f>
        <v>171</v>
      </c>
      <c r="E1407" s="17">
        <f>Github!F$1406+Github!G$1406</f>
        <v>1190</v>
      </c>
      <c r="F1407" s="18">
        <f t="shared" si="1"/>
        <v>5.96</v>
      </c>
      <c r="G1407" s="17" t="str">
        <f>Github!H$1406</f>
        <v>Algorithms</v>
      </c>
      <c r="H1407" s="17" t="str">
        <f>Github!E$1406</f>
        <v>Medium</v>
      </c>
      <c r="I1407" s="17" t="str">
        <f>IF(TRIM(Github!D$1406)="TRUE","FALSE","TRUE")</f>
        <v>TRUE</v>
      </c>
      <c r="J1407" s="17"/>
      <c r="K1407" s="17" t="str">
        <f>Github!L$1406</f>
        <v>String;Greedy;Heap (Priority Queue);</v>
      </c>
      <c r="L1407" s="17" t="b">
        <f>Github!M$1406</f>
        <v>0</v>
      </c>
      <c r="M1407" s="17" t="str">
        <f>ROUND(Github!N$1406, 2)&amp;"%"</f>
        <v>0%</v>
      </c>
      <c r="N1407" s="17">
        <f>Github!O$1406</f>
        <v>56.18798115</v>
      </c>
      <c r="O1407" s="17">
        <f>Github!P$1406</f>
        <v>38389</v>
      </c>
    </row>
    <row r="1408">
      <c r="A1408" s="17">
        <f>Github!J$1407</f>
        <v>1406</v>
      </c>
      <c r="B1408" s="27" t="str">
        <f>HYPERLINK(CONCAT("http://leetcode.com/problems/",Github!C$1407), Github!B$1407)</f>
        <v>Stone Game III</v>
      </c>
      <c r="C1408" s="17">
        <f>Github!F$1407</f>
        <v>929</v>
      </c>
      <c r="D1408" s="17">
        <f>Github!G$1407</f>
        <v>21</v>
      </c>
      <c r="E1408" s="17">
        <f>Github!F$1407+Github!G$1407</f>
        <v>950</v>
      </c>
      <c r="F1408" s="18">
        <f t="shared" si="1"/>
        <v>44.24</v>
      </c>
      <c r="G1408" s="17" t="str">
        <f>Github!H$1407</f>
        <v>Algorithms</v>
      </c>
      <c r="H1408" s="17" t="str">
        <f>Github!E$1407</f>
        <v>Hard</v>
      </c>
      <c r="I1408" s="17" t="str">
        <f>IF(TRIM(Github!D$1407)="TRUE","FALSE","TRUE")</f>
        <v>TRUE</v>
      </c>
      <c r="J1408" s="17"/>
      <c r="K1408" s="17" t="str">
        <f>Github!L$1407</f>
        <v>Array;Math;Dynamic Programming;Game Theory;</v>
      </c>
      <c r="L1408" s="17" t="b">
        <f>Github!M$1407</f>
        <v>0</v>
      </c>
      <c r="M1408" s="17" t="str">
        <f>ROUND(Github!N$1407, 2)&amp;"%"</f>
        <v>0%</v>
      </c>
      <c r="N1408" s="17">
        <f>Github!O$1407</f>
        <v>60.29289284</v>
      </c>
      <c r="O1408" s="17">
        <f>Github!P$1407</f>
        <v>34747</v>
      </c>
    </row>
    <row r="1409">
      <c r="A1409" s="17">
        <f>Github!J$1408</f>
        <v>1407</v>
      </c>
      <c r="B1409" s="27" t="str">
        <f>HYPERLINK(CONCAT("http://leetcode.com/problems/",Github!C$1408), Github!B$1408)</f>
        <v>Top Travellers</v>
      </c>
      <c r="C1409" s="17">
        <f>Github!F$1408</f>
        <v>95</v>
      </c>
      <c r="D1409" s="17">
        <f>Github!G$1408</f>
        <v>9</v>
      </c>
      <c r="E1409" s="17">
        <f>Github!F$1408+Github!G$1408</f>
        <v>104</v>
      </c>
      <c r="F1409" s="18">
        <f t="shared" si="1"/>
        <v>10.56</v>
      </c>
      <c r="G1409" s="17" t="str">
        <f>Github!H$1408</f>
        <v>Database</v>
      </c>
      <c r="H1409" s="17" t="str">
        <f>Github!E$1408</f>
        <v>Easy</v>
      </c>
      <c r="I1409" s="17" t="str">
        <f>IF(TRIM(Github!D$1408)="TRUE","FALSE","TRUE")</f>
        <v>FALSE</v>
      </c>
      <c r="J1409" s="17"/>
      <c r="K1409" s="17" t="str">
        <f>Github!L$1408</f>
        <v>Database;</v>
      </c>
      <c r="L1409" s="17" t="b">
        <f>Github!M$1408</f>
        <v>0</v>
      </c>
      <c r="M1409" s="17" t="str">
        <f>ROUND(Github!N$1408, 2)&amp;"%"</f>
        <v>0%</v>
      </c>
      <c r="N1409" s="17">
        <f>Github!O$1408</f>
        <v>83.39384878</v>
      </c>
      <c r="O1409" s="17">
        <f>Github!P$1408</f>
        <v>23427</v>
      </c>
    </row>
    <row r="1410">
      <c r="A1410" s="17">
        <f>Github!J$1409</f>
        <v>1408</v>
      </c>
      <c r="B1410" s="27" t="str">
        <f>HYPERLINK(CONCAT("http://leetcode.com/problems/",Github!C$1409), Github!B$1409)</f>
        <v>String Matching in an Array</v>
      </c>
      <c r="C1410" s="17">
        <f>Github!F$1409</f>
        <v>486</v>
      </c>
      <c r="D1410" s="17">
        <f>Github!G$1409</f>
        <v>70</v>
      </c>
      <c r="E1410" s="17">
        <f>Github!F$1409+Github!G$1409</f>
        <v>556</v>
      </c>
      <c r="F1410" s="18">
        <f t="shared" si="1"/>
        <v>6.94</v>
      </c>
      <c r="G1410" s="17" t="str">
        <f>Github!H$1409</f>
        <v>Algorithms</v>
      </c>
      <c r="H1410" s="17" t="str">
        <f>Github!E$1409</f>
        <v>Easy</v>
      </c>
      <c r="I1410" s="17" t="str">
        <f>IF(TRIM(Github!D$1409)="TRUE","FALSE","TRUE")</f>
        <v>TRUE</v>
      </c>
      <c r="J1410" s="17"/>
      <c r="K1410" s="17" t="str">
        <f>Github!L$1409</f>
        <v>String;String Matching;</v>
      </c>
      <c r="L1410" s="17" t="b">
        <f>Github!M$1409</f>
        <v>0</v>
      </c>
      <c r="M1410" s="17" t="str">
        <f>ROUND(Github!N$1409, 2)&amp;"%"</f>
        <v>0%</v>
      </c>
      <c r="N1410" s="17">
        <f>Github!O$1409</f>
        <v>63.82432383</v>
      </c>
      <c r="O1410" s="17">
        <f>Github!P$1409</f>
        <v>52694</v>
      </c>
    </row>
    <row r="1411">
      <c r="A1411" s="17">
        <f>Github!J$1410</f>
        <v>1409</v>
      </c>
      <c r="B1411" s="27" t="str">
        <f>HYPERLINK(CONCAT("http://leetcode.com/problems/",Github!C$1410), Github!B$1410)</f>
        <v>Queries on a Permutation With Key</v>
      </c>
      <c r="C1411" s="17">
        <f>Github!F$1410</f>
        <v>318</v>
      </c>
      <c r="D1411" s="17">
        <f>Github!G$1410</f>
        <v>514</v>
      </c>
      <c r="E1411" s="17">
        <f>Github!F$1410+Github!G$1410</f>
        <v>832</v>
      </c>
      <c r="F1411" s="18">
        <f t="shared" si="1"/>
        <v>0.62</v>
      </c>
      <c r="G1411" s="17" t="str">
        <f>Github!H$1410</f>
        <v>Algorithms</v>
      </c>
      <c r="H1411" s="17" t="str">
        <f>Github!E$1410</f>
        <v>Medium</v>
      </c>
      <c r="I1411" s="17" t="str">
        <f>IF(TRIM(Github!D$1410)="TRUE","FALSE","TRUE")</f>
        <v>TRUE</v>
      </c>
      <c r="J1411" s="17"/>
      <c r="K1411" s="17" t="str">
        <f>Github!L$1410</f>
        <v>Array;Binary Indexed Tree;Simulation;</v>
      </c>
      <c r="L1411" s="17" t="b">
        <f>Github!M$1410</f>
        <v>0</v>
      </c>
      <c r="M1411" s="17" t="str">
        <f>ROUND(Github!N$1410, 2)&amp;"%"</f>
        <v>0%</v>
      </c>
      <c r="N1411" s="17">
        <f>Github!O$1410</f>
        <v>82.71044993</v>
      </c>
      <c r="O1411" s="17">
        <f>Github!P$1410</f>
        <v>36472</v>
      </c>
    </row>
    <row r="1412">
      <c r="A1412" s="17">
        <f>Github!J$1411</f>
        <v>1410</v>
      </c>
      <c r="B1412" s="27" t="str">
        <f>HYPERLINK(CONCAT("http://leetcode.com/problems/",Github!C$1411), Github!B$1411)</f>
        <v>HTML Entity Parser</v>
      </c>
      <c r="C1412" s="17">
        <f>Github!F$1411</f>
        <v>130</v>
      </c>
      <c r="D1412" s="17">
        <f>Github!G$1411</f>
        <v>251</v>
      </c>
      <c r="E1412" s="17">
        <f>Github!F$1411+Github!G$1411</f>
        <v>381</v>
      </c>
      <c r="F1412" s="18">
        <f t="shared" si="1"/>
        <v>0.52</v>
      </c>
      <c r="G1412" s="17" t="str">
        <f>Github!H$1411</f>
        <v>Algorithms</v>
      </c>
      <c r="H1412" s="17" t="str">
        <f>Github!E$1411</f>
        <v>Medium</v>
      </c>
      <c r="I1412" s="17" t="str">
        <f>IF(TRIM(Github!D$1411)="TRUE","FALSE","TRUE")</f>
        <v>TRUE</v>
      </c>
      <c r="J1412" s="17"/>
      <c r="K1412" s="17" t="str">
        <f>Github!L$1411</f>
        <v>Hash Table;String;</v>
      </c>
      <c r="L1412" s="17" t="b">
        <f>Github!M$1411</f>
        <v>0</v>
      </c>
      <c r="M1412" s="17" t="str">
        <f>ROUND(Github!N$1411, 2)&amp;"%"</f>
        <v>0%</v>
      </c>
      <c r="N1412" s="17">
        <f>Github!O$1411</f>
        <v>52.73565311</v>
      </c>
      <c r="O1412" s="17">
        <f>Github!P$1411</f>
        <v>18535</v>
      </c>
    </row>
    <row r="1413">
      <c r="A1413" s="17">
        <f>Github!J$1412</f>
        <v>1411</v>
      </c>
      <c r="B1413" s="27" t="str">
        <f>HYPERLINK(CONCAT("http://leetcode.com/problems/",Github!C$1412), Github!B$1412)</f>
        <v>Number of Ways to Paint N × 3 Grid</v>
      </c>
      <c r="C1413" s="17">
        <f>Github!F$1412</f>
        <v>735</v>
      </c>
      <c r="D1413" s="17">
        <f>Github!G$1412</f>
        <v>33</v>
      </c>
      <c r="E1413" s="17">
        <f>Github!F$1412+Github!G$1412</f>
        <v>768</v>
      </c>
      <c r="F1413" s="18">
        <f t="shared" si="1"/>
        <v>22.27</v>
      </c>
      <c r="G1413" s="17" t="str">
        <f>Github!H$1412</f>
        <v>Algorithms</v>
      </c>
      <c r="H1413" s="17" t="str">
        <f>Github!E$1412</f>
        <v>Hard</v>
      </c>
      <c r="I1413" s="17" t="str">
        <f>IF(TRIM(Github!D$1412)="TRUE","FALSE","TRUE")</f>
        <v>TRUE</v>
      </c>
      <c r="J1413" s="17"/>
      <c r="K1413" s="17" t="str">
        <f>Github!L$1412</f>
        <v>Dynamic Programming;</v>
      </c>
      <c r="L1413" s="17" t="b">
        <f>Github!M$1412</f>
        <v>0</v>
      </c>
      <c r="M1413" s="17" t="str">
        <f>ROUND(Github!N$1412, 2)&amp;"%"</f>
        <v>0%</v>
      </c>
      <c r="N1413" s="17">
        <f>Github!O$1412</f>
        <v>61.8007334</v>
      </c>
      <c r="O1413" s="17">
        <f>Github!P$1412</f>
        <v>23762</v>
      </c>
    </row>
    <row r="1414">
      <c r="A1414" s="17">
        <f>Github!J$1413</f>
        <v>1412</v>
      </c>
      <c r="B1414" s="27" t="str">
        <f>HYPERLINK(CONCAT("http://leetcode.com/problems/",Github!C$1413), Github!B$1413)</f>
        <v>Find the Quiet Students in All Exams</v>
      </c>
      <c r="C1414" s="17">
        <f>Github!F$1413</f>
        <v>141</v>
      </c>
      <c r="D1414" s="17">
        <f>Github!G$1413</f>
        <v>11</v>
      </c>
      <c r="E1414" s="17">
        <f>Github!F$1413+Github!G$1413</f>
        <v>152</v>
      </c>
      <c r="F1414" s="18">
        <f t="shared" si="1"/>
        <v>12.82</v>
      </c>
      <c r="G1414" s="17" t="str">
        <f>Github!H$1413</f>
        <v>Database</v>
      </c>
      <c r="H1414" s="17" t="str">
        <f>Github!E$1413</f>
        <v>Hard</v>
      </c>
      <c r="I1414" s="17" t="str">
        <f>IF(TRIM(Github!D$1413)="TRUE","FALSE","TRUE")</f>
        <v>FALSE</v>
      </c>
      <c r="J1414" s="17"/>
      <c r="K1414" s="17" t="str">
        <f>Github!L$1413</f>
        <v>Database;</v>
      </c>
      <c r="L1414" s="17" t="b">
        <f>Github!M$1413</f>
        <v>0</v>
      </c>
      <c r="M1414" s="17" t="str">
        <f>ROUND(Github!N$1413, 2)&amp;"%"</f>
        <v>0%</v>
      </c>
      <c r="N1414" s="17">
        <f>Github!O$1413</f>
        <v>62.63714579</v>
      </c>
      <c r="O1414" s="17">
        <f>Github!P$1413</f>
        <v>15869</v>
      </c>
    </row>
    <row r="1415">
      <c r="A1415" s="17">
        <f>Github!J$1414</f>
        <v>1413</v>
      </c>
      <c r="B1415" s="27" t="str">
        <f>HYPERLINK(CONCAT("http://leetcode.com/problems/",Github!C$1414), Github!B$1414)</f>
        <v>Minimum Value to Get Positive Step by Step Sum</v>
      </c>
      <c r="C1415" s="17">
        <f>Github!F$1414</f>
        <v>972</v>
      </c>
      <c r="D1415" s="17">
        <f>Github!G$1414</f>
        <v>223</v>
      </c>
      <c r="E1415" s="17">
        <f>Github!F$1414+Github!G$1414</f>
        <v>1195</v>
      </c>
      <c r="F1415" s="18">
        <f t="shared" si="1"/>
        <v>4.36</v>
      </c>
      <c r="G1415" s="17" t="str">
        <f>Github!H$1414</f>
        <v>Algorithms</v>
      </c>
      <c r="H1415" s="17" t="str">
        <f>Github!E$1414</f>
        <v>Easy</v>
      </c>
      <c r="I1415" s="17" t="str">
        <f>IF(TRIM(Github!D$1414)="TRUE","FALSE","TRUE")</f>
        <v>TRUE</v>
      </c>
      <c r="J1415" s="17"/>
      <c r="K1415" s="17" t="str">
        <f>Github!L$1414</f>
        <v>Array;Prefix Sum;</v>
      </c>
      <c r="L1415" s="17" t="b">
        <f>Github!M$1414</f>
        <v>1</v>
      </c>
      <c r="M1415" s="17" t="str">
        <f>ROUND(Github!N$1414, 2)&amp;"%"</f>
        <v>0%</v>
      </c>
      <c r="N1415" s="17">
        <f>Github!O$1414</f>
        <v>68.70118541</v>
      </c>
      <c r="O1415" s="17">
        <f>Github!P$1414</f>
        <v>66937</v>
      </c>
    </row>
    <row r="1416">
      <c r="A1416" s="17">
        <f>Github!J$1415</f>
        <v>1414</v>
      </c>
      <c r="B1416" s="27" t="str">
        <f>HYPERLINK(CONCAT("http://leetcode.com/problems/",Github!C$1415), Github!B$1415)</f>
        <v>Find the Minimum Number of Fibonacci Numbers Whose Sum Is K</v>
      </c>
      <c r="C1416" s="17">
        <f>Github!F$1415</f>
        <v>646</v>
      </c>
      <c r="D1416" s="17">
        <f>Github!G$1415</f>
        <v>51</v>
      </c>
      <c r="E1416" s="17">
        <f>Github!F$1415+Github!G$1415</f>
        <v>697</v>
      </c>
      <c r="F1416" s="18">
        <f t="shared" si="1"/>
        <v>12.67</v>
      </c>
      <c r="G1416" s="17" t="str">
        <f>Github!H$1415</f>
        <v>Algorithms</v>
      </c>
      <c r="H1416" s="17" t="str">
        <f>Github!E$1415</f>
        <v>Medium</v>
      </c>
      <c r="I1416" s="17" t="str">
        <f>IF(TRIM(Github!D$1415)="TRUE","FALSE","TRUE")</f>
        <v>TRUE</v>
      </c>
      <c r="J1416" s="17"/>
      <c r="K1416" s="17" t="str">
        <f>Github!L$1415</f>
        <v>Greedy;</v>
      </c>
      <c r="L1416" s="17" t="b">
        <f>Github!M$1415</f>
        <v>0</v>
      </c>
      <c r="M1416" s="17" t="str">
        <f>ROUND(Github!N$1415, 2)&amp;"%"</f>
        <v>0%</v>
      </c>
      <c r="N1416" s="17">
        <f>Github!O$1415</f>
        <v>65.13685132</v>
      </c>
      <c r="O1416" s="17">
        <f>Github!P$1415</f>
        <v>29748</v>
      </c>
    </row>
    <row r="1417">
      <c r="A1417" s="17">
        <f>Github!J$1416</f>
        <v>1415</v>
      </c>
      <c r="B1417" s="27" t="str">
        <f>HYPERLINK(CONCAT("http://leetcode.com/problems/",Github!C$1416), Github!B$1416)</f>
        <v>The k-th Lexicographical String of All Happy Strings of Length n</v>
      </c>
      <c r="C1417" s="17">
        <f>Github!F$1416</f>
        <v>632</v>
      </c>
      <c r="D1417" s="17">
        <f>Github!G$1416</f>
        <v>16</v>
      </c>
      <c r="E1417" s="17">
        <f>Github!F$1416+Github!G$1416</f>
        <v>648</v>
      </c>
      <c r="F1417" s="18">
        <f t="shared" si="1"/>
        <v>39.5</v>
      </c>
      <c r="G1417" s="17" t="str">
        <f>Github!H$1416</f>
        <v>Algorithms</v>
      </c>
      <c r="H1417" s="17" t="str">
        <f>Github!E$1416</f>
        <v>Medium</v>
      </c>
      <c r="I1417" s="17" t="str">
        <f>IF(TRIM(Github!D$1416)="TRUE","FALSE","TRUE")</f>
        <v>TRUE</v>
      </c>
      <c r="J1417" s="17"/>
      <c r="K1417" s="17" t="str">
        <f>Github!L$1416</f>
        <v>String;Backtracking;</v>
      </c>
      <c r="L1417" s="17" t="b">
        <f>Github!M$1416</f>
        <v>0</v>
      </c>
      <c r="M1417" s="17" t="str">
        <f>ROUND(Github!N$1416, 2)&amp;"%"</f>
        <v>0%</v>
      </c>
      <c r="N1417" s="17">
        <f>Github!O$1416</f>
        <v>71.26040187</v>
      </c>
      <c r="O1417" s="17">
        <f>Github!P$1416</f>
        <v>24576</v>
      </c>
    </row>
    <row r="1418">
      <c r="A1418" s="17">
        <f>Github!J$1417</f>
        <v>1416</v>
      </c>
      <c r="B1418" s="27" t="str">
        <f>HYPERLINK(CONCAT("http://leetcode.com/problems/",Github!C$1417), Github!B$1417)</f>
        <v>Restore The Array</v>
      </c>
      <c r="C1418" s="17">
        <f>Github!F$1417</f>
        <v>340</v>
      </c>
      <c r="D1418" s="17">
        <f>Github!G$1417</f>
        <v>13</v>
      </c>
      <c r="E1418" s="17">
        <f>Github!F$1417+Github!G$1417</f>
        <v>353</v>
      </c>
      <c r="F1418" s="18">
        <f t="shared" si="1"/>
        <v>26.15</v>
      </c>
      <c r="G1418" s="17" t="str">
        <f>Github!H$1417</f>
        <v>Algorithms</v>
      </c>
      <c r="H1418" s="17" t="str">
        <f>Github!E$1417</f>
        <v>Hard</v>
      </c>
      <c r="I1418" s="17" t="str">
        <f>IF(TRIM(Github!D$1417)="TRUE","FALSE","TRUE")</f>
        <v>TRUE</v>
      </c>
      <c r="J1418" s="17"/>
      <c r="K1418" s="17" t="str">
        <f>Github!L$1417</f>
        <v>String;Dynamic Programming;</v>
      </c>
      <c r="L1418" s="17" t="b">
        <f>Github!M$1417</f>
        <v>0</v>
      </c>
      <c r="M1418" s="17" t="str">
        <f>ROUND(Github!N$1417, 2)&amp;"%"</f>
        <v>0%</v>
      </c>
      <c r="N1418" s="17">
        <f>Github!O$1417</f>
        <v>37.78474264</v>
      </c>
      <c r="O1418" s="17">
        <f>Github!P$1417</f>
        <v>11694</v>
      </c>
    </row>
    <row r="1419">
      <c r="A1419" s="17">
        <f>Github!J$1418</f>
        <v>1417</v>
      </c>
      <c r="B1419" s="27" t="str">
        <f>HYPERLINK(CONCAT("http://leetcode.com/problems/",Github!C$1418), Github!B$1418)</f>
        <v>Reformat The String</v>
      </c>
      <c r="C1419" s="17">
        <f>Github!F$1418</f>
        <v>379</v>
      </c>
      <c r="D1419" s="17">
        <f>Github!G$1418</f>
        <v>73</v>
      </c>
      <c r="E1419" s="17">
        <f>Github!F$1418+Github!G$1418</f>
        <v>452</v>
      </c>
      <c r="F1419" s="18">
        <f t="shared" si="1"/>
        <v>5.19</v>
      </c>
      <c r="G1419" s="17" t="str">
        <f>Github!H$1418</f>
        <v>Algorithms</v>
      </c>
      <c r="H1419" s="17" t="str">
        <f>Github!E$1418</f>
        <v>Easy</v>
      </c>
      <c r="I1419" s="17" t="str">
        <f>IF(TRIM(Github!D$1418)="TRUE","FALSE","TRUE")</f>
        <v>TRUE</v>
      </c>
      <c r="J1419" s="17"/>
      <c r="K1419" s="17" t="str">
        <f>Github!L$1418</f>
        <v>String;</v>
      </c>
      <c r="L1419" s="17" t="b">
        <f>Github!M$1418</f>
        <v>0</v>
      </c>
      <c r="M1419" s="17" t="str">
        <f>ROUND(Github!N$1418, 2)&amp;"%"</f>
        <v>0%</v>
      </c>
      <c r="N1419" s="17">
        <f>Github!O$1418</f>
        <v>56.41506868</v>
      </c>
      <c r="O1419" s="17">
        <f>Github!P$1418</f>
        <v>41482</v>
      </c>
    </row>
    <row r="1420">
      <c r="A1420" s="17">
        <f>Github!J$1419</f>
        <v>1418</v>
      </c>
      <c r="B1420" s="27" t="str">
        <f>HYPERLINK(CONCAT("http://leetcode.com/problems/",Github!C$1419), Github!B$1419)</f>
        <v>Display Table of Food Orders in a Restaurant</v>
      </c>
      <c r="C1420" s="17">
        <f>Github!F$1419</f>
        <v>188</v>
      </c>
      <c r="D1420" s="17">
        <f>Github!G$1419</f>
        <v>327</v>
      </c>
      <c r="E1420" s="17">
        <f>Github!F$1419+Github!G$1419</f>
        <v>515</v>
      </c>
      <c r="F1420" s="18">
        <f t="shared" si="1"/>
        <v>0.57</v>
      </c>
      <c r="G1420" s="17" t="str">
        <f>Github!H$1419</f>
        <v>Algorithms</v>
      </c>
      <c r="H1420" s="17" t="str">
        <f>Github!E$1419</f>
        <v>Medium</v>
      </c>
      <c r="I1420" s="17" t="str">
        <f>IF(TRIM(Github!D$1419)="TRUE","FALSE","TRUE")</f>
        <v>TRUE</v>
      </c>
      <c r="J1420" s="17"/>
      <c r="K1420" s="17" t="str">
        <f>Github!L$1419</f>
        <v>Array;Hash Table;String;Sorting;Ordered Set;</v>
      </c>
      <c r="L1420" s="17" t="b">
        <f>Github!M$1419</f>
        <v>0</v>
      </c>
      <c r="M1420" s="17" t="str">
        <f>ROUND(Github!N$1419, 2)&amp;"%"</f>
        <v>0%</v>
      </c>
      <c r="N1420" s="17">
        <f>Github!O$1419</f>
        <v>72.09596959</v>
      </c>
      <c r="O1420" s="17">
        <f>Github!P$1419</f>
        <v>18210</v>
      </c>
    </row>
    <row r="1421">
      <c r="A1421" s="17">
        <f>Github!J$1420</f>
        <v>1419</v>
      </c>
      <c r="B1421" s="27" t="str">
        <f>HYPERLINK(CONCAT("http://leetcode.com/problems/",Github!C$1420), Github!B$1420)</f>
        <v>Minimum Number of Frogs Croaking</v>
      </c>
      <c r="C1421" s="17">
        <f>Github!F$1420</f>
        <v>612</v>
      </c>
      <c r="D1421" s="17">
        <f>Github!G$1420</f>
        <v>38</v>
      </c>
      <c r="E1421" s="17">
        <f>Github!F$1420+Github!G$1420</f>
        <v>650</v>
      </c>
      <c r="F1421" s="18">
        <f t="shared" si="1"/>
        <v>16.11</v>
      </c>
      <c r="G1421" s="17" t="str">
        <f>Github!H$1420</f>
        <v>Algorithms</v>
      </c>
      <c r="H1421" s="17" t="str">
        <f>Github!E$1420</f>
        <v>Medium</v>
      </c>
      <c r="I1421" s="17" t="str">
        <f>IF(TRIM(Github!D$1420)="TRUE","FALSE","TRUE")</f>
        <v>TRUE</v>
      </c>
      <c r="J1421" s="17"/>
      <c r="K1421" s="17" t="str">
        <f>Github!L$1420</f>
        <v>String;Counting;</v>
      </c>
      <c r="L1421" s="17" t="b">
        <f>Github!M$1420</f>
        <v>0</v>
      </c>
      <c r="M1421" s="17" t="str">
        <f>ROUND(Github!N$1420, 2)&amp;"%"</f>
        <v>0%</v>
      </c>
      <c r="N1421" s="17">
        <f>Github!O$1420</f>
        <v>49.59425845</v>
      </c>
      <c r="O1421" s="17">
        <f>Github!P$1420</f>
        <v>24324</v>
      </c>
    </row>
    <row r="1422">
      <c r="A1422" s="17">
        <f>Github!J$1421</f>
        <v>1420</v>
      </c>
      <c r="B1422" s="27" t="str">
        <f>HYPERLINK(CONCAT("http://leetcode.com/problems/",Github!C$1421), Github!B$1421)</f>
        <v>Build Array Where You Can Find The Maximum Exactly K Comparisons</v>
      </c>
      <c r="C1422" s="17">
        <f>Github!F$1421</f>
        <v>393</v>
      </c>
      <c r="D1422" s="17">
        <f>Github!G$1421</f>
        <v>10</v>
      </c>
      <c r="E1422" s="17">
        <f>Github!F$1421+Github!G$1421</f>
        <v>403</v>
      </c>
      <c r="F1422" s="18">
        <f t="shared" si="1"/>
        <v>39.3</v>
      </c>
      <c r="G1422" s="17" t="str">
        <f>Github!H$1421</f>
        <v>Algorithms</v>
      </c>
      <c r="H1422" s="17" t="str">
        <f>Github!E$1421</f>
        <v>Hard</v>
      </c>
      <c r="I1422" s="17" t="str">
        <f>IF(TRIM(Github!D$1421)="TRUE","FALSE","TRUE")</f>
        <v>TRUE</v>
      </c>
      <c r="J1422" s="17"/>
      <c r="K1422" s="17" t="str">
        <f>Github!L$1421</f>
        <v>Dynamic Programming;</v>
      </c>
      <c r="L1422" s="17" t="b">
        <f>Github!M$1421</f>
        <v>0</v>
      </c>
      <c r="M1422" s="17" t="str">
        <f>ROUND(Github!N$1421, 2)&amp;"%"</f>
        <v>0%</v>
      </c>
      <c r="N1422" s="17">
        <f>Github!O$1421</f>
        <v>64.64161447</v>
      </c>
      <c r="O1422" s="17">
        <f>Github!P$1421</f>
        <v>9289</v>
      </c>
    </row>
    <row r="1423">
      <c r="A1423" s="17">
        <f>Github!J$1422</f>
        <v>1421</v>
      </c>
      <c r="B1423" s="27" t="str">
        <f>HYPERLINK(CONCAT("http://leetcode.com/problems/",Github!C$1422), Github!B$1422)</f>
        <v>NPV Queries</v>
      </c>
      <c r="C1423" s="17">
        <f>Github!F$1422</f>
        <v>26</v>
      </c>
      <c r="D1423" s="17">
        <f>Github!G$1422</f>
        <v>233</v>
      </c>
      <c r="E1423" s="17">
        <f>Github!F$1422+Github!G$1422</f>
        <v>259</v>
      </c>
      <c r="F1423" s="18">
        <f t="shared" si="1"/>
        <v>0.11</v>
      </c>
      <c r="G1423" s="17" t="str">
        <f>Github!H$1422</f>
        <v>Database</v>
      </c>
      <c r="H1423" s="17" t="str">
        <f>Github!E$1422</f>
        <v>Easy</v>
      </c>
      <c r="I1423" s="17" t="str">
        <f>IF(TRIM(Github!D$1422)="TRUE","FALSE","TRUE")</f>
        <v>FALSE</v>
      </c>
      <c r="J1423" s="17"/>
      <c r="K1423" s="17" t="str">
        <f>Github!L$1422</f>
        <v>Database;</v>
      </c>
      <c r="L1423" s="17" t="b">
        <f>Github!M$1422</f>
        <v>0</v>
      </c>
      <c r="M1423" s="17" t="str">
        <f>ROUND(Github!N$1422, 2)&amp;"%"</f>
        <v>0%</v>
      </c>
      <c r="N1423" s="17">
        <f>Github!O$1422</f>
        <v>83.40751864</v>
      </c>
      <c r="O1423" s="17">
        <f>Github!P$1422</f>
        <v>15553</v>
      </c>
    </row>
    <row r="1424">
      <c r="A1424" s="17">
        <f>Github!J$1423</f>
        <v>1422</v>
      </c>
      <c r="B1424" s="27" t="str">
        <f>HYPERLINK(CONCAT("http://leetcode.com/problems/",Github!C$1423), Github!B$1423)</f>
        <v>Maximum Score After Splitting a String</v>
      </c>
      <c r="C1424" s="17">
        <f>Github!F$1423</f>
        <v>472</v>
      </c>
      <c r="D1424" s="17">
        <f>Github!G$1423</f>
        <v>24</v>
      </c>
      <c r="E1424" s="17">
        <f>Github!F$1423+Github!G$1423</f>
        <v>496</v>
      </c>
      <c r="F1424" s="18">
        <f t="shared" si="1"/>
        <v>19.67</v>
      </c>
      <c r="G1424" s="17" t="str">
        <f>Github!H$1423</f>
        <v>Algorithms</v>
      </c>
      <c r="H1424" s="17" t="str">
        <f>Github!E$1423</f>
        <v>Easy</v>
      </c>
      <c r="I1424" s="17" t="str">
        <f>IF(TRIM(Github!D$1423)="TRUE","FALSE","TRUE")</f>
        <v>TRUE</v>
      </c>
      <c r="J1424" s="17"/>
      <c r="K1424" s="17" t="str">
        <f>Github!L$1423</f>
        <v>String;</v>
      </c>
      <c r="L1424" s="17" t="b">
        <f>Github!M$1423</f>
        <v>0</v>
      </c>
      <c r="M1424" s="17" t="str">
        <f>ROUND(Github!N$1423, 2)&amp;"%"</f>
        <v>0%</v>
      </c>
      <c r="N1424" s="17">
        <f>Github!O$1423</f>
        <v>57.74580631</v>
      </c>
      <c r="O1424" s="17">
        <f>Github!P$1423</f>
        <v>37488</v>
      </c>
    </row>
    <row r="1425">
      <c r="A1425" s="17">
        <f>Github!J$1424</f>
        <v>1423</v>
      </c>
      <c r="B1425" s="27" t="str">
        <f>HYPERLINK(CONCAT("http://leetcode.com/problems/",Github!C$1424), Github!B$1424)</f>
        <v>Maximum Points You Can Obtain from Cards</v>
      </c>
      <c r="C1425" s="17">
        <f>Github!F$1424</f>
        <v>2642</v>
      </c>
      <c r="D1425" s="17">
        <f>Github!G$1424</f>
        <v>107</v>
      </c>
      <c r="E1425" s="17">
        <f>Github!F$1424+Github!G$1424</f>
        <v>2749</v>
      </c>
      <c r="F1425" s="18">
        <f t="shared" si="1"/>
        <v>24.69</v>
      </c>
      <c r="G1425" s="17" t="str">
        <f>Github!H$1424</f>
        <v>Algorithms</v>
      </c>
      <c r="H1425" s="17" t="str">
        <f>Github!E$1424</f>
        <v>Medium</v>
      </c>
      <c r="I1425" s="17" t="str">
        <f>IF(TRIM(Github!D$1424)="TRUE","FALSE","TRUE")</f>
        <v>TRUE</v>
      </c>
      <c r="J1425" s="17"/>
      <c r="K1425" s="17" t="str">
        <f>Github!L$1424</f>
        <v>Array;Sliding Window;Prefix Sum;</v>
      </c>
      <c r="L1425" s="17" t="b">
        <f>Github!M$1424</f>
        <v>1</v>
      </c>
      <c r="M1425" s="17" t="str">
        <f>ROUND(Github!N$1424, 2)&amp;"%"</f>
        <v>0%</v>
      </c>
      <c r="N1425" s="17">
        <f>Github!O$1424</f>
        <v>49.8912054</v>
      </c>
      <c r="O1425" s="17">
        <f>Github!P$1424</f>
        <v>122207</v>
      </c>
    </row>
    <row r="1426">
      <c r="A1426" s="17">
        <f>Github!J$1425</f>
        <v>1424</v>
      </c>
      <c r="B1426" s="27" t="str">
        <f>HYPERLINK(CONCAT("http://leetcode.com/problems/",Github!C$1425), Github!B$1425)</f>
        <v>Diagonal Traverse II</v>
      </c>
      <c r="C1426" s="17">
        <f>Github!F$1425</f>
        <v>780</v>
      </c>
      <c r="D1426" s="17">
        <f>Github!G$1425</f>
        <v>74</v>
      </c>
      <c r="E1426" s="17">
        <f>Github!F$1425+Github!G$1425</f>
        <v>854</v>
      </c>
      <c r="F1426" s="18">
        <f t="shared" si="1"/>
        <v>10.54</v>
      </c>
      <c r="G1426" s="17" t="str">
        <f>Github!H$1425</f>
        <v>Algorithms</v>
      </c>
      <c r="H1426" s="17" t="str">
        <f>Github!E$1425</f>
        <v>Medium</v>
      </c>
      <c r="I1426" s="17" t="str">
        <f>IF(TRIM(Github!D$1425)="TRUE","FALSE","TRUE")</f>
        <v>TRUE</v>
      </c>
      <c r="J1426" s="17"/>
      <c r="K1426" s="17" t="str">
        <f>Github!L$1425</f>
        <v>Array;Sorting;Heap (Priority Queue);</v>
      </c>
      <c r="L1426" s="17" t="b">
        <f>Github!M$1425</f>
        <v>0</v>
      </c>
      <c r="M1426" s="17" t="str">
        <f>ROUND(Github!N$1425, 2)&amp;"%"</f>
        <v>0%</v>
      </c>
      <c r="N1426" s="17">
        <f>Github!O$1425</f>
        <v>49.70413445</v>
      </c>
      <c r="O1426" s="17">
        <f>Github!P$1425</f>
        <v>38891</v>
      </c>
    </row>
    <row r="1427">
      <c r="A1427" s="17">
        <f>Github!J$1426</f>
        <v>1425</v>
      </c>
      <c r="B1427" s="27" t="str">
        <f>HYPERLINK(CONCAT("http://leetcode.com/problems/",Github!C$1426), Github!B$1426)</f>
        <v>Constrained Subsequence Sum</v>
      </c>
      <c r="C1427" s="17">
        <f>Github!F$1426</f>
        <v>747</v>
      </c>
      <c r="D1427" s="17">
        <f>Github!G$1426</f>
        <v>30</v>
      </c>
      <c r="E1427" s="17">
        <f>Github!F$1426+Github!G$1426</f>
        <v>777</v>
      </c>
      <c r="F1427" s="18">
        <f t="shared" si="1"/>
        <v>24.9</v>
      </c>
      <c r="G1427" s="17" t="str">
        <f>Github!H$1426</f>
        <v>Algorithms</v>
      </c>
      <c r="H1427" s="17" t="str">
        <f>Github!E$1426</f>
        <v>Hard</v>
      </c>
      <c r="I1427" s="17" t="str">
        <f>IF(TRIM(Github!D$1426)="TRUE","FALSE","TRUE")</f>
        <v>TRUE</v>
      </c>
      <c r="J1427" s="17"/>
      <c r="K1427" s="17" t="str">
        <f>Github!L$1426</f>
        <v>Array;Dynamic Programming;Queue;Sliding Window;Heap (Priority Queue);Monotonic Queue;</v>
      </c>
      <c r="L1427" s="17" t="b">
        <f>Github!M$1426</f>
        <v>0</v>
      </c>
      <c r="M1427" s="17" t="str">
        <f>ROUND(Github!N$1426, 2)&amp;"%"</f>
        <v>0%</v>
      </c>
      <c r="N1427" s="17">
        <f>Github!O$1426</f>
        <v>46.40531597</v>
      </c>
      <c r="O1427" s="17">
        <f>Github!P$1426</f>
        <v>17387</v>
      </c>
    </row>
    <row r="1428">
      <c r="A1428" s="17">
        <f>Github!J$1427</f>
        <v>1426</v>
      </c>
      <c r="B1428" s="27" t="str">
        <f>HYPERLINK(CONCAT("http://leetcode.com/problems/",Github!C$1427), Github!B$1427)</f>
        <v>Counting Elements</v>
      </c>
      <c r="C1428" s="17">
        <f>Github!F$1427</f>
        <v>83</v>
      </c>
      <c r="D1428" s="17">
        <f>Github!G$1427</f>
        <v>16</v>
      </c>
      <c r="E1428" s="17">
        <f>Github!F$1427+Github!G$1427</f>
        <v>99</v>
      </c>
      <c r="F1428" s="18">
        <f t="shared" si="1"/>
        <v>5.19</v>
      </c>
      <c r="G1428" s="17" t="str">
        <f>Github!H$1427</f>
        <v>Algorithms</v>
      </c>
      <c r="H1428" s="17" t="str">
        <f>Github!E$1427</f>
        <v>Easy</v>
      </c>
      <c r="I1428" s="17" t="str">
        <f>IF(TRIM(Github!D$1427)="TRUE","FALSE","TRUE")</f>
        <v>FALSE</v>
      </c>
      <c r="J1428" s="17"/>
      <c r="K1428" s="17" t="str">
        <f>Github!L$1427</f>
        <v>Array;Hash Table;</v>
      </c>
      <c r="L1428" s="17" t="b">
        <f>Github!M$1427</f>
        <v>1</v>
      </c>
      <c r="M1428" s="17" t="str">
        <f>ROUND(Github!N$1427, 2)&amp;"%"</f>
        <v>0%</v>
      </c>
      <c r="N1428" s="17">
        <f>Github!O$1427</f>
        <v>59.45897373</v>
      </c>
      <c r="O1428" s="17">
        <f>Github!P$1427</f>
        <v>89327</v>
      </c>
    </row>
    <row r="1429">
      <c r="A1429" s="17">
        <f>Github!J$1428</f>
        <v>1427</v>
      </c>
      <c r="B1429" s="27" t="str">
        <f>HYPERLINK(CONCAT("http://leetcode.com/problems/",Github!C$1428), Github!B$1428)</f>
        <v>Perform String Shifts</v>
      </c>
      <c r="C1429" s="17">
        <f>Github!F$1428</f>
        <v>138</v>
      </c>
      <c r="D1429" s="17">
        <f>Github!G$1428</f>
        <v>2</v>
      </c>
      <c r="E1429" s="17">
        <f>Github!F$1428+Github!G$1428</f>
        <v>140</v>
      </c>
      <c r="F1429" s="18">
        <f t="shared" si="1"/>
        <v>69</v>
      </c>
      <c r="G1429" s="17" t="str">
        <f>Github!H$1428</f>
        <v>Algorithms</v>
      </c>
      <c r="H1429" s="17" t="str">
        <f>Github!E$1428</f>
        <v>Easy</v>
      </c>
      <c r="I1429" s="17" t="str">
        <f>IF(TRIM(Github!D$1428)="TRUE","FALSE","TRUE")</f>
        <v>FALSE</v>
      </c>
      <c r="J1429" s="17"/>
      <c r="K1429" s="17" t="str">
        <f>Github!L$1428</f>
        <v>Array;Math;String;</v>
      </c>
      <c r="L1429" s="17" t="b">
        <f>Github!M$1428</f>
        <v>1</v>
      </c>
      <c r="M1429" s="17" t="str">
        <f>ROUND(Github!N$1428, 2)&amp;"%"</f>
        <v>0%</v>
      </c>
      <c r="N1429" s="17">
        <f>Github!O$1428</f>
        <v>53.97760479</v>
      </c>
      <c r="O1429" s="17">
        <f>Github!P$1428</f>
        <v>69270</v>
      </c>
    </row>
    <row r="1430">
      <c r="A1430" s="17">
        <f>Github!J$1429</f>
        <v>1428</v>
      </c>
      <c r="B1430" s="27" t="str">
        <f>HYPERLINK(CONCAT("http://leetcode.com/problems/",Github!C$1429), Github!B$1429)</f>
        <v>Leftmost Column with at Least a One</v>
      </c>
      <c r="C1430" s="17">
        <f>Github!F$1429</f>
        <v>902</v>
      </c>
      <c r="D1430" s="17">
        <f>Github!G$1429</f>
        <v>111</v>
      </c>
      <c r="E1430" s="17">
        <f>Github!F$1429+Github!G$1429</f>
        <v>1013</v>
      </c>
      <c r="F1430" s="18">
        <f t="shared" si="1"/>
        <v>8.13</v>
      </c>
      <c r="G1430" s="17" t="str">
        <f>Github!H$1429</f>
        <v>Algorithms</v>
      </c>
      <c r="H1430" s="17" t="str">
        <f>Github!E$1429</f>
        <v>Medium</v>
      </c>
      <c r="I1430" s="17" t="str">
        <f>IF(TRIM(Github!D$1429)="TRUE","FALSE","TRUE")</f>
        <v>FALSE</v>
      </c>
      <c r="J1430" s="17"/>
      <c r="K1430" s="17" t="str">
        <f>Github!L$1429</f>
        <v>Array;Binary Search;Matrix;Interactive;</v>
      </c>
      <c r="L1430" s="17" t="b">
        <f>Github!M$1429</f>
        <v>1</v>
      </c>
      <c r="M1430" s="17" t="str">
        <f>ROUND(Github!N$1429, 2)&amp;"%"</f>
        <v>0%</v>
      </c>
      <c r="N1430" s="17">
        <f>Github!O$1429</f>
        <v>52.35435251</v>
      </c>
      <c r="O1430" s="17">
        <f>Github!P$1429</f>
        <v>141618</v>
      </c>
    </row>
    <row r="1431">
      <c r="A1431" s="17">
        <f>Github!J$1430</f>
        <v>1429</v>
      </c>
      <c r="B1431" s="27" t="str">
        <f>HYPERLINK(CONCAT("http://leetcode.com/problems/",Github!C$1430), Github!B$1430)</f>
        <v>First Unique Number</v>
      </c>
      <c r="C1431" s="17">
        <f>Github!F$1430</f>
        <v>419</v>
      </c>
      <c r="D1431" s="17">
        <f>Github!G$1430</f>
        <v>20</v>
      </c>
      <c r="E1431" s="17">
        <f>Github!F$1430+Github!G$1430</f>
        <v>439</v>
      </c>
      <c r="F1431" s="18">
        <f t="shared" si="1"/>
        <v>20.95</v>
      </c>
      <c r="G1431" s="17" t="str">
        <f>Github!H$1430</f>
        <v>Algorithms</v>
      </c>
      <c r="H1431" s="17" t="str">
        <f>Github!E$1430</f>
        <v>Medium</v>
      </c>
      <c r="I1431" s="17" t="str">
        <f>IF(TRIM(Github!D$1430)="TRUE","FALSE","TRUE")</f>
        <v>FALSE</v>
      </c>
      <c r="J1431" s="17"/>
      <c r="K1431" s="17" t="str">
        <f>Github!L$1430</f>
        <v>Array;Hash Table;Design;Queue;Data Stream;</v>
      </c>
      <c r="L1431" s="17" t="b">
        <f>Github!M$1430</f>
        <v>1</v>
      </c>
      <c r="M1431" s="17" t="str">
        <f>ROUND(Github!N$1430, 2)&amp;"%"</f>
        <v>0%</v>
      </c>
      <c r="N1431" s="17">
        <f>Github!O$1430</f>
        <v>52.14123706</v>
      </c>
      <c r="O1431" s="17">
        <f>Github!P$1430</f>
        <v>69656</v>
      </c>
    </row>
    <row r="1432">
      <c r="A1432" s="17">
        <f>Github!J$1431</f>
        <v>1430</v>
      </c>
      <c r="B1432" s="27" t="str">
        <f>HYPERLINK(CONCAT("http://leetcode.com/problems/",Github!C$1431), Github!B$1431)</f>
        <v>Check If a String Is a Valid Sequence from Root to Leaves Path in a Binary Tree</v>
      </c>
      <c r="C1432" s="17">
        <f>Github!F$1431</f>
        <v>140</v>
      </c>
      <c r="D1432" s="17">
        <f>Github!G$1431</f>
        <v>9</v>
      </c>
      <c r="E1432" s="17">
        <f>Github!F$1431+Github!G$1431</f>
        <v>149</v>
      </c>
      <c r="F1432" s="18">
        <f t="shared" si="1"/>
        <v>15.56</v>
      </c>
      <c r="G1432" s="17" t="str">
        <f>Github!H$1431</f>
        <v>Algorithms</v>
      </c>
      <c r="H1432" s="17" t="str">
        <f>Github!E$1431</f>
        <v>Medium</v>
      </c>
      <c r="I1432" s="17" t="str">
        <f>IF(TRIM(Github!D$1431)="TRUE","FALSE","TRUE")</f>
        <v>FALSE</v>
      </c>
      <c r="J1432" s="17"/>
      <c r="K1432" s="17" t="str">
        <f>Github!L$1431</f>
        <v>Tree;Depth-First Search;Breadth-First Search;Binary Tree;</v>
      </c>
      <c r="L1432" s="17" t="b">
        <f>Github!M$1431</f>
        <v>0</v>
      </c>
      <c r="M1432" s="17" t="str">
        <f>ROUND(Github!N$1431, 2)&amp;"%"</f>
        <v>0%</v>
      </c>
      <c r="N1432" s="17">
        <f>Github!O$1431</f>
        <v>45.64709456</v>
      </c>
      <c r="O1432" s="17">
        <f>Github!P$1431</f>
        <v>39073</v>
      </c>
    </row>
    <row r="1433">
      <c r="A1433" s="17">
        <f>Github!J$1432</f>
        <v>1431</v>
      </c>
      <c r="B1433" s="27" t="str">
        <f>HYPERLINK(CONCAT("http://leetcode.com/problems/",Github!C$1432), Github!B$1432)</f>
        <v>Kids With the Greatest Number of Candies</v>
      </c>
      <c r="C1433" s="17">
        <f>Github!F$1432</f>
        <v>1441</v>
      </c>
      <c r="D1433" s="17">
        <f>Github!G$1432</f>
        <v>264</v>
      </c>
      <c r="E1433" s="17">
        <f>Github!F$1432+Github!G$1432</f>
        <v>1705</v>
      </c>
      <c r="F1433" s="18">
        <f t="shared" si="1"/>
        <v>5.46</v>
      </c>
      <c r="G1433" s="17" t="str">
        <f>Github!H$1432</f>
        <v>Algorithms</v>
      </c>
      <c r="H1433" s="17" t="str">
        <f>Github!E$1432</f>
        <v>Easy</v>
      </c>
      <c r="I1433" s="17" t="str">
        <f>IF(TRIM(Github!D$1432)="TRUE","FALSE","TRUE")</f>
        <v>TRUE</v>
      </c>
      <c r="J1433" s="17"/>
      <c r="K1433" s="17" t="str">
        <f>Github!L$1432</f>
        <v>Array;</v>
      </c>
      <c r="L1433" s="17" t="b">
        <f>Github!M$1432</f>
        <v>0</v>
      </c>
      <c r="M1433" s="17" t="str">
        <f>ROUND(Github!N$1432, 2)&amp;"%"</f>
        <v>0%</v>
      </c>
      <c r="N1433" s="17">
        <f>Github!O$1432</f>
        <v>87.7763437</v>
      </c>
      <c r="O1433" s="17">
        <f>Github!P$1432</f>
        <v>295837</v>
      </c>
    </row>
    <row r="1434">
      <c r="A1434" s="17">
        <f>Github!J$1433</f>
        <v>1432</v>
      </c>
      <c r="B1434" s="27" t="str">
        <f>HYPERLINK(CONCAT("http://leetcode.com/problems/",Github!C$1433), Github!B$1433)</f>
        <v>Max Difference You Can Get From Changing an Integer</v>
      </c>
      <c r="C1434" s="17">
        <f>Github!F$1433</f>
        <v>136</v>
      </c>
      <c r="D1434" s="17">
        <f>Github!G$1433</f>
        <v>183</v>
      </c>
      <c r="E1434" s="17">
        <f>Github!F$1433+Github!G$1433</f>
        <v>319</v>
      </c>
      <c r="F1434" s="18">
        <f t="shared" si="1"/>
        <v>0.74</v>
      </c>
      <c r="G1434" s="17" t="str">
        <f>Github!H$1433</f>
        <v>Algorithms</v>
      </c>
      <c r="H1434" s="17" t="str">
        <f>Github!E$1433</f>
        <v>Medium</v>
      </c>
      <c r="I1434" s="17" t="str">
        <f>IF(TRIM(Github!D$1433)="TRUE","FALSE","TRUE")</f>
        <v>TRUE</v>
      </c>
      <c r="J1434" s="17"/>
      <c r="K1434" s="17" t="str">
        <f>Github!L$1433</f>
        <v>Math;Greedy;</v>
      </c>
      <c r="L1434" s="17" t="b">
        <f>Github!M$1433</f>
        <v>0</v>
      </c>
      <c r="M1434" s="17" t="str">
        <f>ROUND(Github!N$1433, 2)&amp;"%"</f>
        <v>0%</v>
      </c>
      <c r="N1434" s="17">
        <f>Github!O$1433</f>
        <v>43.32374101</v>
      </c>
      <c r="O1434" s="17">
        <f>Github!P$1433</f>
        <v>12044</v>
      </c>
    </row>
    <row r="1435">
      <c r="A1435" s="17">
        <f>Github!J$1434</f>
        <v>1433</v>
      </c>
      <c r="B1435" s="27" t="str">
        <f>HYPERLINK(CONCAT("http://leetcode.com/problems/",Github!C$1434), Github!B$1434)</f>
        <v>Check If a String Can Break Another String</v>
      </c>
      <c r="C1435" s="17">
        <f>Github!F$1434</f>
        <v>481</v>
      </c>
      <c r="D1435" s="17">
        <f>Github!G$1434</f>
        <v>108</v>
      </c>
      <c r="E1435" s="17">
        <f>Github!F$1434+Github!G$1434</f>
        <v>589</v>
      </c>
      <c r="F1435" s="18">
        <f t="shared" si="1"/>
        <v>4.45</v>
      </c>
      <c r="G1435" s="17" t="str">
        <f>Github!H$1434</f>
        <v>Algorithms</v>
      </c>
      <c r="H1435" s="17" t="str">
        <f>Github!E$1434</f>
        <v>Medium</v>
      </c>
      <c r="I1435" s="17" t="str">
        <f>IF(TRIM(Github!D$1434)="TRUE","FALSE","TRUE")</f>
        <v>TRUE</v>
      </c>
      <c r="J1435" s="17"/>
      <c r="K1435" s="17" t="str">
        <f>Github!L$1434</f>
        <v>String;Greedy;Sorting;</v>
      </c>
      <c r="L1435" s="17" t="b">
        <f>Github!M$1434</f>
        <v>0</v>
      </c>
      <c r="M1435" s="17" t="str">
        <f>ROUND(Github!N$1434, 2)&amp;"%"</f>
        <v>0%</v>
      </c>
      <c r="N1435" s="17">
        <f>Github!O$1434</f>
        <v>68.35712407</v>
      </c>
      <c r="O1435" s="17">
        <f>Github!P$1434</f>
        <v>28589</v>
      </c>
    </row>
    <row r="1436">
      <c r="A1436" s="17">
        <f>Github!J$1435</f>
        <v>1434</v>
      </c>
      <c r="B1436" s="27" t="str">
        <f>HYPERLINK(CONCAT("http://leetcode.com/problems/",Github!C$1435), Github!B$1435)</f>
        <v>Number of Ways to Wear Different Hats to Each Other</v>
      </c>
      <c r="C1436" s="17">
        <f>Github!F$1435</f>
        <v>572</v>
      </c>
      <c r="D1436" s="17">
        <f>Github!G$1435</f>
        <v>7</v>
      </c>
      <c r="E1436" s="17">
        <f>Github!F$1435+Github!G$1435</f>
        <v>579</v>
      </c>
      <c r="F1436" s="18">
        <f t="shared" si="1"/>
        <v>81.71</v>
      </c>
      <c r="G1436" s="17" t="str">
        <f>Github!H$1435</f>
        <v>Algorithms</v>
      </c>
      <c r="H1436" s="17" t="str">
        <f>Github!E$1435</f>
        <v>Hard</v>
      </c>
      <c r="I1436" s="17" t="str">
        <f>IF(TRIM(Github!D$1435)="TRUE","FALSE","TRUE")</f>
        <v>TRUE</v>
      </c>
      <c r="J1436" s="17"/>
      <c r="K1436" s="17" t="str">
        <f>Github!L$1435</f>
        <v>Array;Dynamic Programming;Bit Manipulation;Bitmask;</v>
      </c>
      <c r="L1436" s="17" t="b">
        <f>Github!M$1435</f>
        <v>0</v>
      </c>
      <c r="M1436" s="17" t="str">
        <f>ROUND(Github!N$1435, 2)&amp;"%"</f>
        <v>0%</v>
      </c>
      <c r="N1436" s="17">
        <f>Github!O$1435</f>
        <v>41.74296372</v>
      </c>
      <c r="O1436" s="17">
        <f>Github!P$1435</f>
        <v>8617</v>
      </c>
    </row>
    <row r="1437">
      <c r="A1437" s="17">
        <f>Github!J$1436</f>
        <v>1435</v>
      </c>
      <c r="B1437" s="27" t="str">
        <f>HYPERLINK(CONCAT("http://leetcode.com/problems/",Github!C$1436), Github!B$1436)</f>
        <v>Create a Session Bar Chart</v>
      </c>
      <c r="C1437" s="17">
        <f>Github!F$1436</f>
        <v>104</v>
      </c>
      <c r="D1437" s="17">
        <f>Github!G$1436</f>
        <v>181</v>
      </c>
      <c r="E1437" s="17">
        <f>Github!F$1436+Github!G$1436</f>
        <v>285</v>
      </c>
      <c r="F1437" s="18">
        <f t="shared" si="1"/>
        <v>0.57</v>
      </c>
      <c r="G1437" s="17" t="str">
        <f>Github!H$1436</f>
        <v>Database</v>
      </c>
      <c r="H1437" s="17" t="str">
        <f>Github!E$1436</f>
        <v>Easy</v>
      </c>
      <c r="I1437" s="17" t="str">
        <f>IF(TRIM(Github!D$1436)="TRUE","FALSE","TRUE")</f>
        <v>FALSE</v>
      </c>
      <c r="J1437" s="17"/>
      <c r="K1437" s="17" t="str">
        <f>Github!L$1436</f>
        <v>Database;</v>
      </c>
      <c r="L1437" s="17" t="b">
        <f>Github!M$1436</f>
        <v>0</v>
      </c>
      <c r="M1437" s="17" t="str">
        <f>ROUND(Github!N$1436, 2)&amp;"%"</f>
        <v>0%</v>
      </c>
      <c r="N1437" s="17">
        <f>Github!O$1436</f>
        <v>78.3315107</v>
      </c>
      <c r="O1437" s="17">
        <f>Github!P$1436</f>
        <v>15042</v>
      </c>
    </row>
    <row r="1438">
      <c r="A1438" s="17">
        <f>Github!J$1437</f>
        <v>1436</v>
      </c>
      <c r="B1438" s="27" t="str">
        <f>HYPERLINK(CONCAT("http://leetcode.com/problems/",Github!C$1437), Github!B$1437)</f>
        <v>Destination City</v>
      </c>
      <c r="C1438" s="17">
        <f>Github!F$1437</f>
        <v>906</v>
      </c>
      <c r="D1438" s="17">
        <f>Github!G$1437</f>
        <v>59</v>
      </c>
      <c r="E1438" s="17">
        <f>Github!F$1437+Github!G$1437</f>
        <v>965</v>
      </c>
      <c r="F1438" s="18">
        <f t="shared" si="1"/>
        <v>15.36</v>
      </c>
      <c r="G1438" s="17" t="str">
        <f>Github!H$1437</f>
        <v>Algorithms</v>
      </c>
      <c r="H1438" s="17" t="str">
        <f>Github!E$1437</f>
        <v>Easy</v>
      </c>
      <c r="I1438" s="17" t="str">
        <f>IF(TRIM(Github!D$1437)="TRUE","FALSE","TRUE")</f>
        <v>TRUE</v>
      </c>
      <c r="J1438" s="17"/>
      <c r="K1438" s="17" t="str">
        <f>Github!L$1437</f>
        <v>Hash Table;String;</v>
      </c>
      <c r="L1438" s="17" t="b">
        <f>Github!M$1437</f>
        <v>0</v>
      </c>
      <c r="M1438" s="17" t="str">
        <f>ROUND(Github!N$1437, 2)&amp;"%"</f>
        <v>0%</v>
      </c>
      <c r="N1438" s="17">
        <f>Github!O$1437</f>
        <v>77.6610358</v>
      </c>
      <c r="O1438" s="17">
        <f>Github!P$1437</f>
        <v>94981</v>
      </c>
    </row>
    <row r="1439">
      <c r="A1439" s="17">
        <f>Github!J$1438</f>
        <v>1437</v>
      </c>
      <c r="B1439" s="27" t="str">
        <f>HYPERLINK(CONCAT("http://leetcode.com/problems/",Github!C$1438), Github!B$1438)</f>
        <v>Check If All 1's Are at Least Length K Places Away</v>
      </c>
      <c r="C1439" s="17">
        <f>Github!F$1438</f>
        <v>378</v>
      </c>
      <c r="D1439" s="17">
        <f>Github!G$1438</f>
        <v>192</v>
      </c>
      <c r="E1439" s="17">
        <f>Github!F$1438+Github!G$1438</f>
        <v>570</v>
      </c>
      <c r="F1439" s="18">
        <f t="shared" si="1"/>
        <v>1.97</v>
      </c>
      <c r="G1439" s="17" t="str">
        <f>Github!H$1438</f>
        <v>Algorithms</v>
      </c>
      <c r="H1439" s="17" t="str">
        <f>Github!E$1438</f>
        <v>Easy</v>
      </c>
      <c r="I1439" s="17" t="str">
        <f>IF(TRIM(Github!D$1438)="TRUE","FALSE","TRUE")</f>
        <v>TRUE</v>
      </c>
      <c r="J1439" s="17"/>
      <c r="K1439" s="17" t="str">
        <f>Github!L$1438</f>
        <v>Array;</v>
      </c>
      <c r="L1439" s="17" t="b">
        <f>Github!M$1438</f>
        <v>1</v>
      </c>
      <c r="M1439" s="17" t="str">
        <f>ROUND(Github!N$1438, 2)&amp;"%"</f>
        <v>0%</v>
      </c>
      <c r="N1439" s="17">
        <f>Github!O$1438</f>
        <v>60.11530566</v>
      </c>
      <c r="O1439" s="17">
        <f>Github!P$1438</f>
        <v>56514</v>
      </c>
    </row>
    <row r="1440">
      <c r="A1440" s="17">
        <f>Github!J$1439</f>
        <v>1438</v>
      </c>
      <c r="B1440" s="27" t="str">
        <f>HYPERLINK(CONCAT("http://leetcode.com/problems/",Github!C$1439), Github!B$1439)</f>
        <v>Longest Continuous Subarray With Absolute Diff Less Than or Equal to Limit</v>
      </c>
      <c r="C1440" s="17">
        <f>Github!F$1439</f>
        <v>1973</v>
      </c>
      <c r="D1440" s="17">
        <f>Github!G$1439</f>
        <v>83</v>
      </c>
      <c r="E1440" s="17">
        <f>Github!F$1439+Github!G$1439</f>
        <v>2056</v>
      </c>
      <c r="F1440" s="18">
        <f t="shared" si="1"/>
        <v>23.77</v>
      </c>
      <c r="G1440" s="17" t="str">
        <f>Github!H$1439</f>
        <v>Algorithms</v>
      </c>
      <c r="H1440" s="17" t="str">
        <f>Github!E$1439</f>
        <v>Medium</v>
      </c>
      <c r="I1440" s="17" t="str">
        <f>IF(TRIM(Github!D$1439)="TRUE","FALSE","TRUE")</f>
        <v>TRUE</v>
      </c>
      <c r="J1440" s="17"/>
      <c r="K1440" s="17" t="str">
        <f>Github!L$1439</f>
        <v>Array;Queue;Sliding Window;Heap (Priority Queue);Ordered Set;Monotonic Queue;</v>
      </c>
      <c r="L1440" s="17" t="b">
        <f>Github!M$1439</f>
        <v>0</v>
      </c>
      <c r="M1440" s="17" t="str">
        <f>ROUND(Github!N$1439, 2)&amp;"%"</f>
        <v>0%</v>
      </c>
      <c r="N1440" s="17">
        <f>Github!O$1439</f>
        <v>45.9410795</v>
      </c>
      <c r="O1440" s="17">
        <f>Github!P$1439</f>
        <v>75521</v>
      </c>
    </row>
    <row r="1441">
      <c r="A1441" s="17">
        <f>Github!J$1440</f>
        <v>1439</v>
      </c>
      <c r="B1441" s="27" t="str">
        <f>HYPERLINK(CONCAT("http://leetcode.com/problems/",Github!C$1440), Github!B$1440)</f>
        <v>Find the Kth Smallest Sum of a Matrix With Sorted Rows</v>
      </c>
      <c r="C1441" s="17">
        <f>Github!F$1440</f>
        <v>808</v>
      </c>
      <c r="D1441" s="17">
        <f>Github!G$1440</f>
        <v>9</v>
      </c>
      <c r="E1441" s="17">
        <f>Github!F$1440+Github!G$1440</f>
        <v>817</v>
      </c>
      <c r="F1441" s="18">
        <f t="shared" si="1"/>
        <v>89.78</v>
      </c>
      <c r="G1441" s="17" t="str">
        <f>Github!H$1440</f>
        <v>Algorithms</v>
      </c>
      <c r="H1441" s="17" t="str">
        <f>Github!E$1440</f>
        <v>Hard</v>
      </c>
      <c r="I1441" s="17" t="str">
        <f>IF(TRIM(Github!D$1440)="TRUE","FALSE","TRUE")</f>
        <v>TRUE</v>
      </c>
      <c r="J1441" s="17"/>
      <c r="K1441" s="17" t="str">
        <f>Github!L$1440</f>
        <v>Array;Binary Search;Heap (Priority Queue);Matrix;</v>
      </c>
      <c r="L1441" s="17" t="b">
        <f>Github!M$1440</f>
        <v>0</v>
      </c>
      <c r="M1441" s="17" t="str">
        <f>ROUND(Github!N$1440, 2)&amp;"%"</f>
        <v>0%</v>
      </c>
      <c r="N1441" s="17">
        <f>Github!O$1440</f>
        <v>61.47929454</v>
      </c>
      <c r="O1441" s="17">
        <f>Github!P$1440</f>
        <v>23738</v>
      </c>
    </row>
    <row r="1442">
      <c r="A1442" s="17">
        <f>Github!J$1441</f>
        <v>1440</v>
      </c>
      <c r="B1442" s="27" t="str">
        <f>HYPERLINK(CONCAT("http://leetcode.com/problems/",Github!C$1441), Github!B$1441)</f>
        <v>Evaluate Boolean Expression</v>
      </c>
      <c r="C1442" s="17">
        <f>Github!F$1441</f>
        <v>106</v>
      </c>
      <c r="D1442" s="17">
        <f>Github!G$1441</f>
        <v>6</v>
      </c>
      <c r="E1442" s="17">
        <f>Github!F$1441+Github!G$1441</f>
        <v>112</v>
      </c>
      <c r="F1442" s="18">
        <f t="shared" si="1"/>
        <v>17.67</v>
      </c>
      <c r="G1442" s="17" t="str">
        <f>Github!H$1441</f>
        <v>Database</v>
      </c>
      <c r="H1442" s="17" t="str">
        <f>Github!E$1441</f>
        <v>Medium</v>
      </c>
      <c r="I1442" s="17" t="str">
        <f>IF(TRIM(Github!D$1441)="TRUE","FALSE","TRUE")</f>
        <v>FALSE</v>
      </c>
      <c r="J1442" s="17"/>
      <c r="K1442" s="17" t="str">
        <f>Github!L$1441</f>
        <v>Database;</v>
      </c>
      <c r="L1442" s="17" t="b">
        <f>Github!M$1441</f>
        <v>0</v>
      </c>
      <c r="M1442" s="17" t="str">
        <f>ROUND(Github!N$1441, 2)&amp;"%"</f>
        <v>0%</v>
      </c>
      <c r="N1442" s="17">
        <f>Github!O$1441</f>
        <v>75.52534804</v>
      </c>
      <c r="O1442" s="17">
        <f>Github!P$1441</f>
        <v>11500</v>
      </c>
    </row>
    <row r="1443">
      <c r="A1443" s="17">
        <f>Github!J$1442</f>
        <v>1441</v>
      </c>
      <c r="B1443" s="27" t="str">
        <f>HYPERLINK(CONCAT("http://leetcode.com/problems/",Github!C$1442), Github!B$1442)</f>
        <v>Build an Array With Stack Operations</v>
      </c>
      <c r="C1443" s="17">
        <f>Github!F$1442</f>
        <v>438</v>
      </c>
      <c r="D1443" s="17">
        <f>Github!G$1442</f>
        <v>728</v>
      </c>
      <c r="E1443" s="17">
        <f>Github!F$1442+Github!G$1442</f>
        <v>1166</v>
      </c>
      <c r="F1443" s="18">
        <f t="shared" si="1"/>
        <v>0.6</v>
      </c>
      <c r="G1443" s="17" t="str">
        <f>Github!H$1442</f>
        <v>Algorithms</v>
      </c>
      <c r="H1443" s="17" t="str">
        <f>Github!E$1442</f>
        <v>Easy</v>
      </c>
      <c r="I1443" s="17" t="str">
        <f>IF(TRIM(Github!D$1442)="TRUE","FALSE","TRUE")</f>
        <v>TRUE</v>
      </c>
      <c r="J1443" s="17"/>
      <c r="K1443" s="17" t="str">
        <f>Github!L$1442</f>
        <v>Array;Stack;Simulation;</v>
      </c>
      <c r="L1443" s="17" t="b">
        <f>Github!M$1442</f>
        <v>0</v>
      </c>
      <c r="M1443" s="17" t="str">
        <f>ROUND(Github!N$1442, 2)&amp;"%"</f>
        <v>0%</v>
      </c>
      <c r="N1443" s="17">
        <f>Github!O$1442</f>
        <v>70.85103724</v>
      </c>
      <c r="O1443" s="17">
        <f>Github!P$1442</f>
        <v>56693</v>
      </c>
    </row>
    <row r="1444">
      <c r="A1444" s="17">
        <f>Github!J$1443</f>
        <v>1442</v>
      </c>
      <c r="B1444" s="27" t="str">
        <f>HYPERLINK(CONCAT("http://leetcode.com/problems/",Github!C$1443), Github!B$1443)</f>
        <v>Count Triplets That Can Form Two Arrays of Equal XOR</v>
      </c>
      <c r="C1444" s="17">
        <f>Github!F$1443</f>
        <v>854</v>
      </c>
      <c r="D1444" s="17">
        <f>Github!G$1443</f>
        <v>43</v>
      </c>
      <c r="E1444" s="17">
        <f>Github!F$1443+Github!G$1443</f>
        <v>897</v>
      </c>
      <c r="F1444" s="18">
        <f t="shared" si="1"/>
        <v>19.86</v>
      </c>
      <c r="G1444" s="17" t="str">
        <f>Github!H$1443</f>
        <v>Algorithms</v>
      </c>
      <c r="H1444" s="17" t="str">
        <f>Github!E$1443</f>
        <v>Medium</v>
      </c>
      <c r="I1444" s="17" t="str">
        <f>IF(TRIM(Github!D$1443)="TRUE","FALSE","TRUE")</f>
        <v>TRUE</v>
      </c>
      <c r="J1444" s="17"/>
      <c r="K1444" s="17" t="str">
        <f>Github!L$1443</f>
        <v>Array;Hash Table;Math;Bit Manipulation;Prefix Sum;</v>
      </c>
      <c r="L1444" s="17" t="b">
        <f>Github!M$1443</f>
        <v>0</v>
      </c>
      <c r="M1444" s="17" t="str">
        <f>ROUND(Github!N$1443, 2)&amp;"%"</f>
        <v>0%</v>
      </c>
      <c r="N1444" s="17">
        <f>Github!O$1443</f>
        <v>74.48908954</v>
      </c>
      <c r="O1444" s="17">
        <f>Github!P$1443</f>
        <v>24748</v>
      </c>
    </row>
    <row r="1445">
      <c r="A1445" s="17">
        <f>Github!J$1444</f>
        <v>1443</v>
      </c>
      <c r="B1445" s="27" t="str">
        <f>HYPERLINK(CONCAT("http://leetcode.com/problems/",Github!C$1444), Github!B$1444)</f>
        <v>Minimum Time to Collect All Apples in a Tree</v>
      </c>
      <c r="C1445" s="17">
        <f>Github!F$1444</f>
        <v>888</v>
      </c>
      <c r="D1445" s="17">
        <f>Github!G$1444</f>
        <v>86</v>
      </c>
      <c r="E1445" s="17">
        <f>Github!F$1444+Github!G$1444</f>
        <v>974</v>
      </c>
      <c r="F1445" s="18">
        <f t="shared" si="1"/>
        <v>10.33</v>
      </c>
      <c r="G1445" s="17" t="str">
        <f>Github!H$1444</f>
        <v>Algorithms</v>
      </c>
      <c r="H1445" s="17" t="str">
        <f>Github!E$1444</f>
        <v>Medium</v>
      </c>
      <c r="I1445" s="17" t="str">
        <f>IF(TRIM(Github!D$1444)="TRUE","FALSE","TRUE")</f>
        <v>TRUE</v>
      </c>
      <c r="J1445" s="17"/>
      <c r="K1445" s="17" t="str">
        <f>Github!L$1444</f>
        <v>Hash Table;Tree;Depth-First Search;Breadth-First Search;</v>
      </c>
      <c r="L1445" s="17" t="b">
        <f>Github!M$1444</f>
        <v>0</v>
      </c>
      <c r="M1445" s="17" t="str">
        <f>ROUND(Github!N$1444, 2)&amp;"%"</f>
        <v>0%</v>
      </c>
      <c r="N1445" s="17">
        <f>Github!O$1444</f>
        <v>55.52264495</v>
      </c>
      <c r="O1445" s="17">
        <f>Github!P$1444</f>
        <v>27742</v>
      </c>
    </row>
    <row r="1446">
      <c r="A1446" s="17">
        <f>Github!J$1445</f>
        <v>1444</v>
      </c>
      <c r="B1446" s="27" t="str">
        <f>HYPERLINK(CONCAT("http://leetcode.com/problems/",Github!C$1445), Github!B$1445)</f>
        <v>Number of Ways of Cutting a Pizza</v>
      </c>
      <c r="C1446" s="17">
        <f>Github!F$1445</f>
        <v>421</v>
      </c>
      <c r="D1446" s="17">
        <f>Github!G$1445</f>
        <v>16</v>
      </c>
      <c r="E1446" s="17">
        <f>Github!F$1445+Github!G$1445</f>
        <v>437</v>
      </c>
      <c r="F1446" s="18">
        <f t="shared" si="1"/>
        <v>26.31</v>
      </c>
      <c r="G1446" s="17" t="str">
        <f>Github!H$1445</f>
        <v>Algorithms</v>
      </c>
      <c r="H1446" s="17" t="str">
        <f>Github!E$1445</f>
        <v>Hard</v>
      </c>
      <c r="I1446" s="17" t="str">
        <f>IF(TRIM(Github!D$1445)="TRUE","FALSE","TRUE")</f>
        <v>TRUE</v>
      </c>
      <c r="J1446" s="17"/>
      <c r="K1446" s="17" t="str">
        <f>Github!L$1445</f>
        <v>Array;Dynamic Programming;Memoization;Matrix;</v>
      </c>
      <c r="L1446" s="17" t="b">
        <f>Github!M$1445</f>
        <v>0</v>
      </c>
      <c r="M1446" s="17" t="str">
        <f>ROUND(Github!N$1445, 2)&amp;"%"</f>
        <v>0%</v>
      </c>
      <c r="N1446" s="17">
        <f>Github!O$1445</f>
        <v>55.32487881</v>
      </c>
      <c r="O1446" s="17">
        <f>Github!P$1445</f>
        <v>11299</v>
      </c>
    </row>
    <row r="1447">
      <c r="A1447" s="17">
        <f>Github!J$1446</f>
        <v>1445</v>
      </c>
      <c r="B1447" s="27" t="str">
        <f>HYPERLINK(CONCAT("http://leetcode.com/problems/",Github!C$1446), Github!B$1446)</f>
        <v>Apples &amp; Oranges</v>
      </c>
      <c r="C1447" s="17">
        <f>Github!F$1446</f>
        <v>123</v>
      </c>
      <c r="D1447" s="17">
        <f>Github!G$1446</f>
        <v>17</v>
      </c>
      <c r="E1447" s="17">
        <f>Github!F$1446+Github!G$1446</f>
        <v>140</v>
      </c>
      <c r="F1447" s="18">
        <f t="shared" si="1"/>
        <v>7.24</v>
      </c>
      <c r="G1447" s="17" t="str">
        <f>Github!H$1446</f>
        <v>Database</v>
      </c>
      <c r="H1447" s="17" t="str">
        <f>Github!E$1446</f>
        <v>Medium</v>
      </c>
      <c r="I1447" s="17" t="str">
        <f>IF(TRIM(Github!D$1446)="TRUE","FALSE","TRUE")</f>
        <v>FALSE</v>
      </c>
      <c r="J1447" s="17"/>
      <c r="K1447" s="17" t="str">
        <f>Github!L$1446</f>
        <v>Database;</v>
      </c>
      <c r="L1447" s="17" t="b">
        <f>Github!M$1446</f>
        <v>0</v>
      </c>
      <c r="M1447" s="17" t="str">
        <f>ROUND(Github!N$1446, 2)&amp;"%"</f>
        <v>0%</v>
      </c>
      <c r="N1447" s="17">
        <f>Github!O$1446</f>
        <v>91.50306865</v>
      </c>
      <c r="O1447" s="17">
        <f>Github!P$1446</f>
        <v>24003</v>
      </c>
    </row>
    <row r="1448">
      <c r="A1448" s="17">
        <f>Github!J$1447</f>
        <v>1446</v>
      </c>
      <c r="B1448" s="27" t="str">
        <f>HYPERLINK(CONCAT("http://leetcode.com/problems/",Github!C$1447), Github!B$1447)</f>
        <v>Consecutive Characters</v>
      </c>
      <c r="C1448" s="17">
        <f>Github!F$1447</f>
        <v>1179</v>
      </c>
      <c r="D1448" s="17">
        <f>Github!G$1447</f>
        <v>24</v>
      </c>
      <c r="E1448" s="17">
        <f>Github!F$1447+Github!G$1447</f>
        <v>1203</v>
      </c>
      <c r="F1448" s="18">
        <f t="shared" si="1"/>
        <v>49.13</v>
      </c>
      <c r="G1448" s="17" t="str">
        <f>Github!H$1447</f>
        <v>Algorithms</v>
      </c>
      <c r="H1448" s="17" t="str">
        <f>Github!E$1447</f>
        <v>Easy</v>
      </c>
      <c r="I1448" s="17" t="str">
        <f>IF(TRIM(Github!D$1447)="TRUE","FALSE","TRUE")</f>
        <v>TRUE</v>
      </c>
      <c r="J1448" s="17"/>
      <c r="K1448" s="17" t="str">
        <f>Github!L$1447</f>
        <v>String;</v>
      </c>
      <c r="L1448" s="17" t="b">
        <f>Github!M$1447</f>
        <v>1</v>
      </c>
      <c r="M1448" s="17" t="str">
        <f>ROUND(Github!N$1447, 2)&amp;"%"</f>
        <v>0%</v>
      </c>
      <c r="N1448" s="17">
        <f>Github!O$1447</f>
        <v>61.98048602</v>
      </c>
      <c r="O1448" s="17">
        <f>Github!P$1447</f>
        <v>115487</v>
      </c>
    </row>
    <row r="1449">
      <c r="A1449" s="17">
        <f>Github!J$1448</f>
        <v>1447</v>
      </c>
      <c r="B1449" s="27" t="str">
        <f>HYPERLINK(CONCAT("http://leetcode.com/problems/",Github!C$1448), Github!B$1448)</f>
        <v>Simplified Fractions</v>
      </c>
      <c r="C1449" s="17">
        <f>Github!F$1448</f>
        <v>226</v>
      </c>
      <c r="D1449" s="17">
        <f>Github!G$1448</f>
        <v>31</v>
      </c>
      <c r="E1449" s="17">
        <f>Github!F$1448+Github!G$1448</f>
        <v>257</v>
      </c>
      <c r="F1449" s="18">
        <f t="shared" si="1"/>
        <v>7.29</v>
      </c>
      <c r="G1449" s="17" t="str">
        <f>Github!H$1448</f>
        <v>Algorithms</v>
      </c>
      <c r="H1449" s="17" t="str">
        <f>Github!E$1448</f>
        <v>Medium</v>
      </c>
      <c r="I1449" s="17" t="str">
        <f>IF(TRIM(Github!D$1448)="TRUE","FALSE","TRUE")</f>
        <v>TRUE</v>
      </c>
      <c r="J1449" s="17"/>
      <c r="K1449" s="17" t="str">
        <f>Github!L$1448</f>
        <v>Math;String;Number Theory;</v>
      </c>
      <c r="L1449" s="17" t="b">
        <f>Github!M$1448</f>
        <v>0</v>
      </c>
      <c r="M1449" s="17" t="str">
        <f>ROUND(Github!N$1448, 2)&amp;"%"</f>
        <v>0%</v>
      </c>
      <c r="N1449" s="17">
        <f>Github!O$1448</f>
        <v>63.78205128</v>
      </c>
      <c r="O1449" s="17">
        <f>Github!P$1448</f>
        <v>19900</v>
      </c>
    </row>
    <row r="1450">
      <c r="A1450" s="17">
        <f>Github!J$1449</f>
        <v>1448</v>
      </c>
      <c r="B1450" s="27" t="str">
        <f>HYPERLINK(CONCAT("http://leetcode.com/problems/",Github!C$1449), Github!B$1449)</f>
        <v>Count Good Nodes in Binary Tree</v>
      </c>
      <c r="C1450" s="17">
        <f>Github!F$1449</f>
        <v>2148</v>
      </c>
      <c r="D1450" s="17">
        <f>Github!G$1449</f>
        <v>71</v>
      </c>
      <c r="E1450" s="17">
        <f>Github!F$1449+Github!G$1449</f>
        <v>2219</v>
      </c>
      <c r="F1450" s="18">
        <f t="shared" si="1"/>
        <v>30.25</v>
      </c>
      <c r="G1450" s="17" t="str">
        <f>Github!H$1449</f>
        <v>Algorithms</v>
      </c>
      <c r="H1450" s="17" t="str">
        <f>Github!E$1449</f>
        <v>Medium</v>
      </c>
      <c r="I1450" s="17" t="str">
        <f>IF(TRIM(Github!D$1449)="TRUE","FALSE","TRUE")</f>
        <v>TRUE</v>
      </c>
      <c r="J1450" s="17"/>
      <c r="K1450" s="17" t="str">
        <f>Github!L$1449</f>
        <v>Tree;Depth-First Search;Breadth-First Search;Binary Tree;</v>
      </c>
      <c r="L1450" s="17" t="b">
        <f>Github!M$1449</f>
        <v>1</v>
      </c>
      <c r="M1450" s="17" t="str">
        <f>ROUND(Github!N$1449, 2)&amp;"%"</f>
        <v>1%</v>
      </c>
      <c r="N1450" s="17">
        <f>Github!O$1449</f>
        <v>72.972908</v>
      </c>
      <c r="O1450" s="17">
        <f>Github!P$1449</f>
        <v>151775</v>
      </c>
    </row>
    <row r="1451">
      <c r="A1451" s="17">
        <f>Github!J$1450</f>
        <v>1449</v>
      </c>
      <c r="B1451" s="27" t="str">
        <f>HYPERLINK(CONCAT("http://leetcode.com/problems/",Github!C$1450), Github!B$1450)</f>
        <v>Form Largest Integer With Digits That Add up to Target</v>
      </c>
      <c r="C1451" s="17">
        <f>Github!F$1450</f>
        <v>478</v>
      </c>
      <c r="D1451" s="17">
        <f>Github!G$1450</f>
        <v>8</v>
      </c>
      <c r="E1451" s="17">
        <f>Github!F$1450+Github!G$1450</f>
        <v>486</v>
      </c>
      <c r="F1451" s="18">
        <f t="shared" si="1"/>
        <v>59.75</v>
      </c>
      <c r="G1451" s="17" t="str">
        <f>Github!H$1450</f>
        <v>Algorithms</v>
      </c>
      <c r="H1451" s="17" t="str">
        <f>Github!E$1450</f>
        <v>Hard</v>
      </c>
      <c r="I1451" s="17" t="str">
        <f>IF(TRIM(Github!D$1450)="TRUE","FALSE","TRUE")</f>
        <v>TRUE</v>
      </c>
      <c r="J1451" s="17"/>
      <c r="K1451" s="17" t="str">
        <f>Github!L$1450</f>
        <v>Array;Dynamic Programming;</v>
      </c>
      <c r="L1451" s="17" t="b">
        <f>Github!M$1450</f>
        <v>0</v>
      </c>
      <c r="M1451" s="17" t="str">
        <f>ROUND(Github!N$1450, 2)&amp;"%"</f>
        <v>0%</v>
      </c>
      <c r="N1451" s="17">
        <f>Github!O$1450</f>
        <v>46.20665167</v>
      </c>
      <c r="O1451" s="17">
        <f>Github!P$1450</f>
        <v>11712</v>
      </c>
    </row>
    <row r="1452">
      <c r="A1452" s="17">
        <f>Github!J$1451</f>
        <v>1450</v>
      </c>
      <c r="B1452" s="27" t="str">
        <f>HYPERLINK(CONCAT("http://leetcode.com/problems/",Github!C$1451), Github!B$1451)</f>
        <v>Number of Students Doing Homework at a Given Time</v>
      </c>
      <c r="C1452" s="17">
        <f>Github!F$1451</f>
        <v>543</v>
      </c>
      <c r="D1452" s="17">
        <f>Github!G$1451</f>
        <v>127</v>
      </c>
      <c r="E1452" s="17">
        <f>Github!F$1451+Github!G$1451</f>
        <v>670</v>
      </c>
      <c r="F1452" s="18">
        <f t="shared" si="1"/>
        <v>4.28</v>
      </c>
      <c r="G1452" s="17" t="str">
        <f>Github!H$1451</f>
        <v>Algorithms</v>
      </c>
      <c r="H1452" s="17" t="str">
        <f>Github!E$1451</f>
        <v>Easy</v>
      </c>
      <c r="I1452" s="17" t="str">
        <f>IF(TRIM(Github!D$1451)="TRUE","FALSE","TRUE")</f>
        <v>TRUE</v>
      </c>
      <c r="J1452" s="17"/>
      <c r="K1452" s="17" t="str">
        <f>Github!L$1451</f>
        <v>Array;</v>
      </c>
      <c r="L1452" s="17" t="b">
        <f>Github!M$1451</f>
        <v>0</v>
      </c>
      <c r="M1452" s="17" t="str">
        <f>ROUND(Github!N$1451, 2)&amp;"%"</f>
        <v>0%</v>
      </c>
      <c r="N1452" s="17">
        <f>Github!O$1451</f>
        <v>76.48447311</v>
      </c>
      <c r="O1452" s="17">
        <f>Github!P$1451</f>
        <v>81006</v>
      </c>
    </row>
    <row r="1453">
      <c r="A1453" s="17">
        <f>Github!J$1452</f>
        <v>1451</v>
      </c>
      <c r="B1453" s="27" t="str">
        <f>HYPERLINK(CONCAT("http://leetcode.com/problems/",Github!C$1452), Github!B$1452)</f>
        <v>Rearrange Words in a Sentence</v>
      </c>
      <c r="C1453" s="17">
        <f>Github!F$1452</f>
        <v>457</v>
      </c>
      <c r="D1453" s="17">
        <f>Github!G$1452</f>
        <v>63</v>
      </c>
      <c r="E1453" s="17">
        <f>Github!F$1452+Github!G$1452</f>
        <v>520</v>
      </c>
      <c r="F1453" s="18">
        <f t="shared" si="1"/>
        <v>7.25</v>
      </c>
      <c r="G1453" s="17" t="str">
        <f>Github!H$1452</f>
        <v>Algorithms</v>
      </c>
      <c r="H1453" s="17" t="str">
        <f>Github!E$1452</f>
        <v>Medium</v>
      </c>
      <c r="I1453" s="17" t="str">
        <f>IF(TRIM(Github!D$1452)="TRUE","FALSE","TRUE")</f>
        <v>TRUE</v>
      </c>
      <c r="J1453" s="17"/>
      <c r="K1453" s="17" t="str">
        <f>Github!L$1452</f>
        <v>String;Sorting;</v>
      </c>
      <c r="L1453" s="17" t="b">
        <f>Github!M$1452</f>
        <v>0</v>
      </c>
      <c r="M1453" s="17" t="str">
        <f>ROUND(Github!N$1452, 2)&amp;"%"</f>
        <v>0%</v>
      </c>
      <c r="N1453" s="17">
        <f>Github!O$1452</f>
        <v>61.74142032</v>
      </c>
      <c r="O1453" s="17">
        <f>Github!P$1452</f>
        <v>36341</v>
      </c>
    </row>
    <row r="1454">
      <c r="A1454" s="17">
        <f>Github!J$1453</f>
        <v>1452</v>
      </c>
      <c r="B1454" s="27" t="str">
        <f>HYPERLINK(CONCAT("http://leetcode.com/problems/",Github!C$1453), Github!B$1453)</f>
        <v>People Whose List of Favorite Companies Is Not a Subset of Another List</v>
      </c>
      <c r="C1454" s="17">
        <f>Github!F$1453</f>
        <v>241</v>
      </c>
      <c r="D1454" s="17">
        <f>Github!G$1453</f>
        <v>190</v>
      </c>
      <c r="E1454" s="17">
        <f>Github!F$1453+Github!G$1453</f>
        <v>431</v>
      </c>
      <c r="F1454" s="18">
        <f t="shared" si="1"/>
        <v>1.27</v>
      </c>
      <c r="G1454" s="17" t="str">
        <f>Github!H$1453</f>
        <v>Algorithms</v>
      </c>
      <c r="H1454" s="17" t="str">
        <f>Github!E$1453</f>
        <v>Medium</v>
      </c>
      <c r="I1454" s="17" t="str">
        <f>IF(TRIM(Github!D$1453)="TRUE","FALSE","TRUE")</f>
        <v>TRUE</v>
      </c>
      <c r="J1454" s="17"/>
      <c r="K1454" s="17" t="str">
        <f>Github!L$1453</f>
        <v>Array;Hash Table;String;</v>
      </c>
      <c r="L1454" s="17" t="b">
        <f>Github!M$1453</f>
        <v>0</v>
      </c>
      <c r="M1454" s="17" t="str">
        <f>ROUND(Github!N$1453, 2)&amp;"%"</f>
        <v>0%</v>
      </c>
      <c r="N1454" s="17">
        <f>Github!O$1453</f>
        <v>56.5203965</v>
      </c>
      <c r="O1454" s="17">
        <f>Github!P$1453</f>
        <v>18303</v>
      </c>
    </row>
    <row r="1455">
      <c r="A1455" s="17">
        <f>Github!J$1454</f>
        <v>1453</v>
      </c>
      <c r="B1455" s="27" t="str">
        <f>HYPERLINK(CONCAT("http://leetcode.com/problems/",Github!C$1454), Github!B$1454)</f>
        <v>Maximum Number of Darts Inside of a Circular Dartboard</v>
      </c>
      <c r="C1455" s="17">
        <f>Github!F$1454</f>
        <v>108</v>
      </c>
      <c r="D1455" s="17">
        <f>Github!G$1454</f>
        <v>237</v>
      </c>
      <c r="E1455" s="17">
        <f>Github!F$1454+Github!G$1454</f>
        <v>345</v>
      </c>
      <c r="F1455" s="18">
        <f t="shared" si="1"/>
        <v>0.46</v>
      </c>
      <c r="G1455" s="17" t="str">
        <f>Github!H$1454</f>
        <v>Algorithms</v>
      </c>
      <c r="H1455" s="17" t="str">
        <f>Github!E$1454</f>
        <v>Hard</v>
      </c>
      <c r="I1455" s="17" t="str">
        <f>IF(TRIM(Github!D$1454)="TRUE","FALSE","TRUE")</f>
        <v>TRUE</v>
      </c>
      <c r="J1455" s="17"/>
      <c r="K1455" s="17" t="str">
        <f>Github!L$1454</f>
        <v>Array;Math;Geometry;</v>
      </c>
      <c r="L1455" s="17" t="b">
        <f>Github!M$1454</f>
        <v>0</v>
      </c>
      <c r="M1455" s="17" t="str">
        <f>ROUND(Github!N$1454, 2)&amp;"%"</f>
        <v>0%</v>
      </c>
      <c r="N1455" s="17">
        <f>Github!O$1454</f>
        <v>36.29671574</v>
      </c>
      <c r="O1455" s="17">
        <f>Github!P$1454</f>
        <v>4487</v>
      </c>
    </row>
    <row r="1456">
      <c r="A1456" s="17">
        <f>Github!J$1455</f>
        <v>1454</v>
      </c>
      <c r="B1456" s="27" t="str">
        <f>HYPERLINK(CONCAT("http://leetcode.com/problems/",Github!C$1455), Github!B$1455)</f>
        <v>Active Users</v>
      </c>
      <c r="C1456" s="17">
        <f>Github!F$1455</f>
        <v>265</v>
      </c>
      <c r="D1456" s="17">
        <f>Github!G$1455</f>
        <v>26</v>
      </c>
      <c r="E1456" s="17">
        <f>Github!F$1455+Github!G$1455</f>
        <v>291</v>
      </c>
      <c r="F1456" s="18">
        <f t="shared" si="1"/>
        <v>10.19</v>
      </c>
      <c r="G1456" s="17" t="str">
        <f>Github!H$1455</f>
        <v>Database</v>
      </c>
      <c r="H1456" s="17" t="str">
        <f>Github!E$1455</f>
        <v>Medium</v>
      </c>
      <c r="I1456" s="17" t="str">
        <f>IF(TRIM(Github!D$1455)="TRUE","FALSE","TRUE")</f>
        <v>FALSE</v>
      </c>
      <c r="J1456" s="17"/>
      <c r="K1456" s="17" t="str">
        <f>Github!L$1455</f>
        <v>Database;</v>
      </c>
      <c r="L1456" s="17" t="b">
        <f>Github!M$1455</f>
        <v>0</v>
      </c>
      <c r="M1456" s="17" t="str">
        <f>ROUND(Github!N$1455, 2)&amp;"%"</f>
        <v>0%</v>
      </c>
      <c r="N1456" s="17">
        <f>Github!O$1455</f>
        <v>38.38555305</v>
      </c>
      <c r="O1456" s="17">
        <f>Github!P$1455</f>
        <v>21255</v>
      </c>
    </row>
    <row r="1457">
      <c r="A1457" s="17">
        <f>Github!J$1456</f>
        <v>1455</v>
      </c>
      <c r="B1457" s="27" t="str">
        <f>HYPERLINK(CONCAT("http://leetcode.com/problems/",Github!C$1456), Github!B$1456)</f>
        <v>Check If a Word Occurs As a Prefix of Any Word in a Sentence</v>
      </c>
      <c r="C1457" s="17">
        <f>Github!F$1456</f>
        <v>473</v>
      </c>
      <c r="D1457" s="17">
        <f>Github!G$1456</f>
        <v>23</v>
      </c>
      <c r="E1457" s="17">
        <f>Github!F$1456+Github!G$1456</f>
        <v>496</v>
      </c>
      <c r="F1457" s="18">
        <f t="shared" si="1"/>
        <v>20.57</v>
      </c>
      <c r="G1457" s="17" t="str">
        <f>Github!H$1456</f>
        <v>Algorithms</v>
      </c>
      <c r="H1457" s="17" t="str">
        <f>Github!E$1456</f>
        <v>Easy</v>
      </c>
      <c r="I1457" s="17" t="str">
        <f>IF(TRIM(Github!D$1456)="TRUE","FALSE","TRUE")</f>
        <v>TRUE</v>
      </c>
      <c r="J1457" s="17"/>
      <c r="K1457" s="17" t="str">
        <f>Github!L$1456</f>
        <v>String;String Matching;</v>
      </c>
      <c r="L1457" s="17" t="b">
        <f>Github!M$1456</f>
        <v>0</v>
      </c>
      <c r="M1457" s="17" t="str">
        <f>ROUND(Github!N$1456, 2)&amp;"%"</f>
        <v>0%</v>
      </c>
      <c r="N1457" s="17">
        <f>Github!O$1456</f>
        <v>64.56034589</v>
      </c>
      <c r="O1457" s="17">
        <f>Github!P$1456</f>
        <v>47335</v>
      </c>
    </row>
    <row r="1458">
      <c r="A1458" s="17">
        <f>Github!J$1457</f>
        <v>1456</v>
      </c>
      <c r="B1458" s="27" t="str">
        <f>HYPERLINK(CONCAT("http://leetcode.com/problems/",Github!C$1457), Github!B$1457)</f>
        <v>Maximum Number of Vowels in a Substring of Given Length</v>
      </c>
      <c r="C1458" s="17">
        <f>Github!F$1457</f>
        <v>663</v>
      </c>
      <c r="D1458" s="17">
        <f>Github!G$1457</f>
        <v>37</v>
      </c>
      <c r="E1458" s="17">
        <f>Github!F$1457+Github!G$1457</f>
        <v>700</v>
      </c>
      <c r="F1458" s="18">
        <f t="shared" si="1"/>
        <v>17.92</v>
      </c>
      <c r="G1458" s="17" t="str">
        <f>Github!H$1457</f>
        <v>Algorithms</v>
      </c>
      <c r="H1458" s="17" t="str">
        <f>Github!E$1457</f>
        <v>Medium</v>
      </c>
      <c r="I1458" s="17" t="str">
        <f>IF(TRIM(Github!D$1457)="TRUE","FALSE","TRUE")</f>
        <v>TRUE</v>
      </c>
      <c r="J1458" s="17"/>
      <c r="K1458" s="17" t="str">
        <f>Github!L$1457</f>
        <v>String;Sliding Window;</v>
      </c>
      <c r="L1458" s="17" t="b">
        <f>Github!M$1457</f>
        <v>0</v>
      </c>
      <c r="M1458" s="17" t="str">
        <f>ROUND(Github!N$1457, 2)&amp;"%"</f>
        <v>0%</v>
      </c>
      <c r="N1458" s="17">
        <f>Github!O$1457</f>
        <v>57.23429716</v>
      </c>
      <c r="O1458" s="17">
        <f>Github!P$1457</f>
        <v>41131</v>
      </c>
    </row>
    <row r="1459">
      <c r="A1459" s="17">
        <f>Github!J$1458</f>
        <v>1457</v>
      </c>
      <c r="B1459" s="27" t="str">
        <f>HYPERLINK(CONCAT("http://leetcode.com/problems/",Github!C$1458), Github!B$1458)</f>
        <v>Pseudo-Palindromic Paths in a Binary Tree</v>
      </c>
      <c r="C1459" s="17">
        <f>Github!F$1458</f>
        <v>936</v>
      </c>
      <c r="D1459" s="17">
        <f>Github!G$1458</f>
        <v>34</v>
      </c>
      <c r="E1459" s="17">
        <f>Github!F$1458+Github!G$1458</f>
        <v>970</v>
      </c>
      <c r="F1459" s="18">
        <f t="shared" si="1"/>
        <v>27.53</v>
      </c>
      <c r="G1459" s="17" t="str">
        <f>Github!H$1458</f>
        <v>Algorithms</v>
      </c>
      <c r="H1459" s="17" t="str">
        <f>Github!E$1458</f>
        <v>Medium</v>
      </c>
      <c r="I1459" s="17" t="str">
        <f>IF(TRIM(Github!D$1458)="TRUE","FALSE","TRUE")</f>
        <v>TRUE</v>
      </c>
      <c r="J1459" s="17"/>
      <c r="K1459" s="17" t="str">
        <f>Github!L$1458</f>
        <v>Bit Manipulation;Tree;Depth-First Search;Breadth-First Search;Binary Tree;</v>
      </c>
      <c r="L1459" s="17" t="b">
        <f>Github!M$1458</f>
        <v>1</v>
      </c>
      <c r="M1459" s="17" t="str">
        <f>ROUND(Github!N$1458, 2)&amp;"%"</f>
        <v>0%</v>
      </c>
      <c r="N1459" s="17">
        <f>Github!O$1458</f>
        <v>67.41262326</v>
      </c>
      <c r="O1459" s="17">
        <f>Github!P$1458</f>
        <v>49975</v>
      </c>
    </row>
    <row r="1460">
      <c r="A1460" s="17">
        <f>Github!J$1459</f>
        <v>1458</v>
      </c>
      <c r="B1460" s="27" t="str">
        <f>HYPERLINK(CONCAT("http://leetcode.com/problems/",Github!C$1459), Github!B$1459)</f>
        <v>Max Dot Product of Two Subsequences</v>
      </c>
      <c r="C1460" s="17">
        <f>Github!F$1459</f>
        <v>552</v>
      </c>
      <c r="D1460" s="17">
        <f>Github!G$1459</f>
        <v>11</v>
      </c>
      <c r="E1460" s="17">
        <f>Github!F$1459+Github!G$1459</f>
        <v>563</v>
      </c>
      <c r="F1460" s="18">
        <f t="shared" si="1"/>
        <v>50.18</v>
      </c>
      <c r="G1460" s="17" t="str">
        <f>Github!H$1459</f>
        <v>Algorithms</v>
      </c>
      <c r="H1460" s="17" t="str">
        <f>Github!E$1459</f>
        <v>Hard</v>
      </c>
      <c r="I1460" s="17" t="str">
        <f>IF(TRIM(Github!D$1459)="TRUE","FALSE","TRUE")</f>
        <v>TRUE</v>
      </c>
      <c r="J1460" s="17"/>
      <c r="K1460" s="17" t="str">
        <f>Github!L$1459</f>
        <v>Array;Dynamic Programming;</v>
      </c>
      <c r="L1460" s="17" t="b">
        <f>Github!M$1459</f>
        <v>0</v>
      </c>
      <c r="M1460" s="17" t="str">
        <f>ROUND(Github!N$1459, 2)&amp;"%"</f>
        <v>0%</v>
      </c>
      <c r="N1460" s="17">
        <f>Github!O$1459</f>
        <v>45.02082864</v>
      </c>
      <c r="O1460" s="17">
        <f>Github!P$1459</f>
        <v>15994</v>
      </c>
    </row>
    <row r="1461">
      <c r="A1461" s="17">
        <f>Github!J$1460</f>
        <v>1459</v>
      </c>
      <c r="B1461" s="27" t="str">
        <f>HYPERLINK(CONCAT("http://leetcode.com/problems/",Github!C$1460), Github!B$1460)</f>
        <v>Rectangles Area</v>
      </c>
      <c r="C1461" s="17">
        <f>Github!F$1460</f>
        <v>49</v>
      </c>
      <c r="D1461" s="17">
        <f>Github!G$1460</f>
        <v>87</v>
      </c>
      <c r="E1461" s="17">
        <f>Github!F$1460+Github!G$1460</f>
        <v>136</v>
      </c>
      <c r="F1461" s="18">
        <f t="shared" si="1"/>
        <v>0.56</v>
      </c>
      <c r="G1461" s="17" t="str">
        <f>Github!H$1460</f>
        <v>Database</v>
      </c>
      <c r="H1461" s="17" t="str">
        <f>Github!E$1460</f>
        <v>Medium</v>
      </c>
      <c r="I1461" s="17" t="str">
        <f>IF(TRIM(Github!D$1460)="TRUE","FALSE","TRUE")</f>
        <v>FALSE</v>
      </c>
      <c r="J1461" s="17"/>
      <c r="K1461" s="17" t="str">
        <f>Github!L$1460</f>
        <v>Database;</v>
      </c>
      <c r="L1461" s="17" t="b">
        <f>Github!M$1460</f>
        <v>0</v>
      </c>
      <c r="M1461" s="17" t="str">
        <f>ROUND(Github!N$1460, 2)&amp;"%"</f>
        <v>0%</v>
      </c>
      <c r="N1461" s="17">
        <f>Github!O$1460</f>
        <v>68.24030883</v>
      </c>
      <c r="O1461" s="17">
        <f>Github!P$1460</f>
        <v>8480</v>
      </c>
    </row>
    <row r="1462">
      <c r="A1462" s="17">
        <f>Github!J$1461</f>
        <v>1460</v>
      </c>
      <c r="B1462" s="27" t="str">
        <f>HYPERLINK(CONCAT("http://leetcode.com/problems/",Github!C$1461), Github!B$1461)</f>
        <v>Make Two Arrays Equal by Reversing Sub-arrays</v>
      </c>
      <c r="C1462" s="17">
        <f>Github!F$1461</f>
        <v>677</v>
      </c>
      <c r="D1462" s="17">
        <f>Github!G$1461</f>
        <v>107</v>
      </c>
      <c r="E1462" s="17">
        <f>Github!F$1461+Github!G$1461</f>
        <v>784</v>
      </c>
      <c r="F1462" s="18">
        <f t="shared" si="1"/>
        <v>6.33</v>
      </c>
      <c r="G1462" s="17" t="str">
        <f>Github!H$1461</f>
        <v>Algorithms</v>
      </c>
      <c r="H1462" s="17" t="str">
        <f>Github!E$1461</f>
        <v>Easy</v>
      </c>
      <c r="I1462" s="17" t="str">
        <f>IF(TRIM(Github!D$1461)="TRUE","FALSE","TRUE")</f>
        <v>TRUE</v>
      </c>
      <c r="J1462" s="17"/>
      <c r="K1462" s="17" t="str">
        <f>Github!L$1461</f>
        <v>Array;Hash Table;Sorting;</v>
      </c>
      <c r="L1462" s="17" t="b">
        <f>Github!M$1461</f>
        <v>0</v>
      </c>
      <c r="M1462" s="17" t="str">
        <f>ROUND(Github!N$1461, 2)&amp;"%"</f>
        <v>0%</v>
      </c>
      <c r="N1462" s="17">
        <f>Github!O$1461</f>
        <v>72.55189299</v>
      </c>
      <c r="O1462" s="17">
        <f>Github!P$1461</f>
        <v>81182</v>
      </c>
    </row>
    <row r="1463">
      <c r="A1463" s="17">
        <f>Github!J$1462</f>
        <v>1461</v>
      </c>
      <c r="B1463" s="27" t="str">
        <f>HYPERLINK(CONCAT("http://leetcode.com/problems/",Github!C$1462), Github!B$1462)</f>
        <v>Check If a String Contains All Binary Codes of Size K</v>
      </c>
      <c r="C1463" s="17">
        <f>Github!F$1462</f>
        <v>677</v>
      </c>
      <c r="D1463" s="17">
        <f>Github!G$1462</f>
        <v>66</v>
      </c>
      <c r="E1463" s="17">
        <f>Github!F$1462+Github!G$1462</f>
        <v>743</v>
      </c>
      <c r="F1463" s="18">
        <f t="shared" si="1"/>
        <v>10.26</v>
      </c>
      <c r="G1463" s="17" t="str">
        <f>Github!H$1462</f>
        <v>Algorithms</v>
      </c>
      <c r="H1463" s="17" t="str">
        <f>Github!E$1462</f>
        <v>Medium</v>
      </c>
      <c r="I1463" s="17" t="str">
        <f>IF(TRIM(Github!D$1462)="TRUE","FALSE","TRUE")</f>
        <v>TRUE</v>
      </c>
      <c r="J1463" s="17"/>
      <c r="K1463" s="17" t="str">
        <f>Github!L$1462</f>
        <v>Hash Table;String;Bit Manipulation;Rolling Hash;Hash Function;</v>
      </c>
      <c r="L1463" s="17" t="b">
        <f>Github!M$1462</f>
        <v>1</v>
      </c>
      <c r="M1463" s="17" t="str">
        <f>ROUND(Github!N$1462, 2)&amp;"%"</f>
        <v>0%</v>
      </c>
      <c r="N1463" s="17">
        <f>Github!O$1462</f>
        <v>54.44358085</v>
      </c>
      <c r="O1463" s="17">
        <f>Github!P$1462</f>
        <v>46932</v>
      </c>
    </row>
    <row r="1464">
      <c r="A1464" s="17">
        <f>Github!J$1463</f>
        <v>1462</v>
      </c>
      <c r="B1464" s="27" t="str">
        <f>HYPERLINK(CONCAT("http://leetcode.com/problems/",Github!C$1463), Github!B$1463)</f>
        <v>Course Schedule IV</v>
      </c>
      <c r="C1464" s="17">
        <f>Github!F$1463</f>
        <v>735</v>
      </c>
      <c r="D1464" s="17">
        <f>Github!G$1463</f>
        <v>46</v>
      </c>
      <c r="E1464" s="17">
        <f>Github!F$1463+Github!G$1463</f>
        <v>781</v>
      </c>
      <c r="F1464" s="18">
        <f t="shared" si="1"/>
        <v>15.98</v>
      </c>
      <c r="G1464" s="17" t="str">
        <f>Github!H$1463</f>
        <v>Algorithms</v>
      </c>
      <c r="H1464" s="17" t="str">
        <f>Github!E$1463</f>
        <v>Medium</v>
      </c>
      <c r="I1464" s="17" t="str">
        <f>IF(TRIM(Github!D$1463)="TRUE","FALSE","TRUE")</f>
        <v>TRUE</v>
      </c>
      <c r="J1464" s="17"/>
      <c r="K1464" s="17" t="str">
        <f>Github!L$1463</f>
        <v>Depth-First Search;Breadth-First Search;Graph;Topological Sort;</v>
      </c>
      <c r="L1464" s="17" t="b">
        <f>Github!M$1463</f>
        <v>0</v>
      </c>
      <c r="M1464" s="17" t="str">
        <f>ROUND(Github!N$1463, 2)&amp;"%"</f>
        <v>0%</v>
      </c>
      <c r="N1464" s="17">
        <f>Github!O$1463</f>
        <v>47.6166664</v>
      </c>
      <c r="O1464" s="17">
        <f>Github!P$1463</f>
        <v>29518</v>
      </c>
    </row>
    <row r="1465">
      <c r="A1465" s="17">
        <f>Github!J$1464</f>
        <v>1463</v>
      </c>
      <c r="B1465" s="27" t="str">
        <f>HYPERLINK(CONCAT("http://leetcode.com/problems/",Github!C$1464), Github!B$1464)</f>
        <v>Cherry Pickup II</v>
      </c>
      <c r="C1465" s="17">
        <f>Github!F$1464</f>
        <v>1849</v>
      </c>
      <c r="D1465" s="17">
        <f>Github!G$1464</f>
        <v>18</v>
      </c>
      <c r="E1465" s="17">
        <f>Github!F$1464+Github!G$1464</f>
        <v>1867</v>
      </c>
      <c r="F1465" s="18">
        <f t="shared" si="1"/>
        <v>102.72</v>
      </c>
      <c r="G1465" s="17" t="str">
        <f>Github!H$1464</f>
        <v>Algorithms</v>
      </c>
      <c r="H1465" s="17" t="str">
        <f>Github!E$1464</f>
        <v>Hard</v>
      </c>
      <c r="I1465" s="17" t="str">
        <f>IF(TRIM(Github!D$1464)="TRUE","FALSE","TRUE")</f>
        <v>TRUE</v>
      </c>
      <c r="J1465" s="17"/>
      <c r="K1465" s="17" t="str">
        <f>Github!L$1464</f>
        <v>Array;Dynamic Programming;Matrix;</v>
      </c>
      <c r="L1465" s="17" t="b">
        <f>Github!M$1464</f>
        <v>1</v>
      </c>
      <c r="M1465" s="17" t="str">
        <f>ROUND(Github!N$1464, 2)&amp;"%"</f>
        <v>0%</v>
      </c>
      <c r="N1465" s="17">
        <f>Github!O$1464</f>
        <v>70.86245616</v>
      </c>
      <c r="O1465" s="17">
        <f>Github!P$1464</f>
        <v>56167</v>
      </c>
    </row>
    <row r="1466">
      <c r="A1466" s="17">
        <f>Github!J$1465</f>
        <v>1464</v>
      </c>
      <c r="B1466" s="27" t="str">
        <f>HYPERLINK(CONCAT("http://leetcode.com/problems/",Github!C$1465), Github!B$1465)</f>
        <v>Maximum Product of Two Elements in an Array</v>
      </c>
      <c r="C1466" s="17">
        <f>Github!F$1465</f>
        <v>851</v>
      </c>
      <c r="D1466" s="17">
        <f>Github!G$1465</f>
        <v>147</v>
      </c>
      <c r="E1466" s="17">
        <f>Github!F$1465+Github!G$1465</f>
        <v>998</v>
      </c>
      <c r="F1466" s="18">
        <f t="shared" si="1"/>
        <v>5.79</v>
      </c>
      <c r="G1466" s="17" t="str">
        <f>Github!H$1465</f>
        <v>Algorithms</v>
      </c>
      <c r="H1466" s="17" t="str">
        <f>Github!E$1465</f>
        <v>Easy</v>
      </c>
      <c r="I1466" s="17" t="str">
        <f>IF(TRIM(Github!D$1465)="TRUE","FALSE","TRUE")</f>
        <v>TRUE</v>
      </c>
      <c r="J1466" s="17"/>
      <c r="K1466" s="17" t="str">
        <f>Github!L$1465</f>
        <v>Array;Sorting;Heap (Priority Queue);</v>
      </c>
      <c r="L1466" s="17" t="b">
        <f>Github!M$1465</f>
        <v>0</v>
      </c>
      <c r="M1466" s="17" t="str">
        <f>ROUND(Github!N$1465, 2)&amp;"%"</f>
        <v>0%</v>
      </c>
      <c r="N1466" s="17">
        <f>Github!O$1465</f>
        <v>78.25618258</v>
      </c>
      <c r="O1466" s="17">
        <f>Github!P$1465</f>
        <v>122682</v>
      </c>
    </row>
    <row r="1467">
      <c r="A1467" s="17">
        <f>Github!J$1466</f>
        <v>1465</v>
      </c>
      <c r="B1467" s="27" t="str">
        <f>HYPERLINK(CONCAT("http://leetcode.com/problems/",Github!C$1466), Github!B$1466)</f>
        <v>Maximum Area of a Piece of Cake After Horizontal and Vertical Cuts</v>
      </c>
      <c r="C1467" s="17">
        <f>Github!F$1466</f>
        <v>1003</v>
      </c>
      <c r="D1467" s="17">
        <f>Github!G$1466</f>
        <v>231</v>
      </c>
      <c r="E1467" s="17">
        <f>Github!F$1466+Github!G$1466</f>
        <v>1234</v>
      </c>
      <c r="F1467" s="18">
        <f t="shared" si="1"/>
        <v>4.34</v>
      </c>
      <c r="G1467" s="17" t="str">
        <f>Github!H$1466</f>
        <v>Algorithms</v>
      </c>
      <c r="H1467" s="17" t="str">
        <f>Github!E$1466</f>
        <v>Medium</v>
      </c>
      <c r="I1467" s="17" t="str">
        <f>IF(TRIM(Github!D$1466)="TRUE","FALSE","TRUE")</f>
        <v>TRUE</v>
      </c>
      <c r="J1467" s="17"/>
      <c r="K1467" s="17" t="str">
        <f>Github!L$1466</f>
        <v>Array;Greedy;Sorting;</v>
      </c>
      <c r="L1467" s="17" t="b">
        <f>Github!M$1466</f>
        <v>1</v>
      </c>
      <c r="M1467" s="17" t="str">
        <f>ROUND(Github!N$1466, 2)&amp;"%"</f>
        <v>0%</v>
      </c>
      <c r="N1467" s="17">
        <f>Github!O$1466</f>
        <v>37.09149443</v>
      </c>
      <c r="O1467" s="17">
        <f>Github!P$1466</f>
        <v>89173</v>
      </c>
    </row>
    <row r="1468">
      <c r="A1468" s="17">
        <f>Github!J$1467</f>
        <v>1466</v>
      </c>
      <c r="B1468" s="27" t="str">
        <f>HYPERLINK(CONCAT("http://leetcode.com/problems/",Github!C$1467), Github!B$1467)</f>
        <v>Reorder Routes to Make All Paths Lead to the City Zero</v>
      </c>
      <c r="C1468" s="17">
        <f>Github!F$1467</f>
        <v>1327</v>
      </c>
      <c r="D1468" s="17">
        <f>Github!G$1467</f>
        <v>33</v>
      </c>
      <c r="E1468" s="17">
        <f>Github!F$1467+Github!G$1467</f>
        <v>1360</v>
      </c>
      <c r="F1468" s="18">
        <f t="shared" si="1"/>
        <v>40.21</v>
      </c>
      <c r="G1468" s="17" t="str">
        <f>Github!H$1467</f>
        <v>Algorithms</v>
      </c>
      <c r="H1468" s="17" t="str">
        <f>Github!E$1467</f>
        <v>Medium</v>
      </c>
      <c r="I1468" s="17" t="str">
        <f>IF(TRIM(Github!D$1467)="TRUE","FALSE","TRUE")</f>
        <v>TRUE</v>
      </c>
      <c r="J1468" s="17"/>
      <c r="K1468" s="17" t="str">
        <f>Github!L$1467</f>
        <v>Depth-First Search;Breadth-First Search;Graph;</v>
      </c>
      <c r="L1468" s="17" t="b">
        <f>Github!M$1467</f>
        <v>0</v>
      </c>
      <c r="M1468" s="17" t="str">
        <f>ROUND(Github!N$1467, 2)&amp;"%"</f>
        <v>0%</v>
      </c>
      <c r="N1468" s="17">
        <f>Github!O$1467</f>
        <v>60.71040324</v>
      </c>
      <c r="O1468" s="17">
        <f>Github!P$1467</f>
        <v>48027</v>
      </c>
    </row>
    <row r="1469">
      <c r="A1469" s="17">
        <f>Github!J$1468</f>
        <v>1467</v>
      </c>
      <c r="B1469" s="27" t="str">
        <f>HYPERLINK(CONCAT("http://leetcode.com/problems/",Github!C$1468), Github!B$1468)</f>
        <v>Probability of a Two Boxes Having The Same Number of Distinct Balls</v>
      </c>
      <c r="C1469" s="17">
        <f>Github!F$1468</f>
        <v>191</v>
      </c>
      <c r="D1469" s="17">
        <f>Github!G$1468</f>
        <v>140</v>
      </c>
      <c r="E1469" s="17">
        <f>Github!F$1468+Github!G$1468</f>
        <v>331</v>
      </c>
      <c r="F1469" s="18">
        <f t="shared" si="1"/>
        <v>1.36</v>
      </c>
      <c r="G1469" s="17" t="str">
        <f>Github!H$1468</f>
        <v>Algorithms</v>
      </c>
      <c r="H1469" s="17" t="str">
        <f>Github!E$1468</f>
        <v>Hard</v>
      </c>
      <c r="I1469" s="17" t="str">
        <f>IF(TRIM(Github!D$1468)="TRUE","FALSE","TRUE")</f>
        <v>TRUE</v>
      </c>
      <c r="J1469" s="17"/>
      <c r="K1469" s="17" t="str">
        <f>Github!L$1468</f>
        <v>Math;Dynamic Programming;Backtracking;Combinatorics;Probability and Statistics;</v>
      </c>
      <c r="L1469" s="17" t="b">
        <f>Github!M$1468</f>
        <v>0</v>
      </c>
      <c r="M1469" s="17" t="str">
        <f>ROUND(Github!N$1468, 2)&amp;"%"</f>
        <v>0%</v>
      </c>
      <c r="N1469" s="17">
        <f>Github!O$1468</f>
        <v>60.77532305</v>
      </c>
      <c r="O1469" s="17">
        <f>Github!P$1468</f>
        <v>5832</v>
      </c>
    </row>
    <row r="1470">
      <c r="A1470" s="17">
        <f>Github!J$1469</f>
        <v>1468</v>
      </c>
      <c r="B1470" s="27" t="str">
        <f>HYPERLINK(CONCAT("http://leetcode.com/problems/",Github!C$1469), Github!B$1469)</f>
        <v>Calculate Salaries</v>
      </c>
      <c r="C1470" s="17">
        <f>Github!F$1469</f>
        <v>77</v>
      </c>
      <c r="D1470" s="17">
        <f>Github!G$1469</f>
        <v>16</v>
      </c>
      <c r="E1470" s="17">
        <f>Github!F$1469+Github!G$1469</f>
        <v>93</v>
      </c>
      <c r="F1470" s="18">
        <f t="shared" si="1"/>
        <v>4.81</v>
      </c>
      <c r="G1470" s="17" t="str">
        <f>Github!H$1469</f>
        <v>Database</v>
      </c>
      <c r="H1470" s="17" t="str">
        <f>Github!E$1469</f>
        <v>Medium</v>
      </c>
      <c r="I1470" s="17" t="str">
        <f>IF(TRIM(Github!D$1469)="TRUE","FALSE","TRUE")</f>
        <v>FALSE</v>
      </c>
      <c r="J1470" s="17"/>
      <c r="K1470" s="17" t="str">
        <f>Github!L$1469</f>
        <v>Database;</v>
      </c>
      <c r="L1470" s="17" t="b">
        <f>Github!M$1469</f>
        <v>0</v>
      </c>
      <c r="M1470" s="17" t="str">
        <f>ROUND(Github!N$1469, 2)&amp;"%"</f>
        <v>0%</v>
      </c>
      <c r="N1470" s="17">
        <f>Github!O$1469</f>
        <v>82.41726619</v>
      </c>
      <c r="O1470" s="17">
        <f>Github!P$1469</f>
        <v>14319</v>
      </c>
    </row>
    <row r="1471">
      <c r="A1471" s="17">
        <f>Github!J$1470</f>
        <v>1469</v>
      </c>
      <c r="B1471" s="27" t="str">
        <f>HYPERLINK(CONCAT("http://leetcode.com/problems/",Github!C$1470), Github!B$1470)</f>
        <v>Find All The Lonely Nodes</v>
      </c>
      <c r="C1471" s="17">
        <f>Github!F$1470</f>
        <v>350</v>
      </c>
      <c r="D1471" s="17">
        <f>Github!G$1470</f>
        <v>7</v>
      </c>
      <c r="E1471" s="17">
        <f>Github!F$1470+Github!G$1470</f>
        <v>357</v>
      </c>
      <c r="F1471" s="18">
        <f t="shared" si="1"/>
        <v>50</v>
      </c>
      <c r="G1471" s="17" t="str">
        <f>Github!H$1470</f>
        <v>Algorithms</v>
      </c>
      <c r="H1471" s="17" t="str">
        <f>Github!E$1470</f>
        <v>Easy</v>
      </c>
      <c r="I1471" s="17" t="str">
        <f>IF(TRIM(Github!D$1470)="TRUE","FALSE","TRUE")</f>
        <v>FALSE</v>
      </c>
      <c r="J1471" s="17"/>
      <c r="K1471" s="17" t="str">
        <f>Github!L$1470</f>
        <v>Tree;Depth-First Search;Breadth-First Search;Binary Tree;</v>
      </c>
      <c r="L1471" s="17" t="b">
        <f>Github!M$1470</f>
        <v>0</v>
      </c>
      <c r="M1471" s="17" t="str">
        <f>ROUND(Github!N$1470, 2)&amp;"%"</f>
        <v>0%</v>
      </c>
      <c r="N1471" s="17">
        <f>Github!O$1470</f>
        <v>81.61501864</v>
      </c>
      <c r="O1471" s="17">
        <f>Github!P$1470</f>
        <v>31736</v>
      </c>
    </row>
    <row r="1472">
      <c r="A1472" s="17">
        <f>Github!J$1471</f>
        <v>1470</v>
      </c>
      <c r="B1472" s="27" t="str">
        <f>HYPERLINK(CONCAT("http://leetcode.com/problems/",Github!C$1471), Github!B$1471)</f>
        <v>Shuffle the Array</v>
      </c>
      <c r="C1472" s="17">
        <f>Github!F$1471</f>
        <v>2150</v>
      </c>
      <c r="D1472" s="17">
        <f>Github!G$1471</f>
        <v>169</v>
      </c>
      <c r="E1472" s="17">
        <f>Github!F$1471+Github!G$1471</f>
        <v>2319</v>
      </c>
      <c r="F1472" s="18">
        <f t="shared" si="1"/>
        <v>12.72</v>
      </c>
      <c r="G1472" s="17" t="str">
        <f>Github!H$1471</f>
        <v>Algorithms</v>
      </c>
      <c r="H1472" s="17" t="str">
        <f>Github!E$1471</f>
        <v>Easy</v>
      </c>
      <c r="I1472" s="17" t="str">
        <f>IF(TRIM(Github!D$1471)="TRUE","FALSE","TRUE")</f>
        <v>TRUE</v>
      </c>
      <c r="J1472" s="17"/>
      <c r="K1472" s="17" t="str">
        <f>Github!L$1471</f>
        <v>Array;</v>
      </c>
      <c r="L1472" s="17" t="b">
        <f>Github!M$1471</f>
        <v>0</v>
      </c>
      <c r="M1472" s="17" t="str">
        <f>ROUND(Github!N$1471, 2)&amp;"%"</f>
        <v>0%</v>
      </c>
      <c r="N1472" s="17">
        <f>Github!O$1471</f>
        <v>88.31645371</v>
      </c>
      <c r="O1472" s="17">
        <f>Github!P$1471</f>
        <v>297967</v>
      </c>
    </row>
    <row r="1473">
      <c r="A1473" s="17">
        <f>Github!J$1472</f>
        <v>1471</v>
      </c>
      <c r="B1473" s="27" t="str">
        <f>HYPERLINK(CONCAT("http://leetcode.com/problems/",Github!C$1472), Github!B$1472)</f>
        <v>The k Strongest Values in an Array</v>
      </c>
      <c r="C1473" s="17">
        <f>Github!F$1472</f>
        <v>392</v>
      </c>
      <c r="D1473" s="17">
        <f>Github!G$1472</f>
        <v>92</v>
      </c>
      <c r="E1473" s="17">
        <f>Github!F$1472+Github!G$1472</f>
        <v>484</v>
      </c>
      <c r="F1473" s="18">
        <f t="shared" si="1"/>
        <v>4.26</v>
      </c>
      <c r="G1473" s="17" t="str">
        <f>Github!H$1472</f>
        <v>Algorithms</v>
      </c>
      <c r="H1473" s="17" t="str">
        <f>Github!E$1472</f>
        <v>Medium</v>
      </c>
      <c r="I1473" s="17" t="str">
        <f>IF(TRIM(Github!D$1472)="TRUE","FALSE","TRUE")</f>
        <v>TRUE</v>
      </c>
      <c r="J1473" s="17"/>
      <c r="K1473" s="17" t="str">
        <f>Github!L$1472</f>
        <v>Array;Two Pointers;Sorting;</v>
      </c>
      <c r="L1473" s="17" t="b">
        <f>Github!M$1472</f>
        <v>0</v>
      </c>
      <c r="M1473" s="17" t="str">
        <f>ROUND(Github!N$1472, 2)&amp;"%"</f>
        <v>0%</v>
      </c>
      <c r="N1473" s="17">
        <f>Github!O$1472</f>
        <v>59.69328445</v>
      </c>
      <c r="O1473" s="17">
        <f>Github!P$1472</f>
        <v>26702</v>
      </c>
    </row>
    <row r="1474">
      <c r="A1474" s="17">
        <f>Github!J$1473</f>
        <v>1472</v>
      </c>
      <c r="B1474" s="27" t="str">
        <f>HYPERLINK(CONCAT("http://leetcode.com/problems/",Github!C$1473), Github!B$1473)</f>
        <v>Design Browser History</v>
      </c>
      <c r="C1474" s="17">
        <f>Github!F$1473</f>
        <v>1132</v>
      </c>
      <c r="D1474" s="17">
        <f>Github!G$1473</f>
        <v>99</v>
      </c>
      <c r="E1474" s="17">
        <f>Github!F$1473+Github!G$1473</f>
        <v>1231</v>
      </c>
      <c r="F1474" s="18">
        <f t="shared" si="1"/>
        <v>11.43</v>
      </c>
      <c r="G1474" s="17" t="str">
        <f>Github!H$1473</f>
        <v>Algorithms</v>
      </c>
      <c r="H1474" s="17" t="str">
        <f>Github!E$1473</f>
        <v>Medium</v>
      </c>
      <c r="I1474" s="17" t="str">
        <f>IF(TRIM(Github!D$1473)="TRUE","FALSE","TRUE")</f>
        <v>TRUE</v>
      </c>
      <c r="J1474" s="17"/>
      <c r="K1474" s="17" t="str">
        <f>Github!L$1473</f>
        <v>Array;Linked List;Stack;Design;Doubly-Linked List;Data Stream;</v>
      </c>
      <c r="L1474" s="17" t="b">
        <f>Github!M$1473</f>
        <v>0</v>
      </c>
      <c r="M1474" s="17" t="str">
        <f>ROUND(Github!N$1473, 2)&amp;"%"</f>
        <v>0%</v>
      </c>
      <c r="N1474" s="17">
        <f>Github!O$1473</f>
        <v>74.64371445</v>
      </c>
      <c r="O1474" s="17">
        <f>Github!P$1473</f>
        <v>69028</v>
      </c>
    </row>
    <row r="1475">
      <c r="A1475" s="17">
        <f>Github!J$1474</f>
        <v>1473</v>
      </c>
      <c r="B1475" s="27" t="str">
        <f>HYPERLINK(CONCAT("http://leetcode.com/problems/",Github!C$1474), Github!B$1474)</f>
        <v>Paint House III</v>
      </c>
      <c r="C1475" s="17">
        <f>Github!F$1474</f>
        <v>539</v>
      </c>
      <c r="D1475" s="17">
        <f>Github!G$1474</f>
        <v>28</v>
      </c>
      <c r="E1475" s="17">
        <f>Github!F$1474+Github!G$1474</f>
        <v>567</v>
      </c>
      <c r="F1475" s="18">
        <f t="shared" si="1"/>
        <v>19.25</v>
      </c>
      <c r="G1475" s="17" t="str">
        <f>Github!H$1474</f>
        <v>Algorithms</v>
      </c>
      <c r="H1475" s="17" t="str">
        <f>Github!E$1474</f>
        <v>Hard</v>
      </c>
      <c r="I1475" s="17" t="str">
        <f>IF(TRIM(Github!D$1474)="TRUE","FALSE","TRUE")</f>
        <v>TRUE</v>
      </c>
      <c r="J1475" s="17"/>
      <c r="K1475" s="17" t="str">
        <f>Github!L$1474</f>
        <v>Array;Dynamic Programming;</v>
      </c>
      <c r="L1475" s="17" t="b">
        <f>Github!M$1474</f>
        <v>1</v>
      </c>
      <c r="M1475" s="17" t="str">
        <f>ROUND(Github!N$1474, 2)&amp;"%"</f>
        <v>0%</v>
      </c>
      <c r="N1475" s="17">
        <f>Github!O$1474</f>
        <v>50.58543977</v>
      </c>
      <c r="O1475" s="17">
        <f>Github!P$1474</f>
        <v>14689</v>
      </c>
    </row>
    <row r="1476">
      <c r="A1476" s="17">
        <f>Github!J$1475</f>
        <v>1474</v>
      </c>
      <c r="B1476" s="27" t="str">
        <f>HYPERLINK(CONCAT("http://leetcode.com/problems/",Github!C$1475), Github!B$1475)</f>
        <v>Delete N Nodes After M Nodes of a Linked List</v>
      </c>
      <c r="C1476" s="17">
        <f>Github!F$1475</f>
        <v>275</v>
      </c>
      <c r="D1476" s="17">
        <f>Github!G$1475</f>
        <v>8</v>
      </c>
      <c r="E1476" s="17">
        <f>Github!F$1475+Github!G$1475</f>
        <v>283</v>
      </c>
      <c r="F1476" s="18">
        <f t="shared" si="1"/>
        <v>34.38</v>
      </c>
      <c r="G1476" s="17" t="str">
        <f>Github!H$1475</f>
        <v>Algorithms</v>
      </c>
      <c r="H1476" s="17" t="str">
        <f>Github!E$1475</f>
        <v>Easy</v>
      </c>
      <c r="I1476" s="17" t="str">
        <f>IF(TRIM(Github!D$1475)="TRUE","FALSE","TRUE")</f>
        <v>FALSE</v>
      </c>
      <c r="J1476" s="17"/>
      <c r="K1476" s="17" t="str">
        <f>Github!L$1475</f>
        <v>Linked List;</v>
      </c>
      <c r="L1476" s="17" t="b">
        <f>Github!M$1475</f>
        <v>1</v>
      </c>
      <c r="M1476" s="17" t="str">
        <f>ROUND(Github!N$1475, 2)&amp;"%"</f>
        <v>0%</v>
      </c>
      <c r="N1476" s="17">
        <f>Github!O$1475</f>
        <v>73.56534035</v>
      </c>
      <c r="O1476" s="17">
        <f>Github!P$1475</f>
        <v>18729</v>
      </c>
    </row>
    <row r="1477">
      <c r="A1477" s="17">
        <f>Github!J$1476</f>
        <v>1475</v>
      </c>
      <c r="B1477" s="27" t="str">
        <f>HYPERLINK(CONCAT("http://leetcode.com/problems/",Github!C$1476), Github!B$1476)</f>
        <v>Final Prices With a Special Discount in a Shop</v>
      </c>
      <c r="C1477" s="17">
        <f>Github!F$1476</f>
        <v>968</v>
      </c>
      <c r="D1477" s="17">
        <f>Github!G$1476</f>
        <v>64</v>
      </c>
      <c r="E1477" s="17">
        <f>Github!F$1476+Github!G$1476</f>
        <v>1032</v>
      </c>
      <c r="F1477" s="18">
        <f t="shared" si="1"/>
        <v>15.13</v>
      </c>
      <c r="G1477" s="17" t="str">
        <f>Github!H$1476</f>
        <v>Algorithms</v>
      </c>
      <c r="H1477" s="17" t="str">
        <f>Github!E$1476</f>
        <v>Easy</v>
      </c>
      <c r="I1477" s="17" t="str">
        <f>IF(TRIM(Github!D$1476)="TRUE","FALSE","TRUE")</f>
        <v>TRUE</v>
      </c>
      <c r="J1477" s="17"/>
      <c r="K1477" s="17" t="str">
        <f>Github!L$1476</f>
        <v>Array;Stack;Monotonic Stack;</v>
      </c>
      <c r="L1477" s="17" t="b">
        <f>Github!M$1476</f>
        <v>0</v>
      </c>
      <c r="M1477" s="17" t="str">
        <f>ROUND(Github!N$1476, 2)&amp;"%"</f>
        <v>0%</v>
      </c>
      <c r="N1477" s="17">
        <f>Github!O$1476</f>
        <v>75.11923268</v>
      </c>
      <c r="O1477" s="17">
        <f>Github!P$1476</f>
        <v>71031</v>
      </c>
    </row>
    <row r="1478">
      <c r="A1478" s="17">
        <f>Github!J$1477</f>
        <v>1476</v>
      </c>
      <c r="B1478" s="27" t="str">
        <f>HYPERLINK(CONCAT("http://leetcode.com/problems/",Github!C$1477), Github!B$1477)</f>
        <v>Subrectangle Queries</v>
      </c>
      <c r="C1478" s="17">
        <f>Github!F$1477</f>
        <v>355</v>
      </c>
      <c r="D1478" s="17">
        <f>Github!G$1477</f>
        <v>942</v>
      </c>
      <c r="E1478" s="17">
        <f>Github!F$1477+Github!G$1477</f>
        <v>1297</v>
      </c>
      <c r="F1478" s="18">
        <f t="shared" si="1"/>
        <v>0.38</v>
      </c>
      <c r="G1478" s="17" t="str">
        <f>Github!H$1477</f>
        <v>Algorithms</v>
      </c>
      <c r="H1478" s="17" t="str">
        <f>Github!E$1477</f>
        <v>Medium</v>
      </c>
      <c r="I1478" s="17" t="str">
        <f>IF(TRIM(Github!D$1477)="TRUE","FALSE","TRUE")</f>
        <v>TRUE</v>
      </c>
      <c r="J1478" s="17"/>
      <c r="K1478" s="17" t="str">
        <f>Github!L$1477</f>
        <v>Array;Design;Matrix;</v>
      </c>
      <c r="L1478" s="17" t="b">
        <f>Github!M$1477</f>
        <v>0</v>
      </c>
      <c r="M1478" s="17" t="str">
        <f>ROUND(Github!N$1477, 2)&amp;"%"</f>
        <v>0%</v>
      </c>
      <c r="N1478" s="17">
        <f>Github!O$1477</f>
        <v>88.242488</v>
      </c>
      <c r="O1478" s="17">
        <f>Github!P$1477</f>
        <v>67104</v>
      </c>
    </row>
    <row r="1479">
      <c r="A1479" s="17">
        <f>Github!J$1478</f>
        <v>1477</v>
      </c>
      <c r="B1479" s="27" t="str">
        <f>HYPERLINK(CONCAT("http://leetcode.com/problems/",Github!C$1478), Github!B$1478)</f>
        <v>Find Two Non-overlapping Sub-arrays Each With Target Sum</v>
      </c>
      <c r="C1479" s="17">
        <f>Github!F$1478</f>
        <v>1137</v>
      </c>
      <c r="D1479" s="17">
        <f>Github!G$1478</f>
        <v>57</v>
      </c>
      <c r="E1479" s="17">
        <f>Github!F$1478+Github!G$1478</f>
        <v>1194</v>
      </c>
      <c r="F1479" s="18">
        <f t="shared" si="1"/>
        <v>19.95</v>
      </c>
      <c r="G1479" s="17" t="str">
        <f>Github!H$1478</f>
        <v>Algorithms</v>
      </c>
      <c r="H1479" s="17" t="str">
        <f>Github!E$1478</f>
        <v>Medium</v>
      </c>
      <c r="I1479" s="17" t="str">
        <f>IF(TRIM(Github!D$1478)="TRUE","FALSE","TRUE")</f>
        <v>TRUE</v>
      </c>
      <c r="J1479" s="17"/>
      <c r="K1479" s="17" t="str">
        <f>Github!L$1478</f>
        <v>Array;Hash Table;Binary Search;Dynamic Programming;Sliding Window;</v>
      </c>
      <c r="L1479" s="17" t="b">
        <f>Github!M$1478</f>
        <v>0</v>
      </c>
      <c r="M1479" s="17" t="str">
        <f>ROUND(Github!N$1478, 2)&amp;"%"</f>
        <v>0%</v>
      </c>
      <c r="N1479" s="17">
        <f>Github!O$1478</f>
        <v>36.58245724</v>
      </c>
      <c r="O1479" s="17">
        <f>Github!P$1478</f>
        <v>34971</v>
      </c>
    </row>
    <row r="1480">
      <c r="A1480" s="17">
        <f>Github!J$1479</f>
        <v>1478</v>
      </c>
      <c r="B1480" s="27" t="str">
        <f>HYPERLINK(CONCAT("http://leetcode.com/problems/",Github!C$1479), Github!B$1479)</f>
        <v>Allocate Mailboxes</v>
      </c>
      <c r="C1480" s="17">
        <f>Github!F$1479</f>
        <v>669</v>
      </c>
      <c r="D1480" s="17">
        <f>Github!G$1479</f>
        <v>12</v>
      </c>
      <c r="E1480" s="17">
        <f>Github!F$1479+Github!G$1479</f>
        <v>681</v>
      </c>
      <c r="F1480" s="18">
        <f t="shared" si="1"/>
        <v>55.75</v>
      </c>
      <c r="G1480" s="17" t="str">
        <f>Github!H$1479</f>
        <v>Algorithms</v>
      </c>
      <c r="H1480" s="17" t="str">
        <f>Github!E$1479</f>
        <v>Hard</v>
      </c>
      <c r="I1480" s="17" t="str">
        <f>IF(TRIM(Github!D$1479)="TRUE","FALSE","TRUE")</f>
        <v>TRUE</v>
      </c>
      <c r="J1480" s="17"/>
      <c r="K1480" s="17" t="str">
        <f>Github!L$1479</f>
        <v>Array;Math;Dynamic Programming;Sorting;</v>
      </c>
      <c r="L1480" s="17" t="b">
        <f>Github!M$1479</f>
        <v>0</v>
      </c>
      <c r="M1480" s="17" t="str">
        <f>ROUND(Github!N$1479, 2)&amp;"%"</f>
        <v>0%</v>
      </c>
      <c r="N1480" s="17">
        <f>Github!O$1479</f>
        <v>55.39487064</v>
      </c>
      <c r="O1480" s="17">
        <f>Github!P$1479</f>
        <v>14709</v>
      </c>
    </row>
    <row r="1481">
      <c r="A1481" s="17">
        <f>Github!J$1480</f>
        <v>1479</v>
      </c>
      <c r="B1481" s="27" t="str">
        <f>HYPERLINK(CONCAT("http://leetcode.com/problems/",Github!C$1480), Github!B$1480)</f>
        <v>Sales by Day of the Week</v>
      </c>
      <c r="C1481" s="17">
        <f>Github!F$1480</f>
        <v>92</v>
      </c>
      <c r="D1481" s="17">
        <f>Github!G$1480</f>
        <v>33</v>
      </c>
      <c r="E1481" s="17">
        <f>Github!F$1480+Github!G$1480</f>
        <v>125</v>
      </c>
      <c r="F1481" s="18">
        <f t="shared" si="1"/>
        <v>2.79</v>
      </c>
      <c r="G1481" s="17" t="str">
        <f>Github!H$1480</f>
        <v>Database</v>
      </c>
      <c r="H1481" s="17" t="str">
        <f>Github!E$1480</f>
        <v>Hard</v>
      </c>
      <c r="I1481" s="17" t="str">
        <f>IF(TRIM(Github!D$1480)="TRUE","FALSE","TRUE")</f>
        <v>FALSE</v>
      </c>
      <c r="J1481" s="17"/>
      <c r="K1481" s="17" t="str">
        <f>Github!L$1480</f>
        <v>Database;</v>
      </c>
      <c r="L1481" s="17" t="b">
        <f>Github!M$1480</f>
        <v>0</v>
      </c>
      <c r="M1481" s="17" t="str">
        <f>ROUND(Github!N$1480, 2)&amp;"%"</f>
        <v>0%</v>
      </c>
      <c r="N1481" s="17">
        <f>Github!O$1480</f>
        <v>82.41261138</v>
      </c>
      <c r="O1481" s="17">
        <f>Github!P$1480</f>
        <v>12024</v>
      </c>
    </row>
    <row r="1482">
      <c r="A1482" s="17">
        <f>Github!J$1481</f>
        <v>1480</v>
      </c>
      <c r="B1482" s="27" t="str">
        <f>HYPERLINK(CONCAT("http://leetcode.com/problems/",Github!C$1481), Github!B$1481)</f>
        <v>Running Sum of 1d Array</v>
      </c>
      <c r="C1482" s="17">
        <f>Github!F$1481</f>
        <v>2381</v>
      </c>
      <c r="D1482" s="17">
        <f>Github!G$1481</f>
        <v>176</v>
      </c>
      <c r="E1482" s="17">
        <f>Github!F$1481+Github!G$1481</f>
        <v>2557</v>
      </c>
      <c r="F1482" s="18">
        <f t="shared" si="1"/>
        <v>13.53</v>
      </c>
      <c r="G1482" s="17" t="str">
        <f>Github!H$1481</f>
        <v>Algorithms</v>
      </c>
      <c r="H1482" s="17" t="str">
        <f>Github!E$1481</f>
        <v>Easy</v>
      </c>
      <c r="I1482" s="17" t="str">
        <f>IF(TRIM(Github!D$1481)="TRUE","FALSE","TRUE")</f>
        <v>TRUE</v>
      </c>
      <c r="J1482" s="17"/>
      <c r="K1482" s="17" t="str">
        <f>Github!L$1481</f>
        <v>Array;Prefix Sum;</v>
      </c>
      <c r="L1482" s="17" t="b">
        <f>Github!M$1481</f>
        <v>1</v>
      </c>
      <c r="M1482" s="17" t="str">
        <f>ROUND(Github!N$1481, 2)&amp;"%"</f>
        <v>0%</v>
      </c>
      <c r="N1482" s="17">
        <f>Github!O$1481</f>
        <v>89.4973858</v>
      </c>
      <c r="O1482" s="17">
        <f>Github!P$1481</f>
        <v>492461</v>
      </c>
    </row>
    <row r="1483">
      <c r="A1483" s="17">
        <f>Github!J$1482</f>
        <v>1481</v>
      </c>
      <c r="B1483" s="27" t="str">
        <f>HYPERLINK(CONCAT("http://leetcode.com/problems/",Github!C$1482), Github!B$1482)</f>
        <v>Least Number of Unique Integers after K Removals</v>
      </c>
      <c r="C1483" s="17">
        <f>Github!F$1482</f>
        <v>821</v>
      </c>
      <c r="D1483" s="17">
        <f>Github!G$1482</f>
        <v>62</v>
      </c>
      <c r="E1483" s="17">
        <f>Github!F$1482+Github!G$1482</f>
        <v>883</v>
      </c>
      <c r="F1483" s="18">
        <f t="shared" si="1"/>
        <v>13.24</v>
      </c>
      <c r="G1483" s="17" t="str">
        <f>Github!H$1482</f>
        <v>Algorithms</v>
      </c>
      <c r="H1483" s="17" t="str">
        <f>Github!E$1482</f>
        <v>Medium</v>
      </c>
      <c r="I1483" s="17" t="str">
        <f>IF(TRIM(Github!D$1482)="TRUE","FALSE","TRUE")</f>
        <v>TRUE</v>
      </c>
      <c r="J1483" s="17"/>
      <c r="K1483" s="17" t="str">
        <f>Github!L$1482</f>
        <v>Array;Hash Table;Greedy;Sorting;Counting;</v>
      </c>
      <c r="L1483" s="17" t="b">
        <f>Github!M$1482</f>
        <v>0</v>
      </c>
      <c r="M1483" s="17" t="str">
        <f>ROUND(Github!N$1482, 2)&amp;"%"</f>
        <v>0%</v>
      </c>
      <c r="N1483" s="17">
        <f>Github!O$1482</f>
        <v>59.99981938</v>
      </c>
      <c r="O1483" s="17">
        <f>Github!P$1482</f>
        <v>66436</v>
      </c>
    </row>
    <row r="1484">
      <c r="A1484" s="17">
        <f>Github!J$1483</f>
        <v>1482</v>
      </c>
      <c r="B1484" s="27" t="str">
        <f>HYPERLINK(CONCAT("http://leetcode.com/problems/",Github!C$1483), Github!B$1483)</f>
        <v>Minimum Number of Days to Make m Bouquets</v>
      </c>
      <c r="C1484" s="17">
        <f>Github!F$1483</f>
        <v>1487</v>
      </c>
      <c r="D1484" s="17">
        <f>Github!G$1483</f>
        <v>37</v>
      </c>
      <c r="E1484" s="17">
        <f>Github!F$1483+Github!G$1483</f>
        <v>1524</v>
      </c>
      <c r="F1484" s="18">
        <f t="shared" si="1"/>
        <v>40.19</v>
      </c>
      <c r="G1484" s="17" t="str">
        <f>Github!H$1483</f>
        <v>Algorithms</v>
      </c>
      <c r="H1484" s="17" t="str">
        <f>Github!E$1483</f>
        <v>Medium</v>
      </c>
      <c r="I1484" s="17" t="str">
        <f>IF(TRIM(Github!D$1483)="TRUE","FALSE","TRUE")</f>
        <v>TRUE</v>
      </c>
      <c r="J1484" s="17"/>
      <c r="K1484" s="17" t="str">
        <f>Github!L$1483</f>
        <v>Array;Binary Search;</v>
      </c>
      <c r="L1484" s="17" t="b">
        <f>Github!M$1483</f>
        <v>0</v>
      </c>
      <c r="M1484" s="17" t="str">
        <f>ROUND(Github!N$1483, 2)&amp;"%"</f>
        <v>0%</v>
      </c>
      <c r="N1484" s="17">
        <f>Github!O$1483</f>
        <v>55.22980289</v>
      </c>
      <c r="O1484" s="17">
        <f>Github!P$1483</f>
        <v>34379</v>
      </c>
    </row>
    <row r="1485">
      <c r="A1485" s="17">
        <f>Github!J$1484</f>
        <v>1483</v>
      </c>
      <c r="B1485" s="27" t="str">
        <f>HYPERLINK(CONCAT("http://leetcode.com/problems/",Github!C$1484), Github!B$1484)</f>
        <v>Kth Ancestor of a Tree Node</v>
      </c>
      <c r="C1485" s="17">
        <f>Github!F$1484</f>
        <v>926</v>
      </c>
      <c r="D1485" s="17">
        <f>Github!G$1484</f>
        <v>80</v>
      </c>
      <c r="E1485" s="17">
        <f>Github!F$1484+Github!G$1484</f>
        <v>1006</v>
      </c>
      <c r="F1485" s="18">
        <f t="shared" si="1"/>
        <v>11.58</v>
      </c>
      <c r="G1485" s="17" t="str">
        <f>Github!H$1484</f>
        <v>Algorithms</v>
      </c>
      <c r="H1485" s="17" t="str">
        <f>Github!E$1484</f>
        <v>Hard</v>
      </c>
      <c r="I1485" s="17" t="str">
        <f>IF(TRIM(Github!D$1484)="TRUE","FALSE","TRUE")</f>
        <v>TRUE</v>
      </c>
      <c r="J1485" s="17"/>
      <c r="K1485" s="17" t="str">
        <f>Github!L$1484</f>
        <v>Binary Search;Dynamic Programming;Tree;Depth-First Search;Breadth-First Search;Design;</v>
      </c>
      <c r="L1485" s="17" t="b">
        <f>Github!M$1484</f>
        <v>0</v>
      </c>
      <c r="M1485" s="17" t="str">
        <f>ROUND(Github!N$1484, 2)&amp;"%"</f>
        <v>0%</v>
      </c>
      <c r="N1485" s="17">
        <f>Github!O$1484</f>
        <v>33.38967557</v>
      </c>
      <c r="O1485" s="17">
        <f>Github!P$1484</f>
        <v>19359</v>
      </c>
    </row>
    <row r="1486">
      <c r="A1486" s="17">
        <f>Github!J$1485</f>
        <v>1484</v>
      </c>
      <c r="B1486" s="27" t="str">
        <f>HYPERLINK(CONCAT("http://leetcode.com/problems/",Github!C$1485), Github!B$1485)</f>
        <v>Group Sold Products By The Date</v>
      </c>
      <c r="C1486" s="17">
        <f>Github!F$1485</f>
        <v>202</v>
      </c>
      <c r="D1486" s="17">
        <f>Github!G$1485</f>
        <v>13</v>
      </c>
      <c r="E1486" s="17">
        <f>Github!F$1485+Github!G$1485</f>
        <v>215</v>
      </c>
      <c r="F1486" s="18">
        <f t="shared" si="1"/>
        <v>15.54</v>
      </c>
      <c r="G1486" s="17" t="str">
        <f>Github!H$1485</f>
        <v>Database</v>
      </c>
      <c r="H1486" s="17" t="str">
        <f>Github!E$1485</f>
        <v>Easy</v>
      </c>
      <c r="I1486" s="17" t="str">
        <f>IF(TRIM(Github!D$1485)="TRUE","FALSE","TRUE")</f>
        <v>FALSE</v>
      </c>
      <c r="J1486" s="17"/>
      <c r="K1486" s="17" t="str">
        <f>Github!L$1485</f>
        <v>Database;</v>
      </c>
      <c r="L1486" s="17" t="b">
        <f>Github!M$1485</f>
        <v>0</v>
      </c>
      <c r="M1486" s="17" t="str">
        <f>ROUND(Github!N$1485, 2)&amp;"%"</f>
        <v>0%</v>
      </c>
      <c r="N1486" s="17">
        <f>Github!O$1485</f>
        <v>84.98325106</v>
      </c>
      <c r="O1486" s="17">
        <f>Github!P$1485</f>
        <v>19280</v>
      </c>
    </row>
    <row r="1487">
      <c r="A1487" s="17">
        <f>Github!J$1486</f>
        <v>1485</v>
      </c>
      <c r="B1487" s="27" t="str">
        <f>HYPERLINK(CONCAT("http://leetcode.com/problems/",Github!C$1486), Github!B$1486)</f>
        <v>Clone Binary Tree With Random Pointer</v>
      </c>
      <c r="C1487" s="17">
        <f>Github!F$1486</f>
        <v>270</v>
      </c>
      <c r="D1487" s="17">
        <f>Github!G$1486</f>
        <v>43</v>
      </c>
      <c r="E1487" s="17">
        <f>Github!F$1486+Github!G$1486</f>
        <v>313</v>
      </c>
      <c r="F1487" s="18">
        <f t="shared" si="1"/>
        <v>6.28</v>
      </c>
      <c r="G1487" s="17" t="str">
        <f>Github!H$1486</f>
        <v>Algorithms</v>
      </c>
      <c r="H1487" s="17" t="str">
        <f>Github!E$1486</f>
        <v>Medium</v>
      </c>
      <c r="I1487" s="17" t="str">
        <f>IF(TRIM(Github!D$1486)="TRUE","FALSE","TRUE")</f>
        <v>FALSE</v>
      </c>
      <c r="J1487" s="17"/>
      <c r="K1487" s="17" t="str">
        <f>Github!L$1486</f>
        <v>Hash Table;Tree;Depth-First Search;Breadth-First Search;Binary Tree;</v>
      </c>
      <c r="L1487" s="17" t="b">
        <f>Github!M$1486</f>
        <v>1</v>
      </c>
      <c r="M1487" s="17" t="str">
        <f>ROUND(Github!N$1486, 2)&amp;"%"</f>
        <v>0%</v>
      </c>
      <c r="N1487" s="17">
        <f>Github!O$1486</f>
        <v>79.84343408</v>
      </c>
      <c r="O1487" s="17">
        <f>Github!P$1486</f>
        <v>15401</v>
      </c>
    </row>
    <row r="1488">
      <c r="A1488" s="17">
        <f>Github!J$1487</f>
        <v>1486</v>
      </c>
      <c r="B1488" s="27" t="str">
        <f>HYPERLINK(CONCAT("http://leetcode.com/problems/",Github!C$1487), Github!B$1487)</f>
        <v>XOR Operation in an Array</v>
      </c>
      <c r="C1488" s="17">
        <f>Github!F$1487</f>
        <v>766</v>
      </c>
      <c r="D1488" s="17">
        <f>Github!G$1487</f>
        <v>280</v>
      </c>
      <c r="E1488" s="17">
        <f>Github!F$1487+Github!G$1487</f>
        <v>1046</v>
      </c>
      <c r="F1488" s="18">
        <f t="shared" si="1"/>
        <v>2.74</v>
      </c>
      <c r="G1488" s="17" t="str">
        <f>Github!H$1487</f>
        <v>Algorithms</v>
      </c>
      <c r="H1488" s="17" t="str">
        <f>Github!E$1487</f>
        <v>Easy</v>
      </c>
      <c r="I1488" s="17" t="str">
        <f>IF(TRIM(Github!D$1487)="TRUE","FALSE","TRUE")</f>
        <v>TRUE</v>
      </c>
      <c r="J1488" s="17"/>
      <c r="K1488" s="17" t="str">
        <f>Github!L$1487</f>
        <v>Math;Bit Manipulation;</v>
      </c>
      <c r="L1488" s="17" t="b">
        <f>Github!M$1487</f>
        <v>0</v>
      </c>
      <c r="M1488" s="17" t="str">
        <f>ROUND(Github!N$1487, 2)&amp;"%"</f>
        <v>0%</v>
      </c>
      <c r="N1488" s="17">
        <f>Github!O$1487</f>
        <v>84.16166148</v>
      </c>
      <c r="O1488" s="17">
        <f>Github!P$1487</f>
        <v>116302</v>
      </c>
    </row>
    <row r="1489">
      <c r="A1489" s="17">
        <f>Github!J$1488</f>
        <v>1487</v>
      </c>
      <c r="B1489" s="27" t="str">
        <f>HYPERLINK(CONCAT("http://leetcode.com/problems/",Github!C$1488), Github!B$1488)</f>
        <v>Making File Names Unique</v>
      </c>
      <c r="C1489" s="17">
        <f>Github!F$1488</f>
        <v>315</v>
      </c>
      <c r="D1489" s="17">
        <f>Github!G$1488</f>
        <v>486</v>
      </c>
      <c r="E1489" s="17">
        <f>Github!F$1488+Github!G$1488</f>
        <v>801</v>
      </c>
      <c r="F1489" s="18">
        <f t="shared" si="1"/>
        <v>0.65</v>
      </c>
      <c r="G1489" s="17" t="str">
        <f>Github!H$1488</f>
        <v>Algorithms</v>
      </c>
      <c r="H1489" s="17" t="str">
        <f>Github!E$1488</f>
        <v>Medium</v>
      </c>
      <c r="I1489" s="17" t="str">
        <f>IF(TRIM(Github!D$1488)="TRUE","FALSE","TRUE")</f>
        <v>TRUE</v>
      </c>
      <c r="J1489" s="17"/>
      <c r="K1489" s="17" t="str">
        <f>Github!L$1488</f>
        <v>Array;Hash Table;String;</v>
      </c>
      <c r="L1489" s="17" t="b">
        <f>Github!M$1488</f>
        <v>0</v>
      </c>
      <c r="M1489" s="17" t="str">
        <f>ROUND(Github!N$1488, 2)&amp;"%"</f>
        <v>0%</v>
      </c>
      <c r="N1489" s="17">
        <f>Github!O$1488</f>
        <v>34.60532293</v>
      </c>
      <c r="O1489" s="17">
        <f>Github!P$1488</f>
        <v>22091</v>
      </c>
    </row>
    <row r="1490">
      <c r="A1490" s="17">
        <f>Github!J$1489</f>
        <v>1488</v>
      </c>
      <c r="B1490" s="27" t="str">
        <f>HYPERLINK(CONCAT("http://leetcode.com/problems/",Github!C$1489), Github!B$1489)</f>
        <v>Avoid Flood in The City</v>
      </c>
      <c r="C1490" s="17">
        <f>Github!F$1489</f>
        <v>928</v>
      </c>
      <c r="D1490" s="17">
        <f>Github!G$1489</f>
        <v>186</v>
      </c>
      <c r="E1490" s="17">
        <f>Github!F$1489+Github!G$1489</f>
        <v>1114</v>
      </c>
      <c r="F1490" s="18">
        <f t="shared" si="1"/>
        <v>4.99</v>
      </c>
      <c r="G1490" s="17" t="str">
        <f>Github!H$1489</f>
        <v>Algorithms</v>
      </c>
      <c r="H1490" s="17" t="str">
        <f>Github!E$1489</f>
        <v>Medium</v>
      </c>
      <c r="I1490" s="17" t="str">
        <f>IF(TRIM(Github!D$1489)="TRUE","FALSE","TRUE")</f>
        <v>TRUE</v>
      </c>
      <c r="J1490" s="17"/>
      <c r="K1490" s="17" t="str">
        <f>Github!L$1489</f>
        <v>Array;Hash Table;Binary Search;Greedy;Heap (Priority Queue);</v>
      </c>
      <c r="L1490" s="17" t="b">
        <f>Github!M$1489</f>
        <v>0</v>
      </c>
      <c r="M1490" s="17" t="str">
        <f>ROUND(Github!N$1489, 2)&amp;"%"</f>
        <v>0%</v>
      </c>
      <c r="N1490" s="17">
        <f>Github!O$1489</f>
        <v>25.27578318</v>
      </c>
      <c r="O1490" s="17">
        <f>Github!P$1489</f>
        <v>22317</v>
      </c>
    </row>
    <row r="1491">
      <c r="A1491" s="17">
        <f>Github!J$1490</f>
        <v>1489</v>
      </c>
      <c r="B1491" s="27" t="str">
        <f>HYPERLINK(CONCAT("http://leetcode.com/problems/",Github!C$1490), Github!B$1490)</f>
        <v>Find Critical and Pseudo-Critical Edges in Minimum Spanning Tree</v>
      </c>
      <c r="C1491" s="17">
        <f>Github!F$1490</f>
        <v>420</v>
      </c>
      <c r="D1491" s="17">
        <f>Github!G$1490</f>
        <v>40</v>
      </c>
      <c r="E1491" s="17">
        <f>Github!F$1490+Github!G$1490</f>
        <v>460</v>
      </c>
      <c r="F1491" s="18">
        <f t="shared" si="1"/>
        <v>10.5</v>
      </c>
      <c r="G1491" s="17" t="str">
        <f>Github!H$1490</f>
        <v>Algorithms</v>
      </c>
      <c r="H1491" s="17" t="str">
        <f>Github!E$1490</f>
        <v>Hard</v>
      </c>
      <c r="I1491" s="17" t="str">
        <f>IF(TRIM(Github!D$1490)="TRUE","FALSE","TRUE")</f>
        <v>TRUE</v>
      </c>
      <c r="J1491" s="17"/>
      <c r="K1491" s="17" t="str">
        <f>Github!L$1490</f>
        <v>Union Find;Graph;Sorting;Minimum Spanning Tree;Strongly Connected Component;</v>
      </c>
      <c r="L1491" s="17" t="b">
        <f>Github!M$1490</f>
        <v>0</v>
      </c>
      <c r="M1491" s="17" t="str">
        <f>ROUND(Github!N$1490, 2)&amp;"%"</f>
        <v>0%</v>
      </c>
      <c r="N1491" s="17">
        <f>Github!O$1490</f>
        <v>52.65560467</v>
      </c>
      <c r="O1491" s="17">
        <f>Github!P$1490</f>
        <v>7267</v>
      </c>
    </row>
    <row r="1492">
      <c r="A1492" s="17">
        <f>Github!J$1491</f>
        <v>1490</v>
      </c>
      <c r="B1492" s="27" t="str">
        <f>HYPERLINK(CONCAT("http://leetcode.com/problems/",Github!C$1491), Github!B$1491)</f>
        <v>Clone N-ary Tree</v>
      </c>
      <c r="C1492" s="17">
        <f>Github!F$1491</f>
        <v>290</v>
      </c>
      <c r="D1492" s="17">
        <f>Github!G$1491</f>
        <v>13</v>
      </c>
      <c r="E1492" s="17">
        <f>Github!F$1491+Github!G$1491</f>
        <v>303</v>
      </c>
      <c r="F1492" s="18">
        <f t="shared" si="1"/>
        <v>22.31</v>
      </c>
      <c r="G1492" s="17" t="str">
        <f>Github!H$1491</f>
        <v>Algorithms</v>
      </c>
      <c r="H1492" s="17" t="str">
        <f>Github!E$1491</f>
        <v>Medium</v>
      </c>
      <c r="I1492" s="17" t="str">
        <f>IF(TRIM(Github!D$1491)="TRUE","FALSE","TRUE")</f>
        <v>FALSE</v>
      </c>
      <c r="J1492" s="17"/>
      <c r="K1492" s="17" t="str">
        <f>Github!L$1491</f>
        <v>Hash Table;Tree;Depth-First Search;Breadth-First Search;</v>
      </c>
      <c r="L1492" s="17" t="b">
        <f>Github!M$1491</f>
        <v>1</v>
      </c>
      <c r="M1492" s="17" t="str">
        <f>ROUND(Github!N$1491, 2)&amp;"%"</f>
        <v>0%</v>
      </c>
      <c r="N1492" s="17">
        <f>Github!O$1491</f>
        <v>83.62179762</v>
      </c>
      <c r="O1492" s="17">
        <f>Github!P$1491</f>
        <v>19519</v>
      </c>
    </row>
    <row r="1493">
      <c r="A1493" s="17">
        <f>Github!J$1492</f>
        <v>1491</v>
      </c>
      <c r="B1493" s="27" t="str">
        <f>HYPERLINK(CONCAT("http://leetcode.com/problems/",Github!C$1492), Github!B$1492)</f>
        <v>Average Salary Excluding the Minimum and Maximum Salary</v>
      </c>
      <c r="C1493" s="17">
        <f>Github!F$1492</f>
        <v>527</v>
      </c>
      <c r="D1493" s="17">
        <f>Github!G$1492</f>
        <v>80</v>
      </c>
      <c r="E1493" s="17">
        <f>Github!F$1492+Github!G$1492</f>
        <v>607</v>
      </c>
      <c r="F1493" s="18">
        <f t="shared" si="1"/>
        <v>6.59</v>
      </c>
      <c r="G1493" s="17" t="str">
        <f>Github!H$1492</f>
        <v>Algorithms</v>
      </c>
      <c r="H1493" s="17" t="str">
        <f>Github!E$1492</f>
        <v>Easy</v>
      </c>
      <c r="I1493" s="17" t="str">
        <f>IF(TRIM(Github!D$1492)="TRUE","FALSE","TRUE")</f>
        <v>TRUE</v>
      </c>
      <c r="J1493" s="17"/>
      <c r="K1493" s="17" t="str">
        <f>Github!L$1492</f>
        <v>Array;Sorting;</v>
      </c>
      <c r="L1493" s="17" t="b">
        <f>Github!M$1492</f>
        <v>0</v>
      </c>
      <c r="M1493" s="17" t="str">
        <f>ROUND(Github!N$1492, 2)&amp;"%"</f>
        <v>0%</v>
      </c>
      <c r="N1493" s="17">
        <f>Github!O$1492</f>
        <v>66.40837312</v>
      </c>
      <c r="O1493" s="17">
        <f>Github!P$1492</f>
        <v>72311</v>
      </c>
    </row>
    <row r="1494">
      <c r="A1494" s="17">
        <f>Github!J$1493</f>
        <v>1492</v>
      </c>
      <c r="B1494" s="27" t="str">
        <f>HYPERLINK(CONCAT("http://leetcode.com/problems/",Github!C$1493), Github!B$1493)</f>
        <v>The kth Factor of n</v>
      </c>
      <c r="C1494" s="17">
        <f>Github!F$1493</f>
        <v>672</v>
      </c>
      <c r="D1494" s="17">
        <f>Github!G$1493</f>
        <v>195</v>
      </c>
      <c r="E1494" s="17">
        <f>Github!F$1493+Github!G$1493</f>
        <v>867</v>
      </c>
      <c r="F1494" s="18">
        <f t="shared" si="1"/>
        <v>3.45</v>
      </c>
      <c r="G1494" s="17" t="str">
        <f>Github!H$1493</f>
        <v>Algorithms</v>
      </c>
      <c r="H1494" s="17" t="str">
        <f>Github!E$1493</f>
        <v>Medium</v>
      </c>
      <c r="I1494" s="17" t="str">
        <f>IF(TRIM(Github!D$1493)="TRUE","FALSE","TRUE")</f>
        <v>TRUE</v>
      </c>
      <c r="J1494" s="17"/>
      <c r="K1494" s="17" t="str">
        <f>Github!L$1493</f>
        <v>Math;</v>
      </c>
      <c r="L1494" s="17" t="b">
        <f>Github!M$1493</f>
        <v>1</v>
      </c>
      <c r="M1494" s="17" t="str">
        <f>ROUND(Github!N$1493, 2)&amp;"%"</f>
        <v>0%</v>
      </c>
      <c r="N1494" s="17">
        <f>Github!O$1493</f>
        <v>62.08877048</v>
      </c>
      <c r="O1494" s="17">
        <f>Github!P$1493</f>
        <v>82266</v>
      </c>
    </row>
    <row r="1495">
      <c r="A1495" s="17">
        <f>Github!J$1494</f>
        <v>1493</v>
      </c>
      <c r="B1495" s="27" t="str">
        <f>HYPERLINK(CONCAT("http://leetcode.com/problems/",Github!C$1494), Github!B$1494)</f>
        <v>Longest Subarray of 1's After Deleting One Element</v>
      </c>
      <c r="C1495" s="17">
        <f>Github!F$1494</f>
        <v>810</v>
      </c>
      <c r="D1495" s="17">
        <f>Github!G$1494</f>
        <v>19</v>
      </c>
      <c r="E1495" s="17">
        <f>Github!F$1494+Github!G$1494</f>
        <v>829</v>
      </c>
      <c r="F1495" s="18">
        <f t="shared" si="1"/>
        <v>42.63</v>
      </c>
      <c r="G1495" s="17" t="str">
        <f>Github!H$1494</f>
        <v>Algorithms</v>
      </c>
      <c r="H1495" s="17" t="str">
        <f>Github!E$1494</f>
        <v>Medium</v>
      </c>
      <c r="I1495" s="17" t="str">
        <f>IF(TRIM(Github!D$1494)="TRUE","FALSE","TRUE")</f>
        <v>TRUE</v>
      </c>
      <c r="J1495" s="17"/>
      <c r="K1495" s="17" t="str">
        <f>Github!L$1494</f>
        <v>Math;Dynamic Programming;Sliding Window;</v>
      </c>
      <c r="L1495" s="17" t="b">
        <f>Github!M$1494</f>
        <v>0</v>
      </c>
      <c r="M1495" s="17" t="str">
        <f>ROUND(Github!N$1494, 2)&amp;"%"</f>
        <v>0%</v>
      </c>
      <c r="N1495" s="17">
        <f>Github!O$1494</f>
        <v>60.02604795</v>
      </c>
      <c r="O1495" s="17">
        <f>Github!P$1494</f>
        <v>37332</v>
      </c>
    </row>
    <row r="1496">
      <c r="A1496" s="17">
        <f>Github!J$1495</f>
        <v>1494</v>
      </c>
      <c r="B1496" s="27" t="str">
        <f>HYPERLINK(CONCAT("http://leetcode.com/problems/",Github!C$1495), Github!B$1495)</f>
        <v>Parallel Courses II</v>
      </c>
      <c r="C1496" s="17">
        <f>Github!F$1495</f>
        <v>570</v>
      </c>
      <c r="D1496" s="17">
        <f>Github!G$1495</f>
        <v>44</v>
      </c>
      <c r="E1496" s="17">
        <f>Github!F$1495+Github!G$1495</f>
        <v>614</v>
      </c>
      <c r="F1496" s="18">
        <f t="shared" si="1"/>
        <v>12.95</v>
      </c>
      <c r="G1496" s="17" t="str">
        <f>Github!H$1495</f>
        <v>Algorithms</v>
      </c>
      <c r="H1496" s="17" t="str">
        <f>Github!E$1495</f>
        <v>Hard</v>
      </c>
      <c r="I1496" s="17" t="str">
        <f>IF(TRIM(Github!D$1495)="TRUE","FALSE","TRUE")</f>
        <v>TRUE</v>
      </c>
      <c r="J1496" s="17"/>
      <c r="K1496" s="17" t="str">
        <f>Github!L$1495</f>
        <v>Dynamic Programming;Bit Manipulation;Graph;Bitmask;</v>
      </c>
      <c r="L1496" s="17" t="b">
        <f>Github!M$1495</f>
        <v>0</v>
      </c>
      <c r="M1496" s="17" t="str">
        <f>ROUND(Github!N$1495, 2)&amp;"%"</f>
        <v>0%</v>
      </c>
      <c r="N1496" s="17">
        <f>Github!O$1495</f>
        <v>31.7459826</v>
      </c>
      <c r="O1496" s="17">
        <f>Github!P$1495</f>
        <v>10253</v>
      </c>
    </row>
    <row r="1497">
      <c r="A1497" s="17">
        <f>Github!J$1496</f>
        <v>1495</v>
      </c>
      <c r="B1497" s="27" t="str">
        <f>HYPERLINK(CONCAT("http://leetcode.com/problems/",Github!C$1496), Github!B$1496)</f>
        <v>Friendly Movies Streamed Last Month</v>
      </c>
      <c r="C1497" s="17">
        <f>Github!F$1496</f>
        <v>50</v>
      </c>
      <c r="D1497" s="17">
        <f>Github!G$1496</f>
        <v>8</v>
      </c>
      <c r="E1497" s="17">
        <f>Github!F$1496+Github!G$1496</f>
        <v>58</v>
      </c>
      <c r="F1497" s="18">
        <f t="shared" si="1"/>
        <v>6.25</v>
      </c>
      <c r="G1497" s="17" t="str">
        <f>Github!H$1496</f>
        <v>Database</v>
      </c>
      <c r="H1497" s="17" t="str">
        <f>Github!E$1496</f>
        <v>Easy</v>
      </c>
      <c r="I1497" s="17" t="str">
        <f>IF(TRIM(Github!D$1496)="TRUE","FALSE","TRUE")</f>
        <v>FALSE</v>
      </c>
      <c r="J1497" s="17"/>
      <c r="K1497" s="17" t="str">
        <f>Github!L$1496</f>
        <v>Database;</v>
      </c>
      <c r="L1497" s="17" t="b">
        <f>Github!M$1496</f>
        <v>0</v>
      </c>
      <c r="M1497" s="17" t="str">
        <f>ROUND(Github!N$1496, 2)&amp;"%"</f>
        <v>0%</v>
      </c>
      <c r="N1497" s="17">
        <f>Github!O$1496</f>
        <v>50.44651948</v>
      </c>
      <c r="O1497" s="17">
        <f>Github!P$1496</f>
        <v>17342</v>
      </c>
    </row>
    <row r="1498">
      <c r="A1498" s="17">
        <f>Github!J$1497</f>
        <v>1496</v>
      </c>
      <c r="B1498" s="27" t="str">
        <f>HYPERLINK(CONCAT("http://leetcode.com/problems/",Github!C$1497), Github!B$1497)</f>
        <v>Path Crossing</v>
      </c>
      <c r="C1498" s="17">
        <f>Github!F$1497</f>
        <v>460</v>
      </c>
      <c r="D1498" s="17">
        <f>Github!G$1497</f>
        <v>8</v>
      </c>
      <c r="E1498" s="17">
        <f>Github!F$1497+Github!G$1497</f>
        <v>468</v>
      </c>
      <c r="F1498" s="18">
        <f t="shared" si="1"/>
        <v>57.5</v>
      </c>
      <c r="G1498" s="17" t="str">
        <f>Github!H$1497</f>
        <v>Algorithms</v>
      </c>
      <c r="H1498" s="17" t="str">
        <f>Github!E$1497</f>
        <v>Easy</v>
      </c>
      <c r="I1498" s="17" t="str">
        <f>IF(TRIM(Github!D$1497)="TRUE","FALSE","TRUE")</f>
        <v>TRUE</v>
      </c>
      <c r="J1498" s="17"/>
      <c r="K1498" s="17" t="str">
        <f>Github!L$1497</f>
        <v>Hash Table;String;</v>
      </c>
      <c r="L1498" s="17" t="b">
        <f>Github!M$1497</f>
        <v>0</v>
      </c>
      <c r="M1498" s="17" t="str">
        <f>ROUND(Github!N$1497, 2)&amp;"%"</f>
        <v>0%</v>
      </c>
      <c r="N1498" s="17">
        <f>Github!O$1497</f>
        <v>55.70540769</v>
      </c>
      <c r="O1498" s="17">
        <f>Github!P$1497</f>
        <v>34241</v>
      </c>
    </row>
    <row r="1499">
      <c r="A1499" s="17">
        <f>Github!J$1498</f>
        <v>1497</v>
      </c>
      <c r="B1499" s="27" t="str">
        <f>HYPERLINK(CONCAT("http://leetcode.com/problems/",Github!C$1498), Github!B$1498)</f>
        <v>Check If Array Pairs Are Divisible by k</v>
      </c>
      <c r="C1499" s="17">
        <f>Github!F$1498</f>
        <v>873</v>
      </c>
      <c r="D1499" s="17">
        <f>Github!G$1498</f>
        <v>53</v>
      </c>
      <c r="E1499" s="17">
        <f>Github!F$1498+Github!G$1498</f>
        <v>926</v>
      </c>
      <c r="F1499" s="18">
        <f t="shared" si="1"/>
        <v>16.47</v>
      </c>
      <c r="G1499" s="17" t="str">
        <f>Github!H$1498</f>
        <v>Algorithms</v>
      </c>
      <c r="H1499" s="17" t="str">
        <f>Github!E$1498</f>
        <v>Medium</v>
      </c>
      <c r="I1499" s="17" t="str">
        <f>IF(TRIM(Github!D$1498)="TRUE","FALSE","TRUE")</f>
        <v>TRUE</v>
      </c>
      <c r="J1499" s="17"/>
      <c r="K1499" s="17" t="str">
        <f>Github!L$1498</f>
        <v>Array;Hash Table;Counting;</v>
      </c>
      <c r="L1499" s="17" t="b">
        <f>Github!M$1498</f>
        <v>0</v>
      </c>
      <c r="M1499" s="17" t="str">
        <f>ROUND(Github!N$1498, 2)&amp;"%"</f>
        <v>0%</v>
      </c>
      <c r="N1499" s="17">
        <f>Github!O$1498</f>
        <v>40.46947705</v>
      </c>
      <c r="O1499" s="17">
        <f>Github!P$1498</f>
        <v>29136</v>
      </c>
    </row>
    <row r="1500">
      <c r="A1500" s="17">
        <f>Github!J$1499</f>
        <v>1498</v>
      </c>
      <c r="B1500" s="27" t="str">
        <f>HYPERLINK(CONCAT("http://leetcode.com/problems/",Github!C$1499), Github!B$1499)</f>
        <v>Number of Subsequences That Satisfy the Given Sum Condition</v>
      </c>
      <c r="C1500" s="17">
        <f>Github!F$1499</f>
        <v>1038</v>
      </c>
      <c r="D1500" s="17">
        <f>Github!G$1499</f>
        <v>99</v>
      </c>
      <c r="E1500" s="17">
        <f>Github!F$1499+Github!G$1499</f>
        <v>1137</v>
      </c>
      <c r="F1500" s="18">
        <f t="shared" si="1"/>
        <v>10.48</v>
      </c>
      <c r="G1500" s="17" t="str">
        <f>Github!H$1499</f>
        <v>Algorithms</v>
      </c>
      <c r="H1500" s="17" t="str">
        <f>Github!E$1499</f>
        <v>Medium</v>
      </c>
      <c r="I1500" s="17" t="str">
        <f>IF(TRIM(Github!D$1499)="TRUE","FALSE","TRUE")</f>
        <v>TRUE</v>
      </c>
      <c r="J1500" s="17"/>
      <c r="K1500" s="17" t="str">
        <f>Github!L$1499</f>
        <v>Array;Two Pointers;Binary Search;Sorting;</v>
      </c>
      <c r="L1500" s="17" t="b">
        <f>Github!M$1499</f>
        <v>0</v>
      </c>
      <c r="M1500" s="17" t="str">
        <f>ROUND(Github!N$1499, 2)&amp;"%"</f>
        <v>0%</v>
      </c>
      <c r="N1500" s="17">
        <f>Github!O$1499</f>
        <v>39.16598528</v>
      </c>
      <c r="O1500" s="17">
        <f>Github!P$1499</f>
        <v>26345</v>
      </c>
    </row>
    <row r="1501">
      <c r="A1501" s="17">
        <f>Github!J$1500</f>
        <v>1499</v>
      </c>
      <c r="B1501" s="27" t="str">
        <f>HYPERLINK(CONCAT("http://leetcode.com/problems/",Github!C$1500), Github!B$1500)</f>
        <v>Max Value of Equation</v>
      </c>
      <c r="C1501" s="17">
        <f>Github!F$1500</f>
        <v>766</v>
      </c>
      <c r="D1501" s="17">
        <f>Github!G$1500</f>
        <v>27</v>
      </c>
      <c r="E1501" s="17">
        <f>Github!F$1500+Github!G$1500</f>
        <v>793</v>
      </c>
      <c r="F1501" s="18">
        <f t="shared" si="1"/>
        <v>28.37</v>
      </c>
      <c r="G1501" s="17" t="str">
        <f>Github!H$1500</f>
        <v>Algorithms</v>
      </c>
      <c r="H1501" s="17" t="str">
        <f>Github!E$1500</f>
        <v>Hard</v>
      </c>
      <c r="I1501" s="17" t="str">
        <f>IF(TRIM(Github!D$1500)="TRUE","FALSE","TRUE")</f>
        <v>TRUE</v>
      </c>
      <c r="J1501" s="17"/>
      <c r="K1501" s="17" t="str">
        <f>Github!L$1500</f>
        <v>Array;Queue;Sliding Window;Heap (Priority Queue);Monotonic Queue;</v>
      </c>
      <c r="L1501" s="17" t="b">
        <f>Github!M$1500</f>
        <v>0</v>
      </c>
      <c r="M1501" s="17" t="str">
        <f>ROUND(Github!N$1500, 2)&amp;"%"</f>
        <v>0%</v>
      </c>
      <c r="N1501" s="17">
        <f>Github!O$1500</f>
        <v>46.85227273</v>
      </c>
      <c r="O1501" s="17">
        <f>Github!P$1500</f>
        <v>28860</v>
      </c>
    </row>
    <row r="1502">
      <c r="A1502" s="17">
        <f>Github!J$1501</f>
        <v>1500</v>
      </c>
      <c r="B1502" s="27" t="str">
        <f>HYPERLINK(CONCAT("http://leetcode.com/problems/",Github!C$1501), Github!B$1501)</f>
        <v>Design a File Sharing System</v>
      </c>
      <c r="C1502" s="17">
        <f>Github!F$1501</f>
        <v>37</v>
      </c>
      <c r="D1502" s="17">
        <f>Github!G$1501</f>
        <v>87</v>
      </c>
      <c r="E1502" s="17">
        <f>Github!F$1501+Github!G$1501</f>
        <v>124</v>
      </c>
      <c r="F1502" s="18">
        <f t="shared" si="1"/>
        <v>0.43</v>
      </c>
      <c r="G1502" s="17" t="str">
        <f>Github!H$1501</f>
        <v>Algorithms</v>
      </c>
      <c r="H1502" s="17" t="str">
        <f>Github!E$1501</f>
        <v>Medium</v>
      </c>
      <c r="I1502" s="17" t="str">
        <f>IF(TRIM(Github!D$1501)="TRUE","FALSE","TRUE")</f>
        <v>FALSE</v>
      </c>
      <c r="J1502" s="17"/>
      <c r="K1502" s="17" t="str">
        <f>Github!L$1501</f>
        <v>Hash Table;Design;Heap (Priority Queue);Data Stream;</v>
      </c>
      <c r="L1502" s="17" t="b">
        <f>Github!M$1501</f>
        <v>0</v>
      </c>
      <c r="M1502" s="17" t="str">
        <f>ROUND(Github!N$1501, 2)&amp;"%"</f>
        <v>0%</v>
      </c>
      <c r="N1502" s="17">
        <f>Github!O$1501</f>
        <v>45.08223154</v>
      </c>
      <c r="O1502" s="17">
        <f>Github!P$1501</f>
        <v>2796</v>
      </c>
    </row>
    <row r="1503">
      <c r="A1503" s="17">
        <f>Github!J$1502</f>
        <v>1501</v>
      </c>
      <c r="B1503" s="27" t="str">
        <f>HYPERLINK(CONCAT("http://leetcode.com/problems/",Github!C$1502), Github!B$1502)</f>
        <v>Countries You Can Safely Invest In</v>
      </c>
      <c r="C1503" s="17">
        <f>Github!F$1502</f>
        <v>147</v>
      </c>
      <c r="D1503" s="17">
        <f>Github!G$1502</f>
        <v>19</v>
      </c>
      <c r="E1503" s="17">
        <f>Github!F$1502+Github!G$1502</f>
        <v>166</v>
      </c>
      <c r="F1503" s="18">
        <f t="shared" si="1"/>
        <v>7.74</v>
      </c>
      <c r="G1503" s="17" t="str">
        <f>Github!H$1502</f>
        <v>Database</v>
      </c>
      <c r="H1503" s="17" t="str">
        <f>Github!E$1502</f>
        <v>Medium</v>
      </c>
      <c r="I1503" s="17" t="str">
        <f>IF(TRIM(Github!D$1502)="TRUE","FALSE","TRUE")</f>
        <v>FALSE</v>
      </c>
      <c r="J1503" s="17"/>
      <c r="K1503" s="17" t="str">
        <f>Github!L$1502</f>
        <v>Database;</v>
      </c>
      <c r="L1503" s="17" t="b">
        <f>Github!M$1502</f>
        <v>0</v>
      </c>
      <c r="M1503" s="17" t="str">
        <f>ROUND(Github!N$1502, 2)&amp;"%"</f>
        <v>0%</v>
      </c>
      <c r="N1503" s="17">
        <f>Github!O$1502</f>
        <v>58.27346649</v>
      </c>
      <c r="O1503" s="17">
        <f>Github!P$1502</f>
        <v>14762</v>
      </c>
    </row>
    <row r="1504">
      <c r="A1504" s="17">
        <f>Github!J$1503</f>
        <v>1502</v>
      </c>
      <c r="B1504" s="27" t="str">
        <f>HYPERLINK(CONCAT("http://leetcode.com/problems/",Github!C$1503), Github!B$1503)</f>
        <v>Can Make Arithmetic Progression From Sequence</v>
      </c>
      <c r="C1504" s="17">
        <f>Github!F$1503</f>
        <v>587</v>
      </c>
      <c r="D1504" s="17">
        <f>Github!G$1503</f>
        <v>38</v>
      </c>
      <c r="E1504" s="17">
        <f>Github!F$1503+Github!G$1503</f>
        <v>625</v>
      </c>
      <c r="F1504" s="18">
        <f t="shared" si="1"/>
        <v>15.45</v>
      </c>
      <c r="G1504" s="17" t="str">
        <f>Github!H$1503</f>
        <v>Algorithms</v>
      </c>
      <c r="H1504" s="17" t="str">
        <f>Github!E$1503</f>
        <v>Easy</v>
      </c>
      <c r="I1504" s="17" t="str">
        <f>IF(TRIM(Github!D$1503)="TRUE","FALSE","TRUE")</f>
        <v>TRUE</v>
      </c>
      <c r="J1504" s="17"/>
      <c r="K1504" s="17" t="str">
        <f>Github!L$1503</f>
        <v>Array;Sorting;</v>
      </c>
      <c r="L1504" s="17" t="b">
        <f>Github!M$1503</f>
        <v>0</v>
      </c>
      <c r="M1504" s="17" t="str">
        <f>ROUND(Github!N$1503, 2)&amp;"%"</f>
        <v>0%</v>
      </c>
      <c r="N1504" s="17">
        <f>Github!O$1503</f>
        <v>70.38354596</v>
      </c>
      <c r="O1504" s="17">
        <f>Github!P$1503</f>
        <v>68846</v>
      </c>
    </row>
    <row r="1505">
      <c r="A1505" s="17">
        <f>Github!J$1504</f>
        <v>1503</v>
      </c>
      <c r="B1505" s="27" t="str">
        <f>HYPERLINK(CONCAT("http://leetcode.com/problems/",Github!C$1504), Github!B$1504)</f>
        <v>Last Moment Before All Ants Fall Out of a Plank</v>
      </c>
      <c r="C1505" s="17">
        <f>Github!F$1504</f>
        <v>313</v>
      </c>
      <c r="D1505" s="17">
        <f>Github!G$1504</f>
        <v>178</v>
      </c>
      <c r="E1505" s="17">
        <f>Github!F$1504+Github!G$1504</f>
        <v>491</v>
      </c>
      <c r="F1505" s="18">
        <f t="shared" si="1"/>
        <v>1.76</v>
      </c>
      <c r="G1505" s="17" t="str">
        <f>Github!H$1504</f>
        <v>Algorithms</v>
      </c>
      <c r="H1505" s="17" t="str">
        <f>Github!E$1504</f>
        <v>Medium</v>
      </c>
      <c r="I1505" s="17" t="str">
        <f>IF(TRIM(Github!D$1504)="TRUE","FALSE","TRUE")</f>
        <v>TRUE</v>
      </c>
      <c r="J1505" s="17"/>
      <c r="K1505" s="17" t="str">
        <f>Github!L$1504</f>
        <v>Array;Brainteaser;Simulation;</v>
      </c>
      <c r="L1505" s="17" t="b">
        <f>Github!M$1504</f>
        <v>0</v>
      </c>
      <c r="M1505" s="17" t="str">
        <f>ROUND(Github!N$1504, 2)&amp;"%"</f>
        <v>0%</v>
      </c>
      <c r="N1505" s="17">
        <f>Github!O$1504</f>
        <v>54.69530103</v>
      </c>
      <c r="O1505" s="17">
        <f>Github!P$1504</f>
        <v>14899</v>
      </c>
    </row>
    <row r="1506">
      <c r="A1506" s="17">
        <f>Github!J$1505</f>
        <v>1504</v>
      </c>
      <c r="B1506" s="27" t="str">
        <f>HYPERLINK(CONCAT("http://leetcode.com/problems/",Github!C$1505), Github!B$1505)</f>
        <v>Count Submatrices With All Ones</v>
      </c>
      <c r="C1506" s="17">
        <f>Github!F$1505</f>
        <v>1445</v>
      </c>
      <c r="D1506" s="17">
        <f>Github!G$1505</f>
        <v>114</v>
      </c>
      <c r="E1506" s="17">
        <f>Github!F$1505+Github!G$1505</f>
        <v>1559</v>
      </c>
      <c r="F1506" s="18">
        <f t="shared" si="1"/>
        <v>12.68</v>
      </c>
      <c r="G1506" s="17" t="str">
        <f>Github!H$1505</f>
        <v>Algorithms</v>
      </c>
      <c r="H1506" s="17" t="str">
        <f>Github!E$1505</f>
        <v>Medium</v>
      </c>
      <c r="I1506" s="17" t="str">
        <f>IF(TRIM(Github!D$1505)="TRUE","FALSE","TRUE")</f>
        <v>TRUE</v>
      </c>
      <c r="J1506" s="17"/>
      <c r="K1506" s="17" t="str">
        <f>Github!L$1505</f>
        <v>Array;Dynamic Programming;Stack;Matrix;Monotonic Stack;</v>
      </c>
      <c r="L1506" s="17" t="b">
        <f>Github!M$1505</f>
        <v>0</v>
      </c>
      <c r="M1506" s="17" t="str">
        <f>ROUND(Github!N$1505, 2)&amp;"%"</f>
        <v>0%</v>
      </c>
      <c r="N1506" s="17">
        <f>Github!O$1505</f>
        <v>58.78162358</v>
      </c>
      <c r="O1506" s="17">
        <f>Github!P$1505</f>
        <v>33830</v>
      </c>
    </row>
    <row r="1507">
      <c r="A1507" s="17">
        <f>Github!J$1506</f>
        <v>1505</v>
      </c>
      <c r="B1507" s="27" t="str">
        <f>HYPERLINK(CONCAT("http://leetcode.com/problems/",Github!C$1506), Github!B$1506)</f>
        <v>Minimum Possible Integer After at Most K Adjacent Swaps On Digits</v>
      </c>
      <c r="C1507" s="17">
        <f>Github!F$1506</f>
        <v>298</v>
      </c>
      <c r="D1507" s="17">
        <f>Github!G$1506</f>
        <v>19</v>
      </c>
      <c r="E1507" s="17">
        <f>Github!F$1506+Github!G$1506</f>
        <v>317</v>
      </c>
      <c r="F1507" s="18">
        <f t="shared" si="1"/>
        <v>15.68</v>
      </c>
      <c r="G1507" s="17" t="str">
        <f>Github!H$1506</f>
        <v>Algorithms</v>
      </c>
      <c r="H1507" s="17" t="str">
        <f>Github!E$1506</f>
        <v>Hard</v>
      </c>
      <c r="I1507" s="17" t="str">
        <f>IF(TRIM(Github!D$1506)="TRUE","FALSE","TRUE")</f>
        <v>TRUE</v>
      </c>
      <c r="J1507" s="17"/>
      <c r="K1507" s="17" t="str">
        <f>Github!L$1506</f>
        <v>String;Greedy;Binary Indexed Tree;Segment Tree;</v>
      </c>
      <c r="L1507" s="17" t="b">
        <f>Github!M$1506</f>
        <v>0</v>
      </c>
      <c r="M1507" s="17" t="str">
        <f>ROUND(Github!N$1506, 2)&amp;"%"</f>
        <v>0%</v>
      </c>
      <c r="N1507" s="17">
        <f>Github!O$1506</f>
        <v>37.45382654</v>
      </c>
      <c r="O1507" s="17">
        <f>Github!P$1506</f>
        <v>7199</v>
      </c>
    </row>
    <row r="1508">
      <c r="A1508" s="17">
        <f>Github!J$1507</f>
        <v>1506</v>
      </c>
      <c r="B1508" s="27" t="str">
        <f>HYPERLINK(CONCAT("http://leetcode.com/problems/",Github!C$1507), Github!B$1507)</f>
        <v>Find Root of N-Ary Tree</v>
      </c>
      <c r="C1508" s="17">
        <f>Github!F$1507</f>
        <v>320</v>
      </c>
      <c r="D1508" s="17">
        <f>Github!G$1507</f>
        <v>111</v>
      </c>
      <c r="E1508" s="17">
        <f>Github!F$1507+Github!G$1507</f>
        <v>431</v>
      </c>
      <c r="F1508" s="18">
        <f t="shared" si="1"/>
        <v>2.88</v>
      </c>
      <c r="G1508" s="17" t="str">
        <f>Github!H$1507</f>
        <v>Algorithms</v>
      </c>
      <c r="H1508" s="17" t="str">
        <f>Github!E$1507</f>
        <v>Medium</v>
      </c>
      <c r="I1508" s="17" t="str">
        <f>IF(TRIM(Github!D$1507)="TRUE","FALSE","TRUE")</f>
        <v>FALSE</v>
      </c>
      <c r="J1508" s="17"/>
      <c r="K1508" s="17" t="str">
        <f>Github!L$1507</f>
        <v>Hash Table;Bit Manipulation;Tree;Depth-First Search;</v>
      </c>
      <c r="L1508" s="17" t="b">
        <f>Github!M$1507</f>
        <v>1</v>
      </c>
      <c r="M1508" s="17" t="str">
        <f>ROUND(Github!N$1507, 2)&amp;"%"</f>
        <v>0%</v>
      </c>
      <c r="N1508" s="17">
        <f>Github!O$1507</f>
        <v>78.18496443</v>
      </c>
      <c r="O1508" s="17">
        <f>Github!P$1507</f>
        <v>20332</v>
      </c>
    </row>
    <row r="1509">
      <c r="A1509" s="17">
        <f>Github!J$1508</f>
        <v>1507</v>
      </c>
      <c r="B1509" s="27" t="str">
        <f>HYPERLINK(CONCAT("http://leetcode.com/problems/",Github!C$1508), Github!B$1508)</f>
        <v>Reformat Date</v>
      </c>
      <c r="C1509" s="17">
        <f>Github!F$1508</f>
        <v>234</v>
      </c>
      <c r="D1509" s="17">
        <f>Github!G$1508</f>
        <v>313</v>
      </c>
      <c r="E1509" s="17">
        <f>Github!F$1508+Github!G$1508</f>
        <v>547</v>
      </c>
      <c r="F1509" s="18">
        <f t="shared" si="1"/>
        <v>0.75</v>
      </c>
      <c r="G1509" s="17" t="str">
        <f>Github!H$1508</f>
        <v>Algorithms</v>
      </c>
      <c r="H1509" s="17" t="str">
        <f>Github!E$1508</f>
        <v>Easy</v>
      </c>
      <c r="I1509" s="17" t="str">
        <f>IF(TRIM(Github!D$1508)="TRUE","FALSE","TRUE")</f>
        <v>TRUE</v>
      </c>
      <c r="J1509" s="17"/>
      <c r="K1509" s="17" t="str">
        <f>Github!L$1508</f>
        <v>String;</v>
      </c>
      <c r="L1509" s="17" t="b">
        <f>Github!M$1508</f>
        <v>0</v>
      </c>
      <c r="M1509" s="17" t="str">
        <f>ROUND(Github!N$1508, 2)&amp;"%"</f>
        <v>0%</v>
      </c>
      <c r="N1509" s="17">
        <f>Github!O$1508</f>
        <v>61.62161248</v>
      </c>
      <c r="O1509" s="17">
        <f>Github!P$1508</f>
        <v>36426</v>
      </c>
    </row>
    <row r="1510">
      <c r="A1510" s="17">
        <f>Github!J$1509</f>
        <v>1508</v>
      </c>
      <c r="B1510" s="27" t="str">
        <f>HYPERLINK(CONCAT("http://leetcode.com/problems/",Github!C$1509), Github!B$1509)</f>
        <v>Range Sum of Sorted Subarray Sums</v>
      </c>
      <c r="C1510" s="17">
        <f>Github!F$1509</f>
        <v>528</v>
      </c>
      <c r="D1510" s="17">
        <f>Github!G$1509</f>
        <v>99</v>
      </c>
      <c r="E1510" s="17">
        <f>Github!F$1509+Github!G$1509</f>
        <v>627</v>
      </c>
      <c r="F1510" s="18">
        <f t="shared" si="1"/>
        <v>5.33</v>
      </c>
      <c r="G1510" s="17" t="str">
        <f>Github!H$1509</f>
        <v>Algorithms</v>
      </c>
      <c r="H1510" s="17" t="str">
        <f>Github!E$1509</f>
        <v>Medium</v>
      </c>
      <c r="I1510" s="17" t="str">
        <f>IF(TRIM(Github!D$1509)="TRUE","FALSE","TRUE")</f>
        <v>TRUE</v>
      </c>
      <c r="J1510" s="17"/>
      <c r="K1510" s="17" t="str">
        <f>Github!L$1509</f>
        <v>Array;Two Pointers;Binary Search;Sorting;</v>
      </c>
      <c r="L1510" s="17" t="b">
        <f>Github!M$1509</f>
        <v>0</v>
      </c>
      <c r="M1510" s="17" t="str">
        <f>ROUND(Github!N$1509, 2)&amp;"%"</f>
        <v>0%</v>
      </c>
      <c r="N1510" s="17">
        <f>Github!O$1509</f>
        <v>59.04599488</v>
      </c>
      <c r="O1510" s="17">
        <f>Github!P$1509</f>
        <v>23544</v>
      </c>
    </row>
    <row r="1511">
      <c r="A1511" s="17">
        <f>Github!J$1510</f>
        <v>1509</v>
      </c>
      <c r="B1511" s="27" t="str">
        <f>HYPERLINK(CONCAT("http://leetcode.com/problems/",Github!C$1510), Github!B$1510)</f>
        <v>Minimum Difference Between Largest and Smallest Value in Three Moves</v>
      </c>
      <c r="C1511" s="17">
        <f>Github!F$1510</f>
        <v>1011</v>
      </c>
      <c r="D1511" s="17">
        <f>Github!G$1510</f>
        <v>144</v>
      </c>
      <c r="E1511" s="17">
        <f>Github!F$1510+Github!G$1510</f>
        <v>1155</v>
      </c>
      <c r="F1511" s="18">
        <f t="shared" si="1"/>
        <v>7.02</v>
      </c>
      <c r="G1511" s="17" t="str">
        <f>Github!H$1510</f>
        <v>Algorithms</v>
      </c>
      <c r="H1511" s="17" t="str">
        <f>Github!E$1510</f>
        <v>Medium</v>
      </c>
      <c r="I1511" s="17" t="str">
        <f>IF(TRIM(Github!D$1510)="TRUE","FALSE","TRUE")</f>
        <v>TRUE</v>
      </c>
      <c r="J1511" s="17"/>
      <c r="K1511" s="17" t="str">
        <f>Github!L$1510</f>
        <v>Array;Greedy;Sorting;</v>
      </c>
      <c r="L1511" s="17" t="b">
        <f>Github!M$1510</f>
        <v>0</v>
      </c>
      <c r="M1511" s="17" t="str">
        <f>ROUND(Github!N$1510, 2)&amp;"%"</f>
        <v>0%</v>
      </c>
      <c r="N1511" s="17">
        <f>Github!O$1510</f>
        <v>55.79035293</v>
      </c>
      <c r="O1511" s="17">
        <f>Github!P$1510</f>
        <v>58107</v>
      </c>
    </row>
    <row r="1512">
      <c r="A1512" s="17">
        <f>Github!J$1511</f>
        <v>1510</v>
      </c>
      <c r="B1512" s="27" t="str">
        <f>HYPERLINK(CONCAT("http://leetcode.com/problems/",Github!C$1511), Github!B$1511)</f>
        <v>Stone Game IV</v>
      </c>
      <c r="C1512" s="17">
        <f>Github!F$1511</f>
        <v>1232</v>
      </c>
      <c r="D1512" s="17">
        <f>Github!G$1511</f>
        <v>53</v>
      </c>
      <c r="E1512" s="17">
        <f>Github!F$1511+Github!G$1511</f>
        <v>1285</v>
      </c>
      <c r="F1512" s="18">
        <f t="shared" si="1"/>
        <v>23.25</v>
      </c>
      <c r="G1512" s="17" t="str">
        <f>Github!H$1511</f>
        <v>Algorithms</v>
      </c>
      <c r="H1512" s="17" t="str">
        <f>Github!E$1511</f>
        <v>Hard</v>
      </c>
      <c r="I1512" s="17" t="str">
        <f>IF(TRIM(Github!D$1511)="TRUE","FALSE","TRUE")</f>
        <v>TRUE</v>
      </c>
      <c r="J1512" s="17"/>
      <c r="K1512" s="17" t="str">
        <f>Github!L$1511</f>
        <v>Math;Dynamic Programming;Game Theory;</v>
      </c>
      <c r="L1512" s="17" t="b">
        <f>Github!M$1511</f>
        <v>1</v>
      </c>
      <c r="M1512" s="17" t="str">
        <f>ROUND(Github!N$1511, 2)&amp;"%"</f>
        <v>0%</v>
      </c>
      <c r="N1512" s="17">
        <f>Github!O$1511</f>
        <v>60.80944638</v>
      </c>
      <c r="O1512" s="17">
        <f>Github!P$1511</f>
        <v>57215</v>
      </c>
    </row>
    <row r="1513">
      <c r="A1513" s="17">
        <f>Github!J$1512</f>
        <v>1511</v>
      </c>
      <c r="B1513" s="27" t="str">
        <f>HYPERLINK(CONCAT("http://leetcode.com/problems/",Github!C$1512), Github!B$1512)</f>
        <v>Customer Order Frequency</v>
      </c>
      <c r="C1513" s="17">
        <f>Github!F$1512</f>
        <v>214</v>
      </c>
      <c r="D1513" s="17">
        <f>Github!G$1512</f>
        <v>40</v>
      </c>
      <c r="E1513" s="17">
        <f>Github!F$1512+Github!G$1512</f>
        <v>254</v>
      </c>
      <c r="F1513" s="18">
        <f t="shared" si="1"/>
        <v>5.35</v>
      </c>
      <c r="G1513" s="17" t="str">
        <f>Github!H$1512</f>
        <v>Database</v>
      </c>
      <c r="H1513" s="17" t="str">
        <f>Github!E$1512</f>
        <v>Easy</v>
      </c>
      <c r="I1513" s="17" t="str">
        <f>IF(TRIM(Github!D$1512)="TRUE","FALSE","TRUE")</f>
        <v>FALSE</v>
      </c>
      <c r="J1513" s="17"/>
      <c r="K1513" s="17" t="str">
        <f>Github!L$1512</f>
        <v>Database;</v>
      </c>
      <c r="L1513" s="17" t="b">
        <f>Github!M$1512</f>
        <v>0</v>
      </c>
      <c r="M1513" s="17" t="str">
        <f>ROUND(Github!N$1512, 2)&amp;"%"</f>
        <v>0%</v>
      </c>
      <c r="N1513" s="17">
        <f>Github!O$1512</f>
        <v>73.4282359</v>
      </c>
      <c r="O1513" s="17">
        <f>Github!P$1512</f>
        <v>25635</v>
      </c>
    </row>
    <row r="1514">
      <c r="A1514" s="17">
        <f>Github!J$1513</f>
        <v>1512</v>
      </c>
      <c r="B1514" s="27" t="str">
        <f>HYPERLINK(CONCAT("http://leetcode.com/problems/",Github!C$1513), Github!B$1513)</f>
        <v>Number of Good Pairs</v>
      </c>
      <c r="C1514" s="17">
        <f>Github!F$1513</f>
        <v>2257</v>
      </c>
      <c r="D1514" s="17">
        <f>Github!G$1513</f>
        <v>138</v>
      </c>
      <c r="E1514" s="17">
        <f>Github!F$1513+Github!G$1513</f>
        <v>2395</v>
      </c>
      <c r="F1514" s="18">
        <f t="shared" si="1"/>
        <v>16.36</v>
      </c>
      <c r="G1514" s="17" t="str">
        <f>Github!H$1513</f>
        <v>Algorithms</v>
      </c>
      <c r="H1514" s="17" t="str">
        <f>Github!E$1513</f>
        <v>Easy</v>
      </c>
      <c r="I1514" s="17" t="str">
        <f>IF(TRIM(Github!D$1513)="TRUE","FALSE","TRUE")</f>
        <v>TRUE</v>
      </c>
      <c r="J1514" s="17"/>
      <c r="K1514" s="17" t="str">
        <f>Github!L$1513</f>
        <v>Array;Hash Table;Math;Counting;</v>
      </c>
      <c r="L1514" s="17" t="b">
        <f>Github!M$1513</f>
        <v>0</v>
      </c>
      <c r="M1514" s="17" t="str">
        <f>ROUND(Github!N$1513, 2)&amp;"%"</f>
        <v>0%</v>
      </c>
      <c r="N1514" s="17">
        <f>Github!O$1513</f>
        <v>87.90618864</v>
      </c>
      <c r="O1514" s="17">
        <f>Github!P$1513</f>
        <v>274434</v>
      </c>
    </row>
    <row r="1515">
      <c r="A1515" s="17">
        <f>Github!J$1514</f>
        <v>1513</v>
      </c>
      <c r="B1515" s="27" t="str">
        <f>HYPERLINK(CONCAT("http://leetcode.com/problems/",Github!C$1514), Github!B$1514)</f>
        <v>Number of Substrings With Only 1s</v>
      </c>
      <c r="C1515" s="17">
        <f>Github!F$1514</f>
        <v>491</v>
      </c>
      <c r="D1515" s="17">
        <f>Github!G$1514</f>
        <v>22</v>
      </c>
      <c r="E1515" s="17">
        <f>Github!F$1514+Github!G$1514</f>
        <v>513</v>
      </c>
      <c r="F1515" s="18">
        <f t="shared" si="1"/>
        <v>22.32</v>
      </c>
      <c r="G1515" s="17" t="str">
        <f>Github!H$1514</f>
        <v>Algorithms</v>
      </c>
      <c r="H1515" s="17" t="str">
        <f>Github!E$1514</f>
        <v>Medium</v>
      </c>
      <c r="I1515" s="17" t="str">
        <f>IF(TRIM(Github!D$1514)="TRUE","FALSE","TRUE")</f>
        <v>TRUE</v>
      </c>
      <c r="J1515" s="17"/>
      <c r="K1515" s="17" t="str">
        <f>Github!L$1514</f>
        <v>Math;String;</v>
      </c>
      <c r="L1515" s="17" t="b">
        <f>Github!M$1514</f>
        <v>0</v>
      </c>
      <c r="M1515" s="17" t="str">
        <f>ROUND(Github!N$1514, 2)&amp;"%"</f>
        <v>0%</v>
      </c>
      <c r="N1515" s="17">
        <f>Github!O$1514</f>
        <v>44.03227562</v>
      </c>
      <c r="O1515" s="17">
        <f>Github!P$1514</f>
        <v>28322</v>
      </c>
    </row>
    <row r="1516">
      <c r="A1516" s="17">
        <f>Github!J$1515</f>
        <v>1514</v>
      </c>
      <c r="B1516" s="27" t="str">
        <f>HYPERLINK(CONCAT("http://leetcode.com/problems/",Github!C$1515), Github!B$1515)</f>
        <v>Path with Maximum Probability</v>
      </c>
      <c r="C1516" s="17">
        <f>Github!F$1515</f>
        <v>1082</v>
      </c>
      <c r="D1516" s="17">
        <f>Github!G$1515</f>
        <v>25</v>
      </c>
      <c r="E1516" s="17">
        <f>Github!F$1515+Github!G$1515</f>
        <v>1107</v>
      </c>
      <c r="F1516" s="18">
        <f t="shared" si="1"/>
        <v>43.28</v>
      </c>
      <c r="G1516" s="17" t="str">
        <f>Github!H$1515</f>
        <v>Algorithms</v>
      </c>
      <c r="H1516" s="17" t="str">
        <f>Github!E$1515</f>
        <v>Medium</v>
      </c>
      <c r="I1516" s="17" t="str">
        <f>IF(TRIM(Github!D$1515)="TRUE","FALSE","TRUE")</f>
        <v>TRUE</v>
      </c>
      <c r="J1516" s="17"/>
      <c r="K1516" s="17" t="str">
        <f>Github!L$1515</f>
        <v>Graph;Heap (Priority Queue);Shortest Path;</v>
      </c>
      <c r="L1516" s="17" t="b">
        <f>Github!M$1515</f>
        <v>0</v>
      </c>
      <c r="M1516" s="17" t="str">
        <f>ROUND(Github!N$1515, 2)&amp;"%"</f>
        <v>0%</v>
      </c>
      <c r="N1516" s="17">
        <f>Github!O$1515</f>
        <v>45.77273529</v>
      </c>
      <c r="O1516" s="17">
        <f>Github!P$1515</f>
        <v>38931</v>
      </c>
    </row>
    <row r="1517">
      <c r="A1517" s="17">
        <f>Github!J$1516</f>
        <v>1515</v>
      </c>
      <c r="B1517" s="27" t="str">
        <f>HYPERLINK(CONCAT("http://leetcode.com/problems/",Github!C$1516), Github!B$1516)</f>
        <v>Best Position for a Service Centre</v>
      </c>
      <c r="C1517" s="17">
        <f>Github!F$1516</f>
        <v>161</v>
      </c>
      <c r="D1517" s="17">
        <f>Github!G$1516</f>
        <v>192</v>
      </c>
      <c r="E1517" s="17">
        <f>Github!F$1516+Github!G$1516</f>
        <v>353</v>
      </c>
      <c r="F1517" s="18">
        <f t="shared" si="1"/>
        <v>0.84</v>
      </c>
      <c r="G1517" s="17" t="str">
        <f>Github!H$1516</f>
        <v>Algorithms</v>
      </c>
      <c r="H1517" s="17" t="str">
        <f>Github!E$1516</f>
        <v>Hard</v>
      </c>
      <c r="I1517" s="17" t="str">
        <f>IF(TRIM(Github!D$1516)="TRUE","FALSE","TRUE")</f>
        <v>TRUE</v>
      </c>
      <c r="J1517" s="17"/>
      <c r="K1517" s="17" t="str">
        <f>Github!L$1516</f>
        <v>Math;Geometry;Randomized;</v>
      </c>
      <c r="L1517" s="17" t="b">
        <f>Github!M$1516</f>
        <v>0</v>
      </c>
      <c r="M1517" s="17" t="str">
        <f>ROUND(Github!N$1516, 2)&amp;"%"</f>
        <v>0%</v>
      </c>
      <c r="N1517" s="17">
        <f>Github!O$1516</f>
        <v>38.88197692</v>
      </c>
      <c r="O1517" s="17">
        <f>Github!P$1516</f>
        <v>9063</v>
      </c>
    </row>
    <row r="1518">
      <c r="A1518" s="17">
        <f>Github!J$1517</f>
        <v>1516</v>
      </c>
      <c r="B1518" s="27" t="str">
        <f>HYPERLINK(CONCAT("http://leetcode.com/problems/",Github!C$1517), Github!B$1517)</f>
        <v>Move Sub-Tree of N-Ary Tree</v>
      </c>
      <c r="C1518" s="17">
        <f>Github!F$1517</f>
        <v>23</v>
      </c>
      <c r="D1518" s="17">
        <f>Github!G$1517</f>
        <v>35</v>
      </c>
      <c r="E1518" s="17">
        <f>Github!F$1517+Github!G$1517</f>
        <v>58</v>
      </c>
      <c r="F1518" s="18">
        <f t="shared" si="1"/>
        <v>0.66</v>
      </c>
      <c r="G1518" s="17" t="str">
        <f>Github!H$1517</f>
        <v>Algorithms</v>
      </c>
      <c r="H1518" s="17" t="str">
        <f>Github!E$1517</f>
        <v>Hard</v>
      </c>
      <c r="I1518" s="17" t="str">
        <f>IF(TRIM(Github!D$1517)="TRUE","FALSE","TRUE")</f>
        <v>FALSE</v>
      </c>
      <c r="J1518" s="17"/>
      <c r="K1518" s="17" t="str">
        <f>Github!L$1517</f>
        <v>Tree;Depth-First Search;</v>
      </c>
      <c r="L1518" s="17" t="b">
        <f>Github!M$1517</f>
        <v>0</v>
      </c>
      <c r="M1518" s="17" t="str">
        <f>ROUND(Github!N$1517, 2)&amp;"%"</f>
        <v>0%</v>
      </c>
      <c r="N1518" s="17">
        <f>Github!O$1517</f>
        <v>64.48784376</v>
      </c>
      <c r="O1518" s="17">
        <f>Github!P$1517</f>
        <v>1618</v>
      </c>
    </row>
    <row r="1519">
      <c r="A1519" s="17">
        <f>Github!J$1518</f>
        <v>1517</v>
      </c>
      <c r="B1519" s="27" t="str">
        <f>HYPERLINK(CONCAT("http://leetcode.com/problems/",Github!C$1518), Github!B$1518)</f>
        <v>Find Users With Valid E-Mails</v>
      </c>
      <c r="C1519" s="17">
        <f>Github!F$1518</f>
        <v>92</v>
      </c>
      <c r="D1519" s="17">
        <f>Github!G$1518</f>
        <v>59</v>
      </c>
      <c r="E1519" s="17">
        <f>Github!F$1518+Github!G$1518</f>
        <v>151</v>
      </c>
      <c r="F1519" s="18">
        <f t="shared" si="1"/>
        <v>1.56</v>
      </c>
      <c r="G1519" s="17" t="str">
        <f>Github!H$1518</f>
        <v>Database</v>
      </c>
      <c r="H1519" s="17" t="str">
        <f>Github!E$1518</f>
        <v>Easy</v>
      </c>
      <c r="I1519" s="17" t="str">
        <f>IF(TRIM(Github!D$1518)="TRUE","FALSE","TRUE")</f>
        <v>FALSE</v>
      </c>
      <c r="J1519" s="17"/>
      <c r="K1519" s="17" t="str">
        <f>Github!L$1518</f>
        <v>Database;</v>
      </c>
      <c r="L1519" s="17" t="b">
        <f>Github!M$1518</f>
        <v>0</v>
      </c>
      <c r="M1519" s="17" t="str">
        <f>ROUND(Github!N$1518, 2)&amp;"%"</f>
        <v>0%</v>
      </c>
      <c r="N1519" s="17">
        <f>Github!O$1518</f>
        <v>62.47760338</v>
      </c>
      <c r="O1519" s="17">
        <f>Github!P$1518</f>
        <v>17434</v>
      </c>
    </row>
    <row r="1520">
      <c r="A1520" s="17">
        <f>Github!J$1519</f>
        <v>1518</v>
      </c>
      <c r="B1520" s="27" t="str">
        <f>HYPERLINK(CONCAT("http://leetcode.com/problems/",Github!C$1519), Github!B$1519)</f>
        <v>Water Bottles</v>
      </c>
      <c r="C1520" s="17">
        <f>Github!F$1519</f>
        <v>657</v>
      </c>
      <c r="D1520" s="17">
        <f>Github!G$1519</f>
        <v>53</v>
      </c>
      <c r="E1520" s="17">
        <f>Github!F$1519+Github!G$1519</f>
        <v>710</v>
      </c>
      <c r="F1520" s="18">
        <f t="shared" si="1"/>
        <v>12.4</v>
      </c>
      <c r="G1520" s="17" t="str">
        <f>Github!H$1519</f>
        <v>Algorithms</v>
      </c>
      <c r="H1520" s="17" t="str">
        <f>Github!E$1519</f>
        <v>Easy</v>
      </c>
      <c r="I1520" s="17" t="str">
        <f>IF(TRIM(Github!D$1519)="TRUE","FALSE","TRUE")</f>
        <v>TRUE</v>
      </c>
      <c r="J1520" s="17"/>
      <c r="K1520" s="17" t="str">
        <f>Github!L$1519</f>
        <v>Math;Simulation;</v>
      </c>
      <c r="L1520" s="17" t="b">
        <f>Github!M$1519</f>
        <v>0</v>
      </c>
      <c r="M1520" s="17" t="str">
        <f>ROUND(Github!N$1519, 2)&amp;"%"</f>
        <v>0%</v>
      </c>
      <c r="N1520" s="17">
        <f>Github!O$1519</f>
        <v>60.45502686</v>
      </c>
      <c r="O1520" s="17">
        <f>Github!P$1519</f>
        <v>47378</v>
      </c>
    </row>
    <row r="1521">
      <c r="A1521" s="17">
        <f>Github!J$1520</f>
        <v>1519</v>
      </c>
      <c r="B1521" s="27" t="str">
        <f>HYPERLINK(CONCAT("http://leetcode.com/problems/",Github!C$1520), Github!B$1520)</f>
        <v>Number of Nodes in the Sub-Tree With the Same Label</v>
      </c>
      <c r="C1521" s="17">
        <f>Github!F$1520</f>
        <v>366</v>
      </c>
      <c r="D1521" s="17">
        <f>Github!G$1520</f>
        <v>348</v>
      </c>
      <c r="E1521" s="17">
        <f>Github!F$1520+Github!G$1520</f>
        <v>714</v>
      </c>
      <c r="F1521" s="18">
        <f t="shared" si="1"/>
        <v>1.05</v>
      </c>
      <c r="G1521" s="17" t="str">
        <f>Github!H$1520</f>
        <v>Algorithms</v>
      </c>
      <c r="H1521" s="17" t="str">
        <f>Github!E$1520</f>
        <v>Medium</v>
      </c>
      <c r="I1521" s="17" t="str">
        <f>IF(TRIM(Github!D$1520)="TRUE","FALSE","TRUE")</f>
        <v>TRUE</v>
      </c>
      <c r="J1521" s="17"/>
      <c r="K1521" s="17" t="str">
        <f>Github!L$1520</f>
        <v>Hash Table;Tree;Depth-First Search;Breadth-First Search;Counting;</v>
      </c>
      <c r="L1521" s="17" t="b">
        <f>Github!M$1520</f>
        <v>0</v>
      </c>
      <c r="M1521" s="17" t="str">
        <f>ROUND(Github!N$1520, 2)&amp;"%"</f>
        <v>0%</v>
      </c>
      <c r="N1521" s="17">
        <f>Github!O$1520</f>
        <v>39.5079631</v>
      </c>
      <c r="O1521" s="17">
        <f>Github!P$1520</f>
        <v>15802</v>
      </c>
    </row>
    <row r="1522">
      <c r="A1522" s="17">
        <f>Github!J$1521</f>
        <v>1520</v>
      </c>
      <c r="B1522" s="27" t="str">
        <f>HYPERLINK(CONCAT("http://leetcode.com/problems/",Github!C$1521), Github!B$1521)</f>
        <v>Maximum Number of Non-Overlapping Substrings</v>
      </c>
      <c r="C1522" s="17">
        <f>Github!F$1521</f>
        <v>453</v>
      </c>
      <c r="D1522" s="17">
        <f>Github!G$1521</f>
        <v>55</v>
      </c>
      <c r="E1522" s="17">
        <f>Github!F$1521+Github!G$1521</f>
        <v>508</v>
      </c>
      <c r="F1522" s="18">
        <f t="shared" si="1"/>
        <v>8.24</v>
      </c>
      <c r="G1522" s="17" t="str">
        <f>Github!H$1521</f>
        <v>Algorithms</v>
      </c>
      <c r="H1522" s="17" t="str">
        <f>Github!E$1521</f>
        <v>Hard</v>
      </c>
      <c r="I1522" s="17" t="str">
        <f>IF(TRIM(Github!D$1521)="TRUE","FALSE","TRUE")</f>
        <v>TRUE</v>
      </c>
      <c r="J1522" s="17"/>
      <c r="K1522" s="17" t="str">
        <f>Github!L$1521</f>
        <v>String;Greedy;</v>
      </c>
      <c r="L1522" s="17" t="b">
        <f>Github!M$1521</f>
        <v>0</v>
      </c>
      <c r="M1522" s="17" t="str">
        <f>ROUND(Github!N$1521, 2)&amp;"%"</f>
        <v>0%</v>
      </c>
      <c r="N1522" s="17">
        <f>Github!O$1521</f>
        <v>37.41343614</v>
      </c>
      <c r="O1522" s="17">
        <f>Github!P$1521</f>
        <v>10481</v>
      </c>
    </row>
    <row r="1523">
      <c r="A1523" s="17">
        <f>Github!J$1522</f>
        <v>1521</v>
      </c>
      <c r="B1523" s="27" t="str">
        <f>HYPERLINK(CONCAT("http://leetcode.com/problems/",Github!C$1522), Github!B$1522)</f>
        <v>Find a Value of a Mysterious Function Closest to Target</v>
      </c>
      <c r="C1523" s="17">
        <f>Github!F$1522</f>
        <v>255</v>
      </c>
      <c r="D1523" s="17">
        <f>Github!G$1522</f>
        <v>10</v>
      </c>
      <c r="E1523" s="17">
        <f>Github!F$1522+Github!G$1522</f>
        <v>265</v>
      </c>
      <c r="F1523" s="18">
        <f t="shared" si="1"/>
        <v>25.5</v>
      </c>
      <c r="G1523" s="17" t="str">
        <f>Github!H$1522</f>
        <v>Algorithms</v>
      </c>
      <c r="H1523" s="17" t="str">
        <f>Github!E$1522</f>
        <v>Hard</v>
      </c>
      <c r="I1523" s="17" t="str">
        <f>IF(TRIM(Github!D$1522)="TRUE","FALSE","TRUE")</f>
        <v>TRUE</v>
      </c>
      <c r="J1523" s="17"/>
      <c r="K1523" s="17" t="str">
        <f>Github!L$1522</f>
        <v>Array;Binary Search;Bit Manipulation;Segment Tree;</v>
      </c>
      <c r="L1523" s="17" t="b">
        <f>Github!M$1522</f>
        <v>0</v>
      </c>
      <c r="M1523" s="17" t="str">
        <f>ROUND(Github!N$1522, 2)&amp;"%"</f>
        <v>0%</v>
      </c>
      <c r="N1523" s="17">
        <f>Github!O$1522</f>
        <v>43.58235824</v>
      </c>
      <c r="O1523" s="17">
        <f>Github!P$1522</f>
        <v>7263</v>
      </c>
    </row>
    <row r="1524">
      <c r="A1524" s="17">
        <f>Github!J$1523</f>
        <v>1522</v>
      </c>
      <c r="B1524" s="27" t="str">
        <f>HYPERLINK(CONCAT("http://leetcode.com/problems/",Github!C$1523), Github!B$1523)</f>
        <v>Diameter of N-Ary Tree</v>
      </c>
      <c r="C1524" s="17">
        <f>Github!F$1523</f>
        <v>393</v>
      </c>
      <c r="D1524" s="17">
        <f>Github!G$1523</f>
        <v>6</v>
      </c>
      <c r="E1524" s="17">
        <f>Github!F$1523+Github!G$1523</f>
        <v>399</v>
      </c>
      <c r="F1524" s="18">
        <f t="shared" si="1"/>
        <v>65.5</v>
      </c>
      <c r="G1524" s="17" t="str">
        <f>Github!H$1523</f>
        <v>Algorithms</v>
      </c>
      <c r="H1524" s="17" t="str">
        <f>Github!E$1523</f>
        <v>Medium</v>
      </c>
      <c r="I1524" s="17" t="str">
        <f>IF(TRIM(Github!D$1523)="TRUE","FALSE","TRUE")</f>
        <v>FALSE</v>
      </c>
      <c r="J1524" s="17"/>
      <c r="K1524" s="17" t="str">
        <f>Github!L$1523</f>
        <v>Tree;Depth-First Search;</v>
      </c>
      <c r="L1524" s="17" t="b">
        <f>Github!M$1523</f>
        <v>1</v>
      </c>
      <c r="M1524" s="17" t="str">
        <f>ROUND(Github!N$1523, 2)&amp;"%"</f>
        <v>0%</v>
      </c>
      <c r="N1524" s="17">
        <f>Github!O$1523</f>
        <v>72.97690867</v>
      </c>
      <c r="O1524" s="17">
        <f>Github!P$1523</f>
        <v>28063</v>
      </c>
    </row>
    <row r="1525">
      <c r="A1525" s="17">
        <f>Github!J$1524</f>
        <v>1523</v>
      </c>
      <c r="B1525" s="27" t="str">
        <f>HYPERLINK(CONCAT("http://leetcode.com/problems/",Github!C$1524), Github!B$1524)</f>
        <v>Count Odd Numbers in an Interval Range</v>
      </c>
      <c r="C1525" s="17">
        <f>Github!F$1524</f>
        <v>449</v>
      </c>
      <c r="D1525" s="17">
        <f>Github!G$1524</f>
        <v>41</v>
      </c>
      <c r="E1525" s="17">
        <f>Github!F$1524+Github!G$1524</f>
        <v>490</v>
      </c>
      <c r="F1525" s="18">
        <f t="shared" si="1"/>
        <v>10.95</v>
      </c>
      <c r="G1525" s="17" t="str">
        <f>Github!H$1524</f>
        <v>Algorithms</v>
      </c>
      <c r="H1525" s="17" t="str">
        <f>Github!E$1524</f>
        <v>Easy</v>
      </c>
      <c r="I1525" s="17" t="str">
        <f>IF(TRIM(Github!D$1524)="TRUE","FALSE","TRUE")</f>
        <v>TRUE</v>
      </c>
      <c r="J1525" s="17"/>
      <c r="K1525" s="17" t="str">
        <f>Github!L$1524</f>
        <v>Math;</v>
      </c>
      <c r="L1525" s="17" t="b">
        <f>Github!M$1524</f>
        <v>0</v>
      </c>
      <c r="M1525" s="17" t="str">
        <f>ROUND(Github!N$1524, 2)&amp;"%"</f>
        <v>0%</v>
      </c>
      <c r="N1525" s="17">
        <f>Github!O$1524</f>
        <v>50.61870346</v>
      </c>
      <c r="O1525" s="17">
        <f>Github!P$1524</f>
        <v>46207</v>
      </c>
    </row>
    <row r="1526">
      <c r="A1526" s="17">
        <f>Github!J$1525</f>
        <v>1524</v>
      </c>
      <c r="B1526" s="27" t="str">
        <f>HYPERLINK(CONCAT("http://leetcode.com/problems/",Github!C$1525), Github!B$1525)</f>
        <v>Number of Sub-arrays With Odd Sum</v>
      </c>
      <c r="C1526" s="17">
        <f>Github!F$1525</f>
        <v>718</v>
      </c>
      <c r="D1526" s="17">
        <f>Github!G$1525</f>
        <v>29</v>
      </c>
      <c r="E1526" s="17">
        <f>Github!F$1525+Github!G$1525</f>
        <v>747</v>
      </c>
      <c r="F1526" s="18">
        <f t="shared" si="1"/>
        <v>24.76</v>
      </c>
      <c r="G1526" s="17" t="str">
        <f>Github!H$1525</f>
        <v>Algorithms</v>
      </c>
      <c r="H1526" s="17" t="str">
        <f>Github!E$1525</f>
        <v>Medium</v>
      </c>
      <c r="I1526" s="17" t="str">
        <f>IF(TRIM(Github!D$1525)="TRUE","FALSE","TRUE")</f>
        <v>TRUE</v>
      </c>
      <c r="J1526" s="17"/>
      <c r="K1526" s="17" t="str">
        <f>Github!L$1525</f>
        <v>Array;Math;Dynamic Programming;Prefix Sum;</v>
      </c>
      <c r="L1526" s="17" t="b">
        <f>Github!M$1525</f>
        <v>0</v>
      </c>
      <c r="M1526" s="17" t="str">
        <f>ROUND(Github!N$1525, 2)&amp;"%"</f>
        <v>0%</v>
      </c>
      <c r="N1526" s="17">
        <f>Github!O$1525</f>
        <v>43.5998401</v>
      </c>
      <c r="O1526" s="17">
        <f>Github!P$1525</f>
        <v>21813</v>
      </c>
    </row>
    <row r="1527">
      <c r="A1527" s="17">
        <f>Github!J$1526</f>
        <v>1525</v>
      </c>
      <c r="B1527" s="27" t="str">
        <f>HYPERLINK(CONCAT("http://leetcode.com/problems/",Github!C$1526), Github!B$1526)</f>
        <v>Number of Good Ways to Split a String</v>
      </c>
      <c r="C1527" s="17">
        <f>Github!F$1526</f>
        <v>1251</v>
      </c>
      <c r="D1527" s="17">
        <f>Github!G$1526</f>
        <v>29</v>
      </c>
      <c r="E1527" s="17">
        <f>Github!F$1526+Github!G$1526</f>
        <v>1280</v>
      </c>
      <c r="F1527" s="18">
        <f t="shared" si="1"/>
        <v>43.14</v>
      </c>
      <c r="G1527" s="17" t="str">
        <f>Github!H$1526</f>
        <v>Algorithms</v>
      </c>
      <c r="H1527" s="17" t="str">
        <f>Github!E$1526</f>
        <v>Medium</v>
      </c>
      <c r="I1527" s="17" t="str">
        <f>IF(TRIM(Github!D$1526)="TRUE","FALSE","TRUE")</f>
        <v>TRUE</v>
      </c>
      <c r="J1527" s="17"/>
      <c r="K1527" s="17" t="str">
        <f>Github!L$1526</f>
        <v>String;Dynamic Programming;Bit Manipulation;</v>
      </c>
      <c r="L1527" s="17" t="b">
        <f>Github!M$1526</f>
        <v>0</v>
      </c>
      <c r="M1527" s="17" t="str">
        <f>ROUND(Github!N$1526, 2)&amp;"%"</f>
        <v>0%</v>
      </c>
      <c r="N1527" s="17">
        <f>Github!O$1526</f>
        <v>70.35928144</v>
      </c>
      <c r="O1527" s="17">
        <f>Github!P$1526</f>
        <v>66505</v>
      </c>
    </row>
    <row r="1528">
      <c r="A1528" s="17">
        <f>Github!J$1527</f>
        <v>1526</v>
      </c>
      <c r="B1528" s="27" t="str">
        <f>HYPERLINK(CONCAT("http://leetcode.com/problems/",Github!C$1527), Github!B$1527)</f>
        <v>Minimum Number of Increments on Subarrays to Form a Target Array</v>
      </c>
      <c r="C1528" s="17">
        <f>Github!F$1527</f>
        <v>801</v>
      </c>
      <c r="D1528" s="17">
        <f>Github!G$1527</f>
        <v>49</v>
      </c>
      <c r="E1528" s="17">
        <f>Github!F$1527+Github!G$1527</f>
        <v>850</v>
      </c>
      <c r="F1528" s="18">
        <f t="shared" si="1"/>
        <v>16.35</v>
      </c>
      <c r="G1528" s="17" t="str">
        <f>Github!H$1527</f>
        <v>Algorithms</v>
      </c>
      <c r="H1528" s="17" t="str">
        <f>Github!E$1527</f>
        <v>Hard</v>
      </c>
      <c r="I1528" s="17" t="str">
        <f>IF(TRIM(Github!D$1527)="TRUE","FALSE","TRUE")</f>
        <v>TRUE</v>
      </c>
      <c r="J1528" s="17"/>
      <c r="K1528" s="17" t="str">
        <f>Github!L$1527</f>
        <v>Array;Dynamic Programming;Stack;Greedy;Monotonic Stack;</v>
      </c>
      <c r="L1528" s="17" t="b">
        <f>Github!M$1527</f>
        <v>0</v>
      </c>
      <c r="M1528" s="17" t="str">
        <f>ROUND(Github!N$1527, 2)&amp;"%"</f>
        <v>0%</v>
      </c>
      <c r="N1528" s="17">
        <f>Github!O$1527</f>
        <v>67.87024635</v>
      </c>
      <c r="O1528" s="17">
        <f>Github!P$1527</f>
        <v>23306</v>
      </c>
    </row>
    <row r="1529">
      <c r="A1529" s="17">
        <f>Github!J$1528</f>
        <v>1527</v>
      </c>
      <c r="B1529" s="27" t="str">
        <f>HYPERLINK(CONCAT("http://leetcode.com/problems/",Github!C$1528), Github!B$1528)</f>
        <v>Patients With a Condition</v>
      </c>
      <c r="C1529" s="17">
        <f>Github!F$1528</f>
        <v>38</v>
      </c>
      <c r="D1529" s="17">
        <f>Github!G$1528</f>
        <v>93</v>
      </c>
      <c r="E1529" s="17">
        <f>Github!F$1528+Github!G$1528</f>
        <v>131</v>
      </c>
      <c r="F1529" s="18">
        <f t="shared" si="1"/>
        <v>0.41</v>
      </c>
      <c r="G1529" s="17" t="str">
        <f>Github!H$1528</f>
        <v>Database</v>
      </c>
      <c r="H1529" s="17" t="str">
        <f>Github!E$1528</f>
        <v>Easy</v>
      </c>
      <c r="I1529" s="17" t="str">
        <f>IF(TRIM(Github!D$1528)="TRUE","FALSE","TRUE")</f>
        <v>FALSE</v>
      </c>
      <c r="J1529" s="17"/>
      <c r="K1529" s="17" t="str">
        <f>Github!L$1528</f>
        <v>Database;</v>
      </c>
      <c r="L1529" s="17" t="b">
        <f>Github!M$1528</f>
        <v>0</v>
      </c>
      <c r="M1529" s="17" t="str">
        <f>ROUND(Github!N$1528, 2)&amp;"%"</f>
        <v>0%</v>
      </c>
      <c r="N1529" s="17">
        <f>Github!O$1528</f>
        <v>51.45353722</v>
      </c>
      <c r="O1529" s="17">
        <f>Github!P$1528</f>
        <v>15310</v>
      </c>
    </row>
    <row r="1530">
      <c r="A1530" s="17">
        <f>Github!J$1529</f>
        <v>1528</v>
      </c>
      <c r="B1530" s="27" t="str">
        <f>HYPERLINK(CONCAT("http://leetcode.com/problems/",Github!C$1529), Github!B$1529)</f>
        <v>Shuffle String</v>
      </c>
      <c r="C1530" s="17">
        <f>Github!F$1529</f>
        <v>1264</v>
      </c>
      <c r="D1530" s="17">
        <f>Github!G$1529</f>
        <v>243</v>
      </c>
      <c r="E1530" s="17">
        <f>Github!F$1529+Github!G$1529</f>
        <v>1507</v>
      </c>
      <c r="F1530" s="18">
        <f t="shared" si="1"/>
        <v>5.2</v>
      </c>
      <c r="G1530" s="17" t="str">
        <f>Github!H$1529</f>
        <v>Algorithms</v>
      </c>
      <c r="H1530" s="17" t="str">
        <f>Github!E$1529</f>
        <v>Easy</v>
      </c>
      <c r="I1530" s="17" t="str">
        <f>IF(TRIM(Github!D$1529)="TRUE","FALSE","TRUE")</f>
        <v>TRUE</v>
      </c>
      <c r="J1530" s="17"/>
      <c r="K1530" s="17" t="str">
        <f>Github!L$1529</f>
        <v>Array;String;</v>
      </c>
      <c r="L1530" s="17" t="b">
        <f>Github!M$1529</f>
        <v>0</v>
      </c>
      <c r="M1530" s="17" t="str">
        <f>ROUND(Github!N$1529, 2)&amp;"%"</f>
        <v>0%</v>
      </c>
      <c r="N1530" s="17">
        <f>Github!O$1529</f>
        <v>85.78897684</v>
      </c>
      <c r="O1530" s="17">
        <f>Github!P$1529</f>
        <v>189020</v>
      </c>
    </row>
    <row r="1531">
      <c r="A1531" s="17">
        <f>Github!J$1530</f>
        <v>1529</v>
      </c>
      <c r="B1531" s="27" t="str">
        <f>HYPERLINK(CONCAT("http://leetcode.com/problems/",Github!C$1530), Github!B$1530)</f>
        <v>Minimum Suffix Flips</v>
      </c>
      <c r="C1531" s="17">
        <f>Github!F$1530</f>
        <v>611</v>
      </c>
      <c r="D1531" s="17">
        <f>Github!G$1530</f>
        <v>30</v>
      </c>
      <c r="E1531" s="17">
        <f>Github!F$1530+Github!G$1530</f>
        <v>641</v>
      </c>
      <c r="F1531" s="18">
        <f t="shared" si="1"/>
        <v>20.37</v>
      </c>
      <c r="G1531" s="17" t="str">
        <f>Github!H$1530</f>
        <v>Algorithms</v>
      </c>
      <c r="H1531" s="17" t="str">
        <f>Github!E$1530</f>
        <v>Medium</v>
      </c>
      <c r="I1531" s="17" t="str">
        <f>IF(TRIM(Github!D$1530)="TRUE","FALSE","TRUE")</f>
        <v>TRUE</v>
      </c>
      <c r="J1531" s="17"/>
      <c r="K1531" s="17" t="str">
        <f>Github!L$1530</f>
        <v>String;Greedy;</v>
      </c>
      <c r="L1531" s="17" t="b">
        <f>Github!M$1530</f>
        <v>0</v>
      </c>
      <c r="M1531" s="17" t="str">
        <f>ROUND(Github!N$1530, 2)&amp;"%"</f>
        <v>0%</v>
      </c>
      <c r="N1531" s="17">
        <f>Github!O$1530</f>
        <v>72.41895721</v>
      </c>
      <c r="O1531" s="17">
        <f>Github!P$1530</f>
        <v>31431</v>
      </c>
    </row>
    <row r="1532">
      <c r="A1532" s="17">
        <f>Github!J$1531</f>
        <v>1530</v>
      </c>
      <c r="B1532" s="27" t="str">
        <f>HYPERLINK(CONCAT("http://leetcode.com/problems/",Github!C$1531), Github!B$1531)</f>
        <v>Number of Good Leaf Nodes Pairs</v>
      </c>
      <c r="C1532" s="17">
        <f>Github!F$1531</f>
        <v>1025</v>
      </c>
      <c r="D1532" s="17">
        <f>Github!G$1531</f>
        <v>21</v>
      </c>
      <c r="E1532" s="17">
        <f>Github!F$1531+Github!G$1531</f>
        <v>1046</v>
      </c>
      <c r="F1532" s="18">
        <f t="shared" si="1"/>
        <v>48.81</v>
      </c>
      <c r="G1532" s="17" t="str">
        <f>Github!H$1531</f>
        <v>Algorithms</v>
      </c>
      <c r="H1532" s="17" t="str">
        <f>Github!E$1531</f>
        <v>Medium</v>
      </c>
      <c r="I1532" s="17" t="str">
        <f>IF(TRIM(Github!D$1531)="TRUE","FALSE","TRUE")</f>
        <v>TRUE</v>
      </c>
      <c r="J1532" s="17"/>
      <c r="K1532" s="17" t="str">
        <f>Github!L$1531</f>
        <v>Tree;Depth-First Search;Binary Tree;</v>
      </c>
      <c r="L1532" s="17" t="b">
        <f>Github!M$1531</f>
        <v>0</v>
      </c>
      <c r="M1532" s="17" t="str">
        <f>ROUND(Github!N$1531, 2)&amp;"%"</f>
        <v>0%</v>
      </c>
      <c r="N1532" s="17">
        <f>Github!O$1531</f>
        <v>59.48557027</v>
      </c>
      <c r="O1532" s="17">
        <f>Github!P$1531</f>
        <v>24075</v>
      </c>
    </row>
    <row r="1533">
      <c r="A1533" s="17">
        <f>Github!J$1532</f>
        <v>1531</v>
      </c>
      <c r="B1533" s="27" t="str">
        <f>HYPERLINK(CONCAT("http://leetcode.com/problems/",Github!C$1532), Github!B$1532)</f>
        <v>String Compression II</v>
      </c>
      <c r="C1533" s="17">
        <f>Github!F$1532</f>
        <v>440</v>
      </c>
      <c r="D1533" s="17">
        <f>Github!G$1532</f>
        <v>47</v>
      </c>
      <c r="E1533" s="17">
        <f>Github!F$1532+Github!G$1532</f>
        <v>487</v>
      </c>
      <c r="F1533" s="18">
        <f t="shared" si="1"/>
        <v>9.36</v>
      </c>
      <c r="G1533" s="17" t="str">
        <f>Github!H$1532</f>
        <v>Algorithms</v>
      </c>
      <c r="H1533" s="17" t="str">
        <f>Github!E$1532</f>
        <v>Hard</v>
      </c>
      <c r="I1533" s="17" t="str">
        <f>IF(TRIM(Github!D$1532)="TRUE","FALSE","TRUE")</f>
        <v>TRUE</v>
      </c>
      <c r="J1533" s="17"/>
      <c r="K1533" s="17" t="str">
        <f>Github!L$1532</f>
        <v>String;Dynamic Programming;</v>
      </c>
      <c r="L1533" s="17" t="b">
        <f>Github!M$1532</f>
        <v>0</v>
      </c>
      <c r="M1533" s="17" t="str">
        <f>ROUND(Github!N$1532, 2)&amp;"%"</f>
        <v>0%</v>
      </c>
      <c r="N1533" s="17">
        <f>Github!O$1532</f>
        <v>37.59531003</v>
      </c>
      <c r="O1533" s="17">
        <f>Github!P$1532</f>
        <v>10453</v>
      </c>
    </row>
    <row r="1534">
      <c r="A1534" s="17">
        <f>Github!J$1533</f>
        <v>1532</v>
      </c>
      <c r="B1534" s="27" t="str">
        <f>HYPERLINK(CONCAT("http://leetcode.com/problems/",Github!C$1533), Github!B$1533)</f>
        <v>The Most Recent Three Orders</v>
      </c>
      <c r="C1534" s="17">
        <f>Github!F$1533</f>
        <v>80</v>
      </c>
      <c r="D1534" s="17">
        <f>Github!G$1533</f>
        <v>5</v>
      </c>
      <c r="E1534" s="17">
        <f>Github!F$1533+Github!G$1533</f>
        <v>85</v>
      </c>
      <c r="F1534" s="18">
        <f t="shared" si="1"/>
        <v>16</v>
      </c>
      <c r="G1534" s="17" t="str">
        <f>Github!H$1533</f>
        <v>Database</v>
      </c>
      <c r="H1534" s="17" t="str">
        <f>Github!E$1533</f>
        <v>Medium</v>
      </c>
      <c r="I1534" s="17" t="str">
        <f>IF(TRIM(Github!D$1533)="TRUE","FALSE","TRUE")</f>
        <v>FALSE</v>
      </c>
      <c r="J1534" s="17"/>
      <c r="K1534" s="17" t="str">
        <f>Github!L$1533</f>
        <v>Database;</v>
      </c>
      <c r="L1534" s="17" t="b">
        <f>Github!M$1533</f>
        <v>0</v>
      </c>
      <c r="M1534" s="17" t="str">
        <f>ROUND(Github!N$1533, 2)&amp;"%"</f>
        <v>0%</v>
      </c>
      <c r="N1534" s="17">
        <f>Github!O$1533</f>
        <v>71.19755682</v>
      </c>
      <c r="O1534" s="17">
        <f>Github!P$1533</f>
        <v>14221</v>
      </c>
    </row>
    <row r="1535">
      <c r="A1535" s="17">
        <f>Github!J$1534</f>
        <v>1533</v>
      </c>
      <c r="B1535" s="27" t="str">
        <f>HYPERLINK(CONCAT("http://leetcode.com/problems/",Github!C$1534), Github!B$1534)</f>
        <v>Find the Index of the Large Integer</v>
      </c>
      <c r="C1535" s="17">
        <f>Github!F$1534</f>
        <v>80</v>
      </c>
      <c r="D1535" s="17">
        <f>Github!G$1534</f>
        <v>11</v>
      </c>
      <c r="E1535" s="17">
        <f>Github!F$1534+Github!G$1534</f>
        <v>91</v>
      </c>
      <c r="F1535" s="18">
        <f t="shared" si="1"/>
        <v>7.27</v>
      </c>
      <c r="G1535" s="17" t="str">
        <f>Github!H$1534</f>
        <v>Algorithms</v>
      </c>
      <c r="H1535" s="17" t="str">
        <f>Github!E$1534</f>
        <v>Medium</v>
      </c>
      <c r="I1535" s="17" t="str">
        <f>IF(TRIM(Github!D$1534)="TRUE","FALSE","TRUE")</f>
        <v>FALSE</v>
      </c>
      <c r="J1535" s="17"/>
      <c r="K1535" s="17" t="str">
        <f>Github!L$1534</f>
        <v>Array;Binary Search;Interactive;</v>
      </c>
      <c r="L1535" s="17" t="b">
        <f>Github!M$1534</f>
        <v>0</v>
      </c>
      <c r="M1535" s="17" t="str">
        <f>ROUND(Github!N$1534, 2)&amp;"%"</f>
        <v>0%</v>
      </c>
      <c r="N1535" s="17">
        <f>Github!O$1534</f>
        <v>50.71625706</v>
      </c>
      <c r="O1535" s="17">
        <f>Github!P$1534</f>
        <v>3859</v>
      </c>
    </row>
    <row r="1536">
      <c r="A1536" s="17">
        <f>Github!J$1535</f>
        <v>1534</v>
      </c>
      <c r="B1536" s="27" t="str">
        <f>HYPERLINK(CONCAT("http://leetcode.com/problems/",Github!C$1535), Github!B$1535)</f>
        <v>Count Good Triplets</v>
      </c>
      <c r="C1536" s="17">
        <f>Github!F$1535</f>
        <v>398</v>
      </c>
      <c r="D1536" s="17">
        <f>Github!G$1535</f>
        <v>844</v>
      </c>
      <c r="E1536" s="17">
        <f>Github!F$1535+Github!G$1535</f>
        <v>1242</v>
      </c>
      <c r="F1536" s="18">
        <f t="shared" si="1"/>
        <v>0.47</v>
      </c>
      <c r="G1536" s="17" t="str">
        <f>Github!H$1535</f>
        <v>Algorithms</v>
      </c>
      <c r="H1536" s="17" t="str">
        <f>Github!E$1535</f>
        <v>Easy</v>
      </c>
      <c r="I1536" s="17" t="str">
        <f>IF(TRIM(Github!D$1535)="TRUE","FALSE","TRUE")</f>
        <v>TRUE</v>
      </c>
      <c r="J1536" s="17"/>
      <c r="K1536" s="17" t="str">
        <f>Github!L$1535</f>
        <v>Array;Enumeration;</v>
      </c>
      <c r="L1536" s="17" t="b">
        <f>Github!M$1535</f>
        <v>0</v>
      </c>
      <c r="M1536" s="17" t="str">
        <f>ROUND(Github!N$1535, 2)&amp;"%"</f>
        <v>0%</v>
      </c>
      <c r="N1536" s="17">
        <f>Github!O$1535</f>
        <v>80.51703745</v>
      </c>
      <c r="O1536" s="17">
        <f>Github!P$1535</f>
        <v>71478</v>
      </c>
    </row>
    <row r="1537">
      <c r="A1537" s="17">
        <f>Github!J$1536</f>
        <v>1535</v>
      </c>
      <c r="B1537" s="27" t="str">
        <f>HYPERLINK(CONCAT("http://leetcode.com/problems/",Github!C$1536), Github!B$1536)</f>
        <v>Find the Winner of an Array Game</v>
      </c>
      <c r="C1537" s="17">
        <f>Github!F$1536</f>
        <v>440</v>
      </c>
      <c r="D1537" s="17">
        <f>Github!G$1536</f>
        <v>25</v>
      </c>
      <c r="E1537" s="17">
        <f>Github!F$1536+Github!G$1536</f>
        <v>465</v>
      </c>
      <c r="F1537" s="18">
        <f t="shared" si="1"/>
        <v>17.6</v>
      </c>
      <c r="G1537" s="17" t="str">
        <f>Github!H$1536</f>
        <v>Algorithms</v>
      </c>
      <c r="H1537" s="17" t="str">
        <f>Github!E$1536</f>
        <v>Medium</v>
      </c>
      <c r="I1537" s="17" t="str">
        <f>IF(TRIM(Github!D$1536)="TRUE","FALSE","TRUE")</f>
        <v>TRUE</v>
      </c>
      <c r="J1537" s="17"/>
      <c r="K1537" s="17" t="str">
        <f>Github!L$1536</f>
        <v>Array;Simulation;</v>
      </c>
      <c r="L1537" s="17" t="b">
        <f>Github!M$1536</f>
        <v>0</v>
      </c>
      <c r="M1537" s="17" t="str">
        <f>ROUND(Github!N$1536, 2)&amp;"%"</f>
        <v>0%</v>
      </c>
      <c r="N1537" s="17">
        <f>Github!O$1536</f>
        <v>48.79027306</v>
      </c>
      <c r="O1537" s="17">
        <f>Github!P$1536</f>
        <v>23836</v>
      </c>
    </row>
    <row r="1538">
      <c r="A1538" s="17">
        <f>Github!J$1537</f>
        <v>1536</v>
      </c>
      <c r="B1538" s="27" t="str">
        <f>HYPERLINK(CONCAT("http://leetcode.com/problems/",Github!C$1537), Github!B$1537)</f>
        <v>Minimum Swaps to Arrange a Binary Grid</v>
      </c>
      <c r="C1538" s="17">
        <f>Github!F$1537</f>
        <v>415</v>
      </c>
      <c r="D1538" s="17">
        <f>Github!G$1537</f>
        <v>59</v>
      </c>
      <c r="E1538" s="17">
        <f>Github!F$1537+Github!G$1537</f>
        <v>474</v>
      </c>
      <c r="F1538" s="18">
        <f t="shared" si="1"/>
        <v>7.03</v>
      </c>
      <c r="G1538" s="17" t="str">
        <f>Github!H$1537</f>
        <v>Algorithms</v>
      </c>
      <c r="H1538" s="17" t="str">
        <f>Github!E$1537</f>
        <v>Medium</v>
      </c>
      <c r="I1538" s="17" t="str">
        <f>IF(TRIM(Github!D$1537)="TRUE","FALSE","TRUE")</f>
        <v>TRUE</v>
      </c>
      <c r="J1538" s="17"/>
      <c r="K1538" s="17" t="str">
        <f>Github!L$1537</f>
        <v>Array;Greedy;Matrix;</v>
      </c>
      <c r="L1538" s="17" t="b">
        <f>Github!M$1537</f>
        <v>0</v>
      </c>
      <c r="M1538" s="17" t="str">
        <f>ROUND(Github!N$1537, 2)&amp;"%"</f>
        <v>0%</v>
      </c>
      <c r="N1538" s="17">
        <f>Github!O$1537</f>
        <v>45.59777187</v>
      </c>
      <c r="O1538" s="17">
        <f>Github!P$1537</f>
        <v>10969</v>
      </c>
    </row>
    <row r="1539">
      <c r="A1539" s="17">
        <f>Github!J$1538</f>
        <v>1537</v>
      </c>
      <c r="B1539" s="27" t="str">
        <f>HYPERLINK(CONCAT("http://leetcode.com/problems/",Github!C$1538), Github!B$1538)</f>
        <v>Get the Maximum Score</v>
      </c>
      <c r="C1539" s="17">
        <f>Github!F$1538</f>
        <v>552</v>
      </c>
      <c r="D1539" s="17">
        <f>Github!G$1538</f>
        <v>32</v>
      </c>
      <c r="E1539" s="17">
        <f>Github!F$1538+Github!G$1538</f>
        <v>584</v>
      </c>
      <c r="F1539" s="18">
        <f t="shared" si="1"/>
        <v>17.25</v>
      </c>
      <c r="G1539" s="17" t="str">
        <f>Github!H$1538</f>
        <v>Algorithms</v>
      </c>
      <c r="H1539" s="17" t="str">
        <f>Github!E$1538</f>
        <v>Hard</v>
      </c>
      <c r="I1539" s="17" t="str">
        <f>IF(TRIM(Github!D$1538)="TRUE","FALSE","TRUE")</f>
        <v>TRUE</v>
      </c>
      <c r="J1539" s="17"/>
      <c r="K1539" s="17" t="str">
        <f>Github!L$1538</f>
        <v>Array;Two Pointers;Dynamic Programming;Greedy;</v>
      </c>
      <c r="L1539" s="17" t="b">
        <f>Github!M$1538</f>
        <v>0</v>
      </c>
      <c r="M1539" s="17" t="str">
        <f>ROUND(Github!N$1538, 2)&amp;"%"</f>
        <v>0%</v>
      </c>
      <c r="N1539" s="17">
        <f>Github!O$1538</f>
        <v>38.96330095</v>
      </c>
      <c r="O1539" s="17">
        <f>Github!P$1538</f>
        <v>15883</v>
      </c>
    </row>
    <row r="1540">
      <c r="A1540" s="17">
        <f>Github!J$1539</f>
        <v>1538</v>
      </c>
      <c r="B1540" s="27" t="str">
        <f>HYPERLINK(CONCAT("http://leetcode.com/problems/",Github!C$1539), Github!B$1539)</f>
        <v>Guess the Majority in a Hidden Array</v>
      </c>
      <c r="C1540" s="17">
        <f>Github!F$1539</f>
        <v>63</v>
      </c>
      <c r="D1540" s="17">
        <f>Github!G$1539</f>
        <v>33</v>
      </c>
      <c r="E1540" s="17">
        <f>Github!F$1539+Github!G$1539</f>
        <v>96</v>
      </c>
      <c r="F1540" s="18">
        <f t="shared" si="1"/>
        <v>1.91</v>
      </c>
      <c r="G1540" s="17" t="str">
        <f>Github!H$1539</f>
        <v>Algorithms</v>
      </c>
      <c r="H1540" s="17" t="str">
        <f>Github!E$1539</f>
        <v>Medium</v>
      </c>
      <c r="I1540" s="17" t="str">
        <f>IF(TRIM(Github!D$1539)="TRUE","FALSE","TRUE")</f>
        <v>FALSE</v>
      </c>
      <c r="J1540" s="17"/>
      <c r="K1540" s="17" t="str">
        <f>Github!L$1539</f>
        <v>Array;Math;Interactive;</v>
      </c>
      <c r="L1540" s="17" t="b">
        <f>Github!M$1539</f>
        <v>0</v>
      </c>
      <c r="M1540" s="17" t="str">
        <f>ROUND(Github!N$1539, 2)&amp;"%"</f>
        <v>0%</v>
      </c>
      <c r="N1540" s="17">
        <f>Github!O$1539</f>
        <v>61.85958254</v>
      </c>
      <c r="O1540" s="17">
        <f>Github!P$1539</f>
        <v>1304</v>
      </c>
    </row>
    <row r="1541">
      <c r="A1541" s="17">
        <f>Github!J$1540</f>
        <v>1539</v>
      </c>
      <c r="B1541" s="27" t="str">
        <f>HYPERLINK(CONCAT("http://leetcode.com/problems/",Github!C$1540), Github!B$1540)</f>
        <v>Kth Missing Positive Number</v>
      </c>
      <c r="C1541" s="17">
        <f>Github!F$1540</f>
        <v>2159</v>
      </c>
      <c r="D1541" s="17">
        <f>Github!G$1540</f>
        <v>160</v>
      </c>
      <c r="E1541" s="17">
        <f>Github!F$1540+Github!G$1540</f>
        <v>2319</v>
      </c>
      <c r="F1541" s="18">
        <f t="shared" si="1"/>
        <v>13.49</v>
      </c>
      <c r="G1541" s="17" t="str">
        <f>Github!H$1540</f>
        <v>Algorithms</v>
      </c>
      <c r="H1541" s="17" t="str">
        <f>Github!E$1540</f>
        <v>Easy</v>
      </c>
      <c r="I1541" s="17" t="str">
        <f>IF(TRIM(Github!D$1540)="TRUE","FALSE","TRUE")</f>
        <v>TRUE</v>
      </c>
      <c r="J1541" s="17"/>
      <c r="K1541" s="17" t="str">
        <f>Github!L$1540</f>
        <v>Array;Binary Search;</v>
      </c>
      <c r="L1541" s="17" t="b">
        <f>Github!M$1540</f>
        <v>1</v>
      </c>
      <c r="M1541" s="17" t="str">
        <f>ROUND(Github!N$1540, 2)&amp;"%"</f>
        <v>0%</v>
      </c>
      <c r="N1541" s="17">
        <f>Github!O$1540</f>
        <v>55.23710168</v>
      </c>
      <c r="O1541" s="17">
        <f>Github!P$1540</f>
        <v>147720</v>
      </c>
    </row>
    <row r="1542">
      <c r="A1542" s="17">
        <f>Github!J$1541</f>
        <v>1540</v>
      </c>
      <c r="B1542" s="27" t="str">
        <f>HYPERLINK(CONCAT("http://leetcode.com/problems/",Github!C$1541), Github!B$1541)</f>
        <v>Can Convert String in K Moves</v>
      </c>
      <c r="C1542" s="17">
        <f>Github!F$1541</f>
        <v>271</v>
      </c>
      <c r="D1542" s="17">
        <f>Github!G$1541</f>
        <v>224</v>
      </c>
      <c r="E1542" s="17">
        <f>Github!F$1541+Github!G$1541</f>
        <v>495</v>
      </c>
      <c r="F1542" s="18">
        <f t="shared" si="1"/>
        <v>1.21</v>
      </c>
      <c r="G1542" s="17" t="str">
        <f>Github!H$1541</f>
        <v>Algorithms</v>
      </c>
      <c r="H1542" s="17" t="str">
        <f>Github!E$1541</f>
        <v>Medium</v>
      </c>
      <c r="I1542" s="17" t="str">
        <f>IF(TRIM(Github!D$1541)="TRUE","FALSE","TRUE")</f>
        <v>TRUE</v>
      </c>
      <c r="J1542" s="17"/>
      <c r="K1542" s="17" t="str">
        <f>Github!L$1541</f>
        <v>Hash Table;String;</v>
      </c>
      <c r="L1542" s="17" t="b">
        <f>Github!M$1541</f>
        <v>0</v>
      </c>
      <c r="M1542" s="17" t="str">
        <f>ROUND(Github!N$1541, 2)&amp;"%"</f>
        <v>0%</v>
      </c>
      <c r="N1542" s="17">
        <f>Github!O$1541</f>
        <v>32.4059928</v>
      </c>
      <c r="O1542" s="17">
        <f>Github!P$1541</f>
        <v>13151</v>
      </c>
    </row>
    <row r="1543">
      <c r="A1543" s="17">
        <f>Github!J$1542</f>
        <v>1541</v>
      </c>
      <c r="B1543" s="27" t="str">
        <f>HYPERLINK(CONCAT("http://leetcode.com/problems/",Github!C$1542), Github!B$1542)</f>
        <v>Minimum Insertions to Balance a Parentheses String</v>
      </c>
      <c r="C1543" s="17">
        <f>Github!F$1542</f>
        <v>596</v>
      </c>
      <c r="D1543" s="17">
        <f>Github!G$1542</f>
        <v>122</v>
      </c>
      <c r="E1543" s="17">
        <f>Github!F$1542+Github!G$1542</f>
        <v>718</v>
      </c>
      <c r="F1543" s="18">
        <f t="shared" si="1"/>
        <v>4.89</v>
      </c>
      <c r="G1543" s="17" t="str">
        <f>Github!H$1542</f>
        <v>Algorithms</v>
      </c>
      <c r="H1543" s="17" t="str">
        <f>Github!E$1542</f>
        <v>Medium</v>
      </c>
      <c r="I1543" s="17" t="str">
        <f>IF(TRIM(Github!D$1542)="TRUE","FALSE","TRUE")</f>
        <v>TRUE</v>
      </c>
      <c r="J1543" s="17"/>
      <c r="K1543" s="17" t="str">
        <f>Github!L$1542</f>
        <v>String;Stack;Greedy;</v>
      </c>
      <c r="L1543" s="17" t="b">
        <f>Github!M$1542</f>
        <v>0</v>
      </c>
      <c r="M1543" s="17" t="str">
        <f>ROUND(Github!N$1542, 2)&amp;"%"</f>
        <v>0%</v>
      </c>
      <c r="N1543" s="17">
        <f>Github!O$1542</f>
        <v>48.95508623</v>
      </c>
      <c r="O1543" s="17">
        <f>Github!P$1542</f>
        <v>26541</v>
      </c>
    </row>
    <row r="1544">
      <c r="A1544" s="17">
        <f>Github!J$1543</f>
        <v>1542</v>
      </c>
      <c r="B1544" s="27" t="str">
        <f>HYPERLINK(CONCAT("http://leetcode.com/problems/",Github!C$1543), Github!B$1543)</f>
        <v>Find Longest Awesome Substring</v>
      </c>
      <c r="C1544" s="17">
        <f>Github!F$1543</f>
        <v>495</v>
      </c>
      <c r="D1544" s="17">
        <f>Github!G$1543</f>
        <v>11</v>
      </c>
      <c r="E1544" s="17">
        <f>Github!F$1543+Github!G$1543</f>
        <v>506</v>
      </c>
      <c r="F1544" s="18">
        <f t="shared" si="1"/>
        <v>45</v>
      </c>
      <c r="G1544" s="17" t="str">
        <f>Github!H$1543</f>
        <v>Algorithms</v>
      </c>
      <c r="H1544" s="17" t="str">
        <f>Github!E$1543</f>
        <v>Hard</v>
      </c>
      <c r="I1544" s="17" t="str">
        <f>IF(TRIM(Github!D$1543)="TRUE","FALSE","TRUE")</f>
        <v>TRUE</v>
      </c>
      <c r="J1544" s="17"/>
      <c r="K1544" s="17" t="str">
        <f>Github!L$1543</f>
        <v>Hash Table;String;Bit Manipulation;</v>
      </c>
      <c r="L1544" s="17" t="b">
        <f>Github!M$1543</f>
        <v>0</v>
      </c>
      <c r="M1544" s="17" t="str">
        <f>ROUND(Github!N$1543, 2)&amp;"%"</f>
        <v>0%</v>
      </c>
      <c r="N1544" s="17">
        <f>Github!O$1543</f>
        <v>40.36380817</v>
      </c>
      <c r="O1544" s="17">
        <f>Github!P$1543</f>
        <v>8543</v>
      </c>
    </row>
    <row r="1545">
      <c r="A1545" s="17">
        <f>Github!J$1544</f>
        <v>1543</v>
      </c>
      <c r="B1545" s="27" t="str">
        <f>HYPERLINK(CONCAT("http://leetcode.com/problems/",Github!C$1544), Github!B$1544)</f>
        <v>Fix Product Name Format</v>
      </c>
      <c r="C1545" s="17">
        <f>Github!F$1544</f>
        <v>53</v>
      </c>
      <c r="D1545" s="17">
        <f>Github!G$1544</f>
        <v>32</v>
      </c>
      <c r="E1545" s="17">
        <f>Github!F$1544+Github!G$1544</f>
        <v>85</v>
      </c>
      <c r="F1545" s="18">
        <f t="shared" si="1"/>
        <v>1.66</v>
      </c>
      <c r="G1545" s="17" t="str">
        <f>Github!H$1544</f>
        <v>Database</v>
      </c>
      <c r="H1545" s="17" t="str">
        <f>Github!E$1544</f>
        <v>Easy</v>
      </c>
      <c r="I1545" s="17" t="str">
        <f>IF(TRIM(Github!D$1544)="TRUE","FALSE","TRUE")</f>
        <v>FALSE</v>
      </c>
      <c r="J1545" s="17"/>
      <c r="K1545" s="17" t="str">
        <f>Github!L$1544</f>
        <v>Database;</v>
      </c>
      <c r="L1545" s="17" t="b">
        <f>Github!M$1544</f>
        <v>0</v>
      </c>
      <c r="M1545" s="17" t="str">
        <f>ROUND(Github!N$1544, 2)&amp;"%"</f>
        <v>0%</v>
      </c>
      <c r="N1545" s="17">
        <f>Github!O$1544</f>
        <v>63.28452424</v>
      </c>
      <c r="O1545" s="17">
        <f>Github!P$1544</f>
        <v>12231</v>
      </c>
    </row>
    <row r="1546">
      <c r="A1546" s="17">
        <f>Github!J$1545</f>
        <v>1544</v>
      </c>
      <c r="B1546" s="27" t="str">
        <f>HYPERLINK(CONCAT("http://leetcode.com/problems/",Github!C$1545), Github!B$1545)</f>
        <v>Make The String Great</v>
      </c>
      <c r="C1546" s="17">
        <f>Github!F$1545</f>
        <v>670</v>
      </c>
      <c r="D1546" s="17">
        <f>Github!G$1545</f>
        <v>50</v>
      </c>
      <c r="E1546" s="17">
        <f>Github!F$1545+Github!G$1545</f>
        <v>720</v>
      </c>
      <c r="F1546" s="18">
        <f t="shared" si="1"/>
        <v>13.4</v>
      </c>
      <c r="G1546" s="17" t="str">
        <f>Github!H$1545</f>
        <v>Algorithms</v>
      </c>
      <c r="H1546" s="17" t="str">
        <f>Github!E$1545</f>
        <v>Easy</v>
      </c>
      <c r="I1546" s="17" t="str">
        <f>IF(TRIM(Github!D$1545)="TRUE","FALSE","TRUE")</f>
        <v>TRUE</v>
      </c>
      <c r="J1546" s="17"/>
      <c r="K1546" s="17" t="str">
        <f>Github!L$1545</f>
        <v>String;Stack;</v>
      </c>
      <c r="L1546" s="17" t="b">
        <f>Github!M$1545</f>
        <v>0</v>
      </c>
      <c r="M1546" s="17" t="str">
        <f>ROUND(Github!N$1545, 2)&amp;"%"</f>
        <v>0%</v>
      </c>
      <c r="N1546" s="17">
        <f>Github!O$1545</f>
        <v>56.37909343</v>
      </c>
      <c r="O1546" s="17">
        <f>Github!P$1545</f>
        <v>46156</v>
      </c>
    </row>
    <row r="1547">
      <c r="A1547" s="17">
        <f>Github!J$1546</f>
        <v>1545</v>
      </c>
      <c r="B1547" s="27" t="str">
        <f>HYPERLINK(CONCAT("http://leetcode.com/problems/",Github!C$1546), Github!B$1546)</f>
        <v>Find Kth Bit in Nth Binary String</v>
      </c>
      <c r="C1547" s="17">
        <f>Github!F$1546</f>
        <v>447</v>
      </c>
      <c r="D1547" s="17">
        <f>Github!G$1546</f>
        <v>38</v>
      </c>
      <c r="E1547" s="17">
        <f>Github!F$1546+Github!G$1546</f>
        <v>485</v>
      </c>
      <c r="F1547" s="18">
        <f t="shared" si="1"/>
        <v>11.76</v>
      </c>
      <c r="G1547" s="17" t="str">
        <f>Github!H$1546</f>
        <v>Algorithms</v>
      </c>
      <c r="H1547" s="17" t="str">
        <f>Github!E$1546</f>
        <v>Medium</v>
      </c>
      <c r="I1547" s="17" t="str">
        <f>IF(TRIM(Github!D$1546)="TRUE","FALSE","TRUE")</f>
        <v>TRUE</v>
      </c>
      <c r="J1547" s="17"/>
      <c r="K1547" s="17" t="str">
        <f>Github!L$1546</f>
        <v>String;Recursion;</v>
      </c>
      <c r="L1547" s="17" t="b">
        <f>Github!M$1546</f>
        <v>0</v>
      </c>
      <c r="M1547" s="17" t="str">
        <f>ROUND(Github!N$1546, 2)&amp;"%"</f>
        <v>0%</v>
      </c>
      <c r="N1547" s="17">
        <f>Github!O$1546</f>
        <v>58.03215434</v>
      </c>
      <c r="O1547" s="17">
        <f>Github!P$1546</f>
        <v>22560</v>
      </c>
    </row>
    <row r="1548">
      <c r="A1548" s="17">
        <f>Github!J$1547</f>
        <v>1546</v>
      </c>
      <c r="B1548" s="27" t="str">
        <f>HYPERLINK(CONCAT("http://leetcode.com/problems/",Github!C$1547), Github!B$1547)</f>
        <v>Maximum Number of Non-Overlapping Subarrays With Sum Equals Target</v>
      </c>
      <c r="C1548" s="17">
        <f>Github!F$1547</f>
        <v>701</v>
      </c>
      <c r="D1548" s="17">
        <f>Github!G$1547</f>
        <v>15</v>
      </c>
      <c r="E1548" s="17">
        <f>Github!F$1547+Github!G$1547</f>
        <v>716</v>
      </c>
      <c r="F1548" s="18">
        <f t="shared" si="1"/>
        <v>46.73</v>
      </c>
      <c r="G1548" s="17" t="str">
        <f>Github!H$1547</f>
        <v>Algorithms</v>
      </c>
      <c r="H1548" s="17" t="str">
        <f>Github!E$1547</f>
        <v>Medium</v>
      </c>
      <c r="I1548" s="17" t="str">
        <f>IF(TRIM(Github!D$1547)="TRUE","FALSE","TRUE")</f>
        <v>TRUE</v>
      </c>
      <c r="J1548" s="17"/>
      <c r="K1548" s="17" t="str">
        <f>Github!L$1547</f>
        <v>Array;Hash Table;Greedy;Prefix Sum;</v>
      </c>
      <c r="L1548" s="17" t="b">
        <f>Github!M$1547</f>
        <v>0</v>
      </c>
      <c r="M1548" s="17" t="str">
        <f>ROUND(Github!N$1547, 2)&amp;"%"</f>
        <v>0%</v>
      </c>
      <c r="N1548" s="17">
        <f>Github!O$1547</f>
        <v>46.12413724</v>
      </c>
      <c r="O1548" s="17">
        <f>Github!P$1547</f>
        <v>18510</v>
      </c>
    </row>
    <row r="1549">
      <c r="A1549" s="17">
        <f>Github!J$1548</f>
        <v>1547</v>
      </c>
      <c r="B1549" s="27" t="str">
        <f>HYPERLINK(CONCAT("http://leetcode.com/problems/",Github!C$1548), Github!B$1548)</f>
        <v>Minimum Cost to Cut a Stick</v>
      </c>
      <c r="C1549" s="17">
        <f>Github!F$1548</f>
        <v>1068</v>
      </c>
      <c r="D1549" s="17">
        <f>Github!G$1548</f>
        <v>21</v>
      </c>
      <c r="E1549" s="17">
        <f>Github!F$1548+Github!G$1548</f>
        <v>1089</v>
      </c>
      <c r="F1549" s="18">
        <f t="shared" si="1"/>
        <v>50.86</v>
      </c>
      <c r="G1549" s="17" t="str">
        <f>Github!H$1548</f>
        <v>Algorithms</v>
      </c>
      <c r="H1549" s="17" t="str">
        <f>Github!E$1548</f>
        <v>Hard</v>
      </c>
      <c r="I1549" s="17" t="str">
        <f>IF(TRIM(Github!D$1548)="TRUE","FALSE","TRUE")</f>
        <v>TRUE</v>
      </c>
      <c r="J1549" s="17"/>
      <c r="K1549" s="17" t="str">
        <f>Github!L$1548</f>
        <v>Array;Dynamic Programming;</v>
      </c>
      <c r="L1549" s="17" t="b">
        <f>Github!M$1548</f>
        <v>0</v>
      </c>
      <c r="M1549" s="17" t="str">
        <f>ROUND(Github!N$1548, 2)&amp;"%"</f>
        <v>0%</v>
      </c>
      <c r="N1549" s="17">
        <f>Github!O$1548</f>
        <v>54.98279982</v>
      </c>
      <c r="O1549" s="17">
        <f>Github!P$1548</f>
        <v>20938</v>
      </c>
    </row>
    <row r="1550">
      <c r="A1550" s="17">
        <f>Github!J$1549</f>
        <v>1548</v>
      </c>
      <c r="B1550" s="27" t="str">
        <f>HYPERLINK(CONCAT("http://leetcode.com/problems/",Github!C$1549), Github!B$1549)</f>
        <v>The Most Similar Path in a Graph</v>
      </c>
      <c r="C1550" s="17">
        <f>Github!F$1549</f>
        <v>279</v>
      </c>
      <c r="D1550" s="17">
        <f>Github!G$1549</f>
        <v>134</v>
      </c>
      <c r="E1550" s="17">
        <f>Github!F$1549+Github!G$1549</f>
        <v>413</v>
      </c>
      <c r="F1550" s="18">
        <f t="shared" si="1"/>
        <v>2.08</v>
      </c>
      <c r="G1550" s="17" t="str">
        <f>Github!H$1549</f>
        <v>Algorithms</v>
      </c>
      <c r="H1550" s="17" t="str">
        <f>Github!E$1549</f>
        <v>Hard</v>
      </c>
      <c r="I1550" s="17" t="str">
        <f>IF(TRIM(Github!D$1549)="TRUE","FALSE","TRUE")</f>
        <v>FALSE</v>
      </c>
      <c r="J1550" s="17"/>
      <c r="K1550" s="17" t="str">
        <f>Github!L$1549</f>
        <v>Dynamic Programming;Graph;</v>
      </c>
      <c r="L1550" s="17" t="b">
        <f>Github!M$1549</f>
        <v>0</v>
      </c>
      <c r="M1550" s="17" t="str">
        <f>ROUND(Github!N$1549, 2)&amp;"%"</f>
        <v>0%</v>
      </c>
      <c r="N1550" s="17">
        <f>Github!O$1549</f>
        <v>57.04721329</v>
      </c>
      <c r="O1550" s="17">
        <f>Github!P$1549</f>
        <v>13122</v>
      </c>
    </row>
    <row r="1551">
      <c r="A1551" s="17">
        <f>Github!J$1550</f>
        <v>1549</v>
      </c>
      <c r="B1551" s="27" t="str">
        <f>HYPERLINK(CONCAT("http://leetcode.com/problems/",Github!C$1550), Github!B$1550)</f>
        <v>The Most Recent Orders for Each Product</v>
      </c>
      <c r="C1551" s="17">
        <f>Github!F$1550</f>
        <v>57</v>
      </c>
      <c r="D1551" s="17">
        <f>Github!G$1550</f>
        <v>4</v>
      </c>
      <c r="E1551" s="17">
        <f>Github!F$1550+Github!G$1550</f>
        <v>61</v>
      </c>
      <c r="F1551" s="18">
        <f t="shared" si="1"/>
        <v>14.25</v>
      </c>
      <c r="G1551" s="17" t="str">
        <f>Github!H$1550</f>
        <v>Database</v>
      </c>
      <c r="H1551" s="17" t="str">
        <f>Github!E$1550</f>
        <v>Medium</v>
      </c>
      <c r="I1551" s="17" t="str">
        <f>IF(TRIM(Github!D$1550)="TRUE","FALSE","TRUE")</f>
        <v>FALSE</v>
      </c>
      <c r="J1551" s="17"/>
      <c r="K1551" s="17" t="str">
        <f>Github!L$1550</f>
        <v>Database;</v>
      </c>
      <c r="L1551" s="17" t="b">
        <f>Github!M$1550</f>
        <v>0</v>
      </c>
      <c r="M1551" s="17" t="str">
        <f>ROUND(Github!N$1550, 2)&amp;"%"</f>
        <v>0%</v>
      </c>
      <c r="N1551" s="17">
        <f>Github!O$1550</f>
        <v>67.76632302</v>
      </c>
      <c r="O1551" s="17">
        <f>Github!P$1550</f>
        <v>11832</v>
      </c>
    </row>
    <row r="1552">
      <c r="A1552" s="17">
        <f>Github!J$1551</f>
        <v>1550</v>
      </c>
      <c r="B1552" s="27" t="str">
        <f>HYPERLINK(CONCAT("http://leetcode.com/problems/",Github!C$1551), Github!B$1551)</f>
        <v>Three Consecutive Odds</v>
      </c>
      <c r="C1552" s="17">
        <f>Github!F$1551</f>
        <v>337</v>
      </c>
      <c r="D1552" s="17">
        <f>Github!G$1551</f>
        <v>46</v>
      </c>
      <c r="E1552" s="17">
        <f>Github!F$1551+Github!G$1551</f>
        <v>383</v>
      </c>
      <c r="F1552" s="18">
        <f t="shared" si="1"/>
        <v>7.33</v>
      </c>
      <c r="G1552" s="17" t="str">
        <f>Github!H$1551</f>
        <v>Algorithms</v>
      </c>
      <c r="H1552" s="17" t="str">
        <f>Github!E$1551</f>
        <v>Easy</v>
      </c>
      <c r="I1552" s="17" t="str">
        <f>IF(TRIM(Github!D$1551)="TRUE","FALSE","TRUE")</f>
        <v>TRUE</v>
      </c>
      <c r="J1552" s="17"/>
      <c r="K1552" s="17" t="str">
        <f>Github!L$1551</f>
        <v>Array;</v>
      </c>
      <c r="L1552" s="17" t="b">
        <f>Github!M$1551</f>
        <v>0</v>
      </c>
      <c r="M1552" s="17" t="str">
        <f>ROUND(Github!N$1551, 2)&amp;"%"</f>
        <v>0%</v>
      </c>
      <c r="N1552" s="17">
        <f>Github!O$1551</f>
        <v>64.22948936</v>
      </c>
      <c r="O1552" s="17">
        <f>Github!P$1551</f>
        <v>48060</v>
      </c>
    </row>
    <row r="1553">
      <c r="A1553" s="17">
        <f>Github!J$1552</f>
        <v>1551</v>
      </c>
      <c r="B1553" s="27" t="str">
        <f>HYPERLINK(CONCAT("http://leetcode.com/problems/",Github!C$1552), Github!B$1552)</f>
        <v>Minimum Operations to Make Array Equal</v>
      </c>
      <c r="C1553" s="17">
        <f>Github!F$1552</f>
        <v>764</v>
      </c>
      <c r="D1553" s="17">
        <f>Github!G$1552</f>
        <v>131</v>
      </c>
      <c r="E1553" s="17">
        <f>Github!F$1552+Github!G$1552</f>
        <v>895</v>
      </c>
      <c r="F1553" s="18">
        <f t="shared" si="1"/>
        <v>5.83</v>
      </c>
      <c r="G1553" s="17" t="str">
        <f>Github!H$1552</f>
        <v>Algorithms</v>
      </c>
      <c r="H1553" s="17" t="str">
        <f>Github!E$1552</f>
        <v>Medium</v>
      </c>
      <c r="I1553" s="17" t="str">
        <f>IF(TRIM(Github!D$1552)="TRUE","FALSE","TRUE")</f>
        <v>TRUE</v>
      </c>
      <c r="J1553" s="17"/>
      <c r="K1553" s="17" t="str">
        <f>Github!L$1552</f>
        <v>Math;</v>
      </c>
      <c r="L1553" s="17" t="b">
        <f>Github!M$1552</f>
        <v>1</v>
      </c>
      <c r="M1553" s="17" t="str">
        <f>ROUND(Github!N$1552, 2)&amp;"%"</f>
        <v>0%</v>
      </c>
      <c r="N1553" s="17">
        <f>Github!O$1552</f>
        <v>80.74490781</v>
      </c>
      <c r="O1553" s="17">
        <f>Github!P$1552</f>
        <v>63585</v>
      </c>
    </row>
    <row r="1554">
      <c r="A1554" s="17">
        <f>Github!J$1553</f>
        <v>1552</v>
      </c>
      <c r="B1554" s="27" t="str">
        <f>HYPERLINK(CONCAT("http://leetcode.com/problems/",Github!C$1553), Github!B$1553)</f>
        <v>Magnetic Force Between Two Balls</v>
      </c>
      <c r="C1554" s="17">
        <f>Github!F$1553</f>
        <v>1030</v>
      </c>
      <c r="D1554" s="17">
        <f>Github!G$1553</f>
        <v>76</v>
      </c>
      <c r="E1554" s="17">
        <f>Github!F$1553+Github!G$1553</f>
        <v>1106</v>
      </c>
      <c r="F1554" s="18">
        <f t="shared" si="1"/>
        <v>13.55</v>
      </c>
      <c r="G1554" s="17" t="str">
        <f>Github!H$1553</f>
        <v>Algorithms</v>
      </c>
      <c r="H1554" s="17" t="str">
        <f>Github!E$1553</f>
        <v>Medium</v>
      </c>
      <c r="I1554" s="17" t="str">
        <f>IF(TRIM(Github!D$1553)="TRUE","FALSE","TRUE")</f>
        <v>TRUE</v>
      </c>
      <c r="J1554" s="17"/>
      <c r="K1554" s="17" t="str">
        <f>Github!L$1553</f>
        <v>Array;Binary Search;Sorting;</v>
      </c>
      <c r="L1554" s="17" t="b">
        <f>Github!M$1553</f>
        <v>0</v>
      </c>
      <c r="M1554" s="17" t="str">
        <f>ROUND(Github!N$1553, 2)&amp;"%"</f>
        <v>0%</v>
      </c>
      <c r="N1554" s="17">
        <f>Github!O$1553</f>
        <v>53.86676113</v>
      </c>
      <c r="O1554" s="17">
        <f>Github!P$1553</f>
        <v>24330</v>
      </c>
    </row>
    <row r="1555">
      <c r="A1555" s="17">
        <f>Github!J$1554</f>
        <v>1553</v>
      </c>
      <c r="B1555" s="27" t="str">
        <f>HYPERLINK(CONCAT("http://leetcode.com/problems/",Github!C$1554), Github!B$1554)</f>
        <v>Minimum Number of Days to Eat N Oranges</v>
      </c>
      <c r="C1555" s="17">
        <f>Github!F$1554</f>
        <v>616</v>
      </c>
      <c r="D1555" s="17">
        <f>Github!G$1554</f>
        <v>41</v>
      </c>
      <c r="E1555" s="17">
        <f>Github!F$1554+Github!G$1554</f>
        <v>657</v>
      </c>
      <c r="F1555" s="18">
        <f t="shared" si="1"/>
        <v>15.02</v>
      </c>
      <c r="G1555" s="17" t="str">
        <f>Github!H$1554</f>
        <v>Algorithms</v>
      </c>
      <c r="H1555" s="17" t="str">
        <f>Github!E$1554</f>
        <v>Hard</v>
      </c>
      <c r="I1555" s="17" t="str">
        <f>IF(TRIM(Github!D$1554)="TRUE","FALSE","TRUE")</f>
        <v>TRUE</v>
      </c>
      <c r="J1555" s="17"/>
      <c r="K1555" s="17" t="str">
        <f>Github!L$1554</f>
        <v>Dynamic Programming;Memoization;</v>
      </c>
      <c r="L1555" s="17" t="b">
        <f>Github!M$1554</f>
        <v>0</v>
      </c>
      <c r="M1555" s="17" t="str">
        <f>ROUND(Github!N$1554, 2)&amp;"%"</f>
        <v>0%</v>
      </c>
      <c r="N1555" s="17">
        <f>Github!O$1554</f>
        <v>32.61063444</v>
      </c>
      <c r="O1555" s="17">
        <f>Github!P$1554</f>
        <v>21208</v>
      </c>
    </row>
    <row r="1556">
      <c r="A1556" s="17">
        <f>Github!J$1555</f>
        <v>1554</v>
      </c>
      <c r="B1556" s="27" t="str">
        <f>HYPERLINK(CONCAT("http://leetcode.com/problems/",Github!C$1555), Github!B$1555)</f>
        <v>Strings Differ by One Character</v>
      </c>
      <c r="C1556" s="17">
        <f>Github!F$1555</f>
        <v>191</v>
      </c>
      <c r="D1556" s="17">
        <f>Github!G$1555</f>
        <v>5</v>
      </c>
      <c r="E1556" s="17">
        <f>Github!F$1555+Github!G$1555</f>
        <v>196</v>
      </c>
      <c r="F1556" s="18">
        <f t="shared" si="1"/>
        <v>38.2</v>
      </c>
      <c r="G1556" s="17" t="str">
        <f>Github!H$1555</f>
        <v>Algorithms</v>
      </c>
      <c r="H1556" s="17" t="str">
        <f>Github!E$1555</f>
        <v>Medium</v>
      </c>
      <c r="I1556" s="17" t="str">
        <f>IF(TRIM(Github!D$1555)="TRUE","FALSE","TRUE")</f>
        <v>FALSE</v>
      </c>
      <c r="J1556" s="17"/>
      <c r="K1556" s="17" t="str">
        <f>Github!L$1555</f>
        <v>Hash Table;String;Rolling Hash;Hash Function;</v>
      </c>
      <c r="L1556" s="17" t="b">
        <f>Github!M$1555</f>
        <v>0</v>
      </c>
      <c r="M1556" s="17" t="str">
        <f>ROUND(Github!N$1555, 2)&amp;"%"</f>
        <v>0%</v>
      </c>
      <c r="N1556" s="17">
        <f>Github!O$1555</f>
        <v>65.39351128</v>
      </c>
      <c r="O1556" s="17">
        <f>Github!P$1555</f>
        <v>10460</v>
      </c>
    </row>
    <row r="1557">
      <c r="A1557" s="17">
        <f>Github!J$1556</f>
        <v>1555</v>
      </c>
      <c r="B1557" s="27" t="str">
        <f>HYPERLINK(CONCAT("http://leetcode.com/problems/",Github!C$1556), Github!B$1556)</f>
        <v>Bank Account Summary</v>
      </c>
      <c r="C1557" s="17">
        <f>Github!F$1556</f>
        <v>84</v>
      </c>
      <c r="D1557" s="17">
        <f>Github!G$1556</f>
        <v>21</v>
      </c>
      <c r="E1557" s="17">
        <f>Github!F$1556+Github!G$1556</f>
        <v>105</v>
      </c>
      <c r="F1557" s="18">
        <f t="shared" si="1"/>
        <v>4</v>
      </c>
      <c r="G1557" s="17" t="str">
        <f>Github!H$1556</f>
        <v>Database</v>
      </c>
      <c r="H1557" s="17" t="str">
        <f>Github!E$1556</f>
        <v>Medium</v>
      </c>
      <c r="I1557" s="17" t="str">
        <f>IF(TRIM(Github!D$1556)="TRUE","FALSE","TRUE")</f>
        <v>FALSE</v>
      </c>
      <c r="J1557" s="17"/>
      <c r="K1557" s="17" t="str">
        <f>Github!L$1556</f>
        <v>Database;</v>
      </c>
      <c r="L1557" s="17" t="b">
        <f>Github!M$1556</f>
        <v>0</v>
      </c>
      <c r="M1557" s="17" t="str">
        <f>ROUND(Github!N$1556, 2)&amp;"%"</f>
        <v>0%</v>
      </c>
      <c r="N1557" s="17">
        <f>Github!O$1556</f>
        <v>53.31684765</v>
      </c>
      <c r="O1557" s="17">
        <f>Github!P$1556</f>
        <v>9918</v>
      </c>
    </row>
    <row r="1558">
      <c r="A1558" s="17">
        <f>Github!J$1557</f>
        <v>1556</v>
      </c>
      <c r="B1558" s="27" t="str">
        <f>HYPERLINK(CONCAT("http://leetcode.com/problems/",Github!C$1557), Github!B$1557)</f>
        <v>Thousand Separator</v>
      </c>
      <c r="C1558" s="17">
        <f>Github!F$1557</f>
        <v>319</v>
      </c>
      <c r="D1558" s="17">
        <f>Github!G$1557</f>
        <v>11</v>
      </c>
      <c r="E1558" s="17">
        <f>Github!F$1557+Github!G$1557</f>
        <v>330</v>
      </c>
      <c r="F1558" s="18">
        <f t="shared" si="1"/>
        <v>29</v>
      </c>
      <c r="G1558" s="17" t="str">
        <f>Github!H$1557</f>
        <v>Algorithms</v>
      </c>
      <c r="H1558" s="17" t="str">
        <f>Github!E$1557</f>
        <v>Easy</v>
      </c>
      <c r="I1558" s="17" t="str">
        <f>IF(TRIM(Github!D$1557)="TRUE","FALSE","TRUE")</f>
        <v>TRUE</v>
      </c>
      <c r="J1558" s="17"/>
      <c r="K1558" s="17" t="str">
        <f>Github!L$1557</f>
        <v>String;</v>
      </c>
      <c r="L1558" s="17" t="b">
        <f>Github!M$1557</f>
        <v>0</v>
      </c>
      <c r="M1558" s="17" t="str">
        <f>ROUND(Github!N$1557, 2)&amp;"%"</f>
        <v>0%</v>
      </c>
      <c r="N1558" s="17">
        <f>Github!O$1557</f>
        <v>56.24447977</v>
      </c>
      <c r="O1558" s="17">
        <f>Github!P$1557</f>
        <v>31840</v>
      </c>
    </row>
    <row r="1559">
      <c r="A1559" s="17">
        <f>Github!J$1558</f>
        <v>1557</v>
      </c>
      <c r="B1559" s="27" t="str">
        <f>HYPERLINK(CONCAT("http://leetcode.com/problems/",Github!C$1558), Github!B$1558)</f>
        <v>Minimum Number of Vertices to Reach All Nodes</v>
      </c>
      <c r="C1559" s="17">
        <f>Github!F$1558</f>
        <v>1271</v>
      </c>
      <c r="D1559" s="17">
        <f>Github!G$1558</f>
        <v>58</v>
      </c>
      <c r="E1559" s="17">
        <f>Github!F$1558+Github!G$1558</f>
        <v>1329</v>
      </c>
      <c r="F1559" s="18">
        <f t="shared" si="1"/>
        <v>21.91</v>
      </c>
      <c r="G1559" s="17" t="str">
        <f>Github!H$1558</f>
        <v>Algorithms</v>
      </c>
      <c r="H1559" s="17" t="str">
        <f>Github!E$1558</f>
        <v>Medium</v>
      </c>
      <c r="I1559" s="17" t="str">
        <f>IF(TRIM(Github!D$1558)="TRUE","FALSE","TRUE")</f>
        <v>TRUE</v>
      </c>
      <c r="J1559" s="17"/>
      <c r="K1559" s="17" t="str">
        <f>Github!L$1558</f>
        <v>Graph;</v>
      </c>
      <c r="L1559" s="17" t="b">
        <f>Github!M$1558</f>
        <v>0</v>
      </c>
      <c r="M1559" s="17" t="str">
        <f>ROUND(Github!N$1558, 2)&amp;"%"</f>
        <v>0%</v>
      </c>
      <c r="N1559" s="17">
        <f>Github!O$1558</f>
        <v>78.10254519</v>
      </c>
      <c r="O1559" s="17">
        <f>Github!P$1558</f>
        <v>52920</v>
      </c>
    </row>
    <row r="1560">
      <c r="A1560" s="17">
        <f>Github!J$1559</f>
        <v>1558</v>
      </c>
      <c r="B1560" s="27" t="str">
        <f>HYPERLINK(CONCAT("http://leetcode.com/problems/",Github!C$1559), Github!B$1559)</f>
        <v>Minimum Numbers of Function Calls to Make Target Array</v>
      </c>
      <c r="C1560" s="17">
        <f>Github!F$1559</f>
        <v>397</v>
      </c>
      <c r="D1560" s="17">
        <f>Github!G$1559</f>
        <v>22</v>
      </c>
      <c r="E1560" s="17">
        <f>Github!F$1559+Github!G$1559</f>
        <v>419</v>
      </c>
      <c r="F1560" s="18">
        <f t="shared" si="1"/>
        <v>18.05</v>
      </c>
      <c r="G1560" s="17" t="str">
        <f>Github!H$1559</f>
        <v>Algorithms</v>
      </c>
      <c r="H1560" s="17" t="str">
        <f>Github!E$1559</f>
        <v>Medium</v>
      </c>
      <c r="I1560" s="17" t="str">
        <f>IF(TRIM(Github!D$1559)="TRUE","FALSE","TRUE")</f>
        <v>TRUE</v>
      </c>
      <c r="J1560" s="17"/>
      <c r="K1560" s="17" t="str">
        <f>Github!L$1559</f>
        <v>Array;Greedy;</v>
      </c>
      <c r="L1560" s="17" t="b">
        <f>Github!M$1559</f>
        <v>0</v>
      </c>
      <c r="M1560" s="17" t="str">
        <f>ROUND(Github!N$1559, 2)&amp;"%"</f>
        <v>0%</v>
      </c>
      <c r="N1560" s="17">
        <f>Github!O$1559</f>
        <v>63.85521302</v>
      </c>
      <c r="O1560" s="17">
        <f>Github!P$1559</f>
        <v>14748</v>
      </c>
    </row>
    <row r="1561">
      <c r="A1561" s="17">
        <f>Github!J$1560</f>
        <v>1559</v>
      </c>
      <c r="B1561" s="27" t="str">
        <f>HYPERLINK(CONCAT("http://leetcode.com/problems/",Github!C$1560), Github!B$1560)</f>
        <v>Detect Cycles in 2D Grid</v>
      </c>
      <c r="C1561" s="17">
        <f>Github!F$1560</f>
        <v>574</v>
      </c>
      <c r="D1561" s="17">
        <f>Github!G$1560</f>
        <v>21</v>
      </c>
      <c r="E1561" s="17">
        <f>Github!F$1560+Github!G$1560</f>
        <v>595</v>
      </c>
      <c r="F1561" s="18">
        <f t="shared" si="1"/>
        <v>27.33</v>
      </c>
      <c r="G1561" s="17" t="str">
        <f>Github!H$1560</f>
        <v>Algorithms</v>
      </c>
      <c r="H1561" s="17" t="str">
        <f>Github!E$1560</f>
        <v>Medium</v>
      </c>
      <c r="I1561" s="17" t="str">
        <f>IF(TRIM(Github!D$1560)="TRUE","FALSE","TRUE")</f>
        <v>TRUE</v>
      </c>
      <c r="J1561" s="17"/>
      <c r="K1561" s="17" t="str">
        <f>Github!L$1560</f>
        <v>Array;Depth-First Search;Breadth-First Search;Union Find;Matrix;</v>
      </c>
      <c r="L1561" s="17" t="b">
        <f>Github!M$1560</f>
        <v>0</v>
      </c>
      <c r="M1561" s="17" t="str">
        <f>ROUND(Github!N$1560, 2)&amp;"%"</f>
        <v>0%</v>
      </c>
      <c r="N1561" s="17">
        <f>Github!O$1560</f>
        <v>47.83283765</v>
      </c>
      <c r="O1561" s="17">
        <f>Github!P$1560</f>
        <v>21871</v>
      </c>
    </row>
    <row r="1562">
      <c r="A1562" s="17">
        <f>Github!J$1561</f>
        <v>1560</v>
      </c>
      <c r="B1562" s="27" t="str">
        <f>HYPERLINK(CONCAT("http://leetcode.com/problems/",Github!C$1561), Github!B$1561)</f>
        <v>Most Visited Sector in  a Circular Track</v>
      </c>
      <c r="C1562" s="17">
        <f>Github!F$1561</f>
        <v>196</v>
      </c>
      <c r="D1562" s="17">
        <f>Github!G$1561</f>
        <v>414</v>
      </c>
      <c r="E1562" s="17">
        <f>Github!F$1561+Github!G$1561</f>
        <v>610</v>
      </c>
      <c r="F1562" s="18">
        <f t="shared" si="1"/>
        <v>0.47</v>
      </c>
      <c r="G1562" s="17" t="str">
        <f>Github!H$1561</f>
        <v>Algorithms</v>
      </c>
      <c r="H1562" s="17" t="str">
        <f>Github!E$1561</f>
        <v>Easy</v>
      </c>
      <c r="I1562" s="17" t="str">
        <f>IF(TRIM(Github!D$1561)="TRUE","FALSE","TRUE")</f>
        <v>TRUE</v>
      </c>
      <c r="J1562" s="17"/>
      <c r="K1562" s="17" t="str">
        <f>Github!L$1561</f>
        <v>Array;Simulation;</v>
      </c>
      <c r="L1562" s="17" t="b">
        <f>Github!M$1561</f>
        <v>0</v>
      </c>
      <c r="M1562" s="17" t="str">
        <f>ROUND(Github!N$1561, 2)&amp;"%"</f>
        <v>0%</v>
      </c>
      <c r="N1562" s="17">
        <f>Github!O$1561</f>
        <v>58.00484289</v>
      </c>
      <c r="O1562" s="17">
        <f>Github!P$1561</f>
        <v>20600</v>
      </c>
    </row>
    <row r="1563">
      <c r="A1563" s="17">
        <f>Github!J$1562</f>
        <v>1561</v>
      </c>
      <c r="B1563" s="27" t="str">
        <f>HYPERLINK(CONCAT("http://leetcode.com/problems/",Github!C$1562), Github!B$1562)</f>
        <v>Maximum Number of Coins You Can Get</v>
      </c>
      <c r="C1563" s="17">
        <f>Github!F$1562</f>
        <v>583</v>
      </c>
      <c r="D1563" s="17">
        <f>Github!G$1562</f>
        <v>84</v>
      </c>
      <c r="E1563" s="17">
        <f>Github!F$1562+Github!G$1562</f>
        <v>667</v>
      </c>
      <c r="F1563" s="18">
        <f t="shared" si="1"/>
        <v>6.94</v>
      </c>
      <c r="G1563" s="17" t="str">
        <f>Github!H$1562</f>
        <v>Algorithms</v>
      </c>
      <c r="H1563" s="17" t="str">
        <f>Github!E$1562</f>
        <v>Medium</v>
      </c>
      <c r="I1563" s="17" t="str">
        <f>IF(TRIM(Github!D$1562)="TRUE","FALSE","TRUE")</f>
        <v>TRUE</v>
      </c>
      <c r="J1563" s="17"/>
      <c r="K1563" s="17" t="str">
        <f>Github!L$1562</f>
        <v>Array;Math;Greedy;Sorting;Game Theory;</v>
      </c>
      <c r="L1563" s="17" t="b">
        <f>Github!M$1562</f>
        <v>0</v>
      </c>
      <c r="M1563" s="17" t="str">
        <f>ROUND(Github!N$1562, 2)&amp;"%"</f>
        <v>0%</v>
      </c>
      <c r="N1563" s="17">
        <f>Github!O$1562</f>
        <v>78.16425993</v>
      </c>
      <c r="O1563" s="17">
        <f>Github!P$1562</f>
        <v>43302</v>
      </c>
    </row>
    <row r="1564">
      <c r="A1564" s="17">
        <f>Github!J$1563</f>
        <v>1562</v>
      </c>
      <c r="B1564" s="27" t="str">
        <f>HYPERLINK(CONCAT("http://leetcode.com/problems/",Github!C$1563), Github!B$1563)</f>
        <v>Find Latest Group of Size M</v>
      </c>
      <c r="C1564" s="17">
        <f>Github!F$1563</f>
        <v>431</v>
      </c>
      <c r="D1564" s="17">
        <f>Github!G$1563</f>
        <v>90</v>
      </c>
      <c r="E1564" s="17">
        <f>Github!F$1563+Github!G$1563</f>
        <v>521</v>
      </c>
      <c r="F1564" s="18">
        <f t="shared" si="1"/>
        <v>4.79</v>
      </c>
      <c r="G1564" s="17" t="str">
        <f>Github!H$1563</f>
        <v>Algorithms</v>
      </c>
      <c r="H1564" s="17" t="str">
        <f>Github!E$1563</f>
        <v>Medium</v>
      </c>
      <c r="I1564" s="17" t="str">
        <f>IF(TRIM(Github!D$1563)="TRUE","FALSE","TRUE")</f>
        <v>TRUE</v>
      </c>
      <c r="J1564" s="17"/>
      <c r="K1564" s="17" t="str">
        <f>Github!L$1563</f>
        <v>Array;Binary Search;Simulation;</v>
      </c>
      <c r="L1564" s="17" t="b">
        <f>Github!M$1563</f>
        <v>0</v>
      </c>
      <c r="M1564" s="17" t="str">
        <f>ROUND(Github!N$1563, 2)&amp;"%"</f>
        <v>0%</v>
      </c>
      <c r="N1564" s="17">
        <f>Github!O$1563</f>
        <v>40.71498169</v>
      </c>
      <c r="O1564" s="17">
        <f>Github!P$1563</f>
        <v>12118</v>
      </c>
    </row>
    <row r="1565">
      <c r="A1565" s="17">
        <f>Github!J$1564</f>
        <v>1563</v>
      </c>
      <c r="B1565" s="27" t="str">
        <f>HYPERLINK(CONCAT("http://leetcode.com/problems/",Github!C$1564), Github!B$1564)</f>
        <v>Stone Game V</v>
      </c>
      <c r="C1565" s="17">
        <f>Github!F$1564</f>
        <v>342</v>
      </c>
      <c r="D1565" s="17">
        <f>Github!G$1564</f>
        <v>58</v>
      </c>
      <c r="E1565" s="17">
        <f>Github!F$1564+Github!G$1564</f>
        <v>400</v>
      </c>
      <c r="F1565" s="18">
        <f t="shared" si="1"/>
        <v>5.9</v>
      </c>
      <c r="G1565" s="17" t="str">
        <f>Github!H$1564</f>
        <v>Algorithms</v>
      </c>
      <c r="H1565" s="17" t="str">
        <f>Github!E$1564</f>
        <v>Hard</v>
      </c>
      <c r="I1565" s="17" t="str">
        <f>IF(TRIM(Github!D$1564)="TRUE","FALSE","TRUE")</f>
        <v>TRUE</v>
      </c>
      <c r="J1565" s="17"/>
      <c r="K1565" s="17" t="str">
        <f>Github!L$1564</f>
        <v>Array;Math;Dynamic Programming;Game Theory;</v>
      </c>
      <c r="L1565" s="17" t="b">
        <f>Github!M$1564</f>
        <v>0</v>
      </c>
      <c r="M1565" s="17" t="str">
        <f>ROUND(Github!N$1564, 2)&amp;"%"</f>
        <v>0%</v>
      </c>
      <c r="N1565" s="17">
        <f>Github!O$1564</f>
        <v>40.92520794</v>
      </c>
      <c r="O1565" s="17">
        <f>Github!P$1564</f>
        <v>12348</v>
      </c>
    </row>
    <row r="1566">
      <c r="A1566" s="17">
        <f>Github!J$1565</f>
        <v>1564</v>
      </c>
      <c r="B1566" s="27" t="str">
        <f>HYPERLINK(CONCAT("http://leetcode.com/problems/",Github!C$1565), Github!B$1565)</f>
        <v>Put Boxes Into the Warehouse I</v>
      </c>
      <c r="C1566" s="17">
        <f>Github!F$1565</f>
        <v>222</v>
      </c>
      <c r="D1566" s="17">
        <f>Github!G$1565</f>
        <v>20</v>
      </c>
      <c r="E1566" s="17">
        <f>Github!F$1565+Github!G$1565</f>
        <v>242</v>
      </c>
      <c r="F1566" s="18">
        <f t="shared" si="1"/>
        <v>11.1</v>
      </c>
      <c r="G1566" s="17" t="str">
        <f>Github!H$1565</f>
        <v>Algorithms</v>
      </c>
      <c r="H1566" s="17" t="str">
        <f>Github!E$1565</f>
        <v>Medium</v>
      </c>
      <c r="I1566" s="17" t="str">
        <f>IF(TRIM(Github!D$1565)="TRUE","FALSE","TRUE")</f>
        <v>FALSE</v>
      </c>
      <c r="J1566" s="17"/>
      <c r="K1566" s="17" t="str">
        <f>Github!L$1565</f>
        <v>Array;Greedy;Sorting;</v>
      </c>
      <c r="L1566" s="17" t="b">
        <f>Github!M$1565</f>
        <v>1</v>
      </c>
      <c r="M1566" s="17" t="str">
        <f>ROUND(Github!N$1565, 2)&amp;"%"</f>
        <v>0%</v>
      </c>
      <c r="N1566" s="17">
        <f>Github!O$1565</f>
        <v>64.48185368</v>
      </c>
      <c r="O1566" s="17">
        <f>Github!P$1565</f>
        <v>10074</v>
      </c>
    </row>
    <row r="1567">
      <c r="A1567" s="17">
        <f>Github!J$1566</f>
        <v>1565</v>
      </c>
      <c r="B1567" s="27" t="str">
        <f>HYPERLINK(CONCAT("http://leetcode.com/problems/",Github!C$1566), Github!B$1566)</f>
        <v>Unique Orders and Customers Per Month</v>
      </c>
      <c r="C1567" s="17">
        <f>Github!F$1566</f>
        <v>52</v>
      </c>
      <c r="D1567" s="17">
        <f>Github!G$1566</f>
        <v>26</v>
      </c>
      <c r="E1567" s="17">
        <f>Github!F$1566+Github!G$1566</f>
        <v>78</v>
      </c>
      <c r="F1567" s="18">
        <f t="shared" si="1"/>
        <v>2</v>
      </c>
      <c r="G1567" s="17" t="str">
        <f>Github!H$1566</f>
        <v>Database</v>
      </c>
      <c r="H1567" s="17" t="str">
        <f>Github!E$1566</f>
        <v>Easy</v>
      </c>
      <c r="I1567" s="17" t="str">
        <f>IF(TRIM(Github!D$1566)="TRUE","FALSE","TRUE")</f>
        <v>FALSE</v>
      </c>
      <c r="J1567" s="17"/>
      <c r="K1567" s="17" t="str">
        <f>Github!L$1566</f>
        <v>Database;</v>
      </c>
      <c r="L1567" s="17" t="b">
        <f>Github!M$1566</f>
        <v>0</v>
      </c>
      <c r="M1567" s="17" t="str">
        <f>ROUND(Github!N$1566, 2)&amp;"%"</f>
        <v>0%</v>
      </c>
      <c r="N1567" s="17">
        <f>Github!O$1566</f>
        <v>83.10536044</v>
      </c>
      <c r="O1567" s="17">
        <f>Github!P$1566</f>
        <v>13488</v>
      </c>
    </row>
    <row r="1568">
      <c r="A1568" s="17">
        <f>Github!J$1567</f>
        <v>1566</v>
      </c>
      <c r="B1568" s="27" t="str">
        <f>HYPERLINK(CONCAT("http://leetcode.com/problems/",Github!C$1567), Github!B$1567)</f>
        <v>Detect Pattern of Length M Repeated K or More Times</v>
      </c>
      <c r="C1568" s="17">
        <f>Github!F$1567</f>
        <v>451</v>
      </c>
      <c r="D1568" s="17">
        <f>Github!G$1567</f>
        <v>79</v>
      </c>
      <c r="E1568" s="17">
        <f>Github!F$1567+Github!G$1567</f>
        <v>530</v>
      </c>
      <c r="F1568" s="18">
        <f t="shared" si="1"/>
        <v>5.71</v>
      </c>
      <c r="G1568" s="17" t="str">
        <f>Github!H$1567</f>
        <v>Algorithms</v>
      </c>
      <c r="H1568" s="17" t="str">
        <f>Github!E$1567</f>
        <v>Easy</v>
      </c>
      <c r="I1568" s="17" t="str">
        <f>IF(TRIM(Github!D$1567)="TRUE","FALSE","TRUE")</f>
        <v>TRUE</v>
      </c>
      <c r="J1568" s="17"/>
      <c r="K1568" s="17" t="str">
        <f>Github!L$1567</f>
        <v>Array;Enumeration;</v>
      </c>
      <c r="L1568" s="17" t="b">
        <f>Github!M$1567</f>
        <v>0</v>
      </c>
      <c r="M1568" s="17" t="str">
        <f>ROUND(Github!N$1567, 2)&amp;"%"</f>
        <v>0%</v>
      </c>
      <c r="N1568" s="17">
        <f>Github!O$1567</f>
        <v>43.6039567</v>
      </c>
      <c r="O1568" s="17">
        <f>Github!P$1567</f>
        <v>23363</v>
      </c>
    </row>
    <row r="1569">
      <c r="A1569" s="17">
        <f>Github!J$1568</f>
        <v>1567</v>
      </c>
      <c r="B1569" s="27" t="str">
        <f>HYPERLINK(CONCAT("http://leetcode.com/problems/",Github!C$1568), Github!B$1568)</f>
        <v>Maximum Length of Subarray With Positive Product</v>
      </c>
      <c r="C1569" s="17">
        <f>Github!F$1568</f>
        <v>1193</v>
      </c>
      <c r="D1569" s="17">
        <f>Github!G$1568</f>
        <v>18</v>
      </c>
      <c r="E1569" s="17">
        <f>Github!F$1568+Github!G$1568</f>
        <v>1211</v>
      </c>
      <c r="F1569" s="18">
        <f t="shared" si="1"/>
        <v>66.28</v>
      </c>
      <c r="G1569" s="17" t="str">
        <f>Github!H$1568</f>
        <v>Algorithms</v>
      </c>
      <c r="H1569" s="17" t="str">
        <f>Github!E$1568</f>
        <v>Medium</v>
      </c>
      <c r="I1569" s="17" t="str">
        <f>IF(TRIM(Github!D$1568)="TRUE","FALSE","TRUE")</f>
        <v>TRUE</v>
      </c>
      <c r="J1569" s="17"/>
      <c r="K1569" s="17" t="str">
        <f>Github!L$1568</f>
        <v>Array;Dynamic Programming;Greedy;</v>
      </c>
      <c r="L1569" s="17" t="b">
        <f>Github!M$1568</f>
        <v>0</v>
      </c>
      <c r="M1569" s="17" t="str">
        <f>ROUND(Github!N$1568, 2)&amp;"%"</f>
        <v>0%</v>
      </c>
      <c r="N1569" s="17">
        <f>Github!O$1568</f>
        <v>42.62185237</v>
      </c>
      <c r="O1569" s="17">
        <f>Github!P$1568</f>
        <v>39436</v>
      </c>
    </row>
    <row r="1570">
      <c r="A1570" s="17">
        <f>Github!J$1569</f>
        <v>1568</v>
      </c>
      <c r="B1570" s="27" t="str">
        <f>HYPERLINK(CONCAT("http://leetcode.com/problems/",Github!C$1569), Github!B$1569)</f>
        <v>Minimum Number of Days to Disconnect Island</v>
      </c>
      <c r="C1570" s="17">
        <f>Github!F$1569</f>
        <v>357</v>
      </c>
      <c r="D1570" s="17">
        <f>Github!G$1569</f>
        <v>118</v>
      </c>
      <c r="E1570" s="17">
        <f>Github!F$1569+Github!G$1569</f>
        <v>475</v>
      </c>
      <c r="F1570" s="18">
        <f t="shared" si="1"/>
        <v>3.03</v>
      </c>
      <c r="G1570" s="17" t="str">
        <f>Github!H$1569</f>
        <v>Algorithms</v>
      </c>
      <c r="H1570" s="17" t="str">
        <f>Github!E$1569</f>
        <v>Hard</v>
      </c>
      <c r="I1570" s="17" t="str">
        <f>IF(TRIM(Github!D$1569)="TRUE","FALSE","TRUE")</f>
        <v>TRUE</v>
      </c>
      <c r="J1570" s="17"/>
      <c r="K1570" s="17" t="str">
        <f>Github!L$1569</f>
        <v>Array;Depth-First Search;Breadth-First Search;Matrix;Strongly Connected Component;</v>
      </c>
      <c r="L1570" s="17" t="b">
        <f>Github!M$1569</f>
        <v>0</v>
      </c>
      <c r="M1570" s="17" t="str">
        <f>ROUND(Github!N$1569, 2)&amp;"%"</f>
        <v>0%</v>
      </c>
      <c r="N1570" s="17">
        <f>Github!O$1569</f>
        <v>48.76219512</v>
      </c>
      <c r="O1570" s="17">
        <f>Github!P$1569</f>
        <v>7997</v>
      </c>
    </row>
    <row r="1571">
      <c r="A1571" s="17">
        <f>Github!J$1570</f>
        <v>1569</v>
      </c>
      <c r="B1571" s="27" t="str">
        <f>HYPERLINK(CONCAT("http://leetcode.com/problems/",Github!C$1570), Github!B$1570)</f>
        <v>Number of Ways to Reorder Array to Get Same BST</v>
      </c>
      <c r="C1571" s="17">
        <f>Github!F$1570</f>
        <v>385</v>
      </c>
      <c r="D1571" s="17">
        <f>Github!G$1570</f>
        <v>42</v>
      </c>
      <c r="E1571" s="17">
        <f>Github!F$1570+Github!G$1570</f>
        <v>427</v>
      </c>
      <c r="F1571" s="18">
        <f t="shared" si="1"/>
        <v>9.17</v>
      </c>
      <c r="G1571" s="17" t="str">
        <f>Github!H$1570</f>
        <v>Algorithms</v>
      </c>
      <c r="H1571" s="17" t="str">
        <f>Github!E$1570</f>
        <v>Hard</v>
      </c>
      <c r="I1571" s="17" t="str">
        <f>IF(TRIM(Github!D$1570)="TRUE","FALSE","TRUE")</f>
        <v>TRUE</v>
      </c>
      <c r="J1571" s="17"/>
      <c r="K1571" s="17" t="str">
        <f>Github!L$1570</f>
        <v>Array;Math;Divide and Conquer;Dynamic Programming;Tree;Union Find;Binary Search Tree;Memoization;Combinatorics;Binary Tree;</v>
      </c>
      <c r="L1571" s="17" t="b">
        <f>Github!M$1570</f>
        <v>0</v>
      </c>
      <c r="M1571" s="17" t="str">
        <f>ROUND(Github!N$1570, 2)&amp;"%"</f>
        <v>0%</v>
      </c>
      <c r="N1571" s="17">
        <f>Github!O$1570</f>
        <v>49.11542611</v>
      </c>
      <c r="O1571" s="17">
        <f>Github!P$1570</f>
        <v>9103</v>
      </c>
    </row>
    <row r="1572">
      <c r="A1572" s="17">
        <f>Github!J$1571</f>
        <v>1570</v>
      </c>
      <c r="B1572" s="27" t="str">
        <f>HYPERLINK(CONCAT("http://leetcode.com/problems/",Github!C$1571), Github!B$1571)</f>
        <v>Dot Product of Two Sparse Vectors</v>
      </c>
      <c r="C1572" s="17">
        <f>Github!F$1571</f>
        <v>727</v>
      </c>
      <c r="D1572" s="17">
        <f>Github!G$1571</f>
        <v>94</v>
      </c>
      <c r="E1572" s="17">
        <f>Github!F$1571+Github!G$1571</f>
        <v>821</v>
      </c>
      <c r="F1572" s="18">
        <f t="shared" si="1"/>
        <v>7.73</v>
      </c>
      <c r="G1572" s="17" t="str">
        <f>Github!H$1571</f>
        <v>Algorithms</v>
      </c>
      <c r="H1572" s="17" t="str">
        <f>Github!E$1571</f>
        <v>Medium</v>
      </c>
      <c r="I1572" s="17" t="str">
        <f>IF(TRIM(Github!D$1571)="TRUE","FALSE","TRUE")</f>
        <v>FALSE</v>
      </c>
      <c r="J1572" s="17"/>
      <c r="K1572" s="17" t="str">
        <f>Github!L$1571</f>
        <v>Array;Hash Table;Two Pointers;Design;</v>
      </c>
      <c r="L1572" s="17" t="b">
        <f>Github!M$1571</f>
        <v>1</v>
      </c>
      <c r="M1572" s="17" t="str">
        <f>ROUND(Github!N$1571, 2)&amp;"%"</f>
        <v>0%</v>
      </c>
      <c r="N1572" s="17">
        <f>Github!O$1571</f>
        <v>90.50483488</v>
      </c>
      <c r="O1572" s="17">
        <f>Github!P$1571</f>
        <v>128027</v>
      </c>
    </row>
    <row r="1573">
      <c r="A1573" s="17">
        <f>Github!J$1572</f>
        <v>1571</v>
      </c>
      <c r="B1573" s="27" t="str">
        <f>HYPERLINK(CONCAT("http://leetcode.com/problems/",Github!C$1572), Github!B$1572)</f>
        <v>Warehouse Manager</v>
      </c>
      <c r="C1573" s="17">
        <f>Github!F$1572</f>
        <v>81</v>
      </c>
      <c r="D1573" s="17">
        <f>Github!G$1572</f>
        <v>7</v>
      </c>
      <c r="E1573" s="17">
        <f>Github!F$1572+Github!G$1572</f>
        <v>88</v>
      </c>
      <c r="F1573" s="18">
        <f t="shared" si="1"/>
        <v>11.57</v>
      </c>
      <c r="G1573" s="17" t="str">
        <f>Github!H$1572</f>
        <v>Database</v>
      </c>
      <c r="H1573" s="17" t="str">
        <f>Github!E$1572</f>
        <v>Easy</v>
      </c>
      <c r="I1573" s="17" t="str">
        <f>IF(TRIM(Github!D$1572)="TRUE","FALSE","TRUE")</f>
        <v>FALSE</v>
      </c>
      <c r="J1573" s="17"/>
      <c r="K1573" s="17" t="str">
        <f>Github!L$1572</f>
        <v>Database;</v>
      </c>
      <c r="L1573" s="17" t="b">
        <f>Github!M$1572</f>
        <v>0</v>
      </c>
      <c r="M1573" s="17" t="str">
        <f>ROUND(Github!N$1572, 2)&amp;"%"</f>
        <v>0%</v>
      </c>
      <c r="N1573" s="17">
        <f>Github!O$1572</f>
        <v>89.75312817</v>
      </c>
      <c r="O1573" s="17">
        <f>Github!P$1572</f>
        <v>18578</v>
      </c>
    </row>
    <row r="1574">
      <c r="A1574" s="17">
        <f>Github!J$1573</f>
        <v>1572</v>
      </c>
      <c r="B1574" s="27" t="str">
        <f>HYPERLINK(CONCAT("http://leetcode.com/problems/",Github!C$1573), Github!B$1573)</f>
        <v>Matrix Diagonal Sum</v>
      </c>
      <c r="C1574" s="17">
        <f>Github!F$1573</f>
        <v>972</v>
      </c>
      <c r="D1574" s="17">
        <f>Github!G$1573</f>
        <v>20</v>
      </c>
      <c r="E1574" s="17">
        <f>Github!F$1573+Github!G$1573</f>
        <v>992</v>
      </c>
      <c r="F1574" s="18">
        <f t="shared" si="1"/>
        <v>48.6</v>
      </c>
      <c r="G1574" s="17" t="str">
        <f>Github!H$1573</f>
        <v>Algorithms</v>
      </c>
      <c r="H1574" s="17" t="str">
        <f>Github!E$1573</f>
        <v>Easy</v>
      </c>
      <c r="I1574" s="17" t="str">
        <f>IF(TRIM(Github!D$1573)="TRUE","FALSE","TRUE")</f>
        <v>TRUE</v>
      </c>
      <c r="J1574" s="17"/>
      <c r="K1574" s="17" t="str">
        <f>Github!L$1573</f>
        <v>Array;Matrix;</v>
      </c>
      <c r="L1574" s="17" t="b">
        <f>Github!M$1573</f>
        <v>0</v>
      </c>
      <c r="M1574" s="17" t="str">
        <f>ROUND(Github!N$1573, 2)&amp;"%"</f>
        <v>0%</v>
      </c>
      <c r="N1574" s="17">
        <f>Github!O$1573</f>
        <v>78.78303955</v>
      </c>
      <c r="O1574" s="17">
        <f>Github!P$1573</f>
        <v>91263</v>
      </c>
    </row>
    <row r="1575">
      <c r="A1575" s="17">
        <f>Github!J$1574</f>
        <v>1573</v>
      </c>
      <c r="B1575" s="27" t="str">
        <f>HYPERLINK(CONCAT("http://leetcode.com/problems/",Github!C$1574), Github!B$1574)</f>
        <v>Number of Ways to Split a String</v>
      </c>
      <c r="C1575" s="17">
        <f>Github!F$1574</f>
        <v>425</v>
      </c>
      <c r="D1575" s="17">
        <f>Github!G$1574</f>
        <v>55</v>
      </c>
      <c r="E1575" s="17">
        <f>Github!F$1574+Github!G$1574</f>
        <v>480</v>
      </c>
      <c r="F1575" s="18">
        <f t="shared" si="1"/>
        <v>7.73</v>
      </c>
      <c r="G1575" s="17" t="str">
        <f>Github!H$1574</f>
        <v>Algorithms</v>
      </c>
      <c r="H1575" s="17" t="str">
        <f>Github!E$1574</f>
        <v>Medium</v>
      </c>
      <c r="I1575" s="17" t="str">
        <f>IF(TRIM(Github!D$1574)="TRUE","FALSE","TRUE")</f>
        <v>TRUE</v>
      </c>
      <c r="J1575" s="17"/>
      <c r="K1575" s="17" t="str">
        <f>Github!L$1574</f>
        <v>Math;String;</v>
      </c>
      <c r="L1575" s="17" t="b">
        <f>Github!M$1574</f>
        <v>0</v>
      </c>
      <c r="M1575" s="17" t="str">
        <f>ROUND(Github!N$1574, 2)&amp;"%"</f>
        <v>0%</v>
      </c>
      <c r="N1575" s="17">
        <f>Github!O$1574</f>
        <v>32.02144216</v>
      </c>
      <c r="O1575" s="17">
        <f>Github!P$1574</f>
        <v>18518</v>
      </c>
    </row>
    <row r="1576">
      <c r="A1576" s="17">
        <f>Github!J$1575</f>
        <v>1574</v>
      </c>
      <c r="B1576" s="27" t="str">
        <f>HYPERLINK(CONCAT("http://leetcode.com/problems/",Github!C$1575), Github!B$1575)</f>
        <v>Shortest Subarray to be Removed to Make Array Sorted</v>
      </c>
      <c r="C1576" s="17">
        <f>Github!F$1575</f>
        <v>924</v>
      </c>
      <c r="D1576" s="17">
        <f>Github!G$1575</f>
        <v>28</v>
      </c>
      <c r="E1576" s="17">
        <f>Github!F$1575+Github!G$1575</f>
        <v>952</v>
      </c>
      <c r="F1576" s="18">
        <f t="shared" si="1"/>
        <v>33</v>
      </c>
      <c r="G1576" s="17" t="str">
        <f>Github!H$1575</f>
        <v>Algorithms</v>
      </c>
      <c r="H1576" s="17" t="str">
        <f>Github!E$1575</f>
        <v>Medium</v>
      </c>
      <c r="I1576" s="17" t="str">
        <f>IF(TRIM(Github!D$1575)="TRUE","FALSE","TRUE")</f>
        <v>TRUE</v>
      </c>
      <c r="J1576" s="17"/>
      <c r="K1576" s="17" t="str">
        <f>Github!L$1575</f>
        <v>Array;Two Pointers;Binary Search;Stack;Monotonic Stack;</v>
      </c>
      <c r="L1576" s="17" t="b">
        <f>Github!M$1575</f>
        <v>0</v>
      </c>
      <c r="M1576" s="17" t="str">
        <f>ROUND(Github!N$1575, 2)&amp;"%"</f>
        <v>0%</v>
      </c>
      <c r="N1576" s="17">
        <f>Github!O$1575</f>
        <v>35.32675709</v>
      </c>
      <c r="O1576" s="17">
        <f>Github!P$1575</f>
        <v>17190</v>
      </c>
    </row>
    <row r="1577">
      <c r="A1577" s="17">
        <f>Github!J$1576</f>
        <v>1575</v>
      </c>
      <c r="B1577" s="27" t="str">
        <f>HYPERLINK(CONCAT("http://leetcode.com/problems/",Github!C$1576), Github!B$1576)</f>
        <v>Count All Possible Routes</v>
      </c>
      <c r="C1577" s="17">
        <f>Github!F$1576</f>
        <v>340</v>
      </c>
      <c r="D1577" s="17">
        <f>Github!G$1576</f>
        <v>16</v>
      </c>
      <c r="E1577" s="17">
        <f>Github!F$1576+Github!G$1576</f>
        <v>356</v>
      </c>
      <c r="F1577" s="18">
        <f t="shared" si="1"/>
        <v>21.25</v>
      </c>
      <c r="G1577" s="17" t="str">
        <f>Github!H$1576</f>
        <v>Algorithms</v>
      </c>
      <c r="H1577" s="17" t="str">
        <f>Github!E$1576</f>
        <v>Hard</v>
      </c>
      <c r="I1577" s="17" t="str">
        <f>IF(TRIM(Github!D$1576)="TRUE","FALSE","TRUE")</f>
        <v>TRUE</v>
      </c>
      <c r="J1577" s="17"/>
      <c r="K1577" s="17" t="str">
        <f>Github!L$1576</f>
        <v>Array;Dynamic Programming;Memoization;</v>
      </c>
      <c r="L1577" s="17" t="b">
        <f>Github!M$1576</f>
        <v>0</v>
      </c>
      <c r="M1577" s="17" t="str">
        <f>ROUND(Github!N$1576, 2)&amp;"%"</f>
        <v>0%</v>
      </c>
      <c r="N1577" s="17">
        <f>Github!O$1576</f>
        <v>57.61852395</v>
      </c>
      <c r="O1577" s="17">
        <f>Github!P$1576</f>
        <v>9431</v>
      </c>
    </row>
    <row r="1578">
      <c r="A1578" s="17">
        <f>Github!J$1577</f>
        <v>1576</v>
      </c>
      <c r="B1578" s="27" t="str">
        <f>HYPERLINK(CONCAT("http://leetcode.com/problems/",Github!C$1577), Github!B$1577)</f>
        <v>Replace All ?'s to Avoid Consecutive Repeating Characters</v>
      </c>
      <c r="C1578" s="17">
        <f>Github!F$1577</f>
        <v>373</v>
      </c>
      <c r="D1578" s="17">
        <f>Github!G$1577</f>
        <v>141</v>
      </c>
      <c r="E1578" s="17">
        <f>Github!F$1577+Github!G$1577</f>
        <v>514</v>
      </c>
      <c r="F1578" s="18">
        <f t="shared" si="1"/>
        <v>2.65</v>
      </c>
      <c r="G1578" s="17" t="str">
        <f>Github!H$1577</f>
        <v>Algorithms</v>
      </c>
      <c r="H1578" s="17" t="str">
        <f>Github!E$1577</f>
        <v>Easy</v>
      </c>
      <c r="I1578" s="17" t="str">
        <f>IF(TRIM(Github!D$1577)="TRUE","FALSE","TRUE")</f>
        <v>TRUE</v>
      </c>
      <c r="J1578" s="17"/>
      <c r="K1578" s="17" t="str">
        <f>Github!L$1577</f>
        <v>String;</v>
      </c>
      <c r="L1578" s="17" t="b">
        <f>Github!M$1577</f>
        <v>0</v>
      </c>
      <c r="M1578" s="17" t="str">
        <f>ROUND(Github!N$1577, 2)&amp;"%"</f>
        <v>0%</v>
      </c>
      <c r="N1578" s="17">
        <f>Github!O$1577</f>
        <v>50.00175379</v>
      </c>
      <c r="O1578" s="17">
        <f>Github!P$1577</f>
        <v>42766</v>
      </c>
    </row>
    <row r="1579">
      <c r="A1579" s="17">
        <f>Github!J$1578</f>
        <v>1577</v>
      </c>
      <c r="B1579" s="27" t="str">
        <f>HYPERLINK(CONCAT("http://leetcode.com/problems/",Github!C$1578), Github!B$1578)</f>
        <v>Number of Ways Where Square of Number Is Equal to Product of Two Numbers</v>
      </c>
      <c r="C1579" s="17">
        <f>Github!F$1578</f>
        <v>224</v>
      </c>
      <c r="D1579" s="17">
        <f>Github!G$1578</f>
        <v>44</v>
      </c>
      <c r="E1579" s="17">
        <f>Github!F$1578+Github!G$1578</f>
        <v>268</v>
      </c>
      <c r="F1579" s="18">
        <f t="shared" si="1"/>
        <v>5.09</v>
      </c>
      <c r="G1579" s="17" t="str">
        <f>Github!H$1578</f>
        <v>Algorithms</v>
      </c>
      <c r="H1579" s="17" t="str">
        <f>Github!E$1578</f>
        <v>Medium</v>
      </c>
      <c r="I1579" s="17" t="str">
        <f>IF(TRIM(Github!D$1578)="TRUE","FALSE","TRUE")</f>
        <v>TRUE</v>
      </c>
      <c r="J1579" s="17"/>
      <c r="K1579" s="17" t="str">
        <f>Github!L$1578</f>
        <v>Array;Hash Table;Math;Two Pointers;</v>
      </c>
      <c r="L1579" s="17" t="b">
        <f>Github!M$1578</f>
        <v>0</v>
      </c>
      <c r="M1579" s="17" t="str">
        <f>ROUND(Github!N$1578, 2)&amp;"%"</f>
        <v>0%</v>
      </c>
      <c r="N1579" s="17">
        <f>Github!O$1578</f>
        <v>39.06020558</v>
      </c>
      <c r="O1579" s="17">
        <f>Github!P$1578</f>
        <v>14896</v>
      </c>
    </row>
    <row r="1580">
      <c r="A1580" s="17">
        <f>Github!J$1579</f>
        <v>1578</v>
      </c>
      <c r="B1580" s="27" t="str">
        <f>HYPERLINK(CONCAT("http://leetcode.com/problems/",Github!C$1579), Github!B$1579)</f>
        <v>Minimum Time to Make Rope Colorful</v>
      </c>
      <c r="C1580" s="17">
        <f>Github!F$1579</f>
        <v>920</v>
      </c>
      <c r="D1580" s="17">
        <f>Github!G$1579</f>
        <v>37</v>
      </c>
      <c r="E1580" s="17">
        <f>Github!F$1579+Github!G$1579</f>
        <v>957</v>
      </c>
      <c r="F1580" s="18">
        <f t="shared" si="1"/>
        <v>24.86</v>
      </c>
      <c r="G1580" s="17" t="str">
        <f>Github!H$1579</f>
        <v>Algorithms</v>
      </c>
      <c r="H1580" s="17" t="str">
        <f>Github!E$1579</f>
        <v>Medium</v>
      </c>
      <c r="I1580" s="17" t="str">
        <f>IF(TRIM(Github!D$1579)="TRUE","FALSE","TRUE")</f>
        <v>TRUE</v>
      </c>
      <c r="J1580" s="17"/>
      <c r="K1580" s="17" t="str">
        <f>Github!L$1579</f>
        <v>Array;String;Dynamic Programming;Greedy;</v>
      </c>
      <c r="L1580" s="17" t="b">
        <f>Github!M$1579</f>
        <v>0</v>
      </c>
      <c r="M1580" s="17" t="str">
        <f>ROUND(Github!N$1579, 2)&amp;"%"</f>
        <v>0%</v>
      </c>
      <c r="N1580" s="17">
        <f>Github!O$1579</f>
        <v>61.27158473</v>
      </c>
      <c r="O1580" s="17">
        <f>Github!P$1579</f>
        <v>58013</v>
      </c>
    </row>
    <row r="1581">
      <c r="A1581" s="17">
        <f>Github!J$1580</f>
        <v>1579</v>
      </c>
      <c r="B1581" s="27" t="str">
        <f>HYPERLINK(CONCAT("http://leetcode.com/problems/",Github!C$1580), Github!B$1580)</f>
        <v>Remove Max Number of Edges to Keep Graph Fully Traversable</v>
      </c>
      <c r="C1581" s="17">
        <f>Github!F$1580</f>
        <v>577</v>
      </c>
      <c r="D1581" s="17">
        <f>Github!G$1580</f>
        <v>4</v>
      </c>
      <c r="E1581" s="17">
        <f>Github!F$1580+Github!G$1580</f>
        <v>581</v>
      </c>
      <c r="F1581" s="18">
        <f t="shared" si="1"/>
        <v>144.25</v>
      </c>
      <c r="G1581" s="17" t="str">
        <f>Github!H$1580</f>
        <v>Algorithms</v>
      </c>
      <c r="H1581" s="17" t="str">
        <f>Github!E$1580</f>
        <v>Hard</v>
      </c>
      <c r="I1581" s="17" t="str">
        <f>IF(TRIM(Github!D$1580)="TRUE","FALSE","TRUE")</f>
        <v>TRUE</v>
      </c>
      <c r="J1581" s="17"/>
      <c r="K1581" s="17" t="str">
        <f>Github!L$1580</f>
        <v>Union Find;Graph;</v>
      </c>
      <c r="L1581" s="17" t="b">
        <f>Github!M$1580</f>
        <v>0</v>
      </c>
      <c r="M1581" s="17" t="str">
        <f>ROUND(Github!N$1580, 2)&amp;"%"</f>
        <v>0%</v>
      </c>
      <c r="N1581" s="17">
        <f>Github!O$1580</f>
        <v>50.27681043</v>
      </c>
      <c r="O1581" s="17">
        <f>Github!P$1580</f>
        <v>11261</v>
      </c>
    </row>
    <row r="1582">
      <c r="A1582" s="17">
        <f>Github!J$1581</f>
        <v>1580</v>
      </c>
      <c r="B1582" s="27" t="str">
        <f>HYPERLINK(CONCAT("http://leetcode.com/problems/",Github!C$1581), Github!B$1581)</f>
        <v>Put Boxes Into the Warehouse II</v>
      </c>
      <c r="C1582" s="17">
        <f>Github!F$1581</f>
        <v>132</v>
      </c>
      <c r="D1582" s="17">
        <f>Github!G$1581</f>
        <v>2</v>
      </c>
      <c r="E1582" s="17">
        <f>Github!F$1581+Github!G$1581</f>
        <v>134</v>
      </c>
      <c r="F1582" s="18">
        <f t="shared" si="1"/>
        <v>66</v>
      </c>
      <c r="G1582" s="17" t="str">
        <f>Github!H$1581</f>
        <v>Algorithms</v>
      </c>
      <c r="H1582" s="17" t="str">
        <f>Github!E$1581</f>
        <v>Medium</v>
      </c>
      <c r="I1582" s="17" t="str">
        <f>IF(TRIM(Github!D$1581)="TRUE","FALSE","TRUE")</f>
        <v>FALSE</v>
      </c>
      <c r="J1582" s="17"/>
      <c r="K1582" s="17" t="str">
        <f>Github!L$1581</f>
        <v>Array;Greedy;Sorting;</v>
      </c>
      <c r="L1582" s="17" t="b">
        <f>Github!M$1581</f>
        <v>0</v>
      </c>
      <c r="M1582" s="17" t="str">
        <f>ROUND(Github!N$1581, 2)&amp;"%"</f>
        <v>0%</v>
      </c>
      <c r="N1582" s="17">
        <f>Github!O$1581</f>
        <v>63.61517271</v>
      </c>
      <c r="O1582" s="17">
        <f>Github!P$1581</f>
        <v>3002</v>
      </c>
    </row>
    <row r="1583">
      <c r="A1583" s="17">
        <f>Github!J$1582</f>
        <v>1581</v>
      </c>
      <c r="B1583" s="27" t="str">
        <f>HYPERLINK(CONCAT("http://leetcode.com/problems/",Github!C$1582), Github!B$1582)</f>
        <v>Customer Who Visited but Did Not Make Any Transactions</v>
      </c>
      <c r="C1583" s="17">
        <f>Github!F$1582</f>
        <v>68</v>
      </c>
      <c r="D1583" s="17">
        <f>Github!G$1582</f>
        <v>25</v>
      </c>
      <c r="E1583" s="17">
        <f>Github!F$1582+Github!G$1582</f>
        <v>93</v>
      </c>
      <c r="F1583" s="18">
        <f t="shared" si="1"/>
        <v>2.72</v>
      </c>
      <c r="G1583" s="17" t="str">
        <f>Github!H$1582</f>
        <v>Database</v>
      </c>
      <c r="H1583" s="17" t="str">
        <f>Github!E$1582</f>
        <v>Easy</v>
      </c>
      <c r="I1583" s="17" t="str">
        <f>IF(TRIM(Github!D$1582)="TRUE","FALSE","TRUE")</f>
        <v>FALSE</v>
      </c>
      <c r="J1583" s="17"/>
      <c r="K1583" s="17" t="str">
        <f>Github!L$1582</f>
        <v>Database;</v>
      </c>
      <c r="L1583" s="17" t="b">
        <f>Github!M$1582</f>
        <v>0</v>
      </c>
      <c r="M1583" s="17" t="str">
        <f>ROUND(Github!N$1582, 2)&amp;"%"</f>
        <v>0%</v>
      </c>
      <c r="N1583" s="17">
        <f>Github!O$1582</f>
        <v>89.71121002</v>
      </c>
      <c r="O1583" s="17">
        <f>Github!P$1582</f>
        <v>17334</v>
      </c>
    </row>
    <row r="1584">
      <c r="A1584" s="17">
        <f>Github!J$1583</f>
        <v>1582</v>
      </c>
      <c r="B1584" s="27" t="str">
        <f>HYPERLINK(CONCAT("http://leetcode.com/problems/",Github!C$1583), Github!B$1583)</f>
        <v>Special Positions in a Binary Matrix</v>
      </c>
      <c r="C1584" s="17">
        <f>Github!F$1583</f>
        <v>410</v>
      </c>
      <c r="D1584" s="17">
        <f>Github!G$1583</f>
        <v>17</v>
      </c>
      <c r="E1584" s="17">
        <f>Github!F$1583+Github!G$1583</f>
        <v>427</v>
      </c>
      <c r="F1584" s="18">
        <f t="shared" si="1"/>
        <v>24.12</v>
      </c>
      <c r="G1584" s="17" t="str">
        <f>Github!H$1583</f>
        <v>Algorithms</v>
      </c>
      <c r="H1584" s="17" t="str">
        <f>Github!E$1583</f>
        <v>Easy</v>
      </c>
      <c r="I1584" s="17" t="str">
        <f>IF(TRIM(Github!D$1583)="TRUE","FALSE","TRUE")</f>
        <v>TRUE</v>
      </c>
      <c r="J1584" s="17"/>
      <c r="K1584" s="17" t="str">
        <f>Github!L$1583</f>
        <v>Array;Matrix;</v>
      </c>
      <c r="L1584" s="17" t="b">
        <f>Github!M$1583</f>
        <v>0</v>
      </c>
      <c r="M1584" s="17" t="str">
        <f>ROUND(Github!N$1583, 2)&amp;"%"</f>
        <v>0%</v>
      </c>
      <c r="N1584" s="17">
        <f>Github!O$1583</f>
        <v>64.96286967</v>
      </c>
      <c r="O1584" s="17">
        <f>Github!P$1583</f>
        <v>29918</v>
      </c>
    </row>
    <row r="1585">
      <c r="A1585" s="17">
        <f>Github!J$1584</f>
        <v>1583</v>
      </c>
      <c r="B1585" s="27" t="str">
        <f>HYPERLINK(CONCAT("http://leetcode.com/problems/",Github!C$1584), Github!B$1584)</f>
        <v>Count Unhappy Friends</v>
      </c>
      <c r="C1585" s="17">
        <f>Github!F$1584</f>
        <v>149</v>
      </c>
      <c r="D1585" s="17">
        <f>Github!G$1584</f>
        <v>548</v>
      </c>
      <c r="E1585" s="17">
        <f>Github!F$1584+Github!G$1584</f>
        <v>697</v>
      </c>
      <c r="F1585" s="18">
        <f t="shared" si="1"/>
        <v>0.27</v>
      </c>
      <c r="G1585" s="17" t="str">
        <f>Github!H$1584</f>
        <v>Algorithms</v>
      </c>
      <c r="H1585" s="17" t="str">
        <f>Github!E$1584</f>
        <v>Medium</v>
      </c>
      <c r="I1585" s="17" t="str">
        <f>IF(TRIM(Github!D$1584)="TRUE","FALSE","TRUE")</f>
        <v>TRUE</v>
      </c>
      <c r="J1585" s="17"/>
      <c r="K1585" s="17" t="str">
        <f>Github!L$1584</f>
        <v>Array;Simulation;</v>
      </c>
      <c r="L1585" s="17" t="b">
        <f>Github!M$1584</f>
        <v>0</v>
      </c>
      <c r="M1585" s="17" t="str">
        <f>ROUND(Github!N$1584, 2)&amp;"%"</f>
        <v>0%</v>
      </c>
      <c r="N1585" s="17">
        <f>Github!O$1584</f>
        <v>57.48837209</v>
      </c>
      <c r="O1585" s="17">
        <f>Github!P$1584</f>
        <v>15450</v>
      </c>
    </row>
    <row r="1586">
      <c r="A1586" s="17">
        <f>Github!J$1585</f>
        <v>1584</v>
      </c>
      <c r="B1586" s="27" t="str">
        <f>HYPERLINK(CONCAT("http://leetcode.com/problems/",Github!C$1585), Github!B$1585)</f>
        <v>Min Cost to Connect All Points</v>
      </c>
      <c r="C1586" s="17">
        <f>Github!F$1585</f>
        <v>1104</v>
      </c>
      <c r="D1586" s="17">
        <f>Github!G$1585</f>
        <v>44</v>
      </c>
      <c r="E1586" s="17">
        <f>Github!F$1585+Github!G$1585</f>
        <v>1148</v>
      </c>
      <c r="F1586" s="18">
        <f t="shared" si="1"/>
        <v>25.09</v>
      </c>
      <c r="G1586" s="17" t="str">
        <f>Github!H$1585</f>
        <v>Algorithms</v>
      </c>
      <c r="H1586" s="17" t="str">
        <f>Github!E$1585</f>
        <v>Medium</v>
      </c>
      <c r="I1586" s="17" t="str">
        <f>IF(TRIM(Github!D$1585)="TRUE","FALSE","TRUE")</f>
        <v>TRUE</v>
      </c>
      <c r="J1586" s="17"/>
      <c r="K1586" s="17" t="str">
        <f>Github!L$1585</f>
        <v>Array;Union Find;Minimum Spanning Tree;</v>
      </c>
      <c r="L1586" s="17" t="b">
        <f>Github!M$1585</f>
        <v>1</v>
      </c>
      <c r="M1586" s="17" t="str">
        <f>ROUND(Github!N$1585, 2)&amp;"%"</f>
        <v>0%</v>
      </c>
      <c r="N1586" s="17">
        <f>Github!O$1585</f>
        <v>61.07928339</v>
      </c>
      <c r="O1586" s="17">
        <f>Github!P$1585</f>
        <v>50321</v>
      </c>
    </row>
    <row r="1587">
      <c r="A1587" s="17">
        <f>Github!J$1586</f>
        <v>1585</v>
      </c>
      <c r="B1587" s="27" t="str">
        <f>HYPERLINK(CONCAT("http://leetcode.com/problems/",Github!C$1586), Github!B$1586)</f>
        <v>Check If String Is Transformable With Substring Sort Operations</v>
      </c>
      <c r="C1587" s="17">
        <f>Github!F$1586</f>
        <v>315</v>
      </c>
      <c r="D1587" s="17">
        <f>Github!G$1586</f>
        <v>5</v>
      </c>
      <c r="E1587" s="17">
        <f>Github!F$1586+Github!G$1586</f>
        <v>320</v>
      </c>
      <c r="F1587" s="18">
        <f t="shared" si="1"/>
        <v>63</v>
      </c>
      <c r="G1587" s="17" t="str">
        <f>Github!H$1586</f>
        <v>Algorithms</v>
      </c>
      <c r="H1587" s="17" t="str">
        <f>Github!E$1586</f>
        <v>Hard</v>
      </c>
      <c r="I1587" s="17" t="str">
        <f>IF(TRIM(Github!D$1586)="TRUE","FALSE","TRUE")</f>
        <v>TRUE</v>
      </c>
      <c r="J1587" s="17"/>
      <c r="K1587" s="17" t="str">
        <f>Github!L$1586</f>
        <v>String;Greedy;Sorting;</v>
      </c>
      <c r="L1587" s="17" t="b">
        <f>Github!M$1586</f>
        <v>0</v>
      </c>
      <c r="M1587" s="17" t="str">
        <f>ROUND(Github!N$1586, 2)&amp;"%"</f>
        <v>0%</v>
      </c>
      <c r="N1587" s="17">
        <f>Github!O$1586</f>
        <v>48.32766205</v>
      </c>
      <c r="O1587" s="17">
        <f>Github!P$1586</f>
        <v>5823</v>
      </c>
    </row>
    <row r="1588">
      <c r="A1588" s="17">
        <f>Github!J$1587</f>
        <v>1586</v>
      </c>
      <c r="B1588" s="27" t="str">
        <f>HYPERLINK(CONCAT("http://leetcode.com/problems/",Github!C$1587), Github!B$1587)</f>
        <v>Binary Search Tree Iterator II</v>
      </c>
      <c r="C1588" s="17">
        <f>Github!F$1587</f>
        <v>142</v>
      </c>
      <c r="D1588" s="17">
        <f>Github!G$1587</f>
        <v>20</v>
      </c>
      <c r="E1588" s="17">
        <f>Github!F$1587+Github!G$1587</f>
        <v>162</v>
      </c>
      <c r="F1588" s="18">
        <f t="shared" si="1"/>
        <v>7.1</v>
      </c>
      <c r="G1588" s="17" t="str">
        <f>Github!H$1587</f>
        <v>Algorithms</v>
      </c>
      <c r="H1588" s="17" t="str">
        <f>Github!E$1587</f>
        <v>Medium</v>
      </c>
      <c r="I1588" s="17" t="str">
        <f>IF(TRIM(Github!D$1587)="TRUE","FALSE","TRUE")</f>
        <v>FALSE</v>
      </c>
      <c r="J1588" s="17"/>
      <c r="K1588" s="17" t="str">
        <f>Github!L$1587</f>
        <v>Stack;Tree;Design;Binary Search Tree;Binary Tree;Iterator;</v>
      </c>
      <c r="L1588" s="17" t="b">
        <f>Github!M$1587</f>
        <v>1</v>
      </c>
      <c r="M1588" s="17" t="str">
        <f>ROUND(Github!N$1587, 2)&amp;"%"</f>
        <v>0%</v>
      </c>
      <c r="N1588" s="17">
        <f>Github!O$1587</f>
        <v>67.34497162</v>
      </c>
      <c r="O1588" s="17">
        <f>Github!P$1587</f>
        <v>6288</v>
      </c>
    </row>
    <row r="1589">
      <c r="A1589" s="17">
        <f>Github!J$1588</f>
        <v>1587</v>
      </c>
      <c r="B1589" s="27" t="str">
        <f>HYPERLINK(CONCAT("http://leetcode.com/problems/",Github!C$1588), Github!B$1588)</f>
        <v>Bank Account Summary II</v>
      </c>
      <c r="C1589" s="17">
        <f>Github!F$1588</f>
        <v>64</v>
      </c>
      <c r="D1589" s="17">
        <f>Github!G$1588</f>
        <v>2</v>
      </c>
      <c r="E1589" s="17">
        <f>Github!F$1588+Github!G$1588</f>
        <v>66</v>
      </c>
      <c r="F1589" s="18">
        <f t="shared" si="1"/>
        <v>32</v>
      </c>
      <c r="G1589" s="17" t="str">
        <f>Github!H$1588</f>
        <v>Database</v>
      </c>
      <c r="H1589" s="17" t="str">
        <f>Github!E$1588</f>
        <v>Easy</v>
      </c>
      <c r="I1589" s="17" t="str">
        <f>IF(TRIM(Github!D$1588)="TRUE","FALSE","TRUE")</f>
        <v>FALSE</v>
      </c>
      <c r="J1589" s="17"/>
      <c r="K1589" s="17" t="str">
        <f>Github!L$1588</f>
        <v>Database;</v>
      </c>
      <c r="L1589" s="17" t="b">
        <f>Github!M$1588</f>
        <v>0</v>
      </c>
      <c r="M1589" s="17" t="str">
        <f>ROUND(Github!N$1588, 2)&amp;"%"</f>
        <v>0%</v>
      </c>
      <c r="N1589" s="17">
        <f>Github!O$1588</f>
        <v>90.17349612</v>
      </c>
      <c r="O1589" s="17">
        <f>Github!P$1588</f>
        <v>18242</v>
      </c>
    </row>
    <row r="1590">
      <c r="A1590" s="17">
        <f>Github!J$1589</f>
        <v>1588</v>
      </c>
      <c r="B1590" s="27" t="str">
        <f>HYPERLINK(CONCAT("http://leetcode.com/problems/",Github!C$1589), Github!B$1589)</f>
        <v>Sum of All Odd Length Subarrays</v>
      </c>
      <c r="C1590" s="17">
        <f>Github!F$1589</f>
        <v>1778</v>
      </c>
      <c r="D1590" s="17">
        <f>Github!G$1589</f>
        <v>145</v>
      </c>
      <c r="E1590" s="17">
        <f>Github!F$1589+Github!G$1589</f>
        <v>1923</v>
      </c>
      <c r="F1590" s="18">
        <f t="shared" si="1"/>
        <v>12.26</v>
      </c>
      <c r="G1590" s="17" t="str">
        <f>Github!H$1589</f>
        <v>Algorithms</v>
      </c>
      <c r="H1590" s="17" t="str">
        <f>Github!E$1589</f>
        <v>Easy</v>
      </c>
      <c r="I1590" s="17" t="str">
        <f>IF(TRIM(Github!D$1589)="TRUE","FALSE","TRUE")</f>
        <v>TRUE</v>
      </c>
      <c r="J1590" s="17"/>
      <c r="K1590" s="17" t="str">
        <f>Github!L$1589</f>
        <v>Array;Math;Prefix Sum;</v>
      </c>
      <c r="L1590" s="17" t="b">
        <f>Github!M$1589</f>
        <v>0</v>
      </c>
      <c r="M1590" s="17" t="str">
        <f>ROUND(Github!N$1589, 2)&amp;"%"</f>
        <v>0%</v>
      </c>
      <c r="N1590" s="17">
        <f>Github!O$1589</f>
        <v>83.14675754</v>
      </c>
      <c r="O1590" s="17">
        <f>Github!P$1589</f>
        <v>83918</v>
      </c>
    </row>
    <row r="1591">
      <c r="A1591" s="17">
        <f>Github!J$1590</f>
        <v>1589</v>
      </c>
      <c r="B1591" s="27" t="str">
        <f>HYPERLINK(CONCAT("http://leetcode.com/problems/",Github!C$1590), Github!B$1590)</f>
        <v>Maximum Sum Obtained of Any Permutation</v>
      </c>
      <c r="C1591" s="17">
        <f>Github!F$1590</f>
        <v>472</v>
      </c>
      <c r="D1591" s="17">
        <f>Github!G$1590</f>
        <v>25</v>
      </c>
      <c r="E1591" s="17">
        <f>Github!F$1590+Github!G$1590</f>
        <v>497</v>
      </c>
      <c r="F1591" s="18">
        <f t="shared" si="1"/>
        <v>18.88</v>
      </c>
      <c r="G1591" s="17" t="str">
        <f>Github!H$1590</f>
        <v>Algorithms</v>
      </c>
      <c r="H1591" s="17" t="str">
        <f>Github!E$1590</f>
        <v>Medium</v>
      </c>
      <c r="I1591" s="17" t="str">
        <f>IF(TRIM(Github!D$1590)="TRUE","FALSE","TRUE")</f>
        <v>TRUE</v>
      </c>
      <c r="J1591" s="17"/>
      <c r="K1591" s="17" t="str">
        <f>Github!L$1590</f>
        <v>Array;Greedy;Sorting;Prefix Sum;</v>
      </c>
      <c r="L1591" s="17" t="b">
        <f>Github!M$1590</f>
        <v>0</v>
      </c>
      <c r="M1591" s="17" t="str">
        <f>ROUND(Github!N$1590, 2)&amp;"%"</f>
        <v>0%</v>
      </c>
      <c r="N1591" s="17">
        <f>Github!O$1590</f>
        <v>36.21797829</v>
      </c>
      <c r="O1591" s="17">
        <f>Github!P$1590</f>
        <v>11777</v>
      </c>
    </row>
    <row r="1592">
      <c r="A1592" s="17">
        <f>Github!J$1591</f>
        <v>1590</v>
      </c>
      <c r="B1592" s="27" t="str">
        <f>HYPERLINK(CONCAT("http://leetcode.com/problems/",Github!C$1591), Github!B$1591)</f>
        <v>Make Sum Divisible by P</v>
      </c>
      <c r="C1592" s="17">
        <f>Github!F$1591</f>
        <v>835</v>
      </c>
      <c r="D1592" s="17">
        <f>Github!G$1591</f>
        <v>37</v>
      </c>
      <c r="E1592" s="17">
        <f>Github!F$1591+Github!G$1591</f>
        <v>872</v>
      </c>
      <c r="F1592" s="18">
        <f t="shared" si="1"/>
        <v>22.57</v>
      </c>
      <c r="G1592" s="17" t="str">
        <f>Github!H$1591</f>
        <v>Algorithms</v>
      </c>
      <c r="H1592" s="17" t="str">
        <f>Github!E$1591</f>
        <v>Medium</v>
      </c>
      <c r="I1592" s="17" t="str">
        <f>IF(TRIM(Github!D$1591)="TRUE","FALSE","TRUE")</f>
        <v>TRUE</v>
      </c>
      <c r="J1592" s="17"/>
      <c r="K1592" s="17" t="str">
        <f>Github!L$1591</f>
        <v>Array;Hash Table;Prefix Sum;</v>
      </c>
      <c r="L1592" s="17" t="b">
        <f>Github!M$1591</f>
        <v>0</v>
      </c>
      <c r="M1592" s="17" t="str">
        <f>ROUND(Github!N$1591, 2)&amp;"%"</f>
        <v>0%</v>
      </c>
      <c r="N1592" s="17">
        <f>Github!O$1591</f>
        <v>28.2549351</v>
      </c>
      <c r="O1592" s="17">
        <f>Github!P$1591</f>
        <v>15215</v>
      </c>
    </row>
    <row r="1593">
      <c r="A1593" s="17">
        <f>Github!J$1592</f>
        <v>1591</v>
      </c>
      <c r="B1593" s="27" t="str">
        <f>HYPERLINK(CONCAT("http://leetcode.com/problems/",Github!C$1592), Github!B$1592)</f>
        <v>Strange Printer II</v>
      </c>
      <c r="C1593" s="17">
        <f>Github!F$1592</f>
        <v>308</v>
      </c>
      <c r="D1593" s="17">
        <f>Github!G$1592</f>
        <v>9</v>
      </c>
      <c r="E1593" s="17">
        <f>Github!F$1592+Github!G$1592</f>
        <v>317</v>
      </c>
      <c r="F1593" s="18">
        <f t="shared" si="1"/>
        <v>34.22</v>
      </c>
      <c r="G1593" s="17" t="str">
        <f>Github!H$1592</f>
        <v>Algorithms</v>
      </c>
      <c r="H1593" s="17" t="str">
        <f>Github!E$1592</f>
        <v>Hard</v>
      </c>
      <c r="I1593" s="17" t="str">
        <f>IF(TRIM(Github!D$1592)="TRUE","FALSE","TRUE")</f>
        <v>TRUE</v>
      </c>
      <c r="J1593" s="17"/>
      <c r="K1593" s="17" t="str">
        <f>Github!L$1592</f>
        <v>Array;Graph;Topological Sort;Matrix;</v>
      </c>
      <c r="L1593" s="17" t="b">
        <f>Github!M$1592</f>
        <v>0</v>
      </c>
      <c r="M1593" s="17" t="str">
        <f>ROUND(Github!N$1592, 2)&amp;"%"</f>
        <v>0%</v>
      </c>
      <c r="N1593" s="17">
        <f>Github!O$1592</f>
        <v>56.15522745</v>
      </c>
      <c r="O1593" s="17">
        <f>Github!P$1592</f>
        <v>5629</v>
      </c>
    </row>
    <row r="1594">
      <c r="A1594" s="17">
        <f>Github!J$1593</f>
        <v>1592</v>
      </c>
      <c r="B1594" s="27" t="str">
        <f>HYPERLINK(CONCAT("http://leetcode.com/problems/",Github!C$1593), Github!B$1593)</f>
        <v>Rearrange Spaces Between Words</v>
      </c>
      <c r="C1594" s="17">
        <f>Github!F$1593</f>
        <v>252</v>
      </c>
      <c r="D1594" s="17">
        <f>Github!G$1593</f>
        <v>222</v>
      </c>
      <c r="E1594" s="17">
        <f>Github!F$1593+Github!G$1593</f>
        <v>474</v>
      </c>
      <c r="F1594" s="18">
        <f t="shared" si="1"/>
        <v>1.14</v>
      </c>
      <c r="G1594" s="17" t="str">
        <f>Github!H$1593</f>
        <v>Algorithms</v>
      </c>
      <c r="H1594" s="17" t="str">
        <f>Github!E$1593</f>
        <v>Easy</v>
      </c>
      <c r="I1594" s="17" t="str">
        <f>IF(TRIM(Github!D$1593)="TRUE","FALSE","TRUE")</f>
        <v>TRUE</v>
      </c>
      <c r="J1594" s="17"/>
      <c r="K1594" s="17" t="str">
        <f>Github!L$1593</f>
        <v>String;</v>
      </c>
      <c r="L1594" s="17" t="b">
        <f>Github!M$1593</f>
        <v>0</v>
      </c>
      <c r="M1594" s="17" t="str">
        <f>ROUND(Github!N$1593, 2)&amp;"%"</f>
        <v>0%</v>
      </c>
      <c r="N1594" s="17">
        <f>Github!O$1593</f>
        <v>43.95013053</v>
      </c>
      <c r="O1594" s="17">
        <f>Github!P$1593</f>
        <v>32995</v>
      </c>
    </row>
    <row r="1595">
      <c r="A1595" s="17">
        <f>Github!J$1594</f>
        <v>1593</v>
      </c>
      <c r="B1595" s="27" t="str">
        <f>HYPERLINK(CONCAT("http://leetcode.com/problems/",Github!C$1594), Github!B$1594)</f>
        <v>Split a String Into the Max Number of Unique Substrings</v>
      </c>
      <c r="C1595" s="17">
        <f>Github!F$1594</f>
        <v>534</v>
      </c>
      <c r="D1595" s="17">
        <f>Github!G$1594</f>
        <v>23</v>
      </c>
      <c r="E1595" s="17">
        <f>Github!F$1594+Github!G$1594</f>
        <v>557</v>
      </c>
      <c r="F1595" s="18">
        <f t="shared" si="1"/>
        <v>23.22</v>
      </c>
      <c r="G1595" s="17" t="str">
        <f>Github!H$1594</f>
        <v>Algorithms</v>
      </c>
      <c r="H1595" s="17" t="str">
        <f>Github!E$1594</f>
        <v>Medium</v>
      </c>
      <c r="I1595" s="17" t="str">
        <f>IF(TRIM(Github!D$1594)="TRUE","FALSE","TRUE")</f>
        <v>TRUE</v>
      </c>
      <c r="J1595" s="17"/>
      <c r="K1595" s="17" t="str">
        <f>Github!L$1594</f>
        <v>Hash Table;String;Backtracking;</v>
      </c>
      <c r="L1595" s="17" t="b">
        <f>Github!M$1594</f>
        <v>0</v>
      </c>
      <c r="M1595" s="17" t="str">
        <f>ROUND(Github!N$1594, 2)&amp;"%"</f>
        <v>0%</v>
      </c>
      <c r="N1595" s="17">
        <f>Github!O$1594</f>
        <v>54.02194037</v>
      </c>
      <c r="O1595" s="17">
        <f>Github!P$1594</f>
        <v>19550</v>
      </c>
    </row>
    <row r="1596">
      <c r="A1596" s="17">
        <f>Github!J$1595</f>
        <v>1594</v>
      </c>
      <c r="B1596" s="27" t="str">
        <f>HYPERLINK(CONCAT("http://leetcode.com/problems/",Github!C$1595), Github!B$1595)</f>
        <v>Maximum Non Negative Product in a Matrix</v>
      </c>
      <c r="C1596" s="17">
        <f>Github!F$1595</f>
        <v>499</v>
      </c>
      <c r="D1596" s="17">
        <f>Github!G$1595</f>
        <v>22</v>
      </c>
      <c r="E1596" s="17">
        <f>Github!F$1595+Github!G$1595</f>
        <v>521</v>
      </c>
      <c r="F1596" s="18">
        <f t="shared" si="1"/>
        <v>22.68</v>
      </c>
      <c r="G1596" s="17" t="str">
        <f>Github!H$1595</f>
        <v>Algorithms</v>
      </c>
      <c r="H1596" s="17" t="str">
        <f>Github!E$1595</f>
        <v>Medium</v>
      </c>
      <c r="I1596" s="17" t="str">
        <f>IF(TRIM(Github!D$1595)="TRUE","FALSE","TRUE")</f>
        <v>TRUE</v>
      </c>
      <c r="J1596" s="17"/>
      <c r="K1596" s="17" t="str">
        <f>Github!L$1595</f>
        <v>Array;Dynamic Programming;Matrix;</v>
      </c>
      <c r="L1596" s="17" t="b">
        <f>Github!M$1595</f>
        <v>0</v>
      </c>
      <c r="M1596" s="17" t="str">
        <f>ROUND(Github!N$1595, 2)&amp;"%"</f>
        <v>0%</v>
      </c>
      <c r="N1596" s="17">
        <f>Github!O$1595</f>
        <v>33.00588162</v>
      </c>
      <c r="O1596" s="17">
        <f>Github!P$1595</f>
        <v>15825</v>
      </c>
    </row>
    <row r="1597">
      <c r="A1597" s="17">
        <f>Github!J$1596</f>
        <v>1595</v>
      </c>
      <c r="B1597" s="27" t="str">
        <f>HYPERLINK(CONCAT("http://leetcode.com/problems/",Github!C$1596), Github!B$1596)</f>
        <v>Minimum Cost to Connect Two Groups of Points</v>
      </c>
      <c r="C1597" s="17">
        <f>Github!F$1596</f>
        <v>312</v>
      </c>
      <c r="D1597" s="17">
        <f>Github!G$1596</f>
        <v>11</v>
      </c>
      <c r="E1597" s="17">
        <f>Github!F$1596+Github!G$1596</f>
        <v>323</v>
      </c>
      <c r="F1597" s="18">
        <f t="shared" si="1"/>
        <v>28.36</v>
      </c>
      <c r="G1597" s="17" t="str">
        <f>Github!H$1596</f>
        <v>Algorithms</v>
      </c>
      <c r="H1597" s="17" t="str">
        <f>Github!E$1596</f>
        <v>Hard</v>
      </c>
      <c r="I1597" s="17" t="str">
        <f>IF(TRIM(Github!D$1596)="TRUE","FALSE","TRUE")</f>
        <v>TRUE</v>
      </c>
      <c r="J1597" s="17"/>
      <c r="K1597" s="17" t="str">
        <f>Github!L$1596</f>
        <v>Array;Dynamic Programming;Bit Manipulation;Matrix;Bitmask;</v>
      </c>
      <c r="L1597" s="17" t="b">
        <f>Github!M$1596</f>
        <v>0</v>
      </c>
      <c r="M1597" s="17" t="str">
        <f>ROUND(Github!N$1596, 2)&amp;"%"</f>
        <v>0%</v>
      </c>
      <c r="N1597" s="17">
        <f>Github!O$1596</f>
        <v>45.75825826</v>
      </c>
      <c r="O1597" s="17">
        <f>Github!P$1596</f>
        <v>6095</v>
      </c>
    </row>
    <row r="1598">
      <c r="A1598" s="17">
        <f>Github!J$1597</f>
        <v>1596</v>
      </c>
      <c r="B1598" s="27" t="str">
        <f>HYPERLINK(CONCAT("http://leetcode.com/problems/",Github!C$1597), Github!B$1597)</f>
        <v>The Most Frequently Ordered Products for Each Customer</v>
      </c>
      <c r="C1598" s="17">
        <f>Github!F$1597</f>
        <v>147</v>
      </c>
      <c r="D1598" s="17">
        <f>Github!G$1597</f>
        <v>12</v>
      </c>
      <c r="E1598" s="17">
        <f>Github!F$1597+Github!G$1597</f>
        <v>159</v>
      </c>
      <c r="F1598" s="18">
        <f t="shared" si="1"/>
        <v>12.25</v>
      </c>
      <c r="G1598" s="17" t="str">
        <f>Github!H$1597</f>
        <v>Database</v>
      </c>
      <c r="H1598" s="17" t="str">
        <f>Github!E$1597</f>
        <v>Medium</v>
      </c>
      <c r="I1598" s="17" t="str">
        <f>IF(TRIM(Github!D$1597)="TRUE","FALSE","TRUE")</f>
        <v>FALSE</v>
      </c>
      <c r="J1598" s="17"/>
      <c r="K1598" s="17" t="str">
        <f>Github!L$1597</f>
        <v>Database;</v>
      </c>
      <c r="L1598" s="17" t="b">
        <f>Github!M$1597</f>
        <v>0</v>
      </c>
      <c r="M1598" s="17" t="str">
        <f>ROUND(Github!N$1597, 2)&amp;"%"</f>
        <v>0%</v>
      </c>
      <c r="N1598" s="17">
        <f>Github!O$1597</f>
        <v>84.77372263</v>
      </c>
      <c r="O1598" s="17">
        <f>Github!P$1597</f>
        <v>17421</v>
      </c>
    </row>
    <row r="1599">
      <c r="A1599" s="17">
        <f>Github!J$1598</f>
        <v>1597</v>
      </c>
      <c r="B1599" s="27" t="str">
        <f>HYPERLINK(CONCAT("http://leetcode.com/problems/",Github!C$1598), Github!B$1598)</f>
        <v>Build Binary Expression Tree From Infix Expression</v>
      </c>
      <c r="C1599" s="17">
        <f>Github!F$1598</f>
        <v>133</v>
      </c>
      <c r="D1599" s="17">
        <f>Github!G$1598</f>
        <v>26</v>
      </c>
      <c r="E1599" s="17">
        <f>Github!F$1598+Github!G$1598</f>
        <v>159</v>
      </c>
      <c r="F1599" s="18">
        <f t="shared" si="1"/>
        <v>5.12</v>
      </c>
      <c r="G1599" s="17" t="str">
        <f>Github!H$1598</f>
        <v>Algorithms</v>
      </c>
      <c r="H1599" s="17" t="str">
        <f>Github!E$1598</f>
        <v>Hard</v>
      </c>
      <c r="I1599" s="17" t="str">
        <f>IF(TRIM(Github!D$1598)="TRUE","FALSE","TRUE")</f>
        <v>FALSE</v>
      </c>
      <c r="J1599" s="17"/>
      <c r="K1599" s="17" t="str">
        <f>Github!L$1598</f>
        <v>String;Stack;Tree;Binary Tree;</v>
      </c>
      <c r="L1599" s="17" t="b">
        <f>Github!M$1598</f>
        <v>0</v>
      </c>
      <c r="M1599" s="17" t="str">
        <f>ROUND(Github!N$1598, 2)&amp;"%"</f>
        <v>0%</v>
      </c>
      <c r="N1599" s="17">
        <f>Github!O$1598</f>
        <v>59.53989232</v>
      </c>
      <c r="O1599" s="17">
        <f>Github!P$1598</f>
        <v>6082</v>
      </c>
    </row>
    <row r="1600">
      <c r="A1600" s="17">
        <f>Github!J$1599</f>
        <v>1598</v>
      </c>
      <c r="B1600" s="27" t="str">
        <f>HYPERLINK(CONCAT("http://leetcode.com/problems/",Github!C$1599), Github!B$1599)</f>
        <v>Crawler Log Folder</v>
      </c>
      <c r="C1600" s="17">
        <f>Github!F$1599</f>
        <v>452</v>
      </c>
      <c r="D1600" s="17">
        <f>Github!G$1599</f>
        <v>34</v>
      </c>
      <c r="E1600" s="17">
        <f>Github!F$1599+Github!G$1599</f>
        <v>486</v>
      </c>
      <c r="F1600" s="18">
        <f t="shared" si="1"/>
        <v>13.29</v>
      </c>
      <c r="G1600" s="17" t="str">
        <f>Github!H$1599</f>
        <v>Algorithms</v>
      </c>
      <c r="H1600" s="17" t="str">
        <f>Github!E$1599</f>
        <v>Easy</v>
      </c>
      <c r="I1600" s="17" t="str">
        <f>IF(TRIM(Github!D$1599)="TRUE","FALSE","TRUE")</f>
        <v>TRUE</v>
      </c>
      <c r="J1600" s="17"/>
      <c r="K1600" s="17" t="str">
        <f>Github!L$1599</f>
        <v>Array;String;Stack;</v>
      </c>
      <c r="L1600" s="17" t="b">
        <f>Github!M$1599</f>
        <v>0</v>
      </c>
      <c r="M1600" s="17" t="str">
        <f>ROUND(Github!N$1599, 2)&amp;"%"</f>
        <v>0%</v>
      </c>
      <c r="N1600" s="17">
        <f>Github!O$1599</f>
        <v>64.18459307</v>
      </c>
      <c r="O1600" s="17">
        <f>Github!P$1599</f>
        <v>37177</v>
      </c>
    </row>
    <row r="1601">
      <c r="A1601" s="17">
        <f>Github!J$1600</f>
        <v>1599</v>
      </c>
      <c r="B1601" s="27" t="str">
        <f>HYPERLINK(CONCAT("http://leetcode.com/problems/",Github!C$1600), Github!B$1600)</f>
        <v>Maximum Profit of Operating a Centennial Wheel</v>
      </c>
      <c r="C1601" s="17">
        <f>Github!F$1600</f>
        <v>67</v>
      </c>
      <c r="D1601" s="17">
        <f>Github!G$1600</f>
        <v>206</v>
      </c>
      <c r="E1601" s="17">
        <f>Github!F$1600+Github!G$1600</f>
        <v>273</v>
      </c>
      <c r="F1601" s="18">
        <f t="shared" si="1"/>
        <v>0.33</v>
      </c>
      <c r="G1601" s="17" t="str">
        <f>Github!H$1600</f>
        <v>Algorithms</v>
      </c>
      <c r="H1601" s="17" t="str">
        <f>Github!E$1600</f>
        <v>Medium</v>
      </c>
      <c r="I1601" s="17" t="str">
        <f>IF(TRIM(Github!D$1600)="TRUE","FALSE","TRUE")</f>
        <v>TRUE</v>
      </c>
      <c r="J1601" s="17"/>
      <c r="K1601" s="17" t="str">
        <f>Github!L$1600</f>
        <v>Array;Simulation;</v>
      </c>
      <c r="L1601" s="17" t="b">
        <f>Github!M$1600</f>
        <v>0</v>
      </c>
      <c r="M1601" s="17" t="str">
        <f>ROUND(Github!N$1600, 2)&amp;"%"</f>
        <v>0%</v>
      </c>
      <c r="N1601" s="17">
        <f>Github!O$1600</f>
        <v>43.93792881</v>
      </c>
      <c r="O1601" s="17">
        <f>Github!P$1600</f>
        <v>9542</v>
      </c>
    </row>
    <row r="1602">
      <c r="A1602" s="17">
        <f>Github!J$1601</f>
        <v>1600</v>
      </c>
      <c r="B1602" s="27" t="str">
        <f>HYPERLINK(CONCAT("http://leetcode.com/problems/",Github!C$1601), Github!B$1601)</f>
        <v>Throne Inheritance</v>
      </c>
      <c r="C1602" s="17">
        <f>Github!F$1601</f>
        <v>172</v>
      </c>
      <c r="D1602" s="17">
        <f>Github!G$1601</f>
        <v>227</v>
      </c>
      <c r="E1602" s="17">
        <f>Github!F$1601+Github!G$1601</f>
        <v>399</v>
      </c>
      <c r="F1602" s="18">
        <f t="shared" si="1"/>
        <v>0.76</v>
      </c>
      <c r="G1602" s="17" t="str">
        <f>Github!H$1601</f>
        <v>Algorithms</v>
      </c>
      <c r="H1602" s="17" t="str">
        <f>Github!E$1601</f>
        <v>Medium</v>
      </c>
      <c r="I1602" s="17" t="str">
        <f>IF(TRIM(Github!D$1601)="TRUE","FALSE","TRUE")</f>
        <v>TRUE</v>
      </c>
      <c r="J1602" s="17"/>
      <c r="K1602" s="17" t="str">
        <f>Github!L$1601</f>
        <v>Hash Table;Tree;Depth-First Search;Design;</v>
      </c>
      <c r="L1602" s="17" t="b">
        <f>Github!M$1601</f>
        <v>0</v>
      </c>
      <c r="M1602" s="17" t="str">
        <f>ROUND(Github!N$1601, 2)&amp;"%"</f>
        <v>0%</v>
      </c>
      <c r="N1602" s="17">
        <f>Github!O$1601</f>
        <v>62.9074791</v>
      </c>
      <c r="O1602" s="17">
        <f>Github!P$1601</f>
        <v>11212</v>
      </c>
    </row>
    <row r="1603">
      <c r="A1603" s="17">
        <f>Github!J$1602</f>
        <v>1601</v>
      </c>
      <c r="B1603" s="27" t="str">
        <f>HYPERLINK(CONCAT("http://leetcode.com/problems/",Github!C$1602), Github!B$1602)</f>
        <v>Maximum Number of Achievable Transfer Requests</v>
      </c>
      <c r="C1603" s="17">
        <f>Github!F$1602</f>
        <v>212</v>
      </c>
      <c r="D1603" s="17">
        <f>Github!G$1602</f>
        <v>26</v>
      </c>
      <c r="E1603" s="17">
        <f>Github!F$1602+Github!G$1602</f>
        <v>238</v>
      </c>
      <c r="F1603" s="18">
        <f t="shared" si="1"/>
        <v>8.15</v>
      </c>
      <c r="G1603" s="17" t="str">
        <f>Github!H$1602</f>
        <v>Algorithms</v>
      </c>
      <c r="H1603" s="17" t="str">
        <f>Github!E$1602</f>
        <v>Hard</v>
      </c>
      <c r="I1603" s="17" t="str">
        <f>IF(TRIM(Github!D$1602)="TRUE","FALSE","TRUE")</f>
        <v>TRUE</v>
      </c>
      <c r="J1603" s="17"/>
      <c r="K1603" s="17" t="str">
        <f>Github!L$1602</f>
        <v>Array;Backtracking;Bit Manipulation;Enumeration;</v>
      </c>
      <c r="L1603" s="17" t="b">
        <f>Github!M$1602</f>
        <v>0</v>
      </c>
      <c r="M1603" s="17" t="str">
        <f>ROUND(Github!N$1602, 2)&amp;"%"</f>
        <v>0%</v>
      </c>
      <c r="N1603" s="17">
        <f>Github!O$1602</f>
        <v>50.65404588</v>
      </c>
      <c r="O1603" s="17">
        <f>Github!P$1602</f>
        <v>7706</v>
      </c>
    </row>
    <row r="1604">
      <c r="A1604" s="17">
        <f>Github!J$1603</f>
        <v>1602</v>
      </c>
      <c r="B1604" s="27" t="str">
        <f>HYPERLINK(CONCAT("http://leetcode.com/problems/",Github!C$1603), Github!B$1603)</f>
        <v>Find Nearest Right Node in Binary Tree</v>
      </c>
      <c r="C1604" s="17">
        <f>Github!F$1603</f>
        <v>254</v>
      </c>
      <c r="D1604" s="17">
        <f>Github!G$1603</f>
        <v>9</v>
      </c>
      <c r="E1604" s="17">
        <f>Github!F$1603+Github!G$1603</f>
        <v>263</v>
      </c>
      <c r="F1604" s="18">
        <f t="shared" si="1"/>
        <v>28.22</v>
      </c>
      <c r="G1604" s="17" t="str">
        <f>Github!H$1603</f>
        <v>Algorithms</v>
      </c>
      <c r="H1604" s="17" t="str">
        <f>Github!E$1603</f>
        <v>Medium</v>
      </c>
      <c r="I1604" s="17" t="str">
        <f>IF(TRIM(Github!D$1603)="TRUE","FALSE","TRUE")</f>
        <v>FALSE</v>
      </c>
      <c r="J1604" s="17"/>
      <c r="K1604" s="17" t="str">
        <f>Github!L$1603</f>
        <v>Tree;Breadth-First Search;Binary Tree;</v>
      </c>
      <c r="L1604" s="17" t="b">
        <f>Github!M$1603</f>
        <v>1</v>
      </c>
      <c r="M1604" s="17" t="str">
        <f>ROUND(Github!N$1603, 2)&amp;"%"</f>
        <v>1%</v>
      </c>
      <c r="N1604" s="17">
        <f>Github!O$1603</f>
        <v>75.27965633</v>
      </c>
      <c r="O1604" s="17">
        <f>Github!P$1603</f>
        <v>17699</v>
      </c>
    </row>
    <row r="1605">
      <c r="A1605" s="17">
        <f>Github!J$1604</f>
        <v>1603</v>
      </c>
      <c r="B1605" s="27" t="str">
        <f>HYPERLINK(CONCAT("http://leetcode.com/problems/",Github!C$1604), Github!B$1604)</f>
        <v>Design Parking System</v>
      </c>
      <c r="C1605" s="17">
        <f>Github!F$1604</f>
        <v>582</v>
      </c>
      <c r="D1605" s="17">
        <f>Github!G$1604</f>
        <v>267</v>
      </c>
      <c r="E1605" s="17">
        <f>Github!F$1604+Github!G$1604</f>
        <v>849</v>
      </c>
      <c r="F1605" s="18">
        <f t="shared" si="1"/>
        <v>2.18</v>
      </c>
      <c r="G1605" s="17" t="str">
        <f>Github!H$1604</f>
        <v>Algorithms</v>
      </c>
      <c r="H1605" s="17" t="str">
        <f>Github!E$1604</f>
        <v>Easy</v>
      </c>
      <c r="I1605" s="17" t="str">
        <f>IF(TRIM(Github!D$1604)="TRUE","FALSE","TRUE")</f>
        <v>TRUE</v>
      </c>
      <c r="J1605" s="17"/>
      <c r="K1605" s="17" t="str">
        <f>Github!L$1604</f>
        <v>Design;Simulation;Counting;</v>
      </c>
      <c r="L1605" s="17" t="b">
        <f>Github!M$1604</f>
        <v>0</v>
      </c>
      <c r="M1605" s="17" t="str">
        <f>ROUND(Github!N$1604, 2)&amp;"%"</f>
        <v>0%</v>
      </c>
      <c r="N1605" s="17">
        <f>Github!O$1604</f>
        <v>87.32322247</v>
      </c>
      <c r="O1605" s="17">
        <f>Github!P$1604</f>
        <v>107437</v>
      </c>
    </row>
    <row r="1606">
      <c r="A1606" s="17">
        <f>Github!J$1605</f>
        <v>1604</v>
      </c>
      <c r="B1606" s="27" t="str">
        <f>HYPERLINK(CONCAT("http://leetcode.com/problems/",Github!C$1605), Github!B$1605)</f>
        <v>Alert Using Same Key-Card Three or More Times in a One Hour Period</v>
      </c>
      <c r="C1606" s="17">
        <f>Github!F$1605</f>
        <v>163</v>
      </c>
      <c r="D1606" s="17">
        <f>Github!G$1605</f>
        <v>257</v>
      </c>
      <c r="E1606" s="17">
        <f>Github!F$1605+Github!G$1605</f>
        <v>420</v>
      </c>
      <c r="F1606" s="18">
        <f t="shared" si="1"/>
        <v>0.63</v>
      </c>
      <c r="G1606" s="17" t="str">
        <f>Github!H$1605</f>
        <v>Algorithms</v>
      </c>
      <c r="H1606" s="17" t="str">
        <f>Github!E$1605</f>
        <v>Medium</v>
      </c>
      <c r="I1606" s="17" t="str">
        <f>IF(TRIM(Github!D$1605)="TRUE","FALSE","TRUE")</f>
        <v>TRUE</v>
      </c>
      <c r="J1606" s="17"/>
      <c r="K1606" s="17" t="str">
        <f>Github!L$1605</f>
        <v>Array;Hash Table;String;Sorting;</v>
      </c>
      <c r="L1606" s="17" t="b">
        <f>Github!M$1605</f>
        <v>0</v>
      </c>
      <c r="M1606" s="17" t="str">
        <f>ROUND(Github!N$1605, 2)&amp;"%"</f>
        <v>0%</v>
      </c>
      <c r="N1606" s="17">
        <f>Github!O$1605</f>
        <v>47.11642231</v>
      </c>
      <c r="O1606" s="17">
        <f>Github!P$1605</f>
        <v>17900</v>
      </c>
    </row>
    <row r="1607">
      <c r="A1607" s="17">
        <f>Github!J$1606</f>
        <v>1605</v>
      </c>
      <c r="B1607" s="27" t="str">
        <f>HYPERLINK(CONCAT("http://leetcode.com/problems/",Github!C$1606), Github!B$1606)</f>
        <v>Find Valid Matrix Given Row and Column Sums</v>
      </c>
      <c r="C1607" s="17">
        <f>Github!F$1606</f>
        <v>844</v>
      </c>
      <c r="D1607" s="17">
        <f>Github!G$1606</f>
        <v>26</v>
      </c>
      <c r="E1607" s="17">
        <f>Github!F$1606+Github!G$1606</f>
        <v>870</v>
      </c>
      <c r="F1607" s="18">
        <f t="shared" si="1"/>
        <v>32.46</v>
      </c>
      <c r="G1607" s="17" t="str">
        <f>Github!H$1606</f>
        <v>Algorithms</v>
      </c>
      <c r="H1607" s="17" t="str">
        <f>Github!E$1606</f>
        <v>Medium</v>
      </c>
      <c r="I1607" s="17" t="str">
        <f>IF(TRIM(Github!D$1606)="TRUE","FALSE","TRUE")</f>
        <v>TRUE</v>
      </c>
      <c r="J1607" s="17"/>
      <c r="K1607" s="17" t="str">
        <f>Github!L$1606</f>
        <v>Array;Greedy;Matrix;</v>
      </c>
      <c r="L1607" s="17" t="b">
        <f>Github!M$1606</f>
        <v>0</v>
      </c>
      <c r="M1607" s="17" t="str">
        <f>ROUND(Github!N$1606, 2)&amp;"%"</f>
        <v>0%</v>
      </c>
      <c r="N1607" s="17">
        <f>Github!O$1606</f>
        <v>78.4626993</v>
      </c>
      <c r="O1607" s="17">
        <f>Github!P$1606</f>
        <v>23917</v>
      </c>
    </row>
    <row r="1608">
      <c r="A1608" s="17">
        <f>Github!J$1607</f>
        <v>1606</v>
      </c>
      <c r="B1608" s="27" t="str">
        <f>HYPERLINK(CONCAT("http://leetcode.com/problems/",Github!C$1607), Github!B$1607)</f>
        <v>Find Servers That Handled Most Number of Requests</v>
      </c>
      <c r="C1608" s="17">
        <f>Github!F$1607</f>
        <v>288</v>
      </c>
      <c r="D1608" s="17">
        <f>Github!G$1607</f>
        <v>11</v>
      </c>
      <c r="E1608" s="17">
        <f>Github!F$1607+Github!G$1607</f>
        <v>299</v>
      </c>
      <c r="F1608" s="18">
        <f t="shared" si="1"/>
        <v>26.18</v>
      </c>
      <c r="G1608" s="17" t="str">
        <f>Github!H$1607</f>
        <v>Algorithms</v>
      </c>
      <c r="H1608" s="17" t="str">
        <f>Github!E$1607</f>
        <v>Hard</v>
      </c>
      <c r="I1608" s="17" t="str">
        <f>IF(TRIM(Github!D$1607)="TRUE","FALSE","TRUE")</f>
        <v>TRUE</v>
      </c>
      <c r="J1608" s="17"/>
      <c r="K1608" s="17" t="str">
        <f>Github!L$1607</f>
        <v>Array;Greedy;Heap (Priority Queue);Ordered Set;</v>
      </c>
      <c r="L1608" s="17" t="b">
        <f>Github!M$1607</f>
        <v>0</v>
      </c>
      <c r="M1608" s="17" t="str">
        <f>ROUND(Github!N$1607, 2)&amp;"%"</f>
        <v>0%</v>
      </c>
      <c r="N1608" s="17">
        <f>Github!O$1607</f>
        <v>40.48438727</v>
      </c>
      <c r="O1608" s="17">
        <f>Github!P$1607</f>
        <v>6703</v>
      </c>
    </row>
    <row r="1609">
      <c r="A1609" s="17">
        <f>Github!J$1608</f>
        <v>1607</v>
      </c>
      <c r="B1609" s="27" t="str">
        <f>HYPERLINK(CONCAT("http://leetcode.com/problems/",Github!C$1608), Github!B$1608)</f>
        <v>Sellers With No Sales</v>
      </c>
      <c r="C1609" s="17">
        <f>Github!F$1608</f>
        <v>50</v>
      </c>
      <c r="D1609" s="17">
        <f>Github!G$1608</f>
        <v>8</v>
      </c>
      <c r="E1609" s="17">
        <f>Github!F$1608+Github!G$1608</f>
        <v>58</v>
      </c>
      <c r="F1609" s="18">
        <f t="shared" si="1"/>
        <v>6.25</v>
      </c>
      <c r="G1609" s="17" t="str">
        <f>Github!H$1608</f>
        <v>Database</v>
      </c>
      <c r="H1609" s="17" t="str">
        <f>Github!E$1608</f>
        <v>Easy</v>
      </c>
      <c r="I1609" s="17" t="str">
        <f>IF(TRIM(Github!D$1608)="TRUE","FALSE","TRUE")</f>
        <v>FALSE</v>
      </c>
      <c r="J1609" s="17"/>
      <c r="K1609" s="17" t="str">
        <f>Github!L$1608</f>
        <v>Database;</v>
      </c>
      <c r="L1609" s="17" t="b">
        <f>Github!M$1608</f>
        <v>0</v>
      </c>
      <c r="M1609" s="17" t="str">
        <f>ROUND(Github!N$1608, 2)&amp;"%"</f>
        <v>0%</v>
      </c>
      <c r="N1609" s="17">
        <f>Github!O$1608</f>
        <v>54.47226794</v>
      </c>
      <c r="O1609" s="17">
        <f>Github!P$1608</f>
        <v>12247</v>
      </c>
    </row>
    <row r="1610">
      <c r="A1610" s="17">
        <f>Github!J$1609</f>
        <v>1608</v>
      </c>
      <c r="B1610" s="27" t="str">
        <f>HYPERLINK(CONCAT("http://leetcode.com/problems/",Github!C$1609), Github!B$1609)</f>
        <v>Special Array With X Elements Greater Than or Equal X</v>
      </c>
      <c r="C1610" s="17">
        <f>Github!F$1609</f>
        <v>630</v>
      </c>
      <c r="D1610" s="17">
        <f>Github!G$1609</f>
        <v>101</v>
      </c>
      <c r="E1610" s="17">
        <f>Github!F$1609+Github!G$1609</f>
        <v>731</v>
      </c>
      <c r="F1610" s="18">
        <f t="shared" si="1"/>
        <v>6.24</v>
      </c>
      <c r="G1610" s="17" t="str">
        <f>Github!H$1609</f>
        <v>Algorithms</v>
      </c>
      <c r="H1610" s="17" t="str">
        <f>Github!E$1609</f>
        <v>Easy</v>
      </c>
      <c r="I1610" s="17" t="str">
        <f>IF(TRIM(Github!D$1609)="TRUE","FALSE","TRUE")</f>
        <v>TRUE</v>
      </c>
      <c r="J1610" s="17"/>
      <c r="K1610" s="17" t="str">
        <f>Github!L$1609</f>
        <v>Array;Binary Search;Sorting;</v>
      </c>
      <c r="L1610" s="17" t="b">
        <f>Github!M$1609</f>
        <v>0</v>
      </c>
      <c r="M1610" s="17" t="str">
        <f>ROUND(Github!N$1609, 2)&amp;"%"</f>
        <v>0%</v>
      </c>
      <c r="N1610" s="17">
        <f>Github!O$1609</f>
        <v>60.24724209</v>
      </c>
      <c r="O1610" s="17">
        <f>Github!P$1609</f>
        <v>32604</v>
      </c>
    </row>
    <row r="1611">
      <c r="A1611" s="17">
        <f>Github!J$1610</f>
        <v>1609</v>
      </c>
      <c r="B1611" s="27" t="str">
        <f>HYPERLINK(CONCAT("http://leetcode.com/problems/",Github!C$1610), Github!B$1610)</f>
        <v>Even Odd Tree</v>
      </c>
      <c r="C1611" s="17">
        <f>Github!F$1610</f>
        <v>596</v>
      </c>
      <c r="D1611" s="17">
        <f>Github!G$1610</f>
        <v>36</v>
      </c>
      <c r="E1611" s="17">
        <f>Github!F$1610+Github!G$1610</f>
        <v>632</v>
      </c>
      <c r="F1611" s="18">
        <f t="shared" si="1"/>
        <v>16.56</v>
      </c>
      <c r="G1611" s="17" t="str">
        <f>Github!H$1610</f>
        <v>Algorithms</v>
      </c>
      <c r="H1611" s="17" t="str">
        <f>Github!E$1610</f>
        <v>Medium</v>
      </c>
      <c r="I1611" s="17" t="str">
        <f>IF(TRIM(Github!D$1610)="TRUE","FALSE","TRUE")</f>
        <v>TRUE</v>
      </c>
      <c r="J1611" s="17"/>
      <c r="K1611" s="17" t="str">
        <f>Github!L$1610</f>
        <v>Tree;Breadth-First Search;Binary Tree;</v>
      </c>
      <c r="L1611" s="17" t="b">
        <f>Github!M$1610</f>
        <v>0</v>
      </c>
      <c r="M1611" s="17" t="str">
        <f>ROUND(Github!N$1610, 2)&amp;"%"</f>
        <v>0%</v>
      </c>
      <c r="N1611" s="17">
        <f>Github!O$1610</f>
        <v>52.91087791</v>
      </c>
      <c r="O1611" s="17">
        <f>Github!P$1610</f>
        <v>30200</v>
      </c>
    </row>
    <row r="1612">
      <c r="A1612" s="17">
        <f>Github!J$1611</f>
        <v>1610</v>
      </c>
      <c r="B1612" s="27" t="str">
        <f>HYPERLINK(CONCAT("http://leetcode.com/problems/",Github!C$1611), Github!B$1611)</f>
        <v>Maximum Number of Visible Points</v>
      </c>
      <c r="C1612" s="17">
        <f>Github!F$1611</f>
        <v>348</v>
      </c>
      <c r="D1612" s="17">
        <f>Github!G$1611</f>
        <v>469</v>
      </c>
      <c r="E1612" s="17">
        <f>Github!F$1611+Github!G$1611</f>
        <v>817</v>
      </c>
      <c r="F1612" s="18">
        <f t="shared" si="1"/>
        <v>0.74</v>
      </c>
      <c r="G1612" s="17" t="str">
        <f>Github!H$1611</f>
        <v>Algorithms</v>
      </c>
      <c r="H1612" s="17" t="str">
        <f>Github!E$1611</f>
        <v>Hard</v>
      </c>
      <c r="I1612" s="17" t="str">
        <f>IF(TRIM(Github!D$1611)="TRUE","FALSE","TRUE")</f>
        <v>TRUE</v>
      </c>
      <c r="J1612" s="17"/>
      <c r="K1612" s="17" t="str">
        <f>Github!L$1611</f>
        <v>Array;Math;Geometry;Sliding Window;Sorting;</v>
      </c>
      <c r="L1612" s="17" t="b">
        <f>Github!M$1611</f>
        <v>0</v>
      </c>
      <c r="M1612" s="17" t="str">
        <f>ROUND(Github!N$1611, 2)&amp;"%"</f>
        <v>0%</v>
      </c>
      <c r="N1612" s="17">
        <f>Github!O$1611</f>
        <v>36.05257507</v>
      </c>
      <c r="O1612" s="17">
        <f>Github!P$1611</f>
        <v>23507</v>
      </c>
    </row>
    <row r="1613">
      <c r="A1613" s="17">
        <f>Github!J$1612</f>
        <v>1611</v>
      </c>
      <c r="B1613" s="27" t="str">
        <f>HYPERLINK(CONCAT("http://leetcode.com/problems/",Github!C$1612), Github!B$1612)</f>
        <v>Minimum One Bit Operations to Make Integers Zero</v>
      </c>
      <c r="C1613" s="17">
        <f>Github!F$1612</f>
        <v>273</v>
      </c>
      <c r="D1613" s="17">
        <f>Github!G$1612</f>
        <v>262</v>
      </c>
      <c r="E1613" s="17">
        <f>Github!F$1612+Github!G$1612</f>
        <v>535</v>
      </c>
      <c r="F1613" s="18">
        <f t="shared" si="1"/>
        <v>1.04</v>
      </c>
      <c r="G1613" s="17" t="str">
        <f>Github!H$1612</f>
        <v>Algorithms</v>
      </c>
      <c r="H1613" s="17" t="str">
        <f>Github!E$1612</f>
        <v>Hard</v>
      </c>
      <c r="I1613" s="17" t="str">
        <f>IF(TRIM(Github!D$1612)="TRUE","FALSE","TRUE")</f>
        <v>TRUE</v>
      </c>
      <c r="J1613" s="17"/>
      <c r="K1613" s="17" t="str">
        <f>Github!L$1612</f>
        <v>Dynamic Programming;Bit Manipulation;Memoization;</v>
      </c>
      <c r="L1613" s="17" t="b">
        <f>Github!M$1612</f>
        <v>0</v>
      </c>
      <c r="M1613" s="17" t="str">
        <f>ROUND(Github!N$1612, 2)&amp;"%"</f>
        <v>0%</v>
      </c>
      <c r="N1613" s="17">
        <f>Github!O$1612</f>
        <v>62.18188864</v>
      </c>
      <c r="O1613" s="17">
        <f>Github!P$1612</f>
        <v>9627</v>
      </c>
    </row>
    <row r="1614">
      <c r="A1614" s="17">
        <f>Github!J$1613</f>
        <v>1612</v>
      </c>
      <c r="B1614" s="27" t="str">
        <f>HYPERLINK(CONCAT("http://leetcode.com/problems/",Github!C$1613), Github!B$1613)</f>
        <v>Check If Two Expression Trees are Equivalent</v>
      </c>
      <c r="C1614" s="17">
        <f>Github!F$1613</f>
        <v>92</v>
      </c>
      <c r="D1614" s="17">
        <f>Github!G$1613</f>
        <v>17</v>
      </c>
      <c r="E1614" s="17">
        <f>Github!F$1613+Github!G$1613</f>
        <v>109</v>
      </c>
      <c r="F1614" s="18">
        <f t="shared" si="1"/>
        <v>5.41</v>
      </c>
      <c r="G1614" s="17" t="str">
        <f>Github!H$1613</f>
        <v>Algorithms</v>
      </c>
      <c r="H1614" s="17" t="str">
        <f>Github!E$1613</f>
        <v>Medium</v>
      </c>
      <c r="I1614" s="17" t="str">
        <f>IF(TRIM(Github!D$1613)="TRUE","FALSE","TRUE")</f>
        <v>FALSE</v>
      </c>
      <c r="J1614" s="17"/>
      <c r="K1614" s="17" t="str">
        <f>Github!L$1613</f>
        <v>Tree;Depth-First Search;Binary Tree;</v>
      </c>
      <c r="L1614" s="17" t="b">
        <f>Github!M$1613</f>
        <v>0</v>
      </c>
      <c r="M1614" s="17" t="str">
        <f>ROUND(Github!N$1613, 2)&amp;"%"</f>
        <v>0%</v>
      </c>
      <c r="N1614" s="17">
        <f>Github!O$1613</f>
        <v>69.25605019</v>
      </c>
      <c r="O1614" s="17">
        <f>Github!P$1613</f>
        <v>4636</v>
      </c>
    </row>
    <row r="1615">
      <c r="A1615" s="17">
        <f>Github!J$1614</f>
        <v>1613</v>
      </c>
      <c r="B1615" s="27" t="str">
        <f>HYPERLINK(CONCAT("http://leetcode.com/problems/",Github!C$1614), Github!B$1614)</f>
        <v>Find the Missing IDs</v>
      </c>
      <c r="C1615" s="17">
        <f>Github!F$1614</f>
        <v>121</v>
      </c>
      <c r="D1615" s="17">
        <f>Github!G$1614</f>
        <v>19</v>
      </c>
      <c r="E1615" s="17">
        <f>Github!F$1614+Github!G$1614</f>
        <v>140</v>
      </c>
      <c r="F1615" s="18">
        <f t="shared" si="1"/>
        <v>6.37</v>
      </c>
      <c r="G1615" s="17" t="str">
        <f>Github!H$1614</f>
        <v>Database</v>
      </c>
      <c r="H1615" s="17" t="str">
        <f>Github!E$1614</f>
        <v>Medium</v>
      </c>
      <c r="I1615" s="17" t="str">
        <f>IF(TRIM(Github!D$1614)="TRUE","FALSE","TRUE")</f>
        <v>FALSE</v>
      </c>
      <c r="J1615" s="17"/>
      <c r="K1615" s="17" t="str">
        <f>Github!L$1614</f>
        <v>Database;</v>
      </c>
      <c r="L1615" s="17" t="b">
        <f>Github!M$1614</f>
        <v>0</v>
      </c>
      <c r="M1615" s="17" t="str">
        <f>ROUND(Github!N$1614, 2)&amp;"%"</f>
        <v>0%</v>
      </c>
      <c r="N1615" s="17">
        <f>Github!O$1614</f>
        <v>75.92223727</v>
      </c>
      <c r="O1615" s="17">
        <f>Github!P$1614</f>
        <v>9529</v>
      </c>
    </row>
    <row r="1616">
      <c r="A1616" s="17">
        <f>Github!J$1615</f>
        <v>1614</v>
      </c>
      <c r="B1616" s="27" t="str">
        <f>HYPERLINK(CONCAT("http://leetcode.com/problems/",Github!C$1615), Github!B$1615)</f>
        <v>Maximum Nesting Depth of the Parentheses</v>
      </c>
      <c r="C1616" s="17">
        <f>Github!F$1615</f>
        <v>755</v>
      </c>
      <c r="D1616" s="17">
        <f>Github!G$1615</f>
        <v>163</v>
      </c>
      <c r="E1616" s="17">
        <f>Github!F$1615+Github!G$1615</f>
        <v>918</v>
      </c>
      <c r="F1616" s="18">
        <f t="shared" si="1"/>
        <v>4.63</v>
      </c>
      <c r="G1616" s="17" t="str">
        <f>Github!H$1615</f>
        <v>Algorithms</v>
      </c>
      <c r="H1616" s="17" t="str">
        <f>Github!E$1615</f>
        <v>Easy</v>
      </c>
      <c r="I1616" s="17" t="str">
        <f>IF(TRIM(Github!D$1615)="TRUE","FALSE","TRUE")</f>
        <v>TRUE</v>
      </c>
      <c r="J1616" s="17"/>
      <c r="K1616" s="17" t="str">
        <f>Github!L$1615</f>
        <v>String;Stack;</v>
      </c>
      <c r="L1616" s="17" t="b">
        <f>Github!M$1615</f>
        <v>0</v>
      </c>
      <c r="M1616" s="17" t="str">
        <f>ROUND(Github!N$1615, 2)&amp;"%"</f>
        <v>0%</v>
      </c>
      <c r="N1616" s="17">
        <f>Github!O$1615</f>
        <v>82.99883056</v>
      </c>
      <c r="O1616" s="17">
        <f>Github!P$1615</f>
        <v>78778</v>
      </c>
    </row>
    <row r="1617">
      <c r="A1617" s="17">
        <f>Github!J$1616</f>
        <v>1615</v>
      </c>
      <c r="B1617" s="27" t="str">
        <f>HYPERLINK(CONCAT("http://leetcode.com/problems/",Github!C$1616), Github!B$1616)</f>
        <v>Maximal Network Rank</v>
      </c>
      <c r="C1617" s="17">
        <f>Github!F$1616</f>
        <v>593</v>
      </c>
      <c r="D1617" s="17">
        <f>Github!G$1616</f>
        <v>114</v>
      </c>
      <c r="E1617" s="17">
        <f>Github!F$1616+Github!G$1616</f>
        <v>707</v>
      </c>
      <c r="F1617" s="18">
        <f t="shared" si="1"/>
        <v>5.2</v>
      </c>
      <c r="G1617" s="17" t="str">
        <f>Github!H$1616</f>
        <v>Algorithms</v>
      </c>
      <c r="H1617" s="17" t="str">
        <f>Github!E$1616</f>
        <v>Medium</v>
      </c>
      <c r="I1617" s="17" t="str">
        <f>IF(TRIM(Github!D$1616)="TRUE","FALSE","TRUE")</f>
        <v>TRUE</v>
      </c>
      <c r="J1617" s="17"/>
      <c r="K1617" s="17" t="str">
        <f>Github!L$1616</f>
        <v>Graph;</v>
      </c>
      <c r="L1617" s="17" t="b">
        <f>Github!M$1616</f>
        <v>0</v>
      </c>
      <c r="M1617" s="17" t="str">
        <f>ROUND(Github!N$1616, 2)&amp;"%"</f>
        <v>0%</v>
      </c>
      <c r="N1617" s="17">
        <f>Github!O$1616</f>
        <v>56.03807826</v>
      </c>
      <c r="O1617" s="17">
        <f>Github!P$1616</f>
        <v>35200</v>
      </c>
    </row>
    <row r="1618">
      <c r="A1618" s="17">
        <f>Github!J$1617</f>
        <v>1616</v>
      </c>
      <c r="B1618" s="27" t="str">
        <f>HYPERLINK(CONCAT("http://leetcode.com/problems/",Github!C$1617), Github!B$1617)</f>
        <v>Split Two Strings to Make Palindrome</v>
      </c>
      <c r="C1618" s="17">
        <f>Github!F$1617</f>
        <v>466</v>
      </c>
      <c r="D1618" s="17">
        <f>Github!G$1617</f>
        <v>197</v>
      </c>
      <c r="E1618" s="17">
        <f>Github!F$1617+Github!G$1617</f>
        <v>663</v>
      </c>
      <c r="F1618" s="18">
        <f t="shared" si="1"/>
        <v>2.37</v>
      </c>
      <c r="G1618" s="17" t="str">
        <f>Github!H$1617</f>
        <v>Algorithms</v>
      </c>
      <c r="H1618" s="17" t="str">
        <f>Github!E$1617</f>
        <v>Medium</v>
      </c>
      <c r="I1618" s="17" t="str">
        <f>IF(TRIM(Github!D$1617)="TRUE","FALSE","TRUE")</f>
        <v>TRUE</v>
      </c>
      <c r="J1618" s="17"/>
      <c r="K1618" s="17" t="str">
        <f>Github!L$1617</f>
        <v>Two Pointers;String;Greedy;</v>
      </c>
      <c r="L1618" s="17" t="b">
        <f>Github!M$1617</f>
        <v>0</v>
      </c>
      <c r="M1618" s="17" t="str">
        <f>ROUND(Github!N$1617, 2)&amp;"%"</f>
        <v>0%</v>
      </c>
      <c r="N1618" s="17">
        <f>Github!O$1617</f>
        <v>31.43153121</v>
      </c>
      <c r="O1618" s="17">
        <f>Github!P$1617</f>
        <v>16081</v>
      </c>
    </row>
    <row r="1619">
      <c r="A1619" s="17">
        <f>Github!J$1618</f>
        <v>1617</v>
      </c>
      <c r="B1619" s="27" t="str">
        <f>HYPERLINK(CONCAT("http://leetcode.com/problems/",Github!C$1618), Github!B$1618)</f>
        <v>Count Subtrees With Max Distance Between Cities</v>
      </c>
      <c r="C1619" s="17">
        <f>Github!F$1618</f>
        <v>283</v>
      </c>
      <c r="D1619" s="17">
        <f>Github!G$1618</f>
        <v>27</v>
      </c>
      <c r="E1619" s="17">
        <f>Github!F$1618+Github!G$1618</f>
        <v>310</v>
      </c>
      <c r="F1619" s="18">
        <f t="shared" si="1"/>
        <v>10.48</v>
      </c>
      <c r="G1619" s="17" t="str">
        <f>Github!H$1618</f>
        <v>Algorithms</v>
      </c>
      <c r="H1619" s="17" t="str">
        <f>Github!E$1618</f>
        <v>Hard</v>
      </c>
      <c r="I1619" s="17" t="str">
        <f>IF(TRIM(Github!D$1618)="TRUE","FALSE","TRUE")</f>
        <v>TRUE</v>
      </c>
      <c r="J1619" s="17"/>
      <c r="K1619" s="17" t="str">
        <f>Github!L$1618</f>
        <v>Dynamic Programming;Bit Manipulation;Tree;Enumeration;Bitmask;</v>
      </c>
      <c r="L1619" s="17" t="b">
        <f>Github!M$1618</f>
        <v>0</v>
      </c>
      <c r="M1619" s="17" t="str">
        <f>ROUND(Github!N$1618, 2)&amp;"%"</f>
        <v>0%</v>
      </c>
      <c r="N1619" s="17">
        <f>Github!O$1618</f>
        <v>65.04320503</v>
      </c>
      <c r="O1619" s="17">
        <f>Github!P$1618</f>
        <v>5796</v>
      </c>
    </row>
    <row r="1620">
      <c r="A1620" s="17">
        <f>Github!J$1619</f>
        <v>1618</v>
      </c>
      <c r="B1620" s="27" t="str">
        <f>HYPERLINK(CONCAT("http://leetcode.com/problems/",Github!C$1619), Github!B$1619)</f>
        <v>Maximum Font to Fit a Sentence in a Screen</v>
      </c>
      <c r="C1620" s="17">
        <f>Github!F$1619</f>
        <v>80</v>
      </c>
      <c r="D1620" s="17">
        <f>Github!G$1619</f>
        <v>14</v>
      </c>
      <c r="E1620" s="17">
        <f>Github!F$1619+Github!G$1619</f>
        <v>94</v>
      </c>
      <c r="F1620" s="18">
        <f t="shared" si="1"/>
        <v>5.71</v>
      </c>
      <c r="G1620" s="17" t="str">
        <f>Github!H$1619</f>
        <v>Algorithms</v>
      </c>
      <c r="H1620" s="17" t="str">
        <f>Github!E$1619</f>
        <v>Medium</v>
      </c>
      <c r="I1620" s="17" t="str">
        <f>IF(TRIM(Github!D$1619)="TRUE","FALSE","TRUE")</f>
        <v>FALSE</v>
      </c>
      <c r="J1620" s="17"/>
      <c r="K1620" s="17" t="str">
        <f>Github!L$1619</f>
        <v>Array;String;Binary Search;Interactive;</v>
      </c>
      <c r="L1620" s="17" t="b">
        <f>Github!M$1619</f>
        <v>0</v>
      </c>
      <c r="M1620" s="17" t="str">
        <f>ROUND(Github!N$1619, 2)&amp;"%"</f>
        <v>0%</v>
      </c>
      <c r="N1620" s="17">
        <f>Github!O$1619</f>
        <v>57.77668228</v>
      </c>
      <c r="O1620" s="17">
        <f>Github!P$1619</f>
        <v>4688</v>
      </c>
    </row>
    <row r="1621">
      <c r="A1621" s="17">
        <f>Github!J$1620</f>
        <v>1619</v>
      </c>
      <c r="B1621" s="27" t="str">
        <f>HYPERLINK(CONCAT("http://leetcode.com/problems/",Github!C$1620), Github!B$1620)</f>
        <v>Mean of Array After Removing Some Elements</v>
      </c>
      <c r="C1621" s="17">
        <f>Github!F$1620</f>
        <v>252</v>
      </c>
      <c r="D1621" s="17">
        <f>Github!G$1620</f>
        <v>73</v>
      </c>
      <c r="E1621" s="17">
        <f>Github!F$1620+Github!G$1620</f>
        <v>325</v>
      </c>
      <c r="F1621" s="18">
        <f t="shared" si="1"/>
        <v>3.45</v>
      </c>
      <c r="G1621" s="17" t="str">
        <f>Github!H$1620</f>
        <v>Algorithms</v>
      </c>
      <c r="H1621" s="17" t="str">
        <f>Github!E$1620</f>
        <v>Easy</v>
      </c>
      <c r="I1621" s="17" t="str">
        <f>IF(TRIM(Github!D$1620)="TRUE","FALSE","TRUE")</f>
        <v>TRUE</v>
      </c>
      <c r="J1621" s="17"/>
      <c r="K1621" s="17" t="str">
        <f>Github!L$1620</f>
        <v>Array;Sorting;</v>
      </c>
      <c r="L1621" s="17" t="b">
        <f>Github!M$1620</f>
        <v>0</v>
      </c>
      <c r="M1621" s="17" t="str">
        <f>ROUND(Github!N$1620, 2)&amp;"%"</f>
        <v>0%</v>
      </c>
      <c r="N1621" s="17">
        <f>Github!O$1620</f>
        <v>64.64927288</v>
      </c>
      <c r="O1621" s="17">
        <f>Github!P$1620</f>
        <v>30230</v>
      </c>
    </row>
    <row r="1622">
      <c r="A1622" s="17">
        <f>Github!J$1621</f>
        <v>1620</v>
      </c>
      <c r="B1622" s="27" t="str">
        <f>HYPERLINK(CONCAT("http://leetcode.com/problems/",Github!C$1621), Github!B$1621)</f>
        <v>Coordinate With Maximum Network Quality</v>
      </c>
      <c r="C1622" s="17">
        <f>Github!F$1621</f>
        <v>58</v>
      </c>
      <c r="D1622" s="17">
        <f>Github!G$1621</f>
        <v>196</v>
      </c>
      <c r="E1622" s="17">
        <f>Github!F$1621+Github!G$1621</f>
        <v>254</v>
      </c>
      <c r="F1622" s="18">
        <f t="shared" si="1"/>
        <v>0.3</v>
      </c>
      <c r="G1622" s="17" t="str">
        <f>Github!H$1621</f>
        <v>Algorithms</v>
      </c>
      <c r="H1622" s="17" t="str">
        <f>Github!E$1621</f>
        <v>Medium</v>
      </c>
      <c r="I1622" s="17" t="str">
        <f>IF(TRIM(Github!D$1621)="TRUE","FALSE","TRUE")</f>
        <v>TRUE</v>
      </c>
      <c r="J1622" s="17"/>
      <c r="K1622" s="17" t="str">
        <f>Github!L$1621</f>
        <v>Array;Enumeration;</v>
      </c>
      <c r="L1622" s="17" t="b">
        <f>Github!M$1621</f>
        <v>0</v>
      </c>
      <c r="M1622" s="17" t="str">
        <f>ROUND(Github!N$1621, 2)&amp;"%"</f>
        <v>0%</v>
      </c>
      <c r="N1622" s="17">
        <f>Github!O$1621</f>
        <v>37.05191047</v>
      </c>
      <c r="O1622" s="17">
        <f>Github!P$1621</f>
        <v>6274</v>
      </c>
    </row>
    <row r="1623">
      <c r="A1623" s="17">
        <f>Github!J$1622</f>
        <v>1621</v>
      </c>
      <c r="B1623" s="27" t="str">
        <f>HYPERLINK(CONCAT("http://leetcode.com/problems/",Github!C$1622), Github!B$1622)</f>
        <v>Number of Sets of K Non-Overlapping Line Segments</v>
      </c>
      <c r="C1623" s="17">
        <f>Github!F$1622</f>
        <v>306</v>
      </c>
      <c r="D1623" s="17">
        <f>Github!G$1622</f>
        <v>33</v>
      </c>
      <c r="E1623" s="17">
        <f>Github!F$1622+Github!G$1622</f>
        <v>339</v>
      </c>
      <c r="F1623" s="18">
        <f t="shared" si="1"/>
        <v>9.27</v>
      </c>
      <c r="G1623" s="17" t="str">
        <f>Github!H$1622</f>
        <v>Algorithms</v>
      </c>
      <c r="H1623" s="17" t="str">
        <f>Github!E$1622</f>
        <v>Medium</v>
      </c>
      <c r="I1623" s="17" t="str">
        <f>IF(TRIM(Github!D$1622)="TRUE","FALSE","TRUE")</f>
        <v>TRUE</v>
      </c>
      <c r="J1623" s="17"/>
      <c r="K1623" s="17" t="str">
        <f>Github!L$1622</f>
        <v>Math;Dynamic Programming;</v>
      </c>
      <c r="L1623" s="17" t="b">
        <f>Github!M$1622</f>
        <v>0</v>
      </c>
      <c r="M1623" s="17" t="str">
        <f>ROUND(Github!N$1622, 2)&amp;"%"</f>
        <v>0%</v>
      </c>
      <c r="N1623" s="17">
        <f>Github!O$1622</f>
        <v>42.4670064</v>
      </c>
      <c r="O1623" s="17">
        <f>Github!P$1622</f>
        <v>6500</v>
      </c>
    </row>
    <row r="1624">
      <c r="A1624" s="17">
        <f>Github!J$1623</f>
        <v>1622</v>
      </c>
      <c r="B1624" s="27" t="str">
        <f>HYPERLINK(CONCAT("http://leetcode.com/problems/",Github!C$1623), Github!B$1623)</f>
        <v>Fancy Sequence</v>
      </c>
      <c r="C1624" s="17">
        <f>Github!F$1623</f>
        <v>235</v>
      </c>
      <c r="D1624" s="17">
        <f>Github!G$1623</f>
        <v>86</v>
      </c>
      <c r="E1624" s="17">
        <f>Github!F$1623+Github!G$1623</f>
        <v>321</v>
      </c>
      <c r="F1624" s="18">
        <f t="shared" si="1"/>
        <v>2.73</v>
      </c>
      <c r="G1624" s="17" t="str">
        <f>Github!H$1623</f>
        <v>Algorithms</v>
      </c>
      <c r="H1624" s="17" t="str">
        <f>Github!E$1623</f>
        <v>Hard</v>
      </c>
      <c r="I1624" s="17" t="str">
        <f>IF(TRIM(Github!D$1623)="TRUE","FALSE","TRUE")</f>
        <v>TRUE</v>
      </c>
      <c r="J1624" s="17"/>
      <c r="K1624" s="17" t="str">
        <f>Github!L$1623</f>
        <v>Math;Design;Segment Tree;</v>
      </c>
      <c r="L1624" s="17" t="b">
        <f>Github!M$1623</f>
        <v>0</v>
      </c>
      <c r="M1624" s="17" t="str">
        <f>ROUND(Github!N$1623, 2)&amp;"%"</f>
        <v>0%</v>
      </c>
      <c r="N1624" s="17">
        <f>Github!O$1623</f>
        <v>15.33987724</v>
      </c>
      <c r="O1624" s="17">
        <f>Github!P$1623</f>
        <v>6673</v>
      </c>
    </row>
    <row r="1625">
      <c r="A1625" s="17">
        <f>Github!J$1624</f>
        <v>1623</v>
      </c>
      <c r="B1625" s="27" t="str">
        <f>HYPERLINK(CONCAT("http://leetcode.com/problems/",Github!C$1624), Github!B$1624)</f>
        <v>All Valid Triplets That Can Represent a Country</v>
      </c>
      <c r="C1625" s="17">
        <f>Github!F$1624</f>
        <v>47</v>
      </c>
      <c r="D1625" s="17">
        <f>Github!G$1624</f>
        <v>83</v>
      </c>
      <c r="E1625" s="17">
        <f>Github!F$1624+Github!G$1624</f>
        <v>130</v>
      </c>
      <c r="F1625" s="18">
        <f t="shared" si="1"/>
        <v>0.57</v>
      </c>
      <c r="G1625" s="17" t="str">
        <f>Github!H$1624</f>
        <v>Database</v>
      </c>
      <c r="H1625" s="17" t="str">
        <f>Github!E$1624</f>
        <v>Easy</v>
      </c>
      <c r="I1625" s="17" t="str">
        <f>IF(TRIM(Github!D$1624)="TRUE","FALSE","TRUE")</f>
        <v>FALSE</v>
      </c>
      <c r="J1625" s="17"/>
      <c r="K1625" s="17" t="str">
        <f>Github!L$1624</f>
        <v>Database;</v>
      </c>
      <c r="L1625" s="17" t="b">
        <f>Github!M$1624</f>
        <v>0</v>
      </c>
      <c r="M1625" s="17" t="str">
        <f>ROUND(Github!N$1624, 2)&amp;"%"</f>
        <v>0%</v>
      </c>
      <c r="N1625" s="17">
        <f>Github!O$1624</f>
        <v>88.4504192</v>
      </c>
      <c r="O1625" s="17">
        <f>Github!P$1624</f>
        <v>12238</v>
      </c>
    </row>
    <row r="1626">
      <c r="A1626" s="17">
        <f>Github!J$1625</f>
        <v>1624</v>
      </c>
      <c r="B1626" s="27" t="str">
        <f>HYPERLINK(CONCAT("http://leetcode.com/problems/",Github!C$1625), Github!B$1625)</f>
        <v>Largest Substring Between Two Equal Characters</v>
      </c>
      <c r="C1626" s="17">
        <f>Github!F$1625</f>
        <v>365</v>
      </c>
      <c r="D1626" s="17">
        <f>Github!G$1625</f>
        <v>21</v>
      </c>
      <c r="E1626" s="17">
        <f>Github!F$1625+Github!G$1625</f>
        <v>386</v>
      </c>
      <c r="F1626" s="18">
        <f t="shared" si="1"/>
        <v>17.38</v>
      </c>
      <c r="G1626" s="17" t="str">
        <f>Github!H$1625</f>
        <v>Algorithms</v>
      </c>
      <c r="H1626" s="17" t="str">
        <f>Github!E$1625</f>
        <v>Easy</v>
      </c>
      <c r="I1626" s="17" t="str">
        <f>IF(TRIM(Github!D$1625)="TRUE","FALSE","TRUE")</f>
        <v>TRUE</v>
      </c>
      <c r="J1626" s="17"/>
      <c r="K1626" s="17" t="str">
        <f>Github!L$1625</f>
        <v>Hash Table;String;</v>
      </c>
      <c r="L1626" s="17" t="b">
        <f>Github!M$1625</f>
        <v>0</v>
      </c>
      <c r="M1626" s="17" t="str">
        <f>ROUND(Github!N$1625, 2)&amp;"%"</f>
        <v>0%</v>
      </c>
      <c r="N1626" s="17">
        <f>Github!O$1625</f>
        <v>59.19124139</v>
      </c>
      <c r="O1626" s="17">
        <f>Github!P$1625</f>
        <v>30168</v>
      </c>
    </row>
    <row r="1627">
      <c r="A1627" s="17">
        <f>Github!J$1626</f>
        <v>1625</v>
      </c>
      <c r="B1627" s="27" t="str">
        <f>HYPERLINK(CONCAT("http://leetcode.com/problems/",Github!C$1626), Github!B$1626)</f>
        <v>Lexicographically Smallest String After Applying Operations</v>
      </c>
      <c r="C1627" s="17">
        <f>Github!F$1626</f>
        <v>220</v>
      </c>
      <c r="D1627" s="17">
        <f>Github!G$1626</f>
        <v>221</v>
      </c>
      <c r="E1627" s="17">
        <f>Github!F$1626+Github!G$1626</f>
        <v>441</v>
      </c>
      <c r="F1627" s="18">
        <f t="shared" si="1"/>
        <v>1</v>
      </c>
      <c r="G1627" s="17" t="str">
        <f>Github!H$1626</f>
        <v>Algorithms</v>
      </c>
      <c r="H1627" s="17" t="str">
        <f>Github!E$1626</f>
        <v>Medium</v>
      </c>
      <c r="I1627" s="17" t="str">
        <f>IF(TRIM(Github!D$1626)="TRUE","FALSE","TRUE")</f>
        <v>TRUE</v>
      </c>
      <c r="J1627" s="17"/>
      <c r="K1627" s="17" t="str">
        <f>Github!L$1626</f>
        <v>String;Breadth-First Search;</v>
      </c>
      <c r="L1627" s="17" t="b">
        <f>Github!M$1626</f>
        <v>0</v>
      </c>
      <c r="M1627" s="17" t="str">
        <f>ROUND(Github!N$1626, 2)&amp;"%"</f>
        <v>0%</v>
      </c>
      <c r="N1627" s="17">
        <f>Github!O$1626</f>
        <v>66.13357803</v>
      </c>
      <c r="O1627" s="17">
        <f>Github!P$1626</f>
        <v>10090</v>
      </c>
    </row>
    <row r="1628">
      <c r="A1628" s="17">
        <f>Github!J$1627</f>
        <v>1626</v>
      </c>
      <c r="B1628" s="27" t="str">
        <f>HYPERLINK(CONCAT("http://leetcode.com/problems/",Github!C$1627), Github!B$1627)</f>
        <v>Best Team With No Conflicts</v>
      </c>
      <c r="C1628" s="17">
        <f>Github!F$1627</f>
        <v>760</v>
      </c>
      <c r="D1628" s="17">
        <f>Github!G$1627</f>
        <v>27</v>
      </c>
      <c r="E1628" s="17">
        <f>Github!F$1627+Github!G$1627</f>
        <v>787</v>
      </c>
      <c r="F1628" s="18">
        <f t="shared" si="1"/>
        <v>28.15</v>
      </c>
      <c r="G1628" s="17" t="str">
        <f>Github!H$1627</f>
        <v>Algorithms</v>
      </c>
      <c r="H1628" s="17" t="str">
        <f>Github!E$1627</f>
        <v>Medium</v>
      </c>
      <c r="I1628" s="17" t="str">
        <f>IF(TRIM(Github!D$1627)="TRUE","FALSE","TRUE")</f>
        <v>TRUE</v>
      </c>
      <c r="J1628" s="17"/>
      <c r="K1628" s="17" t="str">
        <f>Github!L$1627</f>
        <v>Array;Dynamic Programming;Sorting;</v>
      </c>
      <c r="L1628" s="17" t="b">
        <f>Github!M$1627</f>
        <v>0</v>
      </c>
      <c r="M1628" s="17" t="str">
        <f>ROUND(Github!N$1627, 2)&amp;"%"</f>
        <v>0%</v>
      </c>
      <c r="N1628" s="17">
        <f>Github!O$1627</f>
        <v>40.46832853</v>
      </c>
      <c r="O1628" s="17">
        <f>Github!P$1627</f>
        <v>17403</v>
      </c>
    </row>
    <row r="1629">
      <c r="A1629" s="17">
        <f>Github!J$1628</f>
        <v>1627</v>
      </c>
      <c r="B1629" s="27" t="str">
        <f>HYPERLINK(CONCAT("http://leetcode.com/problems/",Github!C$1628), Github!B$1628)</f>
        <v>Graph Connectivity With Threshold</v>
      </c>
      <c r="C1629" s="17">
        <f>Github!F$1628</f>
        <v>301</v>
      </c>
      <c r="D1629" s="17">
        <f>Github!G$1628</f>
        <v>23</v>
      </c>
      <c r="E1629" s="17">
        <f>Github!F$1628+Github!G$1628</f>
        <v>324</v>
      </c>
      <c r="F1629" s="18">
        <f t="shared" si="1"/>
        <v>13.09</v>
      </c>
      <c r="G1629" s="17" t="str">
        <f>Github!H$1628</f>
        <v>Algorithms</v>
      </c>
      <c r="H1629" s="17" t="str">
        <f>Github!E$1628</f>
        <v>Hard</v>
      </c>
      <c r="I1629" s="17" t="str">
        <f>IF(TRIM(Github!D$1628)="TRUE","FALSE","TRUE")</f>
        <v>TRUE</v>
      </c>
      <c r="J1629" s="17"/>
      <c r="K1629" s="17" t="str">
        <f>Github!L$1628</f>
        <v>Array;Math;Union Find;</v>
      </c>
      <c r="L1629" s="17" t="b">
        <f>Github!M$1628</f>
        <v>0</v>
      </c>
      <c r="M1629" s="17" t="str">
        <f>ROUND(Github!N$1628, 2)&amp;"%"</f>
        <v>0%</v>
      </c>
      <c r="N1629" s="17">
        <f>Github!O$1628</f>
        <v>44.07654366</v>
      </c>
      <c r="O1629" s="17">
        <f>Github!P$1628</f>
        <v>9651</v>
      </c>
    </row>
    <row r="1630">
      <c r="A1630" s="17">
        <f>Github!J$1629</f>
        <v>1628</v>
      </c>
      <c r="B1630" s="27" t="str">
        <f>HYPERLINK(CONCAT("http://leetcode.com/problems/",Github!C$1629), Github!B$1629)</f>
        <v>Design an Expression Tree With Evaluate Function</v>
      </c>
      <c r="C1630" s="17">
        <f>Github!F$1629</f>
        <v>302</v>
      </c>
      <c r="D1630" s="17">
        <f>Github!G$1629</f>
        <v>48</v>
      </c>
      <c r="E1630" s="17">
        <f>Github!F$1629+Github!G$1629</f>
        <v>350</v>
      </c>
      <c r="F1630" s="18">
        <f t="shared" si="1"/>
        <v>6.29</v>
      </c>
      <c r="G1630" s="17" t="str">
        <f>Github!H$1629</f>
        <v>Algorithms</v>
      </c>
      <c r="H1630" s="17" t="str">
        <f>Github!E$1629</f>
        <v>Medium</v>
      </c>
      <c r="I1630" s="17" t="str">
        <f>IF(TRIM(Github!D$1629)="TRUE","FALSE","TRUE")</f>
        <v>FALSE</v>
      </c>
      <c r="J1630" s="17"/>
      <c r="K1630" s="17" t="str">
        <f>Github!L$1629</f>
        <v>Math;Stack;Tree;Design;Binary Tree;</v>
      </c>
      <c r="L1630" s="17" t="b">
        <f>Github!M$1629</f>
        <v>0</v>
      </c>
      <c r="M1630" s="17" t="str">
        <f>ROUND(Github!N$1629, 2)&amp;"%"</f>
        <v>0%</v>
      </c>
      <c r="N1630" s="17">
        <f>Github!O$1629</f>
        <v>81.51534564</v>
      </c>
      <c r="O1630" s="17">
        <f>Github!P$1629</f>
        <v>13997</v>
      </c>
    </row>
    <row r="1631">
      <c r="A1631" s="17">
        <f>Github!J$1630</f>
        <v>1629</v>
      </c>
      <c r="B1631" s="27" t="str">
        <f>HYPERLINK(CONCAT("http://leetcode.com/problems/",Github!C$1630), Github!B$1630)</f>
        <v>Slowest Key</v>
      </c>
      <c r="C1631" s="17">
        <f>Github!F$1630</f>
        <v>500</v>
      </c>
      <c r="D1631" s="17">
        <f>Github!G$1630</f>
        <v>83</v>
      </c>
      <c r="E1631" s="17">
        <f>Github!F$1630+Github!G$1630</f>
        <v>583</v>
      </c>
      <c r="F1631" s="18">
        <f t="shared" si="1"/>
        <v>6.02</v>
      </c>
      <c r="G1631" s="17" t="str">
        <f>Github!H$1630</f>
        <v>Algorithms</v>
      </c>
      <c r="H1631" s="17" t="str">
        <f>Github!E$1630</f>
        <v>Easy</v>
      </c>
      <c r="I1631" s="17" t="str">
        <f>IF(TRIM(Github!D$1630)="TRUE","FALSE","TRUE")</f>
        <v>TRUE</v>
      </c>
      <c r="J1631" s="17"/>
      <c r="K1631" s="17" t="str">
        <f>Github!L$1630</f>
        <v>Array;String;</v>
      </c>
      <c r="L1631" s="17" t="b">
        <f>Github!M$1630</f>
        <v>1</v>
      </c>
      <c r="M1631" s="17" t="str">
        <f>ROUND(Github!N$1630, 2)&amp;"%"</f>
        <v>0%</v>
      </c>
      <c r="N1631" s="17">
        <f>Github!O$1630</f>
        <v>59.67417066</v>
      </c>
      <c r="O1631" s="17">
        <f>Github!P$1630</f>
        <v>73770</v>
      </c>
    </row>
    <row r="1632">
      <c r="A1632" s="17">
        <f>Github!J$1631</f>
        <v>1630</v>
      </c>
      <c r="B1632" s="27" t="str">
        <f>HYPERLINK(CONCAT("http://leetcode.com/problems/",Github!C$1631), Github!B$1631)</f>
        <v>Arithmetic Subarrays</v>
      </c>
      <c r="C1632" s="17">
        <f>Github!F$1631</f>
        <v>556</v>
      </c>
      <c r="D1632" s="17">
        <f>Github!G$1631</f>
        <v>63</v>
      </c>
      <c r="E1632" s="17">
        <f>Github!F$1631+Github!G$1631</f>
        <v>619</v>
      </c>
      <c r="F1632" s="18">
        <f t="shared" si="1"/>
        <v>8.83</v>
      </c>
      <c r="G1632" s="17" t="str">
        <f>Github!H$1631</f>
        <v>Algorithms</v>
      </c>
      <c r="H1632" s="17" t="str">
        <f>Github!E$1631</f>
        <v>Medium</v>
      </c>
      <c r="I1632" s="17" t="str">
        <f>IF(TRIM(Github!D$1631)="TRUE","FALSE","TRUE")</f>
        <v>TRUE</v>
      </c>
      <c r="J1632" s="17"/>
      <c r="K1632" s="17" t="str">
        <f>Github!L$1631</f>
        <v>Array;Sorting;</v>
      </c>
      <c r="L1632" s="17" t="b">
        <f>Github!M$1631</f>
        <v>0</v>
      </c>
      <c r="M1632" s="17" t="str">
        <f>ROUND(Github!N$1631, 2)&amp;"%"</f>
        <v>0%</v>
      </c>
      <c r="N1632" s="17">
        <f>Github!O$1631</f>
        <v>78.37745111</v>
      </c>
      <c r="O1632" s="17">
        <f>Github!P$1631</f>
        <v>29698</v>
      </c>
    </row>
    <row r="1633">
      <c r="A1633" s="17">
        <f>Github!J$1632</f>
        <v>1631</v>
      </c>
      <c r="B1633" s="27" t="str">
        <f>HYPERLINK(CONCAT("http://leetcode.com/problems/",Github!C$1632), Github!B$1632)</f>
        <v>Path With Minimum Effort</v>
      </c>
      <c r="C1633" s="17">
        <f>Github!F$1632</f>
        <v>1983</v>
      </c>
      <c r="D1633" s="17">
        <f>Github!G$1632</f>
        <v>95</v>
      </c>
      <c r="E1633" s="17">
        <f>Github!F$1632+Github!G$1632</f>
        <v>2078</v>
      </c>
      <c r="F1633" s="18">
        <f t="shared" si="1"/>
        <v>20.87</v>
      </c>
      <c r="G1633" s="17" t="str">
        <f>Github!H$1632</f>
        <v>Algorithms</v>
      </c>
      <c r="H1633" s="17" t="str">
        <f>Github!E$1632</f>
        <v>Medium</v>
      </c>
      <c r="I1633" s="17" t="str">
        <f>IF(TRIM(Github!D$1632)="TRUE","FALSE","TRUE")</f>
        <v>TRUE</v>
      </c>
      <c r="J1633" s="17"/>
      <c r="K1633" s="17" t="str">
        <f>Github!L$1632</f>
        <v>Array;Binary Search;Depth-First Search;Breadth-First Search;Union Find;Heap (Priority Queue);Matrix;</v>
      </c>
      <c r="L1633" s="17" t="b">
        <f>Github!M$1632</f>
        <v>1</v>
      </c>
      <c r="M1633" s="17" t="str">
        <f>ROUND(Github!N$1632, 2)&amp;"%"</f>
        <v>0%</v>
      </c>
      <c r="N1633" s="17">
        <f>Github!O$1632</f>
        <v>51.77424634</v>
      </c>
      <c r="O1633" s="17">
        <f>Github!P$1632</f>
        <v>71185</v>
      </c>
    </row>
    <row r="1634">
      <c r="A1634" s="17">
        <f>Github!J$1633</f>
        <v>1632</v>
      </c>
      <c r="B1634" s="27" t="str">
        <f>HYPERLINK(CONCAT("http://leetcode.com/problems/",Github!C$1633), Github!B$1633)</f>
        <v>Rank Transform of a Matrix</v>
      </c>
      <c r="C1634" s="17">
        <f>Github!F$1633</f>
        <v>576</v>
      </c>
      <c r="D1634" s="17">
        <f>Github!G$1633</f>
        <v>36</v>
      </c>
      <c r="E1634" s="17">
        <f>Github!F$1633+Github!G$1633</f>
        <v>612</v>
      </c>
      <c r="F1634" s="18">
        <f t="shared" si="1"/>
        <v>16</v>
      </c>
      <c r="G1634" s="17" t="str">
        <f>Github!H$1633</f>
        <v>Algorithms</v>
      </c>
      <c r="H1634" s="17" t="str">
        <f>Github!E$1633</f>
        <v>Hard</v>
      </c>
      <c r="I1634" s="17" t="str">
        <f>IF(TRIM(Github!D$1633)="TRUE","FALSE","TRUE")</f>
        <v>TRUE</v>
      </c>
      <c r="J1634" s="17"/>
      <c r="K1634" s="17" t="str">
        <f>Github!L$1633</f>
        <v>Array;Greedy;Union Find;Graph;Topological Sort;Matrix;</v>
      </c>
      <c r="L1634" s="17" t="b">
        <f>Github!M$1633</f>
        <v>1</v>
      </c>
      <c r="M1634" s="17" t="str">
        <f>ROUND(Github!N$1633, 2)&amp;"%"</f>
        <v>0%</v>
      </c>
      <c r="N1634" s="17">
        <f>Github!O$1633</f>
        <v>40.54866685</v>
      </c>
      <c r="O1634" s="17">
        <f>Github!P$1633</f>
        <v>16318</v>
      </c>
    </row>
    <row r="1635">
      <c r="A1635" s="17">
        <f>Github!J$1634</f>
        <v>1633</v>
      </c>
      <c r="B1635" s="27" t="str">
        <f>HYPERLINK(CONCAT("http://leetcode.com/problems/",Github!C$1634), Github!B$1634)</f>
        <v>Percentage of Users Attended a Contest</v>
      </c>
      <c r="C1635" s="17">
        <f>Github!F$1634</f>
        <v>46</v>
      </c>
      <c r="D1635" s="17">
        <f>Github!G$1634</f>
        <v>12</v>
      </c>
      <c r="E1635" s="17">
        <f>Github!F$1634+Github!G$1634</f>
        <v>58</v>
      </c>
      <c r="F1635" s="18">
        <f t="shared" si="1"/>
        <v>3.83</v>
      </c>
      <c r="G1635" s="17" t="str">
        <f>Github!H$1634</f>
        <v>Database</v>
      </c>
      <c r="H1635" s="17" t="str">
        <f>Github!E$1634</f>
        <v>Easy</v>
      </c>
      <c r="I1635" s="17" t="str">
        <f>IF(TRIM(Github!D$1634)="TRUE","FALSE","TRUE")</f>
        <v>FALSE</v>
      </c>
      <c r="J1635" s="17"/>
      <c r="K1635" s="17" t="str">
        <f>Github!L$1634</f>
        <v>Database;</v>
      </c>
      <c r="L1635" s="17" t="b">
        <f>Github!M$1634</f>
        <v>0</v>
      </c>
      <c r="M1635" s="17" t="str">
        <f>ROUND(Github!N$1634, 2)&amp;"%"</f>
        <v>0%</v>
      </c>
      <c r="N1635" s="17">
        <f>Github!O$1634</f>
        <v>69.33866464</v>
      </c>
      <c r="O1635" s="17">
        <f>Github!P$1634</f>
        <v>10925</v>
      </c>
    </row>
    <row r="1636">
      <c r="A1636" s="17">
        <f>Github!J$1635</f>
        <v>1634</v>
      </c>
      <c r="B1636" s="27" t="str">
        <f>HYPERLINK(CONCAT("http://leetcode.com/problems/",Github!C$1635), Github!B$1635)</f>
        <v>Add Two Polynomials Represented as Linked Lists</v>
      </c>
      <c r="C1636" s="17">
        <f>Github!F$1635</f>
        <v>76</v>
      </c>
      <c r="D1636" s="17">
        <f>Github!G$1635</f>
        <v>5</v>
      </c>
      <c r="E1636" s="17">
        <f>Github!F$1635+Github!G$1635</f>
        <v>81</v>
      </c>
      <c r="F1636" s="18">
        <f t="shared" si="1"/>
        <v>15.2</v>
      </c>
      <c r="G1636" s="17" t="str">
        <f>Github!H$1635</f>
        <v>Algorithms</v>
      </c>
      <c r="H1636" s="17" t="str">
        <f>Github!E$1635</f>
        <v>Medium</v>
      </c>
      <c r="I1636" s="17" t="str">
        <f>IF(TRIM(Github!D$1635)="TRUE","FALSE","TRUE")</f>
        <v>FALSE</v>
      </c>
      <c r="J1636" s="17"/>
      <c r="K1636" s="17" t="str">
        <f>Github!L$1635</f>
        <v>Linked List;Math;Two Pointers;</v>
      </c>
      <c r="L1636" s="17" t="b">
        <f>Github!M$1635</f>
        <v>0</v>
      </c>
      <c r="M1636" s="17" t="str">
        <f>ROUND(Github!N$1635, 2)&amp;"%"</f>
        <v>0%</v>
      </c>
      <c r="N1636" s="17">
        <f>Github!O$1635</f>
        <v>53.81136238</v>
      </c>
      <c r="O1636" s="17">
        <f>Github!P$1635</f>
        <v>4878</v>
      </c>
    </row>
    <row r="1637">
      <c r="A1637" s="17">
        <f>Github!J$1636</f>
        <v>1635</v>
      </c>
      <c r="B1637" s="27" t="str">
        <f>HYPERLINK(CONCAT("http://leetcode.com/problems/",Github!C$1636), Github!B$1636)</f>
        <v>Hopper Company Queries I</v>
      </c>
      <c r="C1637" s="17">
        <f>Github!F$1636</f>
        <v>54</v>
      </c>
      <c r="D1637" s="17">
        <f>Github!G$1636</f>
        <v>21</v>
      </c>
      <c r="E1637" s="17">
        <f>Github!F$1636+Github!G$1636</f>
        <v>75</v>
      </c>
      <c r="F1637" s="18">
        <f t="shared" si="1"/>
        <v>2.57</v>
      </c>
      <c r="G1637" s="17" t="str">
        <f>Github!H$1636</f>
        <v>Database</v>
      </c>
      <c r="H1637" s="17" t="str">
        <f>Github!E$1636</f>
        <v>Hard</v>
      </c>
      <c r="I1637" s="17" t="str">
        <f>IF(TRIM(Github!D$1636)="TRUE","FALSE","TRUE")</f>
        <v>FALSE</v>
      </c>
      <c r="J1637" s="17"/>
      <c r="K1637" s="17" t="str">
        <f>Github!L$1636</f>
        <v>Database;</v>
      </c>
      <c r="L1637" s="17" t="b">
        <f>Github!M$1636</f>
        <v>0</v>
      </c>
      <c r="M1637" s="17" t="str">
        <f>ROUND(Github!N$1636, 2)&amp;"%"</f>
        <v>0%</v>
      </c>
      <c r="N1637" s="17">
        <f>Github!O$1636</f>
        <v>53.9656312</v>
      </c>
      <c r="O1637" s="17">
        <f>Github!P$1636</f>
        <v>4899</v>
      </c>
    </row>
    <row r="1638">
      <c r="A1638" s="17">
        <f>Github!J$1637</f>
        <v>1636</v>
      </c>
      <c r="B1638" s="27" t="str">
        <f>HYPERLINK(CONCAT("http://leetcode.com/problems/",Github!C$1637), Github!B$1637)</f>
        <v>Sort Array by Increasing Frequency</v>
      </c>
      <c r="C1638" s="17">
        <f>Github!F$1637</f>
        <v>1202</v>
      </c>
      <c r="D1638" s="17">
        <f>Github!G$1637</f>
        <v>47</v>
      </c>
      <c r="E1638" s="17">
        <f>Github!F$1637+Github!G$1637</f>
        <v>1249</v>
      </c>
      <c r="F1638" s="18">
        <f t="shared" si="1"/>
        <v>25.57</v>
      </c>
      <c r="G1638" s="17" t="str">
        <f>Github!H$1637</f>
        <v>Algorithms</v>
      </c>
      <c r="H1638" s="17" t="str">
        <f>Github!E$1637</f>
        <v>Easy</v>
      </c>
      <c r="I1638" s="17" t="str">
        <f>IF(TRIM(Github!D$1637)="TRUE","FALSE","TRUE")</f>
        <v>TRUE</v>
      </c>
      <c r="J1638" s="17"/>
      <c r="K1638" s="17" t="str">
        <f>Github!L$1637</f>
        <v>Array;Hash Table;Sorting;</v>
      </c>
      <c r="L1638" s="17" t="b">
        <f>Github!M$1637</f>
        <v>0</v>
      </c>
      <c r="M1638" s="17" t="str">
        <f>ROUND(Github!N$1637, 2)&amp;"%"</f>
        <v>0%</v>
      </c>
      <c r="N1638" s="17">
        <f>Github!O$1637</f>
        <v>68.33718741</v>
      </c>
      <c r="O1638" s="17">
        <f>Github!P$1637</f>
        <v>54080</v>
      </c>
    </row>
    <row r="1639">
      <c r="A1639" s="17">
        <f>Github!J$1638</f>
        <v>1637</v>
      </c>
      <c r="B1639" s="27" t="str">
        <f>HYPERLINK(CONCAT("http://leetcode.com/problems/",Github!C$1638), Github!B$1638)</f>
        <v>Widest Vertical Area Between Two Points Containing No Points</v>
      </c>
      <c r="C1639" s="17">
        <f>Github!F$1638</f>
        <v>161</v>
      </c>
      <c r="D1639" s="17">
        <f>Github!G$1638</f>
        <v>475</v>
      </c>
      <c r="E1639" s="17">
        <f>Github!F$1638+Github!G$1638</f>
        <v>636</v>
      </c>
      <c r="F1639" s="18">
        <f t="shared" si="1"/>
        <v>0.34</v>
      </c>
      <c r="G1639" s="17" t="str">
        <f>Github!H$1638</f>
        <v>Algorithms</v>
      </c>
      <c r="H1639" s="17" t="str">
        <f>Github!E$1638</f>
        <v>Medium</v>
      </c>
      <c r="I1639" s="17" t="str">
        <f>IF(TRIM(Github!D$1638)="TRUE","FALSE","TRUE")</f>
        <v>TRUE</v>
      </c>
      <c r="J1639" s="17"/>
      <c r="K1639" s="17" t="str">
        <f>Github!L$1638</f>
        <v>Array;Sorting;</v>
      </c>
      <c r="L1639" s="17" t="b">
        <f>Github!M$1638</f>
        <v>0</v>
      </c>
      <c r="M1639" s="17" t="str">
        <f>ROUND(Github!N$1638, 2)&amp;"%"</f>
        <v>0%</v>
      </c>
      <c r="N1639" s="17">
        <f>Github!O$1638</f>
        <v>83.96805329</v>
      </c>
      <c r="O1639" s="17">
        <f>Github!P$1638</f>
        <v>27230</v>
      </c>
    </row>
    <row r="1640">
      <c r="A1640" s="17">
        <f>Github!J$1639</f>
        <v>1638</v>
      </c>
      <c r="B1640" s="27" t="str">
        <f>HYPERLINK(CONCAT("http://leetcode.com/problems/",Github!C$1639), Github!B$1639)</f>
        <v>Count Substrings That Differ by One Character</v>
      </c>
      <c r="C1640" s="17">
        <f>Github!F$1639</f>
        <v>608</v>
      </c>
      <c r="D1640" s="17">
        <f>Github!G$1639</f>
        <v>235</v>
      </c>
      <c r="E1640" s="17">
        <f>Github!F$1639+Github!G$1639</f>
        <v>843</v>
      </c>
      <c r="F1640" s="18">
        <f t="shared" si="1"/>
        <v>2.59</v>
      </c>
      <c r="G1640" s="17" t="str">
        <f>Github!H$1639</f>
        <v>Algorithms</v>
      </c>
      <c r="H1640" s="17" t="str">
        <f>Github!E$1639</f>
        <v>Medium</v>
      </c>
      <c r="I1640" s="17" t="str">
        <f>IF(TRIM(Github!D$1639)="TRUE","FALSE","TRUE")</f>
        <v>TRUE</v>
      </c>
      <c r="J1640" s="17"/>
      <c r="K1640" s="17" t="str">
        <f>Github!L$1639</f>
        <v>Hash Table;String;Dynamic Programming;</v>
      </c>
      <c r="L1640" s="17" t="b">
        <f>Github!M$1639</f>
        <v>0</v>
      </c>
      <c r="M1640" s="17" t="str">
        <f>ROUND(Github!N$1639, 2)&amp;"%"</f>
        <v>0%</v>
      </c>
      <c r="N1640" s="17">
        <f>Github!O$1639</f>
        <v>72.09777778</v>
      </c>
      <c r="O1640" s="17">
        <f>Github!P$1639</f>
        <v>16222</v>
      </c>
    </row>
    <row r="1641">
      <c r="A1641" s="17">
        <f>Github!J$1640</f>
        <v>1639</v>
      </c>
      <c r="B1641" s="27" t="str">
        <f>HYPERLINK(CONCAT("http://leetcode.com/problems/",Github!C$1640), Github!B$1640)</f>
        <v>Number of Ways to Form a Target String Given a Dictionary</v>
      </c>
      <c r="C1641" s="17">
        <f>Github!F$1640</f>
        <v>230</v>
      </c>
      <c r="D1641" s="17">
        <f>Github!G$1640</f>
        <v>12</v>
      </c>
      <c r="E1641" s="17">
        <f>Github!F$1640+Github!G$1640</f>
        <v>242</v>
      </c>
      <c r="F1641" s="18">
        <f t="shared" si="1"/>
        <v>19.17</v>
      </c>
      <c r="G1641" s="17" t="str">
        <f>Github!H$1640</f>
        <v>Algorithms</v>
      </c>
      <c r="H1641" s="17" t="str">
        <f>Github!E$1640</f>
        <v>Hard</v>
      </c>
      <c r="I1641" s="17" t="str">
        <f>IF(TRIM(Github!D$1640)="TRUE","FALSE","TRUE")</f>
        <v>TRUE</v>
      </c>
      <c r="J1641" s="17"/>
      <c r="K1641" s="17" t="str">
        <f>Github!L$1640</f>
        <v>Array;String;Dynamic Programming;</v>
      </c>
      <c r="L1641" s="17" t="b">
        <f>Github!M$1640</f>
        <v>0</v>
      </c>
      <c r="M1641" s="17" t="str">
        <f>ROUND(Github!N$1640, 2)&amp;"%"</f>
        <v>0%</v>
      </c>
      <c r="N1641" s="17">
        <f>Github!O$1640</f>
        <v>42.29005544</v>
      </c>
      <c r="O1641" s="17">
        <f>Github!P$1640</f>
        <v>6179</v>
      </c>
    </row>
    <row r="1642">
      <c r="A1642" s="17">
        <f>Github!J$1641</f>
        <v>1640</v>
      </c>
      <c r="B1642" s="27" t="str">
        <f>HYPERLINK(CONCAT("http://leetcode.com/problems/",Github!C$1641), Github!B$1641)</f>
        <v>Check Array Formation Through Concatenation</v>
      </c>
      <c r="C1642" s="17">
        <f>Github!F$1641</f>
        <v>653</v>
      </c>
      <c r="D1642" s="17">
        <f>Github!G$1641</f>
        <v>111</v>
      </c>
      <c r="E1642" s="17">
        <f>Github!F$1641+Github!G$1641</f>
        <v>764</v>
      </c>
      <c r="F1642" s="18">
        <f t="shared" si="1"/>
        <v>5.88</v>
      </c>
      <c r="G1642" s="17" t="str">
        <f>Github!H$1641</f>
        <v>Algorithms</v>
      </c>
      <c r="H1642" s="17" t="str">
        <f>Github!E$1641</f>
        <v>Easy</v>
      </c>
      <c r="I1642" s="17" t="str">
        <f>IF(TRIM(Github!D$1641)="TRUE","FALSE","TRUE")</f>
        <v>TRUE</v>
      </c>
      <c r="J1642" s="17"/>
      <c r="K1642" s="17" t="str">
        <f>Github!L$1641</f>
        <v>Array;Hash Table;</v>
      </c>
      <c r="L1642" s="17" t="b">
        <f>Github!M$1641</f>
        <v>1</v>
      </c>
      <c r="M1642" s="17" t="str">
        <f>ROUND(Github!N$1641, 2)&amp;"%"</f>
        <v>0%</v>
      </c>
      <c r="N1642" s="17">
        <f>Github!O$1641</f>
        <v>55.71956972</v>
      </c>
      <c r="O1642" s="17">
        <f>Github!P$1641</f>
        <v>65680</v>
      </c>
    </row>
    <row r="1643">
      <c r="A1643" s="17">
        <f>Github!J$1642</f>
        <v>1641</v>
      </c>
      <c r="B1643" s="27" t="str">
        <f>HYPERLINK(CONCAT("http://leetcode.com/problems/",Github!C$1642), Github!B$1642)</f>
        <v>Count Sorted Vowel Strings</v>
      </c>
      <c r="C1643" s="17">
        <f>Github!F$1642</f>
        <v>1684</v>
      </c>
      <c r="D1643" s="17">
        <f>Github!G$1642</f>
        <v>37</v>
      </c>
      <c r="E1643" s="17">
        <f>Github!F$1642+Github!G$1642</f>
        <v>1721</v>
      </c>
      <c r="F1643" s="18">
        <f t="shared" si="1"/>
        <v>45.51</v>
      </c>
      <c r="G1643" s="17" t="str">
        <f>Github!H$1642</f>
        <v>Algorithms</v>
      </c>
      <c r="H1643" s="17" t="str">
        <f>Github!E$1642</f>
        <v>Medium</v>
      </c>
      <c r="I1643" s="17" t="str">
        <f>IF(TRIM(Github!D$1642)="TRUE","FALSE","TRUE")</f>
        <v>TRUE</v>
      </c>
      <c r="J1643" s="17"/>
      <c r="K1643" s="17" t="str">
        <f>Github!L$1642</f>
        <v>Dynamic Programming;</v>
      </c>
      <c r="L1643" s="17" t="b">
        <f>Github!M$1642</f>
        <v>1</v>
      </c>
      <c r="M1643" s="17" t="str">
        <f>ROUND(Github!N$1642, 2)&amp;"%"</f>
        <v>0%</v>
      </c>
      <c r="N1643" s="17">
        <f>Github!O$1642</f>
        <v>74.77643812</v>
      </c>
      <c r="O1643" s="17">
        <f>Github!P$1642</f>
        <v>80190</v>
      </c>
    </row>
    <row r="1644">
      <c r="A1644" s="17">
        <f>Github!J$1643</f>
        <v>1642</v>
      </c>
      <c r="B1644" s="27" t="str">
        <f>HYPERLINK(CONCAT("http://leetcode.com/problems/",Github!C$1643), Github!B$1643)</f>
        <v>Furthest Building You Can Reach</v>
      </c>
      <c r="C1644" s="17">
        <f>Github!F$1643</f>
        <v>1573</v>
      </c>
      <c r="D1644" s="17">
        <f>Github!G$1643</f>
        <v>48</v>
      </c>
      <c r="E1644" s="17">
        <f>Github!F$1643+Github!G$1643</f>
        <v>1621</v>
      </c>
      <c r="F1644" s="18">
        <f t="shared" si="1"/>
        <v>32.77</v>
      </c>
      <c r="G1644" s="17" t="str">
        <f>Github!H$1643</f>
        <v>Algorithms</v>
      </c>
      <c r="H1644" s="17" t="str">
        <f>Github!E$1643</f>
        <v>Medium</v>
      </c>
      <c r="I1644" s="17" t="str">
        <f>IF(TRIM(Github!D$1643)="TRUE","FALSE","TRUE")</f>
        <v>TRUE</v>
      </c>
      <c r="J1644" s="17"/>
      <c r="K1644" s="17" t="str">
        <f>Github!L$1643</f>
        <v>Array;Greedy;Heap (Priority Queue);</v>
      </c>
      <c r="L1644" s="17" t="b">
        <f>Github!M$1643</f>
        <v>1</v>
      </c>
      <c r="M1644" s="17" t="str">
        <f>ROUND(Github!N$1643, 2)&amp;"%"</f>
        <v>0%</v>
      </c>
      <c r="N1644" s="17">
        <f>Github!O$1643</f>
        <v>44.91812479</v>
      </c>
      <c r="O1644" s="17">
        <f>Github!P$1643</f>
        <v>44820</v>
      </c>
    </row>
    <row r="1645">
      <c r="A1645" s="17">
        <f>Github!J$1644</f>
        <v>1643</v>
      </c>
      <c r="B1645" s="27" t="str">
        <f>HYPERLINK(CONCAT("http://leetcode.com/problems/",Github!C$1644), Github!B$1644)</f>
        <v>Kth Smallest Instructions</v>
      </c>
      <c r="C1645" s="17">
        <f>Github!F$1644</f>
        <v>327</v>
      </c>
      <c r="D1645" s="17">
        <f>Github!G$1644</f>
        <v>3</v>
      </c>
      <c r="E1645" s="17">
        <f>Github!F$1644+Github!G$1644</f>
        <v>330</v>
      </c>
      <c r="F1645" s="18">
        <f t="shared" si="1"/>
        <v>109</v>
      </c>
      <c r="G1645" s="17" t="str">
        <f>Github!H$1644</f>
        <v>Algorithms</v>
      </c>
      <c r="H1645" s="17" t="str">
        <f>Github!E$1644</f>
        <v>Hard</v>
      </c>
      <c r="I1645" s="17" t="str">
        <f>IF(TRIM(Github!D$1644)="TRUE","FALSE","TRUE")</f>
        <v>TRUE</v>
      </c>
      <c r="J1645" s="17"/>
      <c r="K1645" s="17" t="str">
        <f>Github!L$1644</f>
        <v>Array;Math;Dynamic Programming;Combinatorics;</v>
      </c>
      <c r="L1645" s="17" t="b">
        <f>Github!M$1644</f>
        <v>0</v>
      </c>
      <c r="M1645" s="17" t="str">
        <f>ROUND(Github!N$1644, 2)&amp;"%"</f>
        <v>0%</v>
      </c>
      <c r="N1645" s="17">
        <f>Github!O$1644</f>
        <v>45.50533584</v>
      </c>
      <c r="O1645" s="17">
        <f>Github!P$1644</f>
        <v>7249</v>
      </c>
    </row>
    <row r="1646">
      <c r="A1646" s="17">
        <f>Github!J$1645</f>
        <v>1644</v>
      </c>
      <c r="B1646" s="27" t="str">
        <f>HYPERLINK(CONCAT("http://leetcode.com/problems/",Github!C$1645), Github!B$1645)</f>
        <v>Lowest Common Ancestor of a Binary Tree II</v>
      </c>
      <c r="C1646" s="17">
        <f>Github!F$1645</f>
        <v>386</v>
      </c>
      <c r="D1646" s="17">
        <f>Github!G$1645</f>
        <v>19</v>
      </c>
      <c r="E1646" s="17">
        <f>Github!F$1645+Github!G$1645</f>
        <v>405</v>
      </c>
      <c r="F1646" s="18">
        <f t="shared" si="1"/>
        <v>20.32</v>
      </c>
      <c r="G1646" s="17" t="str">
        <f>Github!H$1645</f>
        <v>Algorithms</v>
      </c>
      <c r="H1646" s="17" t="str">
        <f>Github!E$1645</f>
        <v>Medium</v>
      </c>
      <c r="I1646" s="17" t="str">
        <f>IF(TRIM(Github!D$1645)="TRUE","FALSE","TRUE")</f>
        <v>FALSE</v>
      </c>
      <c r="J1646" s="17"/>
      <c r="K1646" s="17" t="str">
        <f>Github!L$1645</f>
        <v>Tree;Depth-First Search;Binary Tree;</v>
      </c>
      <c r="L1646" s="17" t="b">
        <f>Github!M$1645</f>
        <v>0</v>
      </c>
      <c r="M1646" s="17" t="str">
        <f>ROUND(Github!N$1645, 2)&amp;"%"</f>
        <v>0%</v>
      </c>
      <c r="N1646" s="17">
        <f>Github!O$1645</f>
        <v>58.6414285</v>
      </c>
      <c r="O1646" s="17">
        <f>Github!P$1645</f>
        <v>37732</v>
      </c>
    </row>
    <row r="1647">
      <c r="A1647" s="17">
        <f>Github!J$1646</f>
        <v>1645</v>
      </c>
      <c r="B1647" s="27" t="str">
        <f>HYPERLINK(CONCAT("http://leetcode.com/problems/",Github!C$1646), Github!B$1646)</f>
        <v>Hopper Company Queries II</v>
      </c>
      <c r="C1647" s="17">
        <f>Github!F$1646</f>
        <v>35</v>
      </c>
      <c r="D1647" s="17">
        <f>Github!G$1646</f>
        <v>10</v>
      </c>
      <c r="E1647" s="17">
        <f>Github!F$1646+Github!G$1646</f>
        <v>45</v>
      </c>
      <c r="F1647" s="18">
        <f t="shared" si="1"/>
        <v>3.5</v>
      </c>
      <c r="G1647" s="17" t="str">
        <f>Github!H$1646</f>
        <v>Database</v>
      </c>
      <c r="H1647" s="17" t="str">
        <f>Github!E$1646</f>
        <v>Hard</v>
      </c>
      <c r="I1647" s="17" t="str">
        <f>IF(TRIM(Github!D$1646)="TRUE","FALSE","TRUE")</f>
        <v>FALSE</v>
      </c>
      <c r="J1647" s="17"/>
      <c r="K1647" s="17" t="str">
        <f>Github!L$1646</f>
        <v>Database;</v>
      </c>
      <c r="L1647" s="17" t="b">
        <f>Github!M$1646</f>
        <v>0</v>
      </c>
      <c r="M1647" s="17" t="str">
        <f>ROUND(Github!N$1646, 2)&amp;"%"</f>
        <v>0%</v>
      </c>
      <c r="N1647" s="17">
        <f>Github!O$1646</f>
        <v>38.78426449</v>
      </c>
      <c r="O1647" s="17">
        <f>Github!P$1646</f>
        <v>3707</v>
      </c>
    </row>
    <row r="1648">
      <c r="A1648" s="17">
        <f>Github!J$1647</f>
        <v>1646</v>
      </c>
      <c r="B1648" s="27" t="str">
        <f>HYPERLINK(CONCAT("http://leetcode.com/problems/",Github!C$1647), Github!B$1647)</f>
        <v>Get Maximum in Generated Array</v>
      </c>
      <c r="C1648" s="17">
        <f>Github!F$1647</f>
        <v>345</v>
      </c>
      <c r="D1648" s="17">
        <f>Github!G$1647</f>
        <v>499</v>
      </c>
      <c r="E1648" s="17">
        <f>Github!F$1647+Github!G$1647</f>
        <v>844</v>
      </c>
      <c r="F1648" s="18">
        <f t="shared" si="1"/>
        <v>0.69</v>
      </c>
      <c r="G1648" s="17" t="str">
        <f>Github!H$1647</f>
        <v>Algorithms</v>
      </c>
      <c r="H1648" s="17" t="str">
        <f>Github!E$1647</f>
        <v>Easy</v>
      </c>
      <c r="I1648" s="17" t="str">
        <f>IF(TRIM(Github!D$1647)="TRUE","FALSE","TRUE")</f>
        <v>TRUE</v>
      </c>
      <c r="J1648" s="17"/>
      <c r="K1648" s="17" t="str">
        <f>Github!L$1647</f>
        <v>Array;Dynamic Programming;Simulation;</v>
      </c>
      <c r="L1648" s="17" t="b">
        <f>Github!M$1647</f>
        <v>1</v>
      </c>
      <c r="M1648" s="17" t="str">
        <f>ROUND(Github!N$1647, 2)&amp;"%"</f>
        <v>0%</v>
      </c>
      <c r="N1648" s="17">
        <f>Github!O$1647</f>
        <v>51.00812574</v>
      </c>
      <c r="O1648" s="17">
        <f>Github!P$1647</f>
        <v>55429</v>
      </c>
    </row>
    <row r="1649">
      <c r="A1649" s="17">
        <f>Github!J$1648</f>
        <v>1647</v>
      </c>
      <c r="B1649" s="27" t="str">
        <f>HYPERLINK(CONCAT("http://leetcode.com/problems/",Github!C$1648), Github!B$1648)</f>
        <v>Minimum Deletions to Make Character Frequencies Unique</v>
      </c>
      <c r="C1649" s="17">
        <f>Github!F$1648</f>
        <v>1162</v>
      </c>
      <c r="D1649" s="17">
        <f>Github!G$1648</f>
        <v>27</v>
      </c>
      <c r="E1649" s="17">
        <f>Github!F$1648+Github!G$1648</f>
        <v>1189</v>
      </c>
      <c r="F1649" s="18">
        <f t="shared" si="1"/>
        <v>43.04</v>
      </c>
      <c r="G1649" s="17" t="str">
        <f>Github!H$1648</f>
        <v>Algorithms</v>
      </c>
      <c r="H1649" s="17" t="str">
        <f>Github!E$1648</f>
        <v>Medium</v>
      </c>
      <c r="I1649" s="17" t="str">
        <f>IF(TRIM(Github!D$1648)="TRUE","FALSE","TRUE")</f>
        <v>TRUE</v>
      </c>
      <c r="J1649" s="17"/>
      <c r="K1649" s="17" t="str">
        <f>Github!L$1648</f>
        <v>String;Greedy;Sorting;</v>
      </c>
      <c r="L1649" s="17" t="b">
        <f>Github!M$1648</f>
        <v>0</v>
      </c>
      <c r="M1649" s="17" t="str">
        <f>ROUND(Github!N$1648, 2)&amp;"%"</f>
        <v>0%</v>
      </c>
      <c r="N1649" s="17">
        <f>Github!O$1648</f>
        <v>56.35381438</v>
      </c>
      <c r="O1649" s="17">
        <f>Github!P$1648</f>
        <v>75315</v>
      </c>
    </row>
    <row r="1650">
      <c r="A1650" s="17">
        <f>Github!J$1649</f>
        <v>1648</v>
      </c>
      <c r="B1650" s="27" t="str">
        <f>HYPERLINK(CONCAT("http://leetcode.com/problems/",Github!C$1649), Github!B$1649)</f>
        <v>Sell Diminishing-Valued Colored Balls</v>
      </c>
      <c r="C1650" s="17">
        <f>Github!F$1649</f>
        <v>679</v>
      </c>
      <c r="D1650" s="17">
        <f>Github!G$1649</f>
        <v>253</v>
      </c>
      <c r="E1650" s="17">
        <f>Github!F$1649+Github!G$1649</f>
        <v>932</v>
      </c>
      <c r="F1650" s="18">
        <f t="shared" si="1"/>
        <v>2.68</v>
      </c>
      <c r="G1650" s="17" t="str">
        <f>Github!H$1649</f>
        <v>Algorithms</v>
      </c>
      <c r="H1650" s="17" t="str">
        <f>Github!E$1649</f>
        <v>Medium</v>
      </c>
      <c r="I1650" s="17" t="str">
        <f>IF(TRIM(Github!D$1649)="TRUE","FALSE","TRUE")</f>
        <v>TRUE</v>
      </c>
      <c r="J1650" s="17"/>
      <c r="K1650" s="17" t="str">
        <f>Github!L$1649</f>
        <v>Array;Math;Binary Search;Greedy;Sorting;Heap (Priority Queue);</v>
      </c>
      <c r="L1650" s="17" t="b">
        <f>Github!M$1649</f>
        <v>0</v>
      </c>
      <c r="M1650" s="17" t="str">
        <f>ROUND(Github!N$1649, 2)&amp;"%"</f>
        <v>0%</v>
      </c>
      <c r="N1650" s="17">
        <f>Github!O$1649</f>
        <v>30.86607896</v>
      </c>
      <c r="O1650" s="17">
        <f>Github!P$1649</f>
        <v>26330</v>
      </c>
    </row>
    <row r="1651">
      <c r="A1651" s="17">
        <f>Github!J$1650</f>
        <v>1649</v>
      </c>
      <c r="B1651" s="27" t="str">
        <f>HYPERLINK(CONCAT("http://leetcode.com/problems/",Github!C$1650), Github!B$1650)</f>
        <v>Create Sorted Array through Instructions</v>
      </c>
      <c r="C1651" s="17">
        <f>Github!F$1650</f>
        <v>442</v>
      </c>
      <c r="D1651" s="17">
        <f>Github!G$1650</f>
        <v>60</v>
      </c>
      <c r="E1651" s="17">
        <f>Github!F$1650+Github!G$1650</f>
        <v>502</v>
      </c>
      <c r="F1651" s="18">
        <f t="shared" si="1"/>
        <v>7.37</v>
      </c>
      <c r="G1651" s="17" t="str">
        <f>Github!H$1650</f>
        <v>Algorithms</v>
      </c>
      <c r="H1651" s="17" t="str">
        <f>Github!E$1650</f>
        <v>Hard</v>
      </c>
      <c r="I1651" s="17" t="str">
        <f>IF(TRIM(Github!D$1650)="TRUE","FALSE","TRUE")</f>
        <v>TRUE</v>
      </c>
      <c r="J1651" s="17"/>
      <c r="K1651" s="17" t="str">
        <f>Github!L$1650</f>
        <v>Array;Binary Search;Divide and Conquer;Binary Indexed Tree;Segment Tree;Merge Sort;Ordered Set;</v>
      </c>
      <c r="L1651" s="17" t="b">
        <f>Github!M$1650</f>
        <v>1</v>
      </c>
      <c r="M1651" s="17" t="str">
        <f>ROUND(Github!N$1650, 2)&amp;"%"</f>
        <v>0%</v>
      </c>
      <c r="N1651" s="17">
        <f>Github!O$1650</f>
        <v>37.12151681</v>
      </c>
      <c r="O1651" s="17">
        <f>Github!P$1650</f>
        <v>19382</v>
      </c>
    </row>
    <row r="1652">
      <c r="A1652" s="17">
        <f>Github!J$1651</f>
        <v>1650</v>
      </c>
      <c r="B1652" s="27" t="str">
        <f>HYPERLINK(CONCAT("http://leetcode.com/problems/",Github!C$1651), Github!B$1651)</f>
        <v>Lowest Common Ancestor of a Binary Tree III</v>
      </c>
      <c r="C1652" s="17">
        <f>Github!F$1651</f>
        <v>787</v>
      </c>
      <c r="D1652" s="17">
        <f>Github!G$1651</f>
        <v>24</v>
      </c>
      <c r="E1652" s="17">
        <f>Github!F$1651+Github!G$1651</f>
        <v>811</v>
      </c>
      <c r="F1652" s="18">
        <f t="shared" si="1"/>
        <v>32.79</v>
      </c>
      <c r="G1652" s="17" t="str">
        <f>Github!H$1651</f>
        <v>Algorithms</v>
      </c>
      <c r="H1652" s="17" t="str">
        <f>Github!E$1651</f>
        <v>Medium</v>
      </c>
      <c r="I1652" s="17" t="str">
        <f>IF(TRIM(Github!D$1651)="TRUE","FALSE","TRUE")</f>
        <v>FALSE</v>
      </c>
      <c r="J1652" s="17"/>
      <c r="K1652" s="17" t="str">
        <f>Github!L$1651</f>
        <v>Hash Table;Tree;Binary Tree;</v>
      </c>
      <c r="L1652" s="17" t="b">
        <f>Github!M$1651</f>
        <v>0</v>
      </c>
      <c r="M1652" s="17" t="str">
        <f>ROUND(Github!N$1651, 2)&amp;"%"</f>
        <v>0%</v>
      </c>
      <c r="N1652" s="17">
        <f>Github!O$1651</f>
        <v>77.44814932</v>
      </c>
      <c r="O1652" s="17">
        <f>Github!P$1651</f>
        <v>102985</v>
      </c>
    </row>
    <row r="1653">
      <c r="A1653" s="17">
        <f>Github!J$1652</f>
        <v>1651</v>
      </c>
      <c r="B1653" s="27" t="str">
        <f>HYPERLINK(CONCAT("http://leetcode.com/problems/",Github!C$1652), Github!B$1652)</f>
        <v>Hopper Company Queries III</v>
      </c>
      <c r="C1653" s="17">
        <f>Github!F$1652</f>
        <v>16</v>
      </c>
      <c r="D1653" s="17">
        <f>Github!G$1652</f>
        <v>38</v>
      </c>
      <c r="E1653" s="17">
        <f>Github!F$1652+Github!G$1652</f>
        <v>54</v>
      </c>
      <c r="F1653" s="18">
        <f t="shared" si="1"/>
        <v>0.42</v>
      </c>
      <c r="G1653" s="17" t="str">
        <f>Github!H$1652</f>
        <v>Database</v>
      </c>
      <c r="H1653" s="17" t="str">
        <f>Github!E$1652</f>
        <v>Hard</v>
      </c>
      <c r="I1653" s="17" t="str">
        <f>IF(TRIM(Github!D$1652)="TRUE","FALSE","TRUE")</f>
        <v>FALSE</v>
      </c>
      <c r="J1653" s="17"/>
      <c r="K1653" s="17" t="str">
        <f>Github!L$1652</f>
        <v>Database;</v>
      </c>
      <c r="L1653" s="17" t="b">
        <f>Github!M$1652</f>
        <v>0</v>
      </c>
      <c r="M1653" s="17" t="str">
        <f>ROUND(Github!N$1652, 2)&amp;"%"</f>
        <v>0%</v>
      </c>
      <c r="N1653" s="17">
        <f>Github!O$1652</f>
        <v>66.82875999</v>
      </c>
      <c r="O1653" s="17">
        <f>Github!P$1652</f>
        <v>3848</v>
      </c>
    </row>
    <row r="1654">
      <c r="A1654" s="17">
        <f>Github!J$1653</f>
        <v>1652</v>
      </c>
      <c r="B1654" s="27" t="str">
        <f>HYPERLINK(CONCAT("http://leetcode.com/problems/",Github!C$1653), Github!B$1653)</f>
        <v>Defuse the Bomb</v>
      </c>
      <c r="C1654" s="17">
        <f>Github!F$1653</f>
        <v>398</v>
      </c>
      <c r="D1654" s="17">
        <f>Github!G$1653</f>
        <v>43</v>
      </c>
      <c r="E1654" s="17">
        <f>Github!F$1653+Github!G$1653</f>
        <v>441</v>
      </c>
      <c r="F1654" s="18">
        <f t="shared" si="1"/>
        <v>9.26</v>
      </c>
      <c r="G1654" s="17" t="str">
        <f>Github!H$1653</f>
        <v>Algorithms</v>
      </c>
      <c r="H1654" s="17" t="str">
        <f>Github!E$1653</f>
        <v>Easy</v>
      </c>
      <c r="I1654" s="17" t="str">
        <f>IF(TRIM(Github!D$1653)="TRUE","FALSE","TRUE")</f>
        <v>TRUE</v>
      </c>
      <c r="J1654" s="17"/>
      <c r="K1654" s="17" t="str">
        <f>Github!L$1653</f>
        <v>Array;</v>
      </c>
      <c r="L1654" s="17" t="b">
        <f>Github!M$1653</f>
        <v>0</v>
      </c>
      <c r="M1654" s="17" t="str">
        <f>ROUND(Github!N$1653, 2)&amp;"%"</f>
        <v>0%</v>
      </c>
      <c r="N1654" s="17">
        <f>Github!O$1653</f>
        <v>60.83458188</v>
      </c>
      <c r="O1654" s="17">
        <f>Github!P$1653</f>
        <v>21926</v>
      </c>
    </row>
    <row r="1655">
      <c r="A1655" s="17">
        <f>Github!J$1654</f>
        <v>1653</v>
      </c>
      <c r="B1655" s="27" t="str">
        <f>HYPERLINK(CONCAT("http://leetcode.com/problems/",Github!C$1654), Github!B$1654)</f>
        <v>Minimum Deletions to Make String Balanced</v>
      </c>
      <c r="C1655" s="17">
        <f>Github!F$1654</f>
        <v>620</v>
      </c>
      <c r="D1655" s="17">
        <f>Github!G$1654</f>
        <v>16</v>
      </c>
      <c r="E1655" s="17">
        <f>Github!F$1654+Github!G$1654</f>
        <v>636</v>
      </c>
      <c r="F1655" s="18">
        <f t="shared" si="1"/>
        <v>38.75</v>
      </c>
      <c r="G1655" s="17" t="str">
        <f>Github!H$1654</f>
        <v>Algorithms</v>
      </c>
      <c r="H1655" s="17" t="str">
        <f>Github!E$1654</f>
        <v>Medium</v>
      </c>
      <c r="I1655" s="17" t="str">
        <f>IF(TRIM(Github!D$1654)="TRUE","FALSE","TRUE")</f>
        <v>TRUE</v>
      </c>
      <c r="J1655" s="17"/>
      <c r="K1655" s="17" t="str">
        <f>Github!L$1654</f>
        <v>String;Dynamic Programming;Stack;</v>
      </c>
      <c r="L1655" s="17" t="b">
        <f>Github!M$1654</f>
        <v>0</v>
      </c>
      <c r="M1655" s="17" t="str">
        <f>ROUND(Github!N$1654, 2)&amp;"%"</f>
        <v>0%</v>
      </c>
      <c r="N1655" s="17">
        <f>Github!O$1654</f>
        <v>55.3592735</v>
      </c>
      <c r="O1655" s="17">
        <f>Github!P$1654</f>
        <v>16703</v>
      </c>
    </row>
    <row r="1656">
      <c r="A1656" s="17">
        <f>Github!J$1655</f>
        <v>1654</v>
      </c>
      <c r="B1656" s="27" t="str">
        <f>HYPERLINK(CONCAT("http://leetcode.com/problems/",Github!C$1655), Github!B$1655)</f>
        <v>Minimum Jumps to Reach Home</v>
      </c>
      <c r="C1656" s="17">
        <f>Github!F$1655</f>
        <v>683</v>
      </c>
      <c r="D1656" s="17">
        <f>Github!G$1655</f>
        <v>146</v>
      </c>
      <c r="E1656" s="17">
        <f>Github!F$1655+Github!G$1655</f>
        <v>829</v>
      </c>
      <c r="F1656" s="18">
        <f t="shared" si="1"/>
        <v>4.68</v>
      </c>
      <c r="G1656" s="17" t="str">
        <f>Github!H$1655</f>
        <v>Algorithms</v>
      </c>
      <c r="H1656" s="17" t="str">
        <f>Github!E$1655</f>
        <v>Medium</v>
      </c>
      <c r="I1656" s="17" t="str">
        <f>IF(TRIM(Github!D$1655)="TRUE","FALSE","TRUE")</f>
        <v>TRUE</v>
      </c>
      <c r="J1656" s="17"/>
      <c r="K1656" s="17" t="str">
        <f>Github!L$1655</f>
        <v>Array;Dynamic Programming;Breadth-First Search;</v>
      </c>
      <c r="L1656" s="17" t="b">
        <f>Github!M$1655</f>
        <v>0</v>
      </c>
      <c r="M1656" s="17" t="str">
        <f>ROUND(Github!N$1655, 2)&amp;"%"</f>
        <v>0%</v>
      </c>
      <c r="N1656" s="17">
        <f>Github!O$1655</f>
        <v>26.313606</v>
      </c>
      <c r="O1656" s="17">
        <f>Github!P$1655</f>
        <v>18394</v>
      </c>
    </row>
    <row r="1657">
      <c r="A1657" s="17">
        <f>Github!J$1656</f>
        <v>1655</v>
      </c>
      <c r="B1657" s="27" t="str">
        <f>HYPERLINK(CONCAT("http://leetcode.com/problems/",Github!C$1656), Github!B$1656)</f>
        <v>Distribute Repeating Integers</v>
      </c>
      <c r="C1657" s="17">
        <f>Github!F$1656</f>
        <v>199</v>
      </c>
      <c r="D1657" s="17">
        <f>Github!G$1656</f>
        <v>14</v>
      </c>
      <c r="E1657" s="17">
        <f>Github!F$1656+Github!G$1656</f>
        <v>213</v>
      </c>
      <c r="F1657" s="18">
        <f t="shared" si="1"/>
        <v>14.21</v>
      </c>
      <c r="G1657" s="17" t="str">
        <f>Github!H$1656</f>
        <v>Algorithms</v>
      </c>
      <c r="H1657" s="17" t="str">
        <f>Github!E$1656</f>
        <v>Hard</v>
      </c>
      <c r="I1657" s="17" t="str">
        <f>IF(TRIM(Github!D$1656)="TRUE","FALSE","TRUE")</f>
        <v>TRUE</v>
      </c>
      <c r="J1657" s="17"/>
      <c r="K1657" s="17" t="str">
        <f>Github!L$1656</f>
        <v>Array;Dynamic Programming;Backtracking;Bit Manipulation;Bitmask;</v>
      </c>
      <c r="L1657" s="17" t="b">
        <f>Github!M$1656</f>
        <v>0</v>
      </c>
      <c r="M1657" s="17" t="str">
        <f>ROUND(Github!N$1656, 2)&amp;"%"</f>
        <v>0%</v>
      </c>
      <c r="N1657" s="17">
        <f>Github!O$1656</f>
        <v>40.25870329</v>
      </c>
      <c r="O1657" s="17">
        <f>Github!P$1656</f>
        <v>7563</v>
      </c>
    </row>
    <row r="1658">
      <c r="A1658" s="17">
        <f>Github!J$1657</f>
        <v>1656</v>
      </c>
      <c r="B1658" s="27" t="str">
        <f>HYPERLINK(CONCAT("http://leetcode.com/problems/",Github!C$1657), Github!B$1657)</f>
        <v>Design an Ordered Stream</v>
      </c>
      <c r="C1658" s="17">
        <f>Github!F$1657</f>
        <v>188</v>
      </c>
      <c r="D1658" s="17">
        <f>Github!G$1657</f>
        <v>1610</v>
      </c>
      <c r="E1658" s="17">
        <f>Github!F$1657+Github!G$1657</f>
        <v>1798</v>
      </c>
      <c r="F1658" s="18">
        <f t="shared" si="1"/>
        <v>0.12</v>
      </c>
      <c r="G1658" s="17" t="str">
        <f>Github!H$1657</f>
        <v>Algorithms</v>
      </c>
      <c r="H1658" s="17" t="str">
        <f>Github!E$1657</f>
        <v>Easy</v>
      </c>
      <c r="I1658" s="17" t="str">
        <f>IF(TRIM(Github!D$1657)="TRUE","FALSE","TRUE")</f>
        <v>TRUE</v>
      </c>
      <c r="J1658" s="17"/>
      <c r="K1658" s="17" t="str">
        <f>Github!L$1657</f>
        <v>Array;Hash Table;Design;Data Stream;</v>
      </c>
      <c r="L1658" s="17" t="b">
        <f>Github!M$1657</f>
        <v>0</v>
      </c>
      <c r="M1658" s="17" t="str">
        <f>ROUND(Github!N$1657, 2)&amp;"%"</f>
        <v>0%</v>
      </c>
      <c r="N1658" s="17">
        <f>Github!O$1657</f>
        <v>83.45309431</v>
      </c>
      <c r="O1658" s="17">
        <f>Github!P$1657</f>
        <v>33564</v>
      </c>
    </row>
    <row r="1659">
      <c r="A1659" s="17">
        <f>Github!J$1658</f>
        <v>1657</v>
      </c>
      <c r="B1659" s="27" t="str">
        <f>HYPERLINK(CONCAT("http://leetcode.com/problems/",Github!C$1658), Github!B$1658)</f>
        <v>Determine if Two Strings Are Close</v>
      </c>
      <c r="C1659" s="17">
        <f>Github!F$1658</f>
        <v>639</v>
      </c>
      <c r="D1659" s="17">
        <f>Github!G$1658</f>
        <v>36</v>
      </c>
      <c r="E1659" s="17">
        <f>Github!F$1658+Github!G$1658</f>
        <v>675</v>
      </c>
      <c r="F1659" s="18">
        <f t="shared" si="1"/>
        <v>17.75</v>
      </c>
      <c r="G1659" s="17" t="str">
        <f>Github!H$1658</f>
        <v>Algorithms</v>
      </c>
      <c r="H1659" s="17" t="str">
        <f>Github!E$1658</f>
        <v>Medium</v>
      </c>
      <c r="I1659" s="17" t="str">
        <f>IF(TRIM(Github!D$1658)="TRUE","FALSE","TRUE")</f>
        <v>TRUE</v>
      </c>
      <c r="J1659" s="17"/>
      <c r="K1659" s="17" t="str">
        <f>Github!L$1658</f>
        <v>Hash Table;String;Sorting;</v>
      </c>
      <c r="L1659" s="17" t="b">
        <f>Github!M$1658</f>
        <v>1</v>
      </c>
      <c r="M1659" s="17" t="str">
        <f>ROUND(Github!N$1658, 2)&amp;"%"</f>
        <v>0%</v>
      </c>
      <c r="N1659" s="17">
        <f>Github!O$1658</f>
        <v>54.55445125</v>
      </c>
      <c r="O1659" s="17">
        <f>Github!P$1658</f>
        <v>38587</v>
      </c>
    </row>
    <row r="1660">
      <c r="A1660" s="17">
        <f>Github!J$1659</f>
        <v>1658</v>
      </c>
      <c r="B1660" s="27" t="str">
        <f>HYPERLINK(CONCAT("http://leetcode.com/problems/",Github!C$1659), Github!B$1659)</f>
        <v>Minimum Operations to Reduce X to Zero</v>
      </c>
      <c r="C1660" s="17">
        <f>Github!F$1659</f>
        <v>1501</v>
      </c>
      <c r="D1660" s="17">
        <f>Github!G$1659</f>
        <v>28</v>
      </c>
      <c r="E1660" s="17">
        <f>Github!F$1659+Github!G$1659</f>
        <v>1529</v>
      </c>
      <c r="F1660" s="18">
        <f t="shared" si="1"/>
        <v>53.61</v>
      </c>
      <c r="G1660" s="17" t="str">
        <f>Github!H$1659</f>
        <v>Algorithms</v>
      </c>
      <c r="H1660" s="17" t="str">
        <f>Github!E$1659</f>
        <v>Medium</v>
      </c>
      <c r="I1660" s="17" t="str">
        <f>IF(TRIM(Github!D$1659)="TRUE","FALSE","TRUE")</f>
        <v>TRUE</v>
      </c>
      <c r="J1660" s="17"/>
      <c r="K1660" s="17" t="str">
        <f>Github!L$1659</f>
        <v>Array;Hash Table;Binary Search;Sliding Window;Prefix Sum;</v>
      </c>
      <c r="L1660" s="17" t="b">
        <f>Github!M$1659</f>
        <v>1</v>
      </c>
      <c r="M1660" s="17" t="str">
        <f>ROUND(Github!N$1659, 2)&amp;"%"</f>
        <v>0%</v>
      </c>
      <c r="N1660" s="17">
        <f>Github!O$1659</f>
        <v>33.4910727</v>
      </c>
      <c r="O1660" s="17">
        <f>Github!P$1659</f>
        <v>44584</v>
      </c>
    </row>
    <row r="1661">
      <c r="A1661" s="17">
        <f>Github!J$1660</f>
        <v>1659</v>
      </c>
      <c r="B1661" s="27" t="str">
        <f>HYPERLINK(CONCAT("http://leetcode.com/problems/",Github!C$1660), Github!B$1660)</f>
        <v>Maximize Grid Happiness</v>
      </c>
      <c r="C1661" s="17">
        <f>Github!F$1660</f>
        <v>212</v>
      </c>
      <c r="D1661" s="17">
        <f>Github!G$1660</f>
        <v>46</v>
      </c>
      <c r="E1661" s="17">
        <f>Github!F$1660+Github!G$1660</f>
        <v>258</v>
      </c>
      <c r="F1661" s="18">
        <f t="shared" si="1"/>
        <v>4.61</v>
      </c>
      <c r="G1661" s="17" t="str">
        <f>Github!H$1660</f>
        <v>Algorithms</v>
      </c>
      <c r="H1661" s="17" t="str">
        <f>Github!E$1660</f>
        <v>Hard</v>
      </c>
      <c r="I1661" s="17" t="str">
        <f>IF(TRIM(Github!D$1660)="TRUE","FALSE","TRUE")</f>
        <v>TRUE</v>
      </c>
      <c r="J1661" s="17"/>
      <c r="K1661" s="17" t="str">
        <f>Github!L$1660</f>
        <v>Dynamic Programming;Bit Manipulation;Memoization;Bitmask;</v>
      </c>
      <c r="L1661" s="17" t="b">
        <f>Github!M$1660</f>
        <v>0</v>
      </c>
      <c r="M1661" s="17" t="str">
        <f>ROUND(Github!N$1660, 2)&amp;"%"</f>
        <v>0%</v>
      </c>
      <c r="N1661" s="17">
        <f>Github!O$1660</f>
        <v>37.43925629</v>
      </c>
      <c r="O1661" s="17">
        <f>Github!P$1660</f>
        <v>3544</v>
      </c>
    </row>
    <row r="1662">
      <c r="A1662" s="17">
        <f>Github!J$1661</f>
        <v>1660</v>
      </c>
      <c r="B1662" s="27" t="str">
        <f>HYPERLINK(CONCAT("http://leetcode.com/problems/",Github!C$1661), Github!B$1661)</f>
        <v>Correct a Binary Tree</v>
      </c>
      <c r="C1662" s="17">
        <f>Github!F$1661</f>
        <v>158</v>
      </c>
      <c r="D1662" s="17">
        <f>Github!G$1661</f>
        <v>22</v>
      </c>
      <c r="E1662" s="17">
        <f>Github!F$1661+Github!G$1661</f>
        <v>180</v>
      </c>
      <c r="F1662" s="18">
        <f t="shared" si="1"/>
        <v>7.18</v>
      </c>
      <c r="G1662" s="17" t="str">
        <f>Github!H$1661</f>
        <v>Algorithms</v>
      </c>
      <c r="H1662" s="17" t="str">
        <f>Github!E$1661</f>
        <v>Medium</v>
      </c>
      <c r="I1662" s="17" t="str">
        <f>IF(TRIM(Github!D$1661)="TRUE","FALSE","TRUE")</f>
        <v>FALSE</v>
      </c>
      <c r="J1662" s="17"/>
      <c r="K1662" s="17" t="str">
        <f>Github!L$1661</f>
        <v>Hash Table;Tree;Depth-First Search;Breadth-First Search;Binary Tree;</v>
      </c>
      <c r="L1662" s="17" t="b">
        <f>Github!M$1661</f>
        <v>0</v>
      </c>
      <c r="M1662" s="17" t="str">
        <f>ROUND(Github!N$1661, 2)&amp;"%"</f>
        <v>0%</v>
      </c>
      <c r="N1662" s="17">
        <f>Github!O$1661</f>
        <v>72.62140189</v>
      </c>
      <c r="O1662" s="17">
        <f>Github!P$1661</f>
        <v>9915</v>
      </c>
    </row>
    <row r="1663">
      <c r="A1663" s="17">
        <f>Github!J$1662</f>
        <v>1661</v>
      </c>
      <c r="B1663" s="27" t="str">
        <f>HYPERLINK(CONCAT("http://leetcode.com/problems/",Github!C$1662), Github!B$1662)</f>
        <v>Average Time of Process per Machine</v>
      </c>
      <c r="C1663" s="17">
        <f>Github!F$1662</f>
        <v>84</v>
      </c>
      <c r="D1663" s="17">
        <f>Github!G$1662</f>
        <v>19</v>
      </c>
      <c r="E1663" s="17">
        <f>Github!F$1662+Github!G$1662</f>
        <v>103</v>
      </c>
      <c r="F1663" s="18">
        <f t="shared" si="1"/>
        <v>4.42</v>
      </c>
      <c r="G1663" s="17" t="str">
        <f>Github!H$1662</f>
        <v>Database</v>
      </c>
      <c r="H1663" s="17" t="str">
        <f>Github!E$1662</f>
        <v>Easy</v>
      </c>
      <c r="I1663" s="17" t="str">
        <f>IF(TRIM(Github!D$1662)="TRUE","FALSE","TRUE")</f>
        <v>FALSE</v>
      </c>
      <c r="J1663" s="17"/>
      <c r="K1663" s="17" t="str">
        <f>Github!L$1662</f>
        <v>Database;</v>
      </c>
      <c r="L1663" s="17" t="b">
        <f>Github!M$1662</f>
        <v>0</v>
      </c>
      <c r="M1663" s="17" t="str">
        <f>ROUND(Github!N$1662, 2)&amp;"%"</f>
        <v>0%</v>
      </c>
      <c r="N1663" s="17">
        <f>Github!O$1662</f>
        <v>79.75009591</v>
      </c>
      <c r="O1663" s="17">
        <f>Github!P$1662</f>
        <v>14552</v>
      </c>
    </row>
    <row r="1664">
      <c r="A1664" s="17">
        <f>Github!J$1663</f>
        <v>1662</v>
      </c>
      <c r="B1664" s="27" t="str">
        <f>HYPERLINK(CONCAT("http://leetcode.com/problems/",Github!C$1663), Github!B$1663)</f>
        <v>Check If Two String Arrays are Equivalent</v>
      </c>
      <c r="C1664" s="17">
        <f>Github!F$1663</f>
        <v>720</v>
      </c>
      <c r="D1664" s="17">
        <f>Github!G$1663</f>
        <v>107</v>
      </c>
      <c r="E1664" s="17">
        <f>Github!F$1663+Github!G$1663</f>
        <v>827</v>
      </c>
      <c r="F1664" s="18">
        <f t="shared" si="1"/>
        <v>6.73</v>
      </c>
      <c r="G1664" s="17" t="str">
        <f>Github!H$1663</f>
        <v>Algorithms</v>
      </c>
      <c r="H1664" s="17" t="str">
        <f>Github!E$1663</f>
        <v>Easy</v>
      </c>
      <c r="I1664" s="17" t="str">
        <f>IF(TRIM(Github!D$1663)="TRUE","FALSE","TRUE")</f>
        <v>TRUE</v>
      </c>
      <c r="J1664" s="17"/>
      <c r="K1664" s="17" t="str">
        <f>Github!L$1663</f>
        <v>Array;String;</v>
      </c>
      <c r="L1664" s="17" t="b">
        <f>Github!M$1663</f>
        <v>0</v>
      </c>
      <c r="M1664" s="17" t="str">
        <f>ROUND(Github!N$1663, 2)&amp;"%"</f>
        <v>0%</v>
      </c>
      <c r="N1664" s="17">
        <f>Github!O$1663</f>
        <v>81.96540707</v>
      </c>
      <c r="O1664" s="17">
        <f>Github!P$1663</f>
        <v>133918</v>
      </c>
    </row>
    <row r="1665">
      <c r="A1665" s="17">
        <f>Github!J$1664</f>
        <v>1663</v>
      </c>
      <c r="B1665" s="27" t="str">
        <f>HYPERLINK(CONCAT("http://leetcode.com/problems/",Github!C$1664), Github!B$1664)</f>
        <v>Smallest String With A Given Numeric Value</v>
      </c>
      <c r="C1665" s="17">
        <f>Github!F$1664</f>
        <v>561</v>
      </c>
      <c r="D1665" s="17">
        <f>Github!G$1664</f>
        <v>19</v>
      </c>
      <c r="E1665" s="17">
        <f>Github!F$1664+Github!G$1664</f>
        <v>580</v>
      </c>
      <c r="F1665" s="18">
        <f t="shared" si="1"/>
        <v>29.53</v>
      </c>
      <c r="G1665" s="17" t="str">
        <f>Github!H$1664</f>
        <v>Algorithms</v>
      </c>
      <c r="H1665" s="17" t="str">
        <f>Github!E$1664</f>
        <v>Medium</v>
      </c>
      <c r="I1665" s="17" t="str">
        <f>IF(TRIM(Github!D$1664)="TRUE","FALSE","TRUE")</f>
        <v>TRUE</v>
      </c>
      <c r="J1665" s="17"/>
      <c r="K1665" s="17" t="str">
        <f>Github!L$1664</f>
        <v>String;Greedy;</v>
      </c>
      <c r="L1665" s="17" t="b">
        <f>Github!M$1664</f>
        <v>1</v>
      </c>
      <c r="M1665" s="17" t="str">
        <f>ROUND(Github!N$1664, 2)&amp;"%"</f>
        <v>0%</v>
      </c>
      <c r="N1665" s="17">
        <f>Github!O$1664</f>
        <v>64.07072268</v>
      </c>
      <c r="O1665" s="17">
        <f>Github!P$1664</f>
        <v>36890</v>
      </c>
    </row>
    <row r="1666">
      <c r="A1666" s="17">
        <f>Github!J$1665</f>
        <v>1664</v>
      </c>
      <c r="B1666" s="27" t="str">
        <f>HYPERLINK(CONCAT("http://leetcode.com/problems/",Github!C$1665), Github!B$1665)</f>
        <v>Ways to Make a Fair Array</v>
      </c>
      <c r="C1666" s="17">
        <f>Github!F$1665</f>
        <v>769</v>
      </c>
      <c r="D1666" s="17">
        <f>Github!G$1665</f>
        <v>19</v>
      </c>
      <c r="E1666" s="17">
        <f>Github!F$1665+Github!G$1665</f>
        <v>788</v>
      </c>
      <c r="F1666" s="18">
        <f t="shared" si="1"/>
        <v>40.47</v>
      </c>
      <c r="G1666" s="17" t="str">
        <f>Github!H$1665</f>
        <v>Algorithms</v>
      </c>
      <c r="H1666" s="17" t="str">
        <f>Github!E$1665</f>
        <v>Medium</v>
      </c>
      <c r="I1666" s="17" t="str">
        <f>IF(TRIM(Github!D$1665)="TRUE","FALSE","TRUE")</f>
        <v>TRUE</v>
      </c>
      <c r="J1666" s="17"/>
      <c r="K1666" s="17" t="str">
        <f>Github!L$1665</f>
        <v>Array;Dynamic Programming;</v>
      </c>
      <c r="L1666" s="17" t="b">
        <f>Github!M$1665</f>
        <v>0</v>
      </c>
      <c r="M1666" s="17" t="str">
        <f>ROUND(Github!N$1665, 2)&amp;"%"</f>
        <v>0%</v>
      </c>
      <c r="N1666" s="17">
        <f>Github!O$1665</f>
        <v>63.08058198</v>
      </c>
      <c r="O1666" s="17">
        <f>Github!P$1665</f>
        <v>22545</v>
      </c>
    </row>
    <row r="1667">
      <c r="A1667" s="17">
        <f>Github!J$1666</f>
        <v>1665</v>
      </c>
      <c r="B1667" s="27" t="str">
        <f>HYPERLINK(CONCAT("http://leetcode.com/problems/",Github!C$1666), Github!B$1666)</f>
        <v>Minimum Initial Energy to Finish Tasks</v>
      </c>
      <c r="C1667" s="17">
        <f>Github!F$1666</f>
        <v>340</v>
      </c>
      <c r="D1667" s="17">
        <f>Github!G$1666</f>
        <v>27</v>
      </c>
      <c r="E1667" s="17">
        <f>Github!F$1666+Github!G$1666</f>
        <v>367</v>
      </c>
      <c r="F1667" s="18">
        <f t="shared" si="1"/>
        <v>12.59</v>
      </c>
      <c r="G1667" s="17" t="str">
        <f>Github!H$1666</f>
        <v>Algorithms</v>
      </c>
      <c r="H1667" s="17" t="str">
        <f>Github!E$1666</f>
        <v>Hard</v>
      </c>
      <c r="I1667" s="17" t="str">
        <f>IF(TRIM(Github!D$1666)="TRUE","FALSE","TRUE")</f>
        <v>TRUE</v>
      </c>
      <c r="J1667" s="17"/>
      <c r="K1667" s="17" t="str">
        <f>Github!L$1666</f>
        <v>Array;Greedy;Sorting;</v>
      </c>
      <c r="L1667" s="17" t="b">
        <f>Github!M$1666</f>
        <v>0</v>
      </c>
      <c r="M1667" s="17" t="str">
        <f>ROUND(Github!N$1666, 2)&amp;"%"</f>
        <v>0%</v>
      </c>
      <c r="N1667" s="17">
        <f>Github!O$1666</f>
        <v>55.73331987</v>
      </c>
      <c r="O1667" s="17">
        <f>Github!P$1666</f>
        <v>11043</v>
      </c>
    </row>
    <row r="1668">
      <c r="A1668" s="17">
        <f>Github!J$1667</f>
        <v>1666</v>
      </c>
      <c r="B1668" s="27" t="str">
        <f>HYPERLINK(CONCAT("http://leetcode.com/problems/",Github!C$1667), Github!B$1667)</f>
        <v>Change the Root of a Binary Tree</v>
      </c>
      <c r="C1668" s="17">
        <f>Github!F$1667</f>
        <v>43</v>
      </c>
      <c r="D1668" s="17">
        <f>Github!G$1667</f>
        <v>106</v>
      </c>
      <c r="E1668" s="17">
        <f>Github!F$1667+Github!G$1667</f>
        <v>149</v>
      </c>
      <c r="F1668" s="18">
        <f t="shared" si="1"/>
        <v>0.41</v>
      </c>
      <c r="G1668" s="17" t="str">
        <f>Github!H$1667</f>
        <v>Algorithms</v>
      </c>
      <c r="H1668" s="17" t="str">
        <f>Github!E$1667</f>
        <v>Medium</v>
      </c>
      <c r="I1668" s="17" t="str">
        <f>IF(TRIM(Github!D$1667)="TRUE","FALSE","TRUE")</f>
        <v>FALSE</v>
      </c>
      <c r="J1668" s="17"/>
      <c r="K1668" s="17" t="str">
        <f>Github!L$1667</f>
        <v>Tree;Depth-First Search;Binary Tree;</v>
      </c>
      <c r="L1668" s="17" t="b">
        <f>Github!M$1667</f>
        <v>0</v>
      </c>
      <c r="M1668" s="17" t="str">
        <f>ROUND(Github!N$1667, 2)&amp;"%"</f>
        <v>0%</v>
      </c>
      <c r="N1668" s="17">
        <f>Github!O$1667</f>
        <v>67.66848816</v>
      </c>
      <c r="O1668" s="17">
        <f>Github!P$1667</f>
        <v>2228</v>
      </c>
    </row>
    <row r="1669">
      <c r="A1669" s="17">
        <f>Github!J$1668</f>
        <v>1667</v>
      </c>
      <c r="B1669" s="27" t="str">
        <f>HYPERLINK(CONCAT("http://leetcode.com/problems/",Github!C$1668), Github!B$1668)</f>
        <v>Fix Names in a Table</v>
      </c>
      <c r="C1669" s="17">
        <f>Github!F$1668</f>
        <v>38</v>
      </c>
      <c r="D1669" s="17">
        <f>Github!G$1668</f>
        <v>33</v>
      </c>
      <c r="E1669" s="17">
        <f>Github!F$1668+Github!G$1668</f>
        <v>71</v>
      </c>
      <c r="F1669" s="18">
        <f t="shared" si="1"/>
        <v>1.15</v>
      </c>
      <c r="G1669" s="17" t="str">
        <f>Github!H$1668</f>
        <v>Database</v>
      </c>
      <c r="H1669" s="17" t="str">
        <f>Github!E$1668</f>
        <v>Easy</v>
      </c>
      <c r="I1669" s="17" t="str">
        <f>IF(TRIM(Github!D$1668)="TRUE","FALSE","TRUE")</f>
        <v>FALSE</v>
      </c>
      <c r="J1669" s="17"/>
      <c r="K1669" s="17" t="str">
        <f>Github!L$1668</f>
        <v>Database;</v>
      </c>
      <c r="L1669" s="17" t="b">
        <f>Github!M$1668</f>
        <v>0</v>
      </c>
      <c r="M1669" s="17" t="str">
        <f>ROUND(Github!N$1668, 2)&amp;"%"</f>
        <v>0%</v>
      </c>
      <c r="N1669" s="17">
        <f>Github!O$1668</f>
        <v>62.57104541</v>
      </c>
      <c r="O1669" s="17">
        <f>Github!P$1668</f>
        <v>9798</v>
      </c>
    </row>
    <row r="1670">
      <c r="A1670" s="17">
        <f>Github!J$1669</f>
        <v>1668</v>
      </c>
      <c r="B1670" s="27" t="str">
        <f>HYPERLINK(CONCAT("http://leetcode.com/problems/",Github!C$1669), Github!B$1669)</f>
        <v>Maximum Repeating Substring</v>
      </c>
      <c r="C1670" s="17">
        <f>Github!F$1669</f>
        <v>357</v>
      </c>
      <c r="D1670" s="17">
        <f>Github!G$1669</f>
        <v>117</v>
      </c>
      <c r="E1670" s="17">
        <f>Github!F$1669+Github!G$1669</f>
        <v>474</v>
      </c>
      <c r="F1670" s="18">
        <f t="shared" si="1"/>
        <v>3.05</v>
      </c>
      <c r="G1670" s="17" t="str">
        <f>Github!H$1669</f>
        <v>Algorithms</v>
      </c>
      <c r="H1670" s="17" t="str">
        <f>Github!E$1669</f>
        <v>Easy</v>
      </c>
      <c r="I1670" s="17" t="str">
        <f>IF(TRIM(Github!D$1669)="TRUE","FALSE","TRUE")</f>
        <v>TRUE</v>
      </c>
      <c r="J1670" s="17"/>
      <c r="K1670" s="17" t="str">
        <f>Github!L$1669</f>
        <v>String;String Matching;</v>
      </c>
      <c r="L1670" s="17" t="b">
        <f>Github!M$1669</f>
        <v>0</v>
      </c>
      <c r="M1670" s="17" t="str">
        <f>ROUND(Github!N$1669, 2)&amp;"%"</f>
        <v>0%</v>
      </c>
      <c r="N1670" s="17">
        <f>Github!O$1669</f>
        <v>39.49757341</v>
      </c>
      <c r="O1670" s="17">
        <f>Github!P$1669</f>
        <v>22625</v>
      </c>
    </row>
    <row r="1671">
      <c r="A1671" s="17">
        <f>Github!J$1670</f>
        <v>1669</v>
      </c>
      <c r="B1671" s="27" t="str">
        <f>HYPERLINK(CONCAT("http://leetcode.com/problems/",Github!C$1670), Github!B$1670)</f>
        <v>Merge In Between Linked Lists</v>
      </c>
      <c r="C1671" s="17">
        <f>Github!F$1670</f>
        <v>807</v>
      </c>
      <c r="D1671" s="17">
        <f>Github!G$1670</f>
        <v>117</v>
      </c>
      <c r="E1671" s="17">
        <f>Github!F$1670+Github!G$1670</f>
        <v>924</v>
      </c>
      <c r="F1671" s="18">
        <f t="shared" si="1"/>
        <v>6.9</v>
      </c>
      <c r="G1671" s="17" t="str">
        <f>Github!H$1670</f>
        <v>Algorithms</v>
      </c>
      <c r="H1671" s="17" t="str">
        <f>Github!E$1670</f>
        <v>Medium</v>
      </c>
      <c r="I1671" s="17" t="str">
        <f>IF(TRIM(Github!D$1670)="TRUE","FALSE","TRUE")</f>
        <v>TRUE</v>
      </c>
      <c r="J1671" s="17"/>
      <c r="K1671" s="17" t="str">
        <f>Github!L$1670</f>
        <v>Linked List;</v>
      </c>
      <c r="L1671" s="17" t="b">
        <f>Github!M$1670</f>
        <v>0</v>
      </c>
      <c r="M1671" s="17" t="str">
        <f>ROUND(Github!N$1670, 2)&amp;"%"</f>
        <v>0%</v>
      </c>
      <c r="N1671" s="17">
        <f>Github!O$1670</f>
        <v>74.62773065</v>
      </c>
      <c r="O1671" s="17">
        <f>Github!P$1670</f>
        <v>46357</v>
      </c>
    </row>
    <row r="1672">
      <c r="A1672" s="17">
        <f>Github!J$1671</f>
        <v>1670</v>
      </c>
      <c r="B1672" s="27" t="str">
        <f>HYPERLINK(CONCAT("http://leetcode.com/problems/",Github!C$1671), Github!B$1671)</f>
        <v>Design Front Middle Back Queue</v>
      </c>
      <c r="C1672" s="17">
        <f>Github!F$1671</f>
        <v>404</v>
      </c>
      <c r="D1672" s="17">
        <f>Github!G$1671</f>
        <v>70</v>
      </c>
      <c r="E1672" s="17">
        <f>Github!F$1671+Github!G$1671</f>
        <v>474</v>
      </c>
      <c r="F1672" s="18">
        <f t="shared" si="1"/>
        <v>5.77</v>
      </c>
      <c r="G1672" s="17" t="str">
        <f>Github!H$1671</f>
        <v>Algorithms</v>
      </c>
      <c r="H1672" s="17" t="str">
        <f>Github!E$1671</f>
        <v>Medium</v>
      </c>
      <c r="I1672" s="17" t="str">
        <f>IF(TRIM(Github!D$1671)="TRUE","FALSE","TRUE")</f>
        <v>TRUE</v>
      </c>
      <c r="J1672" s="17"/>
      <c r="K1672" s="17" t="str">
        <f>Github!L$1671</f>
        <v>Array;Linked List;Design;Queue;Data Stream;</v>
      </c>
      <c r="L1672" s="17" t="b">
        <f>Github!M$1671</f>
        <v>0</v>
      </c>
      <c r="M1672" s="17" t="str">
        <f>ROUND(Github!N$1671, 2)&amp;"%"</f>
        <v>0%</v>
      </c>
      <c r="N1672" s="17">
        <f>Github!O$1671</f>
        <v>55.36993801</v>
      </c>
      <c r="O1672" s="17">
        <f>Github!P$1671</f>
        <v>13755</v>
      </c>
    </row>
    <row r="1673">
      <c r="A1673" s="17">
        <f>Github!J$1672</f>
        <v>1671</v>
      </c>
      <c r="B1673" s="27" t="str">
        <f>HYPERLINK(CONCAT("http://leetcode.com/problems/",Github!C$1672), Github!B$1672)</f>
        <v>Minimum Number of Removals to Make Mountain Array</v>
      </c>
      <c r="C1673" s="17">
        <f>Github!F$1672</f>
        <v>679</v>
      </c>
      <c r="D1673" s="17">
        <f>Github!G$1672</f>
        <v>10</v>
      </c>
      <c r="E1673" s="17">
        <f>Github!F$1672+Github!G$1672</f>
        <v>689</v>
      </c>
      <c r="F1673" s="18">
        <f t="shared" si="1"/>
        <v>67.9</v>
      </c>
      <c r="G1673" s="17" t="str">
        <f>Github!H$1672</f>
        <v>Algorithms</v>
      </c>
      <c r="H1673" s="17" t="str">
        <f>Github!E$1672</f>
        <v>Hard</v>
      </c>
      <c r="I1673" s="17" t="str">
        <f>IF(TRIM(Github!D$1672)="TRUE","FALSE","TRUE")</f>
        <v>TRUE</v>
      </c>
      <c r="J1673" s="17"/>
      <c r="K1673" s="17" t="str">
        <f>Github!L$1672</f>
        <v>Array;Binary Search;Dynamic Programming;Greedy;</v>
      </c>
      <c r="L1673" s="17" t="b">
        <f>Github!M$1672</f>
        <v>0</v>
      </c>
      <c r="M1673" s="17" t="str">
        <f>ROUND(Github!N$1672, 2)&amp;"%"</f>
        <v>0%</v>
      </c>
      <c r="N1673" s="17">
        <f>Github!O$1672</f>
        <v>43.22496182</v>
      </c>
      <c r="O1673" s="17">
        <f>Github!P$1672</f>
        <v>11886</v>
      </c>
    </row>
    <row r="1674">
      <c r="A1674" s="17">
        <f>Github!J$1673</f>
        <v>1672</v>
      </c>
      <c r="B1674" s="27" t="str">
        <f>HYPERLINK(CONCAT("http://leetcode.com/problems/",Github!C$1673), Github!B$1673)</f>
        <v>Richest Customer Wealth</v>
      </c>
      <c r="C1674" s="17">
        <f>Github!F$1673</f>
        <v>1660</v>
      </c>
      <c r="D1674" s="17">
        <f>Github!G$1673</f>
        <v>249</v>
      </c>
      <c r="E1674" s="17">
        <f>Github!F$1673+Github!G$1673</f>
        <v>1909</v>
      </c>
      <c r="F1674" s="18">
        <f t="shared" si="1"/>
        <v>6.67</v>
      </c>
      <c r="G1674" s="17" t="str">
        <f>Github!H$1673</f>
        <v>Algorithms</v>
      </c>
      <c r="H1674" s="17" t="str">
        <f>Github!E$1673</f>
        <v>Easy</v>
      </c>
      <c r="I1674" s="17" t="str">
        <f>IF(TRIM(Github!D$1673)="TRUE","FALSE","TRUE")</f>
        <v>TRUE</v>
      </c>
      <c r="J1674" s="17"/>
      <c r="K1674" s="17" t="str">
        <f>Github!L$1673</f>
        <v>Array;Matrix;</v>
      </c>
      <c r="L1674" s="17" t="b">
        <f>Github!M$1673</f>
        <v>1</v>
      </c>
      <c r="M1674" s="17" t="str">
        <f>ROUND(Github!N$1673, 2)&amp;"%"</f>
        <v>0%</v>
      </c>
      <c r="N1674" s="17">
        <f>Github!O$1673</f>
        <v>89.35254504</v>
      </c>
      <c r="O1674" s="17">
        <f>Github!P$1673</f>
        <v>256598</v>
      </c>
    </row>
    <row r="1675">
      <c r="A1675" s="17">
        <f>Github!J$1674</f>
        <v>1673</v>
      </c>
      <c r="B1675" s="27" t="str">
        <f>HYPERLINK(CONCAT("http://leetcode.com/problems/",Github!C$1674), Github!B$1674)</f>
        <v>Find the Most Competitive Subsequence</v>
      </c>
      <c r="C1675" s="17">
        <f>Github!F$1674</f>
        <v>1198</v>
      </c>
      <c r="D1675" s="17">
        <f>Github!G$1674</f>
        <v>59</v>
      </c>
      <c r="E1675" s="17">
        <f>Github!F$1674+Github!G$1674</f>
        <v>1257</v>
      </c>
      <c r="F1675" s="18">
        <f t="shared" si="1"/>
        <v>20.31</v>
      </c>
      <c r="G1675" s="17" t="str">
        <f>Github!H$1674</f>
        <v>Algorithms</v>
      </c>
      <c r="H1675" s="17" t="str">
        <f>Github!E$1674</f>
        <v>Medium</v>
      </c>
      <c r="I1675" s="17" t="str">
        <f>IF(TRIM(Github!D$1674)="TRUE","FALSE","TRUE")</f>
        <v>TRUE</v>
      </c>
      <c r="J1675" s="17"/>
      <c r="K1675" s="17" t="str">
        <f>Github!L$1674</f>
        <v>Array;Stack;Greedy;Monotonic Stack;</v>
      </c>
      <c r="L1675" s="17" t="b">
        <f>Github!M$1674</f>
        <v>1</v>
      </c>
      <c r="M1675" s="17" t="str">
        <f>ROUND(Github!N$1674, 2)&amp;"%"</f>
        <v>0%</v>
      </c>
      <c r="N1675" s="17">
        <f>Github!O$1674</f>
        <v>48.10398564</v>
      </c>
      <c r="O1675" s="17">
        <f>Github!P$1674</f>
        <v>40746</v>
      </c>
    </row>
    <row r="1676">
      <c r="A1676" s="17">
        <f>Github!J$1675</f>
        <v>1674</v>
      </c>
      <c r="B1676" s="27" t="str">
        <f>HYPERLINK(CONCAT("http://leetcode.com/problems/",Github!C$1675), Github!B$1675)</f>
        <v>Minimum Moves to Make Array Complementary</v>
      </c>
      <c r="C1676" s="17">
        <f>Github!F$1675</f>
        <v>416</v>
      </c>
      <c r="D1676" s="17">
        <f>Github!G$1675</f>
        <v>52</v>
      </c>
      <c r="E1676" s="17">
        <f>Github!F$1675+Github!G$1675</f>
        <v>468</v>
      </c>
      <c r="F1676" s="18">
        <f t="shared" si="1"/>
        <v>8</v>
      </c>
      <c r="G1676" s="17" t="str">
        <f>Github!H$1675</f>
        <v>Algorithms</v>
      </c>
      <c r="H1676" s="17" t="str">
        <f>Github!E$1675</f>
        <v>Medium</v>
      </c>
      <c r="I1676" s="17" t="str">
        <f>IF(TRIM(Github!D$1675)="TRUE","FALSE","TRUE")</f>
        <v>TRUE</v>
      </c>
      <c r="J1676" s="17"/>
      <c r="K1676" s="17" t="str">
        <f>Github!L$1675</f>
        <v>Array;Hash Table;Prefix Sum;</v>
      </c>
      <c r="L1676" s="17" t="b">
        <f>Github!M$1675</f>
        <v>0</v>
      </c>
      <c r="M1676" s="17" t="str">
        <f>ROUND(Github!N$1675, 2)&amp;"%"</f>
        <v>0%</v>
      </c>
      <c r="N1676" s="17">
        <f>Github!O$1675</f>
        <v>37.34582152</v>
      </c>
      <c r="O1676" s="17">
        <f>Github!P$1675</f>
        <v>5662</v>
      </c>
    </row>
    <row r="1677">
      <c r="A1677" s="17">
        <f>Github!J$1676</f>
        <v>1675</v>
      </c>
      <c r="B1677" s="27" t="str">
        <f>HYPERLINK(CONCAT("http://leetcode.com/problems/",Github!C$1676), Github!B$1676)</f>
        <v>Minimize Deviation in Array</v>
      </c>
      <c r="C1677" s="17">
        <f>Github!F$1676</f>
        <v>1556</v>
      </c>
      <c r="D1677" s="17">
        <f>Github!G$1676</f>
        <v>79</v>
      </c>
      <c r="E1677" s="17">
        <f>Github!F$1676+Github!G$1676</f>
        <v>1635</v>
      </c>
      <c r="F1677" s="18">
        <f t="shared" si="1"/>
        <v>19.7</v>
      </c>
      <c r="G1677" s="17" t="str">
        <f>Github!H$1676</f>
        <v>Algorithms</v>
      </c>
      <c r="H1677" s="17" t="str">
        <f>Github!E$1676</f>
        <v>Hard</v>
      </c>
      <c r="I1677" s="17" t="str">
        <f>IF(TRIM(Github!D$1676)="TRUE","FALSE","TRUE")</f>
        <v>TRUE</v>
      </c>
      <c r="J1677" s="17"/>
      <c r="K1677" s="17" t="str">
        <f>Github!L$1676</f>
        <v>Array;Greedy;Heap (Priority Queue);Ordered Set;</v>
      </c>
      <c r="L1677" s="17" t="b">
        <f>Github!M$1676</f>
        <v>1</v>
      </c>
      <c r="M1677" s="17" t="str">
        <f>ROUND(Github!N$1676, 2)&amp;"%"</f>
        <v>0%</v>
      </c>
      <c r="N1677" s="17">
        <f>Github!O$1676</f>
        <v>52.57924641</v>
      </c>
      <c r="O1677" s="17">
        <f>Github!P$1676</f>
        <v>42198</v>
      </c>
    </row>
    <row r="1678">
      <c r="A1678" s="17">
        <f>Github!J$1677</f>
        <v>1676</v>
      </c>
      <c r="B1678" s="27" t="str">
        <f>HYPERLINK(CONCAT("http://leetcode.com/problems/",Github!C$1677), Github!B$1677)</f>
        <v>Lowest Common Ancestor of a Binary Tree IV</v>
      </c>
      <c r="C1678" s="17">
        <f>Github!F$1677</f>
        <v>269</v>
      </c>
      <c r="D1678" s="17">
        <f>Github!G$1677</f>
        <v>9</v>
      </c>
      <c r="E1678" s="17">
        <f>Github!F$1677+Github!G$1677</f>
        <v>278</v>
      </c>
      <c r="F1678" s="18">
        <f t="shared" si="1"/>
        <v>29.89</v>
      </c>
      <c r="G1678" s="17" t="str">
        <f>Github!H$1677</f>
        <v>Algorithms</v>
      </c>
      <c r="H1678" s="17" t="str">
        <f>Github!E$1677</f>
        <v>Medium</v>
      </c>
      <c r="I1678" s="17" t="str">
        <f>IF(TRIM(Github!D$1677)="TRUE","FALSE","TRUE")</f>
        <v>FALSE</v>
      </c>
      <c r="J1678" s="17"/>
      <c r="K1678" s="17" t="str">
        <f>Github!L$1677</f>
        <v>Tree;Depth-First Search;Binary Tree;</v>
      </c>
      <c r="L1678" s="17" t="b">
        <f>Github!M$1677</f>
        <v>0</v>
      </c>
      <c r="M1678" s="17" t="str">
        <f>ROUND(Github!N$1677, 2)&amp;"%"</f>
        <v>0%</v>
      </c>
      <c r="N1678" s="17">
        <f>Github!O$1677</f>
        <v>79.50469684</v>
      </c>
      <c r="O1678" s="17">
        <f>Github!P$1677</f>
        <v>18620</v>
      </c>
    </row>
    <row r="1679">
      <c r="A1679" s="17">
        <f>Github!J$1678</f>
        <v>1677</v>
      </c>
      <c r="B1679" s="27" t="str">
        <f>HYPERLINK(CONCAT("http://leetcode.com/problems/",Github!C$1678), Github!B$1678)</f>
        <v>Product's Worth Over Invoices</v>
      </c>
      <c r="C1679" s="17">
        <f>Github!F$1678</f>
        <v>17</v>
      </c>
      <c r="D1679" s="17">
        <f>Github!G$1678</f>
        <v>81</v>
      </c>
      <c r="E1679" s="17">
        <f>Github!F$1678+Github!G$1678</f>
        <v>98</v>
      </c>
      <c r="F1679" s="18">
        <f t="shared" si="1"/>
        <v>0.21</v>
      </c>
      <c r="G1679" s="17" t="str">
        <f>Github!H$1678</f>
        <v>Database</v>
      </c>
      <c r="H1679" s="17" t="str">
        <f>Github!E$1678</f>
        <v>Easy</v>
      </c>
      <c r="I1679" s="17" t="str">
        <f>IF(TRIM(Github!D$1678)="TRUE","FALSE","TRUE")</f>
        <v>FALSE</v>
      </c>
      <c r="J1679" s="17"/>
      <c r="K1679" s="17" t="str">
        <f>Github!L$1678</f>
        <v>Database;</v>
      </c>
      <c r="L1679" s="17" t="b">
        <f>Github!M$1678</f>
        <v>0</v>
      </c>
      <c r="M1679" s="17" t="str">
        <f>ROUND(Github!N$1678, 2)&amp;"%"</f>
        <v>0%</v>
      </c>
      <c r="N1679" s="17">
        <f>Github!O$1678</f>
        <v>41.24330396</v>
      </c>
      <c r="O1679" s="17">
        <f>Github!P$1678</f>
        <v>9547</v>
      </c>
    </row>
    <row r="1680">
      <c r="A1680" s="17">
        <f>Github!J$1679</f>
        <v>1678</v>
      </c>
      <c r="B1680" s="27" t="str">
        <f>HYPERLINK(CONCAT("http://leetcode.com/problems/",Github!C$1679), Github!B$1679)</f>
        <v>Goal Parser Interpretation</v>
      </c>
      <c r="C1680" s="17">
        <f>Github!F$1679</f>
        <v>627</v>
      </c>
      <c r="D1680" s="17">
        <f>Github!G$1679</f>
        <v>58</v>
      </c>
      <c r="E1680" s="17">
        <f>Github!F$1679+Github!G$1679</f>
        <v>685</v>
      </c>
      <c r="F1680" s="18">
        <f t="shared" si="1"/>
        <v>10.81</v>
      </c>
      <c r="G1680" s="17" t="str">
        <f>Github!H$1679</f>
        <v>Algorithms</v>
      </c>
      <c r="H1680" s="17" t="str">
        <f>Github!E$1679</f>
        <v>Easy</v>
      </c>
      <c r="I1680" s="17" t="str">
        <f>IF(TRIM(Github!D$1679)="TRUE","FALSE","TRUE")</f>
        <v>TRUE</v>
      </c>
      <c r="J1680" s="17"/>
      <c r="K1680" s="17" t="str">
        <f>Github!L$1679</f>
        <v>String;</v>
      </c>
      <c r="L1680" s="17" t="b">
        <f>Github!M$1679</f>
        <v>0</v>
      </c>
      <c r="M1680" s="17" t="str">
        <f>ROUND(Github!N$1679, 2)&amp;"%"</f>
        <v>0%</v>
      </c>
      <c r="N1680" s="17">
        <f>Github!O$1679</f>
        <v>85.54075412</v>
      </c>
      <c r="O1680" s="17">
        <f>Github!P$1679</f>
        <v>94710</v>
      </c>
    </row>
    <row r="1681">
      <c r="A1681" s="17">
        <f>Github!J$1680</f>
        <v>1679</v>
      </c>
      <c r="B1681" s="27" t="str">
        <f>HYPERLINK(CONCAT("http://leetcode.com/problems/",Github!C$1680), Github!B$1680)</f>
        <v>Max Number of K-Sum Pairs</v>
      </c>
      <c r="C1681" s="17">
        <f>Github!F$1680</f>
        <v>663</v>
      </c>
      <c r="D1681" s="17">
        <f>Github!G$1680</f>
        <v>24</v>
      </c>
      <c r="E1681" s="17">
        <f>Github!F$1680+Github!G$1680</f>
        <v>687</v>
      </c>
      <c r="F1681" s="18">
        <f t="shared" si="1"/>
        <v>27.63</v>
      </c>
      <c r="G1681" s="17" t="str">
        <f>Github!H$1680</f>
        <v>Algorithms</v>
      </c>
      <c r="H1681" s="17" t="str">
        <f>Github!E$1680</f>
        <v>Medium</v>
      </c>
      <c r="I1681" s="17" t="str">
        <f>IF(TRIM(Github!D$1680)="TRUE","FALSE","TRUE")</f>
        <v>TRUE</v>
      </c>
      <c r="J1681" s="17"/>
      <c r="K1681" s="17" t="str">
        <f>Github!L$1680</f>
        <v>Array;Hash Table;Two Pointers;Sorting;</v>
      </c>
      <c r="L1681" s="17" t="b">
        <f>Github!M$1680</f>
        <v>1</v>
      </c>
      <c r="M1681" s="17" t="str">
        <f>ROUND(Github!N$1680, 2)&amp;"%"</f>
        <v>0%</v>
      </c>
      <c r="N1681" s="17">
        <f>Github!O$1680</f>
        <v>53.55826634</v>
      </c>
      <c r="O1681" s="17">
        <f>Github!P$1680</f>
        <v>49700</v>
      </c>
    </row>
    <row r="1682">
      <c r="A1682" s="17">
        <f>Github!J$1681</f>
        <v>1680</v>
      </c>
      <c r="B1682" s="27" t="str">
        <f>HYPERLINK(CONCAT("http://leetcode.com/problems/",Github!C$1681), Github!B$1681)</f>
        <v>Concatenation of Consecutive Binary Numbers</v>
      </c>
      <c r="C1682" s="17">
        <f>Github!F$1681</f>
        <v>332</v>
      </c>
      <c r="D1682" s="17">
        <f>Github!G$1681</f>
        <v>203</v>
      </c>
      <c r="E1682" s="17">
        <f>Github!F$1681+Github!G$1681</f>
        <v>535</v>
      </c>
      <c r="F1682" s="18">
        <f t="shared" si="1"/>
        <v>1.64</v>
      </c>
      <c r="G1682" s="17" t="str">
        <f>Github!H$1681</f>
        <v>Algorithms</v>
      </c>
      <c r="H1682" s="17" t="str">
        <f>Github!E$1681</f>
        <v>Medium</v>
      </c>
      <c r="I1682" s="17" t="str">
        <f>IF(TRIM(Github!D$1681)="TRUE","FALSE","TRUE")</f>
        <v>TRUE</v>
      </c>
      <c r="J1682" s="17"/>
      <c r="K1682" s="17" t="str">
        <f>Github!L$1681</f>
        <v>Math;Bit Manipulation;Simulation;</v>
      </c>
      <c r="L1682" s="17" t="b">
        <f>Github!M$1681</f>
        <v>1</v>
      </c>
      <c r="M1682" s="17" t="str">
        <f>ROUND(Github!N$1681, 2)&amp;"%"</f>
        <v>0%</v>
      </c>
      <c r="N1682" s="17">
        <f>Github!O$1681</f>
        <v>52.54298785</v>
      </c>
      <c r="O1682" s="17">
        <f>Github!P$1681</f>
        <v>33307</v>
      </c>
    </row>
    <row r="1683">
      <c r="A1683" s="17">
        <f>Github!J$1682</f>
        <v>1681</v>
      </c>
      <c r="B1683" s="27" t="str">
        <f>HYPERLINK(CONCAT("http://leetcode.com/problems/",Github!C$1682), Github!B$1682)</f>
        <v>Minimum Incompatibility</v>
      </c>
      <c r="C1683" s="17">
        <f>Github!F$1682</f>
        <v>173</v>
      </c>
      <c r="D1683" s="17">
        <f>Github!G$1682</f>
        <v>81</v>
      </c>
      <c r="E1683" s="17">
        <f>Github!F$1682+Github!G$1682</f>
        <v>254</v>
      </c>
      <c r="F1683" s="18">
        <f t="shared" si="1"/>
        <v>2.14</v>
      </c>
      <c r="G1683" s="17" t="str">
        <f>Github!H$1682</f>
        <v>Algorithms</v>
      </c>
      <c r="H1683" s="17" t="str">
        <f>Github!E$1682</f>
        <v>Hard</v>
      </c>
      <c r="I1683" s="17" t="str">
        <f>IF(TRIM(Github!D$1682)="TRUE","FALSE","TRUE")</f>
        <v>TRUE</v>
      </c>
      <c r="J1683" s="17"/>
      <c r="K1683" s="17" t="str">
        <f>Github!L$1682</f>
        <v>Array;Dynamic Programming;Bit Manipulation;Bitmask;</v>
      </c>
      <c r="L1683" s="17" t="b">
        <f>Github!M$1682</f>
        <v>0</v>
      </c>
      <c r="M1683" s="17" t="str">
        <f>ROUND(Github!N$1682, 2)&amp;"%"</f>
        <v>0%</v>
      </c>
      <c r="N1683" s="17">
        <f>Github!O$1682</f>
        <v>37.0336551</v>
      </c>
      <c r="O1683" s="17">
        <f>Github!P$1682</f>
        <v>5678</v>
      </c>
    </row>
    <row r="1684">
      <c r="A1684" s="17">
        <f>Github!J$1683</f>
        <v>1682</v>
      </c>
      <c r="B1684" s="27" t="str">
        <f>HYPERLINK(CONCAT("http://leetcode.com/problems/",Github!C$1683), Github!B$1683)</f>
        <v>Longest Palindromic Subsequence II</v>
      </c>
      <c r="C1684" s="17">
        <f>Github!F$1683</f>
        <v>93</v>
      </c>
      <c r="D1684" s="17">
        <f>Github!G$1683</f>
        <v>18</v>
      </c>
      <c r="E1684" s="17">
        <f>Github!F$1683+Github!G$1683</f>
        <v>111</v>
      </c>
      <c r="F1684" s="18">
        <f t="shared" si="1"/>
        <v>5.17</v>
      </c>
      <c r="G1684" s="17" t="str">
        <f>Github!H$1683</f>
        <v>Algorithms</v>
      </c>
      <c r="H1684" s="17" t="str">
        <f>Github!E$1683</f>
        <v>Medium</v>
      </c>
      <c r="I1684" s="17" t="str">
        <f>IF(TRIM(Github!D$1683)="TRUE","FALSE","TRUE")</f>
        <v>FALSE</v>
      </c>
      <c r="J1684" s="17"/>
      <c r="K1684" s="17" t="str">
        <f>Github!L$1683</f>
        <v>String;Dynamic Programming;</v>
      </c>
      <c r="L1684" s="17" t="b">
        <f>Github!M$1683</f>
        <v>0</v>
      </c>
      <c r="M1684" s="17" t="str">
        <f>ROUND(Github!N$1683, 2)&amp;"%"</f>
        <v>0%</v>
      </c>
      <c r="N1684" s="17">
        <f>Github!O$1683</f>
        <v>50.8253549</v>
      </c>
      <c r="O1684" s="17">
        <f>Github!P$1683</f>
        <v>3079</v>
      </c>
    </row>
    <row r="1685">
      <c r="A1685" s="17">
        <f>Github!J$1684</f>
        <v>1683</v>
      </c>
      <c r="B1685" s="27" t="str">
        <f>HYPERLINK(CONCAT("http://leetcode.com/problems/",Github!C$1684), Github!B$1684)</f>
        <v>Invalid Tweets</v>
      </c>
      <c r="C1685" s="17">
        <f>Github!F$1684</f>
        <v>55</v>
      </c>
      <c r="D1685" s="17">
        <f>Github!G$1684</f>
        <v>64</v>
      </c>
      <c r="E1685" s="17">
        <f>Github!F$1684+Github!G$1684</f>
        <v>119</v>
      </c>
      <c r="F1685" s="18">
        <f t="shared" si="1"/>
        <v>0.86</v>
      </c>
      <c r="G1685" s="17" t="str">
        <f>Github!H$1684</f>
        <v>Database</v>
      </c>
      <c r="H1685" s="17" t="str">
        <f>Github!E$1684</f>
        <v>Easy</v>
      </c>
      <c r="I1685" s="17" t="str">
        <f>IF(TRIM(Github!D$1684)="TRUE","FALSE","TRUE")</f>
        <v>FALSE</v>
      </c>
      <c r="J1685" s="17"/>
      <c r="K1685" s="17" t="str">
        <f>Github!L$1684</f>
        <v>Database;</v>
      </c>
      <c r="L1685" s="17" t="b">
        <f>Github!M$1684</f>
        <v>0</v>
      </c>
      <c r="M1685" s="17" t="str">
        <f>ROUND(Github!N$1684, 2)&amp;"%"</f>
        <v>0%</v>
      </c>
      <c r="N1685" s="17">
        <f>Github!O$1684</f>
        <v>90.9371045</v>
      </c>
      <c r="O1685" s="17">
        <f>Github!P$1684</f>
        <v>16526</v>
      </c>
    </row>
    <row r="1686">
      <c r="A1686" s="17">
        <f>Github!J$1685</f>
        <v>1684</v>
      </c>
      <c r="B1686" s="27" t="str">
        <f>HYPERLINK(CONCAT("http://leetcode.com/problems/",Github!C$1685), Github!B$1685)</f>
        <v>Count the Number of Consistent Strings</v>
      </c>
      <c r="C1686" s="17">
        <f>Github!F$1685</f>
        <v>777</v>
      </c>
      <c r="D1686" s="17">
        <f>Github!G$1685</f>
        <v>39</v>
      </c>
      <c r="E1686" s="17">
        <f>Github!F$1685+Github!G$1685</f>
        <v>816</v>
      </c>
      <c r="F1686" s="18">
        <f t="shared" si="1"/>
        <v>19.92</v>
      </c>
      <c r="G1686" s="17" t="str">
        <f>Github!H$1685</f>
        <v>Algorithms</v>
      </c>
      <c r="H1686" s="17" t="str">
        <f>Github!E$1685</f>
        <v>Easy</v>
      </c>
      <c r="I1686" s="17" t="str">
        <f>IF(TRIM(Github!D$1685)="TRUE","FALSE","TRUE")</f>
        <v>TRUE</v>
      </c>
      <c r="J1686" s="17"/>
      <c r="K1686" s="17" t="str">
        <f>Github!L$1685</f>
        <v>Array;Hash Table;String;Bit Manipulation;</v>
      </c>
      <c r="L1686" s="17" t="b">
        <f>Github!M$1685</f>
        <v>0</v>
      </c>
      <c r="M1686" s="17" t="str">
        <f>ROUND(Github!N$1685, 2)&amp;"%"</f>
        <v>0%</v>
      </c>
      <c r="N1686" s="17">
        <f>Github!O$1685</f>
        <v>81.7916918</v>
      </c>
      <c r="O1686" s="17">
        <f>Github!P$1685</f>
        <v>79995</v>
      </c>
    </row>
    <row r="1687">
      <c r="A1687" s="17">
        <f>Github!J$1686</f>
        <v>1685</v>
      </c>
      <c r="B1687" s="27" t="str">
        <f>HYPERLINK(CONCAT("http://leetcode.com/problems/",Github!C$1686), Github!B$1686)</f>
        <v>Sum of Absolute Differences in a Sorted Array</v>
      </c>
      <c r="C1687" s="17">
        <f>Github!F$1686</f>
        <v>645</v>
      </c>
      <c r="D1687" s="17">
        <f>Github!G$1686</f>
        <v>21</v>
      </c>
      <c r="E1687" s="17">
        <f>Github!F$1686+Github!G$1686</f>
        <v>666</v>
      </c>
      <c r="F1687" s="18">
        <f t="shared" si="1"/>
        <v>30.71</v>
      </c>
      <c r="G1687" s="17" t="str">
        <f>Github!H$1686</f>
        <v>Algorithms</v>
      </c>
      <c r="H1687" s="17" t="str">
        <f>Github!E$1686</f>
        <v>Medium</v>
      </c>
      <c r="I1687" s="17" t="str">
        <f>IF(TRIM(Github!D$1686)="TRUE","FALSE","TRUE")</f>
        <v>TRUE</v>
      </c>
      <c r="J1687" s="17"/>
      <c r="K1687" s="17" t="str">
        <f>Github!L$1686</f>
        <v>Array;Math;Prefix Sum;</v>
      </c>
      <c r="L1687" s="17" t="b">
        <f>Github!M$1686</f>
        <v>0</v>
      </c>
      <c r="M1687" s="17" t="str">
        <f>ROUND(Github!N$1686, 2)&amp;"%"</f>
        <v>0%</v>
      </c>
      <c r="N1687" s="17">
        <f>Github!O$1686</f>
        <v>65.59094719</v>
      </c>
      <c r="O1687" s="17">
        <f>Github!P$1686</f>
        <v>18778</v>
      </c>
    </row>
    <row r="1688">
      <c r="A1688" s="17">
        <f>Github!J$1687</f>
        <v>1686</v>
      </c>
      <c r="B1688" s="27" t="str">
        <f>HYPERLINK(CONCAT("http://leetcode.com/problems/",Github!C$1687), Github!B$1687)</f>
        <v>Stone Game VI</v>
      </c>
      <c r="C1688" s="17">
        <f>Github!F$1687</f>
        <v>443</v>
      </c>
      <c r="D1688" s="17">
        <f>Github!G$1687</f>
        <v>37</v>
      </c>
      <c r="E1688" s="17">
        <f>Github!F$1687+Github!G$1687</f>
        <v>480</v>
      </c>
      <c r="F1688" s="18">
        <f t="shared" si="1"/>
        <v>11.97</v>
      </c>
      <c r="G1688" s="17" t="str">
        <f>Github!H$1687</f>
        <v>Algorithms</v>
      </c>
      <c r="H1688" s="17" t="str">
        <f>Github!E$1687</f>
        <v>Medium</v>
      </c>
      <c r="I1688" s="17" t="str">
        <f>IF(TRIM(Github!D$1687)="TRUE","FALSE","TRUE")</f>
        <v>TRUE</v>
      </c>
      <c r="J1688" s="17"/>
      <c r="K1688" s="17" t="str">
        <f>Github!L$1687</f>
        <v>Array;Math;Greedy;Sorting;Heap (Priority Queue);Game Theory;</v>
      </c>
      <c r="L1688" s="17" t="b">
        <f>Github!M$1687</f>
        <v>0</v>
      </c>
      <c r="M1688" s="17" t="str">
        <f>ROUND(Github!N$1687, 2)&amp;"%"</f>
        <v>0%</v>
      </c>
      <c r="N1688" s="17">
        <f>Github!O$1687</f>
        <v>53.493179</v>
      </c>
      <c r="O1688" s="17">
        <f>Github!P$1687</f>
        <v>10352</v>
      </c>
    </row>
    <row r="1689">
      <c r="A1689" s="17">
        <f>Github!J$1688</f>
        <v>1687</v>
      </c>
      <c r="B1689" s="27" t="str">
        <f>HYPERLINK(CONCAT("http://leetcode.com/problems/",Github!C$1688), Github!B$1688)</f>
        <v>Delivering Boxes from Storage to Ports</v>
      </c>
      <c r="C1689" s="17">
        <f>Github!F$1688</f>
        <v>227</v>
      </c>
      <c r="D1689" s="17">
        <f>Github!G$1688</f>
        <v>14</v>
      </c>
      <c r="E1689" s="17">
        <f>Github!F$1688+Github!G$1688</f>
        <v>241</v>
      </c>
      <c r="F1689" s="18">
        <f t="shared" si="1"/>
        <v>16.21</v>
      </c>
      <c r="G1689" s="17" t="str">
        <f>Github!H$1688</f>
        <v>Algorithms</v>
      </c>
      <c r="H1689" s="17" t="str">
        <f>Github!E$1688</f>
        <v>Hard</v>
      </c>
      <c r="I1689" s="17" t="str">
        <f>IF(TRIM(Github!D$1688)="TRUE","FALSE","TRUE")</f>
        <v>TRUE</v>
      </c>
      <c r="J1689" s="17"/>
      <c r="K1689" s="17" t="str">
        <f>Github!L$1688</f>
        <v>Array;Dynamic Programming;Segment Tree;Queue;Heap (Priority Queue);Monotonic Queue;</v>
      </c>
      <c r="L1689" s="17" t="b">
        <f>Github!M$1688</f>
        <v>0</v>
      </c>
      <c r="M1689" s="17" t="str">
        <f>ROUND(Github!N$1688, 2)&amp;"%"</f>
        <v>0%</v>
      </c>
      <c r="N1689" s="17">
        <f>Github!O$1688</f>
        <v>36.87036838</v>
      </c>
      <c r="O1689" s="17">
        <f>Github!P$1688</f>
        <v>3433</v>
      </c>
    </row>
    <row r="1690">
      <c r="A1690" s="17">
        <f>Github!J$1689</f>
        <v>1688</v>
      </c>
      <c r="B1690" s="27" t="str">
        <f>HYPERLINK(CONCAT("http://leetcode.com/problems/",Github!C$1689), Github!B$1689)</f>
        <v>Count of Matches in Tournament</v>
      </c>
      <c r="C1690" s="17">
        <f>Github!F$1689</f>
        <v>551</v>
      </c>
      <c r="D1690" s="17">
        <f>Github!G$1689</f>
        <v>104</v>
      </c>
      <c r="E1690" s="17">
        <f>Github!F$1689+Github!G$1689</f>
        <v>655</v>
      </c>
      <c r="F1690" s="18">
        <f t="shared" si="1"/>
        <v>5.3</v>
      </c>
      <c r="G1690" s="17" t="str">
        <f>Github!H$1689</f>
        <v>Algorithms</v>
      </c>
      <c r="H1690" s="17" t="str">
        <f>Github!E$1689</f>
        <v>Easy</v>
      </c>
      <c r="I1690" s="17" t="str">
        <f>IF(TRIM(Github!D$1689)="TRUE","FALSE","TRUE")</f>
        <v>TRUE</v>
      </c>
      <c r="J1690" s="17"/>
      <c r="K1690" s="17" t="str">
        <f>Github!L$1689</f>
        <v>Math;Simulation;</v>
      </c>
      <c r="L1690" s="17" t="b">
        <f>Github!M$1689</f>
        <v>0</v>
      </c>
      <c r="M1690" s="17" t="str">
        <f>ROUND(Github!N$1689, 2)&amp;"%"</f>
        <v>0%</v>
      </c>
      <c r="N1690" s="17">
        <f>Github!O$1689</f>
        <v>82.6016429</v>
      </c>
      <c r="O1690" s="17">
        <f>Github!P$1689</f>
        <v>63652</v>
      </c>
    </row>
    <row r="1691">
      <c r="A1691" s="17">
        <f>Github!J$1690</f>
        <v>1689</v>
      </c>
      <c r="B1691" s="27" t="str">
        <f>HYPERLINK(CONCAT("http://leetcode.com/problems/",Github!C$1690), Github!B$1690)</f>
        <v>Partitioning Into Minimum Number Of Deci-Binary Numbers</v>
      </c>
      <c r="C1691" s="17">
        <f>Github!F$1690</f>
        <v>751</v>
      </c>
      <c r="D1691" s="17">
        <f>Github!G$1690</f>
        <v>537</v>
      </c>
      <c r="E1691" s="17">
        <f>Github!F$1690+Github!G$1690</f>
        <v>1288</v>
      </c>
      <c r="F1691" s="18">
        <f t="shared" si="1"/>
        <v>1.4</v>
      </c>
      <c r="G1691" s="17" t="str">
        <f>Github!H$1690</f>
        <v>Algorithms</v>
      </c>
      <c r="H1691" s="17" t="str">
        <f>Github!E$1690</f>
        <v>Medium</v>
      </c>
      <c r="I1691" s="17" t="str">
        <f>IF(TRIM(Github!D$1690)="TRUE","FALSE","TRUE")</f>
        <v>TRUE</v>
      </c>
      <c r="J1691" s="17"/>
      <c r="K1691" s="17" t="str">
        <f>Github!L$1690</f>
        <v>String;Greedy;</v>
      </c>
      <c r="L1691" s="17" t="b">
        <f>Github!M$1690</f>
        <v>1</v>
      </c>
      <c r="M1691" s="17" t="str">
        <f>ROUND(Github!N$1690, 2)&amp;"%"</f>
        <v>0%</v>
      </c>
      <c r="N1691" s="17">
        <f>Github!O$1690</f>
        <v>87.78558349</v>
      </c>
      <c r="O1691" s="17">
        <f>Github!P$1690</f>
        <v>73350</v>
      </c>
    </row>
    <row r="1692">
      <c r="A1692" s="17">
        <f>Github!J$1691</f>
        <v>1690</v>
      </c>
      <c r="B1692" s="27" t="str">
        <f>HYPERLINK(CONCAT("http://leetcode.com/problems/",Github!C$1691), Github!B$1691)</f>
        <v>Stone Game VII</v>
      </c>
      <c r="C1692" s="17">
        <f>Github!F$1691</f>
        <v>630</v>
      </c>
      <c r="D1692" s="17">
        <f>Github!G$1691</f>
        <v>125</v>
      </c>
      <c r="E1692" s="17">
        <f>Github!F$1691+Github!G$1691</f>
        <v>755</v>
      </c>
      <c r="F1692" s="18">
        <f t="shared" si="1"/>
        <v>5.04</v>
      </c>
      <c r="G1692" s="17" t="str">
        <f>Github!H$1691</f>
        <v>Algorithms</v>
      </c>
      <c r="H1692" s="17" t="str">
        <f>Github!E$1691</f>
        <v>Medium</v>
      </c>
      <c r="I1692" s="17" t="str">
        <f>IF(TRIM(Github!D$1691)="TRUE","FALSE","TRUE")</f>
        <v>TRUE</v>
      </c>
      <c r="J1692" s="17"/>
      <c r="K1692" s="17" t="str">
        <f>Github!L$1691</f>
        <v>Array;Math;Dynamic Programming;Game Theory;</v>
      </c>
      <c r="L1692" s="17" t="b">
        <f>Github!M$1691</f>
        <v>1</v>
      </c>
      <c r="M1692" s="17" t="str">
        <f>ROUND(Github!N$1691, 2)&amp;"%"</f>
        <v>0%</v>
      </c>
      <c r="N1692" s="17">
        <f>Github!O$1691</f>
        <v>58.6916701</v>
      </c>
      <c r="O1692" s="17">
        <f>Github!P$1691</f>
        <v>25633</v>
      </c>
    </row>
    <row r="1693">
      <c r="A1693" s="17">
        <f>Github!J$1692</f>
        <v>1691</v>
      </c>
      <c r="B1693" s="27" t="str">
        <f>HYPERLINK(CONCAT("http://leetcode.com/problems/",Github!C$1692), Github!B$1692)</f>
        <v>Maximum Height by Stacking Cuboids </v>
      </c>
      <c r="C1693" s="17">
        <f>Github!F$1692</f>
        <v>453</v>
      </c>
      <c r="D1693" s="17">
        <f>Github!G$1692</f>
        <v>14</v>
      </c>
      <c r="E1693" s="17">
        <f>Github!F$1692+Github!G$1692</f>
        <v>467</v>
      </c>
      <c r="F1693" s="18">
        <f t="shared" si="1"/>
        <v>32.36</v>
      </c>
      <c r="G1693" s="17" t="str">
        <f>Github!H$1692</f>
        <v>Algorithms</v>
      </c>
      <c r="H1693" s="17" t="str">
        <f>Github!E$1692</f>
        <v>Hard</v>
      </c>
      <c r="I1693" s="17" t="str">
        <f>IF(TRIM(Github!D$1692)="TRUE","FALSE","TRUE")</f>
        <v>TRUE</v>
      </c>
      <c r="J1693" s="17"/>
      <c r="K1693" s="17" t="str">
        <f>Github!L$1692</f>
        <v>Array;Dynamic Programming;Sorting;</v>
      </c>
      <c r="L1693" s="17" t="b">
        <f>Github!M$1692</f>
        <v>0</v>
      </c>
      <c r="M1693" s="17" t="str">
        <f>ROUND(Github!N$1692, 2)&amp;"%"</f>
        <v>0%</v>
      </c>
      <c r="N1693" s="17">
        <f>Github!O$1692</f>
        <v>53.55624676</v>
      </c>
      <c r="O1693" s="17">
        <f>Github!P$1692</f>
        <v>10331</v>
      </c>
    </row>
    <row r="1694">
      <c r="A1694" s="17">
        <f>Github!J$1693</f>
        <v>1692</v>
      </c>
      <c r="B1694" s="27" t="str">
        <f>HYPERLINK(CONCAT("http://leetcode.com/problems/",Github!C$1693), Github!B$1693)</f>
        <v>Count Ways to Distribute Candies</v>
      </c>
      <c r="C1694" s="17">
        <f>Github!F$1693</f>
        <v>38</v>
      </c>
      <c r="D1694" s="17">
        <f>Github!G$1693</f>
        <v>5</v>
      </c>
      <c r="E1694" s="17">
        <f>Github!F$1693+Github!G$1693</f>
        <v>43</v>
      </c>
      <c r="F1694" s="18">
        <f t="shared" si="1"/>
        <v>7.6</v>
      </c>
      <c r="G1694" s="17" t="str">
        <f>Github!H$1693</f>
        <v>Algorithms</v>
      </c>
      <c r="H1694" s="17" t="str">
        <f>Github!E$1693</f>
        <v>Hard</v>
      </c>
      <c r="I1694" s="17" t="str">
        <f>IF(TRIM(Github!D$1693)="TRUE","FALSE","TRUE")</f>
        <v>FALSE</v>
      </c>
      <c r="J1694" s="17"/>
      <c r="K1694" s="17" t="str">
        <f>Github!L$1693</f>
        <v>Dynamic Programming;</v>
      </c>
      <c r="L1694" s="17" t="b">
        <f>Github!M$1693</f>
        <v>0</v>
      </c>
      <c r="M1694" s="17" t="str">
        <f>ROUND(Github!N$1693, 2)&amp;"%"</f>
        <v>0%</v>
      </c>
      <c r="N1694" s="17">
        <f>Github!O$1693</f>
        <v>60.7364685</v>
      </c>
      <c r="O1694" s="17">
        <f>Github!P$1693</f>
        <v>1369</v>
      </c>
    </row>
    <row r="1695">
      <c r="A1695" s="17">
        <f>Github!J$1694</f>
        <v>1693</v>
      </c>
      <c r="B1695" s="27" t="str">
        <f>HYPERLINK(CONCAT("http://leetcode.com/problems/",Github!C$1694), Github!B$1694)</f>
        <v>Daily Leads and Partners</v>
      </c>
      <c r="C1695" s="17">
        <f>Github!F$1694</f>
        <v>60</v>
      </c>
      <c r="D1695" s="17">
        <f>Github!G$1694</f>
        <v>9</v>
      </c>
      <c r="E1695" s="17">
        <f>Github!F$1694+Github!G$1694</f>
        <v>69</v>
      </c>
      <c r="F1695" s="18">
        <f t="shared" si="1"/>
        <v>6.67</v>
      </c>
      <c r="G1695" s="17" t="str">
        <f>Github!H$1694</f>
        <v>Database</v>
      </c>
      <c r="H1695" s="17" t="str">
        <f>Github!E$1694</f>
        <v>Easy</v>
      </c>
      <c r="I1695" s="17" t="str">
        <f>IF(TRIM(Github!D$1694)="TRUE","FALSE","TRUE")</f>
        <v>FALSE</v>
      </c>
      <c r="J1695" s="17"/>
      <c r="K1695" s="17" t="str">
        <f>Github!L$1694</f>
        <v>Database;</v>
      </c>
      <c r="L1695" s="17" t="b">
        <f>Github!M$1694</f>
        <v>0</v>
      </c>
      <c r="M1695" s="17" t="str">
        <f>ROUND(Github!N$1694, 2)&amp;"%"</f>
        <v>0%</v>
      </c>
      <c r="N1695" s="17">
        <f>Github!O$1694</f>
        <v>91.41427984</v>
      </c>
      <c r="O1695" s="17">
        <f>Github!P$1694</f>
        <v>13341</v>
      </c>
    </row>
    <row r="1696">
      <c r="A1696" s="17">
        <f>Github!J$1695</f>
        <v>1694</v>
      </c>
      <c r="B1696" s="27" t="str">
        <f>HYPERLINK(CONCAT("http://leetcode.com/problems/",Github!C$1695), Github!B$1695)</f>
        <v>Reformat Phone Number</v>
      </c>
      <c r="C1696" s="17">
        <f>Github!F$1695</f>
        <v>195</v>
      </c>
      <c r="D1696" s="17">
        <f>Github!G$1695</f>
        <v>153</v>
      </c>
      <c r="E1696" s="17">
        <f>Github!F$1695+Github!G$1695</f>
        <v>348</v>
      </c>
      <c r="F1696" s="18">
        <f t="shared" si="1"/>
        <v>1.27</v>
      </c>
      <c r="G1696" s="17" t="str">
        <f>Github!H$1695</f>
        <v>Algorithms</v>
      </c>
      <c r="H1696" s="17" t="str">
        <f>Github!E$1695</f>
        <v>Easy</v>
      </c>
      <c r="I1696" s="17" t="str">
        <f>IF(TRIM(Github!D$1695)="TRUE","FALSE","TRUE")</f>
        <v>TRUE</v>
      </c>
      <c r="J1696" s="17"/>
      <c r="K1696" s="17" t="str">
        <f>Github!L$1695</f>
        <v>String;</v>
      </c>
      <c r="L1696" s="17" t="b">
        <f>Github!M$1695</f>
        <v>0</v>
      </c>
      <c r="M1696" s="17" t="str">
        <f>ROUND(Github!N$1695, 2)&amp;"%"</f>
        <v>0%</v>
      </c>
      <c r="N1696" s="17">
        <f>Github!O$1695</f>
        <v>65.15752949</v>
      </c>
      <c r="O1696" s="17">
        <f>Github!P$1695</f>
        <v>23473</v>
      </c>
    </row>
    <row r="1697">
      <c r="A1697" s="17">
        <f>Github!J$1696</f>
        <v>1695</v>
      </c>
      <c r="B1697" s="27" t="str">
        <f>HYPERLINK(CONCAT("http://leetcode.com/problems/",Github!C$1696), Github!B$1696)</f>
        <v>Maximum Erasure Value</v>
      </c>
      <c r="C1697" s="17">
        <f>Github!F$1696</f>
        <v>791</v>
      </c>
      <c r="D1697" s="17">
        <f>Github!G$1696</f>
        <v>13</v>
      </c>
      <c r="E1697" s="17">
        <f>Github!F$1696+Github!G$1696</f>
        <v>804</v>
      </c>
      <c r="F1697" s="18">
        <f t="shared" si="1"/>
        <v>60.85</v>
      </c>
      <c r="G1697" s="17" t="str">
        <f>Github!H$1696</f>
        <v>Algorithms</v>
      </c>
      <c r="H1697" s="17" t="str">
        <f>Github!E$1696</f>
        <v>Medium</v>
      </c>
      <c r="I1697" s="17" t="str">
        <f>IF(TRIM(Github!D$1696)="TRUE","FALSE","TRUE")</f>
        <v>TRUE</v>
      </c>
      <c r="J1697" s="17"/>
      <c r="K1697" s="17" t="str">
        <f>Github!L$1696</f>
        <v>Array;Hash Table;Sliding Window;</v>
      </c>
      <c r="L1697" s="17" t="b">
        <f>Github!M$1696</f>
        <v>1</v>
      </c>
      <c r="M1697" s="17" t="str">
        <f>ROUND(Github!N$1696, 2)&amp;"%"</f>
        <v>0%</v>
      </c>
      <c r="N1697" s="17">
        <f>Github!O$1696</f>
        <v>52.34718666</v>
      </c>
      <c r="O1697" s="17">
        <f>Github!P$1696</f>
        <v>39862</v>
      </c>
    </row>
    <row r="1698">
      <c r="A1698" s="17">
        <f>Github!J$1697</f>
        <v>1696</v>
      </c>
      <c r="B1698" s="27" t="str">
        <f>HYPERLINK(CONCAT("http://leetcode.com/problems/",Github!C$1697), Github!B$1697)</f>
        <v>Jump Game VI</v>
      </c>
      <c r="C1698" s="17">
        <f>Github!F$1697</f>
        <v>1241</v>
      </c>
      <c r="D1698" s="17">
        <f>Github!G$1697</f>
        <v>51</v>
      </c>
      <c r="E1698" s="17">
        <f>Github!F$1697+Github!G$1697</f>
        <v>1292</v>
      </c>
      <c r="F1698" s="18">
        <f t="shared" si="1"/>
        <v>24.33</v>
      </c>
      <c r="G1698" s="17" t="str">
        <f>Github!H$1697</f>
        <v>Algorithms</v>
      </c>
      <c r="H1698" s="17" t="str">
        <f>Github!E$1697</f>
        <v>Medium</v>
      </c>
      <c r="I1698" s="17" t="str">
        <f>IF(TRIM(Github!D$1697)="TRUE","FALSE","TRUE")</f>
        <v>TRUE</v>
      </c>
      <c r="J1698" s="17"/>
      <c r="K1698" s="17" t="str">
        <f>Github!L$1697</f>
        <v>Array;Dynamic Programming;Queue;Sliding Window;Heap (Priority Queue);Monotonic Queue;</v>
      </c>
      <c r="L1698" s="17" t="b">
        <f>Github!M$1697</f>
        <v>1</v>
      </c>
      <c r="M1698" s="17" t="str">
        <f>ROUND(Github!N$1697, 2)&amp;"%"</f>
        <v>0%</v>
      </c>
      <c r="N1698" s="17">
        <f>Github!O$1697</f>
        <v>42.54891757</v>
      </c>
      <c r="O1698" s="17">
        <f>Github!P$1697</f>
        <v>40879</v>
      </c>
    </row>
    <row r="1699">
      <c r="A1699" s="17">
        <f>Github!J$1698</f>
        <v>1697</v>
      </c>
      <c r="B1699" s="27" t="str">
        <f>HYPERLINK(CONCAT("http://leetcode.com/problems/",Github!C$1698), Github!B$1698)</f>
        <v>Checking Existence of Edge Length Limited Paths</v>
      </c>
      <c r="C1699" s="17">
        <f>Github!F$1698</f>
        <v>428</v>
      </c>
      <c r="D1699" s="17">
        <f>Github!G$1698</f>
        <v>7</v>
      </c>
      <c r="E1699" s="17">
        <f>Github!F$1698+Github!G$1698</f>
        <v>435</v>
      </c>
      <c r="F1699" s="18">
        <f t="shared" si="1"/>
        <v>61.14</v>
      </c>
      <c r="G1699" s="17" t="str">
        <f>Github!H$1698</f>
        <v>Algorithms</v>
      </c>
      <c r="H1699" s="17" t="str">
        <f>Github!E$1698</f>
        <v>Hard</v>
      </c>
      <c r="I1699" s="17" t="str">
        <f>IF(TRIM(Github!D$1698)="TRUE","FALSE","TRUE")</f>
        <v>TRUE</v>
      </c>
      <c r="J1699" s="17"/>
      <c r="K1699" s="17" t="str">
        <f>Github!L$1698</f>
        <v>Array;Union Find;Graph;Sorting;</v>
      </c>
      <c r="L1699" s="17" t="b">
        <f>Github!M$1698</f>
        <v>0</v>
      </c>
      <c r="M1699" s="17" t="str">
        <f>ROUND(Github!N$1698, 2)&amp;"%"</f>
        <v>0%</v>
      </c>
      <c r="N1699" s="17">
        <f>Github!O$1698</f>
        <v>48.49970962</v>
      </c>
      <c r="O1699" s="17">
        <f>Github!P$1698</f>
        <v>7516</v>
      </c>
    </row>
    <row r="1700">
      <c r="A1700" s="17">
        <f>Github!J$1699</f>
        <v>1698</v>
      </c>
      <c r="B1700" s="27" t="str">
        <f>HYPERLINK(CONCAT("http://leetcode.com/problems/",Github!C$1699), Github!B$1699)</f>
        <v>Number of Distinct Substrings in a String</v>
      </c>
      <c r="C1700" s="17">
        <f>Github!F$1699</f>
        <v>98</v>
      </c>
      <c r="D1700" s="17">
        <f>Github!G$1699</f>
        <v>24</v>
      </c>
      <c r="E1700" s="17">
        <f>Github!F$1699+Github!G$1699</f>
        <v>122</v>
      </c>
      <c r="F1700" s="18">
        <f t="shared" si="1"/>
        <v>4.08</v>
      </c>
      <c r="G1700" s="17" t="str">
        <f>Github!H$1699</f>
        <v>Algorithms</v>
      </c>
      <c r="H1700" s="17" t="str">
        <f>Github!E$1699</f>
        <v>Medium</v>
      </c>
      <c r="I1700" s="17" t="str">
        <f>IF(TRIM(Github!D$1699)="TRUE","FALSE","TRUE")</f>
        <v>FALSE</v>
      </c>
      <c r="J1700" s="17"/>
      <c r="K1700" s="17" t="str">
        <f>Github!L$1699</f>
        <v>String;Trie;Rolling Hash;Suffix Array;Hash Function;</v>
      </c>
      <c r="L1700" s="17" t="b">
        <f>Github!M$1699</f>
        <v>0</v>
      </c>
      <c r="M1700" s="17" t="str">
        <f>ROUND(Github!N$1699, 2)&amp;"%"</f>
        <v>0%</v>
      </c>
      <c r="N1700" s="17">
        <f>Github!O$1699</f>
        <v>62.5</v>
      </c>
      <c r="O1700" s="17">
        <f>Github!P$1699</f>
        <v>4060</v>
      </c>
    </row>
    <row r="1701">
      <c r="A1701" s="17">
        <f>Github!J$1700</f>
        <v>1699</v>
      </c>
      <c r="B1701" s="27" t="str">
        <f>HYPERLINK(CONCAT("http://leetcode.com/problems/",Github!C$1700), Github!B$1700)</f>
        <v>Number of Calls Between Two Persons</v>
      </c>
      <c r="C1701" s="17">
        <f>Github!F$1700</f>
        <v>104</v>
      </c>
      <c r="D1701" s="17">
        <f>Github!G$1700</f>
        <v>3</v>
      </c>
      <c r="E1701" s="17">
        <f>Github!F$1700+Github!G$1700</f>
        <v>107</v>
      </c>
      <c r="F1701" s="18">
        <f t="shared" si="1"/>
        <v>34.67</v>
      </c>
      <c r="G1701" s="17" t="str">
        <f>Github!H$1700</f>
        <v>Database</v>
      </c>
      <c r="H1701" s="17" t="str">
        <f>Github!E$1700</f>
        <v>Medium</v>
      </c>
      <c r="I1701" s="17" t="str">
        <f>IF(TRIM(Github!D$1700)="TRUE","FALSE","TRUE")</f>
        <v>FALSE</v>
      </c>
      <c r="J1701" s="17"/>
      <c r="K1701" s="17" t="str">
        <f>Github!L$1700</f>
        <v>Database;</v>
      </c>
      <c r="L1701" s="17" t="b">
        <f>Github!M$1700</f>
        <v>0</v>
      </c>
      <c r="M1701" s="17" t="str">
        <f>ROUND(Github!N$1700, 2)&amp;"%"</f>
        <v>0%</v>
      </c>
      <c r="N1701" s="17">
        <f>Github!O$1700</f>
        <v>86.14146061</v>
      </c>
      <c r="O1701" s="17">
        <f>Github!P$1700</f>
        <v>14980</v>
      </c>
    </row>
    <row r="1702">
      <c r="A1702" s="17">
        <f>Github!J$1701</f>
        <v>1700</v>
      </c>
      <c r="B1702" s="27" t="str">
        <f>HYPERLINK(CONCAT("http://leetcode.com/problems/",Github!C$1701), Github!B$1701)</f>
        <v>Number of Students Unable to Eat Lunch</v>
      </c>
      <c r="C1702" s="17">
        <f>Github!F$1701</f>
        <v>725</v>
      </c>
      <c r="D1702" s="17">
        <f>Github!G$1701</f>
        <v>37</v>
      </c>
      <c r="E1702" s="17">
        <f>Github!F$1701+Github!G$1701</f>
        <v>762</v>
      </c>
      <c r="F1702" s="18">
        <f t="shared" si="1"/>
        <v>19.59</v>
      </c>
      <c r="G1702" s="17" t="str">
        <f>Github!H$1701</f>
        <v>Algorithms</v>
      </c>
      <c r="H1702" s="17" t="str">
        <f>Github!E$1701</f>
        <v>Easy</v>
      </c>
      <c r="I1702" s="17" t="str">
        <f>IF(TRIM(Github!D$1701)="TRUE","FALSE","TRUE")</f>
        <v>TRUE</v>
      </c>
      <c r="J1702" s="17"/>
      <c r="K1702" s="17" t="str">
        <f>Github!L$1701</f>
        <v>Array;Stack;Queue;Simulation;</v>
      </c>
      <c r="L1702" s="17" t="b">
        <f>Github!M$1701</f>
        <v>0</v>
      </c>
      <c r="M1702" s="17" t="str">
        <f>ROUND(Github!N$1701, 2)&amp;"%"</f>
        <v>0%</v>
      </c>
      <c r="N1702" s="17">
        <f>Github!O$1701</f>
        <v>67.89736087</v>
      </c>
      <c r="O1702" s="17">
        <f>Github!P$1701</f>
        <v>35272</v>
      </c>
    </row>
    <row r="1703">
      <c r="A1703" s="17">
        <f>Github!J$1702</f>
        <v>1701</v>
      </c>
      <c r="B1703" s="27" t="str">
        <f>HYPERLINK(CONCAT("http://leetcode.com/problems/",Github!C$1702), Github!B$1702)</f>
        <v>Average Waiting Time</v>
      </c>
      <c r="C1703" s="17">
        <f>Github!F$1702</f>
        <v>311</v>
      </c>
      <c r="D1703" s="17">
        <f>Github!G$1702</f>
        <v>37</v>
      </c>
      <c r="E1703" s="17">
        <f>Github!F$1702+Github!G$1702</f>
        <v>348</v>
      </c>
      <c r="F1703" s="18">
        <f t="shared" si="1"/>
        <v>8.41</v>
      </c>
      <c r="G1703" s="17" t="str">
        <f>Github!H$1702</f>
        <v>Algorithms</v>
      </c>
      <c r="H1703" s="17" t="str">
        <f>Github!E$1702</f>
        <v>Medium</v>
      </c>
      <c r="I1703" s="17" t="str">
        <f>IF(TRIM(Github!D$1702)="TRUE","FALSE","TRUE")</f>
        <v>TRUE</v>
      </c>
      <c r="J1703" s="17"/>
      <c r="K1703" s="17" t="str">
        <f>Github!L$1702</f>
        <v>Array;Simulation;</v>
      </c>
      <c r="L1703" s="17" t="b">
        <f>Github!M$1702</f>
        <v>0</v>
      </c>
      <c r="M1703" s="17" t="str">
        <f>ROUND(Github!N$1702, 2)&amp;"%"</f>
        <v>0%</v>
      </c>
      <c r="N1703" s="17">
        <f>Github!O$1702</f>
        <v>61.59337329</v>
      </c>
      <c r="O1703" s="17">
        <f>Github!P$1702</f>
        <v>18292</v>
      </c>
    </row>
    <row r="1704">
      <c r="A1704" s="17">
        <f>Github!J$1703</f>
        <v>1702</v>
      </c>
      <c r="B1704" s="27" t="str">
        <f>HYPERLINK(CONCAT("http://leetcode.com/problems/",Github!C$1703), Github!B$1703)</f>
        <v>Maximum Binary String After Change</v>
      </c>
      <c r="C1704" s="17">
        <f>Github!F$1703</f>
        <v>300</v>
      </c>
      <c r="D1704" s="17">
        <f>Github!G$1703</f>
        <v>36</v>
      </c>
      <c r="E1704" s="17">
        <f>Github!F$1703+Github!G$1703</f>
        <v>336</v>
      </c>
      <c r="F1704" s="18">
        <f t="shared" si="1"/>
        <v>8.33</v>
      </c>
      <c r="G1704" s="17" t="str">
        <f>Github!H$1703</f>
        <v>Algorithms</v>
      </c>
      <c r="H1704" s="17" t="str">
        <f>Github!E$1703</f>
        <v>Medium</v>
      </c>
      <c r="I1704" s="17" t="str">
        <f>IF(TRIM(Github!D$1703)="TRUE","FALSE","TRUE")</f>
        <v>TRUE</v>
      </c>
      <c r="J1704" s="17"/>
      <c r="K1704" s="17" t="str">
        <f>Github!L$1703</f>
        <v>String;Greedy;</v>
      </c>
      <c r="L1704" s="17" t="b">
        <f>Github!M$1703</f>
        <v>0</v>
      </c>
      <c r="M1704" s="17" t="str">
        <f>ROUND(Github!N$1703, 2)&amp;"%"</f>
        <v>0%</v>
      </c>
      <c r="N1704" s="17">
        <f>Github!O$1703</f>
        <v>45.07003721</v>
      </c>
      <c r="O1704" s="17">
        <f>Github!P$1703</f>
        <v>8237</v>
      </c>
    </row>
    <row r="1705">
      <c r="A1705" s="17">
        <f>Github!J$1704</f>
        <v>1703</v>
      </c>
      <c r="B1705" s="27" t="str">
        <f>HYPERLINK(CONCAT("http://leetcode.com/problems/",Github!C$1704), Github!B$1704)</f>
        <v>Minimum Adjacent Swaps for K Consecutive Ones</v>
      </c>
      <c r="C1705" s="17">
        <f>Github!F$1704</f>
        <v>404</v>
      </c>
      <c r="D1705" s="17">
        <f>Github!G$1704</f>
        <v>16</v>
      </c>
      <c r="E1705" s="17">
        <f>Github!F$1704+Github!G$1704</f>
        <v>420</v>
      </c>
      <c r="F1705" s="18">
        <f t="shared" si="1"/>
        <v>25.25</v>
      </c>
      <c r="G1705" s="17" t="str">
        <f>Github!H$1704</f>
        <v>Algorithms</v>
      </c>
      <c r="H1705" s="17" t="str">
        <f>Github!E$1704</f>
        <v>Hard</v>
      </c>
      <c r="I1705" s="17" t="str">
        <f>IF(TRIM(Github!D$1704)="TRUE","FALSE","TRUE")</f>
        <v>TRUE</v>
      </c>
      <c r="J1705" s="17"/>
      <c r="K1705" s="17" t="str">
        <f>Github!L$1704</f>
        <v>Array;Greedy;Sliding Window;Prefix Sum;</v>
      </c>
      <c r="L1705" s="17" t="b">
        <f>Github!M$1704</f>
        <v>0</v>
      </c>
      <c r="M1705" s="17" t="str">
        <f>ROUND(Github!N$1704, 2)&amp;"%"</f>
        <v>0%</v>
      </c>
      <c r="N1705" s="17">
        <f>Github!O$1704</f>
        <v>40.27433241</v>
      </c>
      <c r="O1705" s="17">
        <f>Github!P$1704</f>
        <v>5520</v>
      </c>
    </row>
    <row r="1706">
      <c r="A1706" s="17">
        <f>Github!J$1705</f>
        <v>1704</v>
      </c>
      <c r="B1706" s="27" t="str">
        <f>HYPERLINK(CONCAT("http://leetcode.com/problems/",Github!C$1705), Github!B$1705)</f>
        <v>Determine if String Halves Are Alike</v>
      </c>
      <c r="C1706" s="17">
        <f>Github!F$1705</f>
        <v>487</v>
      </c>
      <c r="D1706" s="17">
        <f>Github!G$1705</f>
        <v>35</v>
      </c>
      <c r="E1706" s="17">
        <f>Github!F$1705+Github!G$1705</f>
        <v>522</v>
      </c>
      <c r="F1706" s="18">
        <f t="shared" si="1"/>
        <v>13.91</v>
      </c>
      <c r="G1706" s="17" t="str">
        <f>Github!H$1705</f>
        <v>Algorithms</v>
      </c>
      <c r="H1706" s="17" t="str">
        <f>Github!E$1705</f>
        <v>Easy</v>
      </c>
      <c r="I1706" s="17" t="str">
        <f>IF(TRIM(Github!D$1705)="TRUE","FALSE","TRUE")</f>
        <v>TRUE</v>
      </c>
      <c r="J1706" s="17"/>
      <c r="K1706" s="17" t="str">
        <f>Github!L$1705</f>
        <v>String;Counting;</v>
      </c>
      <c r="L1706" s="17" t="b">
        <f>Github!M$1705</f>
        <v>1</v>
      </c>
      <c r="M1706" s="17" t="str">
        <f>ROUND(Github!N$1705, 2)&amp;"%"</f>
        <v>0%</v>
      </c>
      <c r="N1706" s="17">
        <f>Github!O$1705</f>
        <v>78.1170557</v>
      </c>
      <c r="O1706" s="17">
        <f>Github!P$1705</f>
        <v>81121</v>
      </c>
    </row>
    <row r="1707">
      <c r="A1707" s="17">
        <f>Github!J$1706</f>
        <v>1705</v>
      </c>
      <c r="B1707" s="27" t="str">
        <f>HYPERLINK(CONCAT("http://leetcode.com/problems/",Github!C$1706), Github!B$1706)</f>
        <v>Maximum Number of Eaten Apples</v>
      </c>
      <c r="C1707" s="17">
        <f>Github!F$1706</f>
        <v>474</v>
      </c>
      <c r="D1707" s="17">
        <f>Github!G$1706</f>
        <v>142</v>
      </c>
      <c r="E1707" s="17">
        <f>Github!F$1706+Github!G$1706</f>
        <v>616</v>
      </c>
      <c r="F1707" s="18">
        <f t="shared" si="1"/>
        <v>3.34</v>
      </c>
      <c r="G1707" s="17" t="str">
        <f>Github!H$1706</f>
        <v>Algorithms</v>
      </c>
      <c r="H1707" s="17" t="str">
        <f>Github!E$1706</f>
        <v>Medium</v>
      </c>
      <c r="I1707" s="17" t="str">
        <f>IF(TRIM(Github!D$1706)="TRUE","FALSE","TRUE")</f>
        <v>TRUE</v>
      </c>
      <c r="J1707" s="17"/>
      <c r="K1707" s="17" t="str">
        <f>Github!L$1706</f>
        <v>Array;Greedy;Heap (Priority Queue);</v>
      </c>
      <c r="L1707" s="17" t="b">
        <f>Github!M$1706</f>
        <v>0</v>
      </c>
      <c r="M1707" s="17" t="str">
        <f>ROUND(Github!N$1706, 2)&amp;"%"</f>
        <v>0%</v>
      </c>
      <c r="N1707" s="17">
        <f>Github!O$1706</f>
        <v>36.08461984</v>
      </c>
      <c r="O1707" s="17">
        <f>Github!P$1706</f>
        <v>13697</v>
      </c>
    </row>
    <row r="1708">
      <c r="A1708" s="17">
        <f>Github!J$1707</f>
        <v>1706</v>
      </c>
      <c r="B1708" s="27" t="str">
        <f>HYPERLINK(CONCAT("http://leetcode.com/problems/",Github!C$1707), Github!B$1707)</f>
        <v>Where Will the Ball Fall</v>
      </c>
      <c r="C1708" s="17">
        <f>Github!F$1707</f>
        <v>702</v>
      </c>
      <c r="D1708" s="17">
        <f>Github!G$1707</f>
        <v>52</v>
      </c>
      <c r="E1708" s="17">
        <f>Github!F$1707+Github!G$1707</f>
        <v>754</v>
      </c>
      <c r="F1708" s="18">
        <f t="shared" si="1"/>
        <v>13.5</v>
      </c>
      <c r="G1708" s="17" t="str">
        <f>Github!H$1707</f>
        <v>Algorithms</v>
      </c>
      <c r="H1708" s="17" t="str">
        <f>Github!E$1707</f>
        <v>Medium</v>
      </c>
      <c r="I1708" s="17" t="str">
        <f>IF(TRIM(Github!D$1707)="TRUE","FALSE","TRUE")</f>
        <v>TRUE</v>
      </c>
      <c r="J1708" s="17"/>
      <c r="K1708" s="17" t="str">
        <f>Github!L$1707</f>
        <v>Array;Dynamic Programming;Depth-First Search;Matrix;Simulation;</v>
      </c>
      <c r="L1708" s="17" t="b">
        <f>Github!M$1707</f>
        <v>0</v>
      </c>
      <c r="M1708" s="17" t="str">
        <f>ROUND(Github!N$1707, 2)&amp;"%"</f>
        <v>0%</v>
      </c>
      <c r="N1708" s="17">
        <f>Github!O$1707</f>
        <v>66.37767683</v>
      </c>
      <c r="O1708" s="17">
        <f>Github!P$1707</f>
        <v>25572</v>
      </c>
    </row>
    <row r="1709">
      <c r="A1709" s="17">
        <f>Github!J$1708</f>
        <v>1707</v>
      </c>
      <c r="B1709" s="27" t="str">
        <f>HYPERLINK(CONCAT("http://leetcode.com/problems/",Github!C$1708), Github!B$1708)</f>
        <v>Maximum XOR With an Element From Array</v>
      </c>
      <c r="C1709" s="17">
        <f>Github!F$1708</f>
        <v>457</v>
      </c>
      <c r="D1709" s="17">
        <f>Github!G$1708</f>
        <v>15</v>
      </c>
      <c r="E1709" s="17">
        <f>Github!F$1708+Github!G$1708</f>
        <v>472</v>
      </c>
      <c r="F1709" s="18">
        <f t="shared" si="1"/>
        <v>30.47</v>
      </c>
      <c r="G1709" s="17" t="str">
        <f>Github!H$1708</f>
        <v>Algorithms</v>
      </c>
      <c r="H1709" s="17" t="str">
        <f>Github!E$1708</f>
        <v>Hard</v>
      </c>
      <c r="I1709" s="17" t="str">
        <f>IF(TRIM(Github!D$1708)="TRUE","FALSE","TRUE")</f>
        <v>TRUE</v>
      </c>
      <c r="J1709" s="17"/>
      <c r="K1709" s="17" t="str">
        <f>Github!L$1708</f>
        <v>Array;Bit Manipulation;Trie;</v>
      </c>
      <c r="L1709" s="17" t="b">
        <f>Github!M$1708</f>
        <v>0</v>
      </c>
      <c r="M1709" s="17" t="str">
        <f>ROUND(Github!N$1708, 2)&amp;"%"</f>
        <v>0%</v>
      </c>
      <c r="N1709" s="17">
        <f>Github!O$1708</f>
        <v>43.12367865</v>
      </c>
      <c r="O1709" s="17">
        <f>Github!P$1708</f>
        <v>8158</v>
      </c>
    </row>
    <row r="1710">
      <c r="A1710" s="17">
        <f>Github!J$1709</f>
        <v>1708</v>
      </c>
      <c r="B1710" s="27" t="str">
        <f>HYPERLINK(CONCAT("http://leetcode.com/problems/",Github!C$1709), Github!B$1709)</f>
        <v>Largest Subarray Length K</v>
      </c>
      <c r="C1710" s="17">
        <f>Github!F$1709</f>
        <v>63</v>
      </c>
      <c r="D1710" s="17">
        <f>Github!G$1709</f>
        <v>75</v>
      </c>
      <c r="E1710" s="17">
        <f>Github!F$1709+Github!G$1709</f>
        <v>138</v>
      </c>
      <c r="F1710" s="18">
        <f t="shared" si="1"/>
        <v>0.84</v>
      </c>
      <c r="G1710" s="17" t="str">
        <f>Github!H$1709</f>
        <v>Algorithms</v>
      </c>
      <c r="H1710" s="17" t="str">
        <f>Github!E$1709</f>
        <v>Easy</v>
      </c>
      <c r="I1710" s="17" t="str">
        <f>IF(TRIM(Github!D$1709)="TRUE","FALSE","TRUE")</f>
        <v>FALSE</v>
      </c>
      <c r="J1710" s="17"/>
      <c r="K1710" s="17" t="str">
        <f>Github!L$1709</f>
        <v>Array;Greedy;</v>
      </c>
      <c r="L1710" s="17" t="b">
        <f>Github!M$1709</f>
        <v>0</v>
      </c>
      <c r="M1710" s="17" t="str">
        <f>ROUND(Github!N$1709, 2)&amp;"%"</f>
        <v>0%</v>
      </c>
      <c r="N1710" s="17">
        <f>Github!O$1709</f>
        <v>63.56386293</v>
      </c>
      <c r="O1710" s="17">
        <f>Github!P$1709</f>
        <v>5101</v>
      </c>
    </row>
    <row r="1711">
      <c r="A1711" s="17">
        <f>Github!J$1710</f>
        <v>1709</v>
      </c>
      <c r="B1711" s="27" t="str">
        <f>HYPERLINK(CONCAT("http://leetcode.com/problems/",Github!C$1710), Github!B$1710)</f>
        <v>Biggest Window Between Visits</v>
      </c>
      <c r="C1711" s="17">
        <f>Github!F$1710</f>
        <v>88</v>
      </c>
      <c r="D1711" s="17">
        <f>Github!G$1710</f>
        <v>4</v>
      </c>
      <c r="E1711" s="17">
        <f>Github!F$1710+Github!G$1710</f>
        <v>92</v>
      </c>
      <c r="F1711" s="18">
        <f t="shared" si="1"/>
        <v>22</v>
      </c>
      <c r="G1711" s="17" t="str">
        <f>Github!H$1710</f>
        <v>Database</v>
      </c>
      <c r="H1711" s="17" t="str">
        <f>Github!E$1710</f>
        <v>Medium</v>
      </c>
      <c r="I1711" s="17" t="str">
        <f>IF(TRIM(Github!D$1710)="TRUE","FALSE","TRUE")</f>
        <v>FALSE</v>
      </c>
      <c r="J1711" s="17"/>
      <c r="K1711" s="17" t="str">
        <f>Github!L$1710</f>
        <v>Database;</v>
      </c>
      <c r="L1711" s="17" t="b">
        <f>Github!M$1710</f>
        <v>0</v>
      </c>
      <c r="M1711" s="17" t="str">
        <f>ROUND(Github!N$1710, 2)&amp;"%"</f>
        <v>0%</v>
      </c>
      <c r="N1711" s="17">
        <f>Github!O$1710</f>
        <v>78.08633965</v>
      </c>
      <c r="O1711" s="17">
        <f>Github!P$1710</f>
        <v>9026</v>
      </c>
    </row>
    <row r="1712">
      <c r="A1712" s="17">
        <f>Github!J$1711</f>
        <v>1710</v>
      </c>
      <c r="B1712" s="27" t="str">
        <f>HYPERLINK(CONCAT("http://leetcode.com/problems/",Github!C$1711), Github!B$1711)</f>
        <v>Maximum Units on a Truck</v>
      </c>
      <c r="C1712" s="17">
        <f>Github!F$1711</f>
        <v>1436</v>
      </c>
      <c r="D1712" s="17">
        <f>Github!G$1711</f>
        <v>100</v>
      </c>
      <c r="E1712" s="17">
        <f>Github!F$1711+Github!G$1711</f>
        <v>1536</v>
      </c>
      <c r="F1712" s="18">
        <f t="shared" si="1"/>
        <v>14.36</v>
      </c>
      <c r="G1712" s="17" t="str">
        <f>Github!H$1711</f>
        <v>Algorithms</v>
      </c>
      <c r="H1712" s="17" t="str">
        <f>Github!E$1711</f>
        <v>Easy</v>
      </c>
      <c r="I1712" s="17" t="str">
        <f>IF(TRIM(Github!D$1711)="TRUE","FALSE","TRUE")</f>
        <v>TRUE</v>
      </c>
      <c r="J1712" s="17"/>
      <c r="K1712" s="17" t="str">
        <f>Github!L$1711</f>
        <v>Array;Greedy;Sorting;</v>
      </c>
      <c r="L1712" s="17" t="b">
        <f>Github!M$1711</f>
        <v>1</v>
      </c>
      <c r="M1712" s="17" t="str">
        <f>ROUND(Github!N$1711, 2)&amp;"%"</f>
        <v>0%</v>
      </c>
      <c r="N1712" s="17">
        <f>Github!O$1711</f>
        <v>72.08095192</v>
      </c>
      <c r="O1712" s="17">
        <f>Github!P$1711</f>
        <v>127755</v>
      </c>
    </row>
    <row r="1713">
      <c r="A1713" s="17">
        <f>Github!J$1712</f>
        <v>1711</v>
      </c>
      <c r="B1713" s="27" t="str">
        <f>HYPERLINK(CONCAT("http://leetcode.com/problems/",Github!C$1712), Github!B$1712)</f>
        <v>Count Good Meals</v>
      </c>
      <c r="C1713" s="17">
        <f>Github!F$1712</f>
        <v>498</v>
      </c>
      <c r="D1713" s="17">
        <f>Github!G$1712</f>
        <v>185</v>
      </c>
      <c r="E1713" s="17">
        <f>Github!F$1712+Github!G$1712</f>
        <v>683</v>
      </c>
      <c r="F1713" s="18">
        <f t="shared" si="1"/>
        <v>2.69</v>
      </c>
      <c r="G1713" s="17" t="str">
        <f>Github!H$1712</f>
        <v>Algorithms</v>
      </c>
      <c r="H1713" s="17" t="str">
        <f>Github!E$1712</f>
        <v>Medium</v>
      </c>
      <c r="I1713" s="17" t="str">
        <f>IF(TRIM(Github!D$1712)="TRUE","FALSE","TRUE")</f>
        <v>TRUE</v>
      </c>
      <c r="J1713" s="17"/>
      <c r="K1713" s="17" t="str">
        <f>Github!L$1712</f>
        <v>Array;Hash Table;</v>
      </c>
      <c r="L1713" s="17" t="b">
        <f>Github!M$1712</f>
        <v>0</v>
      </c>
      <c r="M1713" s="17" t="str">
        <f>ROUND(Github!N$1712, 2)&amp;"%"</f>
        <v>0%</v>
      </c>
      <c r="N1713" s="17">
        <f>Github!O$1712</f>
        <v>28.18332152</v>
      </c>
      <c r="O1713" s="17">
        <f>Github!P$1712</f>
        <v>22667</v>
      </c>
    </row>
    <row r="1714">
      <c r="A1714" s="17">
        <f>Github!J$1713</f>
        <v>1712</v>
      </c>
      <c r="B1714" s="27" t="str">
        <f>HYPERLINK(CONCAT("http://leetcode.com/problems/",Github!C$1713), Github!B$1713)</f>
        <v>Ways to Split Array Into Three Subarrays</v>
      </c>
      <c r="C1714" s="17">
        <f>Github!F$1713</f>
        <v>724</v>
      </c>
      <c r="D1714" s="17">
        <f>Github!G$1713</f>
        <v>68</v>
      </c>
      <c r="E1714" s="17">
        <f>Github!F$1713+Github!G$1713</f>
        <v>792</v>
      </c>
      <c r="F1714" s="18">
        <f t="shared" si="1"/>
        <v>10.65</v>
      </c>
      <c r="G1714" s="17" t="str">
        <f>Github!H$1713</f>
        <v>Algorithms</v>
      </c>
      <c r="H1714" s="17" t="str">
        <f>Github!E$1713</f>
        <v>Medium</v>
      </c>
      <c r="I1714" s="17" t="str">
        <f>IF(TRIM(Github!D$1713)="TRUE","FALSE","TRUE")</f>
        <v>TRUE</v>
      </c>
      <c r="J1714" s="17"/>
      <c r="K1714" s="17" t="str">
        <f>Github!L$1713</f>
        <v>Array;Two Pointers;Binary Search;Prefix Sum;</v>
      </c>
      <c r="L1714" s="17" t="b">
        <f>Github!M$1713</f>
        <v>0</v>
      </c>
      <c r="M1714" s="17" t="str">
        <f>ROUND(Github!N$1713, 2)&amp;"%"</f>
        <v>0%</v>
      </c>
      <c r="N1714" s="17">
        <f>Github!O$1713</f>
        <v>30.80481358</v>
      </c>
      <c r="O1714" s="17">
        <f>Github!P$1713</f>
        <v>17712</v>
      </c>
    </row>
    <row r="1715">
      <c r="A1715" s="17">
        <f>Github!J$1714</f>
        <v>1713</v>
      </c>
      <c r="B1715" s="27" t="str">
        <f>HYPERLINK(CONCAT("http://leetcode.com/problems/",Github!C$1714), Github!B$1714)</f>
        <v>Minimum Operations to Make a Subsequence</v>
      </c>
      <c r="C1715" s="17">
        <f>Github!F$1714</f>
        <v>394</v>
      </c>
      <c r="D1715" s="17">
        <f>Github!G$1714</f>
        <v>5</v>
      </c>
      <c r="E1715" s="17">
        <f>Github!F$1714+Github!G$1714</f>
        <v>399</v>
      </c>
      <c r="F1715" s="18">
        <f t="shared" si="1"/>
        <v>78.8</v>
      </c>
      <c r="G1715" s="17" t="str">
        <f>Github!H$1714</f>
        <v>Algorithms</v>
      </c>
      <c r="H1715" s="17" t="str">
        <f>Github!E$1714</f>
        <v>Hard</v>
      </c>
      <c r="I1715" s="17" t="str">
        <f>IF(TRIM(Github!D$1714)="TRUE","FALSE","TRUE")</f>
        <v>TRUE</v>
      </c>
      <c r="J1715" s="17"/>
      <c r="K1715" s="17" t="str">
        <f>Github!L$1714</f>
        <v>Array;Hash Table;Binary Search;Greedy;</v>
      </c>
      <c r="L1715" s="17" t="b">
        <f>Github!M$1714</f>
        <v>0</v>
      </c>
      <c r="M1715" s="17" t="str">
        <f>ROUND(Github!N$1714, 2)&amp;"%"</f>
        <v>0%</v>
      </c>
      <c r="N1715" s="17">
        <f>Github!O$1714</f>
        <v>48.7219763</v>
      </c>
      <c r="O1715" s="17">
        <f>Github!P$1714</f>
        <v>6824</v>
      </c>
    </row>
    <row r="1716">
      <c r="A1716" s="17">
        <f>Github!J$1715</f>
        <v>1714</v>
      </c>
      <c r="B1716" s="27" t="str">
        <f>HYPERLINK(CONCAT("http://leetcode.com/problems/",Github!C$1715), Github!B$1715)</f>
        <v>Sum Of Special Evenly-Spaced Elements In Array</v>
      </c>
      <c r="C1716" s="17">
        <f>Github!F$1715</f>
        <v>17</v>
      </c>
      <c r="D1716" s="17">
        <f>Github!G$1715</f>
        <v>16</v>
      </c>
      <c r="E1716" s="17">
        <f>Github!F$1715+Github!G$1715</f>
        <v>33</v>
      </c>
      <c r="F1716" s="18">
        <f t="shared" si="1"/>
        <v>1.06</v>
      </c>
      <c r="G1716" s="17" t="str">
        <f>Github!H$1715</f>
        <v>Algorithms</v>
      </c>
      <c r="H1716" s="17" t="str">
        <f>Github!E$1715</f>
        <v>Hard</v>
      </c>
      <c r="I1716" s="17" t="str">
        <f>IF(TRIM(Github!D$1715)="TRUE","FALSE","TRUE")</f>
        <v>FALSE</v>
      </c>
      <c r="J1716" s="17"/>
      <c r="K1716" s="17" t="str">
        <f>Github!L$1715</f>
        <v>Array;Dynamic Programming;</v>
      </c>
      <c r="L1716" s="17" t="b">
        <f>Github!M$1715</f>
        <v>0</v>
      </c>
      <c r="M1716" s="17" t="str">
        <f>ROUND(Github!N$1715, 2)&amp;"%"</f>
        <v>0%</v>
      </c>
      <c r="N1716" s="17">
        <f>Github!O$1715</f>
        <v>52.09251101</v>
      </c>
      <c r="O1716" s="17">
        <f>Github!P$1715</f>
        <v>946</v>
      </c>
    </row>
    <row r="1717">
      <c r="A1717" s="17">
        <f>Github!J$1716</f>
        <v>1715</v>
      </c>
      <c r="B1717" s="27" t="str">
        <f>HYPERLINK(CONCAT("http://leetcode.com/problems/",Github!C$1716), Github!B$1716)</f>
        <v>Count Apples and Oranges</v>
      </c>
      <c r="C1717" s="17">
        <f>Github!F$1716</f>
        <v>47</v>
      </c>
      <c r="D1717" s="17">
        <f>Github!G$1716</f>
        <v>7</v>
      </c>
      <c r="E1717" s="17">
        <f>Github!F$1716+Github!G$1716</f>
        <v>54</v>
      </c>
      <c r="F1717" s="18">
        <f t="shared" si="1"/>
        <v>6.71</v>
      </c>
      <c r="G1717" s="17" t="str">
        <f>Github!H$1716</f>
        <v>Database</v>
      </c>
      <c r="H1717" s="17" t="str">
        <f>Github!E$1716</f>
        <v>Medium</v>
      </c>
      <c r="I1717" s="17" t="str">
        <f>IF(TRIM(Github!D$1716)="TRUE","FALSE","TRUE")</f>
        <v>FALSE</v>
      </c>
      <c r="J1717" s="17"/>
      <c r="K1717" s="17" t="str">
        <f>Github!L$1716</f>
        <v>Database;</v>
      </c>
      <c r="L1717" s="17" t="b">
        <f>Github!M$1716</f>
        <v>0</v>
      </c>
      <c r="M1717" s="17" t="str">
        <f>ROUND(Github!N$1716, 2)&amp;"%"</f>
        <v>0%</v>
      </c>
      <c r="N1717" s="17">
        <f>Github!O$1716</f>
        <v>77.95095801</v>
      </c>
      <c r="O1717" s="17">
        <f>Github!P$1716</f>
        <v>7852</v>
      </c>
    </row>
    <row r="1718">
      <c r="A1718" s="17">
        <f>Github!J$1717</f>
        <v>1716</v>
      </c>
      <c r="B1718" s="27" t="str">
        <f>HYPERLINK(CONCAT("http://leetcode.com/problems/",Github!C$1717), Github!B$1717)</f>
        <v>Calculate Money in Leetcode Bank</v>
      </c>
      <c r="C1718" s="17">
        <f>Github!F$1717</f>
        <v>412</v>
      </c>
      <c r="D1718" s="17">
        <f>Github!G$1717</f>
        <v>14</v>
      </c>
      <c r="E1718" s="17">
        <f>Github!F$1717+Github!G$1717</f>
        <v>426</v>
      </c>
      <c r="F1718" s="18">
        <f t="shared" si="1"/>
        <v>29.43</v>
      </c>
      <c r="G1718" s="17" t="str">
        <f>Github!H$1717</f>
        <v>Algorithms</v>
      </c>
      <c r="H1718" s="17" t="str">
        <f>Github!E$1717</f>
        <v>Easy</v>
      </c>
      <c r="I1718" s="17" t="str">
        <f>IF(TRIM(Github!D$1717)="TRUE","FALSE","TRUE")</f>
        <v>TRUE</v>
      </c>
      <c r="J1718" s="17"/>
      <c r="K1718" s="17" t="str">
        <f>Github!L$1717</f>
        <v>Math;</v>
      </c>
      <c r="L1718" s="17" t="b">
        <f>Github!M$1717</f>
        <v>0</v>
      </c>
      <c r="M1718" s="17" t="str">
        <f>ROUND(Github!N$1717, 2)&amp;"%"</f>
        <v>0%</v>
      </c>
      <c r="N1718" s="17">
        <f>Github!O$1717</f>
        <v>64.85067956</v>
      </c>
      <c r="O1718" s="17">
        <f>Github!P$1717</f>
        <v>28295</v>
      </c>
    </row>
    <row r="1719">
      <c r="A1719" s="17">
        <f>Github!J$1718</f>
        <v>1717</v>
      </c>
      <c r="B1719" s="27" t="str">
        <f>HYPERLINK(CONCAT("http://leetcode.com/problems/",Github!C$1718), Github!B$1718)</f>
        <v>Maximum Score From Removing Substrings</v>
      </c>
      <c r="C1719" s="17">
        <f>Github!F$1718</f>
        <v>379</v>
      </c>
      <c r="D1719" s="17">
        <f>Github!G$1718</f>
        <v>18</v>
      </c>
      <c r="E1719" s="17">
        <f>Github!F$1718+Github!G$1718</f>
        <v>397</v>
      </c>
      <c r="F1719" s="18">
        <f t="shared" si="1"/>
        <v>21.06</v>
      </c>
      <c r="G1719" s="17" t="str">
        <f>Github!H$1718</f>
        <v>Algorithms</v>
      </c>
      <c r="H1719" s="17" t="str">
        <f>Github!E$1718</f>
        <v>Medium</v>
      </c>
      <c r="I1719" s="17" t="str">
        <f>IF(TRIM(Github!D$1718)="TRUE","FALSE","TRUE")</f>
        <v>TRUE</v>
      </c>
      <c r="J1719" s="17"/>
      <c r="K1719" s="17" t="str">
        <f>Github!L$1718</f>
        <v>String;Stack;Greedy;</v>
      </c>
      <c r="L1719" s="17" t="b">
        <f>Github!M$1718</f>
        <v>0</v>
      </c>
      <c r="M1719" s="17" t="str">
        <f>ROUND(Github!N$1718, 2)&amp;"%"</f>
        <v>0%</v>
      </c>
      <c r="N1719" s="17">
        <f>Github!O$1718</f>
        <v>44.43785813</v>
      </c>
      <c r="O1719" s="17">
        <f>Github!P$1718</f>
        <v>8996</v>
      </c>
    </row>
    <row r="1720">
      <c r="A1720" s="17">
        <f>Github!J$1719</f>
        <v>1718</v>
      </c>
      <c r="B1720" s="27" t="str">
        <f>HYPERLINK(CONCAT("http://leetcode.com/problems/",Github!C$1719), Github!B$1719)</f>
        <v>Construct the Lexicographically Largest Valid Sequence</v>
      </c>
      <c r="C1720" s="17">
        <f>Github!F$1719</f>
        <v>362</v>
      </c>
      <c r="D1720" s="17">
        <f>Github!G$1719</f>
        <v>33</v>
      </c>
      <c r="E1720" s="17">
        <f>Github!F$1719+Github!G$1719</f>
        <v>395</v>
      </c>
      <c r="F1720" s="18">
        <f t="shared" si="1"/>
        <v>10.97</v>
      </c>
      <c r="G1720" s="17" t="str">
        <f>Github!H$1719</f>
        <v>Algorithms</v>
      </c>
      <c r="H1720" s="17" t="str">
        <f>Github!E$1719</f>
        <v>Medium</v>
      </c>
      <c r="I1720" s="17" t="str">
        <f>IF(TRIM(Github!D$1719)="TRUE","FALSE","TRUE")</f>
        <v>TRUE</v>
      </c>
      <c r="J1720" s="17"/>
      <c r="K1720" s="17" t="str">
        <f>Github!L$1719</f>
        <v>Array;Backtracking;</v>
      </c>
      <c r="L1720" s="17" t="b">
        <f>Github!M$1719</f>
        <v>0</v>
      </c>
      <c r="M1720" s="17" t="str">
        <f>ROUND(Github!N$1719, 2)&amp;"%"</f>
        <v>0%</v>
      </c>
      <c r="N1720" s="17">
        <f>Github!O$1719</f>
        <v>51.08426457</v>
      </c>
      <c r="O1720" s="17">
        <f>Github!P$1719</f>
        <v>8457</v>
      </c>
    </row>
    <row r="1721">
      <c r="A1721" s="17">
        <f>Github!J$1720</f>
        <v>1719</v>
      </c>
      <c r="B1721" s="27" t="str">
        <f>HYPERLINK(CONCAT("http://leetcode.com/problems/",Github!C$1720), Github!B$1720)</f>
        <v>Number Of Ways To Reconstruct A Tree</v>
      </c>
      <c r="C1721" s="17">
        <f>Github!F$1720</f>
        <v>112</v>
      </c>
      <c r="D1721" s="17">
        <f>Github!G$1720</f>
        <v>86</v>
      </c>
      <c r="E1721" s="17">
        <f>Github!F$1720+Github!G$1720</f>
        <v>198</v>
      </c>
      <c r="F1721" s="18">
        <f t="shared" si="1"/>
        <v>1.3</v>
      </c>
      <c r="G1721" s="17" t="str">
        <f>Github!H$1720</f>
        <v>Algorithms</v>
      </c>
      <c r="H1721" s="17" t="str">
        <f>Github!E$1720</f>
        <v>Hard</v>
      </c>
      <c r="I1721" s="17" t="str">
        <f>IF(TRIM(Github!D$1720)="TRUE","FALSE","TRUE")</f>
        <v>TRUE</v>
      </c>
      <c r="J1721" s="17"/>
      <c r="K1721" s="17" t="str">
        <f>Github!L$1720</f>
        <v>Tree;Graph;Topological Sort;</v>
      </c>
      <c r="L1721" s="17" t="b">
        <f>Github!M$1720</f>
        <v>0</v>
      </c>
      <c r="M1721" s="17" t="str">
        <f>ROUND(Github!N$1720, 2)&amp;"%"</f>
        <v>0%</v>
      </c>
      <c r="N1721" s="17">
        <f>Github!O$1720</f>
        <v>42.07630878</v>
      </c>
      <c r="O1721" s="17">
        <f>Github!P$1720</f>
        <v>2371</v>
      </c>
    </row>
    <row r="1722">
      <c r="A1722" s="17">
        <f>Github!J$1721</f>
        <v>1720</v>
      </c>
      <c r="B1722" s="27" t="str">
        <f>HYPERLINK(CONCAT("http://leetcode.com/problems/",Github!C$1721), Github!B$1721)</f>
        <v>Decode XORed Array</v>
      </c>
      <c r="C1722" s="17">
        <f>Github!F$1721</f>
        <v>678</v>
      </c>
      <c r="D1722" s="17">
        <f>Github!G$1721</f>
        <v>130</v>
      </c>
      <c r="E1722" s="17">
        <f>Github!F$1721+Github!G$1721</f>
        <v>808</v>
      </c>
      <c r="F1722" s="18">
        <f t="shared" si="1"/>
        <v>5.22</v>
      </c>
      <c r="G1722" s="17" t="str">
        <f>Github!H$1721</f>
        <v>Algorithms</v>
      </c>
      <c r="H1722" s="17" t="str">
        <f>Github!E$1721</f>
        <v>Easy</v>
      </c>
      <c r="I1722" s="17" t="str">
        <f>IF(TRIM(Github!D$1721)="TRUE","FALSE","TRUE")</f>
        <v>TRUE</v>
      </c>
      <c r="J1722" s="17"/>
      <c r="K1722" s="17" t="str">
        <f>Github!L$1721</f>
        <v>Array;Bit Manipulation;</v>
      </c>
      <c r="L1722" s="17" t="b">
        <f>Github!M$1721</f>
        <v>0</v>
      </c>
      <c r="M1722" s="17" t="str">
        <f>ROUND(Github!N$1721, 2)&amp;"%"</f>
        <v>0%</v>
      </c>
      <c r="N1722" s="17">
        <f>Github!O$1721</f>
        <v>85.92518504</v>
      </c>
      <c r="O1722" s="17">
        <f>Github!P$1721</f>
        <v>64430</v>
      </c>
    </row>
    <row r="1723">
      <c r="A1723" s="17">
        <f>Github!J$1722</f>
        <v>1721</v>
      </c>
      <c r="B1723" s="27" t="str">
        <f>HYPERLINK(CONCAT("http://leetcode.com/problems/",Github!C$1722), Github!B$1722)</f>
        <v>Swapping Nodes in a Linked List</v>
      </c>
      <c r="C1723" s="17">
        <f>Github!F$1722</f>
        <v>1597</v>
      </c>
      <c r="D1723" s="17">
        <f>Github!G$1722</f>
        <v>73</v>
      </c>
      <c r="E1723" s="17">
        <f>Github!F$1722+Github!G$1722</f>
        <v>1670</v>
      </c>
      <c r="F1723" s="18">
        <f t="shared" si="1"/>
        <v>21.88</v>
      </c>
      <c r="G1723" s="17" t="str">
        <f>Github!H$1722</f>
        <v>Algorithms</v>
      </c>
      <c r="H1723" s="17" t="str">
        <f>Github!E$1722</f>
        <v>Medium</v>
      </c>
      <c r="I1723" s="17" t="str">
        <f>IF(TRIM(Github!D$1722)="TRUE","FALSE","TRUE")</f>
        <v>TRUE</v>
      </c>
      <c r="J1723" s="17"/>
      <c r="K1723" s="17" t="str">
        <f>Github!L$1722</f>
        <v>Linked List;Two Pointers;</v>
      </c>
      <c r="L1723" s="17" t="b">
        <f>Github!M$1722</f>
        <v>1</v>
      </c>
      <c r="M1723" s="17" t="str">
        <f>ROUND(Github!N$1722, 2)&amp;"%"</f>
        <v>0%</v>
      </c>
      <c r="N1723" s="17">
        <f>Github!O$1722</f>
        <v>65.4329076</v>
      </c>
      <c r="O1723" s="17">
        <f>Github!P$1722</f>
        <v>96876</v>
      </c>
    </row>
    <row r="1724">
      <c r="A1724" s="17">
        <f>Github!J$1723</f>
        <v>1722</v>
      </c>
      <c r="B1724" s="27" t="str">
        <f>HYPERLINK(CONCAT("http://leetcode.com/problems/",Github!C$1723), Github!B$1723)</f>
        <v>Minimize Hamming Distance After Swap Operations</v>
      </c>
      <c r="C1724" s="17">
        <f>Github!F$1723</f>
        <v>533</v>
      </c>
      <c r="D1724" s="17">
        <f>Github!G$1723</f>
        <v>16</v>
      </c>
      <c r="E1724" s="17">
        <f>Github!F$1723+Github!G$1723</f>
        <v>549</v>
      </c>
      <c r="F1724" s="18">
        <f t="shared" si="1"/>
        <v>33.31</v>
      </c>
      <c r="G1724" s="17" t="str">
        <f>Github!H$1723</f>
        <v>Algorithms</v>
      </c>
      <c r="H1724" s="17" t="str">
        <f>Github!E$1723</f>
        <v>Medium</v>
      </c>
      <c r="I1724" s="17" t="str">
        <f>IF(TRIM(Github!D$1723)="TRUE","FALSE","TRUE")</f>
        <v>TRUE</v>
      </c>
      <c r="J1724" s="17"/>
      <c r="K1724" s="17" t="str">
        <f>Github!L$1723</f>
        <v>Array;Depth-First Search;Union Find;</v>
      </c>
      <c r="L1724" s="17" t="b">
        <f>Github!M$1723</f>
        <v>0</v>
      </c>
      <c r="M1724" s="17" t="str">
        <f>ROUND(Github!N$1723, 2)&amp;"%"</f>
        <v>0%</v>
      </c>
      <c r="N1724" s="17">
        <f>Github!O$1723</f>
        <v>47.33693394</v>
      </c>
      <c r="O1724" s="17">
        <f>Github!P$1723</f>
        <v>11394</v>
      </c>
    </row>
    <row r="1725">
      <c r="A1725" s="17">
        <f>Github!J$1724</f>
        <v>1723</v>
      </c>
      <c r="B1725" s="27" t="str">
        <f>HYPERLINK(CONCAT("http://leetcode.com/problems/",Github!C$1724), Github!B$1724)</f>
        <v>Find Minimum Time to Finish All Jobs</v>
      </c>
      <c r="C1725" s="17">
        <f>Github!F$1724</f>
        <v>467</v>
      </c>
      <c r="D1725" s="17">
        <f>Github!G$1724</f>
        <v>14</v>
      </c>
      <c r="E1725" s="17">
        <f>Github!F$1724+Github!G$1724</f>
        <v>481</v>
      </c>
      <c r="F1725" s="18">
        <f t="shared" si="1"/>
        <v>33.36</v>
      </c>
      <c r="G1725" s="17" t="str">
        <f>Github!H$1724</f>
        <v>Algorithms</v>
      </c>
      <c r="H1725" s="17" t="str">
        <f>Github!E$1724</f>
        <v>Hard</v>
      </c>
      <c r="I1725" s="17" t="str">
        <f>IF(TRIM(Github!D$1724)="TRUE","FALSE","TRUE")</f>
        <v>TRUE</v>
      </c>
      <c r="J1725" s="17"/>
      <c r="K1725" s="17" t="str">
        <f>Github!L$1724</f>
        <v>Array;Dynamic Programming;Backtracking;Bit Manipulation;Bitmask;</v>
      </c>
      <c r="L1725" s="17" t="b">
        <f>Github!M$1724</f>
        <v>0</v>
      </c>
      <c r="M1725" s="17" t="str">
        <f>ROUND(Github!N$1724, 2)&amp;"%"</f>
        <v>0%</v>
      </c>
      <c r="N1725" s="17">
        <f>Github!O$1724</f>
        <v>42.81832171</v>
      </c>
      <c r="O1725" s="17">
        <f>Github!P$1724</f>
        <v>13078</v>
      </c>
    </row>
    <row r="1726">
      <c r="A1726" s="17">
        <f>Github!J$1725</f>
        <v>1724</v>
      </c>
      <c r="B1726" s="27" t="str">
        <f>HYPERLINK(CONCAT("http://leetcode.com/problems/",Github!C$1725), Github!B$1725)</f>
        <v>Checking Existence of Edge Length Limited Paths II</v>
      </c>
      <c r="C1726" s="17">
        <f>Github!F$1725</f>
        <v>43</v>
      </c>
      <c r="D1726" s="17">
        <f>Github!G$1725</f>
        <v>6</v>
      </c>
      <c r="E1726" s="17">
        <f>Github!F$1725+Github!G$1725</f>
        <v>49</v>
      </c>
      <c r="F1726" s="18">
        <f t="shared" si="1"/>
        <v>7.17</v>
      </c>
      <c r="G1726" s="17" t="str">
        <f>Github!H$1725</f>
        <v>Algorithms</v>
      </c>
      <c r="H1726" s="17" t="str">
        <f>Github!E$1725</f>
        <v>Hard</v>
      </c>
      <c r="I1726" s="17" t="str">
        <f>IF(TRIM(Github!D$1725)="TRUE","FALSE","TRUE")</f>
        <v>FALSE</v>
      </c>
      <c r="J1726" s="17"/>
      <c r="K1726" s="17" t="str">
        <f>Github!L$1725</f>
        <v>Union Find;Graph;Minimum Spanning Tree;</v>
      </c>
      <c r="L1726" s="17" t="b">
        <f>Github!M$1725</f>
        <v>0</v>
      </c>
      <c r="M1726" s="17" t="str">
        <f>ROUND(Github!N$1725, 2)&amp;"%"</f>
        <v>0%</v>
      </c>
      <c r="N1726" s="17">
        <f>Github!O$1725</f>
        <v>52.30769231</v>
      </c>
      <c r="O1726" s="17">
        <f>Github!P$1725</f>
        <v>1564</v>
      </c>
    </row>
    <row r="1727">
      <c r="A1727" s="17">
        <f>Github!J$1726</f>
        <v>1725</v>
      </c>
      <c r="B1727" s="27" t="str">
        <f>HYPERLINK(CONCAT("http://leetcode.com/problems/",Github!C$1726), Github!B$1726)</f>
        <v>Number Of Rectangles That Can Form The Largest Square</v>
      </c>
      <c r="C1727" s="17">
        <f>Github!F$1726</f>
        <v>320</v>
      </c>
      <c r="D1727" s="17">
        <f>Github!G$1726</f>
        <v>40</v>
      </c>
      <c r="E1727" s="17">
        <f>Github!F$1726+Github!G$1726</f>
        <v>360</v>
      </c>
      <c r="F1727" s="18">
        <f t="shared" si="1"/>
        <v>8</v>
      </c>
      <c r="G1727" s="17" t="str">
        <f>Github!H$1726</f>
        <v>Algorithms</v>
      </c>
      <c r="H1727" s="17" t="str">
        <f>Github!E$1726</f>
        <v>Easy</v>
      </c>
      <c r="I1727" s="17" t="str">
        <f>IF(TRIM(Github!D$1726)="TRUE","FALSE","TRUE")</f>
        <v>TRUE</v>
      </c>
      <c r="J1727" s="17"/>
      <c r="K1727" s="17" t="str">
        <f>Github!L$1726</f>
        <v>Array;</v>
      </c>
      <c r="L1727" s="17" t="b">
        <f>Github!M$1726</f>
        <v>0</v>
      </c>
      <c r="M1727" s="17" t="str">
        <f>ROUND(Github!N$1726, 2)&amp;"%"</f>
        <v>0%</v>
      </c>
      <c r="N1727" s="17">
        <f>Github!O$1726</f>
        <v>78.70879672</v>
      </c>
      <c r="O1727" s="17">
        <f>Github!P$1726</f>
        <v>39207</v>
      </c>
    </row>
    <row r="1728">
      <c r="A1728" s="17">
        <f>Github!J$1727</f>
        <v>1726</v>
      </c>
      <c r="B1728" s="27" t="str">
        <f>HYPERLINK(CONCAT("http://leetcode.com/problems/",Github!C$1727), Github!B$1727)</f>
        <v>Tuple with Same Product</v>
      </c>
      <c r="C1728" s="17">
        <f>Github!F$1727</f>
        <v>389</v>
      </c>
      <c r="D1728" s="17">
        <f>Github!G$1727</f>
        <v>17</v>
      </c>
      <c r="E1728" s="17">
        <f>Github!F$1727+Github!G$1727</f>
        <v>406</v>
      </c>
      <c r="F1728" s="18">
        <f t="shared" si="1"/>
        <v>22.88</v>
      </c>
      <c r="G1728" s="17" t="str">
        <f>Github!H$1727</f>
        <v>Algorithms</v>
      </c>
      <c r="H1728" s="17" t="str">
        <f>Github!E$1727</f>
        <v>Medium</v>
      </c>
      <c r="I1728" s="17" t="str">
        <f>IF(TRIM(Github!D$1727)="TRUE","FALSE","TRUE")</f>
        <v>TRUE</v>
      </c>
      <c r="J1728" s="17"/>
      <c r="K1728" s="17" t="str">
        <f>Github!L$1727</f>
        <v>Array;Hash Table;</v>
      </c>
      <c r="L1728" s="17" t="b">
        <f>Github!M$1727</f>
        <v>0</v>
      </c>
      <c r="M1728" s="17" t="str">
        <f>ROUND(Github!N$1727, 2)&amp;"%"</f>
        <v>0%</v>
      </c>
      <c r="N1728" s="17">
        <f>Github!O$1727</f>
        <v>60.31301649</v>
      </c>
      <c r="O1728" s="17">
        <f>Github!P$1727</f>
        <v>17881</v>
      </c>
    </row>
    <row r="1729">
      <c r="A1729" s="17">
        <f>Github!J$1728</f>
        <v>1727</v>
      </c>
      <c r="B1729" s="27" t="str">
        <f>HYPERLINK(CONCAT("http://leetcode.com/problems/",Github!C$1728), Github!B$1728)</f>
        <v>Largest Submatrix With Rearrangements</v>
      </c>
      <c r="C1729" s="17">
        <f>Github!F$1728</f>
        <v>617</v>
      </c>
      <c r="D1729" s="17">
        <f>Github!G$1728</f>
        <v>16</v>
      </c>
      <c r="E1729" s="17">
        <f>Github!F$1728+Github!G$1728</f>
        <v>633</v>
      </c>
      <c r="F1729" s="18">
        <f t="shared" si="1"/>
        <v>38.56</v>
      </c>
      <c r="G1729" s="17" t="str">
        <f>Github!H$1728</f>
        <v>Algorithms</v>
      </c>
      <c r="H1729" s="17" t="str">
        <f>Github!E$1728</f>
        <v>Medium</v>
      </c>
      <c r="I1729" s="17" t="str">
        <f>IF(TRIM(Github!D$1728)="TRUE","FALSE","TRUE")</f>
        <v>TRUE</v>
      </c>
      <c r="J1729" s="17"/>
      <c r="K1729" s="17" t="str">
        <f>Github!L$1728</f>
        <v>Array;Greedy;Sorting;Matrix;</v>
      </c>
      <c r="L1729" s="17" t="b">
        <f>Github!M$1728</f>
        <v>0</v>
      </c>
      <c r="M1729" s="17" t="str">
        <f>ROUND(Github!N$1728, 2)&amp;"%"</f>
        <v>0%</v>
      </c>
      <c r="N1729" s="17">
        <f>Github!O$1728</f>
        <v>60.20554875</v>
      </c>
      <c r="O1729" s="17">
        <f>Github!P$1728</f>
        <v>11306</v>
      </c>
    </row>
    <row r="1730">
      <c r="A1730" s="17">
        <f>Github!J$1729</f>
        <v>1728</v>
      </c>
      <c r="B1730" s="27" t="str">
        <f>HYPERLINK(CONCAT("http://leetcode.com/problems/",Github!C$1729), Github!B$1729)</f>
        <v>Cat and Mouse II</v>
      </c>
      <c r="C1730" s="17">
        <f>Github!F$1729</f>
        <v>144</v>
      </c>
      <c r="D1730" s="17">
        <f>Github!G$1729</f>
        <v>24</v>
      </c>
      <c r="E1730" s="17">
        <f>Github!F$1729+Github!G$1729</f>
        <v>168</v>
      </c>
      <c r="F1730" s="18">
        <f t="shared" si="1"/>
        <v>6</v>
      </c>
      <c r="G1730" s="17" t="str">
        <f>Github!H$1729</f>
        <v>Algorithms</v>
      </c>
      <c r="H1730" s="17" t="str">
        <f>Github!E$1729</f>
        <v>Hard</v>
      </c>
      <c r="I1730" s="17" t="str">
        <f>IF(TRIM(Github!D$1729)="TRUE","FALSE","TRUE")</f>
        <v>TRUE</v>
      </c>
      <c r="J1730" s="17"/>
      <c r="K1730" s="17" t="str">
        <f>Github!L$1729</f>
        <v>Math;Dynamic Programming;Breadth-First Search;Graph;Memoization;Game Theory;</v>
      </c>
      <c r="L1730" s="17" t="b">
        <f>Github!M$1729</f>
        <v>0</v>
      </c>
      <c r="M1730" s="17" t="str">
        <f>ROUND(Github!N$1729, 2)&amp;"%"</f>
        <v>0%</v>
      </c>
      <c r="N1730" s="17">
        <f>Github!O$1729</f>
        <v>40.31335022</v>
      </c>
      <c r="O1730" s="17">
        <f>Github!P$1729</f>
        <v>4297</v>
      </c>
    </row>
    <row r="1731">
      <c r="A1731" s="17">
        <f>Github!J$1730</f>
        <v>1729</v>
      </c>
      <c r="B1731" s="27" t="str">
        <f>HYPERLINK(CONCAT("http://leetcode.com/problems/",Github!C$1730), Github!B$1730)</f>
        <v>Find Followers Count</v>
      </c>
      <c r="C1731" s="17">
        <f>Github!F$1730</f>
        <v>37</v>
      </c>
      <c r="D1731" s="17">
        <f>Github!G$1730</f>
        <v>7</v>
      </c>
      <c r="E1731" s="17">
        <f>Github!F$1730+Github!G$1730</f>
        <v>44</v>
      </c>
      <c r="F1731" s="18">
        <f t="shared" si="1"/>
        <v>5.29</v>
      </c>
      <c r="G1731" s="17" t="str">
        <f>Github!H$1730</f>
        <v>Database</v>
      </c>
      <c r="H1731" s="17" t="str">
        <f>Github!E$1730</f>
        <v>Easy</v>
      </c>
      <c r="I1731" s="17" t="str">
        <f>IF(TRIM(Github!D$1730)="TRUE","FALSE","TRUE")</f>
        <v>FALSE</v>
      </c>
      <c r="J1731" s="17"/>
      <c r="K1731" s="17" t="str">
        <f>Github!L$1730</f>
        <v>Database;</v>
      </c>
      <c r="L1731" s="17" t="b">
        <f>Github!M$1730</f>
        <v>0</v>
      </c>
      <c r="M1731" s="17" t="str">
        <f>ROUND(Github!N$1730, 2)&amp;"%"</f>
        <v>0%</v>
      </c>
      <c r="N1731" s="17">
        <f>Github!O$1730</f>
        <v>71.42230668</v>
      </c>
      <c r="O1731" s="17">
        <f>Github!P$1730</f>
        <v>9772</v>
      </c>
    </row>
    <row r="1732">
      <c r="A1732" s="17">
        <f>Github!J$1731</f>
        <v>1730</v>
      </c>
      <c r="B1732" s="27" t="str">
        <f>HYPERLINK(CONCAT("http://leetcode.com/problems/",Github!C$1731), Github!B$1731)</f>
        <v>Shortest Path to Get Food</v>
      </c>
      <c r="C1732" s="17">
        <f>Github!F$1731</f>
        <v>333</v>
      </c>
      <c r="D1732" s="17">
        <f>Github!G$1731</f>
        <v>15</v>
      </c>
      <c r="E1732" s="17">
        <f>Github!F$1731+Github!G$1731</f>
        <v>348</v>
      </c>
      <c r="F1732" s="18">
        <f t="shared" si="1"/>
        <v>22.2</v>
      </c>
      <c r="G1732" s="17" t="str">
        <f>Github!H$1731</f>
        <v>Algorithms</v>
      </c>
      <c r="H1732" s="17" t="str">
        <f>Github!E$1731</f>
        <v>Medium</v>
      </c>
      <c r="I1732" s="17" t="str">
        <f>IF(TRIM(Github!D$1731)="TRUE","FALSE","TRUE")</f>
        <v>FALSE</v>
      </c>
      <c r="J1732" s="17"/>
      <c r="K1732" s="17" t="str">
        <f>Github!L$1731</f>
        <v>Array;Breadth-First Search;Matrix;</v>
      </c>
      <c r="L1732" s="17" t="b">
        <f>Github!M$1731</f>
        <v>0</v>
      </c>
      <c r="M1732" s="17" t="str">
        <f>ROUND(Github!N$1731, 2)&amp;"%"</f>
        <v>0%</v>
      </c>
      <c r="N1732" s="17">
        <f>Github!O$1731</f>
        <v>54.30101858</v>
      </c>
      <c r="O1732" s="17">
        <f>Github!P$1731</f>
        <v>25748</v>
      </c>
    </row>
    <row r="1733">
      <c r="A1733" s="17">
        <f>Github!J$1732</f>
        <v>1731</v>
      </c>
      <c r="B1733" s="27" t="str">
        <f>HYPERLINK(CONCAT("http://leetcode.com/problems/",Github!C$1732), Github!B$1732)</f>
        <v>The Number of Employees Which Report to Each Employee</v>
      </c>
      <c r="C1733" s="17">
        <f>Github!F$1732</f>
        <v>53</v>
      </c>
      <c r="D1733" s="17">
        <f>Github!G$1732</f>
        <v>14</v>
      </c>
      <c r="E1733" s="17">
        <f>Github!F$1732+Github!G$1732</f>
        <v>67</v>
      </c>
      <c r="F1733" s="18">
        <f t="shared" si="1"/>
        <v>3.79</v>
      </c>
      <c r="G1733" s="17" t="str">
        <f>Github!H$1732</f>
        <v>Database</v>
      </c>
      <c r="H1733" s="17" t="str">
        <f>Github!E$1732</f>
        <v>Easy</v>
      </c>
      <c r="I1733" s="17" t="str">
        <f>IF(TRIM(Github!D$1732)="TRUE","FALSE","TRUE")</f>
        <v>FALSE</v>
      </c>
      <c r="J1733" s="17"/>
      <c r="K1733" s="17" t="str">
        <f>Github!L$1732</f>
        <v>Database;</v>
      </c>
      <c r="L1733" s="17" t="b">
        <f>Github!M$1732</f>
        <v>0</v>
      </c>
      <c r="M1733" s="17" t="str">
        <f>ROUND(Github!N$1732, 2)&amp;"%"</f>
        <v>0%</v>
      </c>
      <c r="N1733" s="17">
        <f>Github!O$1732</f>
        <v>48.89061892</v>
      </c>
      <c r="O1733" s="17">
        <f>Github!P$1732</f>
        <v>8790</v>
      </c>
    </row>
    <row r="1734">
      <c r="A1734" s="17">
        <f>Github!J$1733</f>
        <v>1732</v>
      </c>
      <c r="B1734" s="27" t="str">
        <f>HYPERLINK(CONCAT("http://leetcode.com/problems/",Github!C$1733), Github!B$1733)</f>
        <v>Find the Highest Altitude</v>
      </c>
      <c r="C1734" s="17">
        <f>Github!F$1733</f>
        <v>724</v>
      </c>
      <c r="D1734" s="17">
        <f>Github!G$1733</f>
        <v>73</v>
      </c>
      <c r="E1734" s="17">
        <f>Github!F$1733+Github!G$1733</f>
        <v>797</v>
      </c>
      <c r="F1734" s="18">
        <f t="shared" si="1"/>
        <v>9.92</v>
      </c>
      <c r="G1734" s="17" t="str">
        <f>Github!H$1733</f>
        <v>Algorithms</v>
      </c>
      <c r="H1734" s="17" t="str">
        <f>Github!E$1733</f>
        <v>Easy</v>
      </c>
      <c r="I1734" s="17" t="str">
        <f>IF(TRIM(Github!D$1733)="TRUE","FALSE","TRUE")</f>
        <v>TRUE</v>
      </c>
      <c r="J1734" s="17"/>
      <c r="K1734" s="17" t="str">
        <f>Github!L$1733</f>
        <v>Array;Prefix Sum;</v>
      </c>
      <c r="L1734" s="17" t="b">
        <f>Github!M$1733</f>
        <v>0</v>
      </c>
      <c r="M1734" s="17" t="str">
        <f>ROUND(Github!N$1733, 2)&amp;"%"</f>
        <v>0%</v>
      </c>
      <c r="N1734" s="17">
        <f>Github!O$1733</f>
        <v>78.93233351</v>
      </c>
      <c r="O1734" s="17">
        <f>Github!P$1733</f>
        <v>66314</v>
      </c>
    </row>
    <row r="1735">
      <c r="A1735" s="17">
        <f>Github!J$1734</f>
        <v>1733</v>
      </c>
      <c r="B1735" s="27" t="str">
        <f>HYPERLINK(CONCAT("http://leetcode.com/problems/",Github!C$1734), Github!B$1734)</f>
        <v>Minimum Number of People to Teach</v>
      </c>
      <c r="C1735" s="17">
        <f>Github!F$1734</f>
        <v>130</v>
      </c>
      <c r="D1735" s="17">
        <f>Github!G$1734</f>
        <v>293</v>
      </c>
      <c r="E1735" s="17">
        <f>Github!F$1734+Github!G$1734</f>
        <v>423</v>
      </c>
      <c r="F1735" s="18">
        <f t="shared" si="1"/>
        <v>0.44</v>
      </c>
      <c r="G1735" s="17" t="str">
        <f>Github!H$1734</f>
        <v>Algorithms</v>
      </c>
      <c r="H1735" s="17" t="str">
        <f>Github!E$1734</f>
        <v>Medium</v>
      </c>
      <c r="I1735" s="17" t="str">
        <f>IF(TRIM(Github!D$1734)="TRUE","FALSE","TRUE")</f>
        <v>TRUE</v>
      </c>
      <c r="J1735" s="17"/>
      <c r="K1735" s="17" t="str">
        <f>Github!L$1734</f>
        <v>Array;Greedy;</v>
      </c>
      <c r="L1735" s="17" t="b">
        <f>Github!M$1734</f>
        <v>0</v>
      </c>
      <c r="M1735" s="17" t="str">
        <f>ROUND(Github!N$1734, 2)&amp;"%"</f>
        <v>0%</v>
      </c>
      <c r="N1735" s="17">
        <f>Github!O$1734</f>
        <v>40.56069604</v>
      </c>
      <c r="O1735" s="17">
        <f>Github!P$1734</f>
        <v>5874</v>
      </c>
    </row>
    <row r="1736">
      <c r="A1736" s="17">
        <f>Github!J$1735</f>
        <v>1734</v>
      </c>
      <c r="B1736" s="27" t="str">
        <f>HYPERLINK(CONCAT("http://leetcode.com/problems/",Github!C$1735), Github!B$1735)</f>
        <v>Decode XORed Permutation</v>
      </c>
      <c r="C1736" s="17">
        <f>Github!F$1735</f>
        <v>465</v>
      </c>
      <c r="D1736" s="17">
        <f>Github!G$1735</f>
        <v>18</v>
      </c>
      <c r="E1736" s="17">
        <f>Github!F$1735+Github!G$1735</f>
        <v>483</v>
      </c>
      <c r="F1736" s="18">
        <f t="shared" si="1"/>
        <v>25.83</v>
      </c>
      <c r="G1736" s="17" t="str">
        <f>Github!H$1735</f>
        <v>Algorithms</v>
      </c>
      <c r="H1736" s="17" t="str">
        <f>Github!E$1735</f>
        <v>Medium</v>
      </c>
      <c r="I1736" s="17" t="str">
        <f>IF(TRIM(Github!D$1735)="TRUE","FALSE","TRUE")</f>
        <v>TRUE</v>
      </c>
      <c r="J1736" s="17"/>
      <c r="K1736" s="17" t="str">
        <f>Github!L$1735</f>
        <v>Array;Bit Manipulation;</v>
      </c>
      <c r="L1736" s="17" t="b">
        <f>Github!M$1735</f>
        <v>0</v>
      </c>
      <c r="M1736" s="17" t="str">
        <f>ROUND(Github!N$1735, 2)&amp;"%"</f>
        <v>0%</v>
      </c>
      <c r="N1736" s="17">
        <f>Github!O$1735</f>
        <v>60.20787445</v>
      </c>
      <c r="O1736" s="17">
        <f>Github!P$1735</f>
        <v>8747</v>
      </c>
    </row>
    <row r="1737">
      <c r="A1737" s="17">
        <f>Github!J$1736</f>
        <v>1735</v>
      </c>
      <c r="B1737" s="27" t="str">
        <f>HYPERLINK(CONCAT("http://leetcode.com/problems/",Github!C$1736), Github!B$1736)</f>
        <v>Count Ways to Make Array With Product</v>
      </c>
      <c r="C1737" s="17">
        <f>Github!F$1736</f>
        <v>147</v>
      </c>
      <c r="D1737" s="17">
        <f>Github!G$1736</f>
        <v>24</v>
      </c>
      <c r="E1737" s="17">
        <f>Github!F$1736+Github!G$1736</f>
        <v>171</v>
      </c>
      <c r="F1737" s="18">
        <f t="shared" si="1"/>
        <v>6.13</v>
      </c>
      <c r="G1737" s="17" t="str">
        <f>Github!H$1736</f>
        <v>Algorithms</v>
      </c>
      <c r="H1737" s="17" t="str">
        <f>Github!E$1736</f>
        <v>Hard</v>
      </c>
      <c r="I1737" s="17" t="str">
        <f>IF(TRIM(Github!D$1736)="TRUE","FALSE","TRUE")</f>
        <v>TRUE</v>
      </c>
      <c r="J1737" s="17"/>
      <c r="K1737" s="17" t="str">
        <f>Github!L$1736</f>
        <v>Array;Math;Dynamic Programming;</v>
      </c>
      <c r="L1737" s="17" t="b">
        <f>Github!M$1736</f>
        <v>0</v>
      </c>
      <c r="M1737" s="17" t="str">
        <f>ROUND(Github!N$1736, 2)&amp;"%"</f>
        <v>0%</v>
      </c>
      <c r="N1737" s="17">
        <f>Github!O$1736</f>
        <v>49.48979592</v>
      </c>
      <c r="O1737" s="17">
        <f>Github!P$1736</f>
        <v>3104</v>
      </c>
    </row>
    <row r="1738">
      <c r="A1738" s="17">
        <f>Github!J$1737</f>
        <v>1736</v>
      </c>
      <c r="B1738" s="27" t="str">
        <f>HYPERLINK(CONCAT("http://leetcode.com/problems/",Github!C$1737), Github!B$1737)</f>
        <v>Latest Time by Replacing Hidden Digits</v>
      </c>
      <c r="C1738" s="17">
        <f>Github!F$1737</f>
        <v>191</v>
      </c>
      <c r="D1738" s="17">
        <f>Github!G$1737</f>
        <v>112</v>
      </c>
      <c r="E1738" s="17">
        <f>Github!F$1737+Github!G$1737</f>
        <v>303</v>
      </c>
      <c r="F1738" s="18">
        <f t="shared" si="1"/>
        <v>1.71</v>
      </c>
      <c r="G1738" s="17" t="str">
        <f>Github!H$1737</f>
        <v>Algorithms</v>
      </c>
      <c r="H1738" s="17" t="str">
        <f>Github!E$1737</f>
        <v>Easy</v>
      </c>
      <c r="I1738" s="17" t="str">
        <f>IF(TRIM(Github!D$1737)="TRUE","FALSE","TRUE")</f>
        <v>TRUE</v>
      </c>
      <c r="J1738" s="17"/>
      <c r="K1738" s="17" t="str">
        <f>Github!L$1737</f>
        <v>String;Greedy;</v>
      </c>
      <c r="L1738" s="17" t="b">
        <f>Github!M$1737</f>
        <v>0</v>
      </c>
      <c r="M1738" s="17" t="str">
        <f>ROUND(Github!N$1737, 2)&amp;"%"</f>
        <v>0%</v>
      </c>
      <c r="N1738" s="17">
        <f>Github!O$1737</f>
        <v>41.93795857</v>
      </c>
      <c r="O1738" s="17">
        <f>Github!P$1737</f>
        <v>21320</v>
      </c>
    </row>
    <row r="1739">
      <c r="A1739" s="17">
        <f>Github!J$1738</f>
        <v>1737</v>
      </c>
      <c r="B1739" s="27" t="str">
        <f>HYPERLINK(CONCAT("http://leetcode.com/problems/",Github!C$1738), Github!B$1738)</f>
        <v>Change Minimum Characters to Satisfy One of Three Conditions</v>
      </c>
      <c r="C1739" s="17">
        <f>Github!F$1738</f>
        <v>229</v>
      </c>
      <c r="D1739" s="17">
        <f>Github!G$1738</f>
        <v>247</v>
      </c>
      <c r="E1739" s="17">
        <f>Github!F$1738+Github!G$1738</f>
        <v>476</v>
      </c>
      <c r="F1739" s="18">
        <f t="shared" si="1"/>
        <v>0.93</v>
      </c>
      <c r="G1739" s="17" t="str">
        <f>Github!H$1738</f>
        <v>Algorithms</v>
      </c>
      <c r="H1739" s="17" t="str">
        <f>Github!E$1738</f>
        <v>Medium</v>
      </c>
      <c r="I1739" s="17" t="str">
        <f>IF(TRIM(Github!D$1738)="TRUE","FALSE","TRUE")</f>
        <v>TRUE</v>
      </c>
      <c r="J1739" s="17"/>
      <c r="K1739" s="17" t="str">
        <f>Github!L$1738</f>
        <v>Hash Table;String;Counting;Prefix Sum;</v>
      </c>
      <c r="L1739" s="17" t="b">
        <f>Github!M$1738</f>
        <v>0</v>
      </c>
      <c r="M1739" s="17" t="str">
        <f>ROUND(Github!N$1738, 2)&amp;"%"</f>
        <v>0%</v>
      </c>
      <c r="N1739" s="17">
        <f>Github!O$1738</f>
        <v>33.62091901</v>
      </c>
      <c r="O1739" s="17">
        <f>Github!P$1738</f>
        <v>8846</v>
      </c>
    </row>
    <row r="1740">
      <c r="A1740" s="17">
        <f>Github!J$1739</f>
        <v>1738</v>
      </c>
      <c r="B1740" s="27" t="str">
        <f>HYPERLINK(CONCAT("http://leetcode.com/problems/",Github!C$1739), Github!B$1739)</f>
        <v>Find Kth Largest XOR Coordinate Value</v>
      </c>
      <c r="C1740" s="17">
        <f>Github!F$1739</f>
        <v>286</v>
      </c>
      <c r="D1740" s="17">
        <f>Github!G$1739</f>
        <v>43</v>
      </c>
      <c r="E1740" s="17">
        <f>Github!F$1739+Github!G$1739</f>
        <v>329</v>
      </c>
      <c r="F1740" s="18">
        <f t="shared" si="1"/>
        <v>6.65</v>
      </c>
      <c r="G1740" s="17" t="str">
        <f>Github!H$1739</f>
        <v>Algorithms</v>
      </c>
      <c r="H1740" s="17" t="str">
        <f>Github!E$1739</f>
        <v>Medium</v>
      </c>
      <c r="I1740" s="17" t="str">
        <f>IF(TRIM(Github!D$1739)="TRUE","FALSE","TRUE")</f>
        <v>TRUE</v>
      </c>
      <c r="J1740" s="17"/>
      <c r="K1740" s="17" t="str">
        <f>Github!L$1739</f>
        <v>Array;Divide and Conquer;Bit Manipulation;Heap (Priority Queue);Matrix;Prefix Sum;Quickselect;</v>
      </c>
      <c r="L1740" s="17" t="b">
        <f>Github!M$1739</f>
        <v>0</v>
      </c>
      <c r="M1740" s="17" t="str">
        <f>ROUND(Github!N$1739, 2)&amp;"%"</f>
        <v>0%</v>
      </c>
      <c r="N1740" s="17">
        <f>Github!O$1739</f>
        <v>62.19600726</v>
      </c>
      <c r="O1740" s="17">
        <f>Github!P$1739</f>
        <v>13708</v>
      </c>
    </row>
    <row r="1741">
      <c r="A1741" s="17">
        <f>Github!J$1740</f>
        <v>1739</v>
      </c>
      <c r="B1741" s="27" t="str">
        <f>HYPERLINK(CONCAT("http://leetcode.com/problems/",Github!C$1740), Github!B$1740)</f>
        <v>Building Boxes</v>
      </c>
      <c r="C1741" s="17">
        <f>Github!F$1740</f>
        <v>192</v>
      </c>
      <c r="D1741" s="17">
        <f>Github!G$1740</f>
        <v>33</v>
      </c>
      <c r="E1741" s="17">
        <f>Github!F$1740+Github!G$1740</f>
        <v>225</v>
      </c>
      <c r="F1741" s="18">
        <f t="shared" si="1"/>
        <v>5.82</v>
      </c>
      <c r="G1741" s="17" t="str">
        <f>Github!H$1740</f>
        <v>Algorithms</v>
      </c>
      <c r="H1741" s="17" t="str">
        <f>Github!E$1740</f>
        <v>Hard</v>
      </c>
      <c r="I1741" s="17" t="str">
        <f>IF(TRIM(Github!D$1740)="TRUE","FALSE","TRUE")</f>
        <v>TRUE</v>
      </c>
      <c r="J1741" s="17"/>
      <c r="K1741" s="17" t="str">
        <f>Github!L$1740</f>
        <v>Math;Binary Search;Greedy;</v>
      </c>
      <c r="L1741" s="17" t="b">
        <f>Github!M$1740</f>
        <v>0</v>
      </c>
      <c r="M1741" s="17" t="str">
        <f>ROUND(Github!N$1740, 2)&amp;"%"</f>
        <v>0%</v>
      </c>
      <c r="N1741" s="17">
        <f>Github!O$1740</f>
        <v>50.66724064</v>
      </c>
      <c r="O1741" s="17">
        <f>Github!P$1740</f>
        <v>4708</v>
      </c>
    </row>
    <row r="1742">
      <c r="A1742" s="17">
        <f>Github!J$1741</f>
        <v>1740</v>
      </c>
      <c r="B1742" s="27" t="str">
        <f>HYPERLINK(CONCAT("http://leetcode.com/problems/",Github!C$1741), Github!B$1741)</f>
        <v>Find Distance in a Binary Tree</v>
      </c>
      <c r="C1742" s="17">
        <f>Github!F$1741</f>
        <v>215</v>
      </c>
      <c r="D1742" s="17">
        <f>Github!G$1741</f>
        <v>9</v>
      </c>
      <c r="E1742" s="17">
        <f>Github!F$1741+Github!G$1741</f>
        <v>224</v>
      </c>
      <c r="F1742" s="18">
        <f t="shared" si="1"/>
        <v>23.89</v>
      </c>
      <c r="G1742" s="17" t="str">
        <f>Github!H$1741</f>
        <v>Algorithms</v>
      </c>
      <c r="H1742" s="17" t="str">
        <f>Github!E$1741</f>
        <v>Medium</v>
      </c>
      <c r="I1742" s="17" t="str">
        <f>IF(TRIM(Github!D$1741)="TRUE","FALSE","TRUE")</f>
        <v>FALSE</v>
      </c>
      <c r="J1742" s="17"/>
      <c r="K1742" s="17" t="str">
        <f>Github!L$1741</f>
        <v>Hash Table;Tree;Depth-First Search;Breadth-First Search;Binary Tree;</v>
      </c>
      <c r="L1742" s="17" t="b">
        <f>Github!M$1741</f>
        <v>0</v>
      </c>
      <c r="M1742" s="17" t="str">
        <f>ROUND(Github!N$1741, 2)&amp;"%"</f>
        <v>0%</v>
      </c>
      <c r="N1742" s="17">
        <f>Github!O$1741</f>
        <v>68.25396825</v>
      </c>
      <c r="O1742" s="17">
        <f>Github!P$1741</f>
        <v>9890</v>
      </c>
    </row>
    <row r="1743">
      <c r="A1743" s="17">
        <f>Github!J$1742</f>
        <v>1741</v>
      </c>
      <c r="B1743" s="27" t="str">
        <f>HYPERLINK(CONCAT("http://leetcode.com/problems/",Github!C$1742), Github!B$1742)</f>
        <v>Find Total Time Spent by Each Employee</v>
      </c>
      <c r="C1743" s="17">
        <f>Github!F$1742</f>
        <v>70</v>
      </c>
      <c r="D1743" s="17">
        <f>Github!G$1742</f>
        <v>3</v>
      </c>
      <c r="E1743" s="17">
        <f>Github!F$1742+Github!G$1742</f>
        <v>73</v>
      </c>
      <c r="F1743" s="18">
        <f t="shared" si="1"/>
        <v>23.33</v>
      </c>
      <c r="G1743" s="17" t="str">
        <f>Github!H$1742</f>
        <v>Database</v>
      </c>
      <c r="H1743" s="17" t="str">
        <f>Github!E$1742</f>
        <v>Easy</v>
      </c>
      <c r="I1743" s="17" t="str">
        <f>IF(TRIM(Github!D$1742)="TRUE","FALSE","TRUE")</f>
        <v>FALSE</v>
      </c>
      <c r="J1743" s="17"/>
      <c r="K1743" s="17" t="str">
        <f>Github!L$1742</f>
        <v>Database;</v>
      </c>
      <c r="L1743" s="17" t="b">
        <f>Github!M$1742</f>
        <v>0</v>
      </c>
      <c r="M1743" s="17" t="str">
        <f>ROUND(Github!N$1742, 2)&amp;"%"</f>
        <v>0%</v>
      </c>
      <c r="N1743" s="17">
        <f>Github!O$1742</f>
        <v>91.39108555</v>
      </c>
      <c r="O1743" s="17">
        <f>Github!P$1742</f>
        <v>15254</v>
      </c>
    </row>
    <row r="1744">
      <c r="A1744" s="17">
        <f>Github!J$1743</f>
        <v>1742</v>
      </c>
      <c r="B1744" s="27" t="str">
        <f>HYPERLINK(CONCAT("http://leetcode.com/problems/",Github!C$1743), Github!B$1743)</f>
        <v>Maximum Number of Balls in a Box</v>
      </c>
      <c r="C1744" s="17">
        <f>Github!F$1743</f>
        <v>347</v>
      </c>
      <c r="D1744" s="17">
        <f>Github!G$1743</f>
        <v>80</v>
      </c>
      <c r="E1744" s="17">
        <f>Github!F$1743+Github!G$1743</f>
        <v>427</v>
      </c>
      <c r="F1744" s="18">
        <f t="shared" si="1"/>
        <v>4.34</v>
      </c>
      <c r="G1744" s="17" t="str">
        <f>Github!H$1743</f>
        <v>Algorithms</v>
      </c>
      <c r="H1744" s="17" t="str">
        <f>Github!E$1743</f>
        <v>Easy</v>
      </c>
      <c r="I1744" s="17" t="str">
        <f>IF(TRIM(Github!D$1743)="TRUE","FALSE","TRUE")</f>
        <v>TRUE</v>
      </c>
      <c r="J1744" s="17"/>
      <c r="K1744" s="17" t="str">
        <f>Github!L$1743</f>
        <v>Hash Table;Math;Counting;</v>
      </c>
      <c r="L1744" s="17" t="b">
        <f>Github!M$1743</f>
        <v>0</v>
      </c>
      <c r="M1744" s="17" t="str">
        <f>ROUND(Github!N$1743, 2)&amp;"%"</f>
        <v>0%</v>
      </c>
      <c r="N1744" s="17">
        <f>Github!O$1743</f>
        <v>73.68083657</v>
      </c>
      <c r="O1744" s="17">
        <f>Github!P$1743</f>
        <v>36780</v>
      </c>
    </row>
    <row r="1745">
      <c r="A1745" s="17">
        <f>Github!J$1744</f>
        <v>1743</v>
      </c>
      <c r="B1745" s="27" t="str">
        <f>HYPERLINK(CONCAT("http://leetcode.com/problems/",Github!C$1744), Github!B$1744)</f>
        <v>Restore the Array From Adjacent Pairs</v>
      </c>
      <c r="C1745" s="17">
        <f>Github!F$1744</f>
        <v>592</v>
      </c>
      <c r="D1745" s="17">
        <f>Github!G$1744</f>
        <v>9</v>
      </c>
      <c r="E1745" s="17">
        <f>Github!F$1744+Github!G$1744</f>
        <v>601</v>
      </c>
      <c r="F1745" s="18">
        <f t="shared" si="1"/>
        <v>65.78</v>
      </c>
      <c r="G1745" s="17" t="str">
        <f>Github!H$1744</f>
        <v>Algorithms</v>
      </c>
      <c r="H1745" s="17" t="str">
        <f>Github!E$1744</f>
        <v>Medium</v>
      </c>
      <c r="I1745" s="17" t="str">
        <f>IF(TRIM(Github!D$1744)="TRUE","FALSE","TRUE")</f>
        <v>TRUE</v>
      </c>
      <c r="J1745" s="17"/>
      <c r="K1745" s="17" t="str">
        <f>Github!L$1744</f>
        <v>Array;Hash Table;</v>
      </c>
      <c r="L1745" s="17" t="b">
        <f>Github!M$1744</f>
        <v>0</v>
      </c>
      <c r="M1745" s="17" t="str">
        <f>ROUND(Github!N$1744, 2)&amp;"%"</f>
        <v>0%</v>
      </c>
      <c r="N1745" s="17">
        <f>Github!O$1744</f>
        <v>68.05643173</v>
      </c>
      <c r="O1745" s="17">
        <f>Github!P$1744</f>
        <v>23734</v>
      </c>
    </row>
    <row r="1746">
      <c r="A1746" s="17">
        <f>Github!J$1745</f>
        <v>1744</v>
      </c>
      <c r="B1746" s="27" t="str">
        <f>HYPERLINK(CONCAT("http://leetcode.com/problems/",Github!C$1745), Github!B$1745)</f>
        <v>Can You Eat Your Favorite Candy on Your Favorite Day?</v>
      </c>
      <c r="C1746" s="17">
        <f>Github!F$1745</f>
        <v>81</v>
      </c>
      <c r="D1746" s="17">
        <f>Github!G$1745</f>
        <v>257</v>
      </c>
      <c r="E1746" s="17">
        <f>Github!F$1745+Github!G$1745</f>
        <v>338</v>
      </c>
      <c r="F1746" s="18">
        <f t="shared" si="1"/>
        <v>0.32</v>
      </c>
      <c r="G1746" s="17" t="str">
        <f>Github!H$1745</f>
        <v>Algorithms</v>
      </c>
      <c r="H1746" s="17" t="str">
        <f>Github!E$1745</f>
        <v>Medium</v>
      </c>
      <c r="I1746" s="17" t="str">
        <f>IF(TRIM(Github!D$1745)="TRUE","FALSE","TRUE")</f>
        <v>TRUE</v>
      </c>
      <c r="J1746" s="17"/>
      <c r="K1746" s="17" t="str">
        <f>Github!L$1745</f>
        <v>Array;Prefix Sum;</v>
      </c>
      <c r="L1746" s="17" t="b">
        <f>Github!M$1745</f>
        <v>0</v>
      </c>
      <c r="M1746" s="17" t="str">
        <f>ROUND(Github!N$1745, 2)&amp;"%"</f>
        <v>0%</v>
      </c>
      <c r="N1746" s="17">
        <f>Github!O$1745</f>
        <v>32.06893674</v>
      </c>
      <c r="O1746" s="17">
        <f>Github!P$1745</f>
        <v>7685</v>
      </c>
    </row>
    <row r="1747">
      <c r="A1747" s="17">
        <f>Github!J$1746</f>
        <v>1745</v>
      </c>
      <c r="B1747" s="27" t="str">
        <f>HYPERLINK(CONCAT("http://leetcode.com/problems/",Github!C$1746), Github!B$1746)</f>
        <v>Palindrome Partitioning IV</v>
      </c>
      <c r="C1747" s="17">
        <f>Github!F$1746</f>
        <v>470</v>
      </c>
      <c r="D1747" s="17">
        <f>Github!G$1746</f>
        <v>14</v>
      </c>
      <c r="E1747" s="17">
        <f>Github!F$1746+Github!G$1746</f>
        <v>484</v>
      </c>
      <c r="F1747" s="18">
        <f t="shared" si="1"/>
        <v>33.57</v>
      </c>
      <c r="G1747" s="17" t="str">
        <f>Github!H$1746</f>
        <v>Algorithms</v>
      </c>
      <c r="H1747" s="17" t="str">
        <f>Github!E$1746</f>
        <v>Hard</v>
      </c>
      <c r="I1747" s="17" t="str">
        <f>IF(TRIM(Github!D$1746)="TRUE","FALSE","TRUE")</f>
        <v>TRUE</v>
      </c>
      <c r="J1747" s="17"/>
      <c r="K1747" s="17" t="str">
        <f>Github!L$1746</f>
        <v>String;Dynamic Programming;</v>
      </c>
      <c r="L1747" s="17" t="b">
        <f>Github!M$1746</f>
        <v>0</v>
      </c>
      <c r="M1747" s="17" t="str">
        <f>ROUND(Github!N$1746, 2)&amp;"%"</f>
        <v>0%</v>
      </c>
      <c r="N1747" s="17">
        <f>Github!O$1746</f>
        <v>49.25949323</v>
      </c>
      <c r="O1747" s="17">
        <f>Github!P$1746</f>
        <v>14036</v>
      </c>
    </row>
    <row r="1748">
      <c r="A1748" s="17">
        <f>Github!J$1747</f>
        <v>1746</v>
      </c>
      <c r="B1748" s="27" t="str">
        <f>HYPERLINK(CONCAT("http://leetcode.com/problems/",Github!C$1747), Github!B$1747)</f>
        <v>Maximum Subarray Sum After One Operation</v>
      </c>
      <c r="C1748" s="17">
        <f>Github!F$1747</f>
        <v>181</v>
      </c>
      <c r="D1748" s="17">
        <f>Github!G$1747</f>
        <v>3</v>
      </c>
      <c r="E1748" s="17">
        <f>Github!F$1747+Github!G$1747</f>
        <v>184</v>
      </c>
      <c r="F1748" s="18">
        <f t="shared" si="1"/>
        <v>60.33</v>
      </c>
      <c r="G1748" s="17" t="str">
        <f>Github!H$1747</f>
        <v>Algorithms</v>
      </c>
      <c r="H1748" s="17" t="str">
        <f>Github!E$1747</f>
        <v>Medium</v>
      </c>
      <c r="I1748" s="17" t="str">
        <f>IF(TRIM(Github!D$1747)="TRUE","FALSE","TRUE")</f>
        <v>FALSE</v>
      </c>
      <c r="J1748" s="17"/>
      <c r="K1748" s="17" t="str">
        <f>Github!L$1747</f>
        <v>Array;Dynamic Programming;</v>
      </c>
      <c r="L1748" s="17" t="b">
        <f>Github!M$1747</f>
        <v>0</v>
      </c>
      <c r="M1748" s="17" t="str">
        <f>ROUND(Github!N$1747, 2)&amp;"%"</f>
        <v>0%</v>
      </c>
      <c r="N1748" s="17">
        <f>Github!O$1747</f>
        <v>62.04595997</v>
      </c>
      <c r="O1748" s="17">
        <f>Github!P$1747</f>
        <v>5019</v>
      </c>
    </row>
    <row r="1749">
      <c r="A1749" s="17">
        <f>Github!J$1748</f>
        <v>1747</v>
      </c>
      <c r="B1749" s="27" t="str">
        <f>HYPERLINK(CONCAT("http://leetcode.com/problems/",Github!C$1748), Github!B$1748)</f>
        <v>Leetflex Banned Accounts</v>
      </c>
      <c r="C1749" s="17">
        <f>Github!F$1748</f>
        <v>68</v>
      </c>
      <c r="D1749" s="17">
        <f>Github!G$1748</f>
        <v>4</v>
      </c>
      <c r="E1749" s="17">
        <f>Github!F$1748+Github!G$1748</f>
        <v>72</v>
      </c>
      <c r="F1749" s="18">
        <f t="shared" si="1"/>
        <v>17</v>
      </c>
      <c r="G1749" s="17" t="str">
        <f>Github!H$1748</f>
        <v>Database</v>
      </c>
      <c r="H1749" s="17" t="str">
        <f>Github!E$1748</f>
        <v>Medium</v>
      </c>
      <c r="I1749" s="17" t="str">
        <f>IF(TRIM(Github!D$1748)="TRUE","FALSE","TRUE")</f>
        <v>FALSE</v>
      </c>
      <c r="J1749" s="17"/>
      <c r="K1749" s="17" t="str">
        <f>Github!L$1748</f>
        <v>Database;</v>
      </c>
      <c r="L1749" s="17" t="b">
        <f>Github!M$1748</f>
        <v>0</v>
      </c>
      <c r="M1749" s="17" t="str">
        <f>ROUND(Github!N$1748, 2)&amp;"%"</f>
        <v>0%</v>
      </c>
      <c r="N1749" s="17">
        <f>Github!O$1748</f>
        <v>67.40357929</v>
      </c>
      <c r="O1749" s="17">
        <f>Github!P$1748</f>
        <v>7043</v>
      </c>
    </row>
    <row r="1750">
      <c r="A1750" s="17">
        <f>Github!J$1749</f>
        <v>1748</v>
      </c>
      <c r="B1750" s="27" t="str">
        <f>HYPERLINK(CONCAT("http://leetcode.com/problems/",Github!C$1749), Github!B$1749)</f>
        <v>Sum of Unique Elements</v>
      </c>
      <c r="C1750" s="17">
        <f>Github!F$1749</f>
        <v>683</v>
      </c>
      <c r="D1750" s="17">
        <f>Github!G$1749</f>
        <v>17</v>
      </c>
      <c r="E1750" s="17">
        <f>Github!F$1749+Github!G$1749</f>
        <v>700</v>
      </c>
      <c r="F1750" s="18">
        <f t="shared" si="1"/>
        <v>40.18</v>
      </c>
      <c r="G1750" s="17" t="str">
        <f>Github!H$1749</f>
        <v>Algorithms</v>
      </c>
      <c r="H1750" s="17" t="str">
        <f>Github!E$1749</f>
        <v>Easy</v>
      </c>
      <c r="I1750" s="17" t="str">
        <f>IF(TRIM(Github!D$1749)="TRUE","FALSE","TRUE")</f>
        <v>TRUE</v>
      </c>
      <c r="J1750" s="17"/>
      <c r="K1750" s="17" t="str">
        <f>Github!L$1749</f>
        <v>Array;Hash Table;Counting;</v>
      </c>
      <c r="L1750" s="17" t="b">
        <f>Github!M$1749</f>
        <v>0</v>
      </c>
      <c r="M1750" s="17" t="str">
        <f>ROUND(Github!N$1749, 2)&amp;"%"</f>
        <v>0%</v>
      </c>
      <c r="N1750" s="17">
        <f>Github!O$1749</f>
        <v>75.38608031</v>
      </c>
      <c r="O1750" s="17">
        <f>Github!P$1749</f>
        <v>68877</v>
      </c>
    </row>
    <row r="1751">
      <c r="A1751" s="17">
        <f>Github!J$1750</f>
        <v>1749</v>
      </c>
      <c r="B1751" s="27" t="str">
        <f>HYPERLINK(CONCAT("http://leetcode.com/problems/",Github!C$1750), Github!B$1750)</f>
        <v>Maximum Absolute Sum of Any Subarray</v>
      </c>
      <c r="C1751" s="17">
        <f>Github!F$1750</f>
        <v>667</v>
      </c>
      <c r="D1751" s="17">
        <f>Github!G$1750</f>
        <v>10</v>
      </c>
      <c r="E1751" s="17">
        <f>Github!F$1750+Github!G$1750</f>
        <v>677</v>
      </c>
      <c r="F1751" s="18">
        <f t="shared" si="1"/>
        <v>66.7</v>
      </c>
      <c r="G1751" s="17" t="str">
        <f>Github!H$1750</f>
        <v>Algorithms</v>
      </c>
      <c r="H1751" s="17" t="str">
        <f>Github!E$1750</f>
        <v>Medium</v>
      </c>
      <c r="I1751" s="17" t="str">
        <f>IF(TRIM(Github!D$1750)="TRUE","FALSE","TRUE")</f>
        <v>TRUE</v>
      </c>
      <c r="J1751" s="17"/>
      <c r="K1751" s="17" t="str">
        <f>Github!L$1750</f>
        <v>Array;Dynamic Programming;</v>
      </c>
      <c r="L1751" s="17" t="b">
        <f>Github!M$1750</f>
        <v>0</v>
      </c>
      <c r="M1751" s="17" t="str">
        <f>ROUND(Github!N$1750, 2)&amp;"%"</f>
        <v>0%</v>
      </c>
      <c r="N1751" s="17">
        <f>Github!O$1750</f>
        <v>56.59838153</v>
      </c>
      <c r="O1751" s="17">
        <f>Github!P$1750</f>
        <v>20002</v>
      </c>
    </row>
    <row r="1752">
      <c r="A1752" s="17">
        <f>Github!J$1751</f>
        <v>1750</v>
      </c>
      <c r="B1752" s="27" t="str">
        <f>HYPERLINK(CONCAT("http://leetcode.com/problems/",Github!C$1751), Github!B$1751)</f>
        <v>Minimum Length of String After Deleting Similar Ends</v>
      </c>
      <c r="C1752" s="17">
        <f>Github!F$1751</f>
        <v>261</v>
      </c>
      <c r="D1752" s="17">
        <f>Github!G$1751</f>
        <v>17</v>
      </c>
      <c r="E1752" s="17">
        <f>Github!F$1751+Github!G$1751</f>
        <v>278</v>
      </c>
      <c r="F1752" s="18">
        <f t="shared" si="1"/>
        <v>15.35</v>
      </c>
      <c r="G1752" s="17" t="str">
        <f>Github!H$1751</f>
        <v>Algorithms</v>
      </c>
      <c r="H1752" s="17" t="str">
        <f>Github!E$1751</f>
        <v>Medium</v>
      </c>
      <c r="I1752" s="17" t="str">
        <f>IF(TRIM(Github!D$1751)="TRUE","FALSE","TRUE")</f>
        <v>TRUE</v>
      </c>
      <c r="J1752" s="17"/>
      <c r="K1752" s="17" t="str">
        <f>Github!L$1751</f>
        <v>Two Pointers;String;</v>
      </c>
      <c r="L1752" s="17" t="b">
        <f>Github!M$1751</f>
        <v>0</v>
      </c>
      <c r="M1752" s="17" t="str">
        <f>ROUND(Github!N$1751, 2)&amp;"%"</f>
        <v>0%</v>
      </c>
      <c r="N1752" s="17">
        <f>Github!O$1751</f>
        <v>43.04539764</v>
      </c>
      <c r="O1752" s="17">
        <f>Github!P$1751</f>
        <v>13066</v>
      </c>
    </row>
    <row r="1753">
      <c r="A1753" s="17">
        <f>Github!J$1752</f>
        <v>1751</v>
      </c>
      <c r="B1753" s="27" t="str">
        <f>HYPERLINK(CONCAT("http://leetcode.com/problems/",Github!C$1752), Github!B$1752)</f>
        <v>Maximum Number of Events That Can Be Attended II</v>
      </c>
      <c r="C1753" s="17">
        <f>Github!F$1752</f>
        <v>438</v>
      </c>
      <c r="D1753" s="17">
        <f>Github!G$1752</f>
        <v>8</v>
      </c>
      <c r="E1753" s="17">
        <f>Github!F$1752+Github!G$1752</f>
        <v>446</v>
      </c>
      <c r="F1753" s="18">
        <f t="shared" si="1"/>
        <v>54.75</v>
      </c>
      <c r="G1753" s="17" t="str">
        <f>Github!H$1752</f>
        <v>Algorithms</v>
      </c>
      <c r="H1753" s="17" t="str">
        <f>Github!E$1752</f>
        <v>Hard</v>
      </c>
      <c r="I1753" s="17" t="str">
        <f>IF(TRIM(Github!D$1752)="TRUE","FALSE","TRUE")</f>
        <v>TRUE</v>
      </c>
      <c r="J1753" s="17"/>
      <c r="K1753" s="17" t="str">
        <f>Github!L$1752</f>
        <v>Array;Binary Search;Dynamic Programming;</v>
      </c>
      <c r="L1753" s="17" t="b">
        <f>Github!M$1752</f>
        <v>0</v>
      </c>
      <c r="M1753" s="17" t="str">
        <f>ROUND(Github!N$1752, 2)&amp;"%"</f>
        <v>0%</v>
      </c>
      <c r="N1753" s="17">
        <f>Github!O$1752</f>
        <v>54.57169574</v>
      </c>
      <c r="O1753" s="17">
        <f>Github!P$1752</f>
        <v>13423</v>
      </c>
    </row>
    <row r="1754">
      <c r="A1754" s="17">
        <f>Github!J$1753</f>
        <v>1752</v>
      </c>
      <c r="B1754" s="27" t="str">
        <f>HYPERLINK(CONCAT("http://leetcode.com/problems/",Github!C$1753), Github!B$1753)</f>
        <v>Check if Array Is Sorted and Rotated</v>
      </c>
      <c r="C1754" s="17">
        <f>Github!F$1753</f>
        <v>507</v>
      </c>
      <c r="D1754" s="17">
        <f>Github!G$1753</f>
        <v>47</v>
      </c>
      <c r="E1754" s="17">
        <f>Github!F$1753+Github!G$1753</f>
        <v>554</v>
      </c>
      <c r="F1754" s="18">
        <f t="shared" si="1"/>
        <v>10.79</v>
      </c>
      <c r="G1754" s="17" t="str">
        <f>Github!H$1753</f>
        <v>Algorithms</v>
      </c>
      <c r="H1754" s="17" t="str">
        <f>Github!E$1753</f>
        <v>Easy</v>
      </c>
      <c r="I1754" s="17" t="str">
        <f>IF(TRIM(Github!D$1753)="TRUE","FALSE","TRUE")</f>
        <v>TRUE</v>
      </c>
      <c r="J1754" s="17"/>
      <c r="K1754" s="17" t="str">
        <f>Github!L$1753</f>
        <v>Array;</v>
      </c>
      <c r="L1754" s="17" t="b">
        <f>Github!M$1753</f>
        <v>0</v>
      </c>
      <c r="M1754" s="17" t="str">
        <f>ROUND(Github!N$1753, 2)&amp;"%"</f>
        <v>0%</v>
      </c>
      <c r="N1754" s="17">
        <f>Github!O$1753</f>
        <v>47.41455264</v>
      </c>
      <c r="O1754" s="17">
        <f>Github!P$1753</f>
        <v>31213</v>
      </c>
    </row>
    <row r="1755">
      <c r="A1755" s="17">
        <f>Github!J$1754</f>
        <v>1753</v>
      </c>
      <c r="B1755" s="27" t="str">
        <f>HYPERLINK(CONCAT("http://leetcode.com/problems/",Github!C$1754), Github!B$1754)</f>
        <v>Maximum Score From Removing Stones</v>
      </c>
      <c r="C1755" s="17">
        <f>Github!F$1754</f>
        <v>458</v>
      </c>
      <c r="D1755" s="17">
        <f>Github!G$1754</f>
        <v>33</v>
      </c>
      <c r="E1755" s="17">
        <f>Github!F$1754+Github!G$1754</f>
        <v>491</v>
      </c>
      <c r="F1755" s="18">
        <f t="shared" si="1"/>
        <v>13.88</v>
      </c>
      <c r="G1755" s="17" t="str">
        <f>Github!H$1754</f>
        <v>Algorithms</v>
      </c>
      <c r="H1755" s="17" t="str">
        <f>Github!E$1754</f>
        <v>Medium</v>
      </c>
      <c r="I1755" s="17" t="str">
        <f>IF(TRIM(Github!D$1754)="TRUE","FALSE","TRUE")</f>
        <v>TRUE</v>
      </c>
      <c r="J1755" s="17"/>
      <c r="K1755" s="17" t="str">
        <f>Github!L$1754</f>
        <v>Math;Greedy;Heap (Priority Queue);</v>
      </c>
      <c r="L1755" s="17" t="b">
        <f>Github!M$1754</f>
        <v>0</v>
      </c>
      <c r="M1755" s="17" t="str">
        <f>ROUND(Github!N$1754, 2)&amp;"%"</f>
        <v>0%</v>
      </c>
      <c r="N1755" s="17">
        <f>Github!O$1754</f>
        <v>64.86277042</v>
      </c>
      <c r="O1755" s="17">
        <f>Github!P$1754</f>
        <v>20088</v>
      </c>
    </row>
    <row r="1756">
      <c r="A1756" s="17">
        <f>Github!J$1755</f>
        <v>1754</v>
      </c>
      <c r="B1756" s="27" t="str">
        <f>HYPERLINK(CONCAT("http://leetcode.com/problems/",Github!C$1755), Github!B$1755)</f>
        <v>Largest Merge Of Two Strings</v>
      </c>
      <c r="C1756" s="17">
        <f>Github!F$1755</f>
        <v>329</v>
      </c>
      <c r="D1756" s="17">
        <f>Github!G$1755</f>
        <v>50</v>
      </c>
      <c r="E1756" s="17">
        <f>Github!F$1755+Github!G$1755</f>
        <v>379</v>
      </c>
      <c r="F1756" s="18">
        <f t="shared" si="1"/>
        <v>6.58</v>
      </c>
      <c r="G1756" s="17" t="str">
        <f>Github!H$1755</f>
        <v>Algorithms</v>
      </c>
      <c r="H1756" s="17" t="str">
        <f>Github!E$1755</f>
        <v>Medium</v>
      </c>
      <c r="I1756" s="17" t="str">
        <f>IF(TRIM(Github!D$1755)="TRUE","FALSE","TRUE")</f>
        <v>TRUE</v>
      </c>
      <c r="J1756" s="17"/>
      <c r="K1756" s="17" t="str">
        <f>Github!L$1755</f>
        <v>Two Pointers;String;Greedy;</v>
      </c>
      <c r="L1756" s="17" t="b">
        <f>Github!M$1755</f>
        <v>0</v>
      </c>
      <c r="M1756" s="17" t="str">
        <f>ROUND(Github!N$1755, 2)&amp;"%"</f>
        <v>0%</v>
      </c>
      <c r="N1756" s="17">
        <f>Github!O$1755</f>
        <v>43.68624692</v>
      </c>
      <c r="O1756" s="17">
        <f>Github!P$1755</f>
        <v>13662</v>
      </c>
    </row>
    <row r="1757">
      <c r="A1757" s="17">
        <f>Github!J$1756</f>
        <v>1755</v>
      </c>
      <c r="B1757" s="27" t="str">
        <f>HYPERLINK(CONCAT("http://leetcode.com/problems/",Github!C$1756), Github!B$1756)</f>
        <v>Closest Subsequence Sum</v>
      </c>
      <c r="C1757" s="17">
        <f>Github!F$1756</f>
        <v>421</v>
      </c>
      <c r="D1757" s="17">
        <f>Github!G$1756</f>
        <v>54</v>
      </c>
      <c r="E1757" s="17">
        <f>Github!F$1756+Github!G$1756</f>
        <v>475</v>
      </c>
      <c r="F1757" s="18">
        <f t="shared" si="1"/>
        <v>7.8</v>
      </c>
      <c r="G1757" s="17" t="str">
        <f>Github!H$1756</f>
        <v>Algorithms</v>
      </c>
      <c r="H1757" s="17" t="str">
        <f>Github!E$1756</f>
        <v>Hard</v>
      </c>
      <c r="I1757" s="17" t="str">
        <f>IF(TRIM(Github!D$1756)="TRUE","FALSE","TRUE")</f>
        <v>TRUE</v>
      </c>
      <c r="J1757" s="17"/>
      <c r="K1757" s="17" t="str">
        <f>Github!L$1756</f>
        <v>Array;Two Pointers;Dynamic Programming;Bit Manipulation;Bitmask;</v>
      </c>
      <c r="L1757" s="17" t="b">
        <f>Github!M$1756</f>
        <v>0</v>
      </c>
      <c r="M1757" s="17" t="str">
        <f>ROUND(Github!N$1756, 2)&amp;"%"</f>
        <v>0%</v>
      </c>
      <c r="N1757" s="17">
        <f>Github!O$1756</f>
        <v>36.3913293</v>
      </c>
      <c r="O1757" s="17">
        <f>Github!P$1756</f>
        <v>8243</v>
      </c>
    </row>
    <row r="1758">
      <c r="A1758" s="17">
        <f>Github!J$1757</f>
        <v>1756</v>
      </c>
      <c r="B1758" s="27" t="str">
        <f>HYPERLINK(CONCAT("http://leetcode.com/problems/",Github!C$1757), Github!B$1757)</f>
        <v>Design Most Recently Used Queue</v>
      </c>
      <c r="C1758" s="17">
        <f>Github!F$1757</f>
        <v>142</v>
      </c>
      <c r="D1758" s="17">
        <f>Github!G$1757</f>
        <v>12</v>
      </c>
      <c r="E1758" s="17">
        <f>Github!F$1757+Github!G$1757</f>
        <v>154</v>
      </c>
      <c r="F1758" s="18">
        <f t="shared" si="1"/>
        <v>11.83</v>
      </c>
      <c r="G1758" s="17" t="str">
        <f>Github!H$1757</f>
        <v>Algorithms</v>
      </c>
      <c r="H1758" s="17" t="str">
        <f>Github!E$1757</f>
        <v>Medium</v>
      </c>
      <c r="I1758" s="17" t="str">
        <f>IF(TRIM(Github!D$1757)="TRUE","FALSE","TRUE")</f>
        <v>FALSE</v>
      </c>
      <c r="J1758" s="17"/>
      <c r="K1758" s="17" t="str">
        <f>Github!L$1757</f>
        <v>Array;Hash Table;Stack;Design;Binary Indexed Tree;Ordered Set;</v>
      </c>
      <c r="L1758" s="17" t="b">
        <f>Github!M$1757</f>
        <v>0</v>
      </c>
      <c r="M1758" s="17" t="str">
        <f>ROUND(Github!N$1757, 2)&amp;"%"</f>
        <v>0%</v>
      </c>
      <c r="N1758" s="17">
        <f>Github!O$1757</f>
        <v>78.98506553</v>
      </c>
      <c r="O1758" s="17">
        <f>Github!P$1757</f>
        <v>5183</v>
      </c>
    </row>
    <row r="1759">
      <c r="A1759" s="17">
        <f>Github!J$1758</f>
        <v>1757</v>
      </c>
      <c r="B1759" s="27" t="str">
        <f>HYPERLINK(CONCAT("http://leetcode.com/problems/",Github!C$1758), Github!B$1758)</f>
        <v>Recyclable and Low Fat Products</v>
      </c>
      <c r="C1759" s="17">
        <f>Github!F$1758</f>
        <v>99</v>
      </c>
      <c r="D1759" s="17">
        <f>Github!G$1758</f>
        <v>50</v>
      </c>
      <c r="E1759" s="17">
        <f>Github!F$1758+Github!G$1758</f>
        <v>149</v>
      </c>
      <c r="F1759" s="18">
        <f t="shared" si="1"/>
        <v>1.98</v>
      </c>
      <c r="G1759" s="17" t="str">
        <f>Github!H$1758</f>
        <v>Database</v>
      </c>
      <c r="H1759" s="17" t="str">
        <f>Github!E$1758</f>
        <v>Easy</v>
      </c>
      <c r="I1759" s="17" t="str">
        <f>IF(TRIM(Github!D$1758)="TRUE","FALSE","TRUE")</f>
        <v>FALSE</v>
      </c>
      <c r="J1759" s="17"/>
      <c r="K1759" s="17" t="str">
        <f>Github!L$1758</f>
        <v>Database;</v>
      </c>
      <c r="L1759" s="17" t="b">
        <f>Github!M$1758</f>
        <v>0</v>
      </c>
      <c r="M1759" s="17" t="str">
        <f>ROUND(Github!N$1758, 2)&amp;"%"</f>
        <v>0%</v>
      </c>
      <c r="N1759" s="17">
        <f>Github!O$1758</f>
        <v>95.80516966</v>
      </c>
      <c r="O1759" s="17">
        <f>Github!P$1758</f>
        <v>28204</v>
      </c>
    </row>
    <row r="1760">
      <c r="A1760" s="17">
        <f>Github!J$1759</f>
        <v>1758</v>
      </c>
      <c r="B1760" s="27" t="str">
        <f>HYPERLINK(CONCAT("http://leetcode.com/problems/",Github!C$1759), Github!B$1759)</f>
        <v>Minimum Changes To Make Alternating Binary String</v>
      </c>
      <c r="C1760" s="17">
        <f>Github!F$1759</f>
        <v>383</v>
      </c>
      <c r="D1760" s="17">
        <f>Github!G$1759</f>
        <v>11</v>
      </c>
      <c r="E1760" s="17">
        <f>Github!F$1759+Github!G$1759</f>
        <v>394</v>
      </c>
      <c r="F1760" s="18">
        <f t="shared" si="1"/>
        <v>34.82</v>
      </c>
      <c r="G1760" s="17" t="str">
        <f>Github!H$1759</f>
        <v>Algorithms</v>
      </c>
      <c r="H1760" s="17" t="str">
        <f>Github!E$1759</f>
        <v>Easy</v>
      </c>
      <c r="I1760" s="17" t="str">
        <f>IF(TRIM(Github!D$1759)="TRUE","FALSE","TRUE")</f>
        <v>TRUE</v>
      </c>
      <c r="J1760" s="17"/>
      <c r="K1760" s="17" t="str">
        <f>Github!L$1759</f>
        <v>String;</v>
      </c>
      <c r="L1760" s="17" t="b">
        <f>Github!M$1759</f>
        <v>0</v>
      </c>
      <c r="M1760" s="17" t="str">
        <f>ROUND(Github!N$1759, 2)&amp;"%"</f>
        <v>0%</v>
      </c>
      <c r="N1760" s="17">
        <f>Github!O$1759</f>
        <v>59.26982316</v>
      </c>
      <c r="O1760" s="17">
        <f>Github!P$1759</f>
        <v>25975</v>
      </c>
    </row>
    <row r="1761">
      <c r="A1761" s="17">
        <f>Github!J$1760</f>
        <v>1759</v>
      </c>
      <c r="B1761" s="27" t="str">
        <f>HYPERLINK(CONCAT("http://leetcode.com/problems/",Github!C$1760), Github!B$1760)</f>
        <v>Count Number of Homogenous Substrings</v>
      </c>
      <c r="C1761" s="17">
        <f>Github!F$1760</f>
        <v>359</v>
      </c>
      <c r="D1761" s="17">
        <f>Github!G$1760</f>
        <v>35</v>
      </c>
      <c r="E1761" s="17">
        <f>Github!F$1760+Github!G$1760</f>
        <v>394</v>
      </c>
      <c r="F1761" s="18">
        <f t="shared" si="1"/>
        <v>10.26</v>
      </c>
      <c r="G1761" s="17" t="str">
        <f>Github!H$1760</f>
        <v>Algorithms</v>
      </c>
      <c r="H1761" s="17" t="str">
        <f>Github!E$1760</f>
        <v>Medium</v>
      </c>
      <c r="I1761" s="17" t="str">
        <f>IF(TRIM(Github!D$1760)="TRUE","FALSE","TRUE")</f>
        <v>TRUE</v>
      </c>
      <c r="J1761" s="17"/>
      <c r="K1761" s="17" t="str">
        <f>Github!L$1760</f>
        <v>Math;String;</v>
      </c>
      <c r="L1761" s="17" t="b">
        <f>Github!M$1760</f>
        <v>0</v>
      </c>
      <c r="M1761" s="17" t="str">
        <f>ROUND(Github!N$1760, 2)&amp;"%"</f>
        <v>0%</v>
      </c>
      <c r="N1761" s="17">
        <f>Github!O$1760</f>
        <v>46.05214252</v>
      </c>
      <c r="O1761" s="17">
        <f>Github!P$1760</f>
        <v>17345</v>
      </c>
    </row>
    <row r="1762">
      <c r="A1762" s="17">
        <f>Github!J$1761</f>
        <v>1760</v>
      </c>
      <c r="B1762" s="27" t="str">
        <f>HYPERLINK(CONCAT("http://leetcode.com/problems/",Github!C$1761), Github!B$1761)</f>
        <v>Minimum Limit of Balls in a Bag</v>
      </c>
      <c r="C1762" s="17">
        <f>Github!F$1761</f>
        <v>861</v>
      </c>
      <c r="D1762" s="17">
        <f>Github!G$1761</f>
        <v>30</v>
      </c>
      <c r="E1762" s="17">
        <f>Github!F$1761+Github!G$1761</f>
        <v>891</v>
      </c>
      <c r="F1762" s="18">
        <f t="shared" si="1"/>
        <v>28.7</v>
      </c>
      <c r="G1762" s="17" t="str">
        <f>Github!H$1761</f>
        <v>Algorithms</v>
      </c>
      <c r="H1762" s="17" t="str">
        <f>Github!E$1761</f>
        <v>Medium</v>
      </c>
      <c r="I1762" s="17" t="str">
        <f>IF(TRIM(Github!D$1761)="TRUE","FALSE","TRUE")</f>
        <v>TRUE</v>
      </c>
      <c r="J1762" s="17"/>
      <c r="K1762" s="17" t="str">
        <f>Github!L$1761</f>
        <v>Array;Binary Search;</v>
      </c>
      <c r="L1762" s="17" t="b">
        <f>Github!M$1761</f>
        <v>0</v>
      </c>
      <c r="M1762" s="17" t="str">
        <f>ROUND(Github!N$1761, 2)&amp;"%"</f>
        <v>0%</v>
      </c>
      <c r="N1762" s="17">
        <f>Github!O$1761</f>
        <v>56.43984962</v>
      </c>
      <c r="O1762" s="17">
        <f>Github!P$1761</f>
        <v>15013</v>
      </c>
    </row>
    <row r="1763">
      <c r="A1763" s="17">
        <f>Github!J$1762</f>
        <v>1761</v>
      </c>
      <c r="B1763" s="27" t="str">
        <f>HYPERLINK(CONCAT("http://leetcode.com/problems/",Github!C$1762), Github!B$1762)</f>
        <v>Minimum Degree of a Connected Trio in a Graph</v>
      </c>
      <c r="C1763" s="17">
        <f>Github!F$1762</f>
        <v>181</v>
      </c>
      <c r="D1763" s="17">
        <f>Github!G$1762</f>
        <v>199</v>
      </c>
      <c r="E1763" s="17">
        <f>Github!F$1762+Github!G$1762</f>
        <v>380</v>
      </c>
      <c r="F1763" s="18">
        <f t="shared" si="1"/>
        <v>0.91</v>
      </c>
      <c r="G1763" s="17" t="str">
        <f>Github!H$1762</f>
        <v>Algorithms</v>
      </c>
      <c r="H1763" s="17" t="str">
        <f>Github!E$1762</f>
        <v>Hard</v>
      </c>
      <c r="I1763" s="17" t="str">
        <f>IF(TRIM(Github!D$1762)="TRUE","FALSE","TRUE")</f>
        <v>TRUE</v>
      </c>
      <c r="J1763" s="17"/>
      <c r="K1763" s="17" t="str">
        <f>Github!L$1762</f>
        <v>Graph;</v>
      </c>
      <c r="L1763" s="17" t="b">
        <f>Github!M$1762</f>
        <v>0</v>
      </c>
      <c r="M1763" s="17" t="str">
        <f>ROUND(Github!N$1762, 2)&amp;"%"</f>
        <v>0%</v>
      </c>
      <c r="N1763" s="17">
        <f>Github!O$1762</f>
        <v>41.39780245</v>
      </c>
      <c r="O1763" s="17">
        <f>Github!P$1762</f>
        <v>14204</v>
      </c>
    </row>
    <row r="1764">
      <c r="A1764" s="17">
        <f>Github!J$1763</f>
        <v>1762</v>
      </c>
      <c r="B1764" s="27" t="str">
        <f>HYPERLINK(CONCAT("http://leetcode.com/problems/",Github!C$1763), Github!B$1763)</f>
        <v>Buildings With an Ocean View</v>
      </c>
      <c r="C1764" s="17">
        <f>Github!F$1763</f>
        <v>681</v>
      </c>
      <c r="D1764" s="17">
        <f>Github!G$1763</f>
        <v>95</v>
      </c>
      <c r="E1764" s="17">
        <f>Github!F$1763+Github!G$1763</f>
        <v>776</v>
      </c>
      <c r="F1764" s="18">
        <f t="shared" si="1"/>
        <v>7.17</v>
      </c>
      <c r="G1764" s="17" t="str">
        <f>Github!H$1763</f>
        <v>Algorithms</v>
      </c>
      <c r="H1764" s="17" t="str">
        <f>Github!E$1763</f>
        <v>Medium</v>
      </c>
      <c r="I1764" s="17" t="str">
        <f>IF(TRIM(Github!D$1763)="TRUE","FALSE","TRUE")</f>
        <v>FALSE</v>
      </c>
      <c r="J1764" s="17"/>
      <c r="K1764" s="17" t="str">
        <f>Github!L$1763</f>
        <v>Array;Stack;Monotonic Stack;</v>
      </c>
      <c r="L1764" s="17" t="b">
        <f>Github!M$1763</f>
        <v>1</v>
      </c>
      <c r="M1764" s="17" t="str">
        <f>ROUND(Github!N$1763, 2)&amp;"%"</f>
        <v>0%</v>
      </c>
      <c r="N1764" s="17">
        <f>Github!O$1763</f>
        <v>80.33373923</v>
      </c>
      <c r="O1764" s="17">
        <f>Github!P$1763</f>
        <v>89055</v>
      </c>
    </row>
    <row r="1765">
      <c r="A1765" s="17">
        <f>Github!J$1764</f>
        <v>1763</v>
      </c>
      <c r="B1765" s="27" t="str">
        <f>HYPERLINK(CONCAT("http://leetcode.com/problems/",Github!C$1764), Github!B$1764)</f>
        <v>Longest Nice Substring</v>
      </c>
      <c r="C1765" s="17">
        <f>Github!F$1764</f>
        <v>522</v>
      </c>
      <c r="D1765" s="17">
        <f>Github!G$1764</f>
        <v>394</v>
      </c>
      <c r="E1765" s="17">
        <f>Github!F$1764+Github!G$1764</f>
        <v>916</v>
      </c>
      <c r="F1765" s="18">
        <f t="shared" si="1"/>
        <v>1.32</v>
      </c>
      <c r="G1765" s="17" t="str">
        <f>Github!H$1764</f>
        <v>Algorithms</v>
      </c>
      <c r="H1765" s="17" t="str">
        <f>Github!E$1764</f>
        <v>Easy</v>
      </c>
      <c r="I1765" s="17" t="str">
        <f>IF(TRIM(Github!D$1764)="TRUE","FALSE","TRUE")</f>
        <v>TRUE</v>
      </c>
      <c r="J1765" s="17"/>
      <c r="K1765" s="17" t="str">
        <f>Github!L$1764</f>
        <v>Hash Table;String;Bit Manipulation;Sliding Window;</v>
      </c>
      <c r="L1765" s="17" t="b">
        <f>Github!M$1764</f>
        <v>0</v>
      </c>
      <c r="M1765" s="17" t="str">
        <f>ROUND(Github!N$1764, 2)&amp;"%"</f>
        <v>0%</v>
      </c>
      <c r="N1765" s="17">
        <f>Github!O$1764</f>
        <v>62.01777778</v>
      </c>
      <c r="O1765" s="17">
        <f>Github!P$1764</f>
        <v>20931</v>
      </c>
    </row>
    <row r="1766">
      <c r="A1766" s="17">
        <f>Github!J$1765</f>
        <v>1764</v>
      </c>
      <c r="B1766" s="27" t="str">
        <f>HYPERLINK(CONCAT("http://leetcode.com/problems/",Github!C$1765), Github!B$1765)</f>
        <v>Form Array by Concatenating Subarrays of Another Array</v>
      </c>
      <c r="C1766" s="17">
        <f>Github!F$1765</f>
        <v>193</v>
      </c>
      <c r="D1766" s="17">
        <f>Github!G$1765</f>
        <v>21</v>
      </c>
      <c r="E1766" s="17">
        <f>Github!F$1765+Github!G$1765</f>
        <v>214</v>
      </c>
      <c r="F1766" s="18">
        <f t="shared" si="1"/>
        <v>9.19</v>
      </c>
      <c r="G1766" s="17" t="str">
        <f>Github!H$1765</f>
        <v>Algorithms</v>
      </c>
      <c r="H1766" s="17" t="str">
        <f>Github!E$1765</f>
        <v>Medium</v>
      </c>
      <c r="I1766" s="17" t="str">
        <f>IF(TRIM(Github!D$1765)="TRUE","FALSE","TRUE")</f>
        <v>TRUE</v>
      </c>
      <c r="J1766" s="17"/>
      <c r="K1766" s="17" t="str">
        <f>Github!L$1765</f>
        <v>Array;Greedy;String Matching;</v>
      </c>
      <c r="L1766" s="17" t="b">
        <f>Github!M$1765</f>
        <v>0</v>
      </c>
      <c r="M1766" s="17" t="str">
        <f>ROUND(Github!N$1765, 2)&amp;"%"</f>
        <v>0%</v>
      </c>
      <c r="N1766" s="17">
        <f>Github!O$1765</f>
        <v>52.93307191</v>
      </c>
      <c r="O1766" s="17">
        <f>Github!P$1765</f>
        <v>9989</v>
      </c>
    </row>
    <row r="1767">
      <c r="A1767" s="17">
        <f>Github!J$1766</f>
        <v>1765</v>
      </c>
      <c r="B1767" s="27" t="str">
        <f>HYPERLINK(CONCAT("http://leetcode.com/problems/",Github!C$1766), Github!B$1766)</f>
        <v>Map of Highest Peak</v>
      </c>
      <c r="C1767" s="17">
        <f>Github!F$1766</f>
        <v>466</v>
      </c>
      <c r="D1767" s="17">
        <f>Github!G$1766</f>
        <v>30</v>
      </c>
      <c r="E1767" s="17">
        <f>Github!F$1766+Github!G$1766</f>
        <v>496</v>
      </c>
      <c r="F1767" s="18">
        <f t="shared" si="1"/>
        <v>15.53</v>
      </c>
      <c r="G1767" s="17" t="str">
        <f>Github!H$1766</f>
        <v>Algorithms</v>
      </c>
      <c r="H1767" s="17" t="str">
        <f>Github!E$1766</f>
        <v>Medium</v>
      </c>
      <c r="I1767" s="17" t="str">
        <f>IF(TRIM(Github!D$1766)="TRUE","FALSE","TRUE")</f>
        <v>TRUE</v>
      </c>
      <c r="J1767" s="17"/>
      <c r="K1767" s="17" t="str">
        <f>Github!L$1766</f>
        <v>Array;Breadth-First Search;Matrix;</v>
      </c>
      <c r="L1767" s="17" t="b">
        <f>Github!M$1766</f>
        <v>0</v>
      </c>
      <c r="M1767" s="17" t="str">
        <f>ROUND(Github!N$1766, 2)&amp;"%"</f>
        <v>0%</v>
      </c>
      <c r="N1767" s="17">
        <f>Github!O$1766</f>
        <v>59.51031425</v>
      </c>
      <c r="O1767" s="17">
        <f>Github!P$1766</f>
        <v>15430</v>
      </c>
    </row>
    <row r="1768">
      <c r="A1768" s="17">
        <f>Github!J$1767</f>
        <v>1766</v>
      </c>
      <c r="B1768" s="27" t="str">
        <f>HYPERLINK(CONCAT("http://leetcode.com/problems/",Github!C$1767), Github!B$1767)</f>
        <v>Tree of Coprimes</v>
      </c>
      <c r="C1768" s="17">
        <f>Github!F$1767</f>
        <v>220</v>
      </c>
      <c r="D1768" s="17">
        <f>Github!G$1767</f>
        <v>17</v>
      </c>
      <c r="E1768" s="17">
        <f>Github!F$1767+Github!G$1767</f>
        <v>237</v>
      </c>
      <c r="F1768" s="18">
        <f t="shared" si="1"/>
        <v>12.94</v>
      </c>
      <c r="G1768" s="17" t="str">
        <f>Github!H$1767</f>
        <v>Algorithms</v>
      </c>
      <c r="H1768" s="17" t="str">
        <f>Github!E$1767</f>
        <v>Hard</v>
      </c>
      <c r="I1768" s="17" t="str">
        <f>IF(TRIM(Github!D$1767)="TRUE","FALSE","TRUE")</f>
        <v>TRUE</v>
      </c>
      <c r="J1768" s="17"/>
      <c r="K1768" s="17" t="str">
        <f>Github!L$1767</f>
        <v>Math;Tree;Depth-First Search;Breadth-First Search;</v>
      </c>
      <c r="L1768" s="17" t="b">
        <f>Github!M$1767</f>
        <v>0</v>
      </c>
      <c r="M1768" s="17" t="str">
        <f>ROUND(Github!N$1767, 2)&amp;"%"</f>
        <v>0%</v>
      </c>
      <c r="N1768" s="17">
        <f>Github!O$1767</f>
        <v>38.00218739</v>
      </c>
      <c r="O1768" s="17">
        <f>Github!P$1767</f>
        <v>5212</v>
      </c>
    </row>
    <row r="1769">
      <c r="A1769" s="17">
        <f>Github!J$1768</f>
        <v>1767</v>
      </c>
      <c r="B1769" s="27" t="str">
        <f>HYPERLINK(CONCAT("http://leetcode.com/problems/",Github!C$1768), Github!B$1768)</f>
        <v>Find the Subtasks That Did Not Execute</v>
      </c>
      <c r="C1769" s="17">
        <f>Github!F$1768</f>
        <v>79</v>
      </c>
      <c r="D1769" s="17">
        <f>Github!G$1768</f>
        <v>7</v>
      </c>
      <c r="E1769" s="17">
        <f>Github!F$1768+Github!G$1768</f>
        <v>86</v>
      </c>
      <c r="F1769" s="18">
        <f t="shared" si="1"/>
        <v>11.29</v>
      </c>
      <c r="G1769" s="17" t="str">
        <f>Github!H$1768</f>
        <v>Database</v>
      </c>
      <c r="H1769" s="17" t="str">
        <f>Github!E$1768</f>
        <v>Hard</v>
      </c>
      <c r="I1769" s="17" t="str">
        <f>IF(TRIM(Github!D$1768)="TRUE","FALSE","TRUE")</f>
        <v>FALSE</v>
      </c>
      <c r="J1769" s="17"/>
      <c r="K1769" s="17" t="str">
        <f>Github!L$1768</f>
        <v>Database;</v>
      </c>
      <c r="L1769" s="17" t="b">
        <f>Github!M$1768</f>
        <v>0</v>
      </c>
      <c r="M1769" s="17" t="str">
        <f>ROUND(Github!N$1768, 2)&amp;"%"</f>
        <v>0%</v>
      </c>
      <c r="N1769" s="17">
        <f>Github!O$1768</f>
        <v>83.75564722</v>
      </c>
      <c r="O1769" s="17">
        <f>Github!P$1768</f>
        <v>4264</v>
      </c>
    </row>
    <row r="1770">
      <c r="A1770" s="17">
        <f>Github!J$1769</f>
        <v>1768</v>
      </c>
      <c r="B1770" s="27" t="str">
        <f>HYPERLINK(CONCAT("http://leetcode.com/problems/",Github!C$1769), Github!B$1769)</f>
        <v>Merge Strings Alternately</v>
      </c>
      <c r="C1770" s="17">
        <f>Github!F$1769</f>
        <v>489</v>
      </c>
      <c r="D1770" s="17">
        <f>Github!G$1769</f>
        <v>8</v>
      </c>
      <c r="E1770" s="17">
        <f>Github!F$1769+Github!G$1769</f>
        <v>497</v>
      </c>
      <c r="F1770" s="18">
        <f t="shared" si="1"/>
        <v>61.13</v>
      </c>
      <c r="G1770" s="17" t="str">
        <f>Github!H$1769</f>
        <v>Algorithms</v>
      </c>
      <c r="H1770" s="17" t="str">
        <f>Github!E$1769</f>
        <v>Easy</v>
      </c>
      <c r="I1770" s="17" t="str">
        <f>IF(TRIM(Github!D$1769)="TRUE","FALSE","TRUE")</f>
        <v>TRUE</v>
      </c>
      <c r="J1770" s="17"/>
      <c r="K1770" s="17" t="str">
        <f>Github!L$1769</f>
        <v>Two Pointers;String;</v>
      </c>
      <c r="L1770" s="17" t="b">
        <f>Github!M$1769</f>
        <v>0</v>
      </c>
      <c r="M1770" s="17" t="str">
        <f>ROUND(Github!N$1769, 2)&amp;"%"</f>
        <v>0%</v>
      </c>
      <c r="N1770" s="17">
        <f>Github!O$1769</f>
        <v>75.23698364</v>
      </c>
      <c r="O1770" s="17">
        <f>Github!P$1769</f>
        <v>47699</v>
      </c>
    </row>
    <row r="1771">
      <c r="A1771" s="17">
        <f>Github!J$1770</f>
        <v>1769</v>
      </c>
      <c r="B1771" s="27" t="str">
        <f>HYPERLINK(CONCAT("http://leetcode.com/problems/",Github!C$1770), Github!B$1770)</f>
        <v>Minimum Number of Operations to Move All Balls to Each Box</v>
      </c>
      <c r="C1771" s="17">
        <f>Github!F$1770</f>
        <v>1276</v>
      </c>
      <c r="D1771" s="17">
        <f>Github!G$1770</f>
        <v>47</v>
      </c>
      <c r="E1771" s="17">
        <f>Github!F$1770+Github!G$1770</f>
        <v>1323</v>
      </c>
      <c r="F1771" s="18">
        <f t="shared" si="1"/>
        <v>27.15</v>
      </c>
      <c r="G1771" s="17" t="str">
        <f>Github!H$1770</f>
        <v>Algorithms</v>
      </c>
      <c r="H1771" s="17" t="str">
        <f>Github!E$1770</f>
        <v>Medium</v>
      </c>
      <c r="I1771" s="17" t="str">
        <f>IF(TRIM(Github!D$1770)="TRUE","FALSE","TRUE")</f>
        <v>TRUE</v>
      </c>
      <c r="J1771" s="17"/>
      <c r="K1771" s="17" t="str">
        <f>Github!L$1770</f>
        <v>Array;String;</v>
      </c>
      <c r="L1771" s="17" t="b">
        <f>Github!M$1770</f>
        <v>0</v>
      </c>
      <c r="M1771" s="17" t="str">
        <f>ROUND(Github!N$1770, 2)&amp;"%"</f>
        <v>0%</v>
      </c>
      <c r="N1771" s="17">
        <f>Github!O$1770</f>
        <v>85.65037594</v>
      </c>
      <c r="O1771" s="17">
        <f>Github!P$1770</f>
        <v>68349</v>
      </c>
    </row>
    <row r="1772">
      <c r="A1772" s="17">
        <f>Github!J$1771</f>
        <v>1770</v>
      </c>
      <c r="B1772" s="27" t="str">
        <f>HYPERLINK(CONCAT("http://leetcode.com/problems/",Github!C$1771), Github!B$1771)</f>
        <v>Maximum Score from Performing Multiplication Operations</v>
      </c>
      <c r="C1772" s="17">
        <f>Github!F$1771</f>
        <v>683</v>
      </c>
      <c r="D1772" s="17">
        <f>Github!G$1771</f>
        <v>160</v>
      </c>
      <c r="E1772" s="17">
        <f>Github!F$1771+Github!G$1771</f>
        <v>843</v>
      </c>
      <c r="F1772" s="18">
        <f t="shared" si="1"/>
        <v>4.27</v>
      </c>
      <c r="G1772" s="17" t="str">
        <f>Github!H$1771</f>
        <v>Algorithms</v>
      </c>
      <c r="H1772" s="17" t="str">
        <f>Github!E$1771</f>
        <v>Medium</v>
      </c>
      <c r="I1772" s="17" t="str">
        <f>IF(TRIM(Github!D$1771)="TRUE","FALSE","TRUE")</f>
        <v>TRUE</v>
      </c>
      <c r="J1772" s="17"/>
      <c r="K1772" s="17" t="str">
        <f>Github!L$1771</f>
        <v>Array;Dynamic Programming;</v>
      </c>
      <c r="L1772" s="17" t="b">
        <f>Github!M$1771</f>
        <v>0</v>
      </c>
      <c r="M1772" s="17" t="str">
        <f>ROUND(Github!N$1771, 2)&amp;"%"</f>
        <v>0%</v>
      </c>
      <c r="N1772" s="17">
        <f>Github!O$1771</f>
        <v>35.45030544</v>
      </c>
      <c r="O1772" s="17">
        <f>Github!P$1771</f>
        <v>27969</v>
      </c>
    </row>
    <row r="1773">
      <c r="A1773" s="17">
        <f>Github!J$1772</f>
        <v>1771</v>
      </c>
      <c r="B1773" s="27" t="str">
        <f>HYPERLINK(CONCAT("http://leetcode.com/problems/",Github!C$1772), Github!B$1772)</f>
        <v>Maximize Palindrome Length From Subsequences</v>
      </c>
      <c r="C1773" s="17">
        <f>Github!F$1772</f>
        <v>336</v>
      </c>
      <c r="D1773" s="17">
        <f>Github!G$1772</f>
        <v>6</v>
      </c>
      <c r="E1773" s="17">
        <f>Github!F$1772+Github!G$1772</f>
        <v>342</v>
      </c>
      <c r="F1773" s="18">
        <f t="shared" si="1"/>
        <v>56</v>
      </c>
      <c r="G1773" s="17" t="str">
        <f>Github!H$1772</f>
        <v>Algorithms</v>
      </c>
      <c r="H1773" s="17" t="str">
        <f>Github!E$1772</f>
        <v>Hard</v>
      </c>
      <c r="I1773" s="17" t="str">
        <f>IF(TRIM(Github!D$1772)="TRUE","FALSE","TRUE")</f>
        <v>TRUE</v>
      </c>
      <c r="J1773" s="17"/>
      <c r="K1773" s="17" t="str">
        <f>Github!L$1772</f>
        <v>String;Dynamic Programming;</v>
      </c>
      <c r="L1773" s="17" t="b">
        <f>Github!M$1772</f>
        <v>0</v>
      </c>
      <c r="M1773" s="17" t="str">
        <f>ROUND(Github!N$1772, 2)&amp;"%"</f>
        <v>0%</v>
      </c>
      <c r="N1773" s="17">
        <f>Github!O$1772</f>
        <v>34.66067328</v>
      </c>
      <c r="O1773" s="17">
        <f>Github!P$1772</f>
        <v>7094</v>
      </c>
    </row>
    <row r="1774">
      <c r="A1774" s="17">
        <f>Github!J$1773</f>
        <v>1772</v>
      </c>
      <c r="B1774" s="27" t="str">
        <f>HYPERLINK(CONCAT("http://leetcode.com/problems/",Github!C$1773), Github!B$1773)</f>
        <v>Sort Features by Popularity</v>
      </c>
      <c r="C1774" s="17">
        <f>Github!F$1773</f>
        <v>43</v>
      </c>
      <c r="D1774" s="17">
        <f>Github!G$1773</f>
        <v>35</v>
      </c>
      <c r="E1774" s="17">
        <f>Github!F$1773+Github!G$1773</f>
        <v>78</v>
      </c>
      <c r="F1774" s="18">
        <f t="shared" si="1"/>
        <v>1.23</v>
      </c>
      <c r="G1774" s="17" t="str">
        <f>Github!H$1773</f>
        <v>Algorithms</v>
      </c>
      <c r="H1774" s="17" t="str">
        <f>Github!E$1773</f>
        <v>Medium</v>
      </c>
      <c r="I1774" s="17" t="str">
        <f>IF(TRIM(Github!D$1773)="TRUE","FALSE","TRUE")</f>
        <v>FALSE</v>
      </c>
      <c r="J1774" s="17"/>
      <c r="K1774" s="17" t="str">
        <f>Github!L$1773</f>
        <v>Array;Hash Table;String;Sorting;</v>
      </c>
      <c r="L1774" s="17" t="b">
        <f>Github!M$1773</f>
        <v>0</v>
      </c>
      <c r="M1774" s="17" t="str">
        <f>ROUND(Github!N$1773, 2)&amp;"%"</f>
        <v>0%</v>
      </c>
      <c r="N1774" s="17">
        <f>Github!O$1773</f>
        <v>65.29907975</v>
      </c>
      <c r="O1774" s="17">
        <f>Github!P$1773</f>
        <v>3406</v>
      </c>
    </row>
    <row r="1775">
      <c r="A1775" s="17">
        <f>Github!J$1774</f>
        <v>1773</v>
      </c>
      <c r="B1775" s="27" t="str">
        <f>HYPERLINK(CONCAT("http://leetcode.com/problems/",Github!C$1774), Github!B$1774)</f>
        <v>Count Items Matching a Rule</v>
      </c>
      <c r="C1775" s="17">
        <f>Github!F$1774</f>
        <v>770</v>
      </c>
      <c r="D1775" s="17">
        <f>Github!G$1774</f>
        <v>101</v>
      </c>
      <c r="E1775" s="17">
        <f>Github!F$1774+Github!G$1774</f>
        <v>871</v>
      </c>
      <c r="F1775" s="18">
        <f t="shared" si="1"/>
        <v>7.62</v>
      </c>
      <c r="G1775" s="17" t="str">
        <f>Github!H$1774</f>
        <v>Algorithms</v>
      </c>
      <c r="H1775" s="17" t="str">
        <f>Github!E$1774</f>
        <v>Easy</v>
      </c>
      <c r="I1775" s="17" t="str">
        <f>IF(TRIM(Github!D$1774)="TRUE","FALSE","TRUE")</f>
        <v>TRUE</v>
      </c>
      <c r="J1775" s="17"/>
      <c r="K1775" s="17" t="str">
        <f>Github!L$1774</f>
        <v>Array;String;</v>
      </c>
      <c r="L1775" s="17" t="b">
        <f>Github!M$1774</f>
        <v>0</v>
      </c>
      <c r="M1775" s="17" t="str">
        <f>ROUND(Github!N$1774, 2)&amp;"%"</f>
        <v>0%</v>
      </c>
      <c r="N1775" s="17">
        <f>Github!O$1774</f>
        <v>84.47580829</v>
      </c>
      <c r="O1775" s="17">
        <f>Github!P$1774</f>
        <v>92832</v>
      </c>
    </row>
    <row r="1776">
      <c r="A1776" s="17">
        <f>Github!J$1775</f>
        <v>1774</v>
      </c>
      <c r="B1776" s="27" t="str">
        <f>HYPERLINK(CONCAT("http://leetcode.com/problems/",Github!C$1775), Github!B$1775)</f>
        <v>Closest Dessert Cost</v>
      </c>
      <c r="C1776" s="17">
        <f>Github!F$1775</f>
        <v>389</v>
      </c>
      <c r="D1776" s="17">
        <f>Github!G$1775</f>
        <v>40</v>
      </c>
      <c r="E1776" s="17">
        <f>Github!F$1775+Github!G$1775</f>
        <v>429</v>
      </c>
      <c r="F1776" s="18">
        <f t="shared" si="1"/>
        <v>9.73</v>
      </c>
      <c r="G1776" s="17" t="str">
        <f>Github!H$1775</f>
        <v>Algorithms</v>
      </c>
      <c r="H1776" s="17" t="str">
        <f>Github!E$1775</f>
        <v>Medium</v>
      </c>
      <c r="I1776" s="17" t="str">
        <f>IF(TRIM(Github!D$1775)="TRUE","FALSE","TRUE")</f>
        <v>TRUE</v>
      </c>
      <c r="J1776" s="17"/>
      <c r="K1776" s="17" t="str">
        <f>Github!L$1775</f>
        <v>Array;Dynamic Programming;Backtracking;</v>
      </c>
      <c r="L1776" s="17" t="b">
        <f>Github!M$1775</f>
        <v>0</v>
      </c>
      <c r="M1776" s="17" t="str">
        <f>ROUND(Github!N$1775, 2)&amp;"%"</f>
        <v>0%</v>
      </c>
      <c r="N1776" s="17">
        <f>Github!O$1775</f>
        <v>45.98802777</v>
      </c>
      <c r="O1776" s="17">
        <f>Github!P$1775</f>
        <v>14443</v>
      </c>
    </row>
    <row r="1777">
      <c r="A1777" s="17">
        <f>Github!J$1776</f>
        <v>1775</v>
      </c>
      <c r="B1777" s="27" t="str">
        <f>HYPERLINK(CONCAT("http://leetcode.com/problems/",Github!C$1776), Github!B$1776)</f>
        <v>Equal Sum Arrays With Minimum Number of Operations</v>
      </c>
      <c r="C1777" s="17">
        <f>Github!F$1776</f>
        <v>470</v>
      </c>
      <c r="D1777" s="17">
        <f>Github!G$1776</f>
        <v>13</v>
      </c>
      <c r="E1777" s="17">
        <f>Github!F$1776+Github!G$1776</f>
        <v>483</v>
      </c>
      <c r="F1777" s="18">
        <f t="shared" si="1"/>
        <v>36.15</v>
      </c>
      <c r="G1777" s="17" t="str">
        <f>Github!H$1776</f>
        <v>Algorithms</v>
      </c>
      <c r="H1777" s="17" t="str">
        <f>Github!E$1776</f>
        <v>Medium</v>
      </c>
      <c r="I1777" s="17" t="str">
        <f>IF(TRIM(Github!D$1776)="TRUE","FALSE","TRUE")</f>
        <v>TRUE</v>
      </c>
      <c r="J1777" s="17"/>
      <c r="K1777" s="17" t="str">
        <f>Github!L$1776</f>
        <v>Array;Hash Table;Greedy;Counting;</v>
      </c>
      <c r="L1777" s="17" t="b">
        <f>Github!M$1776</f>
        <v>0</v>
      </c>
      <c r="M1777" s="17" t="str">
        <f>ROUND(Github!N$1776, 2)&amp;"%"</f>
        <v>0%</v>
      </c>
      <c r="N1777" s="17">
        <f>Github!O$1776</f>
        <v>51.27594046</v>
      </c>
      <c r="O1777" s="17">
        <f>Github!P$1776</f>
        <v>13985</v>
      </c>
    </row>
    <row r="1778">
      <c r="A1778" s="17">
        <f>Github!J$1777</f>
        <v>1776</v>
      </c>
      <c r="B1778" s="27" t="str">
        <f>HYPERLINK(CONCAT("http://leetcode.com/problems/",Github!C$1777), Github!B$1777)</f>
        <v>Car Fleet II</v>
      </c>
      <c r="C1778" s="17">
        <f>Github!F$1777</f>
        <v>552</v>
      </c>
      <c r="D1778" s="17">
        <f>Github!G$1777</f>
        <v>15</v>
      </c>
      <c r="E1778" s="17">
        <f>Github!F$1777+Github!G$1777</f>
        <v>567</v>
      </c>
      <c r="F1778" s="18">
        <f t="shared" si="1"/>
        <v>36.8</v>
      </c>
      <c r="G1778" s="17" t="str">
        <f>Github!H$1777</f>
        <v>Algorithms</v>
      </c>
      <c r="H1778" s="17" t="str">
        <f>Github!E$1777</f>
        <v>Hard</v>
      </c>
      <c r="I1778" s="17" t="str">
        <f>IF(TRIM(Github!D$1777)="TRUE","FALSE","TRUE")</f>
        <v>TRUE</v>
      </c>
      <c r="J1778" s="17"/>
      <c r="K1778" s="17" t="str">
        <f>Github!L$1777</f>
        <v>Array;Math;Stack;Heap (Priority Queue);Monotonic Stack;</v>
      </c>
      <c r="L1778" s="17" t="b">
        <f>Github!M$1777</f>
        <v>0</v>
      </c>
      <c r="M1778" s="17" t="str">
        <f>ROUND(Github!N$1777, 2)&amp;"%"</f>
        <v>0%</v>
      </c>
      <c r="N1778" s="17">
        <f>Github!O$1777</f>
        <v>52.62907305</v>
      </c>
      <c r="O1778" s="17">
        <f>Github!P$1777</f>
        <v>17686</v>
      </c>
    </row>
    <row r="1779">
      <c r="A1779" s="17">
        <f>Github!J$1778</f>
        <v>1777</v>
      </c>
      <c r="B1779" s="27" t="str">
        <f>HYPERLINK(CONCAT("http://leetcode.com/problems/",Github!C$1778), Github!B$1778)</f>
        <v>Product's Price for Each Store</v>
      </c>
      <c r="C1779" s="17">
        <f>Github!F$1778</f>
        <v>72</v>
      </c>
      <c r="D1779" s="17">
        <f>Github!G$1778</f>
        <v>6</v>
      </c>
      <c r="E1779" s="17">
        <f>Github!F$1778+Github!G$1778</f>
        <v>78</v>
      </c>
      <c r="F1779" s="18">
        <f t="shared" si="1"/>
        <v>12</v>
      </c>
      <c r="G1779" s="17" t="str">
        <f>Github!H$1778</f>
        <v>Database</v>
      </c>
      <c r="H1779" s="17" t="str">
        <f>Github!E$1778</f>
        <v>Easy</v>
      </c>
      <c r="I1779" s="17" t="str">
        <f>IF(TRIM(Github!D$1778)="TRUE","FALSE","TRUE")</f>
        <v>FALSE</v>
      </c>
      <c r="J1779" s="17"/>
      <c r="K1779" s="17" t="str">
        <f>Github!L$1778</f>
        <v>Database;</v>
      </c>
      <c r="L1779" s="17" t="b">
        <f>Github!M$1778</f>
        <v>0</v>
      </c>
      <c r="M1779" s="17" t="str">
        <f>ROUND(Github!N$1778, 2)&amp;"%"</f>
        <v>0%</v>
      </c>
      <c r="N1779" s="17">
        <f>Github!O$1778</f>
        <v>85.92372951</v>
      </c>
      <c r="O1779" s="17">
        <f>Github!P$1778</f>
        <v>10432</v>
      </c>
    </row>
    <row r="1780">
      <c r="A1780" s="17">
        <f>Github!J$1779</f>
        <v>1778</v>
      </c>
      <c r="B1780" s="27" t="str">
        <f>HYPERLINK(CONCAT("http://leetcode.com/problems/",Github!C$1779), Github!B$1779)</f>
        <v>Shortest Path in a Hidden Grid</v>
      </c>
      <c r="C1780" s="17">
        <f>Github!F$1779</f>
        <v>109</v>
      </c>
      <c r="D1780" s="17">
        <f>Github!G$1779</f>
        <v>43</v>
      </c>
      <c r="E1780" s="17">
        <f>Github!F$1779+Github!G$1779</f>
        <v>152</v>
      </c>
      <c r="F1780" s="18">
        <f t="shared" si="1"/>
        <v>2.53</v>
      </c>
      <c r="G1780" s="17" t="str">
        <f>Github!H$1779</f>
        <v>Algorithms</v>
      </c>
      <c r="H1780" s="17" t="str">
        <f>Github!E$1779</f>
        <v>Medium</v>
      </c>
      <c r="I1780" s="17" t="str">
        <f>IF(TRIM(Github!D$1779)="TRUE","FALSE","TRUE")</f>
        <v>FALSE</v>
      </c>
      <c r="J1780" s="17"/>
      <c r="K1780" s="17" t="str">
        <f>Github!L$1779</f>
        <v>Depth-First Search;Breadth-First Search;Graph;Interactive;</v>
      </c>
      <c r="L1780" s="17" t="b">
        <f>Github!M$1779</f>
        <v>0</v>
      </c>
      <c r="M1780" s="17" t="str">
        <f>ROUND(Github!N$1779, 2)&amp;"%"</f>
        <v>0%</v>
      </c>
      <c r="N1780" s="17">
        <f>Github!O$1779</f>
        <v>41.632289</v>
      </c>
      <c r="O1780" s="17">
        <f>Github!P$1779</f>
        <v>3734</v>
      </c>
    </row>
    <row r="1781">
      <c r="A1781" s="17">
        <f>Github!J$1780</f>
        <v>1779</v>
      </c>
      <c r="B1781" s="27" t="str">
        <f>HYPERLINK(CONCAT("http://leetcode.com/problems/",Github!C$1780), Github!B$1780)</f>
        <v>Find Nearest Point That Has the Same X or Y Coordinate</v>
      </c>
      <c r="C1781" s="17">
        <f>Github!F$1780</f>
        <v>311</v>
      </c>
      <c r="D1781" s="17">
        <f>Github!G$1780</f>
        <v>49</v>
      </c>
      <c r="E1781" s="17">
        <f>Github!F$1780+Github!G$1780</f>
        <v>360</v>
      </c>
      <c r="F1781" s="18">
        <f t="shared" si="1"/>
        <v>6.35</v>
      </c>
      <c r="G1781" s="17" t="str">
        <f>Github!H$1780</f>
        <v>Algorithms</v>
      </c>
      <c r="H1781" s="17" t="str">
        <f>Github!E$1780</f>
        <v>Easy</v>
      </c>
      <c r="I1781" s="17" t="str">
        <f>IF(TRIM(Github!D$1780)="TRUE","FALSE","TRUE")</f>
        <v>TRUE</v>
      </c>
      <c r="J1781" s="17"/>
      <c r="K1781" s="17" t="str">
        <f>Github!L$1780</f>
        <v>Array;</v>
      </c>
      <c r="L1781" s="17" t="b">
        <f>Github!M$1780</f>
        <v>0</v>
      </c>
      <c r="M1781" s="17" t="str">
        <f>ROUND(Github!N$1780, 2)&amp;"%"</f>
        <v>0%</v>
      </c>
      <c r="N1781" s="17">
        <f>Github!O$1780</f>
        <v>68.44065993</v>
      </c>
      <c r="O1781" s="17">
        <f>Github!P$1780</f>
        <v>34710</v>
      </c>
    </row>
    <row r="1782">
      <c r="A1782" s="17">
        <f>Github!J$1781</f>
        <v>1780</v>
      </c>
      <c r="B1782" s="27" t="str">
        <f>HYPERLINK(CONCAT("http://leetcode.com/problems/",Github!C$1781), Github!B$1781)</f>
        <v>Check if Number is a Sum of Powers of Three</v>
      </c>
      <c r="C1782" s="17">
        <f>Github!F$1781</f>
        <v>486</v>
      </c>
      <c r="D1782" s="17">
        <f>Github!G$1781</f>
        <v>17</v>
      </c>
      <c r="E1782" s="17">
        <f>Github!F$1781+Github!G$1781</f>
        <v>503</v>
      </c>
      <c r="F1782" s="18">
        <f t="shared" si="1"/>
        <v>28.59</v>
      </c>
      <c r="G1782" s="17" t="str">
        <f>Github!H$1781</f>
        <v>Algorithms</v>
      </c>
      <c r="H1782" s="17" t="str">
        <f>Github!E$1781</f>
        <v>Medium</v>
      </c>
      <c r="I1782" s="17" t="str">
        <f>IF(TRIM(Github!D$1781)="TRUE","FALSE","TRUE")</f>
        <v>TRUE</v>
      </c>
      <c r="J1782" s="17"/>
      <c r="K1782" s="17" t="str">
        <f>Github!L$1781</f>
        <v>Math;</v>
      </c>
      <c r="L1782" s="17" t="b">
        <f>Github!M$1781</f>
        <v>0</v>
      </c>
      <c r="M1782" s="17" t="str">
        <f>ROUND(Github!N$1781, 2)&amp;"%"</f>
        <v>0%</v>
      </c>
      <c r="N1782" s="17">
        <f>Github!O$1781</f>
        <v>64.76135857</v>
      </c>
      <c r="O1782" s="17">
        <f>Github!P$1781</f>
        <v>20326</v>
      </c>
    </row>
    <row r="1783">
      <c r="A1783" s="17">
        <f>Github!J$1782</f>
        <v>1781</v>
      </c>
      <c r="B1783" s="27" t="str">
        <f>HYPERLINK(CONCAT("http://leetcode.com/problems/",Github!C$1782), Github!B$1782)</f>
        <v>Sum of Beauty of All Substrings</v>
      </c>
      <c r="C1783" s="17">
        <f>Github!F$1782</f>
        <v>293</v>
      </c>
      <c r="D1783" s="17">
        <f>Github!G$1782</f>
        <v>79</v>
      </c>
      <c r="E1783" s="17">
        <f>Github!F$1782+Github!G$1782</f>
        <v>372</v>
      </c>
      <c r="F1783" s="18">
        <f t="shared" si="1"/>
        <v>3.71</v>
      </c>
      <c r="G1783" s="17" t="str">
        <f>Github!H$1782</f>
        <v>Algorithms</v>
      </c>
      <c r="H1783" s="17" t="str">
        <f>Github!E$1782</f>
        <v>Medium</v>
      </c>
      <c r="I1783" s="17" t="str">
        <f>IF(TRIM(Github!D$1782)="TRUE","FALSE","TRUE")</f>
        <v>TRUE</v>
      </c>
      <c r="J1783" s="17"/>
      <c r="K1783" s="17" t="str">
        <f>Github!L$1782</f>
        <v>Hash Table;String;Counting;</v>
      </c>
      <c r="L1783" s="17" t="b">
        <f>Github!M$1782</f>
        <v>0</v>
      </c>
      <c r="M1783" s="17" t="str">
        <f>ROUND(Github!N$1782, 2)&amp;"%"</f>
        <v>0%</v>
      </c>
      <c r="N1783" s="17">
        <f>Github!O$1782</f>
        <v>59.82305117</v>
      </c>
      <c r="O1783" s="17">
        <f>Github!P$1782</f>
        <v>12509</v>
      </c>
    </row>
    <row r="1784">
      <c r="A1784" s="17">
        <f>Github!J$1783</f>
        <v>1782</v>
      </c>
      <c r="B1784" s="27" t="str">
        <f>HYPERLINK(CONCAT("http://leetcode.com/problems/",Github!C$1783), Github!B$1783)</f>
        <v>Count Pairs Of Nodes</v>
      </c>
      <c r="C1784" s="17">
        <f>Github!F$1783</f>
        <v>192</v>
      </c>
      <c r="D1784" s="17">
        <f>Github!G$1783</f>
        <v>122</v>
      </c>
      <c r="E1784" s="17">
        <f>Github!F$1783+Github!G$1783</f>
        <v>314</v>
      </c>
      <c r="F1784" s="18">
        <f t="shared" si="1"/>
        <v>1.57</v>
      </c>
      <c r="G1784" s="17" t="str">
        <f>Github!H$1783</f>
        <v>Algorithms</v>
      </c>
      <c r="H1784" s="17" t="str">
        <f>Github!E$1783</f>
        <v>Hard</v>
      </c>
      <c r="I1784" s="17" t="str">
        <f>IF(TRIM(Github!D$1783)="TRUE","FALSE","TRUE")</f>
        <v>TRUE</v>
      </c>
      <c r="J1784" s="17"/>
      <c r="K1784" s="17" t="str">
        <f>Github!L$1783</f>
        <v>Two Pointers;Binary Search;Graph;</v>
      </c>
      <c r="L1784" s="17" t="b">
        <f>Github!M$1783</f>
        <v>0</v>
      </c>
      <c r="M1784" s="17" t="str">
        <f>ROUND(Github!N$1783, 2)&amp;"%"</f>
        <v>0%</v>
      </c>
      <c r="N1784" s="17">
        <f>Github!O$1783</f>
        <v>37.09891276</v>
      </c>
      <c r="O1784" s="17">
        <f>Github!P$1783</f>
        <v>4197</v>
      </c>
    </row>
    <row r="1785">
      <c r="A1785" s="17">
        <f>Github!J$1784</f>
        <v>1783</v>
      </c>
      <c r="B1785" s="27" t="str">
        <f>HYPERLINK(CONCAT("http://leetcode.com/problems/",Github!C$1784), Github!B$1784)</f>
        <v>Grand Slam Titles</v>
      </c>
      <c r="C1785" s="17">
        <f>Github!F$1784</f>
        <v>93</v>
      </c>
      <c r="D1785" s="17">
        <f>Github!G$1784</f>
        <v>2</v>
      </c>
      <c r="E1785" s="17">
        <f>Github!F$1784+Github!G$1784</f>
        <v>95</v>
      </c>
      <c r="F1785" s="18">
        <f t="shared" si="1"/>
        <v>46.5</v>
      </c>
      <c r="G1785" s="17" t="str">
        <f>Github!H$1784</f>
        <v>Database</v>
      </c>
      <c r="H1785" s="17" t="str">
        <f>Github!E$1784</f>
        <v>Medium</v>
      </c>
      <c r="I1785" s="17" t="str">
        <f>IF(TRIM(Github!D$1784)="TRUE","FALSE","TRUE")</f>
        <v>FALSE</v>
      </c>
      <c r="J1785" s="17"/>
      <c r="K1785" s="17" t="str">
        <f>Github!L$1784</f>
        <v>Database;</v>
      </c>
      <c r="L1785" s="17" t="b">
        <f>Github!M$1784</f>
        <v>0</v>
      </c>
      <c r="M1785" s="17" t="str">
        <f>ROUND(Github!N$1784, 2)&amp;"%"</f>
        <v>0%</v>
      </c>
      <c r="N1785" s="17">
        <f>Github!O$1784</f>
        <v>89.36713651</v>
      </c>
      <c r="O1785" s="17">
        <f>Github!P$1784</f>
        <v>9447</v>
      </c>
    </row>
    <row r="1786">
      <c r="A1786" s="17">
        <f>Github!J$1785</f>
        <v>1784</v>
      </c>
      <c r="B1786" s="27" t="str">
        <f>HYPERLINK(CONCAT("http://leetcode.com/problems/",Github!C$1785), Github!B$1785)</f>
        <v>Check if Binary String Has at Most One Segment of Ones</v>
      </c>
      <c r="C1786" s="17">
        <f>Github!F$1785</f>
        <v>155</v>
      </c>
      <c r="D1786" s="17">
        <f>Github!G$1785</f>
        <v>488</v>
      </c>
      <c r="E1786" s="17">
        <f>Github!F$1785+Github!G$1785</f>
        <v>643</v>
      </c>
      <c r="F1786" s="18">
        <f t="shared" si="1"/>
        <v>0.32</v>
      </c>
      <c r="G1786" s="17" t="str">
        <f>Github!H$1785</f>
        <v>Algorithms</v>
      </c>
      <c r="H1786" s="17" t="str">
        <f>Github!E$1785</f>
        <v>Easy</v>
      </c>
      <c r="I1786" s="17" t="str">
        <f>IF(TRIM(Github!D$1785)="TRUE","FALSE","TRUE")</f>
        <v>TRUE</v>
      </c>
      <c r="J1786" s="17"/>
      <c r="K1786" s="17" t="str">
        <f>Github!L$1785</f>
        <v>String;</v>
      </c>
      <c r="L1786" s="17" t="b">
        <f>Github!M$1785</f>
        <v>0</v>
      </c>
      <c r="M1786" s="17" t="str">
        <f>ROUND(Github!N$1785, 2)&amp;"%"</f>
        <v>0%</v>
      </c>
      <c r="N1786" s="17">
        <f>Github!O$1785</f>
        <v>40.95994811</v>
      </c>
      <c r="O1786" s="17">
        <f>Github!P$1785</f>
        <v>22734</v>
      </c>
    </row>
    <row r="1787">
      <c r="A1787" s="17">
        <f>Github!J$1786</f>
        <v>1785</v>
      </c>
      <c r="B1787" s="27" t="str">
        <f>HYPERLINK(CONCAT("http://leetcode.com/problems/",Github!C$1786), Github!B$1786)</f>
        <v>Minimum Elements to Add to Form a Given Sum</v>
      </c>
      <c r="C1787" s="17">
        <f>Github!F$1786</f>
        <v>144</v>
      </c>
      <c r="D1787" s="17">
        <f>Github!G$1786</f>
        <v>140</v>
      </c>
      <c r="E1787" s="17">
        <f>Github!F$1786+Github!G$1786</f>
        <v>284</v>
      </c>
      <c r="F1787" s="18">
        <f t="shared" si="1"/>
        <v>1.03</v>
      </c>
      <c r="G1787" s="17" t="str">
        <f>Github!H$1786</f>
        <v>Algorithms</v>
      </c>
      <c r="H1787" s="17" t="str">
        <f>Github!E$1786</f>
        <v>Medium</v>
      </c>
      <c r="I1787" s="17" t="str">
        <f>IF(TRIM(Github!D$1786)="TRUE","FALSE","TRUE")</f>
        <v>TRUE</v>
      </c>
      <c r="J1787" s="17"/>
      <c r="K1787" s="17" t="str">
        <f>Github!L$1786</f>
        <v>Array;Greedy;</v>
      </c>
      <c r="L1787" s="17" t="b">
        <f>Github!M$1786</f>
        <v>0</v>
      </c>
      <c r="M1787" s="17" t="str">
        <f>ROUND(Github!N$1786, 2)&amp;"%"</f>
        <v>0%</v>
      </c>
      <c r="N1787" s="17">
        <f>Github!O$1786</f>
        <v>41.4191519</v>
      </c>
      <c r="O1787" s="17">
        <f>Github!P$1786</f>
        <v>13694</v>
      </c>
    </row>
    <row r="1788">
      <c r="A1788" s="17">
        <f>Github!J$1787</f>
        <v>1786</v>
      </c>
      <c r="B1788" s="27" t="str">
        <f>HYPERLINK(CONCAT("http://leetcode.com/problems/",Github!C$1787), Github!B$1787)</f>
        <v>Number of Restricted Paths From First to Last Node</v>
      </c>
      <c r="C1788" s="17">
        <f>Github!F$1787</f>
        <v>545</v>
      </c>
      <c r="D1788" s="17">
        <f>Github!G$1787</f>
        <v>97</v>
      </c>
      <c r="E1788" s="17">
        <f>Github!F$1787+Github!G$1787</f>
        <v>642</v>
      </c>
      <c r="F1788" s="18">
        <f t="shared" si="1"/>
        <v>5.62</v>
      </c>
      <c r="G1788" s="17" t="str">
        <f>Github!H$1787</f>
        <v>Algorithms</v>
      </c>
      <c r="H1788" s="17" t="str">
        <f>Github!E$1787</f>
        <v>Medium</v>
      </c>
      <c r="I1788" s="17" t="str">
        <f>IF(TRIM(Github!D$1787)="TRUE","FALSE","TRUE")</f>
        <v>TRUE</v>
      </c>
      <c r="J1788" s="17"/>
      <c r="K1788" s="17" t="str">
        <f>Github!L$1787</f>
        <v>Dynamic Programming;Graph;Topological Sort;Heap (Priority Queue);Shortest Path;</v>
      </c>
      <c r="L1788" s="17" t="b">
        <f>Github!M$1787</f>
        <v>0</v>
      </c>
      <c r="M1788" s="17" t="str">
        <f>ROUND(Github!N$1787, 2)&amp;"%"</f>
        <v>0%</v>
      </c>
      <c r="N1788" s="17">
        <f>Github!O$1787</f>
        <v>38.0717416</v>
      </c>
      <c r="O1788" s="17">
        <f>Github!P$1787</f>
        <v>11728</v>
      </c>
    </row>
    <row r="1789">
      <c r="A1789" s="17">
        <f>Github!J$1788</f>
        <v>1787</v>
      </c>
      <c r="B1789" s="27" t="str">
        <f>HYPERLINK(CONCAT("http://leetcode.com/problems/",Github!C$1788), Github!B$1788)</f>
        <v>Make the XOR of All Segments Equal to Zero</v>
      </c>
      <c r="C1789" s="17">
        <f>Github!F$1788</f>
        <v>251</v>
      </c>
      <c r="D1789" s="17">
        <f>Github!G$1788</f>
        <v>12</v>
      </c>
      <c r="E1789" s="17">
        <f>Github!F$1788+Github!G$1788</f>
        <v>263</v>
      </c>
      <c r="F1789" s="18">
        <f t="shared" si="1"/>
        <v>20.92</v>
      </c>
      <c r="G1789" s="17" t="str">
        <f>Github!H$1788</f>
        <v>Algorithms</v>
      </c>
      <c r="H1789" s="17" t="str">
        <f>Github!E$1788</f>
        <v>Hard</v>
      </c>
      <c r="I1789" s="17" t="str">
        <f>IF(TRIM(Github!D$1788)="TRUE","FALSE","TRUE")</f>
        <v>TRUE</v>
      </c>
      <c r="J1789" s="17"/>
      <c r="K1789" s="17" t="str">
        <f>Github!L$1788</f>
        <v>Array;Dynamic Programming;Bit Manipulation;</v>
      </c>
      <c r="L1789" s="17" t="b">
        <f>Github!M$1788</f>
        <v>0</v>
      </c>
      <c r="M1789" s="17" t="str">
        <f>ROUND(Github!N$1788, 2)&amp;"%"</f>
        <v>0%</v>
      </c>
      <c r="N1789" s="17">
        <f>Github!O$1788</f>
        <v>39.20834751</v>
      </c>
      <c r="O1789" s="17">
        <f>Github!P$1788</f>
        <v>3457</v>
      </c>
    </row>
    <row r="1790">
      <c r="A1790" s="17">
        <f>Github!J$1789</f>
        <v>1788</v>
      </c>
      <c r="B1790" s="27" t="str">
        <f>HYPERLINK(CONCAT("http://leetcode.com/problems/",Github!C$1789), Github!B$1789)</f>
        <v>Maximize the Beauty of the Garden</v>
      </c>
      <c r="C1790" s="17">
        <f>Github!F$1789</f>
        <v>43</v>
      </c>
      <c r="D1790" s="17">
        <f>Github!G$1789</f>
        <v>4</v>
      </c>
      <c r="E1790" s="17">
        <f>Github!F$1789+Github!G$1789</f>
        <v>47</v>
      </c>
      <c r="F1790" s="18">
        <f t="shared" si="1"/>
        <v>10.75</v>
      </c>
      <c r="G1790" s="17" t="str">
        <f>Github!H$1789</f>
        <v>Algorithms</v>
      </c>
      <c r="H1790" s="17" t="str">
        <f>Github!E$1789</f>
        <v>Hard</v>
      </c>
      <c r="I1790" s="17" t="str">
        <f>IF(TRIM(Github!D$1789)="TRUE","FALSE","TRUE")</f>
        <v>FALSE</v>
      </c>
      <c r="J1790" s="17"/>
      <c r="K1790" s="17" t="str">
        <f>Github!L$1789</f>
        <v>Array;Greedy;Prefix Sum;</v>
      </c>
      <c r="L1790" s="17" t="b">
        <f>Github!M$1789</f>
        <v>0</v>
      </c>
      <c r="M1790" s="17" t="str">
        <f>ROUND(Github!N$1789, 2)&amp;"%"</f>
        <v>0%</v>
      </c>
      <c r="N1790" s="17">
        <f>Github!O$1789</f>
        <v>67.14950854</v>
      </c>
      <c r="O1790" s="17">
        <f>Github!P$1789</f>
        <v>1298</v>
      </c>
    </row>
    <row r="1791">
      <c r="A1791" s="17">
        <f>Github!J$1790</f>
        <v>1789</v>
      </c>
      <c r="B1791" s="27" t="str">
        <f>HYPERLINK(CONCAT("http://leetcode.com/problems/",Github!C$1790), Github!B$1790)</f>
        <v>Primary Department for Each Employee</v>
      </c>
      <c r="C1791" s="17">
        <f>Github!F$1790</f>
        <v>55</v>
      </c>
      <c r="D1791" s="17">
        <f>Github!G$1790</f>
        <v>23</v>
      </c>
      <c r="E1791" s="17">
        <f>Github!F$1790+Github!G$1790</f>
        <v>78</v>
      </c>
      <c r="F1791" s="18">
        <f t="shared" si="1"/>
        <v>2.39</v>
      </c>
      <c r="G1791" s="17" t="str">
        <f>Github!H$1790</f>
        <v>Database</v>
      </c>
      <c r="H1791" s="17" t="str">
        <f>Github!E$1790</f>
        <v>Easy</v>
      </c>
      <c r="I1791" s="17" t="str">
        <f>IF(TRIM(Github!D$1790)="TRUE","FALSE","TRUE")</f>
        <v>FALSE</v>
      </c>
      <c r="J1791" s="17"/>
      <c r="K1791" s="17" t="str">
        <f>Github!L$1790</f>
        <v>Database;</v>
      </c>
      <c r="L1791" s="17" t="b">
        <f>Github!M$1790</f>
        <v>0</v>
      </c>
      <c r="M1791" s="17" t="str">
        <f>ROUND(Github!N$1790, 2)&amp;"%"</f>
        <v>0%</v>
      </c>
      <c r="N1791" s="17">
        <f>Github!O$1790</f>
        <v>78.58300753</v>
      </c>
      <c r="O1791" s="17">
        <f>Github!P$1790</f>
        <v>8241</v>
      </c>
    </row>
    <row r="1792">
      <c r="A1792" s="17">
        <f>Github!J$1791</f>
        <v>1790</v>
      </c>
      <c r="B1792" s="27" t="str">
        <f>HYPERLINK(CONCAT("http://leetcode.com/problems/",Github!C$1791), Github!B$1791)</f>
        <v>Check if One String Swap Can Make Strings Equal</v>
      </c>
      <c r="C1792" s="17">
        <f>Github!F$1791</f>
        <v>378</v>
      </c>
      <c r="D1792" s="17">
        <f>Github!G$1791</f>
        <v>15</v>
      </c>
      <c r="E1792" s="17">
        <f>Github!F$1791+Github!G$1791</f>
        <v>393</v>
      </c>
      <c r="F1792" s="18">
        <f t="shared" si="1"/>
        <v>25.2</v>
      </c>
      <c r="G1792" s="17" t="str">
        <f>Github!H$1791</f>
        <v>Algorithms</v>
      </c>
      <c r="H1792" s="17" t="str">
        <f>Github!E$1791</f>
        <v>Easy</v>
      </c>
      <c r="I1792" s="17" t="str">
        <f>IF(TRIM(Github!D$1791)="TRUE","FALSE","TRUE")</f>
        <v>TRUE</v>
      </c>
      <c r="J1792" s="17"/>
      <c r="K1792" s="17" t="str">
        <f>Github!L$1791</f>
        <v>Hash Table;String;Counting;</v>
      </c>
      <c r="L1792" s="17" t="b">
        <f>Github!M$1791</f>
        <v>0</v>
      </c>
      <c r="M1792" s="17" t="str">
        <f>ROUND(Github!N$1791, 2)&amp;"%"</f>
        <v>0%</v>
      </c>
      <c r="N1792" s="17">
        <f>Github!O$1791</f>
        <v>45.96014922</v>
      </c>
      <c r="O1792" s="17">
        <f>Github!P$1791</f>
        <v>31042</v>
      </c>
    </row>
    <row r="1793">
      <c r="A1793" s="17">
        <f>Github!J$1792</f>
        <v>1791</v>
      </c>
      <c r="B1793" s="27" t="str">
        <f>HYPERLINK(CONCAT("http://leetcode.com/problems/",Github!C$1792), Github!B$1792)</f>
        <v>Find Center of Star Graph</v>
      </c>
      <c r="C1793" s="17">
        <f>Github!F$1792</f>
        <v>474</v>
      </c>
      <c r="D1793" s="17">
        <f>Github!G$1792</f>
        <v>65</v>
      </c>
      <c r="E1793" s="17">
        <f>Github!F$1792+Github!G$1792</f>
        <v>539</v>
      </c>
      <c r="F1793" s="18">
        <f t="shared" si="1"/>
        <v>7.29</v>
      </c>
      <c r="G1793" s="17" t="str">
        <f>Github!H$1792</f>
        <v>Algorithms</v>
      </c>
      <c r="H1793" s="17" t="str">
        <f>Github!E$1792</f>
        <v>Easy</v>
      </c>
      <c r="I1793" s="17" t="str">
        <f>IF(TRIM(Github!D$1792)="TRUE","FALSE","TRUE")</f>
        <v>TRUE</v>
      </c>
      <c r="J1793" s="17"/>
      <c r="K1793" s="17" t="str">
        <f>Github!L$1792</f>
        <v>Graph;</v>
      </c>
      <c r="L1793" s="17" t="b">
        <f>Github!M$1792</f>
        <v>0</v>
      </c>
      <c r="M1793" s="17" t="str">
        <f>ROUND(Github!N$1792, 2)&amp;"%"</f>
        <v>0%</v>
      </c>
      <c r="N1793" s="17">
        <f>Github!O$1792</f>
        <v>83.73549964</v>
      </c>
      <c r="O1793" s="17">
        <f>Github!P$1792</f>
        <v>72976</v>
      </c>
    </row>
    <row r="1794">
      <c r="A1794" s="17">
        <f>Github!J$1793</f>
        <v>1792</v>
      </c>
      <c r="B1794" s="27" t="str">
        <f>HYPERLINK(CONCAT("http://leetcode.com/problems/",Github!C$1793), Github!B$1793)</f>
        <v>Maximum Average Pass Ratio</v>
      </c>
      <c r="C1794" s="17">
        <f>Github!F$1793</f>
        <v>461</v>
      </c>
      <c r="D1794" s="17">
        <f>Github!G$1793</f>
        <v>57</v>
      </c>
      <c r="E1794" s="17">
        <f>Github!F$1793+Github!G$1793</f>
        <v>518</v>
      </c>
      <c r="F1794" s="18">
        <f t="shared" si="1"/>
        <v>8.09</v>
      </c>
      <c r="G1794" s="17" t="str">
        <f>Github!H$1793</f>
        <v>Algorithms</v>
      </c>
      <c r="H1794" s="17" t="str">
        <f>Github!E$1793</f>
        <v>Medium</v>
      </c>
      <c r="I1794" s="17" t="str">
        <f>IF(TRIM(Github!D$1793)="TRUE","FALSE","TRUE")</f>
        <v>TRUE</v>
      </c>
      <c r="J1794" s="17"/>
      <c r="K1794" s="17" t="str">
        <f>Github!L$1793</f>
        <v>Array;Greedy;Heap (Priority Queue);</v>
      </c>
      <c r="L1794" s="17" t="b">
        <f>Github!M$1793</f>
        <v>0</v>
      </c>
      <c r="M1794" s="17" t="str">
        <f>ROUND(Github!N$1793, 2)&amp;"%"</f>
        <v>0%</v>
      </c>
      <c r="N1794" s="17">
        <f>Github!O$1793</f>
        <v>50.36389583</v>
      </c>
      <c r="O1794" s="17">
        <f>Github!P$1793</f>
        <v>14117</v>
      </c>
    </row>
    <row r="1795">
      <c r="A1795" s="17">
        <f>Github!J$1794</f>
        <v>1793</v>
      </c>
      <c r="B1795" s="27" t="str">
        <f>HYPERLINK(CONCAT("http://leetcode.com/problems/",Github!C$1794), Github!B$1794)</f>
        <v>Maximum Score of a Good Subarray</v>
      </c>
      <c r="C1795" s="17">
        <f>Github!F$1794</f>
        <v>550</v>
      </c>
      <c r="D1795" s="17">
        <f>Github!G$1794</f>
        <v>24</v>
      </c>
      <c r="E1795" s="17">
        <f>Github!F$1794+Github!G$1794</f>
        <v>574</v>
      </c>
      <c r="F1795" s="18">
        <f t="shared" si="1"/>
        <v>22.92</v>
      </c>
      <c r="G1795" s="17" t="str">
        <f>Github!H$1794</f>
        <v>Algorithms</v>
      </c>
      <c r="H1795" s="17" t="str">
        <f>Github!E$1794</f>
        <v>Hard</v>
      </c>
      <c r="I1795" s="17" t="str">
        <f>IF(TRIM(Github!D$1794)="TRUE","FALSE","TRUE")</f>
        <v>TRUE</v>
      </c>
      <c r="J1795" s="17"/>
      <c r="K1795" s="17" t="str">
        <f>Github!L$1794</f>
        <v>Array;Two Pointers;Binary Search;Stack;Monotonic Stack;</v>
      </c>
      <c r="L1795" s="17" t="b">
        <f>Github!M$1794</f>
        <v>0</v>
      </c>
      <c r="M1795" s="17" t="str">
        <f>ROUND(Github!N$1794, 2)&amp;"%"</f>
        <v>0%</v>
      </c>
      <c r="N1795" s="17">
        <f>Github!O$1794</f>
        <v>51.33497597</v>
      </c>
      <c r="O1795" s="17">
        <f>Github!P$1794</f>
        <v>12709</v>
      </c>
    </row>
    <row r="1796">
      <c r="A1796" s="17">
        <f>Github!J$1795</f>
        <v>1794</v>
      </c>
      <c r="B1796" s="27" t="str">
        <f>HYPERLINK(CONCAT("http://leetcode.com/problems/",Github!C$1795), Github!B$1795)</f>
        <v>Count Pairs of Equal Substrings With Minimum Difference</v>
      </c>
      <c r="C1796" s="17">
        <f>Github!F$1795</f>
        <v>28</v>
      </c>
      <c r="D1796" s="17">
        <f>Github!G$1795</f>
        <v>33</v>
      </c>
      <c r="E1796" s="17">
        <f>Github!F$1795+Github!G$1795</f>
        <v>61</v>
      </c>
      <c r="F1796" s="18">
        <f t="shared" si="1"/>
        <v>0.85</v>
      </c>
      <c r="G1796" s="17" t="str">
        <f>Github!H$1795</f>
        <v>Algorithms</v>
      </c>
      <c r="H1796" s="17" t="str">
        <f>Github!E$1795</f>
        <v>Medium</v>
      </c>
      <c r="I1796" s="17" t="str">
        <f>IF(TRIM(Github!D$1795)="TRUE","FALSE","TRUE")</f>
        <v>FALSE</v>
      </c>
      <c r="J1796" s="17"/>
      <c r="K1796" s="17" t="str">
        <f>Github!L$1795</f>
        <v>Hash Table;String;Greedy;</v>
      </c>
      <c r="L1796" s="17" t="b">
        <f>Github!M$1795</f>
        <v>0</v>
      </c>
      <c r="M1796" s="17" t="str">
        <f>ROUND(Github!N$1795, 2)&amp;"%"</f>
        <v>0%</v>
      </c>
      <c r="N1796" s="17">
        <f>Github!O$1795</f>
        <v>64.62952948</v>
      </c>
      <c r="O1796" s="17">
        <f>Github!P$1795</f>
        <v>1195</v>
      </c>
    </row>
    <row r="1797">
      <c r="A1797" s="17">
        <f>Github!J$1796</f>
        <v>1795</v>
      </c>
      <c r="B1797" s="27" t="str">
        <f>HYPERLINK(CONCAT("http://leetcode.com/problems/",Github!C$1796), Github!B$1796)</f>
        <v>Rearrange Products Table</v>
      </c>
      <c r="C1797" s="17">
        <f>Github!F$1796</f>
        <v>72</v>
      </c>
      <c r="D1797" s="17">
        <f>Github!G$1796</f>
        <v>5</v>
      </c>
      <c r="E1797" s="17">
        <f>Github!F$1796+Github!G$1796</f>
        <v>77</v>
      </c>
      <c r="F1797" s="18">
        <f t="shared" si="1"/>
        <v>14.4</v>
      </c>
      <c r="G1797" s="17" t="str">
        <f>Github!H$1796</f>
        <v>Database</v>
      </c>
      <c r="H1797" s="17" t="str">
        <f>Github!E$1796</f>
        <v>Easy</v>
      </c>
      <c r="I1797" s="17" t="str">
        <f>IF(TRIM(Github!D$1796)="TRUE","FALSE","TRUE")</f>
        <v>FALSE</v>
      </c>
      <c r="J1797" s="17"/>
      <c r="K1797" s="17" t="str">
        <f>Github!L$1796</f>
        <v>Database;</v>
      </c>
      <c r="L1797" s="17" t="b">
        <f>Github!M$1796</f>
        <v>0</v>
      </c>
      <c r="M1797" s="17" t="str">
        <f>ROUND(Github!N$1796, 2)&amp;"%"</f>
        <v>0%</v>
      </c>
      <c r="N1797" s="17">
        <f>Github!O$1796</f>
        <v>90.21958002</v>
      </c>
      <c r="O1797" s="17">
        <f>Github!P$1796</f>
        <v>9409</v>
      </c>
    </row>
    <row r="1798">
      <c r="A1798" s="17">
        <f>Github!J$1797</f>
        <v>1796</v>
      </c>
      <c r="B1798" s="27" t="str">
        <f>HYPERLINK(CONCAT("http://leetcode.com/problems/",Github!C$1797), Github!B$1797)</f>
        <v>Second Largest Digit in a String</v>
      </c>
      <c r="C1798" s="17">
        <f>Github!F$1797</f>
        <v>234</v>
      </c>
      <c r="D1798" s="17">
        <f>Github!G$1797</f>
        <v>69</v>
      </c>
      <c r="E1798" s="17">
        <f>Github!F$1797+Github!G$1797</f>
        <v>303</v>
      </c>
      <c r="F1798" s="18">
        <f t="shared" si="1"/>
        <v>3.39</v>
      </c>
      <c r="G1798" s="17" t="str">
        <f>Github!H$1797</f>
        <v>Algorithms</v>
      </c>
      <c r="H1798" s="17" t="str">
        <f>Github!E$1797</f>
        <v>Easy</v>
      </c>
      <c r="I1798" s="17" t="str">
        <f>IF(TRIM(Github!D$1797)="TRUE","FALSE","TRUE")</f>
        <v>TRUE</v>
      </c>
      <c r="J1798" s="17"/>
      <c r="K1798" s="17" t="str">
        <f>Github!L$1797</f>
        <v>Hash Table;String;</v>
      </c>
      <c r="L1798" s="17" t="b">
        <f>Github!M$1797</f>
        <v>0</v>
      </c>
      <c r="M1798" s="17" t="str">
        <f>ROUND(Github!N$1797, 2)&amp;"%"</f>
        <v>0%</v>
      </c>
      <c r="N1798" s="17">
        <f>Github!O$1797</f>
        <v>49.0064302</v>
      </c>
      <c r="O1798" s="17">
        <f>Github!P$1797</f>
        <v>23625</v>
      </c>
    </row>
    <row r="1799">
      <c r="A1799" s="17">
        <f>Github!J$1798</f>
        <v>1797</v>
      </c>
      <c r="B1799" s="27" t="str">
        <f>HYPERLINK(CONCAT("http://leetcode.com/problems/",Github!C$1798), Github!B$1798)</f>
        <v>Design Authentication Manager</v>
      </c>
      <c r="C1799" s="17">
        <f>Github!F$1798</f>
        <v>137</v>
      </c>
      <c r="D1799" s="17">
        <f>Github!G$1798</f>
        <v>25</v>
      </c>
      <c r="E1799" s="17">
        <f>Github!F$1798+Github!G$1798</f>
        <v>162</v>
      </c>
      <c r="F1799" s="18">
        <f t="shared" si="1"/>
        <v>5.48</v>
      </c>
      <c r="G1799" s="17" t="str">
        <f>Github!H$1798</f>
        <v>Algorithms</v>
      </c>
      <c r="H1799" s="17" t="str">
        <f>Github!E$1798</f>
        <v>Medium</v>
      </c>
      <c r="I1799" s="17" t="str">
        <f>IF(TRIM(Github!D$1798)="TRUE","FALSE","TRUE")</f>
        <v>TRUE</v>
      </c>
      <c r="J1799" s="17"/>
      <c r="K1799" s="17" t="str">
        <f>Github!L$1798</f>
        <v>Hash Table;Design;</v>
      </c>
      <c r="L1799" s="17" t="b">
        <f>Github!M$1798</f>
        <v>0</v>
      </c>
      <c r="M1799" s="17" t="str">
        <f>ROUND(Github!N$1798, 2)&amp;"%"</f>
        <v>0%</v>
      </c>
      <c r="N1799" s="17">
        <f>Github!O$1798</f>
        <v>52.62473866</v>
      </c>
      <c r="O1799" s="17">
        <f>Github!P$1798</f>
        <v>9313</v>
      </c>
    </row>
    <row r="1800">
      <c r="A1800" s="17">
        <f>Github!J$1799</f>
        <v>1798</v>
      </c>
      <c r="B1800" s="27" t="str">
        <f>HYPERLINK(CONCAT("http://leetcode.com/problems/",Github!C$1799), Github!B$1799)</f>
        <v>Maximum Number of Consecutive Values You Can Make</v>
      </c>
      <c r="C1800" s="17">
        <f>Github!F$1799</f>
        <v>444</v>
      </c>
      <c r="D1800" s="17">
        <f>Github!G$1799</f>
        <v>33</v>
      </c>
      <c r="E1800" s="17">
        <f>Github!F$1799+Github!G$1799</f>
        <v>477</v>
      </c>
      <c r="F1800" s="18">
        <f t="shared" si="1"/>
        <v>13.45</v>
      </c>
      <c r="G1800" s="17" t="str">
        <f>Github!H$1799</f>
        <v>Algorithms</v>
      </c>
      <c r="H1800" s="17" t="str">
        <f>Github!E$1799</f>
        <v>Medium</v>
      </c>
      <c r="I1800" s="17" t="str">
        <f>IF(TRIM(Github!D$1799)="TRUE","FALSE","TRUE")</f>
        <v>TRUE</v>
      </c>
      <c r="J1800" s="17"/>
      <c r="K1800" s="17" t="str">
        <f>Github!L$1799</f>
        <v>Array;Greedy;</v>
      </c>
      <c r="L1800" s="17" t="b">
        <f>Github!M$1799</f>
        <v>0</v>
      </c>
      <c r="M1800" s="17" t="str">
        <f>ROUND(Github!N$1799, 2)&amp;"%"</f>
        <v>0%</v>
      </c>
      <c r="N1800" s="17">
        <f>Github!O$1799</f>
        <v>51.0031679</v>
      </c>
      <c r="O1800" s="17">
        <f>Github!P$1799</f>
        <v>9177</v>
      </c>
    </row>
    <row r="1801">
      <c r="A1801" s="17">
        <f>Github!J$1800</f>
        <v>1799</v>
      </c>
      <c r="B1801" s="27" t="str">
        <f>HYPERLINK(CONCAT("http://leetcode.com/problems/",Github!C$1800), Github!B$1800)</f>
        <v>Maximize Score After N Operations</v>
      </c>
      <c r="C1801" s="17">
        <f>Github!F$1800</f>
        <v>348</v>
      </c>
      <c r="D1801" s="17">
        <f>Github!G$1800</f>
        <v>33</v>
      </c>
      <c r="E1801" s="17">
        <f>Github!F$1800+Github!G$1800</f>
        <v>381</v>
      </c>
      <c r="F1801" s="18">
        <f t="shared" si="1"/>
        <v>10.55</v>
      </c>
      <c r="G1801" s="17" t="str">
        <f>Github!H$1800</f>
        <v>Algorithms</v>
      </c>
      <c r="H1801" s="17" t="str">
        <f>Github!E$1800</f>
        <v>Hard</v>
      </c>
      <c r="I1801" s="17" t="str">
        <f>IF(TRIM(Github!D$1800)="TRUE","FALSE","TRUE")</f>
        <v>TRUE</v>
      </c>
      <c r="J1801" s="17"/>
      <c r="K1801" s="17" t="str">
        <f>Github!L$1800</f>
        <v>Array;Math;Dynamic Programming;Backtracking;Bit Manipulation;Number Theory;Bitmask;</v>
      </c>
      <c r="L1801" s="17" t="b">
        <f>Github!M$1800</f>
        <v>0</v>
      </c>
      <c r="M1801" s="17" t="str">
        <f>ROUND(Github!N$1800, 2)&amp;"%"</f>
        <v>0%</v>
      </c>
      <c r="N1801" s="17">
        <f>Github!O$1800</f>
        <v>46.34065616</v>
      </c>
      <c r="O1801" s="17">
        <f>Github!P$1800</f>
        <v>11201</v>
      </c>
    </row>
    <row r="1802">
      <c r="A1802" s="17">
        <f>Github!J$1801</f>
        <v>1800</v>
      </c>
      <c r="B1802" s="27" t="str">
        <f>HYPERLINK(CONCAT("http://leetcode.com/problems/",Github!C$1801), Github!B$1801)</f>
        <v>Maximum Ascending Subarray Sum</v>
      </c>
      <c r="C1802" s="17">
        <f>Github!F$1801</f>
        <v>352</v>
      </c>
      <c r="D1802" s="17">
        <f>Github!G$1801</f>
        <v>12</v>
      </c>
      <c r="E1802" s="17">
        <f>Github!F$1801+Github!G$1801</f>
        <v>364</v>
      </c>
      <c r="F1802" s="18">
        <f t="shared" si="1"/>
        <v>29.33</v>
      </c>
      <c r="G1802" s="17" t="str">
        <f>Github!H$1801</f>
        <v>Algorithms</v>
      </c>
      <c r="H1802" s="17" t="str">
        <f>Github!E$1801</f>
        <v>Easy</v>
      </c>
      <c r="I1802" s="17" t="str">
        <f>IF(TRIM(Github!D$1801)="TRUE","FALSE","TRUE")</f>
        <v>TRUE</v>
      </c>
      <c r="J1802" s="17"/>
      <c r="K1802" s="17" t="str">
        <f>Github!L$1801</f>
        <v>Array;</v>
      </c>
      <c r="L1802" s="17" t="b">
        <f>Github!M$1801</f>
        <v>0</v>
      </c>
      <c r="M1802" s="17" t="str">
        <f>ROUND(Github!N$1801, 2)&amp;"%"</f>
        <v>0%</v>
      </c>
      <c r="N1802" s="17">
        <f>Github!O$1801</f>
        <v>64.51241686</v>
      </c>
      <c r="O1802" s="17">
        <f>Github!P$1801</f>
        <v>28030</v>
      </c>
    </row>
    <row r="1803">
      <c r="A1803" s="17">
        <f>Github!J$1802</f>
        <v>1801</v>
      </c>
      <c r="B1803" s="27" t="str">
        <f>HYPERLINK(CONCAT("http://leetcode.com/problems/",Github!C$1802), Github!B$1802)</f>
        <v>Number of Orders in the Backlog</v>
      </c>
      <c r="C1803" s="17">
        <f>Github!F$1802</f>
        <v>162</v>
      </c>
      <c r="D1803" s="17">
        <f>Github!G$1802</f>
        <v>174</v>
      </c>
      <c r="E1803" s="17">
        <f>Github!F$1802+Github!G$1802</f>
        <v>336</v>
      </c>
      <c r="F1803" s="18">
        <f t="shared" si="1"/>
        <v>0.93</v>
      </c>
      <c r="G1803" s="17" t="str">
        <f>Github!H$1802</f>
        <v>Algorithms</v>
      </c>
      <c r="H1803" s="17" t="str">
        <f>Github!E$1802</f>
        <v>Medium</v>
      </c>
      <c r="I1803" s="17" t="str">
        <f>IF(TRIM(Github!D$1802)="TRUE","FALSE","TRUE")</f>
        <v>TRUE</v>
      </c>
      <c r="J1803" s="17"/>
      <c r="K1803" s="17" t="str">
        <f>Github!L$1802</f>
        <v>Array;Heap (Priority Queue);Simulation;</v>
      </c>
      <c r="L1803" s="17" t="b">
        <f>Github!M$1802</f>
        <v>0</v>
      </c>
      <c r="M1803" s="17" t="str">
        <f>ROUND(Github!N$1802, 2)&amp;"%"</f>
        <v>0%</v>
      </c>
      <c r="N1803" s="17">
        <f>Github!O$1802</f>
        <v>45.71954211</v>
      </c>
      <c r="O1803" s="17">
        <f>Github!P$1802</f>
        <v>11182</v>
      </c>
    </row>
    <row r="1804">
      <c r="A1804" s="17">
        <f>Github!J$1803</f>
        <v>1802</v>
      </c>
      <c r="B1804" s="27" t="str">
        <f>HYPERLINK(CONCAT("http://leetcode.com/problems/",Github!C$1803), Github!B$1803)</f>
        <v>Maximum Value at a Given Index in a Bounded Array</v>
      </c>
      <c r="C1804" s="17">
        <f>Github!F$1803</f>
        <v>472</v>
      </c>
      <c r="D1804" s="17">
        <f>Github!G$1803</f>
        <v>66</v>
      </c>
      <c r="E1804" s="17">
        <f>Github!F$1803+Github!G$1803</f>
        <v>538</v>
      </c>
      <c r="F1804" s="18">
        <f t="shared" si="1"/>
        <v>7.15</v>
      </c>
      <c r="G1804" s="17" t="str">
        <f>Github!H$1803</f>
        <v>Algorithms</v>
      </c>
      <c r="H1804" s="17" t="str">
        <f>Github!E$1803</f>
        <v>Medium</v>
      </c>
      <c r="I1804" s="17" t="str">
        <f>IF(TRIM(Github!D$1803)="TRUE","FALSE","TRUE")</f>
        <v>TRUE</v>
      </c>
      <c r="J1804" s="17"/>
      <c r="K1804" s="17" t="str">
        <f>Github!L$1803</f>
        <v>Binary Search;Greedy;</v>
      </c>
      <c r="L1804" s="17" t="b">
        <f>Github!M$1803</f>
        <v>0</v>
      </c>
      <c r="M1804" s="17" t="str">
        <f>ROUND(Github!N$1803, 2)&amp;"%"</f>
        <v>0%</v>
      </c>
      <c r="N1804" s="17">
        <f>Github!O$1803</f>
        <v>29.65882536</v>
      </c>
      <c r="O1804" s="17">
        <f>Github!P$1803</f>
        <v>9519</v>
      </c>
    </row>
    <row r="1805">
      <c r="A1805" s="17">
        <f>Github!J$1804</f>
        <v>1803</v>
      </c>
      <c r="B1805" s="27" t="str">
        <f>HYPERLINK(CONCAT("http://leetcode.com/problems/",Github!C$1804), Github!B$1804)</f>
        <v>Count Pairs With XOR in a Range</v>
      </c>
      <c r="C1805" s="17">
        <f>Github!F$1804</f>
        <v>263</v>
      </c>
      <c r="D1805" s="17">
        <f>Github!G$1804</f>
        <v>10</v>
      </c>
      <c r="E1805" s="17">
        <f>Github!F$1804+Github!G$1804</f>
        <v>273</v>
      </c>
      <c r="F1805" s="18">
        <f t="shared" si="1"/>
        <v>26.3</v>
      </c>
      <c r="G1805" s="17" t="str">
        <f>Github!H$1804</f>
        <v>Algorithms</v>
      </c>
      <c r="H1805" s="17" t="str">
        <f>Github!E$1804</f>
        <v>Hard</v>
      </c>
      <c r="I1805" s="17" t="str">
        <f>IF(TRIM(Github!D$1804)="TRUE","FALSE","TRUE")</f>
        <v>TRUE</v>
      </c>
      <c r="J1805" s="17"/>
      <c r="K1805" s="17" t="str">
        <f>Github!L$1804</f>
        <v>Array;Bit Manipulation;Trie;</v>
      </c>
      <c r="L1805" s="17" t="b">
        <f>Github!M$1804</f>
        <v>0</v>
      </c>
      <c r="M1805" s="17" t="str">
        <f>ROUND(Github!N$1804, 2)&amp;"%"</f>
        <v>0%</v>
      </c>
      <c r="N1805" s="17">
        <f>Github!O$1804</f>
        <v>46.37877211</v>
      </c>
      <c r="O1805" s="17">
        <f>Github!P$1804</f>
        <v>4457</v>
      </c>
    </row>
    <row r="1806">
      <c r="A1806" s="17">
        <f>Github!J$1805</f>
        <v>1804</v>
      </c>
      <c r="B1806" s="27" t="str">
        <f>HYPERLINK(CONCAT("http://leetcode.com/problems/",Github!C$1805), Github!B$1805)</f>
        <v>Implement Trie II (Prefix Tree)</v>
      </c>
      <c r="C1806" s="17">
        <f>Github!F$1805</f>
        <v>142</v>
      </c>
      <c r="D1806" s="17">
        <f>Github!G$1805</f>
        <v>7</v>
      </c>
      <c r="E1806" s="17">
        <f>Github!F$1805+Github!G$1805</f>
        <v>149</v>
      </c>
      <c r="F1806" s="18">
        <f t="shared" si="1"/>
        <v>20.29</v>
      </c>
      <c r="G1806" s="17" t="str">
        <f>Github!H$1805</f>
        <v>Algorithms</v>
      </c>
      <c r="H1806" s="17" t="str">
        <f>Github!E$1805</f>
        <v>Medium</v>
      </c>
      <c r="I1806" s="17" t="str">
        <f>IF(TRIM(Github!D$1805)="TRUE","FALSE","TRUE")</f>
        <v>FALSE</v>
      </c>
      <c r="J1806" s="17"/>
      <c r="K1806" s="17" t="str">
        <f>Github!L$1805</f>
        <v>Hash Table;String;Design;Trie;</v>
      </c>
      <c r="L1806" s="17" t="b">
        <f>Github!M$1805</f>
        <v>0</v>
      </c>
      <c r="M1806" s="17" t="str">
        <f>ROUND(Github!N$1805, 2)&amp;"%"</f>
        <v>0%</v>
      </c>
      <c r="N1806" s="17">
        <f>Github!O$1805</f>
        <v>58.790119</v>
      </c>
      <c r="O1806" s="17">
        <f>Github!P$1805</f>
        <v>6520</v>
      </c>
    </row>
    <row r="1807">
      <c r="A1807" s="17">
        <f>Github!J$1806</f>
        <v>1805</v>
      </c>
      <c r="B1807" s="27" t="str">
        <f>HYPERLINK(CONCAT("http://leetcode.com/problems/",Github!C$1806), Github!B$1806)</f>
        <v>Number of Different Integers in a String</v>
      </c>
      <c r="C1807" s="17">
        <f>Github!F$1806</f>
        <v>300</v>
      </c>
      <c r="D1807" s="17">
        <f>Github!G$1806</f>
        <v>54</v>
      </c>
      <c r="E1807" s="17">
        <f>Github!F$1806+Github!G$1806</f>
        <v>354</v>
      </c>
      <c r="F1807" s="18">
        <f t="shared" si="1"/>
        <v>5.56</v>
      </c>
      <c r="G1807" s="17" t="str">
        <f>Github!H$1806</f>
        <v>Algorithms</v>
      </c>
      <c r="H1807" s="17" t="str">
        <f>Github!E$1806</f>
        <v>Easy</v>
      </c>
      <c r="I1807" s="17" t="str">
        <f>IF(TRIM(Github!D$1806)="TRUE","FALSE","TRUE")</f>
        <v>TRUE</v>
      </c>
      <c r="J1807" s="17"/>
      <c r="K1807" s="17" t="str">
        <f>Github!L$1806</f>
        <v>Hash Table;String;</v>
      </c>
      <c r="L1807" s="17" t="b">
        <f>Github!M$1806</f>
        <v>0</v>
      </c>
      <c r="M1807" s="17" t="str">
        <f>ROUND(Github!N$1806, 2)&amp;"%"</f>
        <v>0%</v>
      </c>
      <c r="N1807" s="17">
        <f>Github!O$1806</f>
        <v>35.47917188</v>
      </c>
      <c r="O1807" s="17">
        <f>Github!P$1806</f>
        <v>24112</v>
      </c>
    </row>
    <row r="1808">
      <c r="A1808" s="17">
        <f>Github!J$1807</f>
        <v>1806</v>
      </c>
      <c r="B1808" s="27" t="str">
        <f>HYPERLINK(CONCAT("http://leetcode.com/problems/",Github!C$1807), Github!B$1807)</f>
        <v>Minimum Number of Operations to Reinitialize a Permutation</v>
      </c>
      <c r="C1808" s="17">
        <f>Github!F$1807</f>
        <v>194</v>
      </c>
      <c r="D1808" s="17">
        <f>Github!G$1807</f>
        <v>107</v>
      </c>
      <c r="E1808" s="17">
        <f>Github!F$1807+Github!G$1807</f>
        <v>301</v>
      </c>
      <c r="F1808" s="18">
        <f t="shared" si="1"/>
        <v>1.81</v>
      </c>
      <c r="G1808" s="17" t="str">
        <f>Github!H$1807</f>
        <v>Algorithms</v>
      </c>
      <c r="H1808" s="17" t="str">
        <f>Github!E$1807</f>
        <v>Medium</v>
      </c>
      <c r="I1808" s="17" t="str">
        <f>IF(TRIM(Github!D$1807)="TRUE","FALSE","TRUE")</f>
        <v>TRUE</v>
      </c>
      <c r="J1808" s="17"/>
      <c r="K1808" s="17" t="str">
        <f>Github!L$1807</f>
        <v>Array;Math;Simulation;</v>
      </c>
      <c r="L1808" s="17" t="b">
        <f>Github!M$1807</f>
        <v>0</v>
      </c>
      <c r="M1808" s="17" t="str">
        <f>ROUND(Github!N$1807, 2)&amp;"%"</f>
        <v>0%</v>
      </c>
      <c r="N1808" s="17">
        <f>Github!O$1807</f>
        <v>70.87100578</v>
      </c>
      <c r="O1808" s="17">
        <f>Github!P$1807</f>
        <v>12620</v>
      </c>
    </row>
    <row r="1809">
      <c r="A1809" s="17">
        <f>Github!J$1808</f>
        <v>1807</v>
      </c>
      <c r="B1809" s="27" t="str">
        <f>HYPERLINK(CONCAT("http://leetcode.com/problems/",Github!C$1808), Github!B$1808)</f>
        <v>Evaluate the Bracket Pairs of a String</v>
      </c>
      <c r="C1809" s="17">
        <f>Github!F$1808</f>
        <v>277</v>
      </c>
      <c r="D1809" s="17">
        <f>Github!G$1808</f>
        <v>26</v>
      </c>
      <c r="E1809" s="17">
        <f>Github!F$1808+Github!G$1808</f>
        <v>303</v>
      </c>
      <c r="F1809" s="18">
        <f t="shared" si="1"/>
        <v>10.65</v>
      </c>
      <c r="G1809" s="17" t="str">
        <f>Github!H$1808</f>
        <v>Algorithms</v>
      </c>
      <c r="H1809" s="17" t="str">
        <f>Github!E$1808</f>
        <v>Medium</v>
      </c>
      <c r="I1809" s="17" t="str">
        <f>IF(TRIM(Github!D$1808)="TRUE","FALSE","TRUE")</f>
        <v>TRUE</v>
      </c>
      <c r="J1809" s="17"/>
      <c r="K1809" s="17" t="str">
        <f>Github!L$1808</f>
        <v>Array;Hash Table;String;</v>
      </c>
      <c r="L1809" s="17" t="b">
        <f>Github!M$1808</f>
        <v>0</v>
      </c>
      <c r="M1809" s="17" t="str">
        <f>ROUND(Github!N$1808, 2)&amp;"%"</f>
        <v>0%</v>
      </c>
      <c r="N1809" s="17">
        <f>Github!O$1808</f>
        <v>66.74179722</v>
      </c>
      <c r="O1809" s="17">
        <f>Github!P$1808</f>
        <v>18063</v>
      </c>
    </row>
    <row r="1810">
      <c r="A1810" s="17">
        <f>Github!J$1809</f>
        <v>1808</v>
      </c>
      <c r="B1810" s="27" t="str">
        <f>HYPERLINK(CONCAT("http://leetcode.com/problems/",Github!C$1809), Github!B$1809)</f>
        <v>Maximize Number of Nice Divisors</v>
      </c>
      <c r="C1810" s="17">
        <f>Github!F$1809</f>
        <v>136</v>
      </c>
      <c r="D1810" s="17">
        <f>Github!G$1809</f>
        <v>133</v>
      </c>
      <c r="E1810" s="17">
        <f>Github!F$1809+Github!G$1809</f>
        <v>269</v>
      </c>
      <c r="F1810" s="18">
        <f t="shared" si="1"/>
        <v>1.02</v>
      </c>
      <c r="G1810" s="17" t="str">
        <f>Github!H$1809</f>
        <v>Algorithms</v>
      </c>
      <c r="H1810" s="17" t="str">
        <f>Github!E$1809</f>
        <v>Hard</v>
      </c>
      <c r="I1810" s="17" t="str">
        <f>IF(TRIM(Github!D$1809)="TRUE","FALSE","TRUE")</f>
        <v>TRUE</v>
      </c>
      <c r="J1810" s="17"/>
      <c r="K1810" s="17" t="str">
        <f>Github!L$1809</f>
        <v>Math;Recursion;</v>
      </c>
      <c r="L1810" s="17" t="b">
        <f>Github!M$1809</f>
        <v>0</v>
      </c>
      <c r="M1810" s="17" t="str">
        <f>ROUND(Github!N$1809, 2)&amp;"%"</f>
        <v>0%</v>
      </c>
      <c r="N1810" s="17">
        <f>Github!O$1809</f>
        <v>30.06876293</v>
      </c>
      <c r="O1810" s="17">
        <f>Github!P$1809</f>
        <v>4504</v>
      </c>
    </row>
    <row r="1811">
      <c r="A1811" s="17">
        <f>Github!J$1810</f>
        <v>1809</v>
      </c>
      <c r="B1811" s="27" t="str">
        <f>HYPERLINK(CONCAT("http://leetcode.com/problems/",Github!C$1810), Github!B$1810)</f>
        <v>Ad-Free Sessions</v>
      </c>
      <c r="C1811" s="17">
        <f>Github!F$1810</f>
        <v>47</v>
      </c>
      <c r="D1811" s="17">
        <f>Github!G$1810</f>
        <v>23</v>
      </c>
      <c r="E1811" s="17">
        <f>Github!F$1810+Github!G$1810</f>
        <v>70</v>
      </c>
      <c r="F1811" s="18">
        <f t="shared" si="1"/>
        <v>2.04</v>
      </c>
      <c r="G1811" s="17" t="str">
        <f>Github!H$1810</f>
        <v>Database</v>
      </c>
      <c r="H1811" s="17" t="str">
        <f>Github!E$1810</f>
        <v>Easy</v>
      </c>
      <c r="I1811" s="17" t="str">
        <f>IF(TRIM(Github!D$1810)="TRUE","FALSE","TRUE")</f>
        <v>FALSE</v>
      </c>
      <c r="J1811" s="17"/>
      <c r="K1811" s="17" t="str">
        <f>Github!L$1810</f>
        <v>Database;</v>
      </c>
      <c r="L1811" s="17" t="b">
        <f>Github!M$1810</f>
        <v>0</v>
      </c>
      <c r="M1811" s="17" t="str">
        <f>ROUND(Github!N$1810, 2)&amp;"%"</f>
        <v>0%</v>
      </c>
      <c r="N1811" s="17">
        <f>Github!O$1810</f>
        <v>59.9656229</v>
      </c>
      <c r="O1811" s="17">
        <f>Github!P$1810</f>
        <v>8023</v>
      </c>
    </row>
    <row r="1812">
      <c r="A1812" s="17">
        <f>Github!J$1811</f>
        <v>1810</v>
      </c>
      <c r="B1812" s="27" t="str">
        <f>HYPERLINK(CONCAT("http://leetcode.com/problems/",Github!C$1811), Github!B$1811)</f>
        <v>Minimum Path Cost in a Hidden Grid</v>
      </c>
      <c r="C1812" s="17">
        <f>Github!F$1811</f>
        <v>51</v>
      </c>
      <c r="D1812" s="17">
        <f>Github!G$1811</f>
        <v>16</v>
      </c>
      <c r="E1812" s="17">
        <f>Github!F$1811+Github!G$1811</f>
        <v>67</v>
      </c>
      <c r="F1812" s="18">
        <f t="shared" si="1"/>
        <v>3.19</v>
      </c>
      <c r="G1812" s="17" t="str">
        <f>Github!H$1811</f>
        <v>Algorithms</v>
      </c>
      <c r="H1812" s="17" t="str">
        <f>Github!E$1811</f>
        <v>Medium</v>
      </c>
      <c r="I1812" s="17" t="str">
        <f>IF(TRIM(Github!D$1811)="TRUE","FALSE","TRUE")</f>
        <v>FALSE</v>
      </c>
      <c r="J1812" s="17"/>
      <c r="K1812" s="17" t="str">
        <f>Github!L$1811</f>
        <v>Depth-First Search;Breadth-First Search;Graph;Heap (Priority Queue);Interactive;</v>
      </c>
      <c r="L1812" s="17" t="b">
        <f>Github!M$1811</f>
        <v>0</v>
      </c>
      <c r="M1812" s="17" t="str">
        <f>ROUND(Github!N$1811, 2)&amp;"%"</f>
        <v>0%</v>
      </c>
      <c r="N1812" s="17">
        <f>Github!O$1811</f>
        <v>53.64176305</v>
      </c>
      <c r="O1812" s="17">
        <f>Github!P$1811</f>
        <v>1716</v>
      </c>
    </row>
    <row r="1813">
      <c r="A1813" s="17">
        <f>Github!J$1812</f>
        <v>1811</v>
      </c>
      <c r="B1813" s="27" t="str">
        <f>HYPERLINK(CONCAT("http://leetcode.com/problems/",Github!C$1812), Github!B$1812)</f>
        <v>Find Interview Candidates</v>
      </c>
      <c r="C1813" s="17">
        <f>Github!F$1812</f>
        <v>103</v>
      </c>
      <c r="D1813" s="17">
        <f>Github!G$1812</f>
        <v>15</v>
      </c>
      <c r="E1813" s="17">
        <f>Github!F$1812+Github!G$1812</f>
        <v>118</v>
      </c>
      <c r="F1813" s="18">
        <f t="shared" si="1"/>
        <v>6.87</v>
      </c>
      <c r="G1813" s="17" t="str">
        <f>Github!H$1812</f>
        <v>Database</v>
      </c>
      <c r="H1813" s="17" t="str">
        <f>Github!E$1812</f>
        <v>Medium</v>
      </c>
      <c r="I1813" s="17" t="str">
        <f>IF(TRIM(Github!D$1812)="TRUE","FALSE","TRUE")</f>
        <v>FALSE</v>
      </c>
      <c r="J1813" s="17"/>
      <c r="K1813" s="17" t="str">
        <f>Github!L$1812</f>
        <v>Database;</v>
      </c>
      <c r="L1813" s="17" t="b">
        <f>Github!M$1812</f>
        <v>0</v>
      </c>
      <c r="M1813" s="17" t="str">
        <f>ROUND(Github!N$1812, 2)&amp;"%"</f>
        <v>0%</v>
      </c>
      <c r="N1813" s="17">
        <f>Github!O$1812</f>
        <v>65.37836373</v>
      </c>
      <c r="O1813" s="17">
        <f>Github!P$1812</f>
        <v>7240</v>
      </c>
    </row>
    <row r="1814">
      <c r="A1814" s="17">
        <f>Github!J$1813</f>
        <v>1812</v>
      </c>
      <c r="B1814" s="27" t="str">
        <f>HYPERLINK(CONCAT("http://leetcode.com/problems/",Github!C$1813), Github!B$1813)</f>
        <v>Determine Color of a Chessboard Square</v>
      </c>
      <c r="C1814" s="17">
        <f>Github!F$1813</f>
        <v>386</v>
      </c>
      <c r="D1814" s="17">
        <f>Github!G$1813</f>
        <v>13</v>
      </c>
      <c r="E1814" s="17">
        <f>Github!F$1813+Github!G$1813</f>
        <v>399</v>
      </c>
      <c r="F1814" s="18">
        <f t="shared" si="1"/>
        <v>29.69</v>
      </c>
      <c r="G1814" s="17" t="str">
        <f>Github!H$1813</f>
        <v>Algorithms</v>
      </c>
      <c r="H1814" s="17" t="str">
        <f>Github!E$1813</f>
        <v>Easy</v>
      </c>
      <c r="I1814" s="17" t="str">
        <f>IF(TRIM(Github!D$1813)="TRUE","FALSE","TRUE")</f>
        <v>TRUE</v>
      </c>
      <c r="J1814" s="17"/>
      <c r="K1814" s="17" t="str">
        <f>Github!L$1813</f>
        <v>Math;String;</v>
      </c>
      <c r="L1814" s="17" t="b">
        <f>Github!M$1813</f>
        <v>0</v>
      </c>
      <c r="M1814" s="17" t="str">
        <f>ROUND(Github!N$1813, 2)&amp;"%"</f>
        <v>0%</v>
      </c>
      <c r="N1814" s="17">
        <f>Github!O$1813</f>
        <v>77.62618748</v>
      </c>
      <c r="O1814" s="17">
        <f>Github!P$1813</f>
        <v>33909</v>
      </c>
    </row>
    <row r="1815">
      <c r="A1815" s="17">
        <f>Github!J$1814</f>
        <v>1813</v>
      </c>
      <c r="B1815" s="27" t="str">
        <f>HYPERLINK(CONCAT("http://leetcode.com/problems/",Github!C$1814), Github!B$1814)</f>
        <v>Sentence Similarity III</v>
      </c>
      <c r="C1815" s="17">
        <f>Github!F$1814</f>
        <v>207</v>
      </c>
      <c r="D1815" s="17">
        <f>Github!G$1814</f>
        <v>38</v>
      </c>
      <c r="E1815" s="17">
        <f>Github!F$1814+Github!G$1814</f>
        <v>245</v>
      </c>
      <c r="F1815" s="18">
        <f t="shared" si="1"/>
        <v>5.45</v>
      </c>
      <c r="G1815" s="17" t="str">
        <f>Github!H$1814</f>
        <v>Algorithms</v>
      </c>
      <c r="H1815" s="17" t="str">
        <f>Github!E$1814</f>
        <v>Medium</v>
      </c>
      <c r="I1815" s="17" t="str">
        <f>IF(TRIM(Github!D$1814)="TRUE","FALSE","TRUE")</f>
        <v>TRUE</v>
      </c>
      <c r="J1815" s="17"/>
      <c r="K1815" s="17" t="str">
        <f>Github!L$1814</f>
        <v>Array;Two Pointers;String;</v>
      </c>
      <c r="L1815" s="17" t="b">
        <f>Github!M$1814</f>
        <v>0</v>
      </c>
      <c r="M1815" s="17" t="str">
        <f>ROUND(Github!N$1814, 2)&amp;"%"</f>
        <v>0%</v>
      </c>
      <c r="N1815" s="17">
        <f>Github!O$1814</f>
        <v>32.23519453</v>
      </c>
      <c r="O1815" s="17">
        <f>Github!P$1814</f>
        <v>9139</v>
      </c>
    </row>
    <row r="1816">
      <c r="A1816" s="17">
        <f>Github!J$1815</f>
        <v>1814</v>
      </c>
      <c r="B1816" s="27" t="str">
        <f>HYPERLINK(CONCAT("http://leetcode.com/problems/",Github!C$1815), Github!B$1815)</f>
        <v>Count Nice Pairs in an Array</v>
      </c>
      <c r="C1816" s="17">
        <f>Github!F$1815</f>
        <v>389</v>
      </c>
      <c r="D1816" s="17">
        <f>Github!G$1815</f>
        <v>19</v>
      </c>
      <c r="E1816" s="17">
        <f>Github!F$1815+Github!G$1815</f>
        <v>408</v>
      </c>
      <c r="F1816" s="18">
        <f t="shared" si="1"/>
        <v>20.47</v>
      </c>
      <c r="G1816" s="17" t="str">
        <f>Github!H$1815</f>
        <v>Algorithms</v>
      </c>
      <c r="H1816" s="17" t="str">
        <f>Github!E$1815</f>
        <v>Medium</v>
      </c>
      <c r="I1816" s="17" t="str">
        <f>IF(TRIM(Github!D$1815)="TRUE","FALSE","TRUE")</f>
        <v>TRUE</v>
      </c>
      <c r="J1816" s="17"/>
      <c r="K1816" s="17" t="str">
        <f>Github!L$1815</f>
        <v>Array;Hash Table;Math;Counting;</v>
      </c>
      <c r="L1816" s="17" t="b">
        <f>Github!M$1815</f>
        <v>0</v>
      </c>
      <c r="M1816" s="17" t="str">
        <f>ROUND(Github!N$1815, 2)&amp;"%"</f>
        <v>0%</v>
      </c>
      <c r="N1816" s="17">
        <f>Github!O$1815</f>
        <v>40.08973344</v>
      </c>
      <c r="O1816" s="17">
        <f>Github!P$1815</f>
        <v>13671</v>
      </c>
    </row>
    <row r="1817">
      <c r="A1817" s="17">
        <f>Github!J$1816</f>
        <v>1815</v>
      </c>
      <c r="B1817" s="27" t="str">
        <f>HYPERLINK(CONCAT("http://leetcode.com/problems/",Github!C$1816), Github!B$1816)</f>
        <v>Maximum Number of Groups Getting Fresh Donuts</v>
      </c>
      <c r="C1817" s="17">
        <f>Github!F$1816</f>
        <v>212</v>
      </c>
      <c r="D1817" s="17">
        <f>Github!G$1816</f>
        <v>13</v>
      </c>
      <c r="E1817" s="17">
        <f>Github!F$1816+Github!G$1816</f>
        <v>225</v>
      </c>
      <c r="F1817" s="18">
        <f t="shared" si="1"/>
        <v>16.31</v>
      </c>
      <c r="G1817" s="17" t="str">
        <f>Github!H$1816</f>
        <v>Algorithms</v>
      </c>
      <c r="H1817" s="17" t="str">
        <f>Github!E$1816</f>
        <v>Hard</v>
      </c>
      <c r="I1817" s="17" t="str">
        <f>IF(TRIM(Github!D$1816)="TRUE","FALSE","TRUE")</f>
        <v>TRUE</v>
      </c>
      <c r="J1817" s="17"/>
      <c r="K1817" s="17" t="str">
        <f>Github!L$1816</f>
        <v>Array;Dynamic Programming;Bit Manipulation;Memoization;Bitmask;</v>
      </c>
      <c r="L1817" s="17" t="b">
        <f>Github!M$1816</f>
        <v>0</v>
      </c>
      <c r="M1817" s="17" t="str">
        <f>ROUND(Github!N$1816, 2)&amp;"%"</f>
        <v>0%</v>
      </c>
      <c r="N1817" s="17">
        <f>Github!O$1816</f>
        <v>39.91133005</v>
      </c>
      <c r="O1817" s="17">
        <f>Github!P$1816</f>
        <v>4051</v>
      </c>
    </row>
    <row r="1818">
      <c r="A1818" s="17">
        <f>Github!J$1817</f>
        <v>1816</v>
      </c>
      <c r="B1818" s="27" t="str">
        <f>HYPERLINK(CONCAT("http://leetcode.com/problems/",Github!C$1817), Github!B$1817)</f>
        <v>Truncate Sentence</v>
      </c>
      <c r="C1818" s="17">
        <f>Github!F$1817</f>
        <v>442</v>
      </c>
      <c r="D1818" s="17">
        <f>Github!G$1817</f>
        <v>15</v>
      </c>
      <c r="E1818" s="17">
        <f>Github!F$1817+Github!G$1817</f>
        <v>457</v>
      </c>
      <c r="F1818" s="18">
        <f t="shared" si="1"/>
        <v>29.47</v>
      </c>
      <c r="G1818" s="17" t="str">
        <f>Github!H$1817</f>
        <v>Algorithms</v>
      </c>
      <c r="H1818" s="17" t="str">
        <f>Github!E$1817</f>
        <v>Easy</v>
      </c>
      <c r="I1818" s="17" t="str">
        <f>IF(TRIM(Github!D$1817)="TRUE","FALSE","TRUE")</f>
        <v>TRUE</v>
      </c>
      <c r="J1818" s="17"/>
      <c r="K1818" s="17" t="str">
        <f>Github!L$1817</f>
        <v>Array;String;</v>
      </c>
      <c r="L1818" s="17" t="b">
        <f>Github!M$1817</f>
        <v>0</v>
      </c>
      <c r="M1818" s="17" t="str">
        <f>ROUND(Github!N$1817, 2)&amp;"%"</f>
        <v>0%</v>
      </c>
      <c r="N1818" s="17">
        <f>Github!O$1817</f>
        <v>81.07248991</v>
      </c>
      <c r="O1818" s="17">
        <f>Github!P$1817</f>
        <v>54833</v>
      </c>
    </row>
    <row r="1819">
      <c r="A1819" s="17">
        <f>Github!J$1818</f>
        <v>1817</v>
      </c>
      <c r="B1819" s="27" t="str">
        <f>HYPERLINK(CONCAT("http://leetcode.com/problems/",Github!C$1818), Github!B$1818)</f>
        <v>Finding the Users Active Minutes</v>
      </c>
      <c r="C1819" s="17">
        <f>Github!F$1818</f>
        <v>378</v>
      </c>
      <c r="D1819" s="17">
        <f>Github!G$1818</f>
        <v>146</v>
      </c>
      <c r="E1819" s="17">
        <f>Github!F$1818+Github!G$1818</f>
        <v>524</v>
      </c>
      <c r="F1819" s="18">
        <f t="shared" si="1"/>
        <v>2.59</v>
      </c>
      <c r="G1819" s="17" t="str">
        <f>Github!H$1818</f>
        <v>Algorithms</v>
      </c>
      <c r="H1819" s="17" t="str">
        <f>Github!E$1818</f>
        <v>Medium</v>
      </c>
      <c r="I1819" s="17" t="str">
        <f>IF(TRIM(Github!D$1818)="TRUE","FALSE","TRUE")</f>
        <v>TRUE</v>
      </c>
      <c r="J1819" s="17"/>
      <c r="K1819" s="17" t="str">
        <f>Github!L$1818</f>
        <v>Array;Hash Table;</v>
      </c>
      <c r="L1819" s="17" t="b">
        <f>Github!M$1818</f>
        <v>0</v>
      </c>
      <c r="M1819" s="17" t="str">
        <f>ROUND(Github!N$1818, 2)&amp;"%"</f>
        <v>0%</v>
      </c>
      <c r="N1819" s="17">
        <f>Github!O$1818</f>
        <v>80.50180168</v>
      </c>
      <c r="O1819" s="17">
        <f>Github!P$1818</f>
        <v>30159</v>
      </c>
    </row>
    <row r="1820">
      <c r="A1820" s="17">
        <f>Github!J$1819</f>
        <v>1818</v>
      </c>
      <c r="B1820" s="27" t="str">
        <f>HYPERLINK(CONCAT("http://leetcode.com/problems/",Github!C$1819), Github!B$1819)</f>
        <v>Minimum Absolute Sum Difference</v>
      </c>
      <c r="C1820" s="17">
        <f>Github!F$1819</f>
        <v>459</v>
      </c>
      <c r="D1820" s="17">
        <f>Github!G$1819</f>
        <v>45</v>
      </c>
      <c r="E1820" s="17">
        <f>Github!F$1819+Github!G$1819</f>
        <v>504</v>
      </c>
      <c r="F1820" s="18">
        <f t="shared" si="1"/>
        <v>10.2</v>
      </c>
      <c r="G1820" s="17" t="str">
        <f>Github!H$1819</f>
        <v>Algorithms</v>
      </c>
      <c r="H1820" s="17" t="str">
        <f>Github!E$1819</f>
        <v>Medium</v>
      </c>
      <c r="I1820" s="17" t="str">
        <f>IF(TRIM(Github!D$1819)="TRUE","FALSE","TRUE")</f>
        <v>TRUE</v>
      </c>
      <c r="J1820" s="17"/>
      <c r="K1820" s="17" t="str">
        <f>Github!L$1819</f>
        <v>Array;Binary Search;Sorting;Ordered Set;</v>
      </c>
      <c r="L1820" s="17" t="b">
        <f>Github!M$1819</f>
        <v>0</v>
      </c>
      <c r="M1820" s="17" t="str">
        <f>ROUND(Github!N$1819, 2)&amp;"%"</f>
        <v>0%</v>
      </c>
      <c r="N1820" s="17">
        <f>Github!O$1819</f>
        <v>28.7335187</v>
      </c>
      <c r="O1820" s="17">
        <f>Github!P$1819</f>
        <v>12814</v>
      </c>
    </row>
    <row r="1821">
      <c r="A1821" s="17">
        <f>Github!J$1820</f>
        <v>1819</v>
      </c>
      <c r="B1821" s="27" t="str">
        <f>HYPERLINK(CONCAT("http://leetcode.com/problems/",Github!C$1820), Github!B$1820)</f>
        <v>Number of Different Subsequences GCDs</v>
      </c>
      <c r="C1821" s="17">
        <f>Github!F$1820</f>
        <v>243</v>
      </c>
      <c r="D1821" s="17">
        <f>Github!G$1820</f>
        <v>33</v>
      </c>
      <c r="E1821" s="17">
        <f>Github!F$1820+Github!G$1820</f>
        <v>276</v>
      </c>
      <c r="F1821" s="18">
        <f t="shared" si="1"/>
        <v>7.36</v>
      </c>
      <c r="G1821" s="17" t="str">
        <f>Github!H$1820</f>
        <v>Algorithms</v>
      </c>
      <c r="H1821" s="17" t="str">
        <f>Github!E$1820</f>
        <v>Hard</v>
      </c>
      <c r="I1821" s="17" t="str">
        <f>IF(TRIM(Github!D$1820)="TRUE","FALSE","TRUE")</f>
        <v>TRUE</v>
      </c>
      <c r="J1821" s="17"/>
      <c r="K1821" s="17" t="str">
        <f>Github!L$1820</f>
        <v>Array;Math;Counting;Number Theory;</v>
      </c>
      <c r="L1821" s="17" t="b">
        <f>Github!M$1820</f>
        <v>0</v>
      </c>
      <c r="M1821" s="17" t="str">
        <f>ROUND(Github!N$1820, 2)&amp;"%"</f>
        <v>0%</v>
      </c>
      <c r="N1821" s="17">
        <f>Github!O$1820</f>
        <v>36.87445127</v>
      </c>
      <c r="O1821" s="17">
        <f>Github!P$1820</f>
        <v>5460</v>
      </c>
    </row>
    <row r="1822">
      <c r="A1822" s="17">
        <f>Github!J$1821</f>
        <v>1820</v>
      </c>
      <c r="B1822" s="27" t="str">
        <f>HYPERLINK(CONCAT("http://leetcode.com/problems/",Github!C$1821), Github!B$1821)</f>
        <v>Maximum Number of Accepted Invitations</v>
      </c>
      <c r="C1822" s="17">
        <f>Github!F$1821</f>
        <v>57</v>
      </c>
      <c r="D1822" s="17">
        <f>Github!G$1821</f>
        <v>13</v>
      </c>
      <c r="E1822" s="17">
        <f>Github!F$1821+Github!G$1821</f>
        <v>70</v>
      </c>
      <c r="F1822" s="18">
        <f t="shared" si="1"/>
        <v>4.38</v>
      </c>
      <c r="G1822" s="17" t="str">
        <f>Github!H$1821</f>
        <v>Algorithms</v>
      </c>
      <c r="H1822" s="17" t="str">
        <f>Github!E$1821</f>
        <v>Medium</v>
      </c>
      <c r="I1822" s="17" t="str">
        <f>IF(TRIM(Github!D$1821)="TRUE","FALSE","TRUE")</f>
        <v>FALSE</v>
      </c>
      <c r="J1822" s="17"/>
      <c r="K1822" s="17" t="str">
        <f>Github!L$1821</f>
        <v>Array;Backtracking;Matrix;</v>
      </c>
      <c r="L1822" s="17" t="b">
        <f>Github!M$1821</f>
        <v>0</v>
      </c>
      <c r="M1822" s="17" t="str">
        <f>ROUND(Github!N$1821, 2)&amp;"%"</f>
        <v>0%</v>
      </c>
      <c r="N1822" s="17">
        <f>Github!O$1821</f>
        <v>46.60238751</v>
      </c>
      <c r="O1822" s="17">
        <f>Github!P$1821</f>
        <v>1015</v>
      </c>
    </row>
    <row r="1823">
      <c r="A1823" s="17">
        <f>Github!J$1822</f>
        <v>1821</v>
      </c>
      <c r="B1823" s="27" t="str">
        <f>HYPERLINK(CONCAT("http://leetcode.com/problems/",Github!C$1822), Github!B$1822)</f>
        <v>Find Customers With Positive Revenue this Year</v>
      </c>
      <c r="C1823" s="17">
        <f>Github!F$1822</f>
        <v>21</v>
      </c>
      <c r="D1823" s="17">
        <f>Github!G$1822</f>
        <v>14</v>
      </c>
      <c r="E1823" s="17">
        <f>Github!F$1822+Github!G$1822</f>
        <v>35</v>
      </c>
      <c r="F1823" s="18">
        <f t="shared" si="1"/>
        <v>1.5</v>
      </c>
      <c r="G1823" s="17" t="str">
        <f>Github!H$1822</f>
        <v>Database</v>
      </c>
      <c r="H1823" s="17" t="str">
        <f>Github!E$1822</f>
        <v>Easy</v>
      </c>
      <c r="I1823" s="17" t="str">
        <f>IF(TRIM(Github!D$1822)="TRUE","FALSE","TRUE")</f>
        <v>FALSE</v>
      </c>
      <c r="J1823" s="17"/>
      <c r="K1823" s="17" t="str">
        <f>Github!L$1822</f>
        <v>Database;</v>
      </c>
      <c r="L1823" s="17" t="b">
        <f>Github!M$1822</f>
        <v>0</v>
      </c>
      <c r="M1823" s="17" t="str">
        <f>ROUND(Github!N$1822, 2)&amp;"%"</f>
        <v>0%</v>
      </c>
      <c r="N1823" s="17">
        <f>Github!O$1822</f>
        <v>89.76074615</v>
      </c>
      <c r="O1823" s="17">
        <f>Github!P$1822</f>
        <v>8854</v>
      </c>
    </row>
    <row r="1824">
      <c r="A1824" s="17">
        <f>Github!J$1823</f>
        <v>1822</v>
      </c>
      <c r="B1824" s="27" t="str">
        <f>HYPERLINK(CONCAT("http://leetcode.com/problems/",Github!C$1823), Github!B$1823)</f>
        <v>Sign of the Product of an Array</v>
      </c>
      <c r="C1824" s="17">
        <f>Github!F$1823</f>
        <v>447</v>
      </c>
      <c r="D1824" s="17">
        <f>Github!G$1823</f>
        <v>65</v>
      </c>
      <c r="E1824" s="17">
        <f>Github!F$1823+Github!G$1823</f>
        <v>512</v>
      </c>
      <c r="F1824" s="18">
        <f t="shared" si="1"/>
        <v>6.88</v>
      </c>
      <c r="G1824" s="17" t="str">
        <f>Github!H$1823</f>
        <v>Algorithms</v>
      </c>
      <c r="H1824" s="17" t="str">
        <f>Github!E$1823</f>
        <v>Easy</v>
      </c>
      <c r="I1824" s="17" t="str">
        <f>IF(TRIM(Github!D$1823)="TRUE","FALSE","TRUE")</f>
        <v>TRUE</v>
      </c>
      <c r="J1824" s="17"/>
      <c r="K1824" s="17" t="str">
        <f>Github!L$1823</f>
        <v>Array;Math;</v>
      </c>
      <c r="L1824" s="17" t="b">
        <f>Github!M$1823</f>
        <v>0</v>
      </c>
      <c r="M1824" s="17" t="str">
        <f>ROUND(Github!N$1823, 2)&amp;"%"</f>
        <v>0%</v>
      </c>
      <c r="N1824" s="17">
        <f>Github!O$1823</f>
        <v>67.30845146</v>
      </c>
      <c r="O1824" s="17">
        <f>Github!P$1823</f>
        <v>75016</v>
      </c>
    </row>
    <row r="1825">
      <c r="A1825" s="17">
        <f>Github!J$1824</f>
        <v>1823</v>
      </c>
      <c r="B1825" s="27" t="str">
        <f>HYPERLINK(CONCAT("http://leetcode.com/problems/",Github!C$1824), Github!B$1824)</f>
        <v>Find the Winner of the Circular Game</v>
      </c>
      <c r="C1825" s="17">
        <f>Github!F$1824</f>
        <v>1007</v>
      </c>
      <c r="D1825" s="17">
        <f>Github!G$1824</f>
        <v>29</v>
      </c>
      <c r="E1825" s="17">
        <f>Github!F$1824+Github!G$1824</f>
        <v>1036</v>
      </c>
      <c r="F1825" s="18">
        <f t="shared" si="1"/>
        <v>34.72</v>
      </c>
      <c r="G1825" s="17" t="str">
        <f>Github!H$1824</f>
        <v>Algorithms</v>
      </c>
      <c r="H1825" s="17" t="str">
        <f>Github!E$1824</f>
        <v>Medium</v>
      </c>
      <c r="I1825" s="17" t="str">
        <f>IF(TRIM(Github!D$1824)="TRUE","FALSE","TRUE")</f>
        <v>TRUE</v>
      </c>
      <c r="J1825" s="17"/>
      <c r="K1825" s="17" t="str">
        <f>Github!L$1824</f>
        <v>Array;Math;Recursion;Queue;Simulation;</v>
      </c>
      <c r="L1825" s="17" t="b">
        <f>Github!M$1824</f>
        <v>0</v>
      </c>
      <c r="M1825" s="17" t="str">
        <f>ROUND(Github!N$1824, 2)&amp;"%"</f>
        <v>0%</v>
      </c>
      <c r="N1825" s="17">
        <f>Github!O$1824</f>
        <v>76.20776977</v>
      </c>
      <c r="O1825" s="17">
        <f>Github!P$1824</f>
        <v>38818</v>
      </c>
    </row>
    <row r="1826">
      <c r="A1826" s="17">
        <f>Github!J$1825</f>
        <v>1824</v>
      </c>
      <c r="B1826" s="27" t="str">
        <f>HYPERLINK(CONCAT("http://leetcode.com/problems/",Github!C$1825), Github!B$1825)</f>
        <v>Minimum Sideway Jumps</v>
      </c>
      <c r="C1826" s="17">
        <f>Github!F$1825</f>
        <v>536</v>
      </c>
      <c r="D1826" s="17">
        <f>Github!G$1825</f>
        <v>26</v>
      </c>
      <c r="E1826" s="17">
        <f>Github!F$1825+Github!G$1825</f>
        <v>562</v>
      </c>
      <c r="F1826" s="18">
        <f t="shared" si="1"/>
        <v>20.62</v>
      </c>
      <c r="G1826" s="17" t="str">
        <f>Github!H$1825</f>
        <v>Algorithms</v>
      </c>
      <c r="H1826" s="17" t="str">
        <f>Github!E$1825</f>
        <v>Medium</v>
      </c>
      <c r="I1826" s="17" t="str">
        <f>IF(TRIM(Github!D$1825)="TRUE","FALSE","TRUE")</f>
        <v>TRUE</v>
      </c>
      <c r="J1826" s="17"/>
      <c r="K1826" s="17" t="str">
        <f>Github!L$1825</f>
        <v>Array;Dynamic Programming;Greedy;</v>
      </c>
      <c r="L1826" s="17" t="b">
        <f>Github!M$1825</f>
        <v>0</v>
      </c>
      <c r="M1826" s="17" t="str">
        <f>ROUND(Github!N$1825, 2)&amp;"%"</f>
        <v>0%</v>
      </c>
      <c r="N1826" s="17">
        <f>Github!O$1825</f>
        <v>49.22087794</v>
      </c>
      <c r="O1826" s="17">
        <f>Github!P$1825</f>
        <v>15541</v>
      </c>
    </row>
    <row r="1827">
      <c r="A1827" s="17">
        <f>Github!J$1826</f>
        <v>1825</v>
      </c>
      <c r="B1827" s="27" t="str">
        <f>HYPERLINK(CONCAT("http://leetcode.com/problems/",Github!C$1826), Github!B$1826)</f>
        <v>Finding MK Average</v>
      </c>
      <c r="C1827" s="17">
        <f>Github!F$1826</f>
        <v>190</v>
      </c>
      <c r="D1827" s="17">
        <f>Github!G$1826</f>
        <v>79</v>
      </c>
      <c r="E1827" s="17">
        <f>Github!F$1826+Github!G$1826</f>
        <v>269</v>
      </c>
      <c r="F1827" s="18">
        <f t="shared" si="1"/>
        <v>2.41</v>
      </c>
      <c r="G1827" s="17" t="str">
        <f>Github!H$1826</f>
        <v>Algorithms</v>
      </c>
      <c r="H1827" s="17" t="str">
        <f>Github!E$1826</f>
        <v>Hard</v>
      </c>
      <c r="I1827" s="17" t="str">
        <f>IF(TRIM(Github!D$1826)="TRUE","FALSE","TRUE")</f>
        <v>TRUE</v>
      </c>
      <c r="J1827" s="17"/>
      <c r="K1827" s="17" t="str">
        <f>Github!L$1826</f>
        <v>Design;Queue;Heap (Priority Queue);Ordered Set;</v>
      </c>
      <c r="L1827" s="17" t="b">
        <f>Github!M$1826</f>
        <v>0</v>
      </c>
      <c r="M1827" s="17" t="str">
        <f>ROUND(Github!N$1826, 2)&amp;"%"</f>
        <v>0%</v>
      </c>
      <c r="N1827" s="17">
        <f>Github!O$1826</f>
        <v>32.89900629</v>
      </c>
      <c r="O1827" s="17">
        <f>Github!P$1826</f>
        <v>6489</v>
      </c>
    </row>
    <row r="1828">
      <c r="A1828" s="17">
        <f>Github!J$1827</f>
        <v>1826</v>
      </c>
      <c r="B1828" s="27" t="str">
        <f>HYPERLINK(CONCAT("http://leetcode.com/problems/",Github!C$1827), Github!B$1827)</f>
        <v>Faulty Sensor</v>
      </c>
      <c r="C1828" s="17">
        <f>Github!F$1827</f>
        <v>43</v>
      </c>
      <c r="D1828" s="17">
        <f>Github!G$1827</f>
        <v>35</v>
      </c>
      <c r="E1828" s="17">
        <f>Github!F$1827+Github!G$1827</f>
        <v>78</v>
      </c>
      <c r="F1828" s="18">
        <f t="shared" si="1"/>
        <v>1.23</v>
      </c>
      <c r="G1828" s="17" t="str">
        <f>Github!H$1827</f>
        <v>Algorithms</v>
      </c>
      <c r="H1828" s="17" t="str">
        <f>Github!E$1827</f>
        <v>Easy</v>
      </c>
      <c r="I1828" s="17" t="str">
        <f>IF(TRIM(Github!D$1827)="TRUE","FALSE","TRUE")</f>
        <v>FALSE</v>
      </c>
      <c r="J1828" s="17"/>
      <c r="K1828" s="17" t="str">
        <f>Github!L$1827</f>
        <v>Array;Two Pointers;</v>
      </c>
      <c r="L1828" s="17" t="b">
        <f>Github!M$1827</f>
        <v>0</v>
      </c>
      <c r="M1828" s="17" t="str">
        <f>ROUND(Github!N$1827, 2)&amp;"%"</f>
        <v>0%</v>
      </c>
      <c r="N1828" s="17">
        <f>Github!O$1827</f>
        <v>49.87049213</v>
      </c>
      <c r="O1828" s="17">
        <f>Github!P$1827</f>
        <v>2503</v>
      </c>
    </row>
    <row r="1829">
      <c r="A1829" s="17">
        <f>Github!J$1828</f>
        <v>1827</v>
      </c>
      <c r="B1829" s="27" t="str">
        <f>HYPERLINK(CONCAT("http://leetcode.com/problems/",Github!C$1828), Github!B$1828)</f>
        <v>Minimum Operations to Make the Array Increasing</v>
      </c>
      <c r="C1829" s="17">
        <f>Github!F$1828</f>
        <v>516</v>
      </c>
      <c r="D1829" s="17">
        <f>Github!G$1828</f>
        <v>27</v>
      </c>
      <c r="E1829" s="17">
        <f>Github!F$1828+Github!G$1828</f>
        <v>543</v>
      </c>
      <c r="F1829" s="18">
        <f t="shared" si="1"/>
        <v>19.11</v>
      </c>
      <c r="G1829" s="17" t="str">
        <f>Github!H$1828</f>
        <v>Algorithms</v>
      </c>
      <c r="H1829" s="17" t="str">
        <f>Github!E$1828</f>
        <v>Easy</v>
      </c>
      <c r="I1829" s="17" t="str">
        <f>IF(TRIM(Github!D$1828)="TRUE","FALSE","TRUE")</f>
        <v>TRUE</v>
      </c>
      <c r="J1829" s="17"/>
      <c r="K1829" s="17" t="str">
        <f>Github!L$1828</f>
        <v>Array;Greedy;</v>
      </c>
      <c r="L1829" s="17" t="b">
        <f>Github!M$1828</f>
        <v>0</v>
      </c>
      <c r="M1829" s="17" t="str">
        <f>ROUND(Github!N$1828, 2)&amp;"%"</f>
        <v>0%</v>
      </c>
      <c r="N1829" s="17">
        <f>Github!O$1828</f>
        <v>78.21526023</v>
      </c>
      <c r="O1829" s="17">
        <f>Github!P$1828</f>
        <v>38697</v>
      </c>
    </row>
    <row r="1830">
      <c r="A1830" s="17">
        <f>Github!J$1829</f>
        <v>1828</v>
      </c>
      <c r="B1830" s="27" t="str">
        <f>HYPERLINK(CONCAT("http://leetcode.com/problems/",Github!C$1829), Github!B$1829)</f>
        <v>Queries on Number of Points Inside a Circle</v>
      </c>
      <c r="C1830" s="17">
        <f>Github!F$1829</f>
        <v>487</v>
      </c>
      <c r="D1830" s="17">
        <f>Github!G$1829</f>
        <v>52</v>
      </c>
      <c r="E1830" s="17">
        <f>Github!F$1829+Github!G$1829</f>
        <v>539</v>
      </c>
      <c r="F1830" s="18">
        <f t="shared" si="1"/>
        <v>9.37</v>
      </c>
      <c r="G1830" s="17" t="str">
        <f>Github!H$1829</f>
        <v>Algorithms</v>
      </c>
      <c r="H1830" s="17" t="str">
        <f>Github!E$1829</f>
        <v>Medium</v>
      </c>
      <c r="I1830" s="17" t="str">
        <f>IF(TRIM(Github!D$1829)="TRUE","FALSE","TRUE")</f>
        <v>TRUE</v>
      </c>
      <c r="J1830" s="17"/>
      <c r="K1830" s="17" t="str">
        <f>Github!L$1829</f>
        <v>Array;Math;Geometry;</v>
      </c>
      <c r="L1830" s="17" t="b">
        <f>Github!M$1829</f>
        <v>0</v>
      </c>
      <c r="M1830" s="17" t="str">
        <f>ROUND(Github!N$1829, 2)&amp;"%"</f>
        <v>0%</v>
      </c>
      <c r="N1830" s="17">
        <f>Github!O$1829</f>
        <v>86.63717675</v>
      </c>
      <c r="O1830" s="17">
        <f>Github!P$1829</f>
        <v>35645</v>
      </c>
    </row>
    <row r="1831">
      <c r="A1831" s="17">
        <f>Github!J$1830</f>
        <v>1829</v>
      </c>
      <c r="B1831" s="27" t="str">
        <f>HYPERLINK(CONCAT("http://leetcode.com/problems/",Github!C$1830), Github!B$1830)</f>
        <v>Maximum XOR for Each Query</v>
      </c>
      <c r="C1831" s="17">
        <f>Github!F$1830</f>
        <v>364</v>
      </c>
      <c r="D1831" s="17">
        <f>Github!G$1830</f>
        <v>28</v>
      </c>
      <c r="E1831" s="17">
        <f>Github!F$1830+Github!G$1830</f>
        <v>392</v>
      </c>
      <c r="F1831" s="18">
        <f t="shared" si="1"/>
        <v>13</v>
      </c>
      <c r="G1831" s="17" t="str">
        <f>Github!H$1830</f>
        <v>Algorithms</v>
      </c>
      <c r="H1831" s="17" t="str">
        <f>Github!E$1830</f>
        <v>Medium</v>
      </c>
      <c r="I1831" s="17" t="str">
        <f>IF(TRIM(Github!D$1830)="TRUE","FALSE","TRUE")</f>
        <v>TRUE</v>
      </c>
      <c r="J1831" s="17"/>
      <c r="K1831" s="17" t="str">
        <f>Github!L$1830</f>
        <v>Array;Bit Manipulation;Prefix Sum;</v>
      </c>
      <c r="L1831" s="17" t="b">
        <f>Github!M$1830</f>
        <v>0</v>
      </c>
      <c r="M1831" s="17" t="str">
        <f>ROUND(Github!N$1830, 2)&amp;"%"</f>
        <v>0%</v>
      </c>
      <c r="N1831" s="17">
        <f>Github!O$1830</f>
        <v>76.015625</v>
      </c>
      <c r="O1831" s="17">
        <f>Github!P$1830</f>
        <v>14595</v>
      </c>
    </row>
    <row r="1832">
      <c r="A1832" s="17">
        <f>Github!J$1831</f>
        <v>1830</v>
      </c>
      <c r="B1832" s="27" t="str">
        <f>HYPERLINK(CONCAT("http://leetcode.com/problems/",Github!C$1831), Github!B$1831)</f>
        <v>Minimum Number of Operations to Make String Sorted</v>
      </c>
      <c r="C1832" s="17">
        <f>Github!F$1831</f>
        <v>113</v>
      </c>
      <c r="D1832" s="17">
        <f>Github!G$1831</f>
        <v>90</v>
      </c>
      <c r="E1832" s="17">
        <f>Github!F$1831+Github!G$1831</f>
        <v>203</v>
      </c>
      <c r="F1832" s="18">
        <f t="shared" si="1"/>
        <v>1.26</v>
      </c>
      <c r="G1832" s="17" t="str">
        <f>Github!H$1831</f>
        <v>Algorithms</v>
      </c>
      <c r="H1832" s="17" t="str">
        <f>Github!E$1831</f>
        <v>Hard</v>
      </c>
      <c r="I1832" s="17" t="str">
        <f>IF(TRIM(Github!D$1831)="TRUE","FALSE","TRUE")</f>
        <v>TRUE</v>
      </c>
      <c r="J1832" s="17"/>
      <c r="K1832" s="17" t="str">
        <f>Github!L$1831</f>
        <v>Math;String;Combinatorics;</v>
      </c>
      <c r="L1832" s="17" t="b">
        <f>Github!M$1831</f>
        <v>0</v>
      </c>
      <c r="M1832" s="17" t="str">
        <f>ROUND(Github!N$1831, 2)&amp;"%"</f>
        <v>0%</v>
      </c>
      <c r="N1832" s="17">
        <f>Github!O$1831</f>
        <v>47.76019612</v>
      </c>
      <c r="O1832" s="17">
        <f>Github!P$1831</f>
        <v>2143</v>
      </c>
    </row>
    <row r="1833">
      <c r="A1833" s="17">
        <f>Github!J$1832</f>
        <v>1831</v>
      </c>
      <c r="B1833" s="27" t="str">
        <f>HYPERLINK(CONCAT("http://leetcode.com/problems/",Github!C$1832), Github!B$1832)</f>
        <v>Maximum Transaction Each Day</v>
      </c>
      <c r="C1833" s="17">
        <f>Github!F$1832</f>
        <v>35</v>
      </c>
      <c r="D1833" s="17">
        <f>Github!G$1832</f>
        <v>1</v>
      </c>
      <c r="E1833" s="17">
        <f>Github!F$1832+Github!G$1832</f>
        <v>36</v>
      </c>
      <c r="F1833" s="18">
        <f t="shared" si="1"/>
        <v>35</v>
      </c>
      <c r="G1833" s="17" t="str">
        <f>Github!H$1832</f>
        <v>Database</v>
      </c>
      <c r="H1833" s="17" t="str">
        <f>Github!E$1832</f>
        <v>Medium</v>
      </c>
      <c r="I1833" s="17" t="str">
        <f>IF(TRIM(Github!D$1832)="TRUE","FALSE","TRUE")</f>
        <v>FALSE</v>
      </c>
      <c r="J1833" s="17"/>
      <c r="K1833" s="17" t="str">
        <f>Github!L$1832</f>
        <v>Database;</v>
      </c>
      <c r="L1833" s="17" t="b">
        <f>Github!M$1832</f>
        <v>0</v>
      </c>
      <c r="M1833" s="17" t="str">
        <f>ROUND(Github!N$1832, 2)&amp;"%"</f>
        <v>0%</v>
      </c>
      <c r="N1833" s="17">
        <f>Github!O$1832</f>
        <v>83.25456636</v>
      </c>
      <c r="O1833" s="17">
        <f>Github!P$1832</f>
        <v>6516</v>
      </c>
    </row>
    <row r="1834">
      <c r="A1834" s="17">
        <f>Github!J$1833</f>
        <v>1832</v>
      </c>
      <c r="B1834" s="27" t="str">
        <f>HYPERLINK(CONCAT("http://leetcode.com/problems/",Github!C$1833), Github!B$1833)</f>
        <v>Check if the Sentence Is Pangram</v>
      </c>
      <c r="C1834" s="17">
        <f>Github!F$1833</f>
        <v>648</v>
      </c>
      <c r="D1834" s="17">
        <f>Github!G$1833</f>
        <v>18</v>
      </c>
      <c r="E1834" s="17">
        <f>Github!F$1833+Github!G$1833</f>
        <v>666</v>
      </c>
      <c r="F1834" s="18">
        <f t="shared" si="1"/>
        <v>36</v>
      </c>
      <c r="G1834" s="17" t="str">
        <f>Github!H$1833</f>
        <v>Algorithms</v>
      </c>
      <c r="H1834" s="17" t="str">
        <f>Github!E$1833</f>
        <v>Easy</v>
      </c>
      <c r="I1834" s="17" t="str">
        <f>IF(TRIM(Github!D$1833)="TRUE","FALSE","TRUE")</f>
        <v>TRUE</v>
      </c>
      <c r="J1834" s="17"/>
      <c r="K1834" s="17" t="str">
        <f>Github!L$1833</f>
        <v>Hash Table;String;</v>
      </c>
      <c r="L1834" s="17" t="b">
        <f>Github!M$1833</f>
        <v>0</v>
      </c>
      <c r="M1834" s="17" t="str">
        <f>ROUND(Github!N$1833, 2)&amp;"%"</f>
        <v>0%</v>
      </c>
      <c r="N1834" s="17">
        <f>Github!O$1833</f>
        <v>81.4090317</v>
      </c>
      <c r="O1834" s="17">
        <f>Github!P$1833</f>
        <v>74992</v>
      </c>
    </row>
    <row r="1835">
      <c r="A1835" s="17">
        <f>Github!J$1834</f>
        <v>1833</v>
      </c>
      <c r="B1835" s="27" t="str">
        <f>HYPERLINK(CONCAT("http://leetcode.com/problems/",Github!C$1834), Github!B$1834)</f>
        <v>Maximum Ice Cream Bars</v>
      </c>
      <c r="C1835" s="17">
        <f>Github!F$1834</f>
        <v>312</v>
      </c>
      <c r="D1835" s="17">
        <f>Github!G$1834</f>
        <v>131</v>
      </c>
      <c r="E1835" s="17">
        <f>Github!F$1834+Github!G$1834</f>
        <v>443</v>
      </c>
      <c r="F1835" s="18">
        <f t="shared" si="1"/>
        <v>2.38</v>
      </c>
      <c r="G1835" s="17" t="str">
        <f>Github!H$1834</f>
        <v>Algorithms</v>
      </c>
      <c r="H1835" s="17" t="str">
        <f>Github!E$1834</f>
        <v>Medium</v>
      </c>
      <c r="I1835" s="17" t="str">
        <f>IF(TRIM(Github!D$1834)="TRUE","FALSE","TRUE")</f>
        <v>TRUE</v>
      </c>
      <c r="J1835" s="17"/>
      <c r="K1835" s="17" t="str">
        <f>Github!L$1834</f>
        <v>Array;Greedy;Sorting;</v>
      </c>
      <c r="L1835" s="17" t="b">
        <f>Github!M$1834</f>
        <v>0</v>
      </c>
      <c r="M1835" s="17" t="str">
        <f>ROUND(Github!N$1834, 2)&amp;"%"</f>
        <v>0%</v>
      </c>
      <c r="N1835" s="17">
        <f>Github!O$1834</f>
        <v>64.67137402</v>
      </c>
      <c r="O1835" s="17">
        <f>Github!P$1834</f>
        <v>30314</v>
      </c>
    </row>
    <row r="1836">
      <c r="A1836" s="17">
        <f>Github!J$1835</f>
        <v>1834</v>
      </c>
      <c r="B1836" s="27" t="str">
        <f>HYPERLINK(CONCAT("http://leetcode.com/problems/",Github!C$1835), Github!B$1835)</f>
        <v>Single-Threaded CPU</v>
      </c>
      <c r="C1836" s="17">
        <f>Github!F$1835</f>
        <v>800</v>
      </c>
      <c r="D1836" s="17">
        <f>Github!G$1835</f>
        <v>100</v>
      </c>
      <c r="E1836" s="17">
        <f>Github!F$1835+Github!G$1835</f>
        <v>900</v>
      </c>
      <c r="F1836" s="18">
        <f t="shared" si="1"/>
        <v>8</v>
      </c>
      <c r="G1836" s="17" t="str">
        <f>Github!H$1835</f>
        <v>Algorithms</v>
      </c>
      <c r="H1836" s="17" t="str">
        <f>Github!E$1835</f>
        <v>Medium</v>
      </c>
      <c r="I1836" s="17" t="str">
        <f>IF(TRIM(Github!D$1835)="TRUE","FALSE","TRUE")</f>
        <v>TRUE</v>
      </c>
      <c r="J1836" s="17"/>
      <c r="K1836" s="17" t="str">
        <f>Github!L$1835</f>
        <v>Array;Sorting;Heap (Priority Queue);</v>
      </c>
      <c r="L1836" s="17" t="b">
        <f>Github!M$1835</f>
        <v>0</v>
      </c>
      <c r="M1836" s="17" t="str">
        <f>ROUND(Github!N$1835, 2)&amp;"%"</f>
        <v>0%</v>
      </c>
      <c r="N1836" s="17">
        <f>Github!O$1835</f>
        <v>40.47320568</v>
      </c>
      <c r="O1836" s="17">
        <f>Github!P$1835</f>
        <v>30670</v>
      </c>
    </row>
    <row r="1837">
      <c r="A1837" s="17">
        <f>Github!J$1836</f>
        <v>1835</v>
      </c>
      <c r="B1837" s="27" t="str">
        <f>HYPERLINK(CONCAT("http://leetcode.com/problems/",Github!C$1836), Github!B$1836)</f>
        <v>Find XOR Sum of All Pairs Bitwise AND</v>
      </c>
      <c r="C1837" s="17">
        <f>Github!F$1836</f>
        <v>294</v>
      </c>
      <c r="D1837" s="17">
        <f>Github!G$1836</f>
        <v>32</v>
      </c>
      <c r="E1837" s="17">
        <f>Github!F$1836+Github!G$1836</f>
        <v>326</v>
      </c>
      <c r="F1837" s="18">
        <f t="shared" si="1"/>
        <v>9.19</v>
      </c>
      <c r="G1837" s="17" t="str">
        <f>Github!H$1836</f>
        <v>Algorithms</v>
      </c>
      <c r="H1837" s="17" t="str">
        <f>Github!E$1836</f>
        <v>Hard</v>
      </c>
      <c r="I1837" s="17" t="str">
        <f>IF(TRIM(Github!D$1836)="TRUE","FALSE","TRUE")</f>
        <v>TRUE</v>
      </c>
      <c r="J1837" s="17"/>
      <c r="K1837" s="17" t="str">
        <f>Github!L$1836</f>
        <v>Array;Math;Bit Manipulation;</v>
      </c>
      <c r="L1837" s="17" t="b">
        <f>Github!M$1836</f>
        <v>0</v>
      </c>
      <c r="M1837" s="17" t="str">
        <f>ROUND(Github!N$1836, 2)&amp;"%"</f>
        <v>0%</v>
      </c>
      <c r="N1837" s="17">
        <f>Github!O$1836</f>
        <v>58.76186014</v>
      </c>
      <c r="O1837" s="17">
        <f>Github!P$1836</f>
        <v>10033</v>
      </c>
    </row>
    <row r="1838">
      <c r="A1838" s="17">
        <f>Github!J$1837</f>
        <v>1836</v>
      </c>
      <c r="B1838" s="27" t="str">
        <f>HYPERLINK(CONCAT("http://leetcode.com/problems/",Github!C$1837), Github!B$1837)</f>
        <v>Remove Duplicates From an Unsorted Linked List</v>
      </c>
      <c r="C1838" s="17">
        <f>Github!F$1837</f>
        <v>180</v>
      </c>
      <c r="D1838" s="17">
        <f>Github!G$1837</f>
        <v>5</v>
      </c>
      <c r="E1838" s="17">
        <f>Github!F$1837+Github!G$1837</f>
        <v>185</v>
      </c>
      <c r="F1838" s="18">
        <f t="shared" si="1"/>
        <v>36</v>
      </c>
      <c r="G1838" s="17" t="str">
        <f>Github!H$1837</f>
        <v>Algorithms</v>
      </c>
      <c r="H1838" s="17" t="str">
        <f>Github!E$1837</f>
        <v>Medium</v>
      </c>
      <c r="I1838" s="17" t="str">
        <f>IF(TRIM(Github!D$1837)="TRUE","FALSE","TRUE")</f>
        <v>FALSE</v>
      </c>
      <c r="J1838" s="17"/>
      <c r="K1838" s="17" t="str">
        <f>Github!L$1837</f>
        <v>Hash Table;Linked List;</v>
      </c>
      <c r="L1838" s="17" t="b">
        <f>Github!M$1837</f>
        <v>0</v>
      </c>
      <c r="M1838" s="17" t="str">
        <f>ROUND(Github!N$1837, 2)&amp;"%"</f>
        <v>0%</v>
      </c>
      <c r="N1838" s="17">
        <f>Github!O$1837</f>
        <v>69.83366935</v>
      </c>
      <c r="O1838" s="17">
        <f>Github!P$1837</f>
        <v>11081</v>
      </c>
    </row>
    <row r="1839">
      <c r="A1839" s="17">
        <f>Github!J$1838</f>
        <v>1837</v>
      </c>
      <c r="B1839" s="27" t="str">
        <f>HYPERLINK(CONCAT("http://leetcode.com/problems/",Github!C$1838), Github!B$1838)</f>
        <v>Sum of Digits in Base K</v>
      </c>
      <c r="C1839" s="17">
        <f>Github!F$1838</f>
        <v>273</v>
      </c>
      <c r="D1839" s="17">
        <f>Github!G$1838</f>
        <v>22</v>
      </c>
      <c r="E1839" s="17">
        <f>Github!F$1838+Github!G$1838</f>
        <v>295</v>
      </c>
      <c r="F1839" s="18">
        <f t="shared" si="1"/>
        <v>12.41</v>
      </c>
      <c r="G1839" s="17" t="str">
        <f>Github!H$1838</f>
        <v>Algorithms</v>
      </c>
      <c r="H1839" s="17" t="str">
        <f>Github!E$1838</f>
        <v>Easy</v>
      </c>
      <c r="I1839" s="17" t="str">
        <f>IF(TRIM(Github!D$1838)="TRUE","FALSE","TRUE")</f>
        <v>TRUE</v>
      </c>
      <c r="J1839" s="17"/>
      <c r="K1839" s="17" t="str">
        <f>Github!L$1838</f>
        <v>Math;</v>
      </c>
      <c r="L1839" s="17" t="b">
        <f>Github!M$1838</f>
        <v>0</v>
      </c>
      <c r="M1839" s="17" t="str">
        <f>ROUND(Github!N$1838, 2)&amp;"%"</f>
        <v>0%</v>
      </c>
      <c r="N1839" s="17">
        <f>Github!O$1838</f>
        <v>76.25566795</v>
      </c>
      <c r="O1839" s="17">
        <f>Github!P$1838</f>
        <v>26235</v>
      </c>
    </row>
    <row r="1840">
      <c r="A1840" s="17">
        <f>Github!J$1839</f>
        <v>1838</v>
      </c>
      <c r="B1840" s="27" t="str">
        <f>HYPERLINK(CONCAT("http://leetcode.com/problems/",Github!C$1839), Github!B$1839)</f>
        <v>Frequency of the Most Frequent Element</v>
      </c>
      <c r="C1840" s="17">
        <f>Github!F$1839</f>
        <v>1064</v>
      </c>
      <c r="D1840" s="17">
        <f>Github!G$1839</f>
        <v>22</v>
      </c>
      <c r="E1840" s="17">
        <f>Github!F$1839+Github!G$1839</f>
        <v>1086</v>
      </c>
      <c r="F1840" s="18">
        <f t="shared" si="1"/>
        <v>48.36</v>
      </c>
      <c r="G1840" s="17" t="str">
        <f>Github!H$1839</f>
        <v>Algorithms</v>
      </c>
      <c r="H1840" s="17" t="str">
        <f>Github!E$1839</f>
        <v>Medium</v>
      </c>
      <c r="I1840" s="17" t="str">
        <f>IF(TRIM(Github!D$1839)="TRUE","FALSE","TRUE")</f>
        <v>TRUE</v>
      </c>
      <c r="J1840" s="17"/>
      <c r="K1840" s="17" t="str">
        <f>Github!L$1839</f>
        <v>Array;Binary Search;Greedy;Sliding Window;Sorting;Prefix Sum;</v>
      </c>
      <c r="L1840" s="17" t="b">
        <f>Github!M$1839</f>
        <v>0</v>
      </c>
      <c r="M1840" s="17" t="str">
        <f>ROUND(Github!N$1839, 2)&amp;"%"</f>
        <v>0%</v>
      </c>
      <c r="N1840" s="17">
        <f>Github!O$1839</f>
        <v>36.27269289</v>
      </c>
      <c r="O1840" s="17">
        <f>Github!P$1839</f>
        <v>19180</v>
      </c>
    </row>
    <row r="1841">
      <c r="A1841" s="17">
        <f>Github!J$1840</f>
        <v>1839</v>
      </c>
      <c r="B1841" s="27" t="str">
        <f>HYPERLINK(CONCAT("http://leetcode.com/problems/",Github!C$1840), Github!B$1840)</f>
        <v>Longest Substring Of All Vowels in Order</v>
      </c>
      <c r="C1841" s="17">
        <f>Github!F$1840</f>
        <v>370</v>
      </c>
      <c r="D1841" s="17">
        <f>Github!G$1840</f>
        <v>11</v>
      </c>
      <c r="E1841" s="17">
        <f>Github!F$1840+Github!G$1840</f>
        <v>381</v>
      </c>
      <c r="F1841" s="18">
        <f t="shared" si="1"/>
        <v>33.64</v>
      </c>
      <c r="G1841" s="17" t="str">
        <f>Github!H$1840</f>
        <v>Algorithms</v>
      </c>
      <c r="H1841" s="17" t="str">
        <f>Github!E$1840</f>
        <v>Medium</v>
      </c>
      <c r="I1841" s="17" t="str">
        <f>IF(TRIM(Github!D$1840)="TRUE","FALSE","TRUE")</f>
        <v>TRUE</v>
      </c>
      <c r="J1841" s="17"/>
      <c r="K1841" s="17" t="str">
        <f>Github!L$1840</f>
        <v>String;Sliding Window;</v>
      </c>
      <c r="L1841" s="17" t="b">
        <f>Github!M$1840</f>
        <v>0</v>
      </c>
      <c r="M1841" s="17" t="str">
        <f>ROUND(Github!N$1840, 2)&amp;"%"</f>
        <v>0%</v>
      </c>
      <c r="N1841" s="17">
        <f>Github!O$1840</f>
        <v>47.88085481</v>
      </c>
      <c r="O1841" s="17">
        <f>Github!P$1840</f>
        <v>17409</v>
      </c>
    </row>
    <row r="1842">
      <c r="A1842" s="17">
        <f>Github!J$1841</f>
        <v>1840</v>
      </c>
      <c r="B1842" s="27" t="str">
        <f>HYPERLINK(CONCAT("http://leetcode.com/problems/",Github!C$1841), Github!B$1841)</f>
        <v>Maximum Building Height</v>
      </c>
      <c r="C1842" s="17">
        <f>Github!F$1841</f>
        <v>242</v>
      </c>
      <c r="D1842" s="17">
        <f>Github!G$1841</f>
        <v>9</v>
      </c>
      <c r="E1842" s="17">
        <f>Github!F$1841+Github!G$1841</f>
        <v>251</v>
      </c>
      <c r="F1842" s="18">
        <f t="shared" si="1"/>
        <v>26.89</v>
      </c>
      <c r="G1842" s="17" t="str">
        <f>Github!H$1841</f>
        <v>Algorithms</v>
      </c>
      <c r="H1842" s="17" t="str">
        <f>Github!E$1841</f>
        <v>Hard</v>
      </c>
      <c r="I1842" s="17" t="str">
        <f>IF(TRIM(Github!D$1841)="TRUE","FALSE","TRUE")</f>
        <v>TRUE</v>
      </c>
      <c r="J1842" s="17"/>
      <c r="K1842" s="17" t="str">
        <f>Github!L$1841</f>
        <v>Array;Math;</v>
      </c>
      <c r="L1842" s="17" t="b">
        <f>Github!M$1841</f>
        <v>0</v>
      </c>
      <c r="M1842" s="17" t="str">
        <f>ROUND(Github!N$1841, 2)&amp;"%"</f>
        <v>0%</v>
      </c>
      <c r="N1842" s="17">
        <f>Github!O$1841</f>
        <v>34.83104619</v>
      </c>
      <c r="O1842" s="17">
        <f>Github!P$1841</f>
        <v>4721</v>
      </c>
    </row>
    <row r="1843">
      <c r="A1843" s="17">
        <f>Github!J$1842</f>
        <v>1841</v>
      </c>
      <c r="B1843" s="27" t="str">
        <f>HYPERLINK(CONCAT("http://leetcode.com/problems/",Github!C$1842), Github!B$1842)</f>
        <v>League Statistics</v>
      </c>
      <c r="C1843" s="17">
        <f>Github!F$1842</f>
        <v>48</v>
      </c>
      <c r="D1843" s="17">
        <f>Github!G$1842</f>
        <v>29</v>
      </c>
      <c r="E1843" s="17">
        <f>Github!F$1842+Github!G$1842</f>
        <v>77</v>
      </c>
      <c r="F1843" s="18">
        <f t="shared" si="1"/>
        <v>1.66</v>
      </c>
      <c r="G1843" s="17" t="str">
        <f>Github!H$1842</f>
        <v>Database</v>
      </c>
      <c r="H1843" s="17" t="str">
        <f>Github!E$1842</f>
        <v>Medium</v>
      </c>
      <c r="I1843" s="17" t="str">
        <f>IF(TRIM(Github!D$1842)="TRUE","FALSE","TRUE")</f>
        <v>FALSE</v>
      </c>
      <c r="J1843" s="17"/>
      <c r="K1843" s="17" t="str">
        <f>Github!L$1842</f>
        <v>Database;</v>
      </c>
      <c r="L1843" s="17" t="b">
        <f>Github!M$1842</f>
        <v>0</v>
      </c>
      <c r="M1843" s="17" t="str">
        <f>ROUND(Github!N$1842, 2)&amp;"%"</f>
        <v>0%</v>
      </c>
      <c r="N1843" s="17">
        <f>Github!O$1842</f>
        <v>58.74806984</v>
      </c>
      <c r="O1843" s="17">
        <f>Github!P$1842</f>
        <v>4946</v>
      </c>
    </row>
    <row r="1844">
      <c r="A1844" s="17">
        <f>Github!J$1843</f>
        <v>1842</v>
      </c>
      <c r="B1844" s="27" t="str">
        <f>HYPERLINK(CONCAT("http://leetcode.com/problems/",Github!C$1843), Github!B$1843)</f>
        <v>Next Palindrome Using Same Digits</v>
      </c>
      <c r="C1844" s="17">
        <f>Github!F$1843</f>
        <v>40</v>
      </c>
      <c r="D1844" s="17">
        <f>Github!G$1843</f>
        <v>5</v>
      </c>
      <c r="E1844" s="17">
        <f>Github!F$1843+Github!G$1843</f>
        <v>45</v>
      </c>
      <c r="F1844" s="18">
        <f t="shared" si="1"/>
        <v>8</v>
      </c>
      <c r="G1844" s="17" t="str">
        <f>Github!H$1843</f>
        <v>Algorithms</v>
      </c>
      <c r="H1844" s="17" t="str">
        <f>Github!E$1843</f>
        <v>Hard</v>
      </c>
      <c r="I1844" s="17" t="str">
        <f>IF(TRIM(Github!D$1843)="TRUE","FALSE","TRUE")</f>
        <v>FALSE</v>
      </c>
      <c r="J1844" s="17"/>
      <c r="K1844" s="17" t="str">
        <f>Github!L$1843</f>
        <v>Two Pointers;String;</v>
      </c>
      <c r="L1844" s="17" t="b">
        <f>Github!M$1843</f>
        <v>0</v>
      </c>
      <c r="M1844" s="17" t="str">
        <f>ROUND(Github!N$1843, 2)&amp;"%"</f>
        <v>0%</v>
      </c>
      <c r="N1844" s="17">
        <f>Github!O$1843</f>
        <v>56.87782805</v>
      </c>
      <c r="O1844" s="17">
        <f>Github!P$1843</f>
        <v>1257</v>
      </c>
    </row>
    <row r="1845">
      <c r="A1845" s="17">
        <f>Github!J$1844</f>
        <v>1843</v>
      </c>
      <c r="B1845" s="27" t="str">
        <f>HYPERLINK(CONCAT("http://leetcode.com/problems/",Github!C$1844), Github!B$1844)</f>
        <v>Suspicious Bank Accounts</v>
      </c>
      <c r="C1845" s="17">
        <f>Github!F$1844</f>
        <v>40</v>
      </c>
      <c r="D1845" s="17">
        <f>Github!G$1844</f>
        <v>23</v>
      </c>
      <c r="E1845" s="17">
        <f>Github!F$1844+Github!G$1844</f>
        <v>63</v>
      </c>
      <c r="F1845" s="18">
        <f t="shared" si="1"/>
        <v>1.74</v>
      </c>
      <c r="G1845" s="17" t="str">
        <f>Github!H$1844</f>
        <v>Database</v>
      </c>
      <c r="H1845" s="17" t="str">
        <f>Github!E$1844</f>
        <v>Medium</v>
      </c>
      <c r="I1845" s="17" t="str">
        <f>IF(TRIM(Github!D$1844)="TRUE","FALSE","TRUE")</f>
        <v>FALSE</v>
      </c>
      <c r="J1845" s="17"/>
      <c r="K1845" s="17" t="str">
        <f>Github!L$1844</f>
        <v>Database;</v>
      </c>
      <c r="L1845" s="17" t="b">
        <f>Github!M$1844</f>
        <v>0</v>
      </c>
      <c r="M1845" s="17" t="str">
        <f>ROUND(Github!N$1844, 2)&amp;"%"</f>
        <v>0%</v>
      </c>
      <c r="N1845" s="17">
        <f>Github!O$1844</f>
        <v>49.07786885</v>
      </c>
      <c r="O1845" s="17">
        <f>Github!P$1844</f>
        <v>4790</v>
      </c>
    </row>
    <row r="1846">
      <c r="A1846" s="17">
        <f>Github!J$1845</f>
        <v>1844</v>
      </c>
      <c r="B1846" s="27" t="str">
        <f>HYPERLINK(CONCAT("http://leetcode.com/problems/",Github!C$1845), Github!B$1845)</f>
        <v>Replace All Digits with Characters</v>
      </c>
      <c r="C1846" s="17">
        <f>Github!F$1845</f>
        <v>357</v>
      </c>
      <c r="D1846" s="17">
        <f>Github!G$1845</f>
        <v>45</v>
      </c>
      <c r="E1846" s="17">
        <f>Github!F$1845+Github!G$1845</f>
        <v>402</v>
      </c>
      <c r="F1846" s="18">
        <f t="shared" si="1"/>
        <v>7.93</v>
      </c>
      <c r="G1846" s="17" t="str">
        <f>Github!H$1845</f>
        <v>Algorithms</v>
      </c>
      <c r="H1846" s="17" t="str">
        <f>Github!E$1845</f>
        <v>Easy</v>
      </c>
      <c r="I1846" s="17" t="str">
        <f>IF(TRIM(Github!D$1845)="TRUE","FALSE","TRUE")</f>
        <v>TRUE</v>
      </c>
      <c r="J1846" s="17"/>
      <c r="K1846" s="17" t="str">
        <f>Github!L$1845</f>
        <v>String;</v>
      </c>
      <c r="L1846" s="17" t="b">
        <f>Github!M$1845</f>
        <v>0</v>
      </c>
      <c r="M1846" s="17" t="str">
        <f>ROUND(Github!N$1845, 2)&amp;"%"</f>
        <v>0%</v>
      </c>
      <c r="N1846" s="17">
        <f>Github!O$1845</f>
        <v>80.10933742</v>
      </c>
      <c r="O1846" s="17">
        <f>Github!P$1845</f>
        <v>36631</v>
      </c>
    </row>
    <row r="1847">
      <c r="A1847" s="17">
        <f>Github!J$1846</f>
        <v>1845</v>
      </c>
      <c r="B1847" s="27" t="str">
        <f>HYPERLINK(CONCAT("http://leetcode.com/problems/",Github!C$1846), Github!B$1846)</f>
        <v>Seat Reservation Manager</v>
      </c>
      <c r="C1847" s="17">
        <f>Github!F$1846</f>
        <v>269</v>
      </c>
      <c r="D1847" s="17">
        <f>Github!G$1846</f>
        <v>21</v>
      </c>
      <c r="E1847" s="17">
        <f>Github!F$1846+Github!G$1846</f>
        <v>290</v>
      </c>
      <c r="F1847" s="18">
        <f t="shared" si="1"/>
        <v>12.81</v>
      </c>
      <c r="G1847" s="17" t="str">
        <f>Github!H$1846</f>
        <v>Algorithms</v>
      </c>
      <c r="H1847" s="17" t="str">
        <f>Github!E$1846</f>
        <v>Medium</v>
      </c>
      <c r="I1847" s="17" t="str">
        <f>IF(TRIM(Github!D$1846)="TRUE","FALSE","TRUE")</f>
        <v>TRUE</v>
      </c>
      <c r="J1847" s="17"/>
      <c r="K1847" s="17" t="str">
        <f>Github!L$1846</f>
        <v>Design;Heap (Priority Queue);</v>
      </c>
      <c r="L1847" s="17" t="b">
        <f>Github!M$1846</f>
        <v>0</v>
      </c>
      <c r="M1847" s="17" t="str">
        <f>ROUND(Github!N$1846, 2)&amp;"%"</f>
        <v>0%</v>
      </c>
      <c r="N1847" s="17">
        <f>Github!O$1846</f>
        <v>59.93652434</v>
      </c>
      <c r="O1847" s="17">
        <f>Github!P$1846</f>
        <v>16240</v>
      </c>
    </row>
    <row r="1848">
      <c r="A1848" s="17">
        <f>Github!J$1847</f>
        <v>1846</v>
      </c>
      <c r="B1848" s="27" t="str">
        <f>HYPERLINK(CONCAT("http://leetcode.com/problems/",Github!C$1847), Github!B$1847)</f>
        <v>Maximum Element After Decreasing and Rearranging</v>
      </c>
      <c r="C1848" s="17">
        <f>Github!F$1847</f>
        <v>191</v>
      </c>
      <c r="D1848" s="17">
        <f>Github!G$1847</f>
        <v>43</v>
      </c>
      <c r="E1848" s="17">
        <f>Github!F$1847+Github!G$1847</f>
        <v>234</v>
      </c>
      <c r="F1848" s="18">
        <f t="shared" si="1"/>
        <v>4.44</v>
      </c>
      <c r="G1848" s="17" t="str">
        <f>Github!H$1847</f>
        <v>Algorithms</v>
      </c>
      <c r="H1848" s="17" t="str">
        <f>Github!E$1847</f>
        <v>Medium</v>
      </c>
      <c r="I1848" s="17" t="str">
        <f>IF(TRIM(Github!D$1847)="TRUE","FALSE","TRUE")</f>
        <v>TRUE</v>
      </c>
      <c r="J1848" s="17"/>
      <c r="K1848" s="17" t="str">
        <f>Github!L$1847</f>
        <v>Array;Greedy;Sorting;</v>
      </c>
      <c r="L1848" s="17" t="b">
        <f>Github!M$1847</f>
        <v>0</v>
      </c>
      <c r="M1848" s="17" t="str">
        <f>ROUND(Github!N$1847, 2)&amp;"%"</f>
        <v>0%</v>
      </c>
      <c r="N1848" s="17">
        <f>Github!O$1847</f>
        <v>57.42434283</v>
      </c>
      <c r="O1848" s="17">
        <f>Github!P$1847</f>
        <v>12998</v>
      </c>
    </row>
    <row r="1849">
      <c r="A1849" s="17">
        <f>Github!J$1848</f>
        <v>1847</v>
      </c>
      <c r="B1849" s="27" t="str">
        <f>HYPERLINK(CONCAT("http://leetcode.com/problems/",Github!C$1848), Github!B$1848)</f>
        <v>Closest Room</v>
      </c>
      <c r="C1849" s="17">
        <f>Github!F$1848</f>
        <v>303</v>
      </c>
      <c r="D1849" s="17">
        <f>Github!G$1848</f>
        <v>12</v>
      </c>
      <c r="E1849" s="17">
        <f>Github!F$1848+Github!G$1848</f>
        <v>315</v>
      </c>
      <c r="F1849" s="18">
        <f t="shared" si="1"/>
        <v>25.25</v>
      </c>
      <c r="G1849" s="17" t="str">
        <f>Github!H$1848</f>
        <v>Algorithms</v>
      </c>
      <c r="H1849" s="17" t="str">
        <f>Github!E$1848</f>
        <v>Hard</v>
      </c>
      <c r="I1849" s="17" t="str">
        <f>IF(TRIM(Github!D$1848)="TRUE","FALSE","TRUE")</f>
        <v>TRUE</v>
      </c>
      <c r="J1849" s="17"/>
      <c r="K1849" s="17" t="str">
        <f>Github!L$1848</f>
        <v>Array;Binary Search;Sorting;</v>
      </c>
      <c r="L1849" s="17" t="b">
        <f>Github!M$1848</f>
        <v>0</v>
      </c>
      <c r="M1849" s="17" t="str">
        <f>ROUND(Github!N$1848, 2)&amp;"%"</f>
        <v>0%</v>
      </c>
      <c r="N1849" s="17">
        <f>Github!O$1848</f>
        <v>32.91886062</v>
      </c>
      <c r="O1849" s="17">
        <f>Github!P$1848</f>
        <v>5189</v>
      </c>
    </row>
    <row r="1850">
      <c r="A1850" s="17">
        <f>Github!J$1849</f>
        <v>1848</v>
      </c>
      <c r="B1850" s="27" t="str">
        <f>HYPERLINK(CONCAT("http://leetcode.com/problems/",Github!C$1849), Github!B$1849)</f>
        <v>Minimum Distance to the Target Element</v>
      </c>
      <c r="C1850" s="17">
        <f>Github!F$1849</f>
        <v>160</v>
      </c>
      <c r="D1850" s="17">
        <f>Github!G$1849</f>
        <v>37</v>
      </c>
      <c r="E1850" s="17">
        <f>Github!F$1849+Github!G$1849</f>
        <v>197</v>
      </c>
      <c r="F1850" s="18">
        <f t="shared" si="1"/>
        <v>4.32</v>
      </c>
      <c r="G1850" s="17" t="str">
        <f>Github!H$1849</f>
        <v>Algorithms</v>
      </c>
      <c r="H1850" s="17" t="str">
        <f>Github!E$1849</f>
        <v>Easy</v>
      </c>
      <c r="I1850" s="17" t="str">
        <f>IF(TRIM(Github!D$1849)="TRUE","FALSE","TRUE")</f>
        <v>TRUE</v>
      </c>
      <c r="J1850" s="17"/>
      <c r="K1850" s="17" t="str">
        <f>Github!L$1849</f>
        <v>Array;</v>
      </c>
      <c r="L1850" s="17" t="b">
        <f>Github!M$1849</f>
        <v>0</v>
      </c>
      <c r="M1850" s="17" t="str">
        <f>ROUND(Github!N$1849, 2)&amp;"%"</f>
        <v>0%</v>
      </c>
      <c r="N1850" s="17">
        <f>Github!O$1849</f>
        <v>59.81014252</v>
      </c>
      <c r="O1850" s="17">
        <f>Github!P$1849</f>
        <v>23753</v>
      </c>
    </row>
    <row r="1851">
      <c r="A1851" s="17">
        <f>Github!J$1850</f>
        <v>1849</v>
      </c>
      <c r="B1851" s="27" t="str">
        <f>HYPERLINK(CONCAT("http://leetcode.com/problems/",Github!C$1850), Github!B$1850)</f>
        <v>Splitting a String Into Descending Consecutive Values</v>
      </c>
      <c r="C1851" s="17">
        <f>Github!F$1850</f>
        <v>299</v>
      </c>
      <c r="D1851" s="17">
        <f>Github!G$1850</f>
        <v>79</v>
      </c>
      <c r="E1851" s="17">
        <f>Github!F$1850+Github!G$1850</f>
        <v>378</v>
      </c>
      <c r="F1851" s="18">
        <f t="shared" si="1"/>
        <v>3.78</v>
      </c>
      <c r="G1851" s="17" t="str">
        <f>Github!H$1850</f>
        <v>Algorithms</v>
      </c>
      <c r="H1851" s="17" t="str">
        <f>Github!E$1850</f>
        <v>Medium</v>
      </c>
      <c r="I1851" s="17" t="str">
        <f>IF(TRIM(Github!D$1850)="TRUE","FALSE","TRUE")</f>
        <v>TRUE</v>
      </c>
      <c r="J1851" s="17"/>
      <c r="K1851" s="17" t="str">
        <f>Github!L$1850</f>
        <v>String;Backtracking;</v>
      </c>
      <c r="L1851" s="17" t="b">
        <f>Github!M$1850</f>
        <v>0</v>
      </c>
      <c r="M1851" s="17" t="str">
        <f>ROUND(Github!N$1850, 2)&amp;"%"</f>
        <v>0%</v>
      </c>
      <c r="N1851" s="17">
        <f>Github!O$1850</f>
        <v>30.90419286</v>
      </c>
      <c r="O1851" s="17">
        <f>Github!P$1850</f>
        <v>13422</v>
      </c>
    </row>
    <row r="1852">
      <c r="A1852" s="17">
        <f>Github!J$1851</f>
        <v>1850</v>
      </c>
      <c r="B1852" s="27" t="str">
        <f>HYPERLINK(CONCAT("http://leetcode.com/problems/",Github!C$1851), Github!B$1851)</f>
        <v>Minimum Adjacent Swaps to Reach the Kth Smallest Number</v>
      </c>
      <c r="C1852" s="17">
        <f>Github!F$1851</f>
        <v>395</v>
      </c>
      <c r="D1852" s="17">
        <f>Github!G$1851</f>
        <v>53</v>
      </c>
      <c r="E1852" s="17">
        <f>Github!F$1851+Github!G$1851</f>
        <v>448</v>
      </c>
      <c r="F1852" s="18">
        <f t="shared" si="1"/>
        <v>7.45</v>
      </c>
      <c r="G1852" s="17" t="str">
        <f>Github!H$1851</f>
        <v>Algorithms</v>
      </c>
      <c r="H1852" s="17" t="str">
        <f>Github!E$1851</f>
        <v>Medium</v>
      </c>
      <c r="I1852" s="17" t="str">
        <f>IF(TRIM(Github!D$1851)="TRUE","FALSE","TRUE")</f>
        <v>TRUE</v>
      </c>
      <c r="J1852" s="17"/>
      <c r="K1852" s="17" t="str">
        <f>Github!L$1851</f>
        <v>Two Pointers;String;Greedy;</v>
      </c>
      <c r="L1852" s="17" t="b">
        <f>Github!M$1851</f>
        <v>0</v>
      </c>
      <c r="M1852" s="17" t="str">
        <f>ROUND(Github!N$1851, 2)&amp;"%"</f>
        <v>0%</v>
      </c>
      <c r="N1852" s="17">
        <f>Github!O$1851</f>
        <v>72.5643958</v>
      </c>
      <c r="O1852" s="17">
        <f>Github!P$1851</f>
        <v>13314</v>
      </c>
    </row>
    <row r="1853">
      <c r="A1853" s="17">
        <f>Github!J$1852</f>
        <v>1851</v>
      </c>
      <c r="B1853" s="27" t="str">
        <f>HYPERLINK(CONCAT("http://leetcode.com/problems/",Github!C$1852), Github!B$1852)</f>
        <v>Minimum Interval to Include Each Query</v>
      </c>
      <c r="C1853" s="17">
        <f>Github!F$1852</f>
        <v>324</v>
      </c>
      <c r="D1853" s="17">
        <f>Github!G$1852</f>
        <v>5</v>
      </c>
      <c r="E1853" s="17">
        <f>Github!F$1852+Github!G$1852</f>
        <v>329</v>
      </c>
      <c r="F1853" s="18">
        <f t="shared" si="1"/>
        <v>64.8</v>
      </c>
      <c r="G1853" s="17" t="str">
        <f>Github!H$1852</f>
        <v>Algorithms</v>
      </c>
      <c r="H1853" s="17" t="str">
        <f>Github!E$1852</f>
        <v>Hard</v>
      </c>
      <c r="I1853" s="17" t="str">
        <f>IF(TRIM(Github!D$1852)="TRUE","FALSE","TRUE")</f>
        <v>TRUE</v>
      </c>
      <c r="J1853" s="17"/>
      <c r="K1853" s="17" t="str">
        <f>Github!L$1852</f>
        <v>Array;Binary Search;Line Sweep;Sorting;Heap (Priority Queue);</v>
      </c>
      <c r="L1853" s="17" t="b">
        <f>Github!M$1852</f>
        <v>0</v>
      </c>
      <c r="M1853" s="17" t="str">
        <f>ROUND(Github!N$1852, 2)&amp;"%"</f>
        <v>0%</v>
      </c>
      <c r="N1853" s="17">
        <f>Github!O$1852</f>
        <v>45.39535557</v>
      </c>
      <c r="O1853" s="17">
        <f>Github!P$1852</f>
        <v>6275</v>
      </c>
    </row>
    <row r="1854">
      <c r="A1854" s="17">
        <f>Github!J$1853</f>
        <v>1852</v>
      </c>
      <c r="B1854" s="27" t="str">
        <f>HYPERLINK(CONCAT("http://leetcode.com/problems/",Github!C$1853), Github!B$1853)</f>
        <v>Distinct Numbers in Each Subarray</v>
      </c>
      <c r="C1854" s="17">
        <f>Github!F$1853</f>
        <v>72</v>
      </c>
      <c r="D1854" s="17">
        <f>Github!G$1853</f>
        <v>3</v>
      </c>
      <c r="E1854" s="17">
        <f>Github!F$1853+Github!G$1853</f>
        <v>75</v>
      </c>
      <c r="F1854" s="18">
        <f t="shared" si="1"/>
        <v>24</v>
      </c>
      <c r="G1854" s="17" t="str">
        <f>Github!H$1853</f>
        <v>Algorithms</v>
      </c>
      <c r="H1854" s="17" t="str">
        <f>Github!E$1853</f>
        <v>Medium</v>
      </c>
      <c r="I1854" s="17" t="str">
        <f>IF(TRIM(Github!D$1853)="TRUE","FALSE","TRUE")</f>
        <v>FALSE</v>
      </c>
      <c r="J1854" s="17"/>
      <c r="K1854" s="17" t="str">
        <f>Github!L$1853</f>
        <v>Array;Hash Table;Sliding Window;</v>
      </c>
      <c r="L1854" s="17" t="b">
        <f>Github!M$1853</f>
        <v>0</v>
      </c>
      <c r="M1854" s="17" t="str">
        <f>ROUND(Github!N$1853, 2)&amp;"%"</f>
        <v>0%</v>
      </c>
      <c r="N1854" s="17">
        <f>Github!O$1853</f>
        <v>72.72917102</v>
      </c>
      <c r="O1854" s="17">
        <f>Github!P$1853</f>
        <v>3482</v>
      </c>
    </row>
    <row r="1855">
      <c r="A1855" s="17">
        <f>Github!J$1854</f>
        <v>1853</v>
      </c>
      <c r="B1855" s="27" t="str">
        <f>HYPERLINK(CONCAT("http://leetcode.com/problems/",Github!C$1854), Github!B$1854)</f>
        <v>Convert Date Format</v>
      </c>
      <c r="C1855" s="17">
        <f>Github!F$1854</f>
        <v>25</v>
      </c>
      <c r="D1855" s="17">
        <f>Github!G$1854</f>
        <v>27</v>
      </c>
      <c r="E1855" s="17">
        <f>Github!F$1854+Github!G$1854</f>
        <v>52</v>
      </c>
      <c r="F1855" s="18">
        <f t="shared" si="1"/>
        <v>0.93</v>
      </c>
      <c r="G1855" s="17" t="str">
        <f>Github!H$1854</f>
        <v>Database</v>
      </c>
      <c r="H1855" s="17" t="str">
        <f>Github!E$1854</f>
        <v>Easy</v>
      </c>
      <c r="I1855" s="17" t="str">
        <f>IF(TRIM(Github!D$1854)="TRUE","FALSE","TRUE")</f>
        <v>FALSE</v>
      </c>
      <c r="J1855" s="17"/>
      <c r="K1855" s="17" t="str">
        <f>Github!L$1854</f>
        <v>Database;</v>
      </c>
      <c r="L1855" s="17" t="b">
        <f>Github!M$1854</f>
        <v>0</v>
      </c>
      <c r="M1855" s="17" t="str">
        <f>ROUND(Github!N$1854, 2)&amp;"%"</f>
        <v>0%</v>
      </c>
      <c r="N1855" s="17">
        <f>Github!O$1854</f>
        <v>87.59050101</v>
      </c>
      <c r="O1855" s="17">
        <f>Github!P$1854</f>
        <v>6047</v>
      </c>
    </row>
    <row r="1856">
      <c r="A1856" s="17">
        <f>Github!J$1855</f>
        <v>1854</v>
      </c>
      <c r="B1856" s="27" t="str">
        <f>HYPERLINK(CONCAT("http://leetcode.com/problems/",Github!C$1855), Github!B$1855)</f>
        <v>Maximum Population Year</v>
      </c>
      <c r="C1856" s="17">
        <f>Github!F$1855</f>
        <v>497</v>
      </c>
      <c r="D1856" s="17">
        <f>Github!G$1855</f>
        <v>74</v>
      </c>
      <c r="E1856" s="17">
        <f>Github!F$1855+Github!G$1855</f>
        <v>571</v>
      </c>
      <c r="F1856" s="18">
        <f t="shared" si="1"/>
        <v>6.72</v>
      </c>
      <c r="G1856" s="17" t="str">
        <f>Github!H$1855</f>
        <v>Algorithms</v>
      </c>
      <c r="H1856" s="17" t="str">
        <f>Github!E$1855</f>
        <v>Easy</v>
      </c>
      <c r="I1856" s="17" t="str">
        <f>IF(TRIM(Github!D$1855)="TRUE","FALSE","TRUE")</f>
        <v>TRUE</v>
      </c>
      <c r="J1856" s="17"/>
      <c r="K1856" s="17" t="str">
        <f>Github!L$1855</f>
        <v>Array;Counting;</v>
      </c>
      <c r="L1856" s="17" t="b">
        <f>Github!M$1855</f>
        <v>0</v>
      </c>
      <c r="M1856" s="17" t="str">
        <f>ROUND(Github!N$1855, 2)&amp;"%"</f>
        <v>0%</v>
      </c>
      <c r="N1856" s="17">
        <f>Github!O$1855</f>
        <v>58.61516477</v>
      </c>
      <c r="O1856" s="17">
        <f>Github!P$1855</f>
        <v>27072</v>
      </c>
    </row>
    <row r="1857">
      <c r="A1857" s="17">
        <f>Github!J$1856</f>
        <v>1855</v>
      </c>
      <c r="B1857" s="27" t="str">
        <f>HYPERLINK(CONCAT("http://leetcode.com/problems/",Github!C$1856), Github!B$1856)</f>
        <v>Maximum Distance Between a Pair of Values</v>
      </c>
      <c r="C1857" s="17">
        <f>Github!F$1856</f>
        <v>481</v>
      </c>
      <c r="D1857" s="17">
        <f>Github!G$1856</f>
        <v>9</v>
      </c>
      <c r="E1857" s="17">
        <f>Github!F$1856+Github!G$1856</f>
        <v>490</v>
      </c>
      <c r="F1857" s="18">
        <f t="shared" si="1"/>
        <v>53.44</v>
      </c>
      <c r="G1857" s="17" t="str">
        <f>Github!H$1856</f>
        <v>Algorithms</v>
      </c>
      <c r="H1857" s="17" t="str">
        <f>Github!E$1856</f>
        <v>Medium</v>
      </c>
      <c r="I1857" s="17" t="str">
        <f>IF(TRIM(Github!D$1856)="TRUE","FALSE","TRUE")</f>
        <v>TRUE</v>
      </c>
      <c r="J1857" s="17"/>
      <c r="K1857" s="17" t="str">
        <f>Github!L$1856</f>
        <v>Array;Two Pointers;Binary Search;Greedy;</v>
      </c>
      <c r="L1857" s="17" t="b">
        <f>Github!M$1856</f>
        <v>0</v>
      </c>
      <c r="M1857" s="17" t="str">
        <f>ROUND(Github!N$1856, 2)&amp;"%"</f>
        <v>0%</v>
      </c>
      <c r="N1857" s="17">
        <f>Github!O$1856</f>
        <v>48.95196507</v>
      </c>
      <c r="O1857" s="17">
        <f>Github!P$1856</f>
        <v>19057</v>
      </c>
    </row>
    <row r="1858">
      <c r="A1858" s="17">
        <f>Github!J$1857</f>
        <v>1856</v>
      </c>
      <c r="B1858" s="27" t="str">
        <f>HYPERLINK(CONCAT("http://leetcode.com/problems/",Github!C$1857), Github!B$1857)</f>
        <v>Maximum Subarray Min-Product</v>
      </c>
      <c r="C1858" s="17">
        <f>Github!F$1857</f>
        <v>719</v>
      </c>
      <c r="D1858" s="17">
        <f>Github!G$1857</f>
        <v>41</v>
      </c>
      <c r="E1858" s="17">
        <f>Github!F$1857+Github!G$1857</f>
        <v>760</v>
      </c>
      <c r="F1858" s="18">
        <f t="shared" si="1"/>
        <v>17.54</v>
      </c>
      <c r="G1858" s="17" t="str">
        <f>Github!H$1857</f>
        <v>Algorithms</v>
      </c>
      <c r="H1858" s="17" t="str">
        <f>Github!E$1857</f>
        <v>Medium</v>
      </c>
      <c r="I1858" s="17" t="str">
        <f>IF(TRIM(Github!D$1857)="TRUE","FALSE","TRUE")</f>
        <v>TRUE</v>
      </c>
      <c r="J1858" s="17"/>
      <c r="K1858" s="17" t="str">
        <f>Github!L$1857</f>
        <v>Array;Stack;Monotonic Stack;Prefix Sum;</v>
      </c>
      <c r="L1858" s="17" t="b">
        <f>Github!M$1857</f>
        <v>0</v>
      </c>
      <c r="M1858" s="17" t="str">
        <f>ROUND(Github!N$1857, 2)&amp;"%"</f>
        <v>0%</v>
      </c>
      <c r="N1858" s="17">
        <f>Github!O$1857</f>
        <v>35.24582429</v>
      </c>
      <c r="O1858" s="17">
        <f>Github!P$1857</f>
        <v>11205</v>
      </c>
    </row>
    <row r="1859">
      <c r="A1859" s="17">
        <f>Github!J$1858</f>
        <v>1857</v>
      </c>
      <c r="B1859" s="27" t="str">
        <f>HYPERLINK(CONCAT("http://leetcode.com/problems/",Github!C$1858), Github!B$1858)</f>
        <v>Largest Color Value in a Directed Graph</v>
      </c>
      <c r="C1859" s="17">
        <f>Github!F$1858</f>
        <v>415</v>
      </c>
      <c r="D1859" s="17">
        <f>Github!G$1858</f>
        <v>15</v>
      </c>
      <c r="E1859" s="17">
        <f>Github!F$1858+Github!G$1858</f>
        <v>430</v>
      </c>
      <c r="F1859" s="18">
        <f t="shared" si="1"/>
        <v>27.67</v>
      </c>
      <c r="G1859" s="17" t="str">
        <f>Github!H$1858</f>
        <v>Algorithms</v>
      </c>
      <c r="H1859" s="17" t="str">
        <f>Github!E$1858</f>
        <v>Hard</v>
      </c>
      <c r="I1859" s="17" t="str">
        <f>IF(TRIM(Github!D$1858)="TRUE","FALSE","TRUE")</f>
        <v>TRUE</v>
      </c>
      <c r="J1859" s="17"/>
      <c r="K1859" s="17" t="str">
        <f>Github!L$1858</f>
        <v>Hash Table;Dynamic Programming;Graph;Topological Sort;Memoization;Counting;</v>
      </c>
      <c r="L1859" s="17" t="b">
        <f>Github!M$1858</f>
        <v>0</v>
      </c>
      <c r="M1859" s="17" t="str">
        <f>ROUND(Github!N$1858, 2)&amp;"%"</f>
        <v>0%</v>
      </c>
      <c r="N1859" s="17">
        <f>Github!O$1858</f>
        <v>39.63116009</v>
      </c>
      <c r="O1859" s="17">
        <f>Github!P$1858</f>
        <v>10358</v>
      </c>
    </row>
    <row r="1860">
      <c r="A1860" s="17">
        <f>Github!J$1859</f>
        <v>1858</v>
      </c>
      <c r="B1860" s="27" t="str">
        <f>HYPERLINK(CONCAT("http://leetcode.com/problems/",Github!C$1859), Github!B$1859)</f>
        <v>Longest Word With All Prefixes</v>
      </c>
      <c r="C1860" s="17">
        <f>Github!F$1859</f>
        <v>92</v>
      </c>
      <c r="D1860" s="17">
        <f>Github!G$1859</f>
        <v>3</v>
      </c>
      <c r="E1860" s="17">
        <f>Github!F$1859+Github!G$1859</f>
        <v>95</v>
      </c>
      <c r="F1860" s="18">
        <f t="shared" si="1"/>
        <v>30.67</v>
      </c>
      <c r="G1860" s="17" t="str">
        <f>Github!H$1859</f>
        <v>Algorithms</v>
      </c>
      <c r="H1860" s="17" t="str">
        <f>Github!E$1859</f>
        <v>Medium</v>
      </c>
      <c r="I1860" s="17" t="str">
        <f>IF(TRIM(Github!D$1859)="TRUE","FALSE","TRUE")</f>
        <v>FALSE</v>
      </c>
      <c r="J1860" s="17"/>
      <c r="K1860" s="17" t="str">
        <f>Github!L$1859</f>
        <v>Depth-First Search;Trie;</v>
      </c>
      <c r="L1860" s="17" t="b">
        <f>Github!M$1859</f>
        <v>0</v>
      </c>
      <c r="M1860" s="17" t="str">
        <f>ROUND(Github!N$1859, 2)&amp;"%"</f>
        <v>0%</v>
      </c>
      <c r="N1860" s="17">
        <f>Github!O$1859</f>
        <v>66.23097932</v>
      </c>
      <c r="O1860" s="17">
        <f>Github!P$1859</f>
        <v>3395</v>
      </c>
    </row>
    <row r="1861">
      <c r="A1861" s="17">
        <f>Github!J$1860</f>
        <v>1859</v>
      </c>
      <c r="B1861" s="27" t="str">
        <f>HYPERLINK(CONCAT("http://leetcode.com/problems/",Github!C$1860), Github!B$1860)</f>
        <v>Sorting the Sentence</v>
      </c>
      <c r="C1861" s="17">
        <f>Github!F$1860</f>
        <v>845</v>
      </c>
      <c r="D1861" s="17">
        <f>Github!G$1860</f>
        <v>24</v>
      </c>
      <c r="E1861" s="17">
        <f>Github!F$1860+Github!G$1860</f>
        <v>869</v>
      </c>
      <c r="F1861" s="18">
        <f t="shared" si="1"/>
        <v>35.21</v>
      </c>
      <c r="G1861" s="17" t="str">
        <f>Github!H$1860</f>
        <v>Algorithms</v>
      </c>
      <c r="H1861" s="17" t="str">
        <f>Github!E$1860</f>
        <v>Easy</v>
      </c>
      <c r="I1861" s="17" t="str">
        <f>IF(TRIM(Github!D$1860)="TRUE","FALSE","TRUE")</f>
        <v>TRUE</v>
      </c>
      <c r="J1861" s="17"/>
      <c r="K1861" s="17" t="str">
        <f>Github!L$1860</f>
        <v>String;Sorting;</v>
      </c>
      <c r="L1861" s="17" t="b">
        <f>Github!M$1860</f>
        <v>0</v>
      </c>
      <c r="M1861" s="17" t="str">
        <f>ROUND(Github!N$1860, 2)&amp;"%"</f>
        <v>0%</v>
      </c>
      <c r="N1861" s="17">
        <f>Github!O$1860</f>
        <v>84.46024333</v>
      </c>
      <c r="O1861" s="17">
        <f>Github!P$1860</f>
        <v>56784</v>
      </c>
    </row>
    <row r="1862">
      <c r="A1862" s="17">
        <f>Github!J$1861</f>
        <v>1860</v>
      </c>
      <c r="B1862" s="27" t="str">
        <f>HYPERLINK(CONCAT("http://leetcode.com/problems/",Github!C$1861), Github!B$1861)</f>
        <v>Incremental Memory Leak</v>
      </c>
      <c r="C1862" s="17">
        <f>Github!F$1861</f>
        <v>128</v>
      </c>
      <c r="D1862" s="17">
        <f>Github!G$1861</f>
        <v>56</v>
      </c>
      <c r="E1862" s="17">
        <f>Github!F$1861+Github!G$1861</f>
        <v>184</v>
      </c>
      <c r="F1862" s="18">
        <f t="shared" si="1"/>
        <v>2.29</v>
      </c>
      <c r="G1862" s="17" t="str">
        <f>Github!H$1861</f>
        <v>Algorithms</v>
      </c>
      <c r="H1862" s="17" t="str">
        <f>Github!E$1861</f>
        <v>Medium</v>
      </c>
      <c r="I1862" s="17" t="str">
        <f>IF(TRIM(Github!D$1861)="TRUE","FALSE","TRUE")</f>
        <v>TRUE</v>
      </c>
      <c r="J1862" s="17"/>
      <c r="K1862" s="17" t="str">
        <f>Github!L$1861</f>
        <v>Simulation;</v>
      </c>
      <c r="L1862" s="17" t="b">
        <f>Github!M$1861</f>
        <v>0</v>
      </c>
      <c r="M1862" s="17" t="str">
        <f>ROUND(Github!N$1861, 2)&amp;"%"</f>
        <v>0%</v>
      </c>
      <c r="N1862" s="17">
        <f>Github!O$1861</f>
        <v>70.82237628</v>
      </c>
      <c r="O1862" s="17">
        <f>Github!P$1861</f>
        <v>11850</v>
      </c>
    </row>
    <row r="1863">
      <c r="A1863" s="17">
        <f>Github!J$1862</f>
        <v>1861</v>
      </c>
      <c r="B1863" s="27" t="str">
        <f>HYPERLINK(CONCAT("http://leetcode.com/problems/",Github!C$1862), Github!B$1862)</f>
        <v>Rotating the Box</v>
      </c>
      <c r="C1863" s="17">
        <f>Github!F$1862</f>
        <v>531</v>
      </c>
      <c r="D1863" s="17">
        <f>Github!G$1862</f>
        <v>29</v>
      </c>
      <c r="E1863" s="17">
        <f>Github!F$1862+Github!G$1862</f>
        <v>560</v>
      </c>
      <c r="F1863" s="18">
        <f t="shared" si="1"/>
        <v>18.31</v>
      </c>
      <c r="G1863" s="17" t="str">
        <f>Github!H$1862</f>
        <v>Algorithms</v>
      </c>
      <c r="H1863" s="17" t="str">
        <f>Github!E$1862</f>
        <v>Medium</v>
      </c>
      <c r="I1863" s="17" t="str">
        <f>IF(TRIM(Github!D$1862)="TRUE","FALSE","TRUE")</f>
        <v>TRUE</v>
      </c>
      <c r="J1863" s="17"/>
      <c r="K1863" s="17" t="str">
        <f>Github!L$1862</f>
        <v>Array;Two Pointers;Matrix;</v>
      </c>
      <c r="L1863" s="17" t="b">
        <f>Github!M$1862</f>
        <v>0</v>
      </c>
      <c r="M1863" s="17" t="str">
        <f>ROUND(Github!N$1862, 2)&amp;"%"</f>
        <v>0%</v>
      </c>
      <c r="N1863" s="17">
        <f>Github!O$1862</f>
        <v>64.24603603</v>
      </c>
      <c r="O1863" s="17">
        <f>Github!P$1862</f>
        <v>23825</v>
      </c>
    </row>
    <row r="1864">
      <c r="A1864" s="17">
        <f>Github!J$1863</f>
        <v>1862</v>
      </c>
      <c r="B1864" s="27" t="str">
        <f>HYPERLINK(CONCAT("http://leetcode.com/problems/",Github!C$1863), Github!B$1863)</f>
        <v>Sum of Floored Pairs</v>
      </c>
      <c r="C1864" s="17">
        <f>Github!F$1863</f>
        <v>275</v>
      </c>
      <c r="D1864" s="17">
        <f>Github!G$1863</f>
        <v>22</v>
      </c>
      <c r="E1864" s="17">
        <f>Github!F$1863+Github!G$1863</f>
        <v>297</v>
      </c>
      <c r="F1864" s="18">
        <f t="shared" si="1"/>
        <v>12.5</v>
      </c>
      <c r="G1864" s="17" t="str">
        <f>Github!H$1863</f>
        <v>Algorithms</v>
      </c>
      <c r="H1864" s="17" t="str">
        <f>Github!E$1863</f>
        <v>Hard</v>
      </c>
      <c r="I1864" s="17" t="str">
        <f>IF(TRIM(Github!D$1863)="TRUE","FALSE","TRUE")</f>
        <v>TRUE</v>
      </c>
      <c r="J1864" s="17"/>
      <c r="K1864" s="17" t="str">
        <f>Github!L$1863</f>
        <v>Array;Math;Binary Search;Prefix Sum;</v>
      </c>
      <c r="L1864" s="17" t="b">
        <f>Github!M$1863</f>
        <v>0</v>
      </c>
      <c r="M1864" s="17" t="str">
        <f>ROUND(Github!N$1863, 2)&amp;"%"</f>
        <v>0%</v>
      </c>
      <c r="N1864" s="17">
        <f>Github!O$1863</f>
        <v>27.7576233</v>
      </c>
      <c r="O1864" s="17">
        <f>Github!P$1863</f>
        <v>5662</v>
      </c>
    </row>
    <row r="1865">
      <c r="A1865" s="17">
        <f>Github!J$1864</f>
        <v>1863</v>
      </c>
      <c r="B1865" s="27" t="str">
        <f>HYPERLINK(CONCAT("http://leetcode.com/problems/",Github!C$1864), Github!B$1864)</f>
        <v>Sum of All Subset XOR Totals</v>
      </c>
      <c r="C1865" s="17">
        <f>Github!F$1864</f>
        <v>687</v>
      </c>
      <c r="D1865" s="17">
        <f>Github!G$1864</f>
        <v>71</v>
      </c>
      <c r="E1865" s="17">
        <f>Github!F$1864+Github!G$1864</f>
        <v>758</v>
      </c>
      <c r="F1865" s="18">
        <f t="shared" si="1"/>
        <v>9.68</v>
      </c>
      <c r="G1865" s="17" t="str">
        <f>Github!H$1864</f>
        <v>Algorithms</v>
      </c>
      <c r="H1865" s="17" t="str">
        <f>Github!E$1864</f>
        <v>Easy</v>
      </c>
      <c r="I1865" s="17" t="str">
        <f>IF(TRIM(Github!D$1864)="TRUE","FALSE","TRUE")</f>
        <v>TRUE</v>
      </c>
      <c r="J1865" s="17"/>
      <c r="K1865" s="17" t="str">
        <f>Github!L$1864</f>
        <v>Array;Math;Backtracking;Bit Manipulation;Combinatorics;</v>
      </c>
      <c r="L1865" s="17" t="b">
        <f>Github!M$1864</f>
        <v>0</v>
      </c>
      <c r="M1865" s="17" t="str">
        <f>ROUND(Github!N$1864, 2)&amp;"%"</f>
        <v>0%</v>
      </c>
      <c r="N1865" s="17">
        <f>Github!O$1864</f>
        <v>78.61805321</v>
      </c>
      <c r="O1865" s="17">
        <f>Github!P$1864</f>
        <v>30229</v>
      </c>
    </row>
    <row r="1866">
      <c r="A1866" s="17">
        <f>Github!J$1865</f>
        <v>1864</v>
      </c>
      <c r="B1866" s="27" t="str">
        <f>HYPERLINK(CONCAT("http://leetcode.com/problems/",Github!C$1865), Github!B$1865)</f>
        <v>Minimum Number of Swaps to Make the Binary String Alternating</v>
      </c>
      <c r="C1866" s="17">
        <f>Github!F$1865</f>
        <v>280</v>
      </c>
      <c r="D1866" s="17">
        <f>Github!G$1865</f>
        <v>22</v>
      </c>
      <c r="E1866" s="17">
        <f>Github!F$1865+Github!G$1865</f>
        <v>302</v>
      </c>
      <c r="F1866" s="18">
        <f t="shared" si="1"/>
        <v>12.73</v>
      </c>
      <c r="G1866" s="17" t="str">
        <f>Github!H$1865</f>
        <v>Algorithms</v>
      </c>
      <c r="H1866" s="17" t="str">
        <f>Github!E$1865</f>
        <v>Medium</v>
      </c>
      <c r="I1866" s="17" t="str">
        <f>IF(TRIM(Github!D$1865)="TRUE","FALSE","TRUE")</f>
        <v>TRUE</v>
      </c>
      <c r="J1866" s="17"/>
      <c r="K1866" s="17" t="str">
        <f>Github!L$1865</f>
        <v>String;Greedy;</v>
      </c>
      <c r="L1866" s="17" t="b">
        <f>Github!M$1865</f>
        <v>0</v>
      </c>
      <c r="M1866" s="17" t="str">
        <f>ROUND(Github!N$1865, 2)&amp;"%"</f>
        <v>0%</v>
      </c>
      <c r="N1866" s="17">
        <f>Github!O$1865</f>
        <v>38.3072407</v>
      </c>
      <c r="O1866" s="17">
        <f>Github!P$1865</f>
        <v>12528</v>
      </c>
    </row>
    <row r="1867">
      <c r="A1867" s="17">
        <f>Github!J$1866</f>
        <v>1865</v>
      </c>
      <c r="B1867" s="27" t="str">
        <f>HYPERLINK(CONCAT("http://leetcode.com/problems/",Github!C$1866), Github!B$1866)</f>
        <v>Finding Pairs With a Certain Sum</v>
      </c>
      <c r="C1867" s="17">
        <f>Github!F$1866</f>
        <v>285</v>
      </c>
      <c r="D1867" s="17">
        <f>Github!G$1866</f>
        <v>73</v>
      </c>
      <c r="E1867" s="17">
        <f>Github!F$1866+Github!G$1866</f>
        <v>358</v>
      </c>
      <c r="F1867" s="18">
        <f t="shared" si="1"/>
        <v>3.9</v>
      </c>
      <c r="G1867" s="17" t="str">
        <f>Github!H$1866</f>
        <v>Algorithms</v>
      </c>
      <c r="H1867" s="17" t="str">
        <f>Github!E$1866</f>
        <v>Medium</v>
      </c>
      <c r="I1867" s="17" t="str">
        <f>IF(TRIM(Github!D$1866)="TRUE","FALSE","TRUE")</f>
        <v>TRUE</v>
      </c>
      <c r="J1867" s="17"/>
      <c r="K1867" s="17" t="str">
        <f>Github!L$1866</f>
        <v>Array;Hash Table;Design;</v>
      </c>
      <c r="L1867" s="17" t="b">
        <f>Github!M$1866</f>
        <v>0</v>
      </c>
      <c r="M1867" s="17" t="str">
        <f>ROUND(Github!N$1866, 2)&amp;"%"</f>
        <v>0%</v>
      </c>
      <c r="N1867" s="17">
        <f>Github!O$1866</f>
        <v>48.79597047</v>
      </c>
      <c r="O1867" s="17">
        <f>Github!P$1866</f>
        <v>14144</v>
      </c>
    </row>
    <row r="1868">
      <c r="A1868" s="17">
        <f>Github!J$1867</f>
        <v>1866</v>
      </c>
      <c r="B1868" s="27" t="str">
        <f>HYPERLINK(CONCAT("http://leetcode.com/problems/",Github!C$1867), Github!B$1867)</f>
        <v>Number of Ways to Rearrange Sticks With K Sticks Visible</v>
      </c>
      <c r="C1868" s="17">
        <f>Github!F$1867</f>
        <v>423</v>
      </c>
      <c r="D1868" s="17">
        <f>Github!G$1867</f>
        <v>9</v>
      </c>
      <c r="E1868" s="17">
        <f>Github!F$1867+Github!G$1867</f>
        <v>432</v>
      </c>
      <c r="F1868" s="18">
        <f t="shared" si="1"/>
        <v>47</v>
      </c>
      <c r="G1868" s="17" t="str">
        <f>Github!H$1867</f>
        <v>Algorithms</v>
      </c>
      <c r="H1868" s="17" t="str">
        <f>Github!E$1867</f>
        <v>Hard</v>
      </c>
      <c r="I1868" s="17" t="str">
        <f>IF(TRIM(Github!D$1867)="TRUE","FALSE","TRUE")</f>
        <v>TRUE</v>
      </c>
      <c r="J1868" s="17"/>
      <c r="K1868" s="17" t="str">
        <f>Github!L$1867</f>
        <v>Math;Dynamic Programming;Combinatorics;</v>
      </c>
      <c r="L1868" s="17" t="b">
        <f>Github!M$1867</f>
        <v>0</v>
      </c>
      <c r="M1868" s="17" t="str">
        <f>ROUND(Github!N$1867, 2)&amp;"%"</f>
        <v>0%</v>
      </c>
      <c r="N1868" s="17">
        <f>Github!O$1867</f>
        <v>55.28787553</v>
      </c>
      <c r="O1868" s="17">
        <f>Github!P$1867</f>
        <v>7711</v>
      </c>
    </row>
    <row r="1869">
      <c r="A1869" s="17">
        <f>Github!J$1868</f>
        <v>1867</v>
      </c>
      <c r="B1869" s="27" t="str">
        <f>HYPERLINK(CONCAT("http://leetcode.com/problems/",Github!C$1868), Github!B$1868)</f>
        <v>Orders With Maximum Quantity Above Average</v>
      </c>
      <c r="C1869" s="17">
        <f>Github!F$1868</f>
        <v>27</v>
      </c>
      <c r="D1869" s="17">
        <f>Github!G$1868</f>
        <v>99</v>
      </c>
      <c r="E1869" s="17">
        <f>Github!F$1868+Github!G$1868</f>
        <v>126</v>
      </c>
      <c r="F1869" s="18">
        <f t="shared" si="1"/>
        <v>0.27</v>
      </c>
      <c r="G1869" s="17" t="str">
        <f>Github!H$1868</f>
        <v>Database</v>
      </c>
      <c r="H1869" s="17" t="str">
        <f>Github!E$1868</f>
        <v>Medium</v>
      </c>
      <c r="I1869" s="17" t="str">
        <f>IF(TRIM(Github!D$1868)="TRUE","FALSE","TRUE")</f>
        <v>FALSE</v>
      </c>
      <c r="J1869" s="17"/>
      <c r="K1869" s="17" t="str">
        <f>Github!L$1868</f>
        <v>Database;</v>
      </c>
      <c r="L1869" s="17" t="b">
        <f>Github!M$1868</f>
        <v>0</v>
      </c>
      <c r="M1869" s="17" t="str">
        <f>ROUND(Github!N$1868, 2)&amp;"%"</f>
        <v>0%</v>
      </c>
      <c r="N1869" s="17">
        <f>Github!O$1868</f>
        <v>76.12745728</v>
      </c>
      <c r="O1869" s="17">
        <f>Github!P$1868</f>
        <v>5925</v>
      </c>
    </row>
    <row r="1870">
      <c r="A1870" s="17">
        <f>Github!J$1869</f>
        <v>1868</v>
      </c>
      <c r="B1870" s="27" t="str">
        <f>HYPERLINK(CONCAT("http://leetcode.com/problems/",Github!C$1869), Github!B$1869)</f>
        <v>Product of Two Run-Length Encoded Arrays</v>
      </c>
      <c r="C1870" s="17">
        <f>Github!F$1869</f>
        <v>195</v>
      </c>
      <c r="D1870" s="17">
        <f>Github!G$1869</f>
        <v>26</v>
      </c>
      <c r="E1870" s="17">
        <f>Github!F$1869+Github!G$1869</f>
        <v>221</v>
      </c>
      <c r="F1870" s="18">
        <f t="shared" si="1"/>
        <v>7.5</v>
      </c>
      <c r="G1870" s="17" t="str">
        <f>Github!H$1869</f>
        <v>Algorithms</v>
      </c>
      <c r="H1870" s="17" t="str">
        <f>Github!E$1869</f>
        <v>Medium</v>
      </c>
      <c r="I1870" s="17" t="str">
        <f>IF(TRIM(Github!D$1869)="TRUE","FALSE","TRUE")</f>
        <v>FALSE</v>
      </c>
      <c r="J1870" s="17"/>
      <c r="K1870" s="17" t="str">
        <f>Github!L$1869</f>
        <v>Array;Two Pointers;</v>
      </c>
      <c r="L1870" s="17" t="b">
        <f>Github!M$1869</f>
        <v>0</v>
      </c>
      <c r="M1870" s="17" t="str">
        <f>ROUND(Github!N$1869, 2)&amp;"%"</f>
        <v>0%</v>
      </c>
      <c r="N1870" s="17">
        <f>Github!O$1869</f>
        <v>58.38577492</v>
      </c>
      <c r="O1870" s="17">
        <f>Github!P$1869</f>
        <v>15958</v>
      </c>
    </row>
    <row r="1871">
      <c r="A1871" s="17">
        <f>Github!J$1870</f>
        <v>1869</v>
      </c>
      <c r="B1871" s="27" t="str">
        <f>HYPERLINK(CONCAT("http://leetcode.com/problems/",Github!C$1870), Github!B$1870)</f>
        <v>Longer Contiguous Segments of Ones than Zeros</v>
      </c>
      <c r="C1871" s="17">
        <f>Github!F$1870</f>
        <v>269</v>
      </c>
      <c r="D1871" s="17">
        <f>Github!G$1870</f>
        <v>6</v>
      </c>
      <c r="E1871" s="17">
        <f>Github!F$1870+Github!G$1870</f>
        <v>275</v>
      </c>
      <c r="F1871" s="18">
        <f t="shared" si="1"/>
        <v>44.83</v>
      </c>
      <c r="G1871" s="17" t="str">
        <f>Github!H$1870</f>
        <v>Algorithms</v>
      </c>
      <c r="H1871" s="17" t="str">
        <f>Github!E$1870</f>
        <v>Easy</v>
      </c>
      <c r="I1871" s="17" t="str">
        <f>IF(TRIM(Github!D$1870)="TRUE","FALSE","TRUE")</f>
        <v>TRUE</v>
      </c>
      <c r="J1871" s="17"/>
      <c r="K1871" s="17" t="str">
        <f>Github!L$1870</f>
        <v>String;</v>
      </c>
      <c r="L1871" s="17" t="b">
        <f>Github!M$1870</f>
        <v>0</v>
      </c>
      <c r="M1871" s="17" t="str">
        <f>ROUND(Github!N$1870, 2)&amp;"%"</f>
        <v>0%</v>
      </c>
      <c r="N1871" s="17">
        <f>Github!O$1870</f>
        <v>60.08907995</v>
      </c>
      <c r="O1871" s="17">
        <f>Github!P$1870</f>
        <v>27117</v>
      </c>
    </row>
    <row r="1872">
      <c r="A1872" s="17">
        <f>Github!J$1871</f>
        <v>1870</v>
      </c>
      <c r="B1872" s="27" t="str">
        <f>HYPERLINK(CONCAT("http://leetcode.com/problems/",Github!C$1871), Github!B$1871)</f>
        <v>Minimum Speed to Arrive on Time</v>
      </c>
      <c r="C1872" s="17">
        <f>Github!F$1871</f>
        <v>419</v>
      </c>
      <c r="D1872" s="17">
        <f>Github!G$1871</f>
        <v>73</v>
      </c>
      <c r="E1872" s="17">
        <f>Github!F$1871+Github!G$1871</f>
        <v>492</v>
      </c>
      <c r="F1872" s="18">
        <f t="shared" si="1"/>
        <v>5.74</v>
      </c>
      <c r="G1872" s="17" t="str">
        <f>Github!H$1871</f>
        <v>Algorithms</v>
      </c>
      <c r="H1872" s="17" t="str">
        <f>Github!E$1871</f>
        <v>Medium</v>
      </c>
      <c r="I1872" s="17" t="str">
        <f>IF(TRIM(Github!D$1871)="TRUE","FALSE","TRUE")</f>
        <v>TRUE</v>
      </c>
      <c r="J1872" s="17"/>
      <c r="K1872" s="17" t="str">
        <f>Github!L$1871</f>
        <v>Array;Binary Search;</v>
      </c>
      <c r="L1872" s="17" t="b">
        <f>Github!M$1871</f>
        <v>0</v>
      </c>
      <c r="M1872" s="17" t="str">
        <f>ROUND(Github!N$1871, 2)&amp;"%"</f>
        <v>0%</v>
      </c>
      <c r="N1872" s="17">
        <f>Github!O$1871</f>
        <v>35.16695251</v>
      </c>
      <c r="O1872" s="17">
        <f>Github!P$1871</f>
        <v>16609</v>
      </c>
    </row>
    <row r="1873">
      <c r="A1873" s="17">
        <f>Github!J$1872</f>
        <v>1871</v>
      </c>
      <c r="B1873" s="27" t="str">
        <f>HYPERLINK(CONCAT("http://leetcode.com/problems/",Github!C$1872), Github!B$1872)</f>
        <v>Jump Game VII</v>
      </c>
      <c r="C1873" s="17">
        <f>Github!F$1872</f>
        <v>781</v>
      </c>
      <c r="D1873" s="17">
        <f>Github!G$1872</f>
        <v>45</v>
      </c>
      <c r="E1873" s="17">
        <f>Github!F$1872+Github!G$1872</f>
        <v>826</v>
      </c>
      <c r="F1873" s="18">
        <f t="shared" si="1"/>
        <v>17.36</v>
      </c>
      <c r="G1873" s="17" t="str">
        <f>Github!H$1872</f>
        <v>Algorithms</v>
      </c>
      <c r="H1873" s="17" t="str">
        <f>Github!E$1872</f>
        <v>Medium</v>
      </c>
      <c r="I1873" s="17" t="str">
        <f>IF(TRIM(Github!D$1872)="TRUE","FALSE","TRUE")</f>
        <v>TRUE</v>
      </c>
      <c r="J1873" s="17"/>
      <c r="K1873" s="17" t="str">
        <f>Github!L$1872</f>
        <v>Two Pointers;String;Prefix Sum;</v>
      </c>
      <c r="L1873" s="17" t="b">
        <f>Github!M$1872</f>
        <v>0</v>
      </c>
      <c r="M1873" s="17" t="str">
        <f>ROUND(Github!N$1872, 2)&amp;"%"</f>
        <v>0%</v>
      </c>
      <c r="N1873" s="17">
        <f>Github!O$1872</f>
        <v>24.70170606</v>
      </c>
      <c r="O1873" s="17">
        <f>Github!P$1872</f>
        <v>20806</v>
      </c>
    </row>
    <row r="1874">
      <c r="A1874" s="17">
        <f>Github!J$1873</f>
        <v>1872</v>
      </c>
      <c r="B1874" s="27" t="str">
        <f>HYPERLINK(CONCAT("http://leetcode.com/problems/",Github!C$1873), Github!B$1873)</f>
        <v>Stone Game VIII</v>
      </c>
      <c r="C1874" s="17">
        <f>Github!F$1873</f>
        <v>252</v>
      </c>
      <c r="D1874" s="17">
        <f>Github!G$1873</f>
        <v>11</v>
      </c>
      <c r="E1874" s="17">
        <f>Github!F$1873+Github!G$1873</f>
        <v>263</v>
      </c>
      <c r="F1874" s="18">
        <f t="shared" si="1"/>
        <v>22.91</v>
      </c>
      <c r="G1874" s="17" t="str">
        <f>Github!H$1873</f>
        <v>Algorithms</v>
      </c>
      <c r="H1874" s="17" t="str">
        <f>Github!E$1873</f>
        <v>Hard</v>
      </c>
      <c r="I1874" s="17" t="str">
        <f>IF(TRIM(Github!D$1873)="TRUE","FALSE","TRUE")</f>
        <v>TRUE</v>
      </c>
      <c r="J1874" s="17"/>
      <c r="K1874" s="17" t="str">
        <f>Github!L$1873</f>
        <v>Array;Math;Dynamic Programming;Prefix Sum;Game Theory;</v>
      </c>
      <c r="L1874" s="17" t="b">
        <f>Github!M$1873</f>
        <v>0</v>
      </c>
      <c r="M1874" s="17" t="str">
        <f>ROUND(Github!N$1873, 2)&amp;"%"</f>
        <v>0%</v>
      </c>
      <c r="N1874" s="17">
        <f>Github!O$1873</f>
        <v>52.45999404</v>
      </c>
      <c r="O1874" s="17">
        <f>Github!P$1873</f>
        <v>5278</v>
      </c>
    </row>
    <row r="1875">
      <c r="A1875" s="17">
        <f>Github!J$1874</f>
        <v>1873</v>
      </c>
      <c r="B1875" s="27" t="str">
        <f>HYPERLINK(CONCAT("http://leetcode.com/problems/",Github!C$1874), Github!B$1874)</f>
        <v>Calculate Special Bonus</v>
      </c>
      <c r="C1875" s="17">
        <f>Github!F$1874</f>
        <v>47</v>
      </c>
      <c r="D1875" s="17">
        <f>Github!G$1874</f>
        <v>1</v>
      </c>
      <c r="E1875" s="17">
        <f>Github!F$1874+Github!G$1874</f>
        <v>48</v>
      </c>
      <c r="F1875" s="18">
        <f t="shared" si="1"/>
        <v>47</v>
      </c>
      <c r="G1875" s="17" t="str">
        <f>Github!H$1874</f>
        <v>Database</v>
      </c>
      <c r="H1875" s="17" t="str">
        <f>Github!E$1874</f>
        <v>Easy</v>
      </c>
      <c r="I1875" s="17" t="str">
        <f>IF(TRIM(Github!D$1874)="TRUE","FALSE","TRUE")</f>
        <v>FALSE</v>
      </c>
      <c r="J1875" s="17"/>
      <c r="K1875" s="17" t="str">
        <f>Github!L$1874</f>
        <v>Database;</v>
      </c>
      <c r="L1875" s="17" t="b">
        <f>Github!M$1874</f>
        <v>0</v>
      </c>
      <c r="M1875" s="17" t="str">
        <f>ROUND(Github!N$1874, 2)&amp;"%"</f>
        <v>0%</v>
      </c>
      <c r="N1875" s="17">
        <f>Github!O$1874</f>
        <v>91.10405083</v>
      </c>
      <c r="O1875" s="17">
        <f>Github!P$1874</f>
        <v>8029</v>
      </c>
    </row>
    <row r="1876">
      <c r="A1876" s="17">
        <f>Github!J$1875</f>
        <v>1874</v>
      </c>
      <c r="B1876" s="27" t="str">
        <f>HYPERLINK(CONCAT("http://leetcode.com/problems/",Github!C$1875), Github!B$1875)</f>
        <v>Minimize Product Sum of Two Arrays</v>
      </c>
      <c r="C1876" s="17">
        <f>Github!F$1875</f>
        <v>83</v>
      </c>
      <c r="D1876" s="17">
        <f>Github!G$1875</f>
        <v>9</v>
      </c>
      <c r="E1876" s="17">
        <f>Github!F$1875+Github!G$1875</f>
        <v>92</v>
      </c>
      <c r="F1876" s="18">
        <f t="shared" si="1"/>
        <v>9.22</v>
      </c>
      <c r="G1876" s="17" t="str">
        <f>Github!H$1875</f>
        <v>Algorithms</v>
      </c>
      <c r="H1876" s="17" t="str">
        <f>Github!E$1875</f>
        <v>Medium</v>
      </c>
      <c r="I1876" s="17" t="str">
        <f>IF(TRIM(Github!D$1875)="TRUE","FALSE","TRUE")</f>
        <v>FALSE</v>
      </c>
      <c r="J1876" s="17"/>
      <c r="K1876" s="17" t="str">
        <f>Github!L$1875</f>
        <v>Array;Greedy;Sorting;</v>
      </c>
      <c r="L1876" s="17" t="b">
        <f>Github!M$1875</f>
        <v>0</v>
      </c>
      <c r="M1876" s="17" t="str">
        <f>ROUND(Github!N$1875, 2)&amp;"%"</f>
        <v>0%</v>
      </c>
      <c r="N1876" s="17">
        <f>Github!O$1875</f>
        <v>89.48587309</v>
      </c>
      <c r="O1876" s="17">
        <f>Github!P$1875</f>
        <v>5796</v>
      </c>
    </row>
    <row r="1877">
      <c r="A1877" s="17">
        <f>Github!J$1876</f>
        <v>1875</v>
      </c>
      <c r="B1877" s="27" t="str">
        <f>HYPERLINK(CONCAT("http://leetcode.com/problems/",Github!C$1876), Github!B$1876)</f>
        <v>Group Employees of the Same Salary</v>
      </c>
      <c r="C1877" s="17">
        <f>Github!F$1876</f>
        <v>36</v>
      </c>
      <c r="D1877" s="17">
        <f>Github!G$1876</f>
        <v>3</v>
      </c>
      <c r="E1877" s="17">
        <f>Github!F$1876+Github!G$1876</f>
        <v>39</v>
      </c>
      <c r="F1877" s="18">
        <f t="shared" si="1"/>
        <v>12</v>
      </c>
      <c r="G1877" s="17" t="str">
        <f>Github!H$1876</f>
        <v>Database</v>
      </c>
      <c r="H1877" s="17" t="str">
        <f>Github!E$1876</f>
        <v>Medium</v>
      </c>
      <c r="I1877" s="17" t="str">
        <f>IF(TRIM(Github!D$1876)="TRUE","FALSE","TRUE")</f>
        <v>FALSE</v>
      </c>
      <c r="J1877" s="17"/>
      <c r="K1877" s="17" t="str">
        <f>Github!L$1876</f>
        <v>Database;</v>
      </c>
      <c r="L1877" s="17" t="b">
        <f>Github!M$1876</f>
        <v>0</v>
      </c>
      <c r="M1877" s="17" t="str">
        <f>ROUND(Github!N$1876, 2)&amp;"%"</f>
        <v>0%</v>
      </c>
      <c r="N1877" s="17">
        <f>Github!O$1876</f>
        <v>75.30319735</v>
      </c>
      <c r="O1877" s="17">
        <f>Github!P$1876</f>
        <v>4781</v>
      </c>
    </row>
    <row r="1878">
      <c r="A1878" s="17">
        <f>Github!J$1877</f>
        <v>1876</v>
      </c>
      <c r="B1878" s="27" t="str">
        <f>HYPERLINK(CONCAT("http://leetcode.com/problems/",Github!C$1877), Github!B$1877)</f>
        <v>Substrings of Size Three with Distinct Characters</v>
      </c>
      <c r="C1878" s="17">
        <f>Github!F$1877</f>
        <v>514</v>
      </c>
      <c r="D1878" s="17">
        <f>Github!G$1877</f>
        <v>17</v>
      </c>
      <c r="E1878" s="17">
        <f>Github!F$1877+Github!G$1877</f>
        <v>531</v>
      </c>
      <c r="F1878" s="18">
        <f t="shared" si="1"/>
        <v>30.24</v>
      </c>
      <c r="G1878" s="17" t="str">
        <f>Github!H$1877</f>
        <v>Algorithms</v>
      </c>
      <c r="H1878" s="17" t="str">
        <f>Github!E$1877</f>
        <v>Easy</v>
      </c>
      <c r="I1878" s="17" t="str">
        <f>IF(TRIM(Github!D$1877)="TRUE","FALSE","TRUE")</f>
        <v>TRUE</v>
      </c>
      <c r="J1878" s="17"/>
      <c r="K1878" s="17" t="str">
        <f>Github!L$1877</f>
        <v>Hash Table;String;Sliding Window;Counting;</v>
      </c>
      <c r="L1878" s="17" t="b">
        <f>Github!M$1877</f>
        <v>0</v>
      </c>
      <c r="M1878" s="17" t="str">
        <f>ROUND(Github!N$1877, 2)&amp;"%"</f>
        <v>0%</v>
      </c>
      <c r="N1878" s="17">
        <f>Github!O$1877</f>
        <v>69.49959386</v>
      </c>
      <c r="O1878" s="17">
        <f>Github!P$1877</f>
        <v>36791</v>
      </c>
    </row>
    <row r="1879">
      <c r="A1879" s="17">
        <f>Github!J$1878</f>
        <v>1877</v>
      </c>
      <c r="B1879" s="27" t="str">
        <f>HYPERLINK(CONCAT("http://leetcode.com/problems/",Github!C$1878), Github!B$1878)</f>
        <v>Minimize Maximum Pair Sum in Array</v>
      </c>
      <c r="C1879" s="17">
        <f>Github!F$1878</f>
        <v>572</v>
      </c>
      <c r="D1879" s="17">
        <f>Github!G$1878</f>
        <v>148</v>
      </c>
      <c r="E1879" s="17">
        <f>Github!F$1878+Github!G$1878</f>
        <v>720</v>
      </c>
      <c r="F1879" s="18">
        <f t="shared" si="1"/>
        <v>3.86</v>
      </c>
      <c r="G1879" s="17" t="str">
        <f>Github!H$1878</f>
        <v>Algorithms</v>
      </c>
      <c r="H1879" s="17" t="str">
        <f>Github!E$1878</f>
        <v>Medium</v>
      </c>
      <c r="I1879" s="17" t="str">
        <f>IF(TRIM(Github!D$1878)="TRUE","FALSE","TRUE")</f>
        <v>TRUE</v>
      </c>
      <c r="J1879" s="17"/>
      <c r="K1879" s="17" t="str">
        <f>Github!L$1878</f>
        <v>Array;Two Pointers;Greedy;Sorting;</v>
      </c>
      <c r="L1879" s="17" t="b">
        <f>Github!M$1878</f>
        <v>0</v>
      </c>
      <c r="M1879" s="17" t="str">
        <f>ROUND(Github!N$1878, 2)&amp;"%"</f>
        <v>0%</v>
      </c>
      <c r="N1879" s="17">
        <f>Github!O$1878</f>
        <v>80.60883241</v>
      </c>
      <c r="O1879" s="17">
        <f>Github!P$1878</f>
        <v>44592</v>
      </c>
    </row>
    <row r="1880">
      <c r="A1880" s="17">
        <f>Github!J$1879</f>
        <v>1878</v>
      </c>
      <c r="B1880" s="27" t="str">
        <f>HYPERLINK(CONCAT("http://leetcode.com/problems/",Github!C$1879), Github!B$1879)</f>
        <v>Get Biggest Three Rhombus Sums in a Grid</v>
      </c>
      <c r="C1880" s="17">
        <f>Github!F$1879</f>
        <v>124</v>
      </c>
      <c r="D1880" s="17">
        <f>Github!G$1879</f>
        <v>323</v>
      </c>
      <c r="E1880" s="17">
        <f>Github!F$1879+Github!G$1879</f>
        <v>447</v>
      </c>
      <c r="F1880" s="18">
        <f t="shared" si="1"/>
        <v>0.38</v>
      </c>
      <c r="G1880" s="17" t="str">
        <f>Github!H$1879</f>
        <v>Algorithms</v>
      </c>
      <c r="H1880" s="17" t="str">
        <f>Github!E$1879</f>
        <v>Medium</v>
      </c>
      <c r="I1880" s="17" t="str">
        <f>IF(TRIM(Github!D$1879)="TRUE","FALSE","TRUE")</f>
        <v>TRUE</v>
      </c>
      <c r="J1880" s="17"/>
      <c r="K1880" s="17" t="str">
        <f>Github!L$1879</f>
        <v>Array;Math;Sorting;Heap (Priority Queue);Matrix;Prefix Sum;</v>
      </c>
      <c r="L1880" s="17" t="b">
        <f>Github!M$1879</f>
        <v>0</v>
      </c>
      <c r="M1880" s="17" t="str">
        <f>ROUND(Github!N$1879, 2)&amp;"%"</f>
        <v>0%</v>
      </c>
      <c r="N1880" s="17">
        <f>Github!O$1879</f>
        <v>44.70755762</v>
      </c>
      <c r="O1880" s="17">
        <f>Github!P$1879</f>
        <v>8476</v>
      </c>
    </row>
    <row r="1881">
      <c r="A1881" s="17">
        <f>Github!J$1880</f>
        <v>1879</v>
      </c>
      <c r="B1881" s="27" t="str">
        <f>HYPERLINK(CONCAT("http://leetcode.com/problems/",Github!C$1880), Github!B$1880)</f>
        <v>Minimum XOR Sum of Two Arrays</v>
      </c>
      <c r="C1881" s="17">
        <f>Github!F$1880</f>
        <v>386</v>
      </c>
      <c r="D1881" s="17">
        <f>Github!G$1880</f>
        <v>7</v>
      </c>
      <c r="E1881" s="17">
        <f>Github!F$1880+Github!G$1880</f>
        <v>393</v>
      </c>
      <c r="F1881" s="18">
        <f t="shared" si="1"/>
        <v>55.14</v>
      </c>
      <c r="G1881" s="17" t="str">
        <f>Github!H$1880</f>
        <v>Algorithms</v>
      </c>
      <c r="H1881" s="17" t="str">
        <f>Github!E$1880</f>
        <v>Hard</v>
      </c>
      <c r="I1881" s="17" t="str">
        <f>IF(TRIM(Github!D$1880)="TRUE","FALSE","TRUE")</f>
        <v>TRUE</v>
      </c>
      <c r="J1881" s="17"/>
      <c r="K1881" s="17" t="str">
        <f>Github!L$1880</f>
        <v>Array;Dynamic Programming;Bit Manipulation;Bitmask;</v>
      </c>
      <c r="L1881" s="17" t="b">
        <f>Github!M$1880</f>
        <v>0</v>
      </c>
      <c r="M1881" s="17" t="str">
        <f>ROUND(Github!N$1880, 2)&amp;"%"</f>
        <v>0%</v>
      </c>
      <c r="N1881" s="17">
        <f>Github!O$1880</f>
        <v>41.84041474</v>
      </c>
      <c r="O1881" s="17">
        <f>Github!P$1880</f>
        <v>7424</v>
      </c>
    </row>
    <row r="1882">
      <c r="A1882" s="17">
        <f>Github!J$1881</f>
        <v>1880</v>
      </c>
      <c r="B1882" s="27" t="str">
        <f>HYPERLINK(CONCAT("http://leetcode.com/problems/",Github!C$1881), Github!B$1881)</f>
        <v>Check if Word Equals Summation of Two Words</v>
      </c>
      <c r="C1882" s="17">
        <f>Github!F$1881</f>
        <v>306</v>
      </c>
      <c r="D1882" s="17">
        <f>Github!G$1881</f>
        <v>18</v>
      </c>
      <c r="E1882" s="17">
        <f>Github!F$1881+Github!G$1881</f>
        <v>324</v>
      </c>
      <c r="F1882" s="18">
        <f t="shared" si="1"/>
        <v>17</v>
      </c>
      <c r="G1882" s="17" t="str">
        <f>Github!H$1881</f>
        <v>Algorithms</v>
      </c>
      <c r="H1882" s="17" t="str">
        <f>Github!E$1881</f>
        <v>Easy</v>
      </c>
      <c r="I1882" s="17" t="str">
        <f>IF(TRIM(Github!D$1881)="TRUE","FALSE","TRUE")</f>
        <v>TRUE</v>
      </c>
      <c r="J1882" s="17"/>
      <c r="K1882" s="17" t="str">
        <f>Github!L$1881</f>
        <v>String;</v>
      </c>
      <c r="L1882" s="17" t="b">
        <f>Github!M$1881</f>
        <v>0</v>
      </c>
      <c r="M1882" s="17" t="str">
        <f>ROUND(Github!N$1881, 2)&amp;"%"</f>
        <v>0%</v>
      </c>
      <c r="N1882" s="17">
        <f>Github!O$1881</f>
        <v>73.10701421</v>
      </c>
      <c r="O1882" s="17">
        <f>Github!P$1881</f>
        <v>37750</v>
      </c>
    </row>
    <row r="1883">
      <c r="A1883" s="17">
        <f>Github!J$1882</f>
        <v>1881</v>
      </c>
      <c r="B1883" s="27" t="str">
        <f>HYPERLINK(CONCAT("http://leetcode.com/problems/",Github!C$1882), Github!B$1882)</f>
        <v>Maximum Value after Insertion</v>
      </c>
      <c r="C1883" s="17">
        <f>Github!F$1882</f>
        <v>226</v>
      </c>
      <c r="D1883" s="17">
        <f>Github!G$1882</f>
        <v>40</v>
      </c>
      <c r="E1883" s="17">
        <f>Github!F$1882+Github!G$1882</f>
        <v>266</v>
      </c>
      <c r="F1883" s="18">
        <f t="shared" si="1"/>
        <v>5.65</v>
      </c>
      <c r="G1883" s="17" t="str">
        <f>Github!H$1882</f>
        <v>Algorithms</v>
      </c>
      <c r="H1883" s="17" t="str">
        <f>Github!E$1882</f>
        <v>Medium</v>
      </c>
      <c r="I1883" s="17" t="str">
        <f>IF(TRIM(Github!D$1882)="TRUE","FALSE","TRUE")</f>
        <v>TRUE</v>
      </c>
      <c r="J1883" s="17"/>
      <c r="K1883" s="17" t="str">
        <f>Github!L$1882</f>
        <v>String;Greedy;</v>
      </c>
      <c r="L1883" s="17" t="b">
        <f>Github!M$1882</f>
        <v>0</v>
      </c>
      <c r="M1883" s="17" t="str">
        <f>ROUND(Github!N$1882, 2)&amp;"%"</f>
        <v>0%</v>
      </c>
      <c r="N1883" s="17">
        <f>Github!O$1882</f>
        <v>35.55429484</v>
      </c>
      <c r="O1883" s="17">
        <f>Github!P$1882</f>
        <v>16921</v>
      </c>
    </row>
    <row r="1884">
      <c r="A1884" s="17">
        <f>Github!J$1883</f>
        <v>1882</v>
      </c>
      <c r="B1884" s="27" t="str">
        <f>HYPERLINK(CONCAT("http://leetcode.com/problems/",Github!C$1883), Github!B$1883)</f>
        <v>Process Tasks Using Servers</v>
      </c>
      <c r="C1884" s="17">
        <f>Github!F$1883</f>
        <v>533</v>
      </c>
      <c r="D1884" s="17">
        <f>Github!G$1883</f>
        <v>155</v>
      </c>
      <c r="E1884" s="17">
        <f>Github!F$1883+Github!G$1883</f>
        <v>688</v>
      </c>
      <c r="F1884" s="18">
        <f t="shared" si="1"/>
        <v>3.44</v>
      </c>
      <c r="G1884" s="17" t="str">
        <f>Github!H$1883</f>
        <v>Algorithms</v>
      </c>
      <c r="H1884" s="17" t="str">
        <f>Github!E$1883</f>
        <v>Medium</v>
      </c>
      <c r="I1884" s="17" t="str">
        <f>IF(TRIM(Github!D$1883)="TRUE","FALSE","TRUE")</f>
        <v>TRUE</v>
      </c>
      <c r="J1884" s="17"/>
      <c r="K1884" s="17" t="str">
        <f>Github!L$1883</f>
        <v>Array;Heap (Priority Queue);</v>
      </c>
      <c r="L1884" s="17" t="b">
        <f>Github!M$1883</f>
        <v>0</v>
      </c>
      <c r="M1884" s="17" t="str">
        <f>ROUND(Github!N$1883, 2)&amp;"%"</f>
        <v>0%</v>
      </c>
      <c r="N1884" s="17">
        <f>Github!O$1883</f>
        <v>36.94720482</v>
      </c>
      <c r="O1884" s="17">
        <f>Github!P$1883</f>
        <v>15690</v>
      </c>
    </row>
    <row r="1885">
      <c r="A1885" s="17">
        <f>Github!J$1884</f>
        <v>1883</v>
      </c>
      <c r="B1885" s="27" t="str">
        <f>HYPERLINK(CONCAT("http://leetcode.com/problems/",Github!C$1884), Github!B$1884)</f>
        <v>Minimum Skips to Arrive at Meeting On Time</v>
      </c>
      <c r="C1885" s="17">
        <f>Github!F$1884</f>
        <v>200</v>
      </c>
      <c r="D1885" s="17">
        <f>Github!G$1884</f>
        <v>39</v>
      </c>
      <c r="E1885" s="17">
        <f>Github!F$1884+Github!G$1884</f>
        <v>239</v>
      </c>
      <c r="F1885" s="18">
        <f t="shared" si="1"/>
        <v>5.13</v>
      </c>
      <c r="G1885" s="17" t="str">
        <f>Github!H$1884</f>
        <v>Algorithms</v>
      </c>
      <c r="H1885" s="17" t="str">
        <f>Github!E$1884</f>
        <v>Hard</v>
      </c>
      <c r="I1885" s="17" t="str">
        <f>IF(TRIM(Github!D$1884)="TRUE","FALSE","TRUE")</f>
        <v>TRUE</v>
      </c>
      <c r="J1885" s="17"/>
      <c r="K1885" s="17" t="str">
        <f>Github!L$1884</f>
        <v>Array;Dynamic Programming;</v>
      </c>
      <c r="L1885" s="17" t="b">
        <f>Github!M$1884</f>
        <v>0</v>
      </c>
      <c r="M1885" s="17" t="str">
        <f>ROUND(Github!N$1884, 2)&amp;"%"</f>
        <v>0%</v>
      </c>
      <c r="N1885" s="17">
        <f>Github!O$1884</f>
        <v>38.67849925</v>
      </c>
      <c r="O1885" s="17">
        <f>Github!P$1884</f>
        <v>4402</v>
      </c>
    </row>
    <row r="1886">
      <c r="A1886" s="17">
        <f>Github!J$1885</f>
        <v>1884</v>
      </c>
      <c r="B1886" s="27" t="str">
        <f>HYPERLINK(CONCAT("http://leetcode.com/problems/",Github!C$1885), Github!B$1885)</f>
        <v>Egg Drop With 2 Eggs and N Floors</v>
      </c>
      <c r="C1886" s="17">
        <f>Github!F$1885</f>
        <v>642</v>
      </c>
      <c r="D1886" s="17">
        <f>Github!G$1885</f>
        <v>56</v>
      </c>
      <c r="E1886" s="17">
        <f>Github!F$1885+Github!G$1885</f>
        <v>698</v>
      </c>
      <c r="F1886" s="18">
        <f t="shared" si="1"/>
        <v>11.46</v>
      </c>
      <c r="G1886" s="17" t="str">
        <f>Github!H$1885</f>
        <v>Algorithms</v>
      </c>
      <c r="H1886" s="17" t="str">
        <f>Github!E$1885</f>
        <v>Medium</v>
      </c>
      <c r="I1886" s="17" t="str">
        <f>IF(TRIM(Github!D$1885)="TRUE","FALSE","TRUE")</f>
        <v>TRUE</v>
      </c>
      <c r="J1886" s="17"/>
      <c r="K1886" s="17" t="str">
        <f>Github!L$1885</f>
        <v>Math;Dynamic Programming;</v>
      </c>
      <c r="L1886" s="17" t="b">
        <f>Github!M$1885</f>
        <v>0</v>
      </c>
      <c r="M1886" s="17" t="str">
        <f>ROUND(Github!N$1885, 2)&amp;"%"</f>
        <v>0%</v>
      </c>
      <c r="N1886" s="17">
        <f>Github!O$1885</f>
        <v>70.14151495</v>
      </c>
      <c r="O1886" s="17">
        <f>Github!P$1885</f>
        <v>17992</v>
      </c>
    </row>
    <row r="1887">
      <c r="A1887" s="17">
        <f>Github!J$1886</f>
        <v>1885</v>
      </c>
      <c r="B1887" s="27" t="str">
        <f>HYPERLINK(CONCAT("http://leetcode.com/problems/",Github!C$1886), Github!B$1886)</f>
        <v>Count Pairs in Two Arrays</v>
      </c>
      <c r="C1887" s="17">
        <f>Github!F$1886</f>
        <v>71</v>
      </c>
      <c r="D1887" s="17">
        <f>Github!G$1886</f>
        <v>4</v>
      </c>
      <c r="E1887" s="17">
        <f>Github!F$1886+Github!G$1886</f>
        <v>75</v>
      </c>
      <c r="F1887" s="18">
        <f t="shared" si="1"/>
        <v>17.75</v>
      </c>
      <c r="G1887" s="17" t="str">
        <f>Github!H$1886</f>
        <v>Algorithms</v>
      </c>
      <c r="H1887" s="17" t="str">
        <f>Github!E$1886</f>
        <v>Medium</v>
      </c>
      <c r="I1887" s="17" t="str">
        <f>IF(TRIM(Github!D$1886)="TRUE","FALSE","TRUE")</f>
        <v>FALSE</v>
      </c>
      <c r="J1887" s="17"/>
      <c r="K1887" s="17" t="str">
        <f>Github!L$1886</f>
        <v>Array;Binary Search;Sorting;</v>
      </c>
      <c r="L1887" s="17" t="b">
        <f>Github!M$1886</f>
        <v>0</v>
      </c>
      <c r="M1887" s="17" t="str">
        <f>ROUND(Github!N$1886, 2)&amp;"%"</f>
        <v>0%</v>
      </c>
      <c r="N1887" s="17">
        <f>Github!O$1886</f>
        <v>57.79552716</v>
      </c>
      <c r="O1887" s="17">
        <f>Github!P$1886</f>
        <v>1809</v>
      </c>
    </row>
    <row r="1888">
      <c r="A1888" s="17">
        <f>Github!J$1887</f>
        <v>1886</v>
      </c>
      <c r="B1888" s="27" t="str">
        <f>HYPERLINK(CONCAT("http://leetcode.com/problems/",Github!C$1887), Github!B$1887)</f>
        <v>Determine Whether Matrix Can Be Obtained By Rotation</v>
      </c>
      <c r="C1888" s="17">
        <f>Github!F$1887</f>
        <v>505</v>
      </c>
      <c r="D1888" s="17">
        <f>Github!G$1887</f>
        <v>46</v>
      </c>
      <c r="E1888" s="17">
        <f>Github!F$1887+Github!G$1887</f>
        <v>551</v>
      </c>
      <c r="F1888" s="18">
        <f t="shared" si="1"/>
        <v>10.98</v>
      </c>
      <c r="G1888" s="17" t="str">
        <f>Github!H$1887</f>
        <v>Algorithms</v>
      </c>
      <c r="H1888" s="17" t="str">
        <f>Github!E$1887</f>
        <v>Easy</v>
      </c>
      <c r="I1888" s="17" t="str">
        <f>IF(TRIM(Github!D$1887)="TRUE","FALSE","TRUE")</f>
        <v>TRUE</v>
      </c>
      <c r="J1888" s="17"/>
      <c r="K1888" s="17" t="str">
        <f>Github!L$1887</f>
        <v>Array;Matrix;</v>
      </c>
      <c r="L1888" s="17" t="b">
        <f>Github!M$1887</f>
        <v>0</v>
      </c>
      <c r="M1888" s="17" t="str">
        <f>ROUND(Github!N$1887, 2)&amp;"%"</f>
        <v>0%</v>
      </c>
      <c r="N1888" s="17">
        <f>Github!O$1887</f>
        <v>54.68677689</v>
      </c>
      <c r="O1888" s="17">
        <f>Github!P$1887</f>
        <v>25995</v>
      </c>
    </row>
    <row r="1889">
      <c r="A1889" s="17">
        <f>Github!J$1888</f>
        <v>1887</v>
      </c>
      <c r="B1889" s="27" t="str">
        <f>HYPERLINK(CONCAT("http://leetcode.com/problems/",Github!C$1888), Github!B$1888)</f>
        <v>Reduction Operations to Make the Array Elements Equal</v>
      </c>
      <c r="C1889" s="17">
        <f>Github!F$1888</f>
        <v>316</v>
      </c>
      <c r="D1889" s="17">
        <f>Github!G$1888</f>
        <v>11</v>
      </c>
      <c r="E1889" s="17">
        <f>Github!F$1888+Github!G$1888</f>
        <v>327</v>
      </c>
      <c r="F1889" s="18">
        <f t="shared" si="1"/>
        <v>28.73</v>
      </c>
      <c r="G1889" s="17" t="str">
        <f>Github!H$1888</f>
        <v>Algorithms</v>
      </c>
      <c r="H1889" s="17" t="str">
        <f>Github!E$1888</f>
        <v>Medium</v>
      </c>
      <c r="I1889" s="17" t="str">
        <f>IF(TRIM(Github!D$1888)="TRUE","FALSE","TRUE")</f>
        <v>TRUE</v>
      </c>
      <c r="J1889" s="17"/>
      <c r="K1889" s="17" t="str">
        <f>Github!L$1888</f>
        <v>Array;Sorting;</v>
      </c>
      <c r="L1889" s="17" t="b">
        <f>Github!M$1888</f>
        <v>0</v>
      </c>
      <c r="M1889" s="17" t="str">
        <f>ROUND(Github!N$1888, 2)&amp;"%"</f>
        <v>0%</v>
      </c>
      <c r="N1889" s="17">
        <f>Github!O$1888</f>
        <v>61.37825421</v>
      </c>
      <c r="O1889" s="17">
        <f>Github!P$1888</f>
        <v>16032</v>
      </c>
    </row>
    <row r="1890">
      <c r="A1890" s="17">
        <f>Github!J$1889</f>
        <v>1888</v>
      </c>
      <c r="B1890" s="27" t="str">
        <f>HYPERLINK(CONCAT("http://leetcode.com/problems/",Github!C$1889), Github!B$1889)</f>
        <v>Minimum Number of Flips to Make the Binary String Alternating</v>
      </c>
      <c r="C1890" s="17">
        <f>Github!F$1889</f>
        <v>597</v>
      </c>
      <c r="D1890" s="17">
        <f>Github!G$1889</f>
        <v>18</v>
      </c>
      <c r="E1890" s="17">
        <f>Github!F$1889+Github!G$1889</f>
        <v>615</v>
      </c>
      <c r="F1890" s="18">
        <f t="shared" si="1"/>
        <v>33.17</v>
      </c>
      <c r="G1890" s="17" t="str">
        <f>Github!H$1889</f>
        <v>Algorithms</v>
      </c>
      <c r="H1890" s="17" t="str">
        <f>Github!E$1889</f>
        <v>Medium</v>
      </c>
      <c r="I1890" s="17" t="str">
        <f>IF(TRIM(Github!D$1889)="TRUE","FALSE","TRUE")</f>
        <v>TRUE</v>
      </c>
      <c r="J1890" s="17"/>
      <c r="K1890" s="17" t="str">
        <f>Github!L$1889</f>
        <v>String;Greedy;</v>
      </c>
      <c r="L1890" s="17" t="b">
        <f>Github!M$1889</f>
        <v>0</v>
      </c>
      <c r="M1890" s="17" t="str">
        <f>ROUND(Github!N$1889, 2)&amp;"%"</f>
        <v>0%</v>
      </c>
      <c r="N1890" s="17">
        <f>Github!O$1889</f>
        <v>36.69306221</v>
      </c>
      <c r="O1890" s="17">
        <f>Github!P$1889</f>
        <v>11258</v>
      </c>
    </row>
    <row r="1891">
      <c r="A1891" s="17">
        <f>Github!J$1890</f>
        <v>1889</v>
      </c>
      <c r="B1891" s="27" t="str">
        <f>HYPERLINK(CONCAT("http://leetcode.com/problems/",Github!C$1890), Github!B$1890)</f>
        <v>Minimum Space Wasted From Packaging</v>
      </c>
      <c r="C1891" s="17">
        <f>Github!F$1890</f>
        <v>234</v>
      </c>
      <c r="D1891" s="17">
        <f>Github!G$1890</f>
        <v>27</v>
      </c>
      <c r="E1891" s="17">
        <f>Github!F$1890+Github!G$1890</f>
        <v>261</v>
      </c>
      <c r="F1891" s="18">
        <f t="shared" si="1"/>
        <v>8.67</v>
      </c>
      <c r="G1891" s="17" t="str">
        <f>Github!H$1890</f>
        <v>Algorithms</v>
      </c>
      <c r="H1891" s="17" t="str">
        <f>Github!E$1890</f>
        <v>Hard</v>
      </c>
      <c r="I1891" s="17" t="str">
        <f>IF(TRIM(Github!D$1890)="TRUE","FALSE","TRUE")</f>
        <v>TRUE</v>
      </c>
      <c r="J1891" s="17"/>
      <c r="K1891" s="17" t="str">
        <f>Github!L$1890</f>
        <v>Array;Binary Search;Sorting;Prefix Sum;</v>
      </c>
      <c r="L1891" s="17" t="b">
        <f>Github!M$1890</f>
        <v>0</v>
      </c>
      <c r="M1891" s="17" t="str">
        <f>ROUND(Github!N$1890, 2)&amp;"%"</f>
        <v>0%</v>
      </c>
      <c r="N1891" s="17">
        <f>Github!O$1890</f>
        <v>29.92065107</v>
      </c>
      <c r="O1891" s="17">
        <f>Github!P$1890</f>
        <v>7353</v>
      </c>
    </row>
    <row r="1892">
      <c r="A1892" s="17">
        <f>Github!J$1891</f>
        <v>1890</v>
      </c>
      <c r="B1892" s="27" t="str">
        <f>HYPERLINK(CONCAT("http://leetcode.com/problems/",Github!C$1891), Github!B$1891)</f>
        <v>The Latest Login in 2020</v>
      </c>
      <c r="C1892" s="17">
        <f>Github!F$1891</f>
        <v>31</v>
      </c>
      <c r="D1892" s="17">
        <f>Github!G$1891</f>
        <v>0</v>
      </c>
      <c r="E1892" s="17">
        <f>Github!F$1891+Github!G$1891</f>
        <v>31</v>
      </c>
      <c r="F1892" s="18">
        <f t="shared" si="1"/>
        <v>31</v>
      </c>
      <c r="G1892" s="17" t="str">
        <f>Github!H$1891</f>
        <v>Database</v>
      </c>
      <c r="H1892" s="17" t="str">
        <f>Github!E$1891</f>
        <v>Easy</v>
      </c>
      <c r="I1892" s="17" t="str">
        <f>IF(TRIM(Github!D$1891)="TRUE","FALSE","TRUE")</f>
        <v>FALSE</v>
      </c>
      <c r="J1892" s="17"/>
      <c r="K1892" s="17" t="str">
        <f>Github!L$1891</f>
        <v>Database;</v>
      </c>
      <c r="L1892" s="17" t="b">
        <f>Github!M$1891</f>
        <v>0</v>
      </c>
      <c r="M1892" s="17" t="str">
        <f>ROUND(Github!N$1891, 2)&amp;"%"</f>
        <v>0%</v>
      </c>
      <c r="N1892" s="17">
        <f>Github!O$1891</f>
        <v>83.92067533</v>
      </c>
      <c r="O1892" s="17">
        <f>Github!P$1891</f>
        <v>6263</v>
      </c>
    </row>
    <row r="1893">
      <c r="A1893" s="17">
        <f>Github!J$1892</f>
        <v>1891</v>
      </c>
      <c r="B1893" s="27" t="str">
        <f>HYPERLINK(CONCAT("http://leetcode.com/problems/",Github!C$1892), Github!B$1892)</f>
        <v>Cutting Ribbons</v>
      </c>
      <c r="C1893" s="17">
        <f>Github!F$1892</f>
        <v>310</v>
      </c>
      <c r="D1893" s="17">
        <f>Github!G$1892</f>
        <v>17</v>
      </c>
      <c r="E1893" s="17">
        <f>Github!F$1892+Github!G$1892</f>
        <v>327</v>
      </c>
      <c r="F1893" s="18">
        <f t="shared" si="1"/>
        <v>18.24</v>
      </c>
      <c r="G1893" s="17" t="str">
        <f>Github!H$1892</f>
        <v>Algorithms</v>
      </c>
      <c r="H1893" s="17" t="str">
        <f>Github!E$1892</f>
        <v>Medium</v>
      </c>
      <c r="I1893" s="17" t="str">
        <f>IF(TRIM(Github!D$1892)="TRUE","FALSE","TRUE")</f>
        <v>FALSE</v>
      </c>
      <c r="J1893" s="17"/>
      <c r="K1893" s="17" t="str">
        <f>Github!L$1892</f>
        <v>Array;Binary Search;</v>
      </c>
      <c r="L1893" s="17" t="b">
        <f>Github!M$1892</f>
        <v>0</v>
      </c>
      <c r="M1893" s="17" t="str">
        <f>ROUND(Github!N$1892, 2)&amp;"%"</f>
        <v>0%</v>
      </c>
      <c r="N1893" s="17">
        <f>Github!O$1892</f>
        <v>48.45450728</v>
      </c>
      <c r="O1893" s="17">
        <f>Github!P$1892</f>
        <v>30004</v>
      </c>
    </row>
    <row r="1894">
      <c r="A1894" s="17">
        <f>Github!J$1893</f>
        <v>1892</v>
      </c>
      <c r="B1894" s="27" t="str">
        <f>HYPERLINK(CONCAT("http://leetcode.com/problems/",Github!C$1893), Github!B$1893)</f>
        <v>Page Recommendations II</v>
      </c>
      <c r="C1894" s="17">
        <f>Github!F$1893</f>
        <v>47</v>
      </c>
      <c r="D1894" s="17">
        <f>Github!G$1893</f>
        <v>11</v>
      </c>
      <c r="E1894" s="17">
        <f>Github!F$1893+Github!G$1893</f>
        <v>58</v>
      </c>
      <c r="F1894" s="18">
        <f t="shared" si="1"/>
        <v>4.27</v>
      </c>
      <c r="G1894" s="17" t="str">
        <f>Github!H$1893</f>
        <v>Database</v>
      </c>
      <c r="H1894" s="17" t="str">
        <f>Github!E$1893</f>
        <v>Hard</v>
      </c>
      <c r="I1894" s="17" t="str">
        <f>IF(TRIM(Github!D$1893)="TRUE","FALSE","TRUE")</f>
        <v>FALSE</v>
      </c>
      <c r="J1894" s="17"/>
      <c r="K1894" s="17" t="str">
        <f>Github!L$1893</f>
        <v>Database;</v>
      </c>
      <c r="L1894" s="17" t="b">
        <f>Github!M$1893</f>
        <v>0</v>
      </c>
      <c r="M1894" s="17" t="str">
        <f>ROUND(Github!N$1893, 2)&amp;"%"</f>
        <v>0%</v>
      </c>
      <c r="N1894" s="17">
        <f>Github!O$1893</f>
        <v>43.99126995</v>
      </c>
      <c r="O1894" s="17">
        <f>Github!P$1893</f>
        <v>3225</v>
      </c>
    </row>
    <row r="1895">
      <c r="A1895" s="17">
        <f>Github!J$1894</f>
        <v>1893</v>
      </c>
      <c r="B1895" s="27" t="str">
        <f>HYPERLINK(CONCAT("http://leetcode.com/problems/",Github!C$1894), Github!B$1894)</f>
        <v>Check if All the Integers in a Range Are Covered</v>
      </c>
      <c r="C1895" s="17">
        <f>Github!F$1894</f>
        <v>240</v>
      </c>
      <c r="D1895" s="17">
        <f>Github!G$1894</f>
        <v>51</v>
      </c>
      <c r="E1895" s="17">
        <f>Github!F$1894+Github!G$1894</f>
        <v>291</v>
      </c>
      <c r="F1895" s="18">
        <f t="shared" si="1"/>
        <v>4.71</v>
      </c>
      <c r="G1895" s="17" t="str">
        <f>Github!H$1894</f>
        <v>Algorithms</v>
      </c>
      <c r="H1895" s="17" t="str">
        <f>Github!E$1894</f>
        <v>Easy</v>
      </c>
      <c r="I1895" s="17" t="str">
        <f>IF(TRIM(Github!D$1894)="TRUE","FALSE","TRUE")</f>
        <v>TRUE</v>
      </c>
      <c r="J1895" s="17"/>
      <c r="K1895" s="17" t="str">
        <f>Github!L$1894</f>
        <v>Array;Hash Table;Prefix Sum;</v>
      </c>
      <c r="L1895" s="17" t="b">
        <f>Github!M$1894</f>
        <v>0</v>
      </c>
      <c r="M1895" s="17" t="str">
        <f>ROUND(Github!N$1894, 2)&amp;"%"</f>
        <v>0%</v>
      </c>
      <c r="N1895" s="17">
        <f>Github!O$1894</f>
        <v>50.82178703</v>
      </c>
      <c r="O1895" s="17">
        <f>Github!P$1894</f>
        <v>19697</v>
      </c>
    </row>
    <row r="1896">
      <c r="A1896" s="17">
        <f>Github!J$1895</f>
        <v>1894</v>
      </c>
      <c r="B1896" s="27" t="str">
        <f>HYPERLINK(CONCAT("http://leetcode.com/problems/",Github!C$1895), Github!B$1895)</f>
        <v>Find the Student that Will Replace the Chalk</v>
      </c>
      <c r="C1896" s="17">
        <f>Github!F$1895</f>
        <v>204</v>
      </c>
      <c r="D1896" s="17">
        <f>Github!G$1895</f>
        <v>34</v>
      </c>
      <c r="E1896" s="17">
        <f>Github!F$1895+Github!G$1895</f>
        <v>238</v>
      </c>
      <c r="F1896" s="18">
        <f t="shared" si="1"/>
        <v>6</v>
      </c>
      <c r="G1896" s="17" t="str">
        <f>Github!H$1895</f>
        <v>Algorithms</v>
      </c>
      <c r="H1896" s="17" t="str">
        <f>Github!E$1895</f>
        <v>Medium</v>
      </c>
      <c r="I1896" s="17" t="str">
        <f>IF(TRIM(Github!D$1895)="TRUE","FALSE","TRUE")</f>
        <v>TRUE</v>
      </c>
      <c r="J1896" s="17"/>
      <c r="K1896" s="17" t="str">
        <f>Github!L$1895</f>
        <v>Array;Binary Search;Simulation;Prefix Sum;</v>
      </c>
      <c r="L1896" s="17" t="b">
        <f>Github!M$1895</f>
        <v>0</v>
      </c>
      <c r="M1896" s="17" t="str">
        <f>ROUND(Github!N$1895, 2)&amp;"%"</f>
        <v>0%</v>
      </c>
      <c r="N1896" s="17">
        <f>Github!O$1895</f>
        <v>40.46098158</v>
      </c>
      <c r="O1896" s="17">
        <f>Github!P$1895</f>
        <v>15202</v>
      </c>
    </row>
    <row r="1897">
      <c r="A1897" s="17">
        <f>Github!J$1896</f>
        <v>1895</v>
      </c>
      <c r="B1897" s="27" t="str">
        <f>HYPERLINK(CONCAT("http://leetcode.com/problems/",Github!C$1896), Github!B$1896)</f>
        <v>Largest Magic Square</v>
      </c>
      <c r="C1897" s="17">
        <f>Github!F$1896</f>
        <v>176</v>
      </c>
      <c r="D1897" s="17">
        <f>Github!G$1896</f>
        <v>195</v>
      </c>
      <c r="E1897" s="17">
        <f>Github!F$1896+Github!G$1896</f>
        <v>371</v>
      </c>
      <c r="F1897" s="18">
        <f t="shared" si="1"/>
        <v>0.9</v>
      </c>
      <c r="G1897" s="17" t="str">
        <f>Github!H$1896</f>
        <v>Algorithms</v>
      </c>
      <c r="H1897" s="17" t="str">
        <f>Github!E$1896</f>
        <v>Medium</v>
      </c>
      <c r="I1897" s="17" t="str">
        <f>IF(TRIM(Github!D$1896)="TRUE","FALSE","TRUE")</f>
        <v>TRUE</v>
      </c>
      <c r="J1897" s="17"/>
      <c r="K1897" s="17" t="str">
        <f>Github!L$1896</f>
        <v>Array;Matrix;Prefix Sum;</v>
      </c>
      <c r="L1897" s="17" t="b">
        <f>Github!M$1896</f>
        <v>0</v>
      </c>
      <c r="M1897" s="17" t="str">
        <f>ROUND(Github!N$1896, 2)&amp;"%"</f>
        <v>0%</v>
      </c>
      <c r="N1897" s="17">
        <f>Github!O$1896</f>
        <v>51.12148871</v>
      </c>
      <c r="O1897" s="17">
        <f>Github!P$1896</f>
        <v>7224</v>
      </c>
    </row>
    <row r="1898">
      <c r="A1898" s="17">
        <f>Github!J$1897</f>
        <v>1896</v>
      </c>
      <c r="B1898" s="27" t="str">
        <f>HYPERLINK(CONCAT("http://leetcode.com/problems/",Github!C$1897), Github!B$1897)</f>
        <v>Minimum Cost to Change the Final Value of Expression</v>
      </c>
      <c r="C1898" s="17">
        <f>Github!F$1897</f>
        <v>149</v>
      </c>
      <c r="D1898" s="17">
        <f>Github!G$1897</f>
        <v>33</v>
      </c>
      <c r="E1898" s="17">
        <f>Github!F$1897+Github!G$1897</f>
        <v>182</v>
      </c>
      <c r="F1898" s="18">
        <f t="shared" si="1"/>
        <v>4.52</v>
      </c>
      <c r="G1898" s="17" t="str">
        <f>Github!H$1897</f>
        <v>Algorithms</v>
      </c>
      <c r="H1898" s="17" t="str">
        <f>Github!E$1897</f>
        <v>Hard</v>
      </c>
      <c r="I1898" s="17" t="str">
        <f>IF(TRIM(Github!D$1897)="TRUE","FALSE","TRUE")</f>
        <v>TRUE</v>
      </c>
      <c r="J1898" s="17"/>
      <c r="K1898" s="17" t="str">
        <f>Github!L$1897</f>
        <v>Math;String;Dynamic Programming;Stack;</v>
      </c>
      <c r="L1898" s="17" t="b">
        <f>Github!M$1897</f>
        <v>0</v>
      </c>
      <c r="M1898" s="17" t="str">
        <f>ROUND(Github!N$1897, 2)&amp;"%"</f>
        <v>0%</v>
      </c>
      <c r="N1898" s="17">
        <f>Github!O$1897</f>
        <v>53.33480079</v>
      </c>
      <c r="O1898" s="17">
        <f>Github!P$1897</f>
        <v>2423</v>
      </c>
    </row>
    <row r="1899">
      <c r="A1899" s="17">
        <f>Github!J$1898</f>
        <v>1897</v>
      </c>
      <c r="B1899" s="27" t="str">
        <f>HYPERLINK(CONCAT("http://leetcode.com/problems/",Github!C$1898), Github!B$1898)</f>
        <v>Redistribute Characters to Make All Strings Equal</v>
      </c>
      <c r="C1899" s="17">
        <f>Github!F$1898</f>
        <v>244</v>
      </c>
      <c r="D1899" s="17">
        <f>Github!G$1898</f>
        <v>31</v>
      </c>
      <c r="E1899" s="17">
        <f>Github!F$1898+Github!G$1898</f>
        <v>275</v>
      </c>
      <c r="F1899" s="18">
        <f t="shared" si="1"/>
        <v>7.87</v>
      </c>
      <c r="G1899" s="17" t="str">
        <f>Github!H$1898</f>
        <v>Algorithms</v>
      </c>
      <c r="H1899" s="17" t="str">
        <f>Github!E$1898</f>
        <v>Easy</v>
      </c>
      <c r="I1899" s="17" t="str">
        <f>IF(TRIM(Github!D$1898)="TRUE","FALSE","TRUE")</f>
        <v>TRUE</v>
      </c>
      <c r="J1899" s="17"/>
      <c r="K1899" s="17" t="str">
        <f>Github!L$1898</f>
        <v>Hash Table;String;Counting;</v>
      </c>
      <c r="L1899" s="17" t="b">
        <f>Github!M$1898</f>
        <v>0</v>
      </c>
      <c r="M1899" s="17" t="str">
        <f>ROUND(Github!N$1898, 2)&amp;"%"</f>
        <v>0%</v>
      </c>
      <c r="N1899" s="17">
        <f>Github!O$1898</f>
        <v>60.00230136</v>
      </c>
      <c r="O1899" s="17">
        <f>Github!P$1898</f>
        <v>20858</v>
      </c>
    </row>
    <row r="1900">
      <c r="A1900" s="17">
        <f>Github!J$1899</f>
        <v>1898</v>
      </c>
      <c r="B1900" s="27" t="str">
        <f>HYPERLINK(CONCAT("http://leetcode.com/problems/",Github!C$1899), Github!B$1899)</f>
        <v>Maximum Number of Removable Characters</v>
      </c>
      <c r="C1900" s="17">
        <f>Github!F$1899</f>
        <v>504</v>
      </c>
      <c r="D1900" s="17">
        <f>Github!G$1899</f>
        <v>61</v>
      </c>
      <c r="E1900" s="17">
        <f>Github!F$1899+Github!G$1899</f>
        <v>565</v>
      </c>
      <c r="F1900" s="18">
        <f t="shared" si="1"/>
        <v>8.26</v>
      </c>
      <c r="G1900" s="17" t="str">
        <f>Github!H$1899</f>
        <v>Algorithms</v>
      </c>
      <c r="H1900" s="17" t="str">
        <f>Github!E$1899</f>
        <v>Medium</v>
      </c>
      <c r="I1900" s="17" t="str">
        <f>IF(TRIM(Github!D$1899)="TRUE","FALSE","TRUE")</f>
        <v>TRUE</v>
      </c>
      <c r="J1900" s="17"/>
      <c r="K1900" s="17" t="str">
        <f>Github!L$1899</f>
        <v>Array;String;Binary Search;</v>
      </c>
      <c r="L1900" s="17" t="b">
        <f>Github!M$1899</f>
        <v>0</v>
      </c>
      <c r="M1900" s="17" t="str">
        <f>ROUND(Github!N$1899, 2)&amp;"%"</f>
        <v>0%</v>
      </c>
      <c r="N1900" s="17">
        <f>Github!O$1899</f>
        <v>35.14356866</v>
      </c>
      <c r="O1900" s="17">
        <f>Github!P$1899</f>
        <v>11713</v>
      </c>
    </row>
    <row r="1901">
      <c r="A1901" s="17">
        <f>Github!J$1900</f>
        <v>1899</v>
      </c>
      <c r="B1901" s="27" t="str">
        <f>HYPERLINK(CONCAT("http://leetcode.com/problems/",Github!C$1900), Github!B$1900)</f>
        <v>Merge Triplets to Form Target Triplet</v>
      </c>
      <c r="C1901" s="17">
        <f>Github!F$1900</f>
        <v>274</v>
      </c>
      <c r="D1901" s="17">
        <f>Github!G$1900</f>
        <v>23</v>
      </c>
      <c r="E1901" s="17">
        <f>Github!F$1900+Github!G$1900</f>
        <v>297</v>
      </c>
      <c r="F1901" s="18">
        <f t="shared" si="1"/>
        <v>11.91</v>
      </c>
      <c r="G1901" s="17" t="str">
        <f>Github!H$1900</f>
        <v>Algorithms</v>
      </c>
      <c r="H1901" s="17" t="str">
        <f>Github!E$1900</f>
        <v>Medium</v>
      </c>
      <c r="I1901" s="17" t="str">
        <f>IF(TRIM(Github!D$1900)="TRUE","FALSE","TRUE")</f>
        <v>TRUE</v>
      </c>
      <c r="J1901" s="17"/>
      <c r="K1901" s="17" t="str">
        <f>Github!L$1900</f>
        <v>Array;Greedy;</v>
      </c>
      <c r="L1901" s="17" t="b">
        <f>Github!M$1900</f>
        <v>0</v>
      </c>
      <c r="M1901" s="17" t="str">
        <f>ROUND(Github!N$1900, 2)&amp;"%"</f>
        <v>0%</v>
      </c>
      <c r="N1901" s="17">
        <f>Github!O$1900</f>
        <v>60.83610451</v>
      </c>
      <c r="O1901" s="17">
        <f>Github!P$1900</f>
        <v>12806</v>
      </c>
    </row>
    <row r="1902">
      <c r="A1902" s="17">
        <f>Github!J$1901</f>
        <v>1900</v>
      </c>
      <c r="B1902" s="27" t="str">
        <f>HYPERLINK(CONCAT("http://leetcode.com/problems/",Github!C$1901), Github!B$1901)</f>
        <v>The Earliest and Latest Rounds Where Players Compete</v>
      </c>
      <c r="C1902" s="17">
        <f>Github!F$1901</f>
        <v>157</v>
      </c>
      <c r="D1902" s="17">
        <f>Github!G$1901</f>
        <v>13</v>
      </c>
      <c r="E1902" s="17">
        <f>Github!F$1901+Github!G$1901</f>
        <v>170</v>
      </c>
      <c r="F1902" s="18">
        <f t="shared" si="1"/>
        <v>12.08</v>
      </c>
      <c r="G1902" s="17" t="str">
        <f>Github!H$1901</f>
        <v>Algorithms</v>
      </c>
      <c r="H1902" s="17" t="str">
        <f>Github!E$1901</f>
        <v>Hard</v>
      </c>
      <c r="I1902" s="17" t="str">
        <f>IF(TRIM(Github!D$1901)="TRUE","FALSE","TRUE")</f>
        <v>TRUE</v>
      </c>
      <c r="J1902" s="17"/>
      <c r="K1902" s="17" t="str">
        <f>Github!L$1901</f>
        <v>Dynamic Programming;Memoization;</v>
      </c>
      <c r="L1902" s="17" t="b">
        <f>Github!M$1901</f>
        <v>0</v>
      </c>
      <c r="M1902" s="17" t="str">
        <f>ROUND(Github!N$1901, 2)&amp;"%"</f>
        <v>0%</v>
      </c>
      <c r="N1902" s="17">
        <f>Github!O$1901</f>
        <v>51.38566553</v>
      </c>
      <c r="O1902" s="17">
        <f>Github!P$1901</f>
        <v>3764</v>
      </c>
    </row>
    <row r="1903">
      <c r="A1903" s="17">
        <f>Github!J$1902</f>
        <v>1901</v>
      </c>
      <c r="B1903" s="27" t="str">
        <f>HYPERLINK(CONCAT("http://leetcode.com/problems/",Github!C$1902), Github!B$1902)</f>
        <v>Find a Peak Element II</v>
      </c>
      <c r="C1903" s="17">
        <f>Github!F$1902</f>
        <v>612</v>
      </c>
      <c r="D1903" s="17">
        <f>Github!G$1902</f>
        <v>48</v>
      </c>
      <c r="E1903" s="17">
        <f>Github!F$1902+Github!G$1902</f>
        <v>660</v>
      </c>
      <c r="F1903" s="18">
        <f t="shared" si="1"/>
        <v>12.75</v>
      </c>
      <c r="G1903" s="17" t="str">
        <f>Github!H$1902</f>
        <v>Algorithms</v>
      </c>
      <c r="H1903" s="17" t="str">
        <f>Github!E$1902</f>
        <v>Medium</v>
      </c>
      <c r="I1903" s="17" t="str">
        <f>IF(TRIM(Github!D$1902)="TRUE","FALSE","TRUE")</f>
        <v>TRUE</v>
      </c>
      <c r="J1903" s="17"/>
      <c r="K1903" s="17" t="str">
        <f>Github!L$1902</f>
        <v>Array;Binary Search;Divide and Conquer;Matrix;</v>
      </c>
      <c r="L1903" s="17" t="b">
        <f>Github!M$1902</f>
        <v>0</v>
      </c>
      <c r="M1903" s="17" t="str">
        <f>ROUND(Github!N$1902, 2)&amp;"%"</f>
        <v>0%</v>
      </c>
      <c r="N1903" s="17">
        <f>Github!O$1902</f>
        <v>53.56649339</v>
      </c>
      <c r="O1903" s="17">
        <f>Github!P$1902</f>
        <v>16279</v>
      </c>
    </row>
    <row r="1904">
      <c r="A1904" s="17">
        <f>Github!J$1903</f>
        <v>1902</v>
      </c>
      <c r="B1904" s="27" t="str">
        <f>HYPERLINK(CONCAT("http://leetcode.com/problems/",Github!C$1903), Github!B$1903)</f>
        <v>Depth of BST Given Insertion Order</v>
      </c>
      <c r="C1904" s="17">
        <f>Github!F$1903</f>
        <v>57</v>
      </c>
      <c r="D1904" s="17">
        <f>Github!G$1903</f>
        <v>5</v>
      </c>
      <c r="E1904" s="17">
        <f>Github!F$1903+Github!G$1903</f>
        <v>62</v>
      </c>
      <c r="F1904" s="18">
        <f t="shared" si="1"/>
        <v>11.4</v>
      </c>
      <c r="G1904" s="17" t="str">
        <f>Github!H$1903</f>
        <v>Algorithms</v>
      </c>
      <c r="H1904" s="17" t="str">
        <f>Github!E$1903</f>
        <v>Medium</v>
      </c>
      <c r="I1904" s="17" t="str">
        <f>IF(TRIM(Github!D$1903)="TRUE","FALSE","TRUE")</f>
        <v>FALSE</v>
      </c>
      <c r="J1904" s="17"/>
      <c r="K1904" s="17" t="str">
        <f>Github!L$1903</f>
        <v>Tree;Binary Search Tree;Binary Tree;Ordered Set;</v>
      </c>
      <c r="L1904" s="17" t="b">
        <f>Github!M$1903</f>
        <v>0</v>
      </c>
      <c r="M1904" s="17" t="str">
        <f>ROUND(Github!N$1903, 2)&amp;"%"</f>
        <v>0%</v>
      </c>
      <c r="N1904" s="17">
        <f>Github!O$1903</f>
        <v>46.55929722</v>
      </c>
      <c r="O1904" s="17">
        <f>Github!P$1903</f>
        <v>1272</v>
      </c>
    </row>
    <row r="1905">
      <c r="A1905" s="17">
        <f>Github!J$1904</f>
        <v>1903</v>
      </c>
      <c r="B1905" s="27" t="str">
        <f>HYPERLINK(CONCAT("http://leetcode.com/problems/",Github!C$1904), Github!B$1904)</f>
        <v>Largest Odd Number in String</v>
      </c>
      <c r="C1905" s="17">
        <f>Github!F$1904</f>
        <v>332</v>
      </c>
      <c r="D1905" s="17">
        <f>Github!G$1904</f>
        <v>26</v>
      </c>
      <c r="E1905" s="17">
        <f>Github!F$1904+Github!G$1904</f>
        <v>358</v>
      </c>
      <c r="F1905" s="18">
        <f t="shared" si="1"/>
        <v>12.77</v>
      </c>
      <c r="G1905" s="17" t="str">
        <f>Github!H$1904</f>
        <v>Algorithms</v>
      </c>
      <c r="H1905" s="17" t="str">
        <f>Github!E$1904</f>
        <v>Easy</v>
      </c>
      <c r="I1905" s="17" t="str">
        <f>IF(TRIM(Github!D$1904)="TRUE","FALSE","TRUE")</f>
        <v>TRUE</v>
      </c>
      <c r="J1905" s="17"/>
      <c r="K1905" s="17" t="str">
        <f>Github!L$1904</f>
        <v>Math;String;Greedy;</v>
      </c>
      <c r="L1905" s="17" t="b">
        <f>Github!M$1904</f>
        <v>0</v>
      </c>
      <c r="M1905" s="17" t="str">
        <f>ROUND(Github!N$1904, 2)&amp;"%"</f>
        <v>0%</v>
      </c>
      <c r="N1905" s="17">
        <f>Github!O$1904</f>
        <v>56.98034567</v>
      </c>
      <c r="O1905" s="17">
        <f>Github!P$1904</f>
        <v>29802</v>
      </c>
    </row>
    <row r="1906">
      <c r="A1906" s="17">
        <f>Github!J$1905</f>
        <v>1904</v>
      </c>
      <c r="B1906" s="27" t="str">
        <f>HYPERLINK(CONCAT("http://leetcode.com/problems/",Github!C$1905), Github!B$1905)</f>
        <v>The Number of Full Rounds You Have Played</v>
      </c>
      <c r="C1906" s="17">
        <f>Github!F$1905</f>
        <v>144</v>
      </c>
      <c r="D1906" s="17">
        <f>Github!G$1905</f>
        <v>201</v>
      </c>
      <c r="E1906" s="17">
        <f>Github!F$1905+Github!G$1905</f>
        <v>345</v>
      </c>
      <c r="F1906" s="18">
        <f t="shared" si="1"/>
        <v>0.72</v>
      </c>
      <c r="G1906" s="17" t="str">
        <f>Github!H$1905</f>
        <v>Algorithms</v>
      </c>
      <c r="H1906" s="17" t="str">
        <f>Github!E$1905</f>
        <v>Medium</v>
      </c>
      <c r="I1906" s="17" t="str">
        <f>IF(TRIM(Github!D$1905)="TRUE","FALSE","TRUE")</f>
        <v>TRUE</v>
      </c>
      <c r="J1906" s="17"/>
      <c r="K1906" s="17" t="str">
        <f>Github!L$1905</f>
        <v>Math;String;</v>
      </c>
      <c r="L1906" s="17" t="b">
        <f>Github!M$1905</f>
        <v>0</v>
      </c>
      <c r="M1906" s="17" t="str">
        <f>ROUND(Github!N$1905, 2)&amp;"%"</f>
        <v>0%</v>
      </c>
      <c r="N1906" s="17">
        <f>Github!O$1905</f>
        <v>47.39063463</v>
      </c>
      <c r="O1906" s="17">
        <f>Github!P$1905</f>
        <v>15383</v>
      </c>
    </row>
    <row r="1907">
      <c r="A1907" s="17">
        <f>Github!J$1906</f>
        <v>1905</v>
      </c>
      <c r="B1907" s="27" t="str">
        <f>HYPERLINK(CONCAT("http://leetcode.com/problems/",Github!C$1906), Github!B$1906)</f>
        <v>Count Sub Islands</v>
      </c>
      <c r="C1907" s="17">
        <f>Github!F$1906</f>
        <v>742</v>
      </c>
      <c r="D1907" s="17">
        <f>Github!G$1906</f>
        <v>25</v>
      </c>
      <c r="E1907" s="17">
        <f>Github!F$1906+Github!G$1906</f>
        <v>767</v>
      </c>
      <c r="F1907" s="18">
        <f t="shared" si="1"/>
        <v>29.68</v>
      </c>
      <c r="G1907" s="17" t="str">
        <f>Github!H$1906</f>
        <v>Algorithms</v>
      </c>
      <c r="H1907" s="17" t="str">
        <f>Github!E$1906</f>
        <v>Medium</v>
      </c>
      <c r="I1907" s="17" t="str">
        <f>IF(TRIM(Github!D$1906)="TRUE","FALSE","TRUE")</f>
        <v>TRUE</v>
      </c>
      <c r="J1907" s="17"/>
      <c r="K1907" s="17" t="str">
        <f>Github!L$1906</f>
        <v>Array;Depth-First Search;Breadth-First Search;Union Find;Matrix;</v>
      </c>
      <c r="L1907" s="17" t="b">
        <f>Github!M$1906</f>
        <v>0</v>
      </c>
      <c r="M1907" s="17" t="str">
        <f>ROUND(Github!N$1906, 2)&amp;"%"</f>
        <v>0%</v>
      </c>
      <c r="N1907" s="17">
        <f>Github!O$1906</f>
        <v>64.24644801</v>
      </c>
      <c r="O1907" s="17">
        <f>Github!P$1906</f>
        <v>24192</v>
      </c>
    </row>
    <row r="1908">
      <c r="A1908" s="17">
        <f>Github!J$1907</f>
        <v>1906</v>
      </c>
      <c r="B1908" s="27" t="str">
        <f>HYPERLINK(CONCAT("http://leetcode.com/problems/",Github!C$1907), Github!B$1907)</f>
        <v>Minimum Absolute Difference Queries</v>
      </c>
      <c r="C1908" s="17">
        <f>Github!F$1907</f>
        <v>346</v>
      </c>
      <c r="D1908" s="17">
        <f>Github!G$1907</f>
        <v>28</v>
      </c>
      <c r="E1908" s="17">
        <f>Github!F$1907+Github!G$1907</f>
        <v>374</v>
      </c>
      <c r="F1908" s="18">
        <f t="shared" si="1"/>
        <v>12.36</v>
      </c>
      <c r="G1908" s="17" t="str">
        <f>Github!H$1907</f>
        <v>Algorithms</v>
      </c>
      <c r="H1908" s="17" t="str">
        <f>Github!E$1907</f>
        <v>Medium</v>
      </c>
      <c r="I1908" s="17" t="str">
        <f>IF(TRIM(Github!D$1907)="TRUE","FALSE","TRUE")</f>
        <v>TRUE</v>
      </c>
      <c r="J1908" s="17"/>
      <c r="K1908" s="17" t="str">
        <f>Github!L$1907</f>
        <v>Array;Hash Table;</v>
      </c>
      <c r="L1908" s="17" t="b">
        <f>Github!M$1907</f>
        <v>0</v>
      </c>
      <c r="M1908" s="17" t="str">
        <f>ROUND(Github!N$1907, 2)&amp;"%"</f>
        <v>0%</v>
      </c>
      <c r="N1908" s="17">
        <f>Github!O$1907</f>
        <v>42.72469588</v>
      </c>
      <c r="O1908" s="17">
        <f>Github!P$1907</f>
        <v>7235</v>
      </c>
    </row>
    <row r="1909">
      <c r="A1909" s="17">
        <f>Github!J$1908</f>
        <v>1907</v>
      </c>
      <c r="B1909" s="27" t="str">
        <f>HYPERLINK(CONCAT("http://leetcode.com/problems/",Github!C$1908), Github!B$1908)</f>
        <v>Count Salary Categories</v>
      </c>
      <c r="C1909" s="17">
        <f>Github!F$1908</f>
        <v>28</v>
      </c>
      <c r="D1909" s="17">
        <f>Github!G$1908</f>
        <v>13</v>
      </c>
      <c r="E1909" s="17">
        <f>Github!F$1908+Github!G$1908</f>
        <v>41</v>
      </c>
      <c r="F1909" s="18">
        <f t="shared" si="1"/>
        <v>2.15</v>
      </c>
      <c r="G1909" s="17" t="str">
        <f>Github!H$1908</f>
        <v>Database</v>
      </c>
      <c r="H1909" s="17" t="str">
        <f>Github!E$1908</f>
        <v>Medium</v>
      </c>
      <c r="I1909" s="17" t="str">
        <f>IF(TRIM(Github!D$1908)="TRUE","FALSE","TRUE")</f>
        <v>FALSE</v>
      </c>
      <c r="J1909" s="17"/>
      <c r="K1909" s="17" t="str">
        <f>Github!L$1908</f>
        <v>Database;</v>
      </c>
      <c r="L1909" s="17" t="b">
        <f>Github!M$1908</f>
        <v>0</v>
      </c>
      <c r="M1909" s="17" t="str">
        <f>ROUND(Github!N$1908, 2)&amp;"%"</f>
        <v>0%</v>
      </c>
      <c r="N1909" s="17">
        <f>Github!O$1908</f>
        <v>66.98240866</v>
      </c>
      <c r="O1909" s="17">
        <f>Github!P$1908</f>
        <v>4455</v>
      </c>
    </row>
    <row r="1910">
      <c r="A1910" s="17">
        <f>Github!J$1909</f>
        <v>1908</v>
      </c>
      <c r="B1910" s="27" t="str">
        <f>HYPERLINK(CONCAT("http://leetcode.com/problems/",Github!C$1909), Github!B$1909)</f>
        <v>Game of Nim</v>
      </c>
      <c r="C1910" s="17">
        <f>Github!F$1909</f>
        <v>24</v>
      </c>
      <c r="D1910" s="17">
        <f>Github!G$1909</f>
        <v>12</v>
      </c>
      <c r="E1910" s="17">
        <f>Github!F$1909+Github!G$1909</f>
        <v>36</v>
      </c>
      <c r="F1910" s="18">
        <f t="shared" si="1"/>
        <v>2</v>
      </c>
      <c r="G1910" s="17" t="str">
        <f>Github!H$1909</f>
        <v>Algorithms</v>
      </c>
      <c r="H1910" s="17" t="str">
        <f>Github!E$1909</f>
        <v>Medium</v>
      </c>
      <c r="I1910" s="17" t="str">
        <f>IF(TRIM(Github!D$1909)="TRUE","FALSE","TRUE")</f>
        <v>FALSE</v>
      </c>
      <c r="J1910" s="17"/>
      <c r="K1910" s="17" t="str">
        <f>Github!L$1909</f>
        <v>Array;Math;Dynamic Programming;Bit Manipulation;Brainteaser;Game Theory;</v>
      </c>
      <c r="L1910" s="17" t="b">
        <f>Github!M$1909</f>
        <v>0</v>
      </c>
      <c r="M1910" s="17" t="str">
        <f>ROUND(Github!N$1909, 2)&amp;"%"</f>
        <v>0%</v>
      </c>
      <c r="N1910" s="17">
        <f>Github!O$1909</f>
        <v>58.1733951</v>
      </c>
      <c r="O1910" s="17">
        <f>Github!P$1909</f>
        <v>879</v>
      </c>
    </row>
    <row r="1911">
      <c r="A1911" s="17">
        <f>Github!J$1910</f>
        <v>1909</v>
      </c>
      <c r="B1911" s="27" t="str">
        <f>HYPERLINK(CONCAT("http://leetcode.com/problems/",Github!C$1910), Github!B$1910)</f>
        <v>Remove One Element to Make the Array Strictly Increasing</v>
      </c>
      <c r="C1911" s="17">
        <f>Github!F$1910</f>
        <v>436</v>
      </c>
      <c r="D1911" s="17">
        <f>Github!G$1910</f>
        <v>191</v>
      </c>
      <c r="E1911" s="17">
        <f>Github!F$1910+Github!G$1910</f>
        <v>627</v>
      </c>
      <c r="F1911" s="18">
        <f t="shared" si="1"/>
        <v>2.28</v>
      </c>
      <c r="G1911" s="17" t="str">
        <f>Github!H$1910</f>
        <v>Algorithms</v>
      </c>
      <c r="H1911" s="17" t="str">
        <f>Github!E$1910</f>
        <v>Easy</v>
      </c>
      <c r="I1911" s="17" t="str">
        <f>IF(TRIM(Github!D$1910)="TRUE","FALSE","TRUE")</f>
        <v>TRUE</v>
      </c>
      <c r="J1911" s="17"/>
      <c r="K1911" s="17" t="str">
        <f>Github!L$1910</f>
        <v>Array;</v>
      </c>
      <c r="L1911" s="17" t="b">
        <f>Github!M$1910</f>
        <v>0</v>
      </c>
      <c r="M1911" s="17" t="str">
        <f>ROUND(Github!N$1910, 2)&amp;"%"</f>
        <v>0%</v>
      </c>
      <c r="N1911" s="17">
        <f>Github!O$1910</f>
        <v>27.51754333</v>
      </c>
      <c r="O1911" s="17">
        <f>Github!P$1910</f>
        <v>22939</v>
      </c>
    </row>
    <row r="1912">
      <c r="A1912" s="17">
        <f>Github!J$1911</f>
        <v>1910</v>
      </c>
      <c r="B1912" s="27" t="str">
        <f>HYPERLINK(CONCAT("http://leetcode.com/problems/",Github!C$1911), Github!B$1911)</f>
        <v>Remove All Occurrences of a Substring</v>
      </c>
      <c r="C1912" s="17">
        <f>Github!F$1911</f>
        <v>515</v>
      </c>
      <c r="D1912" s="17">
        <f>Github!G$1911</f>
        <v>30</v>
      </c>
      <c r="E1912" s="17">
        <f>Github!F$1911+Github!G$1911</f>
        <v>545</v>
      </c>
      <c r="F1912" s="18">
        <f t="shared" si="1"/>
        <v>17.17</v>
      </c>
      <c r="G1912" s="17" t="str">
        <f>Github!H$1911</f>
        <v>Algorithms</v>
      </c>
      <c r="H1912" s="17" t="str">
        <f>Github!E$1911</f>
        <v>Medium</v>
      </c>
      <c r="I1912" s="17" t="str">
        <f>IF(TRIM(Github!D$1911)="TRUE","FALSE","TRUE")</f>
        <v>TRUE</v>
      </c>
      <c r="J1912" s="17"/>
      <c r="K1912" s="17" t="str">
        <f>Github!L$1911</f>
        <v>String;</v>
      </c>
      <c r="L1912" s="17" t="b">
        <f>Github!M$1911</f>
        <v>0</v>
      </c>
      <c r="M1912" s="17" t="str">
        <f>ROUND(Github!N$1911, 2)&amp;"%"</f>
        <v>0%</v>
      </c>
      <c r="N1912" s="17">
        <f>Github!O$1911</f>
        <v>71.85278503</v>
      </c>
      <c r="O1912" s="17">
        <f>Github!P$1911</f>
        <v>23955</v>
      </c>
    </row>
    <row r="1913">
      <c r="A1913" s="17">
        <f>Github!J$1912</f>
        <v>1911</v>
      </c>
      <c r="B1913" s="27" t="str">
        <f>HYPERLINK(CONCAT("http://leetcode.com/problems/",Github!C$1912), Github!B$1912)</f>
        <v>Maximum Alternating Subsequence Sum</v>
      </c>
      <c r="C1913" s="17">
        <f>Github!F$1912</f>
        <v>599</v>
      </c>
      <c r="D1913" s="17">
        <f>Github!G$1912</f>
        <v>10</v>
      </c>
      <c r="E1913" s="17">
        <f>Github!F$1912+Github!G$1912</f>
        <v>609</v>
      </c>
      <c r="F1913" s="18">
        <f t="shared" si="1"/>
        <v>59.9</v>
      </c>
      <c r="G1913" s="17" t="str">
        <f>Github!H$1912</f>
        <v>Algorithms</v>
      </c>
      <c r="H1913" s="17" t="str">
        <f>Github!E$1912</f>
        <v>Medium</v>
      </c>
      <c r="I1913" s="17" t="str">
        <f>IF(TRIM(Github!D$1912)="TRUE","FALSE","TRUE")</f>
        <v>TRUE</v>
      </c>
      <c r="J1913" s="17"/>
      <c r="K1913" s="17" t="str">
        <f>Github!L$1912</f>
        <v>Array;Dynamic Programming;</v>
      </c>
      <c r="L1913" s="17" t="b">
        <f>Github!M$1912</f>
        <v>0</v>
      </c>
      <c r="M1913" s="17" t="str">
        <f>ROUND(Github!N$1912, 2)&amp;"%"</f>
        <v>0%</v>
      </c>
      <c r="N1913" s="17">
        <f>Github!O$1912</f>
        <v>58.77055921</v>
      </c>
      <c r="O1913" s="17">
        <f>Github!P$1912</f>
        <v>14289</v>
      </c>
    </row>
    <row r="1914">
      <c r="A1914" s="17">
        <f>Github!J$1913</f>
        <v>1912</v>
      </c>
      <c r="B1914" s="27" t="str">
        <f>HYPERLINK(CONCAT("http://leetcode.com/problems/",Github!C$1913), Github!B$1913)</f>
        <v>Design Movie Rental System</v>
      </c>
      <c r="C1914" s="17">
        <f>Github!F$1913</f>
        <v>138</v>
      </c>
      <c r="D1914" s="17">
        <f>Github!G$1913</f>
        <v>27</v>
      </c>
      <c r="E1914" s="17">
        <f>Github!F$1913+Github!G$1913</f>
        <v>165</v>
      </c>
      <c r="F1914" s="18">
        <f t="shared" si="1"/>
        <v>5.11</v>
      </c>
      <c r="G1914" s="17" t="str">
        <f>Github!H$1913</f>
        <v>Algorithms</v>
      </c>
      <c r="H1914" s="17" t="str">
        <f>Github!E$1913</f>
        <v>Hard</v>
      </c>
      <c r="I1914" s="17" t="str">
        <f>IF(TRIM(Github!D$1913)="TRUE","FALSE","TRUE")</f>
        <v>TRUE</v>
      </c>
      <c r="J1914" s="17"/>
      <c r="K1914" s="17" t="str">
        <f>Github!L$1913</f>
        <v>Array;Hash Table;Design;Heap (Priority Queue);Ordered Set;</v>
      </c>
      <c r="L1914" s="17" t="b">
        <f>Github!M$1913</f>
        <v>0</v>
      </c>
      <c r="M1914" s="17" t="str">
        <f>ROUND(Github!N$1913, 2)&amp;"%"</f>
        <v>0%</v>
      </c>
      <c r="N1914" s="17">
        <f>Github!O$1913</f>
        <v>42.7297668</v>
      </c>
      <c r="O1914" s="17">
        <f>Github!P$1913</f>
        <v>3738</v>
      </c>
    </row>
    <row r="1915">
      <c r="A1915" s="17">
        <f>Github!J$1914</f>
        <v>1913</v>
      </c>
      <c r="B1915" s="27" t="str">
        <f>HYPERLINK(CONCAT("http://leetcode.com/problems/",Github!C$1914), Github!B$1914)</f>
        <v>Maximum Product Difference Between Two Pairs</v>
      </c>
      <c r="C1915" s="17">
        <f>Github!F$1914</f>
        <v>373</v>
      </c>
      <c r="D1915" s="17">
        <f>Github!G$1914</f>
        <v>18</v>
      </c>
      <c r="E1915" s="17">
        <f>Github!F$1914+Github!G$1914</f>
        <v>391</v>
      </c>
      <c r="F1915" s="18">
        <f t="shared" si="1"/>
        <v>20.72</v>
      </c>
      <c r="G1915" s="17" t="str">
        <f>Github!H$1914</f>
        <v>Algorithms</v>
      </c>
      <c r="H1915" s="17" t="str">
        <f>Github!E$1914</f>
        <v>Easy</v>
      </c>
      <c r="I1915" s="17" t="str">
        <f>IF(TRIM(Github!D$1914)="TRUE","FALSE","TRUE")</f>
        <v>TRUE</v>
      </c>
      <c r="J1915" s="17"/>
      <c r="K1915" s="17" t="str">
        <f>Github!L$1914</f>
        <v>Array;Sorting;</v>
      </c>
      <c r="L1915" s="17" t="b">
        <f>Github!M$1914</f>
        <v>0</v>
      </c>
      <c r="M1915" s="17" t="str">
        <f>ROUND(Github!N$1914, 2)&amp;"%"</f>
        <v>0%</v>
      </c>
      <c r="N1915" s="17">
        <f>Github!O$1914</f>
        <v>81.24920999</v>
      </c>
      <c r="O1915" s="17">
        <f>Github!P$1914</f>
        <v>44994</v>
      </c>
    </row>
    <row r="1916">
      <c r="A1916" s="17">
        <f>Github!J$1915</f>
        <v>1914</v>
      </c>
      <c r="B1916" s="27" t="str">
        <f>HYPERLINK(CONCAT("http://leetcode.com/problems/",Github!C$1915), Github!B$1915)</f>
        <v>Cyclically Rotating a Grid</v>
      </c>
      <c r="C1916" s="17">
        <f>Github!F$1915</f>
        <v>164</v>
      </c>
      <c r="D1916" s="17">
        <f>Github!G$1915</f>
        <v>222</v>
      </c>
      <c r="E1916" s="17">
        <f>Github!F$1915+Github!G$1915</f>
        <v>386</v>
      </c>
      <c r="F1916" s="18">
        <f t="shared" si="1"/>
        <v>0.74</v>
      </c>
      <c r="G1916" s="17" t="str">
        <f>Github!H$1915</f>
        <v>Algorithms</v>
      </c>
      <c r="H1916" s="17" t="str">
        <f>Github!E$1915</f>
        <v>Medium</v>
      </c>
      <c r="I1916" s="17" t="str">
        <f>IF(TRIM(Github!D$1915)="TRUE","FALSE","TRUE")</f>
        <v>TRUE</v>
      </c>
      <c r="J1916" s="17"/>
      <c r="K1916" s="17" t="str">
        <f>Github!L$1915</f>
        <v>Array;Matrix;Simulation;</v>
      </c>
      <c r="L1916" s="17" t="b">
        <f>Github!M$1915</f>
        <v>0</v>
      </c>
      <c r="M1916" s="17" t="str">
        <f>ROUND(Github!N$1915, 2)&amp;"%"</f>
        <v>0%</v>
      </c>
      <c r="N1916" s="17">
        <f>Github!O$1915</f>
        <v>46.5148016</v>
      </c>
      <c r="O1916" s="17">
        <f>Github!P$1915</f>
        <v>8862</v>
      </c>
    </row>
    <row r="1917">
      <c r="A1917" s="17">
        <f>Github!J$1916</f>
        <v>1915</v>
      </c>
      <c r="B1917" s="27" t="str">
        <f>HYPERLINK(CONCAT("http://leetcode.com/problems/",Github!C$1916), Github!B$1916)</f>
        <v>Number of Wonderful Substrings</v>
      </c>
      <c r="C1917" s="17">
        <f>Github!F$1916</f>
        <v>580</v>
      </c>
      <c r="D1917" s="17">
        <f>Github!G$1916</f>
        <v>42</v>
      </c>
      <c r="E1917" s="17">
        <f>Github!F$1916+Github!G$1916</f>
        <v>622</v>
      </c>
      <c r="F1917" s="18">
        <f t="shared" si="1"/>
        <v>13.81</v>
      </c>
      <c r="G1917" s="17" t="str">
        <f>Github!H$1916</f>
        <v>Algorithms</v>
      </c>
      <c r="H1917" s="17" t="str">
        <f>Github!E$1916</f>
        <v>Medium</v>
      </c>
      <c r="I1917" s="17" t="str">
        <f>IF(TRIM(Github!D$1916)="TRUE","FALSE","TRUE")</f>
        <v>TRUE</v>
      </c>
      <c r="J1917" s="17"/>
      <c r="K1917" s="17" t="str">
        <f>Github!L$1916</f>
        <v>Hash Table;String;Bit Manipulation;Prefix Sum;</v>
      </c>
      <c r="L1917" s="17" t="b">
        <f>Github!M$1916</f>
        <v>0</v>
      </c>
      <c r="M1917" s="17" t="str">
        <f>ROUND(Github!N$1916, 2)&amp;"%"</f>
        <v>0%</v>
      </c>
      <c r="N1917" s="17">
        <f>Github!O$1916</f>
        <v>43.23358404</v>
      </c>
      <c r="O1917" s="17">
        <f>Github!P$1916</f>
        <v>8105</v>
      </c>
    </row>
    <row r="1918">
      <c r="A1918" s="17">
        <f>Github!J$1917</f>
        <v>1916</v>
      </c>
      <c r="B1918" s="27" t="str">
        <f>HYPERLINK(CONCAT("http://leetcode.com/problems/",Github!C$1917), Github!B$1917)</f>
        <v>Count Ways to Build Rooms in an Ant Colony</v>
      </c>
      <c r="C1918" s="17">
        <f>Github!F$1917</f>
        <v>238</v>
      </c>
      <c r="D1918" s="17">
        <f>Github!G$1917</f>
        <v>30</v>
      </c>
      <c r="E1918" s="17">
        <f>Github!F$1917+Github!G$1917</f>
        <v>268</v>
      </c>
      <c r="F1918" s="18">
        <f t="shared" si="1"/>
        <v>7.93</v>
      </c>
      <c r="G1918" s="17" t="str">
        <f>Github!H$1917</f>
        <v>Algorithms</v>
      </c>
      <c r="H1918" s="17" t="str">
        <f>Github!E$1917</f>
        <v>Hard</v>
      </c>
      <c r="I1918" s="17" t="str">
        <f>IF(TRIM(Github!D$1917)="TRUE","FALSE","TRUE")</f>
        <v>TRUE</v>
      </c>
      <c r="J1918" s="17"/>
      <c r="K1918" s="17" t="str">
        <f>Github!L$1917</f>
        <v>Math;Dynamic Programming;Tree;Graph;Topological Sort;Combinatorics;</v>
      </c>
      <c r="L1918" s="17" t="b">
        <f>Github!M$1917</f>
        <v>0</v>
      </c>
      <c r="M1918" s="17" t="str">
        <f>ROUND(Github!N$1917, 2)&amp;"%"</f>
        <v>0%</v>
      </c>
      <c r="N1918" s="17">
        <f>Github!O$1917</f>
        <v>48.29846583</v>
      </c>
      <c r="O1918" s="17">
        <f>Github!P$1917</f>
        <v>3463</v>
      </c>
    </row>
    <row r="1919">
      <c r="A1919" s="17">
        <f>Github!J$1918</f>
        <v>1917</v>
      </c>
      <c r="B1919" s="27" t="str">
        <f>HYPERLINK(CONCAT("http://leetcode.com/problems/",Github!C$1918), Github!B$1918)</f>
        <v>Leetcodify Friends Recommendations</v>
      </c>
      <c r="C1919" s="17">
        <f>Github!F$1918</f>
        <v>31</v>
      </c>
      <c r="D1919" s="17">
        <f>Github!G$1918</f>
        <v>18</v>
      </c>
      <c r="E1919" s="17">
        <f>Github!F$1918+Github!G$1918</f>
        <v>49</v>
      </c>
      <c r="F1919" s="18">
        <f t="shared" si="1"/>
        <v>1.72</v>
      </c>
      <c r="G1919" s="17" t="str">
        <f>Github!H$1918</f>
        <v>Database</v>
      </c>
      <c r="H1919" s="17" t="str">
        <f>Github!E$1918</f>
        <v>Hard</v>
      </c>
      <c r="I1919" s="17" t="str">
        <f>IF(TRIM(Github!D$1918)="TRUE","FALSE","TRUE")</f>
        <v>FALSE</v>
      </c>
      <c r="J1919" s="17"/>
      <c r="K1919" s="17" t="str">
        <f>Github!L$1918</f>
        <v>Database;</v>
      </c>
      <c r="L1919" s="17" t="b">
        <f>Github!M$1918</f>
        <v>0</v>
      </c>
      <c r="M1919" s="17" t="str">
        <f>ROUND(Github!N$1918, 2)&amp;"%"</f>
        <v>0%</v>
      </c>
      <c r="N1919" s="17">
        <f>Github!O$1918</f>
        <v>30.21955261</v>
      </c>
      <c r="O1919" s="17">
        <f>Github!P$1918</f>
        <v>2918</v>
      </c>
    </row>
    <row r="1920">
      <c r="A1920" s="17">
        <f>Github!J$1919</f>
        <v>1918</v>
      </c>
      <c r="B1920" s="27" t="str">
        <f>HYPERLINK(CONCAT("http://leetcode.com/problems/",Github!C$1919), Github!B$1919)</f>
        <v>Kth Smallest Subarray Sum</v>
      </c>
      <c r="C1920" s="17">
        <f>Github!F$1919</f>
        <v>99</v>
      </c>
      <c r="D1920" s="17">
        <f>Github!G$1919</f>
        <v>4</v>
      </c>
      <c r="E1920" s="17">
        <f>Github!F$1919+Github!G$1919</f>
        <v>103</v>
      </c>
      <c r="F1920" s="18">
        <f t="shared" si="1"/>
        <v>24.75</v>
      </c>
      <c r="G1920" s="17" t="str">
        <f>Github!H$1919</f>
        <v>Algorithms</v>
      </c>
      <c r="H1920" s="17" t="str">
        <f>Github!E$1919</f>
        <v>Medium</v>
      </c>
      <c r="I1920" s="17" t="str">
        <f>IF(TRIM(Github!D$1919)="TRUE","FALSE","TRUE")</f>
        <v>FALSE</v>
      </c>
      <c r="J1920" s="17"/>
      <c r="K1920" s="17" t="str">
        <f>Github!L$1919</f>
        <v>Array;Binary Search;Sliding Window;</v>
      </c>
      <c r="L1920" s="17" t="b">
        <f>Github!M$1919</f>
        <v>0</v>
      </c>
      <c r="M1920" s="17" t="str">
        <f>ROUND(Github!N$1919, 2)&amp;"%"</f>
        <v>0%</v>
      </c>
      <c r="N1920" s="17">
        <f>Github!O$1919</f>
        <v>54.69935785</v>
      </c>
      <c r="O1920" s="17">
        <f>Github!P$1919</f>
        <v>1874</v>
      </c>
    </row>
    <row r="1921">
      <c r="A1921" s="17">
        <f>Github!J$1920</f>
        <v>1919</v>
      </c>
      <c r="B1921" s="27" t="str">
        <f>HYPERLINK(CONCAT("http://leetcode.com/problems/",Github!C$1920), Github!B$1920)</f>
        <v>Leetcodify Similar Friends</v>
      </c>
      <c r="C1921" s="17">
        <f>Github!F$1920</f>
        <v>28</v>
      </c>
      <c r="D1921" s="17">
        <f>Github!G$1920</f>
        <v>4</v>
      </c>
      <c r="E1921" s="17">
        <f>Github!F$1920+Github!G$1920</f>
        <v>32</v>
      </c>
      <c r="F1921" s="18">
        <f t="shared" si="1"/>
        <v>7</v>
      </c>
      <c r="G1921" s="17" t="str">
        <f>Github!H$1920</f>
        <v>Database</v>
      </c>
      <c r="H1921" s="17" t="str">
        <f>Github!E$1920</f>
        <v>Hard</v>
      </c>
      <c r="I1921" s="17" t="str">
        <f>IF(TRIM(Github!D$1920)="TRUE","FALSE","TRUE")</f>
        <v>FALSE</v>
      </c>
      <c r="J1921" s="17"/>
      <c r="K1921" s="17" t="str">
        <f>Github!L$1920</f>
        <v>Database;</v>
      </c>
      <c r="L1921" s="17" t="b">
        <f>Github!M$1920</f>
        <v>0</v>
      </c>
      <c r="M1921" s="17" t="str">
        <f>ROUND(Github!N$1920, 2)&amp;"%"</f>
        <v>0%</v>
      </c>
      <c r="N1921" s="17">
        <f>Github!O$1920</f>
        <v>42.16275259</v>
      </c>
      <c r="O1921" s="17">
        <f>Github!P$1920</f>
        <v>2316</v>
      </c>
    </row>
    <row r="1922">
      <c r="A1922" s="17">
        <f>Github!J$1921</f>
        <v>1920</v>
      </c>
      <c r="B1922" s="27" t="str">
        <f>HYPERLINK(CONCAT("http://leetcode.com/problems/",Github!C$1921), Github!B$1921)</f>
        <v>Build Array from Permutation</v>
      </c>
      <c r="C1922" s="17">
        <f>Github!F$1921</f>
        <v>1050</v>
      </c>
      <c r="D1922" s="17">
        <f>Github!G$1921</f>
        <v>146</v>
      </c>
      <c r="E1922" s="17">
        <f>Github!F$1921+Github!G$1921</f>
        <v>1196</v>
      </c>
      <c r="F1922" s="18">
        <f t="shared" si="1"/>
        <v>7.19</v>
      </c>
      <c r="G1922" s="17" t="str">
        <f>Github!H$1921</f>
        <v>Algorithms</v>
      </c>
      <c r="H1922" s="17" t="str">
        <f>Github!E$1921</f>
        <v>Easy</v>
      </c>
      <c r="I1922" s="17" t="str">
        <f>IF(TRIM(Github!D$1921)="TRUE","FALSE","TRUE")</f>
        <v>TRUE</v>
      </c>
      <c r="J1922" s="17"/>
      <c r="K1922" s="17" t="str">
        <f>Github!L$1921</f>
        <v>Array;Simulation;</v>
      </c>
      <c r="L1922" s="17" t="b">
        <f>Github!M$1921</f>
        <v>0</v>
      </c>
      <c r="M1922" s="17" t="str">
        <f>ROUND(Github!N$1921, 2)&amp;"%"</f>
        <v>0%</v>
      </c>
      <c r="N1922" s="17">
        <f>Github!O$1921</f>
        <v>91.75852021</v>
      </c>
      <c r="O1922" s="17">
        <f>Github!P$1921</f>
        <v>130357</v>
      </c>
    </row>
    <row r="1923">
      <c r="A1923" s="17">
        <f>Github!J$1922</f>
        <v>1921</v>
      </c>
      <c r="B1923" s="27" t="str">
        <f>HYPERLINK(CONCAT("http://leetcode.com/problems/",Github!C$1922), Github!B$1922)</f>
        <v>Eliminate Maximum Number of Monsters</v>
      </c>
      <c r="C1923" s="17">
        <f>Github!F$1922</f>
        <v>294</v>
      </c>
      <c r="D1923" s="17">
        <f>Github!G$1922</f>
        <v>47</v>
      </c>
      <c r="E1923" s="17">
        <f>Github!F$1922+Github!G$1922</f>
        <v>341</v>
      </c>
      <c r="F1923" s="18">
        <f t="shared" si="1"/>
        <v>6.26</v>
      </c>
      <c r="G1923" s="17" t="str">
        <f>Github!H$1922</f>
        <v>Algorithms</v>
      </c>
      <c r="H1923" s="17" t="str">
        <f>Github!E$1922</f>
        <v>Medium</v>
      </c>
      <c r="I1923" s="17" t="str">
        <f>IF(TRIM(Github!D$1922)="TRUE","FALSE","TRUE")</f>
        <v>TRUE</v>
      </c>
      <c r="J1923" s="17"/>
      <c r="K1923" s="17" t="str">
        <f>Github!L$1922</f>
        <v>Array;Greedy;Sorting;</v>
      </c>
      <c r="L1923" s="17" t="b">
        <f>Github!M$1922</f>
        <v>0</v>
      </c>
      <c r="M1923" s="17" t="str">
        <f>ROUND(Github!N$1922, 2)&amp;"%"</f>
        <v>0%</v>
      </c>
      <c r="N1923" s="17">
        <f>Github!O$1922</f>
        <v>37.45494667</v>
      </c>
      <c r="O1923" s="17">
        <f>Github!P$1922</f>
        <v>15276</v>
      </c>
    </row>
    <row r="1924">
      <c r="A1924" s="17">
        <f>Github!J$1923</f>
        <v>1922</v>
      </c>
      <c r="B1924" s="27" t="str">
        <f>HYPERLINK(CONCAT("http://leetcode.com/problems/",Github!C$1923), Github!B$1923)</f>
        <v>Count Good Numbers</v>
      </c>
      <c r="C1924" s="17">
        <f>Github!F$1923</f>
        <v>297</v>
      </c>
      <c r="D1924" s="17">
        <f>Github!G$1923</f>
        <v>211</v>
      </c>
      <c r="E1924" s="17">
        <f>Github!F$1923+Github!G$1923</f>
        <v>508</v>
      </c>
      <c r="F1924" s="18">
        <f t="shared" si="1"/>
        <v>1.41</v>
      </c>
      <c r="G1924" s="17" t="str">
        <f>Github!H$1923</f>
        <v>Algorithms</v>
      </c>
      <c r="H1924" s="17" t="str">
        <f>Github!E$1923</f>
        <v>Medium</v>
      </c>
      <c r="I1924" s="17" t="str">
        <f>IF(TRIM(Github!D$1923)="TRUE","FALSE","TRUE")</f>
        <v>TRUE</v>
      </c>
      <c r="J1924" s="17"/>
      <c r="K1924" s="17" t="str">
        <f>Github!L$1923</f>
        <v>Math;Recursion;</v>
      </c>
      <c r="L1924" s="17" t="b">
        <f>Github!M$1923</f>
        <v>0</v>
      </c>
      <c r="M1924" s="17" t="str">
        <f>ROUND(Github!N$1923, 2)&amp;"%"</f>
        <v>0%</v>
      </c>
      <c r="N1924" s="17">
        <f>Github!O$1923</f>
        <v>38.32733909</v>
      </c>
      <c r="O1924" s="17">
        <f>Github!P$1923</f>
        <v>14279</v>
      </c>
    </row>
    <row r="1925">
      <c r="A1925" s="17">
        <f>Github!J$1924</f>
        <v>1923</v>
      </c>
      <c r="B1925" s="27" t="str">
        <f>HYPERLINK(CONCAT("http://leetcode.com/problems/",Github!C$1924), Github!B$1924)</f>
        <v>Longest Common Subpath</v>
      </c>
      <c r="C1925" s="17">
        <f>Github!F$1924</f>
        <v>254</v>
      </c>
      <c r="D1925" s="17">
        <f>Github!G$1924</f>
        <v>23</v>
      </c>
      <c r="E1925" s="17">
        <f>Github!F$1924+Github!G$1924</f>
        <v>277</v>
      </c>
      <c r="F1925" s="18">
        <f t="shared" si="1"/>
        <v>11.04</v>
      </c>
      <c r="G1925" s="17" t="str">
        <f>Github!H$1924</f>
        <v>Algorithms</v>
      </c>
      <c r="H1925" s="17" t="str">
        <f>Github!E$1924</f>
        <v>Hard</v>
      </c>
      <c r="I1925" s="17" t="str">
        <f>IF(TRIM(Github!D$1924)="TRUE","FALSE","TRUE")</f>
        <v>TRUE</v>
      </c>
      <c r="J1925" s="17"/>
      <c r="K1925" s="17" t="str">
        <f>Github!L$1924</f>
        <v>Array;Binary Search;Rolling Hash;Suffix Array;Hash Function;</v>
      </c>
      <c r="L1925" s="17" t="b">
        <f>Github!M$1924</f>
        <v>0</v>
      </c>
      <c r="M1925" s="17" t="str">
        <f>ROUND(Github!N$1924, 2)&amp;"%"</f>
        <v>0%</v>
      </c>
      <c r="N1925" s="17">
        <f>Github!O$1924</f>
        <v>27.96669421</v>
      </c>
      <c r="O1925" s="17">
        <f>Github!P$1924</f>
        <v>4400</v>
      </c>
    </row>
    <row r="1926">
      <c r="A1926" s="17">
        <f>Github!J$1925</f>
        <v>1924</v>
      </c>
      <c r="B1926" s="27" t="str">
        <f>HYPERLINK(CONCAT("http://leetcode.com/problems/",Github!C$1925), Github!B$1925)</f>
        <v>Erect the Fence II</v>
      </c>
      <c r="C1926" s="17">
        <f>Github!F$1925</f>
        <v>8</v>
      </c>
      <c r="D1926" s="17">
        <f>Github!G$1925</f>
        <v>31</v>
      </c>
      <c r="E1926" s="17">
        <f>Github!F$1925+Github!G$1925</f>
        <v>39</v>
      </c>
      <c r="F1926" s="18">
        <f t="shared" si="1"/>
        <v>0.26</v>
      </c>
      <c r="G1926" s="17" t="str">
        <f>Github!H$1925</f>
        <v>Algorithms</v>
      </c>
      <c r="H1926" s="17" t="str">
        <f>Github!E$1925</f>
        <v>Hard</v>
      </c>
      <c r="I1926" s="17" t="str">
        <f>IF(TRIM(Github!D$1925)="TRUE","FALSE","TRUE")</f>
        <v>FALSE</v>
      </c>
      <c r="J1926" s="17"/>
      <c r="K1926" s="17" t="str">
        <f>Github!L$1925</f>
        <v>Array;Math;Geometry;</v>
      </c>
      <c r="L1926" s="17" t="b">
        <f>Github!M$1925</f>
        <v>0</v>
      </c>
      <c r="M1926" s="17" t="str">
        <f>ROUND(Github!N$1925, 2)&amp;"%"</f>
        <v>0%</v>
      </c>
      <c r="N1926" s="17">
        <f>Github!O$1925</f>
        <v>58.32167832</v>
      </c>
      <c r="O1926" s="17">
        <f>Github!P$1925</f>
        <v>417</v>
      </c>
    </row>
    <row r="1927">
      <c r="A1927" s="17">
        <f>Github!J$1926</f>
        <v>1925</v>
      </c>
      <c r="B1927" s="27" t="str">
        <f>HYPERLINK(CONCAT("http://leetcode.com/problems/",Github!C$1926), Github!B$1926)</f>
        <v>Count Square Sum Triples</v>
      </c>
      <c r="C1927" s="17">
        <f>Github!F$1926</f>
        <v>167</v>
      </c>
      <c r="D1927" s="17">
        <f>Github!G$1926</f>
        <v>18</v>
      </c>
      <c r="E1927" s="17">
        <f>Github!F$1926+Github!G$1926</f>
        <v>185</v>
      </c>
      <c r="F1927" s="18">
        <f t="shared" si="1"/>
        <v>9.28</v>
      </c>
      <c r="G1927" s="17" t="str">
        <f>Github!H$1926</f>
        <v>Algorithms</v>
      </c>
      <c r="H1927" s="17" t="str">
        <f>Github!E$1926</f>
        <v>Easy</v>
      </c>
      <c r="I1927" s="17" t="str">
        <f>IF(TRIM(Github!D$1926)="TRUE","FALSE","TRUE")</f>
        <v>TRUE</v>
      </c>
      <c r="J1927" s="17"/>
      <c r="K1927" s="17" t="str">
        <f>Github!L$1926</f>
        <v>Math;Enumeration;</v>
      </c>
      <c r="L1927" s="17" t="b">
        <f>Github!M$1926</f>
        <v>0</v>
      </c>
      <c r="M1927" s="17" t="str">
        <f>ROUND(Github!N$1926, 2)&amp;"%"</f>
        <v>0%</v>
      </c>
      <c r="N1927" s="17">
        <f>Github!O$1926</f>
        <v>67.13018874</v>
      </c>
      <c r="O1927" s="17">
        <f>Github!P$1926</f>
        <v>19455</v>
      </c>
    </row>
    <row r="1928">
      <c r="A1928" s="17">
        <f>Github!J$1927</f>
        <v>1926</v>
      </c>
      <c r="B1928" s="27" t="str">
        <f>HYPERLINK(CONCAT("http://leetcode.com/problems/",Github!C$1927), Github!B$1927)</f>
        <v>Nearest Exit from Entrance in Maze</v>
      </c>
      <c r="C1928" s="17">
        <f>Github!F$1927</f>
        <v>390</v>
      </c>
      <c r="D1928" s="17">
        <f>Github!G$1927</f>
        <v>18</v>
      </c>
      <c r="E1928" s="17">
        <f>Github!F$1927+Github!G$1927</f>
        <v>408</v>
      </c>
      <c r="F1928" s="18">
        <f t="shared" si="1"/>
        <v>21.67</v>
      </c>
      <c r="G1928" s="17" t="str">
        <f>Github!H$1927</f>
        <v>Algorithms</v>
      </c>
      <c r="H1928" s="17" t="str">
        <f>Github!E$1927</f>
        <v>Medium</v>
      </c>
      <c r="I1928" s="17" t="str">
        <f>IF(TRIM(Github!D$1927)="TRUE","FALSE","TRUE")</f>
        <v>TRUE</v>
      </c>
      <c r="J1928" s="17"/>
      <c r="K1928" s="17" t="str">
        <f>Github!L$1927</f>
        <v>Array;Breadth-First Search;Matrix;</v>
      </c>
      <c r="L1928" s="17" t="b">
        <f>Github!M$1927</f>
        <v>0</v>
      </c>
      <c r="M1928" s="17" t="str">
        <f>ROUND(Github!N$1927, 2)&amp;"%"</f>
        <v>0%</v>
      </c>
      <c r="N1928" s="17">
        <f>Github!O$1927</f>
        <v>38.46420847</v>
      </c>
      <c r="O1928" s="17">
        <f>Github!P$1927</f>
        <v>14406</v>
      </c>
    </row>
    <row r="1929">
      <c r="A1929" s="17">
        <f>Github!J$1928</f>
        <v>1927</v>
      </c>
      <c r="B1929" s="27" t="str">
        <f>HYPERLINK(CONCAT("http://leetcode.com/problems/",Github!C$1928), Github!B$1928)</f>
        <v>Sum Game</v>
      </c>
      <c r="C1929" s="17">
        <f>Github!F$1928</f>
        <v>295</v>
      </c>
      <c r="D1929" s="17">
        <f>Github!G$1928</f>
        <v>42</v>
      </c>
      <c r="E1929" s="17">
        <f>Github!F$1928+Github!G$1928</f>
        <v>337</v>
      </c>
      <c r="F1929" s="18">
        <f t="shared" si="1"/>
        <v>7.02</v>
      </c>
      <c r="G1929" s="17" t="str">
        <f>Github!H$1928</f>
        <v>Algorithms</v>
      </c>
      <c r="H1929" s="17" t="str">
        <f>Github!E$1928</f>
        <v>Medium</v>
      </c>
      <c r="I1929" s="17" t="str">
        <f>IF(TRIM(Github!D$1928)="TRUE","FALSE","TRUE")</f>
        <v>TRUE</v>
      </c>
      <c r="J1929" s="17"/>
      <c r="K1929" s="17" t="str">
        <f>Github!L$1928</f>
        <v>Math;Greedy;Game Theory;</v>
      </c>
      <c r="L1929" s="17" t="b">
        <f>Github!M$1928</f>
        <v>0</v>
      </c>
      <c r="M1929" s="17" t="str">
        <f>ROUND(Github!N$1928, 2)&amp;"%"</f>
        <v>0%</v>
      </c>
      <c r="N1929" s="17">
        <f>Github!O$1928</f>
        <v>46.8041394</v>
      </c>
      <c r="O1929" s="17">
        <f>Github!P$1928</f>
        <v>6151</v>
      </c>
    </row>
    <row r="1930">
      <c r="A1930" s="17">
        <f>Github!J$1929</f>
        <v>1928</v>
      </c>
      <c r="B1930" s="27" t="str">
        <f>HYPERLINK(CONCAT("http://leetcode.com/problems/",Github!C$1929), Github!B$1929)</f>
        <v>Minimum Cost to Reach Destination in Time</v>
      </c>
      <c r="C1930" s="17">
        <f>Github!F$1929</f>
        <v>407</v>
      </c>
      <c r="D1930" s="17">
        <f>Github!G$1929</f>
        <v>6</v>
      </c>
      <c r="E1930" s="17">
        <f>Github!F$1929+Github!G$1929</f>
        <v>413</v>
      </c>
      <c r="F1930" s="18">
        <f t="shared" si="1"/>
        <v>67.83</v>
      </c>
      <c r="G1930" s="17" t="str">
        <f>Github!H$1929</f>
        <v>Algorithms</v>
      </c>
      <c r="H1930" s="17" t="str">
        <f>Github!E$1929</f>
        <v>Hard</v>
      </c>
      <c r="I1930" s="17" t="str">
        <f>IF(TRIM(Github!D$1929)="TRUE","FALSE","TRUE")</f>
        <v>TRUE</v>
      </c>
      <c r="J1930" s="17"/>
      <c r="K1930" s="17" t="str">
        <f>Github!L$1929</f>
        <v>Dynamic Programming;Graph;</v>
      </c>
      <c r="L1930" s="17" t="b">
        <f>Github!M$1929</f>
        <v>0</v>
      </c>
      <c r="M1930" s="17" t="str">
        <f>ROUND(Github!N$1929, 2)&amp;"%"</f>
        <v>0%</v>
      </c>
      <c r="N1930" s="17">
        <f>Github!O$1929</f>
        <v>37.13827012</v>
      </c>
      <c r="O1930" s="17">
        <f>Github!P$1929</f>
        <v>9253</v>
      </c>
    </row>
    <row r="1931">
      <c r="A1931" s="17">
        <f>Github!J$1930</f>
        <v>1929</v>
      </c>
      <c r="B1931" s="27" t="str">
        <f>HYPERLINK(CONCAT("http://leetcode.com/problems/",Github!C$1930), Github!B$1930)</f>
        <v>Concatenation of Array</v>
      </c>
      <c r="C1931" s="17">
        <f>Github!F$1930</f>
        <v>825</v>
      </c>
      <c r="D1931" s="17">
        <f>Github!G$1930</f>
        <v>168</v>
      </c>
      <c r="E1931" s="17">
        <f>Github!F$1930+Github!G$1930</f>
        <v>993</v>
      </c>
      <c r="F1931" s="18">
        <f t="shared" si="1"/>
        <v>4.91</v>
      </c>
      <c r="G1931" s="17" t="str">
        <f>Github!H$1930</f>
        <v>Algorithms</v>
      </c>
      <c r="H1931" s="17" t="str">
        <f>Github!E$1930</f>
        <v>Easy</v>
      </c>
      <c r="I1931" s="17" t="str">
        <f>IF(TRIM(Github!D$1930)="TRUE","FALSE","TRUE")</f>
        <v>TRUE</v>
      </c>
      <c r="J1931" s="17"/>
      <c r="K1931" s="17" t="str">
        <f>Github!L$1930</f>
        <v>Array;</v>
      </c>
      <c r="L1931" s="17" t="b">
        <f>Github!M$1930</f>
        <v>0</v>
      </c>
      <c r="M1931" s="17" t="str">
        <f>ROUND(Github!N$1930, 2)&amp;"%"</f>
        <v>0%</v>
      </c>
      <c r="N1931" s="17">
        <f>Github!O$1930</f>
        <v>91.71163024</v>
      </c>
      <c r="O1931" s="17">
        <f>Github!P$1930</f>
        <v>150078</v>
      </c>
    </row>
    <row r="1932">
      <c r="A1932" s="17">
        <f>Github!J$1931</f>
        <v>1930</v>
      </c>
      <c r="B1932" s="27" t="str">
        <f>HYPERLINK(CONCAT("http://leetcode.com/problems/",Github!C$1931), Github!B$1931)</f>
        <v>Unique Length-3 Palindromic Subsequences</v>
      </c>
      <c r="C1932" s="17">
        <f>Github!F$1931</f>
        <v>400</v>
      </c>
      <c r="D1932" s="17">
        <f>Github!G$1931</f>
        <v>11</v>
      </c>
      <c r="E1932" s="17">
        <f>Github!F$1931+Github!G$1931</f>
        <v>411</v>
      </c>
      <c r="F1932" s="18">
        <f t="shared" si="1"/>
        <v>36.36</v>
      </c>
      <c r="G1932" s="17" t="str">
        <f>Github!H$1931</f>
        <v>Algorithms</v>
      </c>
      <c r="H1932" s="17" t="str">
        <f>Github!E$1931</f>
        <v>Medium</v>
      </c>
      <c r="I1932" s="17" t="str">
        <f>IF(TRIM(Github!D$1931)="TRUE","FALSE","TRUE")</f>
        <v>TRUE</v>
      </c>
      <c r="J1932" s="17"/>
      <c r="K1932" s="17" t="str">
        <f>Github!L$1931</f>
        <v>Hash Table;String;Prefix Sum;</v>
      </c>
      <c r="L1932" s="17" t="b">
        <f>Github!M$1931</f>
        <v>0</v>
      </c>
      <c r="M1932" s="17" t="str">
        <f>ROUND(Github!N$1931, 2)&amp;"%"</f>
        <v>0%</v>
      </c>
      <c r="N1932" s="17">
        <f>Github!O$1931</f>
        <v>50.86140568</v>
      </c>
      <c r="O1932" s="17">
        <f>Github!P$1931</f>
        <v>15204</v>
      </c>
    </row>
    <row r="1933">
      <c r="A1933" s="17">
        <f>Github!J$1932</f>
        <v>1931</v>
      </c>
      <c r="B1933" s="27" t="str">
        <f>HYPERLINK(CONCAT("http://leetcode.com/problems/",Github!C$1932), Github!B$1932)</f>
        <v>Painting a Grid With Three Different Colors</v>
      </c>
      <c r="C1933" s="17">
        <f>Github!F$1932</f>
        <v>280</v>
      </c>
      <c r="D1933" s="17">
        <f>Github!G$1932</f>
        <v>13</v>
      </c>
      <c r="E1933" s="17">
        <f>Github!F$1932+Github!G$1932</f>
        <v>293</v>
      </c>
      <c r="F1933" s="18">
        <f t="shared" si="1"/>
        <v>21.54</v>
      </c>
      <c r="G1933" s="17" t="str">
        <f>Github!H$1932</f>
        <v>Algorithms</v>
      </c>
      <c r="H1933" s="17" t="str">
        <f>Github!E$1932</f>
        <v>Hard</v>
      </c>
      <c r="I1933" s="17" t="str">
        <f>IF(TRIM(Github!D$1932)="TRUE","FALSE","TRUE")</f>
        <v>TRUE</v>
      </c>
      <c r="J1933" s="17"/>
      <c r="K1933" s="17" t="str">
        <f>Github!L$1932</f>
        <v>Dynamic Programming;</v>
      </c>
      <c r="L1933" s="17" t="b">
        <f>Github!M$1932</f>
        <v>0</v>
      </c>
      <c r="M1933" s="17" t="str">
        <f>ROUND(Github!N$1932, 2)&amp;"%"</f>
        <v>0%</v>
      </c>
      <c r="N1933" s="17">
        <f>Github!O$1932</f>
        <v>56.69722942</v>
      </c>
      <c r="O1933" s="17">
        <f>Github!P$1932</f>
        <v>5689</v>
      </c>
    </row>
    <row r="1934">
      <c r="A1934" s="17">
        <f>Github!J$1933</f>
        <v>1932</v>
      </c>
      <c r="B1934" s="27" t="str">
        <f>HYPERLINK(CONCAT("http://leetcode.com/problems/",Github!C$1933), Github!B$1933)</f>
        <v>Merge BSTs to Create Single BST</v>
      </c>
      <c r="C1934" s="17">
        <f>Github!F$1933</f>
        <v>212</v>
      </c>
      <c r="D1934" s="17">
        <f>Github!G$1933</f>
        <v>22</v>
      </c>
      <c r="E1934" s="17">
        <f>Github!F$1933+Github!G$1933</f>
        <v>234</v>
      </c>
      <c r="F1934" s="18">
        <f t="shared" si="1"/>
        <v>9.64</v>
      </c>
      <c r="G1934" s="17" t="str">
        <f>Github!H$1933</f>
        <v>Algorithms</v>
      </c>
      <c r="H1934" s="17" t="str">
        <f>Github!E$1933</f>
        <v>Hard</v>
      </c>
      <c r="I1934" s="17" t="str">
        <f>IF(TRIM(Github!D$1933)="TRUE","FALSE","TRUE")</f>
        <v>TRUE</v>
      </c>
      <c r="J1934" s="17"/>
      <c r="K1934" s="17" t="str">
        <f>Github!L$1933</f>
        <v>Hash Table;Binary Search;Tree;Depth-First Search;Binary Tree;</v>
      </c>
      <c r="L1934" s="17" t="b">
        <f>Github!M$1933</f>
        <v>0</v>
      </c>
      <c r="M1934" s="17" t="str">
        <f>ROUND(Github!N$1933, 2)&amp;"%"</f>
        <v>0%</v>
      </c>
      <c r="N1934" s="17">
        <f>Github!O$1933</f>
        <v>34.95204882</v>
      </c>
      <c r="O1934" s="17">
        <f>Github!P$1933</f>
        <v>4009</v>
      </c>
    </row>
    <row r="1935">
      <c r="A1935" s="17">
        <f>Github!J$1934</f>
        <v>1933</v>
      </c>
      <c r="B1935" s="27" t="str">
        <f>HYPERLINK(CONCAT("http://leetcode.com/problems/",Github!C$1934), Github!B$1934)</f>
        <v>Check if String Is Decomposable Into Value-Equal Substrings</v>
      </c>
      <c r="C1935" s="17">
        <f>Github!F$1934</f>
        <v>31</v>
      </c>
      <c r="D1935" s="17">
        <f>Github!G$1934</f>
        <v>6</v>
      </c>
      <c r="E1935" s="17">
        <f>Github!F$1934+Github!G$1934</f>
        <v>37</v>
      </c>
      <c r="F1935" s="18">
        <f t="shared" si="1"/>
        <v>5.17</v>
      </c>
      <c r="G1935" s="17" t="str">
        <f>Github!H$1934</f>
        <v>Algorithms</v>
      </c>
      <c r="H1935" s="17" t="str">
        <f>Github!E$1934</f>
        <v>Easy</v>
      </c>
      <c r="I1935" s="17" t="str">
        <f>IF(TRIM(Github!D$1934)="TRUE","FALSE","TRUE")</f>
        <v>FALSE</v>
      </c>
      <c r="J1935" s="17"/>
      <c r="K1935" s="17" t="str">
        <f>Github!L$1934</f>
        <v>String;</v>
      </c>
      <c r="L1935" s="17" t="b">
        <f>Github!M$1934</f>
        <v>0</v>
      </c>
      <c r="M1935" s="17" t="str">
        <f>ROUND(Github!N$1934, 2)&amp;"%"</f>
        <v>0%</v>
      </c>
      <c r="N1935" s="17">
        <f>Github!O$1934</f>
        <v>51.63487738</v>
      </c>
      <c r="O1935" s="17">
        <f>Github!P$1934</f>
        <v>1895</v>
      </c>
    </row>
    <row r="1936">
      <c r="A1936" s="17">
        <f>Github!J$1935</f>
        <v>1934</v>
      </c>
      <c r="B1936" s="27" t="str">
        <f>HYPERLINK(CONCAT("http://leetcode.com/problems/",Github!C$1935), Github!B$1935)</f>
        <v>Confirmation Rate</v>
      </c>
      <c r="C1936" s="17">
        <f>Github!F$1935</f>
        <v>28</v>
      </c>
      <c r="D1936" s="17">
        <f>Github!G$1935</f>
        <v>9</v>
      </c>
      <c r="E1936" s="17">
        <f>Github!F$1935+Github!G$1935</f>
        <v>37</v>
      </c>
      <c r="F1936" s="18">
        <f t="shared" si="1"/>
        <v>3.11</v>
      </c>
      <c r="G1936" s="17" t="str">
        <f>Github!H$1935</f>
        <v>Database</v>
      </c>
      <c r="H1936" s="17" t="str">
        <f>Github!E$1935</f>
        <v>Medium</v>
      </c>
      <c r="I1936" s="17" t="str">
        <f>IF(TRIM(Github!D$1935)="TRUE","FALSE","TRUE")</f>
        <v>FALSE</v>
      </c>
      <c r="J1936" s="17"/>
      <c r="K1936" s="17" t="str">
        <f>Github!L$1935</f>
        <v>Database;</v>
      </c>
      <c r="L1936" s="17" t="b">
        <f>Github!M$1935</f>
        <v>0</v>
      </c>
      <c r="M1936" s="17" t="str">
        <f>ROUND(Github!N$1935, 2)&amp;"%"</f>
        <v>0%</v>
      </c>
      <c r="N1936" s="17">
        <f>Github!O$1935</f>
        <v>77.3476597</v>
      </c>
      <c r="O1936" s="17">
        <f>Github!P$1935</f>
        <v>5255</v>
      </c>
    </row>
    <row r="1937">
      <c r="A1937" s="17">
        <f>Github!J$1936</f>
        <v>1935</v>
      </c>
      <c r="B1937" s="27" t="str">
        <f>HYPERLINK(CONCAT("http://leetcode.com/problems/",Github!C$1936), Github!B$1936)</f>
        <v>Maximum Number of Words You Can Type</v>
      </c>
      <c r="C1937" s="17">
        <f>Github!F$1936</f>
        <v>253</v>
      </c>
      <c r="D1937" s="17">
        <f>Github!G$1936</f>
        <v>11</v>
      </c>
      <c r="E1937" s="17">
        <f>Github!F$1936+Github!G$1936</f>
        <v>264</v>
      </c>
      <c r="F1937" s="18">
        <f t="shared" si="1"/>
        <v>23</v>
      </c>
      <c r="G1937" s="17" t="str">
        <f>Github!H$1936</f>
        <v>Algorithms</v>
      </c>
      <c r="H1937" s="17" t="str">
        <f>Github!E$1936</f>
        <v>Easy</v>
      </c>
      <c r="I1937" s="17" t="str">
        <f>IF(TRIM(Github!D$1936)="TRUE","FALSE","TRUE")</f>
        <v>TRUE</v>
      </c>
      <c r="J1937" s="17"/>
      <c r="K1937" s="17" t="str">
        <f>Github!L$1936</f>
        <v>Hash Table;String;</v>
      </c>
      <c r="L1937" s="17" t="b">
        <f>Github!M$1936</f>
        <v>0</v>
      </c>
      <c r="M1937" s="17" t="str">
        <f>ROUND(Github!N$1936, 2)&amp;"%"</f>
        <v>0%</v>
      </c>
      <c r="N1937" s="17">
        <f>Github!O$1936</f>
        <v>71.60916793</v>
      </c>
      <c r="O1937" s="17">
        <f>Github!P$1936</f>
        <v>26963</v>
      </c>
    </row>
    <row r="1938">
      <c r="A1938" s="17">
        <f>Github!J$1937</f>
        <v>1936</v>
      </c>
      <c r="B1938" s="27" t="str">
        <f>HYPERLINK(CONCAT("http://leetcode.com/problems/",Github!C$1937), Github!B$1937)</f>
        <v>Add Minimum Number of Rungs</v>
      </c>
      <c r="C1938" s="17">
        <f>Github!F$1937</f>
        <v>212</v>
      </c>
      <c r="D1938" s="17">
        <f>Github!G$1937</f>
        <v>17</v>
      </c>
      <c r="E1938" s="17">
        <f>Github!F$1937+Github!G$1937</f>
        <v>229</v>
      </c>
      <c r="F1938" s="18">
        <f t="shared" si="1"/>
        <v>12.47</v>
      </c>
      <c r="G1938" s="17" t="str">
        <f>Github!H$1937</f>
        <v>Algorithms</v>
      </c>
      <c r="H1938" s="17" t="str">
        <f>Github!E$1937</f>
        <v>Medium</v>
      </c>
      <c r="I1938" s="17" t="str">
        <f>IF(TRIM(Github!D$1937)="TRUE","FALSE","TRUE")</f>
        <v>TRUE</v>
      </c>
      <c r="J1938" s="17"/>
      <c r="K1938" s="17" t="str">
        <f>Github!L$1937</f>
        <v>Array;Greedy;</v>
      </c>
      <c r="L1938" s="17" t="b">
        <f>Github!M$1937</f>
        <v>0</v>
      </c>
      <c r="M1938" s="17" t="str">
        <f>ROUND(Github!N$1937, 2)&amp;"%"</f>
        <v>0%</v>
      </c>
      <c r="N1938" s="17">
        <f>Github!O$1937</f>
        <v>42.24058553</v>
      </c>
      <c r="O1938" s="17">
        <f>Github!P$1937</f>
        <v>17891</v>
      </c>
    </row>
    <row r="1939">
      <c r="A1939" s="17">
        <f>Github!J$1938</f>
        <v>1937</v>
      </c>
      <c r="B1939" s="27" t="str">
        <f>HYPERLINK(CONCAT("http://leetcode.com/problems/",Github!C$1938), Github!B$1938)</f>
        <v>Maximum Number of Points with Cost</v>
      </c>
      <c r="C1939" s="17">
        <f>Github!F$1938</f>
        <v>1274</v>
      </c>
      <c r="D1939" s="17">
        <f>Github!G$1938</f>
        <v>67</v>
      </c>
      <c r="E1939" s="17">
        <f>Github!F$1938+Github!G$1938</f>
        <v>1341</v>
      </c>
      <c r="F1939" s="18">
        <f t="shared" si="1"/>
        <v>19.01</v>
      </c>
      <c r="G1939" s="17" t="str">
        <f>Github!H$1938</f>
        <v>Algorithms</v>
      </c>
      <c r="H1939" s="17" t="str">
        <f>Github!E$1938</f>
        <v>Medium</v>
      </c>
      <c r="I1939" s="17" t="str">
        <f>IF(TRIM(Github!D$1938)="TRUE","FALSE","TRUE")</f>
        <v>TRUE</v>
      </c>
      <c r="J1939" s="17"/>
      <c r="K1939" s="17" t="str">
        <f>Github!L$1938</f>
        <v>Array;Dynamic Programming;</v>
      </c>
      <c r="L1939" s="17" t="b">
        <f>Github!M$1938</f>
        <v>0</v>
      </c>
      <c r="M1939" s="17" t="str">
        <f>ROUND(Github!N$1938, 2)&amp;"%"</f>
        <v>0%</v>
      </c>
      <c r="N1939" s="17">
        <f>Github!O$1938</f>
        <v>34.96269826</v>
      </c>
      <c r="O1939" s="17">
        <f>Github!P$1938</f>
        <v>30131</v>
      </c>
    </row>
    <row r="1940">
      <c r="A1940" s="17">
        <f>Github!J$1939</f>
        <v>1938</v>
      </c>
      <c r="B1940" s="27" t="str">
        <f>HYPERLINK(CONCAT("http://leetcode.com/problems/",Github!C$1939), Github!B$1939)</f>
        <v>Maximum Genetic Difference Query</v>
      </c>
      <c r="C1940" s="17">
        <f>Github!F$1939</f>
        <v>213</v>
      </c>
      <c r="D1940" s="17">
        <f>Github!G$1939</f>
        <v>10</v>
      </c>
      <c r="E1940" s="17">
        <f>Github!F$1939+Github!G$1939</f>
        <v>223</v>
      </c>
      <c r="F1940" s="18">
        <f t="shared" si="1"/>
        <v>21.3</v>
      </c>
      <c r="G1940" s="17" t="str">
        <f>Github!H$1939</f>
        <v>Algorithms</v>
      </c>
      <c r="H1940" s="17" t="str">
        <f>Github!E$1939</f>
        <v>Hard</v>
      </c>
      <c r="I1940" s="17" t="str">
        <f>IF(TRIM(Github!D$1939)="TRUE","FALSE","TRUE")</f>
        <v>TRUE</v>
      </c>
      <c r="J1940" s="17"/>
      <c r="K1940" s="17" t="str">
        <f>Github!L$1939</f>
        <v>Array;Bit Manipulation;Trie;</v>
      </c>
      <c r="L1940" s="17" t="b">
        <f>Github!M$1939</f>
        <v>0</v>
      </c>
      <c r="M1940" s="17" t="str">
        <f>ROUND(Github!N$1939, 2)&amp;"%"</f>
        <v>0%</v>
      </c>
      <c r="N1940" s="17">
        <f>Github!O$1939</f>
        <v>39.24944266</v>
      </c>
      <c r="O1940" s="17">
        <f>Github!P$1939</f>
        <v>3169</v>
      </c>
    </row>
    <row r="1941">
      <c r="A1941" s="17">
        <f>Github!J$1940</f>
        <v>1939</v>
      </c>
      <c r="B1941" s="27" t="str">
        <f>HYPERLINK(CONCAT("http://leetcode.com/problems/",Github!C$1940), Github!B$1940)</f>
        <v>Users That Actively Request Confirmation Messages</v>
      </c>
      <c r="C1941" s="17">
        <f>Github!F$1940</f>
        <v>24</v>
      </c>
      <c r="D1941" s="17">
        <f>Github!G$1940</f>
        <v>19</v>
      </c>
      <c r="E1941" s="17">
        <f>Github!F$1940+Github!G$1940</f>
        <v>43</v>
      </c>
      <c r="F1941" s="18">
        <f t="shared" si="1"/>
        <v>1.26</v>
      </c>
      <c r="G1941" s="17" t="str">
        <f>Github!H$1940</f>
        <v>Database</v>
      </c>
      <c r="H1941" s="17" t="str">
        <f>Github!E$1940</f>
        <v>Easy</v>
      </c>
      <c r="I1941" s="17" t="str">
        <f>IF(TRIM(Github!D$1940)="TRUE","FALSE","TRUE")</f>
        <v>FALSE</v>
      </c>
      <c r="J1941" s="17"/>
      <c r="K1941" s="17" t="str">
        <f>Github!L$1940</f>
        <v>Database;</v>
      </c>
      <c r="L1941" s="17" t="b">
        <f>Github!M$1940</f>
        <v>0</v>
      </c>
      <c r="M1941" s="17" t="str">
        <f>ROUND(Github!N$1940, 2)&amp;"%"</f>
        <v>0%</v>
      </c>
      <c r="N1941" s="17">
        <f>Github!O$1940</f>
        <v>61.66157428</v>
      </c>
      <c r="O1941" s="17">
        <f>Github!P$1940</f>
        <v>4238</v>
      </c>
    </row>
    <row r="1942">
      <c r="A1942" s="17">
        <f>Github!J$1941</f>
        <v>1940</v>
      </c>
      <c r="B1942" s="27" t="str">
        <f>HYPERLINK(CONCAT("http://leetcode.com/problems/",Github!C$1941), Github!B$1941)</f>
        <v>Longest Common Subsequence Between Sorted Arrays</v>
      </c>
      <c r="C1942" s="17">
        <f>Github!F$1941</f>
        <v>89</v>
      </c>
      <c r="D1942" s="17">
        <f>Github!G$1941</f>
        <v>3</v>
      </c>
      <c r="E1942" s="17">
        <f>Github!F$1941+Github!G$1941</f>
        <v>92</v>
      </c>
      <c r="F1942" s="18">
        <f t="shared" si="1"/>
        <v>29.67</v>
      </c>
      <c r="G1942" s="17" t="str">
        <f>Github!H$1941</f>
        <v>Algorithms</v>
      </c>
      <c r="H1942" s="17" t="str">
        <f>Github!E$1941</f>
        <v>Medium</v>
      </c>
      <c r="I1942" s="17" t="str">
        <f>IF(TRIM(Github!D$1941)="TRUE","FALSE","TRUE")</f>
        <v>FALSE</v>
      </c>
      <c r="J1942" s="17"/>
      <c r="K1942" s="17" t="str">
        <f>Github!L$1941</f>
        <v>Array;Hash Table;Counting;</v>
      </c>
      <c r="L1942" s="17" t="b">
        <f>Github!M$1941</f>
        <v>0</v>
      </c>
      <c r="M1942" s="17" t="str">
        <f>ROUND(Github!N$1941, 2)&amp;"%"</f>
        <v>0%</v>
      </c>
      <c r="N1942" s="17">
        <f>Github!O$1941</f>
        <v>79.73624144</v>
      </c>
      <c r="O1942" s="17">
        <f>Github!P$1941</f>
        <v>3144</v>
      </c>
    </row>
    <row r="1943">
      <c r="A1943" s="17">
        <f>Github!J$1942</f>
        <v>1941</v>
      </c>
      <c r="B1943" s="27" t="str">
        <f>HYPERLINK(CONCAT("http://leetcode.com/problems/",Github!C$1942), Github!B$1942)</f>
        <v>Check if All Characters Have Equal Number of Occurrences</v>
      </c>
      <c r="C1943" s="17">
        <f>Github!F$1942</f>
        <v>297</v>
      </c>
      <c r="D1943" s="17">
        <f>Github!G$1942</f>
        <v>10</v>
      </c>
      <c r="E1943" s="17">
        <f>Github!F$1942+Github!G$1942</f>
        <v>307</v>
      </c>
      <c r="F1943" s="18">
        <f t="shared" si="1"/>
        <v>29.7</v>
      </c>
      <c r="G1943" s="17" t="str">
        <f>Github!H$1942</f>
        <v>Algorithms</v>
      </c>
      <c r="H1943" s="17" t="str">
        <f>Github!E$1942</f>
        <v>Easy</v>
      </c>
      <c r="I1943" s="17" t="str">
        <f>IF(TRIM(Github!D$1942)="TRUE","FALSE","TRUE")</f>
        <v>TRUE</v>
      </c>
      <c r="J1943" s="17"/>
      <c r="K1943" s="17" t="str">
        <f>Github!L$1942</f>
        <v>Hash Table;String;Counting;</v>
      </c>
      <c r="L1943" s="17" t="b">
        <f>Github!M$1942</f>
        <v>0</v>
      </c>
      <c r="M1943" s="17" t="str">
        <f>ROUND(Github!N$1942, 2)&amp;"%"</f>
        <v>0%</v>
      </c>
      <c r="N1943" s="17">
        <f>Github!O$1942</f>
        <v>77.10798263</v>
      </c>
      <c r="O1943" s="17">
        <f>Github!P$1942</f>
        <v>30891</v>
      </c>
    </row>
    <row r="1944">
      <c r="A1944" s="17">
        <f>Github!J$1943</f>
        <v>1942</v>
      </c>
      <c r="B1944" s="27" t="str">
        <f>HYPERLINK(CONCAT("http://leetcode.com/problems/",Github!C$1943), Github!B$1943)</f>
        <v>The Number of the Smallest Unoccupied Chair</v>
      </c>
      <c r="C1944" s="17">
        <f>Github!F$1943</f>
        <v>363</v>
      </c>
      <c r="D1944" s="17">
        <f>Github!G$1943</f>
        <v>18</v>
      </c>
      <c r="E1944" s="17">
        <f>Github!F$1943+Github!G$1943</f>
        <v>381</v>
      </c>
      <c r="F1944" s="18">
        <f t="shared" si="1"/>
        <v>20.17</v>
      </c>
      <c r="G1944" s="17" t="str">
        <f>Github!H$1943</f>
        <v>Algorithms</v>
      </c>
      <c r="H1944" s="17" t="str">
        <f>Github!E$1943</f>
        <v>Medium</v>
      </c>
      <c r="I1944" s="17" t="str">
        <f>IF(TRIM(Github!D$1943)="TRUE","FALSE","TRUE")</f>
        <v>TRUE</v>
      </c>
      <c r="J1944" s="17"/>
      <c r="K1944" s="17" t="str">
        <f>Github!L$1943</f>
        <v>Array;Heap (Priority Queue);Ordered Set;</v>
      </c>
      <c r="L1944" s="17" t="b">
        <f>Github!M$1943</f>
        <v>0</v>
      </c>
      <c r="M1944" s="17" t="str">
        <f>ROUND(Github!N$1943, 2)&amp;"%"</f>
        <v>0%</v>
      </c>
      <c r="N1944" s="17">
        <f>Github!O$1943</f>
        <v>38.59099948</v>
      </c>
      <c r="O1944" s="17">
        <f>Github!P$1943</f>
        <v>10479</v>
      </c>
    </row>
    <row r="1945">
      <c r="A1945" s="17">
        <f>Github!J$1944</f>
        <v>1943</v>
      </c>
      <c r="B1945" s="27" t="str">
        <f>HYPERLINK(CONCAT("http://leetcode.com/problems/",Github!C$1944), Github!B$1944)</f>
        <v>Describe the Painting</v>
      </c>
      <c r="C1945" s="17">
        <f>Github!F$1944</f>
        <v>264</v>
      </c>
      <c r="D1945" s="17">
        <f>Github!G$1944</f>
        <v>16</v>
      </c>
      <c r="E1945" s="17">
        <f>Github!F$1944+Github!G$1944</f>
        <v>280</v>
      </c>
      <c r="F1945" s="18">
        <f t="shared" si="1"/>
        <v>16.5</v>
      </c>
      <c r="G1945" s="17" t="str">
        <f>Github!H$1944</f>
        <v>Algorithms</v>
      </c>
      <c r="H1945" s="17" t="str">
        <f>Github!E$1944</f>
        <v>Medium</v>
      </c>
      <c r="I1945" s="17" t="str">
        <f>IF(TRIM(Github!D$1944)="TRUE","FALSE","TRUE")</f>
        <v>TRUE</v>
      </c>
      <c r="J1945" s="17"/>
      <c r="K1945" s="17" t="str">
        <f>Github!L$1944</f>
        <v>Array;Prefix Sum;</v>
      </c>
      <c r="L1945" s="17" t="b">
        <f>Github!M$1944</f>
        <v>0</v>
      </c>
      <c r="M1945" s="17" t="str">
        <f>ROUND(Github!N$1944, 2)&amp;"%"</f>
        <v>0%</v>
      </c>
      <c r="N1945" s="17">
        <f>Github!O$1944</f>
        <v>46.11460749</v>
      </c>
      <c r="O1945" s="17">
        <f>Github!P$1944</f>
        <v>6961</v>
      </c>
    </row>
    <row r="1946">
      <c r="A1946" s="17">
        <f>Github!J$1945</f>
        <v>1944</v>
      </c>
      <c r="B1946" s="27" t="str">
        <f>HYPERLINK(CONCAT("http://leetcode.com/problems/",Github!C$1945), Github!B$1945)</f>
        <v>Number of Visible People in a Queue</v>
      </c>
      <c r="C1946" s="17">
        <f>Github!F$1945</f>
        <v>664</v>
      </c>
      <c r="D1946" s="17">
        <f>Github!G$1945</f>
        <v>13</v>
      </c>
      <c r="E1946" s="17">
        <f>Github!F$1945+Github!G$1945</f>
        <v>677</v>
      </c>
      <c r="F1946" s="18">
        <f t="shared" si="1"/>
        <v>51.08</v>
      </c>
      <c r="G1946" s="17" t="str">
        <f>Github!H$1945</f>
        <v>Algorithms</v>
      </c>
      <c r="H1946" s="17" t="str">
        <f>Github!E$1945</f>
        <v>Hard</v>
      </c>
      <c r="I1946" s="17" t="str">
        <f>IF(TRIM(Github!D$1945)="TRUE","FALSE","TRUE")</f>
        <v>TRUE</v>
      </c>
      <c r="J1946" s="17"/>
      <c r="K1946" s="17" t="str">
        <f>Github!L$1945</f>
        <v>Array;Stack;Monotonic Stack;</v>
      </c>
      <c r="L1946" s="17" t="b">
        <f>Github!M$1945</f>
        <v>0</v>
      </c>
      <c r="M1946" s="17" t="str">
        <f>ROUND(Github!N$1945, 2)&amp;"%"</f>
        <v>0%</v>
      </c>
      <c r="N1946" s="17">
        <f>Github!O$1945</f>
        <v>69.82184632</v>
      </c>
      <c r="O1946" s="17">
        <f>Github!P$1945</f>
        <v>15520</v>
      </c>
    </row>
    <row r="1947">
      <c r="A1947" s="17">
        <f>Github!J$1946</f>
        <v>1945</v>
      </c>
      <c r="B1947" s="27" t="str">
        <f>HYPERLINK(CONCAT("http://leetcode.com/problems/",Github!C$1946), Github!B$1946)</f>
        <v>Sum of Digits of String After Convert</v>
      </c>
      <c r="C1947" s="17">
        <f>Github!F$1946</f>
        <v>248</v>
      </c>
      <c r="D1947" s="17">
        <f>Github!G$1946</f>
        <v>29</v>
      </c>
      <c r="E1947" s="17">
        <f>Github!F$1946+Github!G$1946</f>
        <v>277</v>
      </c>
      <c r="F1947" s="18">
        <f t="shared" si="1"/>
        <v>8.55</v>
      </c>
      <c r="G1947" s="17" t="str">
        <f>Github!H$1946</f>
        <v>Algorithms</v>
      </c>
      <c r="H1947" s="17" t="str">
        <f>Github!E$1946</f>
        <v>Easy</v>
      </c>
      <c r="I1947" s="17" t="str">
        <f>IF(TRIM(Github!D$1946)="TRUE","FALSE","TRUE")</f>
        <v>TRUE</v>
      </c>
      <c r="J1947" s="17"/>
      <c r="K1947" s="17" t="str">
        <f>Github!L$1946</f>
        <v>String;Simulation;</v>
      </c>
      <c r="L1947" s="17" t="b">
        <f>Github!M$1946</f>
        <v>0</v>
      </c>
      <c r="M1947" s="17" t="str">
        <f>ROUND(Github!N$1946, 2)&amp;"%"</f>
        <v>0%</v>
      </c>
      <c r="N1947" s="17">
        <f>Github!O$1946</f>
        <v>61.47014655</v>
      </c>
      <c r="O1947" s="17">
        <f>Github!P$1946</f>
        <v>23741</v>
      </c>
    </row>
    <row r="1948">
      <c r="A1948" s="17">
        <f>Github!J$1947</f>
        <v>1946</v>
      </c>
      <c r="B1948" s="27" t="str">
        <f>HYPERLINK(CONCAT("http://leetcode.com/problems/",Github!C$1947), Github!B$1947)</f>
        <v>Largest Number After Mutating Substring</v>
      </c>
      <c r="C1948" s="17">
        <f>Github!F$1947</f>
        <v>131</v>
      </c>
      <c r="D1948" s="17">
        <f>Github!G$1947</f>
        <v>159</v>
      </c>
      <c r="E1948" s="17">
        <f>Github!F$1947+Github!G$1947</f>
        <v>290</v>
      </c>
      <c r="F1948" s="18">
        <f t="shared" si="1"/>
        <v>0.82</v>
      </c>
      <c r="G1948" s="17" t="str">
        <f>Github!H$1947</f>
        <v>Algorithms</v>
      </c>
      <c r="H1948" s="17" t="str">
        <f>Github!E$1947</f>
        <v>Medium</v>
      </c>
      <c r="I1948" s="17" t="str">
        <f>IF(TRIM(Github!D$1947)="TRUE","FALSE","TRUE")</f>
        <v>TRUE</v>
      </c>
      <c r="J1948" s="17"/>
      <c r="K1948" s="17" t="str">
        <f>Github!L$1947</f>
        <v>Array;String;Greedy;</v>
      </c>
      <c r="L1948" s="17" t="b">
        <f>Github!M$1947</f>
        <v>0</v>
      </c>
      <c r="M1948" s="17" t="str">
        <f>ROUND(Github!N$1947, 2)&amp;"%"</f>
        <v>0%</v>
      </c>
      <c r="N1948" s="17">
        <f>Github!O$1947</f>
        <v>33.76394166</v>
      </c>
      <c r="O1948" s="17">
        <f>Github!P$1947</f>
        <v>13774</v>
      </c>
    </row>
    <row r="1949">
      <c r="A1949" s="17">
        <f>Github!J$1948</f>
        <v>1947</v>
      </c>
      <c r="B1949" s="27" t="str">
        <f>HYPERLINK(CONCAT("http://leetcode.com/problems/",Github!C$1948), Github!B$1948)</f>
        <v>Maximum Compatibility Score Sum</v>
      </c>
      <c r="C1949" s="17">
        <f>Github!F$1948</f>
        <v>428</v>
      </c>
      <c r="D1949" s="17">
        <f>Github!G$1948</f>
        <v>10</v>
      </c>
      <c r="E1949" s="17">
        <f>Github!F$1948+Github!G$1948</f>
        <v>438</v>
      </c>
      <c r="F1949" s="18">
        <f t="shared" si="1"/>
        <v>42.8</v>
      </c>
      <c r="G1949" s="17" t="str">
        <f>Github!H$1948</f>
        <v>Algorithms</v>
      </c>
      <c r="H1949" s="17" t="str">
        <f>Github!E$1948</f>
        <v>Medium</v>
      </c>
      <c r="I1949" s="17" t="str">
        <f>IF(TRIM(Github!D$1948)="TRUE","FALSE","TRUE")</f>
        <v>TRUE</v>
      </c>
      <c r="J1949" s="17"/>
      <c r="K1949" s="17" t="str">
        <f>Github!L$1948</f>
        <v>Array;Dynamic Programming;Backtracking;Bit Manipulation;Bitmask;</v>
      </c>
      <c r="L1949" s="17" t="b">
        <f>Github!M$1948</f>
        <v>0</v>
      </c>
      <c r="M1949" s="17" t="str">
        <f>ROUND(Github!N$1948, 2)&amp;"%"</f>
        <v>0%</v>
      </c>
      <c r="N1949" s="17">
        <f>Github!O$1948</f>
        <v>59.73019901</v>
      </c>
      <c r="O1949" s="17">
        <f>Github!P$1948</f>
        <v>13416</v>
      </c>
    </row>
    <row r="1950">
      <c r="A1950" s="17">
        <f>Github!J$1949</f>
        <v>1948</v>
      </c>
      <c r="B1950" s="27" t="str">
        <f>HYPERLINK(CONCAT("http://leetcode.com/problems/",Github!C$1949), Github!B$1949)</f>
        <v>Delete Duplicate Folders in System</v>
      </c>
      <c r="C1950" s="17">
        <f>Github!F$1949</f>
        <v>157</v>
      </c>
      <c r="D1950" s="17">
        <f>Github!G$1949</f>
        <v>46</v>
      </c>
      <c r="E1950" s="17">
        <f>Github!F$1949+Github!G$1949</f>
        <v>203</v>
      </c>
      <c r="F1950" s="18">
        <f t="shared" si="1"/>
        <v>3.41</v>
      </c>
      <c r="G1950" s="17" t="str">
        <f>Github!H$1949</f>
        <v>Algorithms</v>
      </c>
      <c r="H1950" s="17" t="str">
        <f>Github!E$1949</f>
        <v>Hard</v>
      </c>
      <c r="I1950" s="17" t="str">
        <f>IF(TRIM(Github!D$1949)="TRUE","FALSE","TRUE")</f>
        <v>TRUE</v>
      </c>
      <c r="J1950" s="17"/>
      <c r="K1950" s="17" t="str">
        <f>Github!L$1949</f>
        <v>Array;Hash Table;String;Trie;Hash Function;</v>
      </c>
      <c r="L1950" s="17" t="b">
        <f>Github!M$1949</f>
        <v>0</v>
      </c>
      <c r="M1950" s="17" t="str">
        <f>ROUND(Github!N$1949, 2)&amp;"%"</f>
        <v>0%</v>
      </c>
      <c r="N1950" s="17">
        <f>Github!O$1949</f>
        <v>58.91922478</v>
      </c>
      <c r="O1950" s="17">
        <f>Github!P$1949</f>
        <v>4165</v>
      </c>
    </row>
    <row r="1951">
      <c r="A1951" s="17">
        <f>Github!J$1950</f>
        <v>1949</v>
      </c>
      <c r="B1951" s="27" t="str">
        <f>HYPERLINK(CONCAT("http://leetcode.com/problems/",Github!C$1950), Github!B$1950)</f>
        <v>Strong Friendship</v>
      </c>
      <c r="C1951" s="17">
        <f>Github!F$1950</f>
        <v>70</v>
      </c>
      <c r="D1951" s="17">
        <f>Github!G$1950</f>
        <v>25</v>
      </c>
      <c r="E1951" s="17">
        <f>Github!F$1950+Github!G$1950</f>
        <v>95</v>
      </c>
      <c r="F1951" s="18">
        <f t="shared" si="1"/>
        <v>2.8</v>
      </c>
      <c r="G1951" s="17" t="str">
        <f>Github!H$1950</f>
        <v>Database</v>
      </c>
      <c r="H1951" s="17" t="str">
        <f>Github!E$1950</f>
        <v>Medium</v>
      </c>
      <c r="I1951" s="17" t="str">
        <f>IF(TRIM(Github!D$1950)="TRUE","FALSE","TRUE")</f>
        <v>FALSE</v>
      </c>
      <c r="J1951" s="17"/>
      <c r="K1951" s="17" t="str">
        <f>Github!L$1950</f>
        <v>Database;</v>
      </c>
      <c r="L1951" s="17" t="b">
        <f>Github!M$1950</f>
        <v>0</v>
      </c>
      <c r="M1951" s="17" t="str">
        <f>ROUND(Github!N$1950, 2)&amp;"%"</f>
        <v>0%</v>
      </c>
      <c r="N1951" s="17">
        <f>Github!O$1950</f>
        <v>60.16961762</v>
      </c>
      <c r="O1951" s="17">
        <f>Github!P$1950</f>
        <v>4044</v>
      </c>
    </row>
    <row r="1952">
      <c r="A1952" s="17">
        <f>Github!J$1951</f>
        <v>1950</v>
      </c>
      <c r="B1952" s="27" t="str">
        <f>HYPERLINK(CONCAT("http://leetcode.com/problems/",Github!C$1951), Github!B$1951)</f>
        <v>Maximum of Minimum Values in All Subarrays</v>
      </c>
      <c r="C1952" s="17">
        <f>Github!F$1951</f>
        <v>75</v>
      </c>
      <c r="D1952" s="17">
        <f>Github!G$1951</f>
        <v>11</v>
      </c>
      <c r="E1952" s="17">
        <f>Github!F$1951+Github!G$1951</f>
        <v>86</v>
      </c>
      <c r="F1952" s="18">
        <f t="shared" si="1"/>
        <v>6.82</v>
      </c>
      <c r="G1952" s="17" t="str">
        <f>Github!H$1951</f>
        <v>Algorithms</v>
      </c>
      <c r="H1952" s="17" t="str">
        <f>Github!E$1951</f>
        <v>Medium</v>
      </c>
      <c r="I1952" s="17" t="str">
        <f>IF(TRIM(Github!D$1951)="TRUE","FALSE","TRUE")</f>
        <v>FALSE</v>
      </c>
      <c r="J1952" s="17"/>
      <c r="K1952" s="17" t="str">
        <f>Github!L$1951</f>
        <v>Array;Stack;Monotonic Stack;</v>
      </c>
      <c r="L1952" s="17" t="b">
        <f>Github!M$1951</f>
        <v>0</v>
      </c>
      <c r="M1952" s="17" t="str">
        <f>ROUND(Github!N$1951, 2)&amp;"%"</f>
        <v>0%</v>
      </c>
      <c r="N1952" s="17">
        <f>Github!O$1951</f>
        <v>51.79671458</v>
      </c>
      <c r="O1952" s="17">
        <f>Github!P$1951</f>
        <v>1009</v>
      </c>
    </row>
    <row r="1953">
      <c r="A1953" s="17">
        <f>Github!J$1952</f>
        <v>1951</v>
      </c>
      <c r="B1953" s="27" t="str">
        <f>HYPERLINK(CONCAT("http://leetcode.com/problems/",Github!C$1952), Github!B$1952)</f>
        <v>All the Pairs With the Maximum Number of Common Followers</v>
      </c>
      <c r="C1953" s="17">
        <f>Github!F$1952</f>
        <v>27</v>
      </c>
      <c r="D1953" s="17">
        <f>Github!G$1952</f>
        <v>2</v>
      </c>
      <c r="E1953" s="17">
        <f>Github!F$1952+Github!G$1952</f>
        <v>29</v>
      </c>
      <c r="F1953" s="18">
        <f t="shared" si="1"/>
        <v>13.5</v>
      </c>
      <c r="G1953" s="17" t="str">
        <f>Github!H$1952</f>
        <v>Database</v>
      </c>
      <c r="H1953" s="17" t="str">
        <f>Github!E$1952</f>
        <v>Medium</v>
      </c>
      <c r="I1953" s="17" t="str">
        <f>IF(TRIM(Github!D$1952)="TRUE","FALSE","TRUE")</f>
        <v>FALSE</v>
      </c>
      <c r="J1953" s="17"/>
      <c r="K1953" s="17" t="str">
        <f>Github!L$1952</f>
        <v>Database;</v>
      </c>
      <c r="L1953" s="17" t="b">
        <f>Github!M$1952</f>
        <v>0</v>
      </c>
      <c r="M1953" s="17" t="str">
        <f>ROUND(Github!N$1952, 2)&amp;"%"</f>
        <v>0%</v>
      </c>
      <c r="N1953" s="17">
        <f>Github!O$1952</f>
        <v>71.19666048</v>
      </c>
      <c r="O1953" s="17">
        <f>Github!P$1952</f>
        <v>3070</v>
      </c>
    </row>
    <row r="1954">
      <c r="A1954" s="17">
        <f>Github!J$1953</f>
        <v>1952</v>
      </c>
      <c r="B1954" s="27" t="str">
        <f>HYPERLINK(CONCAT("http://leetcode.com/problems/",Github!C$1953), Github!B$1953)</f>
        <v>Three Divisors</v>
      </c>
      <c r="C1954" s="17">
        <f>Github!F$1953</f>
        <v>206</v>
      </c>
      <c r="D1954" s="17">
        <f>Github!G$1953</f>
        <v>15</v>
      </c>
      <c r="E1954" s="17">
        <f>Github!F$1953+Github!G$1953</f>
        <v>221</v>
      </c>
      <c r="F1954" s="18">
        <f t="shared" si="1"/>
        <v>13.73</v>
      </c>
      <c r="G1954" s="17" t="str">
        <f>Github!H$1953</f>
        <v>Algorithms</v>
      </c>
      <c r="H1954" s="17" t="str">
        <f>Github!E$1953</f>
        <v>Easy</v>
      </c>
      <c r="I1954" s="17" t="str">
        <f>IF(TRIM(Github!D$1953)="TRUE","FALSE","TRUE")</f>
        <v>TRUE</v>
      </c>
      <c r="J1954" s="17"/>
      <c r="K1954" s="17" t="str">
        <f>Github!L$1953</f>
        <v>Math;</v>
      </c>
      <c r="L1954" s="17" t="b">
        <f>Github!M$1953</f>
        <v>0</v>
      </c>
      <c r="M1954" s="17" t="str">
        <f>ROUND(Github!N$1953, 2)&amp;"%"</f>
        <v>0%</v>
      </c>
      <c r="N1954" s="17">
        <f>Github!O$1953</f>
        <v>56.50334697</v>
      </c>
      <c r="O1954" s="17">
        <f>Github!P$1953</f>
        <v>24310</v>
      </c>
    </row>
    <row r="1955">
      <c r="A1955" s="17">
        <f>Github!J$1954</f>
        <v>1953</v>
      </c>
      <c r="B1955" s="27" t="str">
        <f>HYPERLINK(CONCAT("http://leetcode.com/problems/",Github!C$1954), Github!B$1954)</f>
        <v>Maximum Number of Weeks for Which You Can Work</v>
      </c>
      <c r="C1955" s="17">
        <f>Github!F$1954</f>
        <v>360</v>
      </c>
      <c r="D1955" s="17">
        <f>Github!G$1954</f>
        <v>92</v>
      </c>
      <c r="E1955" s="17">
        <f>Github!F$1954+Github!G$1954</f>
        <v>452</v>
      </c>
      <c r="F1955" s="18">
        <f t="shared" si="1"/>
        <v>3.91</v>
      </c>
      <c r="G1955" s="17" t="str">
        <f>Github!H$1954</f>
        <v>Algorithms</v>
      </c>
      <c r="H1955" s="17" t="str">
        <f>Github!E$1954</f>
        <v>Medium</v>
      </c>
      <c r="I1955" s="17" t="str">
        <f>IF(TRIM(Github!D$1954)="TRUE","FALSE","TRUE")</f>
        <v>TRUE</v>
      </c>
      <c r="J1955" s="17"/>
      <c r="K1955" s="17" t="str">
        <f>Github!L$1954</f>
        <v>Array;Greedy;</v>
      </c>
      <c r="L1955" s="17" t="b">
        <f>Github!M$1954</f>
        <v>0</v>
      </c>
      <c r="M1955" s="17" t="str">
        <f>ROUND(Github!N$1954, 2)&amp;"%"</f>
        <v>0%</v>
      </c>
      <c r="N1955" s="17">
        <f>Github!O$1954</f>
        <v>37.11668984</v>
      </c>
      <c r="O1955" s="17">
        <f>Github!P$1954</f>
        <v>13617</v>
      </c>
    </row>
    <row r="1956">
      <c r="A1956" s="17">
        <f>Github!J$1955</f>
        <v>1954</v>
      </c>
      <c r="B1956" s="27" t="str">
        <f>HYPERLINK(CONCAT("http://leetcode.com/problems/",Github!C$1955), Github!B$1955)</f>
        <v>Minimum Garden Perimeter to Collect Enough Apples</v>
      </c>
      <c r="C1956" s="17">
        <f>Github!F$1955</f>
        <v>197</v>
      </c>
      <c r="D1956" s="17">
        <f>Github!G$1955</f>
        <v>64</v>
      </c>
      <c r="E1956" s="17">
        <f>Github!F$1955+Github!G$1955</f>
        <v>261</v>
      </c>
      <c r="F1956" s="18">
        <f t="shared" si="1"/>
        <v>3.08</v>
      </c>
      <c r="G1956" s="17" t="str">
        <f>Github!H$1955</f>
        <v>Algorithms</v>
      </c>
      <c r="H1956" s="17" t="str">
        <f>Github!E$1955</f>
        <v>Medium</v>
      </c>
      <c r="I1956" s="17" t="str">
        <f>IF(TRIM(Github!D$1955)="TRUE","FALSE","TRUE")</f>
        <v>TRUE</v>
      </c>
      <c r="J1956" s="17"/>
      <c r="K1956" s="17" t="str">
        <f>Github!L$1955</f>
        <v>Math;Binary Search;</v>
      </c>
      <c r="L1956" s="17" t="b">
        <f>Github!M$1955</f>
        <v>0</v>
      </c>
      <c r="M1956" s="17" t="str">
        <f>ROUND(Github!N$1955, 2)&amp;"%"</f>
        <v>0%</v>
      </c>
      <c r="N1956" s="17">
        <f>Github!O$1955</f>
        <v>52.4202776</v>
      </c>
      <c r="O1956" s="17">
        <f>Github!P$1955</f>
        <v>10537</v>
      </c>
    </row>
    <row r="1957">
      <c r="A1957" s="17">
        <f>Github!J$1956</f>
        <v>1955</v>
      </c>
      <c r="B1957" s="27" t="str">
        <f>HYPERLINK(CONCAT("http://leetcode.com/problems/",Github!C$1956), Github!B$1956)</f>
        <v>Count Number of Special Subsequences</v>
      </c>
      <c r="C1957" s="17">
        <f>Github!F$1956</f>
        <v>326</v>
      </c>
      <c r="D1957" s="17">
        <f>Github!G$1956</f>
        <v>6</v>
      </c>
      <c r="E1957" s="17">
        <f>Github!F$1956+Github!G$1956</f>
        <v>332</v>
      </c>
      <c r="F1957" s="18">
        <f t="shared" si="1"/>
        <v>54.33</v>
      </c>
      <c r="G1957" s="17" t="str">
        <f>Github!H$1956</f>
        <v>Algorithms</v>
      </c>
      <c r="H1957" s="17" t="str">
        <f>Github!E$1956</f>
        <v>Hard</v>
      </c>
      <c r="I1957" s="17" t="str">
        <f>IF(TRIM(Github!D$1956)="TRUE","FALSE","TRUE")</f>
        <v>TRUE</v>
      </c>
      <c r="J1957" s="17"/>
      <c r="K1957" s="17" t="str">
        <f>Github!L$1956</f>
        <v>Array;Dynamic Programming;</v>
      </c>
      <c r="L1957" s="17" t="b">
        <f>Github!M$1956</f>
        <v>0</v>
      </c>
      <c r="M1957" s="17" t="str">
        <f>ROUND(Github!N$1956, 2)&amp;"%"</f>
        <v>0%</v>
      </c>
      <c r="N1957" s="17">
        <f>Github!O$1956</f>
        <v>50.80133913</v>
      </c>
      <c r="O1957" s="17">
        <f>Github!P$1956</f>
        <v>7132</v>
      </c>
    </row>
    <row r="1958">
      <c r="A1958" s="17">
        <f>Github!J$1957</f>
        <v>1956</v>
      </c>
      <c r="B1958" s="27" t="str">
        <f>HYPERLINK(CONCAT("http://leetcode.com/problems/",Github!C$1957), Github!B$1957)</f>
        <v>Minimum Time For K Virus Variants to Spread</v>
      </c>
      <c r="C1958" s="17">
        <f>Github!F$1957</f>
        <v>16</v>
      </c>
      <c r="D1958" s="17">
        <f>Github!G$1957</f>
        <v>4</v>
      </c>
      <c r="E1958" s="17">
        <f>Github!F$1957+Github!G$1957</f>
        <v>20</v>
      </c>
      <c r="F1958" s="18">
        <f t="shared" si="1"/>
        <v>4</v>
      </c>
      <c r="G1958" s="17" t="str">
        <f>Github!H$1957</f>
        <v>Algorithms</v>
      </c>
      <c r="H1958" s="17" t="str">
        <f>Github!E$1957</f>
        <v>Hard</v>
      </c>
      <c r="I1958" s="17" t="str">
        <f>IF(TRIM(Github!D$1957)="TRUE","FALSE","TRUE")</f>
        <v>FALSE</v>
      </c>
      <c r="J1958" s="17"/>
      <c r="K1958" s="17" t="str">
        <f>Github!L$1957</f>
        <v>Array;Math;Binary Search;Geometry;Enumeration;</v>
      </c>
      <c r="L1958" s="17" t="b">
        <f>Github!M$1957</f>
        <v>0</v>
      </c>
      <c r="M1958" s="17" t="str">
        <f>ROUND(Github!N$1957, 2)&amp;"%"</f>
        <v>0%</v>
      </c>
      <c r="N1958" s="17">
        <f>Github!O$1957</f>
        <v>43.94273128</v>
      </c>
      <c r="O1958" s="17">
        <f>Github!P$1957</f>
        <v>399</v>
      </c>
    </row>
    <row r="1959">
      <c r="A1959" s="17">
        <f>Github!J$1958</f>
        <v>1957</v>
      </c>
      <c r="B1959" s="27" t="str">
        <f>HYPERLINK(CONCAT("http://leetcode.com/problems/",Github!C$1958), Github!B$1958)</f>
        <v>Delete Characters to Make Fancy String</v>
      </c>
      <c r="C1959" s="17">
        <f>Github!F$1958</f>
        <v>204</v>
      </c>
      <c r="D1959" s="17">
        <f>Github!G$1958</f>
        <v>10</v>
      </c>
      <c r="E1959" s="17">
        <f>Github!F$1958+Github!G$1958</f>
        <v>214</v>
      </c>
      <c r="F1959" s="18">
        <f t="shared" si="1"/>
        <v>20.4</v>
      </c>
      <c r="G1959" s="17" t="str">
        <f>Github!H$1958</f>
        <v>Algorithms</v>
      </c>
      <c r="H1959" s="17" t="str">
        <f>Github!E$1958</f>
        <v>Easy</v>
      </c>
      <c r="I1959" s="17" t="str">
        <f>IF(TRIM(Github!D$1958)="TRUE","FALSE","TRUE")</f>
        <v>TRUE</v>
      </c>
      <c r="J1959" s="17"/>
      <c r="K1959" s="17" t="str">
        <f>Github!L$1958</f>
        <v>String;</v>
      </c>
      <c r="L1959" s="17" t="b">
        <f>Github!M$1958</f>
        <v>0</v>
      </c>
      <c r="M1959" s="17" t="str">
        <f>ROUND(Github!N$1958, 2)&amp;"%"</f>
        <v>0%</v>
      </c>
      <c r="N1959" s="17">
        <f>Github!O$1958</f>
        <v>56.51672434</v>
      </c>
      <c r="O1959" s="17">
        <f>Github!P$1958</f>
        <v>17640</v>
      </c>
    </row>
    <row r="1960">
      <c r="A1960" s="17">
        <f>Github!J$1959</f>
        <v>1958</v>
      </c>
      <c r="B1960" s="27" t="str">
        <f>HYPERLINK(CONCAT("http://leetcode.com/problems/",Github!C$1959), Github!B$1959)</f>
        <v>Check if Move is Legal</v>
      </c>
      <c r="C1960" s="17">
        <f>Github!F$1959</f>
        <v>78</v>
      </c>
      <c r="D1960" s="17">
        <f>Github!G$1959</f>
        <v>166</v>
      </c>
      <c r="E1960" s="17">
        <f>Github!F$1959+Github!G$1959</f>
        <v>244</v>
      </c>
      <c r="F1960" s="18">
        <f t="shared" si="1"/>
        <v>0.47</v>
      </c>
      <c r="G1960" s="17" t="str">
        <f>Github!H$1959</f>
        <v>Algorithms</v>
      </c>
      <c r="H1960" s="17" t="str">
        <f>Github!E$1959</f>
        <v>Medium</v>
      </c>
      <c r="I1960" s="17" t="str">
        <f>IF(TRIM(Github!D$1959)="TRUE","FALSE","TRUE")</f>
        <v>TRUE</v>
      </c>
      <c r="J1960" s="17"/>
      <c r="K1960" s="17" t="str">
        <f>Github!L$1959</f>
        <v>Array;Matrix;Enumeration;</v>
      </c>
      <c r="L1960" s="17" t="b">
        <f>Github!M$1959</f>
        <v>0</v>
      </c>
      <c r="M1960" s="17" t="str">
        <f>ROUND(Github!N$1959, 2)&amp;"%"</f>
        <v>0%</v>
      </c>
      <c r="N1960" s="17">
        <f>Github!O$1959</f>
        <v>43.08743874</v>
      </c>
      <c r="O1960" s="17">
        <f>Github!P$1959</f>
        <v>6682</v>
      </c>
    </row>
    <row r="1961">
      <c r="A1961" s="17">
        <f>Github!J$1960</f>
        <v>1959</v>
      </c>
      <c r="B1961" s="27" t="str">
        <f>HYPERLINK(CONCAT("http://leetcode.com/problems/",Github!C$1960), Github!B$1960)</f>
        <v>Minimum Total Space Wasted With K Resizing Operations</v>
      </c>
      <c r="C1961" s="17">
        <f>Github!F$1960</f>
        <v>363</v>
      </c>
      <c r="D1961" s="17">
        <f>Github!G$1960</f>
        <v>29</v>
      </c>
      <c r="E1961" s="17">
        <f>Github!F$1960+Github!G$1960</f>
        <v>392</v>
      </c>
      <c r="F1961" s="18">
        <f t="shared" si="1"/>
        <v>12.52</v>
      </c>
      <c r="G1961" s="17" t="str">
        <f>Github!H$1960</f>
        <v>Algorithms</v>
      </c>
      <c r="H1961" s="17" t="str">
        <f>Github!E$1960</f>
        <v>Medium</v>
      </c>
      <c r="I1961" s="17" t="str">
        <f>IF(TRIM(Github!D$1960)="TRUE","FALSE","TRUE")</f>
        <v>TRUE</v>
      </c>
      <c r="J1961" s="17"/>
      <c r="K1961" s="17" t="str">
        <f>Github!L$1960</f>
        <v>Array;Dynamic Programming;</v>
      </c>
      <c r="L1961" s="17" t="b">
        <f>Github!M$1960</f>
        <v>0</v>
      </c>
      <c r="M1961" s="17" t="str">
        <f>ROUND(Github!N$1960, 2)&amp;"%"</f>
        <v>0%</v>
      </c>
      <c r="N1961" s="17">
        <f>Github!O$1960</f>
        <v>41.7113644</v>
      </c>
      <c r="O1961" s="17">
        <f>Github!P$1960</f>
        <v>4977</v>
      </c>
    </row>
    <row r="1962">
      <c r="A1962" s="17">
        <f>Github!J$1961</f>
        <v>1960</v>
      </c>
      <c r="B1962" s="27" t="str">
        <f>HYPERLINK(CONCAT("http://leetcode.com/problems/",Github!C$1961), Github!B$1961)</f>
        <v>Maximum Product of the Length of Two Palindromic Substrings</v>
      </c>
      <c r="C1962" s="17">
        <f>Github!F$1961</f>
        <v>116</v>
      </c>
      <c r="D1962" s="17">
        <f>Github!G$1961</f>
        <v>25</v>
      </c>
      <c r="E1962" s="17">
        <f>Github!F$1961+Github!G$1961</f>
        <v>141</v>
      </c>
      <c r="F1962" s="18">
        <f t="shared" si="1"/>
        <v>4.64</v>
      </c>
      <c r="G1962" s="17" t="str">
        <f>Github!H$1961</f>
        <v>Algorithms</v>
      </c>
      <c r="H1962" s="17" t="str">
        <f>Github!E$1961</f>
        <v>Hard</v>
      </c>
      <c r="I1962" s="17" t="str">
        <f>IF(TRIM(Github!D$1961)="TRUE","FALSE","TRUE")</f>
        <v>TRUE</v>
      </c>
      <c r="J1962" s="17"/>
      <c r="K1962" s="17" t="str">
        <f>Github!L$1961</f>
        <v>String;Rolling Hash;Hash Function;</v>
      </c>
      <c r="L1962" s="17" t="b">
        <f>Github!M$1961</f>
        <v>0</v>
      </c>
      <c r="M1962" s="17" t="str">
        <f>ROUND(Github!N$1961, 2)&amp;"%"</f>
        <v>0%</v>
      </c>
      <c r="N1962" s="17">
        <f>Github!O$1961</f>
        <v>28.79842615</v>
      </c>
      <c r="O1962" s="17">
        <f>Github!P$1961</f>
        <v>1903</v>
      </c>
    </row>
    <row r="1963">
      <c r="A1963" s="17">
        <f>Github!J$1962</f>
        <v>1961</v>
      </c>
      <c r="B1963" s="27" t="str">
        <f>HYPERLINK(CONCAT("http://leetcode.com/problems/",Github!C$1962), Github!B$1962)</f>
        <v>Check If String Is a Prefix of Array</v>
      </c>
      <c r="C1963" s="17">
        <f>Github!F$1962</f>
        <v>198</v>
      </c>
      <c r="D1963" s="17">
        <f>Github!G$1962</f>
        <v>29</v>
      </c>
      <c r="E1963" s="17">
        <f>Github!F$1962+Github!G$1962</f>
        <v>227</v>
      </c>
      <c r="F1963" s="18">
        <f t="shared" si="1"/>
        <v>6.83</v>
      </c>
      <c r="G1963" s="17" t="str">
        <f>Github!H$1962</f>
        <v>Algorithms</v>
      </c>
      <c r="H1963" s="17" t="str">
        <f>Github!E$1962</f>
        <v>Easy</v>
      </c>
      <c r="I1963" s="17" t="str">
        <f>IF(TRIM(Github!D$1962)="TRUE","FALSE","TRUE")</f>
        <v>TRUE</v>
      </c>
      <c r="J1963" s="17"/>
      <c r="K1963" s="17" t="str">
        <f>Github!L$1962</f>
        <v>Array;String;</v>
      </c>
      <c r="L1963" s="17" t="b">
        <f>Github!M$1962</f>
        <v>0</v>
      </c>
      <c r="M1963" s="17" t="str">
        <f>ROUND(Github!N$1962, 2)&amp;"%"</f>
        <v>0%</v>
      </c>
      <c r="N1963" s="17">
        <f>Github!O$1962</f>
        <v>54.7254494</v>
      </c>
      <c r="O1963" s="17">
        <f>Github!P$1962</f>
        <v>23409</v>
      </c>
    </row>
    <row r="1964">
      <c r="A1964" s="17">
        <f>Github!J$1963</f>
        <v>1962</v>
      </c>
      <c r="B1964" s="27" t="str">
        <f>HYPERLINK(CONCAT("http://leetcode.com/problems/",Github!C$1963), Github!B$1963)</f>
        <v>Remove Stones to Minimize the Total</v>
      </c>
      <c r="C1964" s="17">
        <f>Github!F$1963</f>
        <v>262</v>
      </c>
      <c r="D1964" s="17">
        <f>Github!G$1963</f>
        <v>12</v>
      </c>
      <c r="E1964" s="17">
        <f>Github!F$1963+Github!G$1963</f>
        <v>274</v>
      </c>
      <c r="F1964" s="18">
        <f t="shared" si="1"/>
        <v>21.83</v>
      </c>
      <c r="G1964" s="17" t="str">
        <f>Github!H$1963</f>
        <v>Algorithms</v>
      </c>
      <c r="H1964" s="17" t="str">
        <f>Github!E$1963</f>
        <v>Medium</v>
      </c>
      <c r="I1964" s="17" t="str">
        <f>IF(TRIM(Github!D$1963)="TRUE","FALSE","TRUE")</f>
        <v>TRUE</v>
      </c>
      <c r="J1964" s="17"/>
      <c r="K1964" s="17" t="str">
        <f>Github!L$1963</f>
        <v>Array;Heap (Priority Queue);</v>
      </c>
      <c r="L1964" s="17" t="b">
        <f>Github!M$1963</f>
        <v>0</v>
      </c>
      <c r="M1964" s="17" t="str">
        <f>ROUND(Github!N$1963, 2)&amp;"%"</f>
        <v>0%</v>
      </c>
      <c r="N1964" s="17">
        <f>Github!O$1963</f>
        <v>55.98423356</v>
      </c>
      <c r="O1964" s="17">
        <f>Github!P$1963</f>
        <v>16760</v>
      </c>
    </row>
    <row r="1965">
      <c r="A1965" s="17">
        <f>Github!J$1964</f>
        <v>1963</v>
      </c>
      <c r="B1965" s="27" t="str">
        <f>HYPERLINK(CONCAT("http://leetcode.com/problems/",Github!C$1964), Github!B$1964)</f>
        <v>Minimum Number of Swaps to Make the String Balanced</v>
      </c>
      <c r="C1965" s="17">
        <f>Github!F$1964</f>
        <v>634</v>
      </c>
      <c r="D1965" s="17">
        <f>Github!G$1964</f>
        <v>28</v>
      </c>
      <c r="E1965" s="17">
        <f>Github!F$1964+Github!G$1964</f>
        <v>662</v>
      </c>
      <c r="F1965" s="18">
        <f t="shared" si="1"/>
        <v>22.64</v>
      </c>
      <c r="G1965" s="17" t="str">
        <f>Github!H$1964</f>
        <v>Algorithms</v>
      </c>
      <c r="H1965" s="17" t="str">
        <f>Github!E$1964</f>
        <v>Medium</v>
      </c>
      <c r="I1965" s="17" t="str">
        <f>IF(TRIM(Github!D$1964)="TRUE","FALSE","TRUE")</f>
        <v>TRUE</v>
      </c>
      <c r="J1965" s="17"/>
      <c r="K1965" s="17" t="str">
        <f>Github!L$1964</f>
        <v>Two Pointers;String;Stack;Greedy;</v>
      </c>
      <c r="L1965" s="17" t="b">
        <f>Github!M$1964</f>
        <v>0</v>
      </c>
      <c r="M1965" s="17" t="str">
        <f>ROUND(Github!N$1964, 2)&amp;"%"</f>
        <v>0%</v>
      </c>
      <c r="N1965" s="17">
        <f>Github!O$1964</f>
        <v>66.5559605</v>
      </c>
      <c r="O1965" s="17">
        <f>Github!P$1964</f>
        <v>22645</v>
      </c>
    </row>
    <row r="1966">
      <c r="A1966" s="17">
        <f>Github!J$1965</f>
        <v>1964</v>
      </c>
      <c r="B1966" s="27" t="str">
        <f>HYPERLINK(CONCAT("http://leetcode.com/problems/",Github!C$1965), Github!B$1965)</f>
        <v>Find the Longest Valid Obstacle Course at Each Position</v>
      </c>
      <c r="C1966" s="17">
        <f>Github!F$1965</f>
        <v>339</v>
      </c>
      <c r="D1966" s="17">
        <f>Github!G$1965</f>
        <v>5</v>
      </c>
      <c r="E1966" s="17">
        <f>Github!F$1965+Github!G$1965</f>
        <v>344</v>
      </c>
      <c r="F1966" s="18">
        <f t="shared" si="1"/>
        <v>67.8</v>
      </c>
      <c r="G1966" s="17" t="str">
        <f>Github!H$1965</f>
        <v>Algorithms</v>
      </c>
      <c r="H1966" s="17" t="str">
        <f>Github!E$1965</f>
        <v>Hard</v>
      </c>
      <c r="I1966" s="17" t="str">
        <f>IF(TRIM(Github!D$1965)="TRUE","FALSE","TRUE")</f>
        <v>TRUE</v>
      </c>
      <c r="J1966" s="17"/>
      <c r="K1966" s="17" t="str">
        <f>Github!L$1965</f>
        <v>Array;Binary Search;Binary Indexed Tree;</v>
      </c>
      <c r="L1966" s="17" t="b">
        <f>Github!M$1965</f>
        <v>0</v>
      </c>
      <c r="M1966" s="17" t="str">
        <f>ROUND(Github!N$1965, 2)&amp;"%"</f>
        <v>0%</v>
      </c>
      <c r="N1966" s="17">
        <f>Github!O$1965</f>
        <v>45.17878326</v>
      </c>
      <c r="O1966" s="17">
        <f>Github!P$1965</f>
        <v>7998</v>
      </c>
    </row>
    <row r="1967">
      <c r="A1967" s="17">
        <f>Github!J$1966</f>
        <v>1965</v>
      </c>
      <c r="B1967" s="27" t="str">
        <f>HYPERLINK(CONCAT("http://leetcode.com/problems/",Github!C$1966), Github!B$1966)</f>
        <v>Employees With Missing Information</v>
      </c>
      <c r="C1967" s="17">
        <f>Github!F$1966</f>
        <v>30</v>
      </c>
      <c r="D1967" s="17">
        <f>Github!G$1966</f>
        <v>0</v>
      </c>
      <c r="E1967" s="17">
        <f>Github!F$1966+Github!G$1966</f>
        <v>30</v>
      </c>
      <c r="F1967" s="18">
        <f t="shared" si="1"/>
        <v>30</v>
      </c>
      <c r="G1967" s="17" t="str">
        <f>Github!H$1966</f>
        <v>Database</v>
      </c>
      <c r="H1967" s="17" t="str">
        <f>Github!E$1966</f>
        <v>Easy</v>
      </c>
      <c r="I1967" s="17" t="str">
        <f>IF(TRIM(Github!D$1966)="TRUE","FALSE","TRUE")</f>
        <v>FALSE</v>
      </c>
      <c r="J1967" s="17"/>
      <c r="K1967" s="17" t="str">
        <f>Github!L$1966</f>
        <v>Database;</v>
      </c>
      <c r="L1967" s="17" t="b">
        <f>Github!M$1966</f>
        <v>0</v>
      </c>
      <c r="M1967" s="17" t="str">
        <f>ROUND(Github!N$1966, 2)&amp;"%"</f>
        <v>0%</v>
      </c>
      <c r="N1967" s="17">
        <f>Github!O$1966</f>
        <v>80.73770492</v>
      </c>
      <c r="O1967" s="17">
        <f>Github!P$1966</f>
        <v>4925</v>
      </c>
    </row>
    <row r="1968">
      <c r="A1968" s="17">
        <f>Github!J$1967</f>
        <v>1966</v>
      </c>
      <c r="B1968" s="27" t="str">
        <f>HYPERLINK(CONCAT("http://leetcode.com/problems/",Github!C$1967), Github!B$1967)</f>
        <v>Binary Searchable Numbers in an Unsorted Array</v>
      </c>
      <c r="C1968" s="17">
        <f>Github!F$1967</f>
        <v>39</v>
      </c>
      <c r="D1968" s="17">
        <f>Github!G$1967</f>
        <v>5</v>
      </c>
      <c r="E1968" s="17">
        <f>Github!F$1967+Github!G$1967</f>
        <v>44</v>
      </c>
      <c r="F1968" s="18">
        <f t="shared" si="1"/>
        <v>7.8</v>
      </c>
      <c r="G1968" s="17" t="str">
        <f>Github!H$1967</f>
        <v>Algorithms</v>
      </c>
      <c r="H1968" s="17" t="str">
        <f>Github!E$1967</f>
        <v>Medium</v>
      </c>
      <c r="I1968" s="17" t="str">
        <f>IF(TRIM(Github!D$1967)="TRUE","FALSE","TRUE")</f>
        <v>FALSE</v>
      </c>
      <c r="J1968" s="17"/>
      <c r="K1968" s="17" t="str">
        <f>Github!L$1967</f>
        <v>Array;Binary Search;</v>
      </c>
      <c r="L1968" s="17" t="b">
        <f>Github!M$1967</f>
        <v>0</v>
      </c>
      <c r="M1968" s="17" t="str">
        <f>ROUND(Github!N$1967, 2)&amp;"%"</f>
        <v>0%</v>
      </c>
      <c r="N1968" s="17">
        <f>Github!O$1967</f>
        <v>66.33165829</v>
      </c>
      <c r="O1968" s="17">
        <f>Github!P$1967</f>
        <v>1320</v>
      </c>
    </row>
    <row r="1969">
      <c r="A1969" s="17">
        <f>Github!J$1968</f>
        <v>1967</v>
      </c>
      <c r="B1969" s="27" t="str">
        <f>HYPERLINK(CONCAT("http://leetcode.com/problems/",Github!C$1968), Github!B$1968)</f>
        <v>Number of Strings That Appear as Substrings in Word</v>
      </c>
      <c r="C1969" s="17">
        <f>Github!F$1968</f>
        <v>254</v>
      </c>
      <c r="D1969" s="17">
        <f>Github!G$1968</f>
        <v>10</v>
      </c>
      <c r="E1969" s="17">
        <f>Github!F$1968+Github!G$1968</f>
        <v>264</v>
      </c>
      <c r="F1969" s="18">
        <f t="shared" si="1"/>
        <v>25.4</v>
      </c>
      <c r="G1969" s="17" t="str">
        <f>Github!H$1968</f>
        <v>Algorithms</v>
      </c>
      <c r="H1969" s="17" t="str">
        <f>Github!E$1968</f>
        <v>Easy</v>
      </c>
      <c r="I1969" s="17" t="str">
        <f>IF(TRIM(Github!D$1968)="TRUE","FALSE","TRUE")</f>
        <v>TRUE</v>
      </c>
      <c r="J1969" s="17"/>
      <c r="K1969" s="17" t="str">
        <f>Github!L$1968</f>
        <v>String;</v>
      </c>
      <c r="L1969" s="17" t="b">
        <f>Github!M$1968</f>
        <v>0</v>
      </c>
      <c r="M1969" s="17" t="str">
        <f>ROUND(Github!N$1968, 2)&amp;"%"</f>
        <v>0%</v>
      </c>
      <c r="N1969" s="17">
        <f>Github!O$1968</f>
        <v>79.34712247</v>
      </c>
      <c r="O1969" s="17">
        <f>Github!P$1968</f>
        <v>25740</v>
      </c>
    </row>
    <row r="1970">
      <c r="A1970" s="17">
        <f>Github!J$1969</f>
        <v>1968</v>
      </c>
      <c r="B1970" s="27" t="str">
        <f>HYPERLINK(CONCAT("http://leetcode.com/problems/",Github!C$1969), Github!B$1969)</f>
        <v>Array With Elements Not Equal to Average of Neighbors</v>
      </c>
      <c r="C1970" s="17">
        <f>Github!F$1969</f>
        <v>246</v>
      </c>
      <c r="D1970" s="17">
        <f>Github!G$1969</f>
        <v>16</v>
      </c>
      <c r="E1970" s="17">
        <f>Github!F$1969+Github!G$1969</f>
        <v>262</v>
      </c>
      <c r="F1970" s="18">
        <f t="shared" si="1"/>
        <v>15.38</v>
      </c>
      <c r="G1970" s="17" t="str">
        <f>Github!H$1969</f>
        <v>Algorithms</v>
      </c>
      <c r="H1970" s="17" t="str">
        <f>Github!E$1969</f>
        <v>Medium</v>
      </c>
      <c r="I1970" s="17" t="str">
        <f>IF(TRIM(Github!D$1969)="TRUE","FALSE","TRUE")</f>
        <v>TRUE</v>
      </c>
      <c r="J1970" s="17"/>
      <c r="K1970" s="17" t="str">
        <f>Github!L$1969</f>
        <v>Array;Greedy;Sorting;</v>
      </c>
      <c r="L1970" s="17" t="b">
        <f>Github!M$1969</f>
        <v>0</v>
      </c>
      <c r="M1970" s="17" t="str">
        <f>ROUND(Github!N$1969, 2)&amp;"%"</f>
        <v>0%</v>
      </c>
      <c r="N1970" s="17">
        <f>Github!O$1969</f>
        <v>48.22077202</v>
      </c>
      <c r="O1970" s="17">
        <f>Github!P$1969</f>
        <v>15665</v>
      </c>
    </row>
    <row r="1971">
      <c r="A1971" s="17">
        <f>Github!J$1970</f>
        <v>1969</v>
      </c>
      <c r="B1971" s="27" t="str">
        <f>HYPERLINK(CONCAT("http://leetcode.com/problems/",Github!C$1970), Github!B$1970)</f>
        <v>Minimum Non-Zero Product of the Array Elements</v>
      </c>
      <c r="C1971" s="17">
        <f>Github!F$1970</f>
        <v>102</v>
      </c>
      <c r="D1971" s="17">
        <f>Github!G$1970</f>
        <v>272</v>
      </c>
      <c r="E1971" s="17">
        <f>Github!F$1970+Github!G$1970</f>
        <v>374</v>
      </c>
      <c r="F1971" s="18">
        <f t="shared" si="1"/>
        <v>0.38</v>
      </c>
      <c r="G1971" s="17" t="str">
        <f>Github!H$1970</f>
        <v>Algorithms</v>
      </c>
      <c r="H1971" s="17" t="str">
        <f>Github!E$1970</f>
        <v>Medium</v>
      </c>
      <c r="I1971" s="17" t="str">
        <f>IF(TRIM(Github!D$1970)="TRUE","FALSE","TRUE")</f>
        <v>TRUE</v>
      </c>
      <c r="J1971" s="17"/>
      <c r="K1971" s="17" t="str">
        <f>Github!L$1970</f>
        <v>Math;Greedy;Recursion;</v>
      </c>
      <c r="L1971" s="17" t="b">
        <f>Github!M$1970</f>
        <v>0</v>
      </c>
      <c r="M1971" s="17" t="str">
        <f>ROUND(Github!N$1970, 2)&amp;"%"</f>
        <v>0%</v>
      </c>
      <c r="N1971" s="17">
        <f>Github!O$1970</f>
        <v>32.18088986</v>
      </c>
      <c r="O1971" s="17">
        <f>Github!P$1970</f>
        <v>6618</v>
      </c>
    </row>
    <row r="1972">
      <c r="A1972" s="17">
        <f>Github!J$1971</f>
        <v>1970</v>
      </c>
      <c r="B1972" s="27" t="str">
        <f>HYPERLINK(CONCAT("http://leetcode.com/problems/",Github!C$1971), Github!B$1971)</f>
        <v>Last Day Where You Can Still Cross</v>
      </c>
      <c r="C1972" s="17">
        <f>Github!F$1971</f>
        <v>405</v>
      </c>
      <c r="D1972" s="17">
        <f>Github!G$1971</f>
        <v>7</v>
      </c>
      <c r="E1972" s="17">
        <f>Github!F$1971+Github!G$1971</f>
        <v>412</v>
      </c>
      <c r="F1972" s="18">
        <f t="shared" si="1"/>
        <v>57.86</v>
      </c>
      <c r="G1972" s="17" t="str">
        <f>Github!H$1971</f>
        <v>Algorithms</v>
      </c>
      <c r="H1972" s="17" t="str">
        <f>Github!E$1971</f>
        <v>Hard</v>
      </c>
      <c r="I1972" s="17" t="str">
        <f>IF(TRIM(Github!D$1971)="TRUE","FALSE","TRUE")</f>
        <v>TRUE</v>
      </c>
      <c r="J1972" s="17"/>
      <c r="K1972" s="17" t="str">
        <f>Github!L$1971</f>
        <v>Array;Binary Search;Depth-First Search;Breadth-First Search;Union Find;Matrix;</v>
      </c>
      <c r="L1972" s="17" t="b">
        <f>Github!M$1971</f>
        <v>0</v>
      </c>
      <c r="M1972" s="17" t="str">
        <f>ROUND(Github!N$1971, 2)&amp;"%"</f>
        <v>0%</v>
      </c>
      <c r="N1972" s="17">
        <f>Github!O$1971</f>
        <v>48.41853623</v>
      </c>
      <c r="O1972" s="17">
        <f>Github!P$1971</f>
        <v>7899</v>
      </c>
    </row>
    <row r="1973">
      <c r="A1973" s="17">
        <f>Github!J$1972</f>
        <v>1971</v>
      </c>
      <c r="B1973" s="27" t="str">
        <f>HYPERLINK(CONCAT("http://leetcode.com/problems/",Github!C$1972), Github!B$1972)</f>
        <v>Find if Path Exists in Graph</v>
      </c>
      <c r="C1973" s="17">
        <f>Github!F$1972</f>
        <v>774</v>
      </c>
      <c r="D1973" s="17">
        <f>Github!G$1972</f>
        <v>42</v>
      </c>
      <c r="E1973" s="17">
        <f>Github!F$1972+Github!G$1972</f>
        <v>816</v>
      </c>
      <c r="F1973" s="18">
        <f t="shared" si="1"/>
        <v>18.43</v>
      </c>
      <c r="G1973" s="17" t="str">
        <f>Github!H$1972</f>
        <v>Algorithms</v>
      </c>
      <c r="H1973" s="17" t="str">
        <f>Github!E$1972</f>
        <v>Easy</v>
      </c>
      <c r="I1973" s="17" t="str">
        <f>IF(TRIM(Github!D$1972)="TRUE","FALSE","TRUE")</f>
        <v>TRUE</v>
      </c>
      <c r="J1973" s="17"/>
      <c r="K1973" s="17" t="str">
        <f>Github!L$1972</f>
        <v>Depth-First Search;Breadth-First Search;Graph;</v>
      </c>
      <c r="L1973" s="17" t="b">
        <f>Github!M$1972</f>
        <v>0</v>
      </c>
      <c r="M1973" s="17" t="str">
        <f>ROUND(Github!N$1972, 2)&amp;"%"</f>
        <v>0%</v>
      </c>
      <c r="N1973" s="17">
        <f>Github!O$1972</f>
        <v>50.40564798</v>
      </c>
      <c r="O1973" s="17">
        <f>Github!P$1972</f>
        <v>71323</v>
      </c>
    </row>
    <row r="1974">
      <c r="A1974" s="17">
        <f>Github!J$1973</f>
        <v>1972</v>
      </c>
      <c r="B1974" s="27" t="str">
        <f>HYPERLINK(CONCAT("http://leetcode.com/problems/",Github!C$1973), Github!B$1973)</f>
        <v>First and Last Call On the Same Day</v>
      </c>
      <c r="C1974" s="17">
        <f>Github!F$1973</f>
        <v>46</v>
      </c>
      <c r="D1974" s="17">
        <f>Github!G$1973</f>
        <v>8</v>
      </c>
      <c r="E1974" s="17">
        <f>Github!F$1973+Github!G$1973</f>
        <v>54</v>
      </c>
      <c r="F1974" s="18">
        <f t="shared" si="1"/>
        <v>5.75</v>
      </c>
      <c r="G1974" s="17" t="str">
        <f>Github!H$1973</f>
        <v>Database</v>
      </c>
      <c r="H1974" s="17" t="str">
        <f>Github!E$1973</f>
        <v>Hard</v>
      </c>
      <c r="I1974" s="17" t="str">
        <f>IF(TRIM(Github!D$1973)="TRUE","FALSE","TRUE")</f>
        <v>FALSE</v>
      </c>
      <c r="J1974" s="17"/>
      <c r="K1974" s="17" t="str">
        <f>Github!L$1973</f>
        <v>Database;</v>
      </c>
      <c r="L1974" s="17" t="b">
        <f>Github!M$1973</f>
        <v>0</v>
      </c>
      <c r="M1974" s="17" t="str">
        <f>ROUND(Github!N$1973, 2)&amp;"%"</f>
        <v>0%</v>
      </c>
      <c r="N1974" s="17">
        <f>Github!O$1973</f>
        <v>51.38156507</v>
      </c>
      <c r="O1974" s="17">
        <f>Github!P$1973</f>
        <v>2436</v>
      </c>
    </row>
    <row r="1975">
      <c r="A1975" s="17">
        <f>Github!J$1974</f>
        <v>1973</v>
      </c>
      <c r="B1975" s="27" t="str">
        <f>HYPERLINK(CONCAT("http://leetcode.com/problems/",Github!C$1974), Github!B$1974)</f>
        <v>Count Nodes Equal to Sum of Descendants</v>
      </c>
      <c r="C1975" s="17">
        <f>Github!F$1974</f>
        <v>84</v>
      </c>
      <c r="D1975" s="17">
        <f>Github!G$1974</f>
        <v>2</v>
      </c>
      <c r="E1975" s="17">
        <f>Github!F$1974+Github!G$1974</f>
        <v>86</v>
      </c>
      <c r="F1975" s="18">
        <f t="shared" si="1"/>
        <v>42</v>
      </c>
      <c r="G1975" s="17" t="str">
        <f>Github!H$1974</f>
        <v>Algorithms</v>
      </c>
      <c r="H1975" s="17" t="str">
        <f>Github!E$1974</f>
        <v>Medium</v>
      </c>
      <c r="I1975" s="17" t="str">
        <f>IF(TRIM(Github!D$1974)="TRUE","FALSE","TRUE")</f>
        <v>FALSE</v>
      </c>
      <c r="J1975" s="17"/>
      <c r="K1975" s="17" t="str">
        <f>Github!L$1974</f>
        <v>Tree;Depth-First Search;Binary Search Tree;Binary Tree;</v>
      </c>
      <c r="L1975" s="17" t="b">
        <f>Github!M$1974</f>
        <v>0</v>
      </c>
      <c r="M1975" s="17" t="str">
        <f>ROUND(Github!N$1974, 2)&amp;"%"</f>
        <v>0%</v>
      </c>
      <c r="N1975" s="17">
        <f>Github!O$1974</f>
        <v>74.88095238</v>
      </c>
      <c r="O1975" s="17">
        <f>Github!P$1974</f>
        <v>4403</v>
      </c>
    </row>
    <row r="1976">
      <c r="A1976" s="17">
        <f>Github!J$1975</f>
        <v>1974</v>
      </c>
      <c r="B1976" s="27" t="str">
        <f>HYPERLINK(CONCAT("http://leetcode.com/problems/",Github!C$1975), Github!B$1975)</f>
        <v>Minimum Time to Type Word Using Special Typewriter</v>
      </c>
      <c r="C1976" s="17">
        <f>Github!F$1975</f>
        <v>299</v>
      </c>
      <c r="D1976" s="17">
        <f>Github!G$1975</f>
        <v>14</v>
      </c>
      <c r="E1976" s="17">
        <f>Github!F$1975+Github!G$1975</f>
        <v>313</v>
      </c>
      <c r="F1976" s="18">
        <f t="shared" si="1"/>
        <v>21.36</v>
      </c>
      <c r="G1976" s="17" t="str">
        <f>Github!H$1975</f>
        <v>Algorithms</v>
      </c>
      <c r="H1976" s="17" t="str">
        <f>Github!E$1975</f>
        <v>Easy</v>
      </c>
      <c r="I1976" s="17" t="str">
        <f>IF(TRIM(Github!D$1975)="TRUE","FALSE","TRUE")</f>
        <v>TRUE</v>
      </c>
      <c r="J1976" s="17"/>
      <c r="K1976" s="17" t="str">
        <f>Github!L$1975</f>
        <v>String;Greedy;</v>
      </c>
      <c r="L1976" s="17" t="b">
        <f>Github!M$1975</f>
        <v>0</v>
      </c>
      <c r="M1976" s="17" t="str">
        <f>ROUND(Github!N$1975, 2)&amp;"%"</f>
        <v>0%</v>
      </c>
      <c r="N1976" s="17">
        <f>Github!O$1975</f>
        <v>71.90139701</v>
      </c>
      <c r="O1976" s="17">
        <f>Github!P$1975</f>
        <v>17704</v>
      </c>
    </row>
    <row r="1977">
      <c r="A1977" s="17">
        <f>Github!J$1976</f>
        <v>1975</v>
      </c>
      <c r="B1977" s="27" t="str">
        <f>HYPERLINK(CONCAT("http://leetcode.com/problems/",Github!C$1976), Github!B$1976)</f>
        <v>Maximum Matrix Sum</v>
      </c>
      <c r="C1977" s="17">
        <f>Github!F$1976</f>
        <v>271</v>
      </c>
      <c r="D1977" s="17">
        <f>Github!G$1976</f>
        <v>9</v>
      </c>
      <c r="E1977" s="17">
        <f>Github!F$1976+Github!G$1976</f>
        <v>280</v>
      </c>
      <c r="F1977" s="18">
        <f t="shared" si="1"/>
        <v>30.11</v>
      </c>
      <c r="G1977" s="17" t="str">
        <f>Github!H$1976</f>
        <v>Algorithms</v>
      </c>
      <c r="H1977" s="17" t="str">
        <f>Github!E$1976</f>
        <v>Medium</v>
      </c>
      <c r="I1977" s="17" t="str">
        <f>IF(TRIM(Github!D$1976)="TRUE","FALSE","TRUE")</f>
        <v>TRUE</v>
      </c>
      <c r="J1977" s="17"/>
      <c r="K1977" s="17" t="str">
        <f>Github!L$1976</f>
        <v>Array;Greedy;Matrix;</v>
      </c>
      <c r="L1977" s="17" t="b">
        <f>Github!M$1976</f>
        <v>0</v>
      </c>
      <c r="M1977" s="17" t="str">
        <f>ROUND(Github!N$1976, 2)&amp;"%"</f>
        <v>0%</v>
      </c>
      <c r="N1977" s="17">
        <f>Github!O$1976</f>
        <v>44.32042022</v>
      </c>
      <c r="O1977" s="17">
        <f>Github!P$1976</f>
        <v>9449</v>
      </c>
    </row>
    <row r="1978">
      <c r="A1978" s="17">
        <f>Github!J$1977</f>
        <v>1976</v>
      </c>
      <c r="B1978" s="27" t="str">
        <f>HYPERLINK(CONCAT("http://leetcode.com/problems/",Github!C$1977), Github!B$1977)</f>
        <v>Number of Ways to Arrive at Destination</v>
      </c>
      <c r="C1978" s="17">
        <f>Github!F$1977</f>
        <v>728</v>
      </c>
      <c r="D1978" s="17">
        <f>Github!G$1977</f>
        <v>22</v>
      </c>
      <c r="E1978" s="17">
        <f>Github!F$1977+Github!G$1977</f>
        <v>750</v>
      </c>
      <c r="F1978" s="18">
        <f t="shared" si="1"/>
        <v>33.09</v>
      </c>
      <c r="G1978" s="17" t="str">
        <f>Github!H$1977</f>
        <v>Algorithms</v>
      </c>
      <c r="H1978" s="17" t="str">
        <f>Github!E$1977</f>
        <v>Medium</v>
      </c>
      <c r="I1978" s="17" t="str">
        <f>IF(TRIM(Github!D$1977)="TRUE","FALSE","TRUE")</f>
        <v>TRUE</v>
      </c>
      <c r="J1978" s="17"/>
      <c r="K1978" s="17" t="str">
        <f>Github!L$1977</f>
        <v>Dynamic Programming;Graph;Topological Sort;Shortest Path;</v>
      </c>
      <c r="L1978" s="17" t="b">
        <f>Github!M$1977</f>
        <v>0</v>
      </c>
      <c r="M1978" s="17" t="str">
        <f>ROUND(Github!N$1977, 2)&amp;"%"</f>
        <v>0%</v>
      </c>
      <c r="N1978" s="17">
        <f>Github!O$1977</f>
        <v>32.50751146</v>
      </c>
      <c r="O1978" s="17">
        <f>Github!P$1977</f>
        <v>12333</v>
      </c>
    </row>
    <row r="1979">
      <c r="A1979" s="17">
        <f>Github!J$1978</f>
        <v>1977</v>
      </c>
      <c r="B1979" s="27" t="str">
        <f>HYPERLINK(CONCAT("http://leetcode.com/problems/",Github!C$1978), Github!B$1978)</f>
        <v>Number of Ways to Separate Numbers</v>
      </c>
      <c r="C1979" s="17">
        <f>Github!F$1978</f>
        <v>211</v>
      </c>
      <c r="D1979" s="17">
        <f>Github!G$1978</f>
        <v>26</v>
      </c>
      <c r="E1979" s="17">
        <f>Github!F$1978+Github!G$1978</f>
        <v>237</v>
      </c>
      <c r="F1979" s="18">
        <f t="shared" si="1"/>
        <v>8.12</v>
      </c>
      <c r="G1979" s="17" t="str">
        <f>Github!H$1978</f>
        <v>Algorithms</v>
      </c>
      <c r="H1979" s="17" t="str">
        <f>Github!E$1978</f>
        <v>Hard</v>
      </c>
      <c r="I1979" s="17" t="str">
        <f>IF(TRIM(Github!D$1978)="TRUE","FALSE","TRUE")</f>
        <v>TRUE</v>
      </c>
      <c r="J1979" s="17"/>
      <c r="K1979" s="17" t="str">
        <f>Github!L$1978</f>
        <v>String;Dynamic Programming;Suffix Array;</v>
      </c>
      <c r="L1979" s="17" t="b">
        <f>Github!M$1978</f>
        <v>0</v>
      </c>
      <c r="M1979" s="17" t="str">
        <f>ROUND(Github!N$1978, 2)&amp;"%"</f>
        <v>0%</v>
      </c>
      <c r="N1979" s="17">
        <f>Github!O$1978</f>
        <v>22.63920405</v>
      </c>
      <c r="O1979" s="17">
        <f>Github!P$1978</f>
        <v>2594</v>
      </c>
    </row>
    <row r="1980">
      <c r="A1980" s="17">
        <f>Github!J$1979</f>
        <v>1978</v>
      </c>
      <c r="B1980" s="27" t="str">
        <f>HYPERLINK(CONCAT("http://leetcode.com/problems/",Github!C$1979), Github!B$1979)</f>
        <v>Employees Whose Manager Left the Company</v>
      </c>
      <c r="C1980" s="17">
        <f>Github!F$1979</f>
        <v>22</v>
      </c>
      <c r="D1980" s="17">
        <f>Github!G$1979</f>
        <v>4</v>
      </c>
      <c r="E1980" s="17">
        <f>Github!F$1979+Github!G$1979</f>
        <v>26</v>
      </c>
      <c r="F1980" s="18">
        <f t="shared" si="1"/>
        <v>5.5</v>
      </c>
      <c r="G1980" s="17" t="str">
        <f>Github!H$1979</f>
        <v>Database</v>
      </c>
      <c r="H1980" s="17" t="str">
        <f>Github!E$1979</f>
        <v>Easy</v>
      </c>
      <c r="I1980" s="17" t="str">
        <f>IF(TRIM(Github!D$1979)="TRUE","FALSE","TRUE")</f>
        <v>FALSE</v>
      </c>
      <c r="J1980" s="17"/>
      <c r="K1980" s="17" t="str">
        <f>Github!L$1979</f>
        <v>Database;</v>
      </c>
      <c r="L1980" s="17" t="b">
        <f>Github!M$1979</f>
        <v>0</v>
      </c>
      <c r="M1980" s="17" t="str">
        <f>ROUND(Github!N$1979, 2)&amp;"%"</f>
        <v>0%</v>
      </c>
      <c r="N1980" s="17">
        <f>Github!O$1979</f>
        <v>49.78655934</v>
      </c>
      <c r="O1980" s="17">
        <f>Github!P$1979</f>
        <v>4082</v>
      </c>
    </row>
    <row r="1981">
      <c r="A1981" s="17">
        <f>Github!J$1980</f>
        <v>1979</v>
      </c>
      <c r="B1981" s="27" t="str">
        <f>HYPERLINK(CONCAT("http://leetcode.com/problems/",Github!C$1980), Github!B$1980)</f>
        <v>Find Greatest Common Divisor of Array</v>
      </c>
      <c r="C1981" s="17">
        <f>Github!F$1980</f>
        <v>320</v>
      </c>
      <c r="D1981" s="17">
        <f>Github!G$1980</f>
        <v>14</v>
      </c>
      <c r="E1981" s="17">
        <f>Github!F$1980+Github!G$1980</f>
        <v>334</v>
      </c>
      <c r="F1981" s="18">
        <f t="shared" si="1"/>
        <v>22.86</v>
      </c>
      <c r="G1981" s="17" t="str">
        <f>Github!H$1980</f>
        <v>Algorithms</v>
      </c>
      <c r="H1981" s="17" t="str">
        <f>Github!E$1980</f>
        <v>Easy</v>
      </c>
      <c r="I1981" s="17" t="str">
        <f>IF(TRIM(Github!D$1980)="TRUE","FALSE","TRUE")</f>
        <v>TRUE</v>
      </c>
      <c r="J1981" s="17"/>
      <c r="K1981" s="17" t="str">
        <f>Github!L$1980</f>
        <v>Array;Math;Number Theory;</v>
      </c>
      <c r="L1981" s="17" t="b">
        <f>Github!M$1980</f>
        <v>0</v>
      </c>
      <c r="M1981" s="17" t="str">
        <f>ROUND(Github!N$1980, 2)&amp;"%"</f>
        <v>0%</v>
      </c>
      <c r="N1981" s="17">
        <f>Github!O$1980</f>
        <v>78.17157279</v>
      </c>
      <c r="O1981" s="17">
        <f>Github!P$1980</f>
        <v>35930</v>
      </c>
    </row>
    <row r="1982">
      <c r="A1982" s="17">
        <f>Github!J$1981</f>
        <v>1980</v>
      </c>
      <c r="B1982" s="27" t="str">
        <f>HYPERLINK(CONCAT("http://leetcode.com/problems/",Github!C$1981), Github!B$1981)</f>
        <v>Find Unique Binary String</v>
      </c>
      <c r="C1982" s="17">
        <f>Github!F$1981</f>
        <v>454</v>
      </c>
      <c r="D1982" s="17">
        <f>Github!G$1981</f>
        <v>23</v>
      </c>
      <c r="E1982" s="17">
        <f>Github!F$1981+Github!G$1981</f>
        <v>477</v>
      </c>
      <c r="F1982" s="18">
        <f t="shared" si="1"/>
        <v>19.74</v>
      </c>
      <c r="G1982" s="17" t="str">
        <f>Github!H$1981</f>
        <v>Algorithms</v>
      </c>
      <c r="H1982" s="17" t="str">
        <f>Github!E$1981</f>
        <v>Medium</v>
      </c>
      <c r="I1982" s="17" t="str">
        <f>IF(TRIM(Github!D$1981)="TRUE","FALSE","TRUE")</f>
        <v>TRUE</v>
      </c>
      <c r="J1982" s="17"/>
      <c r="K1982" s="17" t="str">
        <f>Github!L$1981</f>
        <v>Array;String;Backtracking;</v>
      </c>
      <c r="L1982" s="17" t="b">
        <f>Github!M$1981</f>
        <v>0</v>
      </c>
      <c r="M1982" s="17" t="str">
        <f>ROUND(Github!N$1981, 2)&amp;"%"</f>
        <v>0%</v>
      </c>
      <c r="N1982" s="17">
        <f>Github!O$1981</f>
        <v>62.92169042</v>
      </c>
      <c r="O1982" s="17">
        <f>Github!P$1981</f>
        <v>20666</v>
      </c>
    </row>
    <row r="1983">
      <c r="A1983" s="17">
        <f>Github!J$1982</f>
        <v>1981</v>
      </c>
      <c r="B1983" s="27" t="str">
        <f>HYPERLINK(CONCAT("http://leetcode.com/problems/",Github!C$1982), Github!B$1982)</f>
        <v>Minimize the Difference Between Target and Chosen Elements</v>
      </c>
      <c r="C1983" s="17">
        <f>Github!F$1982</f>
        <v>446</v>
      </c>
      <c r="D1983" s="17">
        <f>Github!G$1982</f>
        <v>81</v>
      </c>
      <c r="E1983" s="17">
        <f>Github!F$1982+Github!G$1982</f>
        <v>527</v>
      </c>
      <c r="F1983" s="18">
        <f t="shared" si="1"/>
        <v>5.51</v>
      </c>
      <c r="G1983" s="17" t="str">
        <f>Github!H$1982</f>
        <v>Algorithms</v>
      </c>
      <c r="H1983" s="17" t="str">
        <f>Github!E$1982</f>
        <v>Medium</v>
      </c>
      <c r="I1983" s="17" t="str">
        <f>IF(TRIM(Github!D$1982)="TRUE","FALSE","TRUE")</f>
        <v>TRUE</v>
      </c>
      <c r="J1983" s="17"/>
      <c r="K1983" s="17" t="str">
        <f>Github!L$1982</f>
        <v>Array;Dynamic Programming;Matrix;</v>
      </c>
      <c r="L1983" s="17" t="b">
        <f>Github!M$1982</f>
        <v>0</v>
      </c>
      <c r="M1983" s="17" t="str">
        <f>ROUND(Github!N$1982, 2)&amp;"%"</f>
        <v>0%</v>
      </c>
      <c r="N1983" s="17">
        <f>Github!O$1982</f>
        <v>32.75589084</v>
      </c>
      <c r="O1983" s="17">
        <f>Github!P$1982</f>
        <v>14068</v>
      </c>
    </row>
    <row r="1984">
      <c r="A1984" s="17">
        <f>Github!J$1983</f>
        <v>1982</v>
      </c>
      <c r="B1984" s="27" t="str">
        <f>HYPERLINK(CONCAT("http://leetcode.com/problems/",Github!C$1983), Github!B$1983)</f>
        <v>Find Array Given Subset Sums</v>
      </c>
      <c r="C1984" s="17">
        <f>Github!F$1983</f>
        <v>232</v>
      </c>
      <c r="D1984" s="17">
        <f>Github!G$1983</f>
        <v>18</v>
      </c>
      <c r="E1984" s="17">
        <f>Github!F$1983+Github!G$1983</f>
        <v>250</v>
      </c>
      <c r="F1984" s="18">
        <f t="shared" si="1"/>
        <v>12.89</v>
      </c>
      <c r="G1984" s="17" t="str">
        <f>Github!H$1983</f>
        <v>Algorithms</v>
      </c>
      <c r="H1984" s="17" t="str">
        <f>Github!E$1983</f>
        <v>Hard</v>
      </c>
      <c r="I1984" s="17" t="str">
        <f>IF(TRIM(Github!D$1983)="TRUE","FALSE","TRUE")</f>
        <v>TRUE</v>
      </c>
      <c r="J1984" s="17"/>
      <c r="K1984" s="17" t="str">
        <f>Github!L$1983</f>
        <v>Array;Divide and Conquer;</v>
      </c>
      <c r="L1984" s="17" t="b">
        <f>Github!M$1983</f>
        <v>0</v>
      </c>
      <c r="M1984" s="17" t="str">
        <f>ROUND(Github!N$1983, 2)&amp;"%"</f>
        <v>0%</v>
      </c>
      <c r="N1984" s="17">
        <f>Github!O$1983</f>
        <v>48.39630563</v>
      </c>
      <c r="O1984" s="17">
        <f>Github!P$1983</f>
        <v>2882</v>
      </c>
    </row>
    <row r="1985">
      <c r="A1985" s="17">
        <f>Github!J$1984</f>
        <v>1983</v>
      </c>
      <c r="B1985" s="27" t="str">
        <f>HYPERLINK(CONCAT("http://leetcode.com/problems/",Github!C$1984), Github!B$1984)</f>
        <v>Widest Pair of Indices With Equal Range Sum</v>
      </c>
      <c r="C1985" s="17">
        <f>Github!F$1984</f>
        <v>40</v>
      </c>
      <c r="D1985" s="17">
        <f>Github!G$1984</f>
        <v>0</v>
      </c>
      <c r="E1985" s="17">
        <f>Github!F$1984+Github!G$1984</f>
        <v>40</v>
      </c>
      <c r="F1985" s="18">
        <f t="shared" si="1"/>
        <v>40</v>
      </c>
      <c r="G1985" s="17" t="str">
        <f>Github!H$1984</f>
        <v>Algorithms</v>
      </c>
      <c r="H1985" s="17" t="str">
        <f>Github!E$1984</f>
        <v>Medium</v>
      </c>
      <c r="I1985" s="17" t="str">
        <f>IF(TRIM(Github!D$1984)="TRUE","FALSE","TRUE")</f>
        <v>FALSE</v>
      </c>
      <c r="J1985" s="17"/>
      <c r="K1985" s="17" t="str">
        <f>Github!L$1984</f>
        <v>Array;Hash Table;Prefix Sum;</v>
      </c>
      <c r="L1985" s="17" t="b">
        <f>Github!M$1984</f>
        <v>0</v>
      </c>
      <c r="M1985" s="17" t="str">
        <f>ROUND(Github!N$1984, 2)&amp;"%"</f>
        <v>0%</v>
      </c>
      <c r="N1985" s="17">
        <f>Github!O$1984</f>
        <v>54.10996189</v>
      </c>
      <c r="O1985" s="17">
        <f>Github!P$1984</f>
        <v>994</v>
      </c>
    </row>
    <row r="1986">
      <c r="A1986" s="17">
        <f>Github!J$1985</f>
        <v>1984</v>
      </c>
      <c r="B1986" s="27" t="str">
        <f>HYPERLINK(CONCAT("http://leetcode.com/problems/",Github!C$1985), Github!B$1985)</f>
        <v>Minimum Difference Between Highest and Lowest of K Scores</v>
      </c>
      <c r="C1986" s="17">
        <f>Github!F$1985</f>
        <v>259</v>
      </c>
      <c r="D1986" s="17">
        <f>Github!G$1985</f>
        <v>37</v>
      </c>
      <c r="E1986" s="17">
        <f>Github!F$1985+Github!G$1985</f>
        <v>296</v>
      </c>
      <c r="F1986" s="18">
        <f t="shared" si="1"/>
        <v>7</v>
      </c>
      <c r="G1986" s="17" t="str">
        <f>Github!H$1985</f>
        <v>Algorithms</v>
      </c>
      <c r="H1986" s="17" t="str">
        <f>Github!E$1985</f>
        <v>Easy</v>
      </c>
      <c r="I1986" s="17" t="str">
        <f>IF(TRIM(Github!D$1985)="TRUE","FALSE","TRUE")</f>
        <v>TRUE</v>
      </c>
      <c r="J1986" s="17"/>
      <c r="K1986" s="17" t="str">
        <f>Github!L$1985</f>
        <v>Array;Sliding Window;Sorting;</v>
      </c>
      <c r="L1986" s="17" t="b">
        <f>Github!M$1985</f>
        <v>0</v>
      </c>
      <c r="M1986" s="17" t="str">
        <f>ROUND(Github!N$1985, 2)&amp;"%"</f>
        <v>0%</v>
      </c>
      <c r="N1986" s="17">
        <f>Github!O$1985</f>
        <v>54.10113921</v>
      </c>
      <c r="O1986" s="17">
        <f>Github!P$1985</f>
        <v>19471</v>
      </c>
    </row>
    <row r="1987">
      <c r="A1987" s="17">
        <f>Github!J$1986</f>
        <v>1985</v>
      </c>
      <c r="B1987" s="27" t="str">
        <f>HYPERLINK(CONCAT("http://leetcode.com/problems/",Github!C$1986), Github!B$1986)</f>
        <v>Find the Kth Largest Integer in the Array</v>
      </c>
      <c r="C1987" s="17">
        <f>Github!F$1986</f>
        <v>386</v>
      </c>
      <c r="D1987" s="17">
        <f>Github!G$1986</f>
        <v>62</v>
      </c>
      <c r="E1987" s="17">
        <f>Github!F$1986+Github!G$1986</f>
        <v>448</v>
      </c>
      <c r="F1987" s="18">
        <f t="shared" si="1"/>
        <v>6.23</v>
      </c>
      <c r="G1987" s="17" t="str">
        <f>Github!H$1986</f>
        <v>Algorithms</v>
      </c>
      <c r="H1987" s="17" t="str">
        <f>Github!E$1986</f>
        <v>Medium</v>
      </c>
      <c r="I1987" s="17" t="str">
        <f>IF(TRIM(Github!D$1986)="TRUE","FALSE","TRUE")</f>
        <v>TRUE</v>
      </c>
      <c r="J1987" s="17"/>
      <c r="K1987" s="17" t="str">
        <f>Github!L$1986</f>
        <v>Array;String;Divide and Conquer;Sorting;Heap (Priority Queue);Quickselect;</v>
      </c>
      <c r="L1987" s="17" t="b">
        <f>Github!M$1986</f>
        <v>0</v>
      </c>
      <c r="M1987" s="17" t="str">
        <f>ROUND(Github!N$1986, 2)&amp;"%"</f>
        <v>0%</v>
      </c>
      <c r="N1987" s="17">
        <f>Github!O$1986</f>
        <v>44.74717155</v>
      </c>
      <c r="O1987" s="17">
        <f>Github!P$1986</f>
        <v>25194</v>
      </c>
    </row>
    <row r="1988">
      <c r="A1988" s="17">
        <f>Github!J$1987</f>
        <v>1986</v>
      </c>
      <c r="B1988" s="27" t="str">
        <f>HYPERLINK(CONCAT("http://leetcode.com/problems/",Github!C$1987), Github!B$1987)</f>
        <v>Minimum Number of Work Sessions to Finish the Tasks</v>
      </c>
      <c r="C1988" s="17">
        <f>Github!F$1987</f>
        <v>464</v>
      </c>
      <c r="D1988" s="17">
        <f>Github!G$1987</f>
        <v>27</v>
      </c>
      <c r="E1988" s="17">
        <f>Github!F$1987+Github!G$1987</f>
        <v>491</v>
      </c>
      <c r="F1988" s="18">
        <f t="shared" si="1"/>
        <v>17.19</v>
      </c>
      <c r="G1988" s="17" t="str">
        <f>Github!H$1987</f>
        <v>Algorithms</v>
      </c>
      <c r="H1988" s="17" t="str">
        <f>Github!E$1987</f>
        <v>Medium</v>
      </c>
      <c r="I1988" s="17" t="str">
        <f>IF(TRIM(Github!D$1987)="TRUE","FALSE","TRUE")</f>
        <v>TRUE</v>
      </c>
      <c r="J1988" s="17"/>
      <c r="K1988" s="17" t="str">
        <f>Github!L$1987</f>
        <v>Array;Dynamic Programming;Backtracking;Bit Manipulation;Bitmask;</v>
      </c>
      <c r="L1988" s="17" t="b">
        <f>Github!M$1987</f>
        <v>0</v>
      </c>
      <c r="M1988" s="17" t="str">
        <f>ROUND(Github!N$1987, 2)&amp;"%"</f>
        <v>0%</v>
      </c>
      <c r="N1988" s="17">
        <f>Github!O$1987</f>
        <v>31.5483871</v>
      </c>
      <c r="O1988" s="17">
        <f>Github!P$1987</f>
        <v>10758</v>
      </c>
    </row>
    <row r="1989">
      <c r="A1989" s="17">
        <f>Github!J$1988</f>
        <v>1987</v>
      </c>
      <c r="B1989" s="27" t="str">
        <f>HYPERLINK(CONCAT("http://leetcode.com/problems/",Github!C$1988), Github!B$1988)</f>
        <v>Number of Unique Good Subsequences</v>
      </c>
      <c r="C1989" s="17">
        <f>Github!F$1988</f>
        <v>354</v>
      </c>
      <c r="D1989" s="17">
        <f>Github!G$1988</f>
        <v>7</v>
      </c>
      <c r="E1989" s="17">
        <f>Github!F$1988+Github!G$1988</f>
        <v>361</v>
      </c>
      <c r="F1989" s="18">
        <f t="shared" si="1"/>
        <v>50.57</v>
      </c>
      <c r="G1989" s="17" t="str">
        <f>Github!H$1988</f>
        <v>Algorithms</v>
      </c>
      <c r="H1989" s="17" t="str">
        <f>Github!E$1988</f>
        <v>Hard</v>
      </c>
      <c r="I1989" s="17" t="str">
        <f>IF(TRIM(Github!D$1988)="TRUE","FALSE","TRUE")</f>
        <v>TRUE</v>
      </c>
      <c r="J1989" s="17"/>
      <c r="K1989" s="17" t="str">
        <f>Github!L$1988</f>
        <v>String;Dynamic Programming;</v>
      </c>
      <c r="L1989" s="17" t="b">
        <f>Github!M$1988</f>
        <v>0</v>
      </c>
      <c r="M1989" s="17" t="str">
        <f>ROUND(Github!N$1988, 2)&amp;"%"</f>
        <v>0%</v>
      </c>
      <c r="N1989" s="17">
        <f>Github!O$1988</f>
        <v>51.90072259</v>
      </c>
      <c r="O1989" s="17">
        <f>Github!P$1988</f>
        <v>6607</v>
      </c>
    </row>
    <row r="1990">
      <c r="A1990" s="17">
        <f>Github!J$1989</f>
        <v>1988</v>
      </c>
      <c r="B1990" s="27" t="str">
        <f>HYPERLINK(CONCAT("http://leetcode.com/problems/",Github!C$1989), Github!B$1989)</f>
        <v>Find Cutoff Score for Each School</v>
      </c>
      <c r="C1990" s="17">
        <f>Github!F$1989</f>
        <v>23</v>
      </c>
      <c r="D1990" s="17">
        <f>Github!G$1989</f>
        <v>50</v>
      </c>
      <c r="E1990" s="17">
        <f>Github!F$1989+Github!G$1989</f>
        <v>73</v>
      </c>
      <c r="F1990" s="18">
        <f t="shared" si="1"/>
        <v>0.46</v>
      </c>
      <c r="G1990" s="17" t="str">
        <f>Github!H$1989</f>
        <v>Database</v>
      </c>
      <c r="H1990" s="17" t="str">
        <f>Github!E$1989</f>
        <v>Medium</v>
      </c>
      <c r="I1990" s="17" t="str">
        <f>IF(TRIM(Github!D$1989)="TRUE","FALSE","TRUE")</f>
        <v>FALSE</v>
      </c>
      <c r="J1990" s="17"/>
      <c r="K1990" s="17" t="str">
        <f>Github!L$1989</f>
        <v>Database;</v>
      </c>
      <c r="L1990" s="17" t="b">
        <f>Github!M$1989</f>
        <v>0</v>
      </c>
      <c r="M1990" s="17" t="str">
        <f>ROUND(Github!N$1989, 2)&amp;"%"</f>
        <v>0%</v>
      </c>
      <c r="N1990" s="17">
        <f>Github!O$1989</f>
        <v>69.10282258</v>
      </c>
      <c r="O1990" s="17">
        <f>Github!P$1989</f>
        <v>2740</v>
      </c>
    </row>
    <row r="1991">
      <c r="A1991" s="17">
        <f>Github!J$1990</f>
        <v>1989</v>
      </c>
      <c r="B1991" s="27" t="str">
        <f>HYPERLINK(CONCAT("http://leetcode.com/problems/",Github!C$1990), Github!B$1990)</f>
        <v>Maximum Number of People That Can Be Caught in Tag</v>
      </c>
      <c r="C1991" s="17">
        <f>Github!F$1990</f>
        <v>38</v>
      </c>
      <c r="D1991" s="17">
        <f>Github!G$1990</f>
        <v>5</v>
      </c>
      <c r="E1991" s="17">
        <f>Github!F$1990+Github!G$1990</f>
        <v>43</v>
      </c>
      <c r="F1991" s="18">
        <f t="shared" si="1"/>
        <v>7.6</v>
      </c>
      <c r="G1991" s="17" t="str">
        <f>Github!H$1990</f>
        <v>Algorithms</v>
      </c>
      <c r="H1991" s="17" t="str">
        <f>Github!E$1990</f>
        <v>Medium</v>
      </c>
      <c r="I1991" s="17" t="str">
        <f>IF(TRIM(Github!D$1990)="TRUE","FALSE","TRUE")</f>
        <v>FALSE</v>
      </c>
      <c r="J1991" s="17"/>
      <c r="K1991" s="17" t="str">
        <f>Github!L$1990</f>
        <v>Array;Greedy;</v>
      </c>
      <c r="L1991" s="17" t="b">
        <f>Github!M$1990</f>
        <v>0</v>
      </c>
      <c r="M1991" s="17" t="str">
        <f>ROUND(Github!N$1990, 2)&amp;"%"</f>
        <v>0%</v>
      </c>
      <c r="N1991" s="17">
        <f>Github!O$1990</f>
        <v>55.49065421</v>
      </c>
      <c r="O1991" s="17">
        <f>Github!P$1990</f>
        <v>950</v>
      </c>
    </row>
    <row r="1992">
      <c r="A1992" s="17">
        <f>Github!J$1991</f>
        <v>1990</v>
      </c>
      <c r="B1992" s="27" t="str">
        <f>HYPERLINK(CONCAT("http://leetcode.com/problems/",Github!C$1991), Github!B$1991)</f>
        <v>Count the Number of Experiments</v>
      </c>
      <c r="C1992" s="17">
        <f>Github!F$1991</f>
        <v>6</v>
      </c>
      <c r="D1992" s="17">
        <f>Github!G$1991</f>
        <v>75</v>
      </c>
      <c r="E1992" s="17">
        <f>Github!F$1991+Github!G$1991</f>
        <v>81</v>
      </c>
      <c r="F1992" s="18">
        <f t="shared" si="1"/>
        <v>0.08</v>
      </c>
      <c r="G1992" s="17" t="str">
        <f>Github!H$1991</f>
        <v>Database</v>
      </c>
      <c r="H1992" s="17" t="str">
        <f>Github!E$1991</f>
        <v>Medium</v>
      </c>
      <c r="I1992" s="17" t="str">
        <f>IF(TRIM(Github!D$1991)="TRUE","FALSE","TRUE")</f>
        <v>FALSE</v>
      </c>
      <c r="J1992" s="17"/>
      <c r="K1992" s="17" t="str">
        <f>Github!L$1991</f>
        <v>Database;</v>
      </c>
      <c r="L1992" s="17" t="b">
        <f>Github!M$1991</f>
        <v>0</v>
      </c>
      <c r="M1992" s="17" t="str">
        <f>ROUND(Github!N$1991, 2)&amp;"%"</f>
        <v>0%</v>
      </c>
      <c r="N1992" s="17">
        <f>Github!O$1991</f>
        <v>50.62162796</v>
      </c>
      <c r="O1992" s="17">
        <f>Github!P$1991</f>
        <v>2158</v>
      </c>
    </row>
    <row r="1993">
      <c r="A1993" s="17">
        <f>Github!J$1992</f>
        <v>1991</v>
      </c>
      <c r="B1993" s="27" t="str">
        <f>HYPERLINK(CONCAT("http://leetcode.com/problems/",Github!C$1992), Github!B$1992)</f>
        <v>Find the Middle Index in Array</v>
      </c>
      <c r="C1993" s="17">
        <f>Github!F$1992</f>
        <v>349</v>
      </c>
      <c r="D1993" s="17">
        <f>Github!G$1992</f>
        <v>18</v>
      </c>
      <c r="E1993" s="17">
        <f>Github!F$1992+Github!G$1992</f>
        <v>367</v>
      </c>
      <c r="F1993" s="18">
        <f t="shared" si="1"/>
        <v>19.39</v>
      </c>
      <c r="G1993" s="17" t="str">
        <f>Github!H$1992</f>
        <v>Algorithms</v>
      </c>
      <c r="H1993" s="17" t="str">
        <f>Github!E$1992</f>
        <v>Easy</v>
      </c>
      <c r="I1993" s="17" t="str">
        <f>IF(TRIM(Github!D$1992)="TRUE","FALSE","TRUE")</f>
        <v>TRUE</v>
      </c>
      <c r="J1993" s="17"/>
      <c r="K1993" s="17" t="str">
        <f>Github!L$1992</f>
        <v>Array;Prefix Sum;</v>
      </c>
      <c r="L1993" s="17" t="b">
        <f>Github!M$1992</f>
        <v>0</v>
      </c>
      <c r="M1993" s="17" t="str">
        <f>ROUND(Github!N$1992, 2)&amp;"%"</f>
        <v>0%</v>
      </c>
      <c r="N1993" s="17">
        <f>Github!O$1992</f>
        <v>66.33738602</v>
      </c>
      <c r="O1993" s="17">
        <f>Github!P$1992</f>
        <v>23571</v>
      </c>
    </row>
    <row r="1994">
      <c r="A1994" s="17">
        <f>Github!J$1993</f>
        <v>1992</v>
      </c>
      <c r="B1994" s="27" t="str">
        <f>HYPERLINK(CONCAT("http://leetcode.com/problems/",Github!C$1993), Github!B$1993)</f>
        <v>Find All Groups of Farmland</v>
      </c>
      <c r="C1994" s="17">
        <f>Github!F$1993</f>
        <v>323</v>
      </c>
      <c r="D1994" s="17">
        <f>Github!G$1993</f>
        <v>16</v>
      </c>
      <c r="E1994" s="17">
        <f>Github!F$1993+Github!G$1993</f>
        <v>339</v>
      </c>
      <c r="F1994" s="18">
        <f t="shared" si="1"/>
        <v>20.19</v>
      </c>
      <c r="G1994" s="17" t="str">
        <f>Github!H$1993</f>
        <v>Algorithms</v>
      </c>
      <c r="H1994" s="17" t="str">
        <f>Github!E$1993</f>
        <v>Medium</v>
      </c>
      <c r="I1994" s="17" t="str">
        <f>IF(TRIM(Github!D$1993)="TRUE","FALSE","TRUE")</f>
        <v>TRUE</v>
      </c>
      <c r="J1994" s="17"/>
      <c r="K1994" s="17" t="str">
        <f>Github!L$1993</f>
        <v>Array;Depth-First Search;Breadth-First Search;Matrix;</v>
      </c>
      <c r="L1994" s="17" t="b">
        <f>Github!M$1993</f>
        <v>0</v>
      </c>
      <c r="M1994" s="17" t="str">
        <f>ROUND(Github!N$1993, 2)&amp;"%"</f>
        <v>0%</v>
      </c>
      <c r="N1994" s="17">
        <f>Github!O$1993</f>
        <v>66.99634487</v>
      </c>
      <c r="O1994" s="17">
        <f>Github!P$1993</f>
        <v>12464</v>
      </c>
    </row>
    <row r="1995">
      <c r="A1995" s="17">
        <f>Github!J$1994</f>
        <v>1993</v>
      </c>
      <c r="B1995" s="27" t="str">
        <f>HYPERLINK(CONCAT("http://leetcode.com/problems/",Github!C$1994), Github!B$1994)</f>
        <v>Operations on Tree</v>
      </c>
      <c r="C1995" s="17">
        <f>Github!F$1994</f>
        <v>195</v>
      </c>
      <c r="D1995" s="17">
        <f>Github!G$1994</f>
        <v>35</v>
      </c>
      <c r="E1995" s="17">
        <f>Github!F$1994+Github!G$1994</f>
        <v>230</v>
      </c>
      <c r="F1995" s="18">
        <f t="shared" si="1"/>
        <v>5.57</v>
      </c>
      <c r="G1995" s="17" t="str">
        <f>Github!H$1994</f>
        <v>Algorithms</v>
      </c>
      <c r="H1995" s="17" t="str">
        <f>Github!E$1994</f>
        <v>Medium</v>
      </c>
      <c r="I1995" s="17" t="str">
        <f>IF(TRIM(Github!D$1994)="TRUE","FALSE","TRUE")</f>
        <v>TRUE</v>
      </c>
      <c r="J1995" s="17"/>
      <c r="K1995" s="17" t="str">
        <f>Github!L$1994</f>
        <v>Hash Table;Tree;Breadth-First Search;Design;</v>
      </c>
      <c r="L1995" s="17" t="b">
        <f>Github!M$1994</f>
        <v>0</v>
      </c>
      <c r="M1995" s="17" t="str">
        <f>ROUND(Github!N$1994, 2)&amp;"%"</f>
        <v>0%</v>
      </c>
      <c r="N1995" s="17">
        <f>Github!O$1994</f>
        <v>41.86262787</v>
      </c>
      <c r="O1995" s="17">
        <f>Github!P$1994</f>
        <v>6302</v>
      </c>
    </row>
    <row r="1996">
      <c r="A1996" s="17">
        <f>Github!J$1995</f>
        <v>1994</v>
      </c>
      <c r="B1996" s="27" t="str">
        <f>HYPERLINK(CONCAT("http://leetcode.com/problems/",Github!C$1995), Github!B$1995)</f>
        <v>The Number of Good Subsets</v>
      </c>
      <c r="C1996" s="17">
        <f>Github!F$1995</f>
        <v>199</v>
      </c>
      <c r="D1996" s="17">
        <f>Github!G$1995</f>
        <v>4</v>
      </c>
      <c r="E1996" s="17">
        <f>Github!F$1995+Github!G$1995</f>
        <v>203</v>
      </c>
      <c r="F1996" s="18">
        <f t="shared" si="1"/>
        <v>49.75</v>
      </c>
      <c r="G1996" s="17" t="str">
        <f>Github!H$1995</f>
        <v>Algorithms</v>
      </c>
      <c r="H1996" s="17" t="str">
        <f>Github!E$1995</f>
        <v>Hard</v>
      </c>
      <c r="I1996" s="17" t="str">
        <f>IF(TRIM(Github!D$1995)="TRUE","FALSE","TRUE")</f>
        <v>TRUE</v>
      </c>
      <c r="J1996" s="17"/>
      <c r="K1996" s="17" t="str">
        <f>Github!L$1995</f>
        <v>Array;Math;Dynamic Programming;Bit Manipulation;Bitmask;</v>
      </c>
      <c r="L1996" s="17" t="b">
        <f>Github!M$1995</f>
        <v>0</v>
      </c>
      <c r="M1996" s="17" t="str">
        <f>ROUND(Github!N$1995, 2)&amp;"%"</f>
        <v>0%</v>
      </c>
      <c r="N1996" s="17">
        <f>Github!O$1995</f>
        <v>33.97991335</v>
      </c>
      <c r="O1996" s="17">
        <f>Github!P$1995</f>
        <v>3451</v>
      </c>
    </row>
    <row r="1997">
      <c r="A1997" s="17">
        <f>Github!J$1996</f>
        <v>1995</v>
      </c>
      <c r="B1997" s="27" t="str">
        <f>HYPERLINK(CONCAT("http://leetcode.com/problems/",Github!C$1996), Github!B$1996)</f>
        <v>Count Special Quadruplets</v>
      </c>
      <c r="C1997" s="17">
        <f>Github!F$1996</f>
        <v>235</v>
      </c>
      <c r="D1997" s="17">
        <f>Github!G$1996</f>
        <v>121</v>
      </c>
      <c r="E1997" s="17">
        <f>Github!F$1996+Github!G$1996</f>
        <v>356</v>
      </c>
      <c r="F1997" s="18">
        <f t="shared" si="1"/>
        <v>1.94</v>
      </c>
      <c r="G1997" s="17" t="str">
        <f>Github!H$1996</f>
        <v>Algorithms</v>
      </c>
      <c r="H1997" s="17" t="str">
        <f>Github!E$1996</f>
        <v>Easy</v>
      </c>
      <c r="I1997" s="17" t="str">
        <f>IF(TRIM(Github!D$1996)="TRUE","FALSE","TRUE")</f>
        <v>TRUE</v>
      </c>
      <c r="J1997" s="17"/>
      <c r="K1997" s="17" t="str">
        <f>Github!L$1996</f>
        <v>Array;Enumeration;</v>
      </c>
      <c r="L1997" s="17" t="b">
        <f>Github!M$1996</f>
        <v>0</v>
      </c>
      <c r="M1997" s="17" t="str">
        <f>ROUND(Github!N$1996, 2)&amp;"%"</f>
        <v>0%</v>
      </c>
      <c r="N1997" s="17">
        <f>Github!O$1996</f>
        <v>57.72810719</v>
      </c>
      <c r="O1997" s="17">
        <f>Github!P$1996</f>
        <v>17924</v>
      </c>
    </row>
    <row r="1998">
      <c r="A1998" s="17">
        <f>Github!J$1997</f>
        <v>1996</v>
      </c>
      <c r="B1998" s="27" t="str">
        <f>HYPERLINK(CONCAT("http://leetcode.com/problems/",Github!C$1997), Github!B$1997)</f>
        <v>The Number of Weak Characters in the Game</v>
      </c>
      <c r="C1998" s="17">
        <f>Github!F$1997</f>
        <v>560</v>
      </c>
      <c r="D1998" s="17">
        <f>Github!G$1997</f>
        <v>20</v>
      </c>
      <c r="E1998" s="17">
        <f>Github!F$1997+Github!G$1997</f>
        <v>580</v>
      </c>
      <c r="F1998" s="18">
        <f t="shared" si="1"/>
        <v>28</v>
      </c>
      <c r="G1998" s="17" t="str">
        <f>Github!H$1997</f>
        <v>Algorithms</v>
      </c>
      <c r="H1998" s="17" t="str">
        <f>Github!E$1997</f>
        <v>Medium</v>
      </c>
      <c r="I1998" s="17" t="str">
        <f>IF(TRIM(Github!D$1997)="TRUE","FALSE","TRUE")</f>
        <v>TRUE</v>
      </c>
      <c r="J1998" s="17"/>
      <c r="K1998" s="17" t="str">
        <f>Github!L$1997</f>
        <v>Array;Stack;Greedy;Sorting;Monotonic Stack;</v>
      </c>
      <c r="L1998" s="17" t="b">
        <f>Github!M$1997</f>
        <v>0</v>
      </c>
      <c r="M1998" s="17" t="str">
        <f>ROUND(Github!N$1997, 2)&amp;"%"</f>
        <v>0%</v>
      </c>
      <c r="N1998" s="17">
        <f>Github!O$1997</f>
        <v>32.45498368</v>
      </c>
      <c r="O1998" s="17">
        <f>Github!P$1997</f>
        <v>15014</v>
      </c>
    </row>
    <row r="1999">
      <c r="A1999" s="17">
        <f>Github!J$1998</f>
        <v>1997</v>
      </c>
      <c r="B1999" s="27" t="str">
        <f>HYPERLINK(CONCAT("http://leetcode.com/problems/",Github!C$1998), Github!B$1998)</f>
        <v>First Day Where You Have Been in All the Rooms</v>
      </c>
      <c r="C1999" s="17">
        <f>Github!F$1998</f>
        <v>309</v>
      </c>
      <c r="D1999" s="17">
        <f>Github!G$1998</f>
        <v>51</v>
      </c>
      <c r="E1999" s="17">
        <f>Github!F$1998+Github!G$1998</f>
        <v>360</v>
      </c>
      <c r="F1999" s="18">
        <f t="shared" si="1"/>
        <v>6.06</v>
      </c>
      <c r="G1999" s="17" t="str">
        <f>Github!H$1998</f>
        <v>Algorithms</v>
      </c>
      <c r="H1999" s="17" t="str">
        <f>Github!E$1998</f>
        <v>Medium</v>
      </c>
      <c r="I1999" s="17" t="str">
        <f>IF(TRIM(Github!D$1998)="TRUE","FALSE","TRUE")</f>
        <v>TRUE</v>
      </c>
      <c r="J1999" s="17"/>
      <c r="K1999" s="17" t="str">
        <f>Github!L$1998</f>
        <v>Array;Dynamic Programming;</v>
      </c>
      <c r="L1999" s="17" t="b">
        <f>Github!M$1998</f>
        <v>0</v>
      </c>
      <c r="M1999" s="17" t="str">
        <f>ROUND(Github!N$1998, 2)&amp;"%"</f>
        <v>0%</v>
      </c>
      <c r="N1999" s="17">
        <f>Github!O$1998</f>
        <v>35.22201213</v>
      </c>
      <c r="O1999" s="17">
        <f>Github!P$1998</f>
        <v>5402</v>
      </c>
    </row>
    <row r="2000">
      <c r="A2000" s="17">
        <f>Github!J$1999</f>
        <v>1998</v>
      </c>
      <c r="B2000" s="27" t="str">
        <f>HYPERLINK(CONCAT("http://leetcode.com/problems/",Github!C$1999), Github!B$1999)</f>
        <v>GCD Sort of an Array</v>
      </c>
      <c r="C2000" s="17">
        <f>Github!F$1999</f>
        <v>240</v>
      </c>
      <c r="D2000" s="17">
        <f>Github!G$1999</f>
        <v>4</v>
      </c>
      <c r="E2000" s="17">
        <f>Github!F$1999+Github!G$1999</f>
        <v>244</v>
      </c>
      <c r="F2000" s="18">
        <f t="shared" si="1"/>
        <v>60</v>
      </c>
      <c r="G2000" s="17" t="str">
        <f>Github!H$1999</f>
        <v>Algorithms</v>
      </c>
      <c r="H2000" s="17" t="str">
        <f>Github!E$1999</f>
        <v>Hard</v>
      </c>
      <c r="I2000" s="17" t="str">
        <f>IF(TRIM(Github!D$1999)="TRUE","FALSE","TRUE")</f>
        <v>TRUE</v>
      </c>
      <c r="J2000" s="17"/>
      <c r="K2000" s="17" t="str">
        <f>Github!L$1999</f>
        <v>Array;Math;Union Find;Sorting;</v>
      </c>
      <c r="L2000" s="17" t="b">
        <f>Github!M$1999</f>
        <v>0</v>
      </c>
      <c r="M2000" s="17" t="str">
        <f>ROUND(Github!N$1999, 2)&amp;"%"</f>
        <v>0%</v>
      </c>
      <c r="N2000" s="17">
        <f>Github!O$1999</f>
        <v>45.68512218</v>
      </c>
      <c r="O2000" s="17">
        <f>Github!P$1999</f>
        <v>4431</v>
      </c>
    </row>
    <row r="2001">
      <c r="A2001" s="17">
        <f>Github!J$2000</f>
        <v>1999</v>
      </c>
      <c r="B2001" s="27" t="str">
        <f>HYPERLINK(CONCAT("http://leetcode.com/problems/",Github!C$2000), Github!B$2000)</f>
        <v>Smallest Greater Multiple Made of Two Digits</v>
      </c>
      <c r="C2001" s="17">
        <f>Github!F$2000</f>
        <v>18</v>
      </c>
      <c r="D2001" s="17">
        <f>Github!G$2000</f>
        <v>3</v>
      </c>
      <c r="E2001" s="17">
        <f>Github!F$2000+Github!G$2000</f>
        <v>21</v>
      </c>
      <c r="F2001" s="18">
        <f t="shared" si="1"/>
        <v>6</v>
      </c>
      <c r="G2001" s="17" t="str">
        <f>Github!H$2000</f>
        <v>Algorithms</v>
      </c>
      <c r="H2001" s="17" t="str">
        <f>Github!E$2000</f>
        <v>Medium</v>
      </c>
      <c r="I2001" s="17" t="str">
        <f>IF(TRIM(Github!D$2000)="TRUE","FALSE","TRUE")</f>
        <v>FALSE</v>
      </c>
      <c r="J2001" s="17"/>
      <c r="K2001" s="17" t="str">
        <f>Github!L$2000</f>
        <v>Math;Enumeration;</v>
      </c>
      <c r="L2001" s="17" t="b">
        <f>Github!M$2000</f>
        <v>0</v>
      </c>
      <c r="M2001" s="17" t="str">
        <f>ROUND(Github!N$2000, 2)&amp;"%"</f>
        <v>0%</v>
      </c>
      <c r="N2001" s="17">
        <f>Github!O$2000</f>
        <v>52.27710071</v>
      </c>
      <c r="O2001" s="17">
        <f>Github!P$2000</f>
        <v>815</v>
      </c>
    </row>
    <row r="2002">
      <c r="A2002" s="17">
        <f>Github!J$2001</f>
        <v>2000</v>
      </c>
      <c r="B2002" s="27" t="str">
        <f>HYPERLINK(CONCAT("http://leetcode.com/problems/",Github!C$2001), Github!B$2001)</f>
        <v>Reverse Prefix of Word</v>
      </c>
      <c r="C2002" s="17">
        <f>Github!F$2001</f>
        <v>272</v>
      </c>
      <c r="D2002" s="17">
        <f>Github!G$2001</f>
        <v>6</v>
      </c>
      <c r="E2002" s="17">
        <f>Github!F$2001+Github!G$2001</f>
        <v>278</v>
      </c>
      <c r="F2002" s="18">
        <f t="shared" si="1"/>
        <v>45.33</v>
      </c>
      <c r="G2002" s="17" t="str">
        <f>Github!H$2001</f>
        <v>Algorithms</v>
      </c>
      <c r="H2002" s="17" t="str">
        <f>Github!E$2001</f>
        <v>Easy</v>
      </c>
      <c r="I2002" s="17" t="str">
        <f>IF(TRIM(Github!D$2001)="TRUE","FALSE","TRUE")</f>
        <v>TRUE</v>
      </c>
      <c r="J2002" s="17"/>
      <c r="K2002" s="17" t="str">
        <f>Github!L$2001</f>
        <v>Two Pointers;String;</v>
      </c>
      <c r="L2002" s="17" t="b">
        <f>Github!M$2001</f>
        <v>0</v>
      </c>
      <c r="M2002" s="17" t="str">
        <f>ROUND(Github!N$2001, 2)&amp;"%"</f>
        <v>0%</v>
      </c>
      <c r="N2002" s="17">
        <f>Github!O$2001</f>
        <v>78.09284486</v>
      </c>
      <c r="O2002" s="17">
        <f>Github!P$2001</f>
        <v>29519</v>
      </c>
    </row>
    <row r="2003">
      <c r="A2003" s="17">
        <f>Github!J$2002</f>
        <v>2001</v>
      </c>
      <c r="B2003" s="27" t="str">
        <f>HYPERLINK(CONCAT("http://leetcode.com/problems/",Github!C$2002), Github!B$2002)</f>
        <v>Number of Pairs of Interchangeable Rectangles</v>
      </c>
      <c r="C2003" s="17">
        <f>Github!F$2002</f>
        <v>206</v>
      </c>
      <c r="D2003" s="17">
        <f>Github!G$2002</f>
        <v>20</v>
      </c>
      <c r="E2003" s="17">
        <f>Github!F$2002+Github!G$2002</f>
        <v>226</v>
      </c>
      <c r="F2003" s="18">
        <f t="shared" si="1"/>
        <v>10.3</v>
      </c>
      <c r="G2003" s="17" t="str">
        <f>Github!H$2002</f>
        <v>Algorithms</v>
      </c>
      <c r="H2003" s="17" t="str">
        <f>Github!E$2002</f>
        <v>Medium</v>
      </c>
      <c r="I2003" s="17" t="str">
        <f>IF(TRIM(Github!D$2002)="TRUE","FALSE","TRUE")</f>
        <v>TRUE</v>
      </c>
      <c r="J2003" s="17"/>
      <c r="K2003" s="17" t="str">
        <f>Github!L$2002</f>
        <v>Array;Hash Table;Math;Counting;Number Theory;</v>
      </c>
      <c r="L2003" s="17" t="b">
        <f>Github!M$2002</f>
        <v>0</v>
      </c>
      <c r="M2003" s="17" t="str">
        <f>ROUND(Github!N$2002, 2)&amp;"%"</f>
        <v>0%</v>
      </c>
      <c r="N2003" s="17">
        <f>Github!O$2002</f>
        <v>42.51907742</v>
      </c>
      <c r="O2003" s="17">
        <f>Github!P$2002</f>
        <v>14877</v>
      </c>
    </row>
    <row r="2004">
      <c r="A2004" s="17">
        <f>Github!J$2003</f>
        <v>2002</v>
      </c>
      <c r="B2004" s="27" t="str">
        <f>HYPERLINK(CONCAT("http://leetcode.com/problems/",Github!C$2003), Github!B$2003)</f>
        <v>Maximum Product of the Length of Two Palindromic Subsequences</v>
      </c>
      <c r="C2004" s="17">
        <f>Github!F$2003</f>
        <v>405</v>
      </c>
      <c r="D2004" s="17">
        <f>Github!G$2003</f>
        <v>27</v>
      </c>
      <c r="E2004" s="17">
        <f>Github!F$2003+Github!G$2003</f>
        <v>432</v>
      </c>
      <c r="F2004" s="18">
        <f t="shared" si="1"/>
        <v>15</v>
      </c>
      <c r="G2004" s="17" t="str">
        <f>Github!H$2003</f>
        <v>Algorithms</v>
      </c>
      <c r="H2004" s="17" t="str">
        <f>Github!E$2003</f>
        <v>Medium</v>
      </c>
      <c r="I2004" s="17" t="str">
        <f>IF(TRIM(Github!D$2003)="TRUE","FALSE","TRUE")</f>
        <v>TRUE</v>
      </c>
      <c r="J2004" s="17"/>
      <c r="K2004" s="17" t="str">
        <f>Github!L$2003</f>
        <v>String;Dynamic Programming;Backtracking;Bit Manipulation;Bitmask;</v>
      </c>
      <c r="L2004" s="17" t="b">
        <f>Github!M$2003</f>
        <v>0</v>
      </c>
      <c r="M2004" s="17" t="str">
        <f>ROUND(Github!N$2003, 2)&amp;"%"</f>
        <v>0%</v>
      </c>
      <c r="N2004" s="17">
        <f>Github!O$2003</f>
        <v>52.6936689</v>
      </c>
      <c r="O2004" s="17">
        <f>Github!P$2003</f>
        <v>10720</v>
      </c>
    </row>
    <row r="2005">
      <c r="A2005" s="17">
        <f>Github!J$2004</f>
        <v>2003</v>
      </c>
      <c r="B2005" s="27" t="str">
        <f>HYPERLINK(CONCAT("http://leetcode.com/problems/",Github!C$2004), Github!B$2004)</f>
        <v>Smallest Missing Genetic Value in Each Subtree</v>
      </c>
      <c r="C2005" s="17">
        <f>Github!F$2004</f>
        <v>254</v>
      </c>
      <c r="D2005" s="17">
        <f>Github!G$2004</f>
        <v>16</v>
      </c>
      <c r="E2005" s="17">
        <f>Github!F$2004+Github!G$2004</f>
        <v>270</v>
      </c>
      <c r="F2005" s="18">
        <f t="shared" si="1"/>
        <v>15.88</v>
      </c>
      <c r="G2005" s="17" t="str">
        <f>Github!H$2004</f>
        <v>Algorithms</v>
      </c>
      <c r="H2005" s="17" t="str">
        <f>Github!E$2004</f>
        <v>Hard</v>
      </c>
      <c r="I2005" s="17" t="str">
        <f>IF(TRIM(Github!D$2004)="TRUE","FALSE","TRUE")</f>
        <v>TRUE</v>
      </c>
      <c r="J2005" s="17"/>
      <c r="K2005" s="17" t="str">
        <f>Github!L$2004</f>
        <v>Dynamic Programming;Tree;Depth-First Search;Union Find;</v>
      </c>
      <c r="L2005" s="17" t="b">
        <f>Github!M$2004</f>
        <v>0</v>
      </c>
      <c r="M2005" s="17" t="str">
        <f>ROUND(Github!N$2004, 2)&amp;"%"</f>
        <v>0%</v>
      </c>
      <c r="N2005" s="17">
        <f>Github!O$2004</f>
        <v>42.10285505</v>
      </c>
      <c r="O2005" s="17">
        <f>Github!P$2004</f>
        <v>4601</v>
      </c>
    </row>
    <row r="2006">
      <c r="A2006" s="17">
        <f>Github!J$2005</f>
        <v>2004</v>
      </c>
      <c r="B2006" s="27" t="str">
        <f>HYPERLINK(CONCAT("http://leetcode.com/problems/",Github!C$2005), Github!B$2005)</f>
        <v>The Number of Seniors and Juniors to Join the Company</v>
      </c>
      <c r="C2006" s="17">
        <f>Github!F$2005</f>
        <v>49</v>
      </c>
      <c r="D2006" s="17">
        <f>Github!G$2005</f>
        <v>4</v>
      </c>
      <c r="E2006" s="17">
        <f>Github!F$2005+Github!G$2005</f>
        <v>53</v>
      </c>
      <c r="F2006" s="18">
        <f t="shared" si="1"/>
        <v>12.25</v>
      </c>
      <c r="G2006" s="17" t="str">
        <f>Github!H$2005</f>
        <v>Database</v>
      </c>
      <c r="H2006" s="17" t="str">
        <f>Github!E$2005</f>
        <v>Hard</v>
      </c>
      <c r="I2006" s="17" t="str">
        <f>IF(TRIM(Github!D$2005)="TRUE","FALSE","TRUE")</f>
        <v>FALSE</v>
      </c>
      <c r="J2006" s="17"/>
      <c r="K2006" s="17" t="str">
        <f>Github!L$2005</f>
        <v>Database;</v>
      </c>
      <c r="L2006" s="17" t="b">
        <f>Github!M$2005</f>
        <v>0</v>
      </c>
      <c r="M2006" s="17" t="str">
        <f>ROUND(Github!N$2005, 2)&amp;"%"</f>
        <v>0%</v>
      </c>
      <c r="N2006" s="17">
        <f>Github!O$2005</f>
        <v>37.94771044</v>
      </c>
      <c r="O2006" s="17">
        <f>Github!P$2005</f>
        <v>2511</v>
      </c>
    </row>
    <row r="2007">
      <c r="A2007" s="17">
        <f>Github!J$2006</f>
        <v>2005</v>
      </c>
      <c r="B2007" s="27" t="str">
        <f>HYPERLINK(CONCAT("http://leetcode.com/problems/",Github!C$2006), Github!B$2006)</f>
        <v>Subtree Removal Game with Fibonacci Tree</v>
      </c>
      <c r="C2007" s="17">
        <f>Github!F$2006</f>
        <v>9</v>
      </c>
      <c r="D2007" s="17">
        <f>Github!G$2006</f>
        <v>25</v>
      </c>
      <c r="E2007" s="17">
        <f>Github!F$2006+Github!G$2006</f>
        <v>34</v>
      </c>
      <c r="F2007" s="18">
        <f t="shared" si="1"/>
        <v>0.36</v>
      </c>
      <c r="G2007" s="17" t="str">
        <f>Github!H$2006</f>
        <v>Algorithms</v>
      </c>
      <c r="H2007" s="17" t="str">
        <f>Github!E$2006</f>
        <v>Hard</v>
      </c>
      <c r="I2007" s="17" t="str">
        <f>IF(TRIM(Github!D$2006)="TRUE","FALSE","TRUE")</f>
        <v>FALSE</v>
      </c>
      <c r="J2007" s="17"/>
      <c r="K2007" s="17" t="str">
        <f>Github!L$2006</f>
        <v>Math;Dynamic Programming;Tree;Binary Tree;Game Theory;</v>
      </c>
      <c r="L2007" s="17" t="b">
        <f>Github!M$2006</f>
        <v>0</v>
      </c>
      <c r="M2007" s="17" t="str">
        <f>ROUND(Github!N$2006, 2)&amp;"%"</f>
        <v>0%</v>
      </c>
      <c r="N2007" s="17">
        <f>Github!O$2006</f>
        <v>63.59447005</v>
      </c>
      <c r="O2007" s="17">
        <f>Github!P$2006</f>
        <v>276</v>
      </c>
    </row>
    <row r="2008">
      <c r="A2008" s="17">
        <f>Github!J$2007</f>
        <v>2006</v>
      </c>
      <c r="B2008" s="27" t="str">
        <f>HYPERLINK(CONCAT("http://leetcode.com/problems/",Github!C$2007), Github!B$2007)</f>
        <v>Count Number of Pairs With Absolute Difference K</v>
      </c>
      <c r="C2008" s="17">
        <f>Github!F$2007</f>
        <v>523</v>
      </c>
      <c r="D2008" s="17">
        <f>Github!G$2007</f>
        <v>13</v>
      </c>
      <c r="E2008" s="17">
        <f>Github!F$2007+Github!G$2007</f>
        <v>536</v>
      </c>
      <c r="F2008" s="18">
        <f t="shared" si="1"/>
        <v>40.23</v>
      </c>
      <c r="G2008" s="17" t="str">
        <f>Github!H$2007</f>
        <v>Algorithms</v>
      </c>
      <c r="H2008" s="17" t="str">
        <f>Github!E$2007</f>
        <v>Easy</v>
      </c>
      <c r="I2008" s="17" t="str">
        <f>IF(TRIM(Github!D$2007)="TRUE","FALSE","TRUE")</f>
        <v>TRUE</v>
      </c>
      <c r="J2008" s="17"/>
      <c r="K2008" s="17" t="str">
        <f>Github!L$2007</f>
        <v>Array;Hash Table;Counting;</v>
      </c>
      <c r="L2008" s="17" t="b">
        <f>Github!M$2007</f>
        <v>0</v>
      </c>
      <c r="M2008" s="17" t="str">
        <f>ROUND(Github!N$2007, 2)&amp;"%"</f>
        <v>0%</v>
      </c>
      <c r="N2008" s="17">
        <f>Github!O$2007</f>
        <v>83.14079718</v>
      </c>
      <c r="O2008" s="17">
        <f>Github!P$2007</f>
        <v>40587</v>
      </c>
    </row>
    <row r="2009">
      <c r="A2009" s="17">
        <f>Github!J$2008</f>
        <v>2007</v>
      </c>
      <c r="B2009" s="27" t="str">
        <f>HYPERLINK(CONCAT("http://leetcode.com/problems/",Github!C$2008), Github!B$2008)</f>
        <v>Find Original Array From Doubled Array</v>
      </c>
      <c r="C2009" s="17">
        <f>Github!F$2008</f>
        <v>517</v>
      </c>
      <c r="D2009" s="17">
        <f>Github!G$2008</f>
        <v>40</v>
      </c>
      <c r="E2009" s="17">
        <f>Github!F$2008+Github!G$2008</f>
        <v>557</v>
      </c>
      <c r="F2009" s="18">
        <f t="shared" si="1"/>
        <v>12.93</v>
      </c>
      <c r="G2009" s="17" t="str">
        <f>Github!H$2008</f>
        <v>Algorithms</v>
      </c>
      <c r="H2009" s="17" t="str">
        <f>Github!E$2008</f>
        <v>Medium</v>
      </c>
      <c r="I2009" s="17" t="str">
        <f>IF(TRIM(Github!D$2008)="TRUE","FALSE","TRUE")</f>
        <v>TRUE</v>
      </c>
      <c r="J2009" s="17"/>
      <c r="K2009" s="17" t="str">
        <f>Github!L$2008</f>
        <v>Array;Hash Table;Greedy;Sorting;</v>
      </c>
      <c r="L2009" s="17" t="b">
        <f>Github!M$2008</f>
        <v>0</v>
      </c>
      <c r="M2009" s="17" t="str">
        <f>ROUND(Github!N$2008, 2)&amp;"%"</f>
        <v>0%</v>
      </c>
      <c r="N2009" s="17">
        <f>Github!O$2008</f>
        <v>37.43305829</v>
      </c>
      <c r="O2009" s="17">
        <f>Github!P$2008</f>
        <v>35159</v>
      </c>
    </row>
    <row r="2010">
      <c r="A2010" s="17">
        <f>Github!J$2009</f>
        <v>2008</v>
      </c>
      <c r="B2010" s="27" t="str">
        <f>HYPERLINK(CONCAT("http://leetcode.com/problems/",Github!C$2009), Github!B$2009)</f>
        <v>Maximum Earnings From Taxi</v>
      </c>
      <c r="C2010" s="17">
        <f>Github!F$2009</f>
        <v>503</v>
      </c>
      <c r="D2010" s="17">
        <f>Github!G$2009</f>
        <v>11</v>
      </c>
      <c r="E2010" s="17">
        <f>Github!F$2009+Github!G$2009</f>
        <v>514</v>
      </c>
      <c r="F2010" s="18">
        <f t="shared" si="1"/>
        <v>45.73</v>
      </c>
      <c r="G2010" s="17" t="str">
        <f>Github!H$2009</f>
        <v>Algorithms</v>
      </c>
      <c r="H2010" s="17" t="str">
        <f>Github!E$2009</f>
        <v>Medium</v>
      </c>
      <c r="I2010" s="17" t="str">
        <f>IF(TRIM(Github!D$2009)="TRUE","FALSE","TRUE")</f>
        <v>TRUE</v>
      </c>
      <c r="J2010" s="17"/>
      <c r="K2010" s="17" t="str">
        <f>Github!L$2009</f>
        <v>Array;Binary Search;Dynamic Programming;Sorting;</v>
      </c>
      <c r="L2010" s="17" t="b">
        <f>Github!M$2009</f>
        <v>0</v>
      </c>
      <c r="M2010" s="17" t="str">
        <f>ROUND(Github!N$2009, 2)&amp;"%"</f>
        <v>0%</v>
      </c>
      <c r="N2010" s="17">
        <f>Github!O$2009</f>
        <v>42.55681598</v>
      </c>
      <c r="O2010" s="17">
        <f>Github!P$2009</f>
        <v>10991</v>
      </c>
    </row>
    <row r="2011">
      <c r="A2011" s="17">
        <f>Github!J$2010</f>
        <v>2009</v>
      </c>
      <c r="B2011" s="27" t="str">
        <f>HYPERLINK(CONCAT("http://leetcode.com/problems/",Github!C$2010), Github!B$2010)</f>
        <v>Minimum Number of Operations to Make Array Continuous</v>
      </c>
      <c r="C2011" s="17">
        <f>Github!F$2010</f>
        <v>375</v>
      </c>
      <c r="D2011" s="17">
        <f>Github!G$2010</f>
        <v>4</v>
      </c>
      <c r="E2011" s="17">
        <f>Github!F$2010+Github!G$2010</f>
        <v>379</v>
      </c>
      <c r="F2011" s="18">
        <f t="shared" si="1"/>
        <v>93.75</v>
      </c>
      <c r="G2011" s="17" t="str">
        <f>Github!H$2010</f>
        <v>Algorithms</v>
      </c>
      <c r="H2011" s="17" t="str">
        <f>Github!E$2010</f>
        <v>Hard</v>
      </c>
      <c r="I2011" s="17" t="str">
        <f>IF(TRIM(Github!D$2010)="TRUE","FALSE","TRUE")</f>
        <v>TRUE</v>
      </c>
      <c r="J2011" s="17"/>
      <c r="K2011" s="17" t="str">
        <f>Github!L$2010</f>
        <v>Array;Binary Search;</v>
      </c>
      <c r="L2011" s="17" t="b">
        <f>Github!M$2010</f>
        <v>0</v>
      </c>
      <c r="M2011" s="17" t="str">
        <f>ROUND(Github!N$2010, 2)&amp;"%"</f>
        <v>0%</v>
      </c>
      <c r="N2011" s="17">
        <f>Github!O$2010</f>
        <v>45.6005087</v>
      </c>
      <c r="O2011" s="17">
        <f>Github!P$2010</f>
        <v>5737</v>
      </c>
    </row>
    <row r="2012">
      <c r="A2012" s="17">
        <f>Github!J$2011</f>
        <v>2010</v>
      </c>
      <c r="B2012" s="27" t="str">
        <f>HYPERLINK(CONCAT("http://leetcode.com/problems/",Github!C$2011), Github!B$2011)</f>
        <v>The Number of Seniors and Juniors to Join the Company II</v>
      </c>
      <c r="C2012" s="17">
        <f>Github!F$2011</f>
        <v>9</v>
      </c>
      <c r="D2012" s="17">
        <f>Github!G$2011</f>
        <v>4</v>
      </c>
      <c r="E2012" s="17">
        <f>Github!F$2011+Github!G$2011</f>
        <v>13</v>
      </c>
      <c r="F2012" s="18">
        <f t="shared" si="1"/>
        <v>2.25</v>
      </c>
      <c r="G2012" s="17" t="str">
        <f>Github!H$2011</f>
        <v>Database</v>
      </c>
      <c r="H2012" s="17" t="str">
        <f>Github!E$2011</f>
        <v>Hard</v>
      </c>
      <c r="I2012" s="17" t="str">
        <f>IF(TRIM(Github!D$2011)="TRUE","FALSE","TRUE")</f>
        <v>FALSE</v>
      </c>
      <c r="J2012" s="17"/>
      <c r="K2012" s="17" t="str">
        <f>Github!L$2011</f>
        <v>Database;</v>
      </c>
      <c r="L2012" s="17" t="b">
        <f>Github!M$2011</f>
        <v>0</v>
      </c>
      <c r="M2012" s="17" t="str">
        <f>ROUND(Github!N$2011, 2)&amp;"%"</f>
        <v>0%</v>
      </c>
      <c r="N2012" s="17">
        <f>Github!O$2011</f>
        <v>56.46518745</v>
      </c>
      <c r="O2012" s="17">
        <f>Github!P$2011</f>
        <v>1476</v>
      </c>
    </row>
    <row r="2013">
      <c r="A2013" s="17">
        <f>Github!J$2012</f>
        <v>2011</v>
      </c>
      <c r="B2013" s="27" t="str">
        <f>HYPERLINK(CONCAT("http://leetcode.com/problems/",Github!C$2012), Github!B$2012)</f>
        <v>Final Value of Variable After Performing Operations</v>
      </c>
      <c r="C2013" s="17">
        <f>Github!F$2012</f>
        <v>411</v>
      </c>
      <c r="D2013" s="17">
        <f>Github!G$2012</f>
        <v>82</v>
      </c>
      <c r="E2013" s="17">
        <f>Github!F$2012+Github!G$2012</f>
        <v>493</v>
      </c>
      <c r="F2013" s="18">
        <f t="shared" si="1"/>
        <v>5.01</v>
      </c>
      <c r="G2013" s="17" t="str">
        <f>Github!H$2012</f>
        <v>Algorithms</v>
      </c>
      <c r="H2013" s="17" t="str">
        <f>Github!E$2012</f>
        <v>Easy</v>
      </c>
      <c r="I2013" s="17" t="str">
        <f>IF(TRIM(Github!D$2012)="TRUE","FALSE","TRUE")</f>
        <v>TRUE</v>
      </c>
      <c r="J2013" s="17"/>
      <c r="K2013" s="17" t="str">
        <f>Github!L$2012</f>
        <v>Array;String;Simulation;</v>
      </c>
      <c r="L2013" s="17" t="b">
        <f>Github!M$2012</f>
        <v>0</v>
      </c>
      <c r="M2013" s="17" t="str">
        <f>ROUND(Github!N$2012, 2)&amp;"%"</f>
        <v>0%</v>
      </c>
      <c r="N2013" s="17">
        <f>Github!O$2012</f>
        <v>89.24167863</v>
      </c>
      <c r="O2013" s="17">
        <f>Github!P$2012</f>
        <v>81417</v>
      </c>
    </row>
    <row r="2014">
      <c r="A2014" s="17">
        <f>Github!J$2013</f>
        <v>2012</v>
      </c>
      <c r="B2014" s="27" t="str">
        <f>HYPERLINK(CONCAT("http://leetcode.com/problems/",Github!C$2013), Github!B$2013)</f>
        <v>Sum of Beauty in the Array</v>
      </c>
      <c r="C2014" s="17">
        <f>Github!F$2013</f>
        <v>275</v>
      </c>
      <c r="D2014" s="17">
        <f>Github!G$2013</f>
        <v>26</v>
      </c>
      <c r="E2014" s="17">
        <f>Github!F$2013+Github!G$2013</f>
        <v>301</v>
      </c>
      <c r="F2014" s="18">
        <f t="shared" si="1"/>
        <v>10.58</v>
      </c>
      <c r="G2014" s="17" t="str">
        <f>Github!H$2013</f>
        <v>Algorithms</v>
      </c>
      <c r="H2014" s="17" t="str">
        <f>Github!E$2013</f>
        <v>Medium</v>
      </c>
      <c r="I2014" s="17" t="str">
        <f>IF(TRIM(Github!D$2013)="TRUE","FALSE","TRUE")</f>
        <v>TRUE</v>
      </c>
      <c r="J2014" s="17"/>
      <c r="K2014" s="17" t="str">
        <f>Github!L$2013</f>
        <v>Array;</v>
      </c>
      <c r="L2014" s="17" t="b">
        <f>Github!M$2013</f>
        <v>0</v>
      </c>
      <c r="M2014" s="17" t="str">
        <f>ROUND(Github!N$2013, 2)&amp;"%"</f>
        <v>0%</v>
      </c>
      <c r="N2014" s="17">
        <f>Github!O$2013</f>
        <v>45.48252825</v>
      </c>
      <c r="O2014" s="17">
        <f>Github!P$2013</f>
        <v>13003</v>
      </c>
    </row>
    <row r="2015">
      <c r="A2015" s="17">
        <f>Github!J$2014</f>
        <v>2013</v>
      </c>
      <c r="B2015" s="27" t="str">
        <f>HYPERLINK(CONCAT("http://leetcode.com/problems/",Github!C$2014), Github!B$2014)</f>
        <v>Detect Squares</v>
      </c>
      <c r="C2015" s="17">
        <f>Github!F$2014</f>
        <v>262</v>
      </c>
      <c r="D2015" s="17">
        <f>Github!G$2014</f>
        <v>88</v>
      </c>
      <c r="E2015" s="17">
        <f>Github!F$2014+Github!G$2014</f>
        <v>350</v>
      </c>
      <c r="F2015" s="18">
        <f t="shared" si="1"/>
        <v>2.98</v>
      </c>
      <c r="G2015" s="17" t="str">
        <f>Github!H$2014</f>
        <v>Algorithms</v>
      </c>
      <c r="H2015" s="17" t="str">
        <f>Github!E$2014</f>
        <v>Medium</v>
      </c>
      <c r="I2015" s="17" t="str">
        <f>IF(TRIM(Github!D$2014)="TRUE","FALSE","TRUE")</f>
        <v>TRUE</v>
      </c>
      <c r="J2015" s="17"/>
      <c r="K2015" s="17" t="str">
        <f>Github!L$2014</f>
        <v>Array;Hash Table;Design;Counting;</v>
      </c>
      <c r="L2015" s="17" t="b">
        <f>Github!M$2014</f>
        <v>0</v>
      </c>
      <c r="M2015" s="17" t="str">
        <f>ROUND(Github!N$2014, 2)&amp;"%"</f>
        <v>0%</v>
      </c>
      <c r="N2015" s="17">
        <f>Github!O$2014</f>
        <v>44.6195555</v>
      </c>
      <c r="O2015" s="17">
        <f>Github!P$2014</f>
        <v>14973</v>
      </c>
    </row>
    <row r="2016">
      <c r="A2016" s="17">
        <f>Github!J$2015</f>
        <v>2014</v>
      </c>
      <c r="B2016" s="27" t="str">
        <f>HYPERLINK(CONCAT("http://leetcode.com/problems/",Github!C$2015), Github!B$2015)</f>
        <v>Longest Subsequence Repeated k Times</v>
      </c>
      <c r="C2016" s="17">
        <f>Github!F$2015</f>
        <v>170</v>
      </c>
      <c r="D2016" s="17">
        <f>Github!G$2015</f>
        <v>50</v>
      </c>
      <c r="E2016" s="17">
        <f>Github!F$2015+Github!G$2015</f>
        <v>220</v>
      </c>
      <c r="F2016" s="18">
        <f t="shared" si="1"/>
        <v>3.4</v>
      </c>
      <c r="G2016" s="17" t="str">
        <f>Github!H$2015</f>
        <v>Algorithms</v>
      </c>
      <c r="H2016" s="17" t="str">
        <f>Github!E$2015</f>
        <v>Hard</v>
      </c>
      <c r="I2016" s="17" t="str">
        <f>IF(TRIM(Github!D$2015)="TRUE","FALSE","TRUE")</f>
        <v>TRUE</v>
      </c>
      <c r="J2016" s="17"/>
      <c r="K2016" s="17" t="str">
        <f>Github!L$2015</f>
        <v>String;Backtracking;Greedy;Counting;Enumeration;</v>
      </c>
      <c r="L2016" s="17" t="b">
        <f>Github!M$2015</f>
        <v>0</v>
      </c>
      <c r="M2016" s="17" t="str">
        <f>ROUND(Github!N$2015, 2)&amp;"%"</f>
        <v>0%</v>
      </c>
      <c r="N2016" s="17">
        <f>Github!O$2015</f>
        <v>54.6598056</v>
      </c>
      <c r="O2016" s="17">
        <f>Github!P$2015</f>
        <v>3824</v>
      </c>
    </row>
    <row r="2017">
      <c r="A2017" s="17">
        <f>Github!J$2016</f>
        <v>2015</v>
      </c>
      <c r="B2017" s="27" t="str">
        <f>HYPERLINK(CONCAT("http://leetcode.com/problems/",Github!C$2016), Github!B$2016)</f>
        <v>Average Height of Buildings in Each Segment</v>
      </c>
      <c r="C2017" s="17">
        <f>Github!F$2016</f>
        <v>29</v>
      </c>
      <c r="D2017" s="17">
        <f>Github!G$2016</f>
        <v>11</v>
      </c>
      <c r="E2017" s="17">
        <f>Github!F$2016+Github!G$2016</f>
        <v>40</v>
      </c>
      <c r="F2017" s="18">
        <f t="shared" si="1"/>
        <v>2.64</v>
      </c>
      <c r="G2017" s="17" t="str">
        <f>Github!H$2016</f>
        <v>Algorithms</v>
      </c>
      <c r="H2017" s="17" t="str">
        <f>Github!E$2016</f>
        <v>Medium</v>
      </c>
      <c r="I2017" s="17" t="str">
        <f>IF(TRIM(Github!D$2016)="TRUE","FALSE","TRUE")</f>
        <v>FALSE</v>
      </c>
      <c r="J2017" s="17"/>
      <c r="K2017" s="17" t="str">
        <f>Github!L$2016</f>
        <v>Array;Greedy;Sorting;Heap (Priority Queue);</v>
      </c>
      <c r="L2017" s="17" t="b">
        <f>Github!M$2016</f>
        <v>0</v>
      </c>
      <c r="M2017" s="17" t="str">
        <f>ROUND(Github!N$2016, 2)&amp;"%"</f>
        <v>0%</v>
      </c>
      <c r="N2017" s="17">
        <f>Github!O$2016</f>
        <v>59.50920245</v>
      </c>
      <c r="O2017" s="17">
        <f>Github!P$2016</f>
        <v>776</v>
      </c>
    </row>
    <row r="2018">
      <c r="A2018" s="17">
        <f>Github!J$2017</f>
        <v>2016</v>
      </c>
      <c r="B2018" s="27" t="str">
        <f>HYPERLINK(CONCAT("http://leetcode.com/problems/",Github!C$2017), Github!B$2017)</f>
        <v>Maximum Difference Between Increasing Elements</v>
      </c>
      <c r="C2018" s="17">
        <f>Github!F$2017</f>
        <v>332</v>
      </c>
      <c r="D2018" s="17">
        <f>Github!G$2017</f>
        <v>15</v>
      </c>
      <c r="E2018" s="17">
        <f>Github!F$2017+Github!G$2017</f>
        <v>347</v>
      </c>
      <c r="F2018" s="18">
        <f t="shared" si="1"/>
        <v>22.13</v>
      </c>
      <c r="G2018" s="17" t="str">
        <f>Github!H$2017</f>
        <v>Algorithms</v>
      </c>
      <c r="H2018" s="17" t="str">
        <f>Github!E$2017</f>
        <v>Easy</v>
      </c>
      <c r="I2018" s="17" t="str">
        <f>IF(TRIM(Github!D$2017)="TRUE","FALSE","TRUE")</f>
        <v>TRUE</v>
      </c>
      <c r="J2018" s="17"/>
      <c r="K2018" s="17" t="str">
        <f>Github!L$2017</f>
        <v>Array;</v>
      </c>
      <c r="L2018" s="17" t="b">
        <f>Github!M$2017</f>
        <v>0</v>
      </c>
      <c r="M2018" s="17" t="str">
        <f>ROUND(Github!N$2017, 2)&amp;"%"</f>
        <v>0%</v>
      </c>
      <c r="N2018" s="17">
        <f>Github!O$2017</f>
        <v>54.92506001</v>
      </c>
      <c r="O2018" s="17">
        <f>Github!P$2017</f>
        <v>27222</v>
      </c>
    </row>
    <row r="2019">
      <c r="A2019" s="17">
        <f>Github!J$2018</f>
        <v>2017</v>
      </c>
      <c r="B2019" s="27" t="str">
        <f>HYPERLINK(CONCAT("http://leetcode.com/problems/",Github!C$2018), Github!B$2018)</f>
        <v>Grid Game</v>
      </c>
      <c r="C2019" s="17">
        <f>Github!F$2018</f>
        <v>408</v>
      </c>
      <c r="D2019" s="17">
        <f>Github!G$2018</f>
        <v>10</v>
      </c>
      <c r="E2019" s="17">
        <f>Github!F$2018+Github!G$2018</f>
        <v>418</v>
      </c>
      <c r="F2019" s="18">
        <f t="shared" si="1"/>
        <v>40.8</v>
      </c>
      <c r="G2019" s="17" t="str">
        <f>Github!H$2018</f>
        <v>Algorithms</v>
      </c>
      <c r="H2019" s="17" t="str">
        <f>Github!E$2018</f>
        <v>Medium</v>
      </c>
      <c r="I2019" s="17" t="str">
        <f>IF(TRIM(Github!D$2018)="TRUE","FALSE","TRUE")</f>
        <v>TRUE</v>
      </c>
      <c r="J2019" s="17"/>
      <c r="K2019" s="17" t="str">
        <f>Github!L$2018</f>
        <v>Array;Matrix;Prefix Sum;</v>
      </c>
      <c r="L2019" s="17" t="b">
        <f>Github!M$2018</f>
        <v>0</v>
      </c>
      <c r="M2019" s="17" t="str">
        <f>ROUND(Github!N$2018, 2)&amp;"%"</f>
        <v>0%</v>
      </c>
      <c r="N2019" s="17">
        <f>Github!O$2018</f>
        <v>41.35692464</v>
      </c>
      <c r="O2019" s="17">
        <f>Github!P$2018</f>
        <v>9747</v>
      </c>
    </row>
    <row r="2020">
      <c r="A2020" s="17">
        <f>Github!J$2019</f>
        <v>2018</v>
      </c>
      <c r="B2020" s="27" t="str">
        <f>HYPERLINK(CONCAT("http://leetcode.com/problems/",Github!C$2019), Github!B$2019)</f>
        <v>Check if Word Can Be Placed In Crossword</v>
      </c>
      <c r="C2020" s="17">
        <f>Github!F$2019</f>
        <v>146</v>
      </c>
      <c r="D2020" s="17">
        <f>Github!G$2019</f>
        <v>147</v>
      </c>
      <c r="E2020" s="17">
        <f>Github!F$2019+Github!G$2019</f>
        <v>293</v>
      </c>
      <c r="F2020" s="18">
        <f t="shared" si="1"/>
        <v>0.99</v>
      </c>
      <c r="G2020" s="17" t="str">
        <f>Github!H$2019</f>
        <v>Algorithms</v>
      </c>
      <c r="H2020" s="17" t="str">
        <f>Github!E$2019</f>
        <v>Medium</v>
      </c>
      <c r="I2020" s="17" t="str">
        <f>IF(TRIM(Github!D$2019)="TRUE","FALSE","TRUE")</f>
        <v>TRUE</v>
      </c>
      <c r="J2020" s="17"/>
      <c r="K2020" s="17" t="str">
        <f>Github!L$2019</f>
        <v>Array;Matrix;Enumeration;</v>
      </c>
      <c r="L2020" s="17" t="b">
        <f>Github!M$2019</f>
        <v>0</v>
      </c>
      <c r="M2020" s="17" t="str">
        <f>ROUND(Github!N$2019, 2)&amp;"%"</f>
        <v>0%</v>
      </c>
      <c r="N2020" s="17">
        <f>Github!O$2019</f>
        <v>47.72784971</v>
      </c>
      <c r="O2020" s="17">
        <f>Github!P$2019</f>
        <v>7520</v>
      </c>
    </row>
    <row r="2021">
      <c r="A2021" s="17">
        <f>Github!J$2020</f>
        <v>2019</v>
      </c>
      <c r="B2021" s="27" t="str">
        <f>HYPERLINK(CONCAT("http://leetcode.com/problems/",Github!C$2020), Github!B$2020)</f>
        <v>The Score of Students Solving Math Expression</v>
      </c>
      <c r="C2021" s="17">
        <f>Github!F$2020</f>
        <v>131</v>
      </c>
      <c r="D2021" s="17">
        <f>Github!G$2020</f>
        <v>58</v>
      </c>
      <c r="E2021" s="17">
        <f>Github!F$2020+Github!G$2020</f>
        <v>189</v>
      </c>
      <c r="F2021" s="18">
        <f t="shared" si="1"/>
        <v>2.26</v>
      </c>
      <c r="G2021" s="17" t="str">
        <f>Github!H$2020</f>
        <v>Algorithms</v>
      </c>
      <c r="H2021" s="17" t="str">
        <f>Github!E$2020</f>
        <v>Hard</v>
      </c>
      <c r="I2021" s="17" t="str">
        <f>IF(TRIM(Github!D$2020)="TRUE","FALSE","TRUE")</f>
        <v>TRUE</v>
      </c>
      <c r="J2021" s="17"/>
      <c r="K2021" s="17" t="str">
        <f>Github!L$2020</f>
        <v>Array;Math;String;Dynamic Programming;Stack;Memoization;</v>
      </c>
      <c r="L2021" s="17" t="b">
        <f>Github!M$2020</f>
        <v>0</v>
      </c>
      <c r="M2021" s="17" t="str">
        <f>ROUND(Github!N$2020, 2)&amp;"%"</f>
        <v>0%</v>
      </c>
      <c r="N2021" s="17">
        <f>Github!O$2020</f>
        <v>33.45770065</v>
      </c>
      <c r="O2021" s="17">
        <f>Github!P$2020</f>
        <v>3855</v>
      </c>
    </row>
    <row r="2022">
      <c r="A2022" s="17">
        <f>Github!J$2021</f>
        <v>2020</v>
      </c>
      <c r="B2022" s="27" t="str">
        <f>HYPERLINK(CONCAT("http://leetcode.com/problems/",Github!C$2021), Github!B$2021)</f>
        <v>Number of Accounts That Did Not Stream</v>
      </c>
      <c r="C2022" s="17">
        <f>Github!F$2021</f>
        <v>6</v>
      </c>
      <c r="D2022" s="17">
        <f>Github!G$2021</f>
        <v>62</v>
      </c>
      <c r="E2022" s="17">
        <f>Github!F$2021+Github!G$2021</f>
        <v>68</v>
      </c>
      <c r="F2022" s="18">
        <f t="shared" si="1"/>
        <v>0.1</v>
      </c>
      <c r="G2022" s="17" t="str">
        <f>Github!H$2021</f>
        <v>Database</v>
      </c>
      <c r="H2022" s="17" t="str">
        <f>Github!E$2021</f>
        <v>Medium</v>
      </c>
      <c r="I2022" s="17" t="str">
        <f>IF(TRIM(Github!D$2021)="TRUE","FALSE","TRUE")</f>
        <v>FALSE</v>
      </c>
      <c r="J2022" s="17"/>
      <c r="K2022" s="17" t="str">
        <f>Github!L$2021</f>
        <v>Database;</v>
      </c>
      <c r="L2022" s="17" t="b">
        <f>Github!M$2021</f>
        <v>0</v>
      </c>
      <c r="M2022" s="17" t="str">
        <f>ROUND(Github!N$2021, 2)&amp;"%"</f>
        <v>0%</v>
      </c>
      <c r="N2022" s="17">
        <f>Github!O$2021</f>
        <v>72.489194</v>
      </c>
      <c r="O2022" s="17">
        <f>Github!P$2021</f>
        <v>2851</v>
      </c>
    </row>
    <row r="2023">
      <c r="A2023" s="17">
        <f>Github!J$2022</f>
        <v>2021</v>
      </c>
      <c r="B2023" s="27" t="str">
        <f>HYPERLINK(CONCAT("http://leetcode.com/problems/",Github!C$2022), Github!B$2022)</f>
        <v>Brightest Position on Street</v>
      </c>
      <c r="C2023" s="17">
        <f>Github!F$2022</f>
        <v>76</v>
      </c>
      <c r="D2023" s="17">
        <f>Github!G$2022</f>
        <v>2</v>
      </c>
      <c r="E2023" s="17">
        <f>Github!F$2022+Github!G$2022</f>
        <v>78</v>
      </c>
      <c r="F2023" s="18">
        <f t="shared" si="1"/>
        <v>38</v>
      </c>
      <c r="G2023" s="17" t="str">
        <f>Github!H$2022</f>
        <v>Algorithms</v>
      </c>
      <c r="H2023" s="17" t="str">
        <f>Github!E$2022</f>
        <v>Medium</v>
      </c>
      <c r="I2023" s="17" t="str">
        <f>IF(TRIM(Github!D$2022)="TRUE","FALSE","TRUE")</f>
        <v>FALSE</v>
      </c>
      <c r="J2023" s="17"/>
      <c r="K2023" s="17" t="str">
        <f>Github!L$2022</f>
        <v>Array;Prefix Sum;Ordered Set;</v>
      </c>
      <c r="L2023" s="17" t="b">
        <f>Github!M$2022</f>
        <v>0</v>
      </c>
      <c r="M2023" s="17" t="str">
        <f>ROUND(Github!N$2022, 2)&amp;"%"</f>
        <v>0%</v>
      </c>
      <c r="N2023" s="17">
        <f>Github!O$2022</f>
        <v>63.30063474</v>
      </c>
      <c r="O2023" s="17">
        <f>Github!P$2022</f>
        <v>2194</v>
      </c>
    </row>
    <row r="2024">
      <c r="A2024" s="17">
        <f>Github!J$2023</f>
        <v>2022</v>
      </c>
      <c r="B2024" s="27" t="str">
        <f>HYPERLINK(CONCAT("http://leetcode.com/problems/",Github!C$2023), Github!B$2023)</f>
        <v>Convert 1D Array Into 2D Array</v>
      </c>
      <c r="C2024" s="17">
        <f>Github!F$2023</f>
        <v>255</v>
      </c>
      <c r="D2024" s="17">
        <f>Github!G$2023</f>
        <v>18</v>
      </c>
      <c r="E2024" s="17">
        <f>Github!F$2023+Github!G$2023</f>
        <v>273</v>
      </c>
      <c r="F2024" s="18">
        <f t="shared" si="1"/>
        <v>14.17</v>
      </c>
      <c r="G2024" s="17" t="str">
        <f>Github!H$2023</f>
        <v>Algorithms</v>
      </c>
      <c r="H2024" s="17" t="str">
        <f>Github!E$2023</f>
        <v>Easy</v>
      </c>
      <c r="I2024" s="17" t="str">
        <f>IF(TRIM(Github!D$2023)="TRUE","FALSE","TRUE")</f>
        <v>TRUE</v>
      </c>
      <c r="J2024" s="17"/>
      <c r="K2024" s="17" t="str">
        <f>Github!L$2023</f>
        <v>Array;Matrix;Simulation;</v>
      </c>
      <c r="L2024" s="17" t="b">
        <f>Github!M$2023</f>
        <v>0</v>
      </c>
      <c r="M2024" s="17" t="str">
        <f>ROUND(Github!N$2023, 2)&amp;"%"</f>
        <v>0%</v>
      </c>
      <c r="N2024" s="17">
        <f>Github!O$2023</f>
        <v>59.85611511</v>
      </c>
      <c r="O2024" s="17">
        <f>Github!P$2023</f>
        <v>25376</v>
      </c>
    </row>
    <row r="2025">
      <c r="A2025" s="17">
        <f>Github!J$2024</f>
        <v>2023</v>
      </c>
      <c r="B2025" s="27" t="str">
        <f>HYPERLINK(CONCAT("http://leetcode.com/problems/",Github!C$2024), Github!B$2024)</f>
        <v>Number of Pairs of Strings With Concatenation Equal to Target</v>
      </c>
      <c r="C2025" s="17">
        <f>Github!F$2024</f>
        <v>241</v>
      </c>
      <c r="D2025" s="17">
        <f>Github!G$2024</f>
        <v>23</v>
      </c>
      <c r="E2025" s="17">
        <f>Github!F$2024+Github!G$2024</f>
        <v>264</v>
      </c>
      <c r="F2025" s="18">
        <f t="shared" si="1"/>
        <v>10.48</v>
      </c>
      <c r="G2025" s="17" t="str">
        <f>Github!H$2024</f>
        <v>Algorithms</v>
      </c>
      <c r="H2025" s="17" t="str">
        <f>Github!E$2024</f>
        <v>Medium</v>
      </c>
      <c r="I2025" s="17" t="str">
        <f>IF(TRIM(Github!D$2024)="TRUE","FALSE","TRUE")</f>
        <v>TRUE</v>
      </c>
      <c r="J2025" s="17"/>
      <c r="K2025" s="17" t="str">
        <f>Github!L$2024</f>
        <v>Array;String;</v>
      </c>
      <c r="L2025" s="17" t="b">
        <f>Github!M$2024</f>
        <v>0</v>
      </c>
      <c r="M2025" s="17" t="str">
        <f>ROUND(Github!N$2024, 2)&amp;"%"</f>
        <v>0%</v>
      </c>
      <c r="N2025" s="17">
        <f>Github!O$2024</f>
        <v>73.16057381</v>
      </c>
      <c r="O2025" s="17">
        <f>Github!P$2024</f>
        <v>15810</v>
      </c>
    </row>
    <row r="2026">
      <c r="A2026" s="17">
        <f>Github!J$2025</f>
        <v>2024</v>
      </c>
      <c r="B2026" s="27" t="str">
        <f>HYPERLINK(CONCAT("http://leetcode.com/problems/",Github!C$2025), Github!B$2025)</f>
        <v>Maximize the Confusion of an Exam</v>
      </c>
      <c r="C2026" s="17">
        <f>Github!F$2025</f>
        <v>398</v>
      </c>
      <c r="D2026" s="17">
        <f>Github!G$2025</f>
        <v>8</v>
      </c>
      <c r="E2026" s="17">
        <f>Github!F$2025+Github!G$2025</f>
        <v>406</v>
      </c>
      <c r="F2026" s="18">
        <f t="shared" si="1"/>
        <v>49.75</v>
      </c>
      <c r="G2026" s="17" t="str">
        <f>Github!H$2025</f>
        <v>Algorithms</v>
      </c>
      <c r="H2026" s="17" t="str">
        <f>Github!E$2025</f>
        <v>Medium</v>
      </c>
      <c r="I2026" s="17" t="str">
        <f>IF(TRIM(Github!D$2025)="TRUE","FALSE","TRUE")</f>
        <v>TRUE</v>
      </c>
      <c r="J2026" s="17"/>
      <c r="K2026" s="17" t="str">
        <f>Github!L$2025</f>
        <v>String;Binary Search;Sliding Window;Prefix Sum;</v>
      </c>
      <c r="L2026" s="17" t="b">
        <f>Github!M$2025</f>
        <v>0</v>
      </c>
      <c r="M2026" s="17" t="str">
        <f>ROUND(Github!N$2025, 2)&amp;"%"</f>
        <v>0%</v>
      </c>
      <c r="N2026" s="17">
        <f>Github!O$2025</f>
        <v>56.3343961</v>
      </c>
      <c r="O2026" s="17">
        <f>Github!P$2025</f>
        <v>12015</v>
      </c>
    </row>
    <row r="2027">
      <c r="A2027" s="17">
        <f>Github!J$2026</f>
        <v>2025</v>
      </c>
      <c r="B2027" s="27" t="str">
        <f>HYPERLINK(CONCAT("http://leetcode.com/problems/",Github!C$2026), Github!B$2026)</f>
        <v>Maximum Number of Ways to Partition an Array</v>
      </c>
      <c r="C2027" s="17">
        <f>Github!F$2026</f>
        <v>254</v>
      </c>
      <c r="D2027" s="17">
        <f>Github!G$2026</f>
        <v>20</v>
      </c>
      <c r="E2027" s="17">
        <f>Github!F$2026+Github!G$2026</f>
        <v>274</v>
      </c>
      <c r="F2027" s="18">
        <f t="shared" si="1"/>
        <v>12.7</v>
      </c>
      <c r="G2027" s="17" t="str">
        <f>Github!H$2026</f>
        <v>Algorithms</v>
      </c>
      <c r="H2027" s="17" t="str">
        <f>Github!E$2026</f>
        <v>Hard</v>
      </c>
      <c r="I2027" s="17" t="str">
        <f>IF(TRIM(Github!D$2026)="TRUE","FALSE","TRUE")</f>
        <v>TRUE</v>
      </c>
      <c r="J2027" s="17"/>
      <c r="K2027" s="17" t="str">
        <f>Github!L$2026</f>
        <v>Array;Hash Table;Counting;Enumeration;Prefix Sum;</v>
      </c>
      <c r="L2027" s="17" t="b">
        <f>Github!M$2026</f>
        <v>0</v>
      </c>
      <c r="M2027" s="17" t="str">
        <f>ROUND(Github!N$2026, 2)&amp;"%"</f>
        <v>0%</v>
      </c>
      <c r="N2027" s="17">
        <f>Github!O$2026</f>
        <v>30.76502732</v>
      </c>
      <c r="O2027" s="17">
        <f>Github!P$2026</f>
        <v>4504</v>
      </c>
    </row>
    <row r="2028">
      <c r="A2028" s="17">
        <f>Github!J$2027</f>
        <v>2026</v>
      </c>
      <c r="B2028" s="27" t="str">
        <f>HYPERLINK(CONCAT("http://leetcode.com/problems/",Github!C$2027), Github!B$2027)</f>
        <v>Low-Quality Problems</v>
      </c>
      <c r="C2028" s="17">
        <f>Github!F$2027</f>
        <v>11</v>
      </c>
      <c r="D2028" s="17">
        <f>Github!G$2027</f>
        <v>5</v>
      </c>
      <c r="E2028" s="17">
        <f>Github!F$2027+Github!G$2027</f>
        <v>16</v>
      </c>
      <c r="F2028" s="18">
        <f t="shared" si="1"/>
        <v>2.2</v>
      </c>
      <c r="G2028" s="17" t="str">
        <f>Github!H$2027</f>
        <v>Database</v>
      </c>
      <c r="H2028" s="17" t="str">
        <f>Github!E$2027</f>
        <v>Easy</v>
      </c>
      <c r="I2028" s="17" t="str">
        <f>IF(TRIM(Github!D$2027)="TRUE","FALSE","TRUE")</f>
        <v>FALSE</v>
      </c>
      <c r="J2028" s="17"/>
      <c r="K2028" s="17" t="str">
        <f>Github!L$2027</f>
        <v>Database;</v>
      </c>
      <c r="L2028" s="17" t="b">
        <f>Github!M$2027</f>
        <v>0</v>
      </c>
      <c r="M2028" s="17" t="str">
        <f>ROUND(Github!N$2027, 2)&amp;"%"</f>
        <v>0%</v>
      </c>
      <c r="N2028" s="17">
        <f>Github!O$2027</f>
        <v>85.61458802</v>
      </c>
      <c r="O2028" s="17">
        <f>Github!P$2027</f>
        <v>3803</v>
      </c>
    </row>
    <row r="2029">
      <c r="A2029" s="17">
        <f>Github!J$2028</f>
        <v>2027</v>
      </c>
      <c r="B2029" s="27" t="str">
        <f>HYPERLINK(CONCAT("http://leetcode.com/problems/",Github!C$2028), Github!B$2028)</f>
        <v>Minimum Moves to Convert String</v>
      </c>
      <c r="C2029" s="17">
        <f>Github!F$2028</f>
        <v>181</v>
      </c>
      <c r="D2029" s="17">
        <f>Github!G$2028</f>
        <v>47</v>
      </c>
      <c r="E2029" s="17">
        <f>Github!F$2028+Github!G$2028</f>
        <v>228</v>
      </c>
      <c r="F2029" s="18">
        <f t="shared" si="1"/>
        <v>3.85</v>
      </c>
      <c r="G2029" s="17" t="str">
        <f>Github!H$2028</f>
        <v>Algorithms</v>
      </c>
      <c r="H2029" s="17" t="str">
        <f>Github!E$2028</f>
        <v>Easy</v>
      </c>
      <c r="I2029" s="17" t="str">
        <f>IF(TRIM(Github!D$2028)="TRUE","FALSE","TRUE")</f>
        <v>TRUE</v>
      </c>
      <c r="J2029" s="17"/>
      <c r="K2029" s="17" t="str">
        <f>Github!L$2028</f>
        <v>String;Greedy;</v>
      </c>
      <c r="L2029" s="17" t="b">
        <f>Github!M$2028</f>
        <v>0</v>
      </c>
      <c r="M2029" s="17" t="str">
        <f>ROUND(Github!N$2028, 2)&amp;"%"</f>
        <v>0%</v>
      </c>
      <c r="N2029" s="17">
        <f>Github!O$2028</f>
        <v>53.20152139</v>
      </c>
      <c r="O2029" s="17">
        <f>Github!P$2028</f>
        <v>16925</v>
      </c>
    </row>
    <row r="2030">
      <c r="A2030" s="17">
        <f>Github!J$2029</f>
        <v>2028</v>
      </c>
      <c r="B2030" s="27" t="str">
        <f>HYPERLINK(CONCAT("http://leetcode.com/problems/",Github!C$2029), Github!B$2029)</f>
        <v>Find Missing Observations</v>
      </c>
      <c r="C2030" s="17">
        <f>Github!F$2029</f>
        <v>198</v>
      </c>
      <c r="D2030" s="17">
        <f>Github!G$2029</f>
        <v>9</v>
      </c>
      <c r="E2030" s="17">
        <f>Github!F$2029+Github!G$2029</f>
        <v>207</v>
      </c>
      <c r="F2030" s="18">
        <f t="shared" si="1"/>
        <v>22</v>
      </c>
      <c r="G2030" s="17" t="str">
        <f>Github!H$2029</f>
        <v>Algorithms</v>
      </c>
      <c r="H2030" s="17" t="str">
        <f>Github!E$2029</f>
        <v>Medium</v>
      </c>
      <c r="I2030" s="17" t="str">
        <f>IF(TRIM(Github!D$2029)="TRUE","FALSE","TRUE")</f>
        <v>TRUE</v>
      </c>
      <c r="J2030" s="17"/>
      <c r="K2030" s="17" t="str">
        <f>Github!L$2029</f>
        <v>Array;Math;Simulation;</v>
      </c>
      <c r="L2030" s="17" t="b">
        <f>Github!M$2029</f>
        <v>0</v>
      </c>
      <c r="M2030" s="17" t="str">
        <f>ROUND(Github!N$2029, 2)&amp;"%"</f>
        <v>0%</v>
      </c>
      <c r="N2030" s="17">
        <f>Github!O$2029</f>
        <v>41.55680892</v>
      </c>
      <c r="O2030" s="17">
        <f>Github!P$2029</f>
        <v>12231</v>
      </c>
    </row>
    <row r="2031">
      <c r="A2031" s="17">
        <f>Github!J$2030</f>
        <v>2029</v>
      </c>
      <c r="B2031" s="27" t="str">
        <f>HYPERLINK(CONCAT("http://leetcode.com/problems/",Github!C$2030), Github!B$2030)</f>
        <v>Stone Game IX</v>
      </c>
      <c r="C2031" s="17">
        <f>Github!F$2030</f>
        <v>131</v>
      </c>
      <c r="D2031" s="17">
        <f>Github!G$2030</f>
        <v>188</v>
      </c>
      <c r="E2031" s="17">
        <f>Github!F$2030+Github!G$2030</f>
        <v>319</v>
      </c>
      <c r="F2031" s="18">
        <f t="shared" si="1"/>
        <v>0.7</v>
      </c>
      <c r="G2031" s="17" t="str">
        <f>Github!H$2030</f>
        <v>Algorithms</v>
      </c>
      <c r="H2031" s="17" t="str">
        <f>Github!E$2030</f>
        <v>Medium</v>
      </c>
      <c r="I2031" s="17" t="str">
        <f>IF(TRIM(Github!D$2030)="TRUE","FALSE","TRUE")</f>
        <v>TRUE</v>
      </c>
      <c r="J2031" s="17"/>
      <c r="K2031" s="17" t="str">
        <f>Github!L$2030</f>
        <v>Array;Math;Greedy;Counting;Game Theory;</v>
      </c>
      <c r="L2031" s="17" t="b">
        <f>Github!M$2030</f>
        <v>0</v>
      </c>
      <c r="M2031" s="17" t="str">
        <f>ROUND(Github!N$2030, 2)&amp;"%"</f>
        <v>0%</v>
      </c>
      <c r="N2031" s="17">
        <f>Github!O$2030</f>
        <v>24.48685055</v>
      </c>
      <c r="O2031" s="17">
        <f>Github!P$2030</f>
        <v>4581</v>
      </c>
    </row>
    <row r="2032">
      <c r="A2032" s="17">
        <f>Github!J$2031</f>
        <v>2030</v>
      </c>
      <c r="B2032" s="27" t="str">
        <f>HYPERLINK(CONCAT("http://leetcode.com/problems/",Github!C$2031), Github!B$2031)</f>
        <v>Smallest K-Length Subsequence With Occurrences of a Letter</v>
      </c>
      <c r="C2032" s="17">
        <f>Github!F$2031</f>
        <v>210</v>
      </c>
      <c r="D2032" s="17">
        <f>Github!G$2031</f>
        <v>6</v>
      </c>
      <c r="E2032" s="17">
        <f>Github!F$2031+Github!G$2031</f>
        <v>216</v>
      </c>
      <c r="F2032" s="18">
        <f t="shared" si="1"/>
        <v>35</v>
      </c>
      <c r="G2032" s="17" t="str">
        <f>Github!H$2031</f>
        <v>Algorithms</v>
      </c>
      <c r="H2032" s="17" t="str">
        <f>Github!E$2031</f>
        <v>Hard</v>
      </c>
      <c r="I2032" s="17" t="str">
        <f>IF(TRIM(Github!D$2031)="TRUE","FALSE","TRUE")</f>
        <v>TRUE</v>
      </c>
      <c r="J2032" s="17"/>
      <c r="K2032" s="17" t="str">
        <f>Github!L$2031</f>
        <v>String;Stack;Greedy;Monotonic Stack;</v>
      </c>
      <c r="L2032" s="17" t="b">
        <f>Github!M$2031</f>
        <v>0</v>
      </c>
      <c r="M2032" s="17" t="str">
        <f>ROUND(Github!N$2031, 2)&amp;"%"</f>
        <v>0%</v>
      </c>
      <c r="N2032" s="17">
        <f>Github!O$2031</f>
        <v>38.92658228</v>
      </c>
      <c r="O2032" s="17">
        <f>Github!P$2031</f>
        <v>3844</v>
      </c>
    </row>
    <row r="2033">
      <c r="A2033" s="17">
        <f>Github!J$2032</f>
        <v>2031</v>
      </c>
      <c r="B2033" s="27" t="str">
        <f>HYPERLINK(CONCAT("http://leetcode.com/problems/",Github!C$2032), Github!B$2032)</f>
        <v>Count Subarrays With More Ones Than Zeros</v>
      </c>
      <c r="C2033" s="17">
        <f>Github!F$2032</f>
        <v>70</v>
      </c>
      <c r="D2033" s="17">
        <f>Github!G$2032</f>
        <v>4</v>
      </c>
      <c r="E2033" s="17">
        <f>Github!F$2032+Github!G$2032</f>
        <v>74</v>
      </c>
      <c r="F2033" s="18">
        <f t="shared" si="1"/>
        <v>17.5</v>
      </c>
      <c r="G2033" s="17" t="str">
        <f>Github!H$2032</f>
        <v>Algorithms</v>
      </c>
      <c r="H2033" s="17" t="str">
        <f>Github!E$2032</f>
        <v>Medium</v>
      </c>
      <c r="I2033" s="17" t="str">
        <f>IF(TRIM(Github!D$2032)="TRUE","FALSE","TRUE")</f>
        <v>FALSE</v>
      </c>
      <c r="J2033" s="17"/>
      <c r="K2033" s="17" t="str">
        <f>Github!L$2032</f>
        <v>Array;Binary Search;Divide and Conquer;Binary Indexed Tree;Segment Tree;Merge Sort;Ordered Set;</v>
      </c>
      <c r="L2033" s="17" t="b">
        <f>Github!M$2032</f>
        <v>0</v>
      </c>
      <c r="M2033" s="17" t="str">
        <f>ROUND(Github!N$2032, 2)&amp;"%"</f>
        <v>0%</v>
      </c>
      <c r="N2033" s="17">
        <f>Github!O$2032</f>
        <v>52.88262132</v>
      </c>
      <c r="O2033" s="17">
        <f>Github!P$2032</f>
        <v>1275</v>
      </c>
    </row>
    <row r="2034">
      <c r="A2034" s="17">
        <f>Github!J$2033</f>
        <v>2032</v>
      </c>
      <c r="B2034" s="27" t="str">
        <f>HYPERLINK(CONCAT("http://leetcode.com/problems/",Github!C$2033), Github!B$2033)</f>
        <v>Two Out of Three</v>
      </c>
      <c r="C2034" s="17">
        <f>Github!F$2033</f>
        <v>255</v>
      </c>
      <c r="D2034" s="17">
        <f>Github!G$2033</f>
        <v>24</v>
      </c>
      <c r="E2034" s="17">
        <f>Github!F$2033+Github!G$2033</f>
        <v>279</v>
      </c>
      <c r="F2034" s="18">
        <f t="shared" si="1"/>
        <v>10.63</v>
      </c>
      <c r="G2034" s="17" t="str">
        <f>Github!H$2033</f>
        <v>Algorithms</v>
      </c>
      <c r="H2034" s="17" t="str">
        <f>Github!E$2033</f>
        <v>Easy</v>
      </c>
      <c r="I2034" s="17" t="str">
        <f>IF(TRIM(Github!D$2033)="TRUE","FALSE","TRUE")</f>
        <v>TRUE</v>
      </c>
      <c r="J2034" s="17"/>
      <c r="K2034" s="17" t="str">
        <f>Github!L$2033</f>
        <v>Array;Hash Table;</v>
      </c>
      <c r="L2034" s="17" t="b">
        <f>Github!M$2033</f>
        <v>0</v>
      </c>
      <c r="M2034" s="17" t="str">
        <f>ROUND(Github!N$2033, 2)&amp;"%"</f>
        <v>0%</v>
      </c>
      <c r="N2034" s="17">
        <f>Github!O$2033</f>
        <v>72.83015339</v>
      </c>
      <c r="O2034" s="17">
        <f>Github!P$2033</f>
        <v>23360</v>
      </c>
    </row>
    <row r="2035">
      <c r="A2035" s="17">
        <f>Github!J$2034</f>
        <v>2033</v>
      </c>
      <c r="B2035" s="27" t="str">
        <f>HYPERLINK(CONCAT("http://leetcode.com/problems/",Github!C$2034), Github!B$2034)</f>
        <v>Minimum Operations to Make a Uni-Value Grid</v>
      </c>
      <c r="C2035" s="17">
        <f>Github!F$2034</f>
        <v>285</v>
      </c>
      <c r="D2035" s="17">
        <f>Github!G$2034</f>
        <v>22</v>
      </c>
      <c r="E2035" s="17">
        <f>Github!F$2034+Github!G$2034</f>
        <v>307</v>
      </c>
      <c r="F2035" s="18">
        <f t="shared" si="1"/>
        <v>12.95</v>
      </c>
      <c r="G2035" s="17" t="str">
        <f>Github!H$2034</f>
        <v>Algorithms</v>
      </c>
      <c r="H2035" s="17" t="str">
        <f>Github!E$2034</f>
        <v>Medium</v>
      </c>
      <c r="I2035" s="17" t="str">
        <f>IF(TRIM(Github!D$2034)="TRUE","FALSE","TRUE")</f>
        <v>TRUE</v>
      </c>
      <c r="J2035" s="17"/>
      <c r="K2035" s="17" t="str">
        <f>Github!L$2034</f>
        <v>Array;Math;Sorting;Matrix;</v>
      </c>
      <c r="L2035" s="17" t="b">
        <f>Github!M$2034</f>
        <v>0</v>
      </c>
      <c r="M2035" s="17" t="str">
        <f>ROUND(Github!N$2034, 2)&amp;"%"</f>
        <v>0%</v>
      </c>
      <c r="N2035" s="17">
        <f>Github!O$2034</f>
        <v>49.62448518</v>
      </c>
      <c r="O2035" s="17">
        <f>Github!P$2034</f>
        <v>12290</v>
      </c>
    </row>
    <row r="2036">
      <c r="A2036" s="17">
        <f>Github!J$2035</f>
        <v>2034</v>
      </c>
      <c r="B2036" s="27" t="str">
        <f>HYPERLINK(CONCAT("http://leetcode.com/problems/",Github!C$2035), Github!B$2035)</f>
        <v>Stock Price Fluctuation </v>
      </c>
      <c r="C2036" s="17">
        <f>Github!F$2035</f>
        <v>379</v>
      </c>
      <c r="D2036" s="17">
        <f>Github!G$2035</f>
        <v>27</v>
      </c>
      <c r="E2036" s="17">
        <f>Github!F$2035+Github!G$2035</f>
        <v>406</v>
      </c>
      <c r="F2036" s="18">
        <f t="shared" si="1"/>
        <v>14.04</v>
      </c>
      <c r="G2036" s="17" t="str">
        <f>Github!H$2035</f>
        <v>Algorithms</v>
      </c>
      <c r="H2036" s="17" t="str">
        <f>Github!E$2035</f>
        <v>Medium</v>
      </c>
      <c r="I2036" s="17" t="str">
        <f>IF(TRIM(Github!D$2035)="TRUE","FALSE","TRUE")</f>
        <v>TRUE</v>
      </c>
      <c r="J2036" s="17"/>
      <c r="K2036" s="17" t="str">
        <f>Github!L$2035</f>
        <v>Hash Table;Design;Heap (Priority Queue);Data Stream;Ordered Set;</v>
      </c>
      <c r="L2036" s="17" t="b">
        <f>Github!M$2035</f>
        <v>0</v>
      </c>
      <c r="M2036" s="17" t="str">
        <f>ROUND(Github!N$2035, 2)&amp;"%"</f>
        <v>0%</v>
      </c>
      <c r="N2036" s="17">
        <f>Github!O$2035</f>
        <v>46.33930493</v>
      </c>
      <c r="O2036" s="17">
        <f>Github!P$2035</f>
        <v>19373</v>
      </c>
    </row>
    <row r="2037">
      <c r="A2037" s="17">
        <f>Github!J$2036</f>
        <v>2035</v>
      </c>
      <c r="B2037" s="27" t="str">
        <f>HYPERLINK(CONCAT("http://leetcode.com/problems/",Github!C$2036), Github!B$2036)</f>
        <v>Partition Array Into Two Arrays to Minimize Sum Difference</v>
      </c>
      <c r="C2037" s="17">
        <f>Github!F$2036</f>
        <v>468</v>
      </c>
      <c r="D2037" s="17">
        <f>Github!G$2036</f>
        <v>27</v>
      </c>
      <c r="E2037" s="17">
        <f>Github!F$2036+Github!G$2036</f>
        <v>495</v>
      </c>
      <c r="F2037" s="18">
        <f t="shared" si="1"/>
        <v>17.33</v>
      </c>
      <c r="G2037" s="17" t="str">
        <f>Github!H$2036</f>
        <v>Algorithms</v>
      </c>
      <c r="H2037" s="17" t="str">
        <f>Github!E$2036</f>
        <v>Hard</v>
      </c>
      <c r="I2037" s="17" t="str">
        <f>IF(TRIM(Github!D$2036)="TRUE","FALSE","TRUE")</f>
        <v>TRUE</v>
      </c>
      <c r="J2037" s="17"/>
      <c r="K2037" s="17" t="str">
        <f>Github!L$2036</f>
        <v>Array;Two Pointers;Binary Search;Dynamic Programming;Bit Manipulation;Ordered Set;Bitmask;</v>
      </c>
      <c r="L2037" s="17" t="b">
        <f>Github!M$2036</f>
        <v>0</v>
      </c>
      <c r="M2037" s="17" t="str">
        <f>ROUND(Github!N$2036, 2)&amp;"%"</f>
        <v>0%</v>
      </c>
      <c r="N2037" s="17">
        <f>Github!O$2036</f>
        <v>22.80979827</v>
      </c>
      <c r="O2037" s="17">
        <f>Github!P$2036</f>
        <v>4748</v>
      </c>
    </row>
    <row r="2038">
      <c r="A2038" s="17">
        <f>Github!J$2037</f>
        <v>2036</v>
      </c>
      <c r="B2038" s="27" t="str">
        <f>HYPERLINK(CONCAT("http://leetcode.com/problems/",Github!C$2037), Github!B$2037)</f>
        <v>Maximum Alternating Subarray Sum</v>
      </c>
      <c r="C2038" s="17">
        <f>Github!F$2037</f>
        <v>38</v>
      </c>
      <c r="D2038" s="17">
        <f>Github!G$2037</f>
        <v>2</v>
      </c>
      <c r="E2038" s="17">
        <f>Github!F$2037+Github!G$2037</f>
        <v>40</v>
      </c>
      <c r="F2038" s="18">
        <f t="shared" si="1"/>
        <v>19</v>
      </c>
      <c r="G2038" s="17" t="str">
        <f>Github!H$2037</f>
        <v>Algorithms</v>
      </c>
      <c r="H2038" s="17" t="str">
        <f>Github!E$2037</f>
        <v>Medium</v>
      </c>
      <c r="I2038" s="17" t="str">
        <f>IF(TRIM(Github!D$2037)="TRUE","FALSE","TRUE")</f>
        <v>FALSE</v>
      </c>
      <c r="J2038" s="17"/>
      <c r="K2038" s="17" t="str">
        <f>Github!L$2037</f>
        <v>Array;Dynamic Programming;</v>
      </c>
      <c r="L2038" s="17" t="b">
        <f>Github!M$2037</f>
        <v>0</v>
      </c>
      <c r="M2038" s="17" t="str">
        <f>ROUND(Github!N$2037, 2)&amp;"%"</f>
        <v>0%</v>
      </c>
      <c r="N2038" s="17">
        <f>Github!O$2037</f>
        <v>41.06015987</v>
      </c>
      <c r="O2038" s="17">
        <f>Github!P$2037</f>
        <v>976</v>
      </c>
    </row>
    <row r="2039">
      <c r="A2039" s="17">
        <f>Github!J$2038</f>
        <v>2037</v>
      </c>
      <c r="B2039" s="27" t="str">
        <f>HYPERLINK(CONCAT("http://leetcode.com/problems/",Github!C$2038), Github!B$2038)</f>
        <v>Minimum Number of Moves to Seat Everyone</v>
      </c>
      <c r="C2039" s="17">
        <f>Github!F$2038</f>
        <v>250</v>
      </c>
      <c r="D2039" s="17">
        <f>Github!G$2038</f>
        <v>45</v>
      </c>
      <c r="E2039" s="17">
        <f>Github!F$2038+Github!G$2038</f>
        <v>295</v>
      </c>
      <c r="F2039" s="18">
        <f t="shared" si="1"/>
        <v>5.56</v>
      </c>
      <c r="G2039" s="17" t="str">
        <f>Github!H$2038</f>
        <v>Algorithms</v>
      </c>
      <c r="H2039" s="17" t="str">
        <f>Github!E$2038</f>
        <v>Easy</v>
      </c>
      <c r="I2039" s="17" t="str">
        <f>IF(TRIM(Github!D$2038)="TRUE","FALSE","TRUE")</f>
        <v>TRUE</v>
      </c>
      <c r="J2039" s="17"/>
      <c r="K2039" s="17" t="str">
        <f>Github!L$2038</f>
        <v>Array;Sorting;</v>
      </c>
      <c r="L2039" s="17" t="b">
        <f>Github!M$2038</f>
        <v>0</v>
      </c>
      <c r="M2039" s="17" t="str">
        <f>ROUND(Github!N$2038, 2)&amp;"%"</f>
        <v>0%</v>
      </c>
      <c r="N2039" s="17">
        <f>Github!O$2038</f>
        <v>82.818803</v>
      </c>
      <c r="O2039" s="17">
        <f>Github!P$2038</f>
        <v>20120</v>
      </c>
    </row>
    <row r="2040">
      <c r="A2040" s="17">
        <f>Github!J$2039</f>
        <v>2038</v>
      </c>
      <c r="B2040" s="27" t="str">
        <f>HYPERLINK(CONCAT("http://leetcode.com/problems/",Github!C$2039), Github!B$2039)</f>
        <v>Remove Colored Pieces if Both Neighbors are the Same Color</v>
      </c>
      <c r="C2040" s="17">
        <f>Github!F$2039</f>
        <v>190</v>
      </c>
      <c r="D2040" s="17">
        <f>Github!G$2039</f>
        <v>16</v>
      </c>
      <c r="E2040" s="17">
        <f>Github!F$2039+Github!G$2039</f>
        <v>206</v>
      </c>
      <c r="F2040" s="18">
        <f t="shared" si="1"/>
        <v>11.88</v>
      </c>
      <c r="G2040" s="17" t="str">
        <f>Github!H$2039</f>
        <v>Algorithms</v>
      </c>
      <c r="H2040" s="17" t="str">
        <f>Github!E$2039</f>
        <v>Medium</v>
      </c>
      <c r="I2040" s="17" t="str">
        <f>IF(TRIM(Github!D$2039)="TRUE","FALSE","TRUE")</f>
        <v>TRUE</v>
      </c>
      <c r="J2040" s="17"/>
      <c r="K2040" s="17" t="str">
        <f>Github!L$2039</f>
        <v>Math;String;Greedy;Game Theory;</v>
      </c>
      <c r="L2040" s="17" t="b">
        <f>Github!M$2039</f>
        <v>0</v>
      </c>
      <c r="M2040" s="17" t="str">
        <f>ROUND(Github!N$2039, 2)&amp;"%"</f>
        <v>0%</v>
      </c>
      <c r="N2040" s="17">
        <f>Github!O$2039</f>
        <v>55.20867746</v>
      </c>
      <c r="O2040" s="17">
        <f>Github!P$2039</f>
        <v>10027</v>
      </c>
    </row>
    <row r="2041">
      <c r="A2041" s="17">
        <f>Github!J$2040</f>
        <v>2039</v>
      </c>
      <c r="B2041" s="27" t="str">
        <f>HYPERLINK(CONCAT("http://leetcode.com/problems/",Github!C$2040), Github!B$2040)</f>
        <v>The Time When the Network Becomes Idle</v>
      </c>
      <c r="C2041" s="17">
        <f>Github!F$2040</f>
        <v>233</v>
      </c>
      <c r="D2041" s="17">
        <f>Github!G$2040</f>
        <v>16</v>
      </c>
      <c r="E2041" s="17">
        <f>Github!F$2040+Github!G$2040</f>
        <v>249</v>
      </c>
      <c r="F2041" s="18">
        <f t="shared" si="1"/>
        <v>14.56</v>
      </c>
      <c r="G2041" s="17" t="str">
        <f>Github!H$2040</f>
        <v>Algorithms</v>
      </c>
      <c r="H2041" s="17" t="str">
        <f>Github!E$2040</f>
        <v>Medium</v>
      </c>
      <c r="I2041" s="17" t="str">
        <f>IF(TRIM(Github!D$2040)="TRUE","FALSE","TRUE")</f>
        <v>TRUE</v>
      </c>
      <c r="J2041" s="17"/>
      <c r="K2041" s="17" t="str">
        <f>Github!L$2040</f>
        <v>Array;Breadth-First Search;Graph;</v>
      </c>
      <c r="L2041" s="17" t="b">
        <f>Github!M$2040</f>
        <v>0</v>
      </c>
      <c r="M2041" s="17" t="str">
        <f>ROUND(Github!N$2040, 2)&amp;"%"</f>
        <v>0%</v>
      </c>
      <c r="N2041" s="17">
        <f>Github!O$2040</f>
        <v>48.67366333</v>
      </c>
      <c r="O2041" s="17">
        <f>Github!P$2040</f>
        <v>5890</v>
      </c>
    </row>
    <row r="2042">
      <c r="A2042" s="17">
        <f>Github!J$2041</f>
        <v>2040</v>
      </c>
      <c r="B2042" s="27" t="str">
        <f>HYPERLINK(CONCAT("http://leetcode.com/problems/",Github!C$2041), Github!B$2041)</f>
        <v>Kth Smallest Product of Two Sorted Arrays</v>
      </c>
      <c r="C2042" s="17">
        <f>Github!F$2041</f>
        <v>276</v>
      </c>
      <c r="D2042" s="17">
        <f>Github!G$2041</f>
        <v>14</v>
      </c>
      <c r="E2042" s="17">
        <f>Github!F$2041+Github!G$2041</f>
        <v>290</v>
      </c>
      <c r="F2042" s="18">
        <f t="shared" si="1"/>
        <v>19.71</v>
      </c>
      <c r="G2042" s="17" t="str">
        <f>Github!H$2041</f>
        <v>Algorithms</v>
      </c>
      <c r="H2042" s="17" t="str">
        <f>Github!E$2041</f>
        <v>Hard</v>
      </c>
      <c r="I2042" s="17" t="str">
        <f>IF(TRIM(Github!D$2041)="TRUE","FALSE","TRUE")</f>
        <v>TRUE</v>
      </c>
      <c r="J2042" s="17"/>
      <c r="K2042" s="17" t="str">
        <f>Github!L$2041</f>
        <v>Array;Binary Search;</v>
      </c>
      <c r="L2042" s="17" t="b">
        <f>Github!M$2041</f>
        <v>0</v>
      </c>
      <c r="M2042" s="17" t="str">
        <f>ROUND(Github!N$2041, 2)&amp;"%"</f>
        <v>0%</v>
      </c>
      <c r="N2042" s="17">
        <f>Github!O$2041</f>
        <v>26.69103072</v>
      </c>
      <c r="O2042" s="17">
        <f>Github!P$2041</f>
        <v>4309</v>
      </c>
    </row>
    <row r="2043">
      <c r="A2043" s="17">
        <f>Github!J$2042</f>
        <v>2041</v>
      </c>
      <c r="B2043" s="27" t="str">
        <f>HYPERLINK(CONCAT("http://leetcode.com/problems/",Github!C$2042), Github!B$2042)</f>
        <v>Accepted Candidates From the Interviews</v>
      </c>
      <c r="C2043" s="17">
        <f>Github!F$2042</f>
        <v>16</v>
      </c>
      <c r="D2043" s="17">
        <f>Github!G$2042</f>
        <v>17</v>
      </c>
      <c r="E2043" s="17">
        <f>Github!F$2042+Github!G$2042</f>
        <v>33</v>
      </c>
      <c r="F2043" s="18">
        <f t="shared" si="1"/>
        <v>0.94</v>
      </c>
      <c r="G2043" s="17" t="str">
        <f>Github!H$2042</f>
        <v>Database</v>
      </c>
      <c r="H2043" s="17" t="str">
        <f>Github!E$2042</f>
        <v>Medium</v>
      </c>
      <c r="I2043" s="17" t="str">
        <f>IF(TRIM(Github!D$2042)="TRUE","FALSE","TRUE")</f>
        <v>FALSE</v>
      </c>
      <c r="J2043" s="17"/>
      <c r="K2043" s="17" t="str">
        <f>Github!L$2042</f>
        <v>Database;</v>
      </c>
      <c r="L2043" s="17" t="b">
        <f>Github!M$2042</f>
        <v>0</v>
      </c>
      <c r="M2043" s="17" t="str">
        <f>ROUND(Github!N$2042, 2)&amp;"%"</f>
        <v>0%</v>
      </c>
      <c r="N2043" s="17">
        <f>Github!O$2042</f>
        <v>76.74205379</v>
      </c>
      <c r="O2043" s="17">
        <f>Github!P$2042</f>
        <v>2509</v>
      </c>
    </row>
    <row r="2044">
      <c r="A2044" s="17">
        <f>Github!J$2043</f>
        <v>2042</v>
      </c>
      <c r="B2044" s="27" t="str">
        <f>HYPERLINK(CONCAT("http://leetcode.com/problems/",Github!C$2043), Github!B$2043)</f>
        <v>Check if Numbers Are Ascending in a Sentence</v>
      </c>
      <c r="C2044" s="17">
        <f>Github!F$2043</f>
        <v>219</v>
      </c>
      <c r="D2044" s="17">
        <f>Github!G$2043</f>
        <v>10</v>
      </c>
      <c r="E2044" s="17">
        <f>Github!F$2043+Github!G$2043</f>
        <v>229</v>
      </c>
      <c r="F2044" s="18">
        <f t="shared" si="1"/>
        <v>21.9</v>
      </c>
      <c r="G2044" s="17" t="str">
        <f>Github!H$2043</f>
        <v>Algorithms</v>
      </c>
      <c r="H2044" s="17" t="str">
        <f>Github!E$2043</f>
        <v>Easy</v>
      </c>
      <c r="I2044" s="17" t="str">
        <f>IF(TRIM(Github!D$2043)="TRUE","FALSE","TRUE")</f>
        <v>TRUE</v>
      </c>
      <c r="J2044" s="17"/>
      <c r="K2044" s="17" t="str">
        <f>Github!L$2043</f>
        <v>String;</v>
      </c>
      <c r="L2044" s="17" t="b">
        <f>Github!M$2043</f>
        <v>0</v>
      </c>
      <c r="M2044" s="17" t="str">
        <f>ROUND(Github!N$2043, 2)&amp;"%"</f>
        <v>0%</v>
      </c>
      <c r="N2044" s="17">
        <f>Github!O$2043</f>
        <v>68.38456508</v>
      </c>
      <c r="O2044" s="17">
        <f>Github!P$2043</f>
        <v>20912</v>
      </c>
    </row>
    <row r="2045">
      <c r="A2045" s="17">
        <f>Github!J$2044</f>
        <v>2043</v>
      </c>
      <c r="B2045" s="27" t="str">
        <f>HYPERLINK(CONCAT("http://leetcode.com/problems/",Github!C$2044), Github!B$2044)</f>
        <v>Simple Bank System</v>
      </c>
      <c r="C2045" s="17">
        <f>Github!F$2044</f>
        <v>96</v>
      </c>
      <c r="D2045" s="17">
        <f>Github!G$2044</f>
        <v>108</v>
      </c>
      <c r="E2045" s="17">
        <f>Github!F$2044+Github!G$2044</f>
        <v>204</v>
      </c>
      <c r="F2045" s="18">
        <f t="shared" si="1"/>
        <v>0.89</v>
      </c>
      <c r="G2045" s="17" t="str">
        <f>Github!H$2044</f>
        <v>Algorithms</v>
      </c>
      <c r="H2045" s="17" t="str">
        <f>Github!E$2044</f>
        <v>Medium</v>
      </c>
      <c r="I2045" s="17" t="str">
        <f>IF(TRIM(Github!D$2044)="TRUE","FALSE","TRUE")</f>
        <v>TRUE</v>
      </c>
      <c r="J2045" s="17"/>
      <c r="K2045" s="17" t="str">
        <f>Github!L$2044</f>
        <v>Array;Hash Table;Design;Simulation;</v>
      </c>
      <c r="L2045" s="17" t="b">
        <f>Github!M$2044</f>
        <v>0</v>
      </c>
      <c r="M2045" s="17" t="str">
        <f>ROUND(Github!N$2044, 2)&amp;"%"</f>
        <v>0%</v>
      </c>
      <c r="N2045" s="17">
        <f>Github!O$2044</f>
        <v>64.68595546</v>
      </c>
      <c r="O2045" s="17">
        <f>Github!P$2044</f>
        <v>11648</v>
      </c>
    </row>
    <row r="2046">
      <c r="A2046" s="17">
        <f>Github!J$2045</f>
        <v>2044</v>
      </c>
      <c r="B2046" s="27" t="str">
        <f>HYPERLINK(CONCAT("http://leetcode.com/problems/",Github!C$2045), Github!B$2045)</f>
        <v>Count Number of Maximum Bitwise-OR Subsets</v>
      </c>
      <c r="C2046" s="17">
        <f>Github!F$2045</f>
        <v>222</v>
      </c>
      <c r="D2046" s="17">
        <f>Github!G$2045</f>
        <v>13</v>
      </c>
      <c r="E2046" s="17">
        <f>Github!F$2045+Github!G$2045</f>
        <v>235</v>
      </c>
      <c r="F2046" s="18">
        <f t="shared" si="1"/>
        <v>17.08</v>
      </c>
      <c r="G2046" s="17" t="str">
        <f>Github!H$2045</f>
        <v>Algorithms</v>
      </c>
      <c r="H2046" s="17" t="str">
        <f>Github!E$2045</f>
        <v>Medium</v>
      </c>
      <c r="I2046" s="17" t="str">
        <f>IF(TRIM(Github!D$2045)="TRUE","FALSE","TRUE")</f>
        <v>TRUE</v>
      </c>
      <c r="J2046" s="17"/>
      <c r="K2046" s="17" t="str">
        <f>Github!L$2045</f>
        <v>Array;Backtracking;Bit Manipulation;</v>
      </c>
      <c r="L2046" s="17" t="b">
        <f>Github!M$2045</f>
        <v>0</v>
      </c>
      <c r="M2046" s="17" t="str">
        <f>ROUND(Github!N$2045, 2)&amp;"%"</f>
        <v>0%</v>
      </c>
      <c r="N2046" s="17">
        <f>Github!O$2045</f>
        <v>74.87651272</v>
      </c>
      <c r="O2046" s="17">
        <f>Github!P$2045</f>
        <v>12126</v>
      </c>
    </row>
    <row r="2047">
      <c r="A2047" s="17">
        <f>Github!J$2046</f>
        <v>2045</v>
      </c>
      <c r="B2047" s="27" t="str">
        <f>HYPERLINK(CONCAT("http://leetcode.com/problems/",Github!C$2046), Github!B$2046)</f>
        <v>Second Minimum Time to Reach Destination</v>
      </c>
      <c r="C2047" s="17">
        <f>Github!F$2046</f>
        <v>299</v>
      </c>
      <c r="D2047" s="17">
        <f>Github!G$2046</f>
        <v>4</v>
      </c>
      <c r="E2047" s="17">
        <f>Github!F$2046+Github!G$2046</f>
        <v>303</v>
      </c>
      <c r="F2047" s="18">
        <f t="shared" si="1"/>
        <v>74.75</v>
      </c>
      <c r="G2047" s="17" t="str">
        <f>Github!H$2046</f>
        <v>Algorithms</v>
      </c>
      <c r="H2047" s="17" t="str">
        <f>Github!E$2046</f>
        <v>Hard</v>
      </c>
      <c r="I2047" s="17" t="str">
        <f>IF(TRIM(Github!D$2046)="TRUE","FALSE","TRUE")</f>
        <v>TRUE</v>
      </c>
      <c r="J2047" s="17"/>
      <c r="K2047" s="17" t="str">
        <f>Github!L$2046</f>
        <v>Breadth-First Search;Graph;Shortest Path;</v>
      </c>
      <c r="L2047" s="17" t="b">
        <f>Github!M$2046</f>
        <v>0</v>
      </c>
      <c r="M2047" s="17" t="str">
        <f>ROUND(Github!N$2046, 2)&amp;"%"</f>
        <v>0%</v>
      </c>
      <c r="N2047" s="17">
        <f>Github!O$2046</f>
        <v>36.37257472</v>
      </c>
      <c r="O2047" s="17">
        <f>Github!P$2046</f>
        <v>5549</v>
      </c>
    </row>
    <row r="2048">
      <c r="A2048" s="17">
        <f>Github!J$2047</f>
        <v>2046</v>
      </c>
      <c r="B2048" s="27" t="str">
        <f>HYPERLINK(CONCAT("http://leetcode.com/problems/",Github!C$2047), Github!B$2047)</f>
        <v>Sort Linked List Already Sorted Using Absolute Values</v>
      </c>
      <c r="C2048" s="17">
        <f>Github!F$2047</f>
        <v>57</v>
      </c>
      <c r="D2048" s="17">
        <f>Github!G$2047</f>
        <v>0</v>
      </c>
      <c r="E2048" s="17">
        <f>Github!F$2047+Github!G$2047</f>
        <v>57</v>
      </c>
      <c r="F2048" s="18">
        <f t="shared" si="1"/>
        <v>57</v>
      </c>
      <c r="G2048" s="17" t="str">
        <f>Github!H$2047</f>
        <v>Algorithms</v>
      </c>
      <c r="H2048" s="17" t="str">
        <f>Github!E$2047</f>
        <v>Medium</v>
      </c>
      <c r="I2048" s="17" t="str">
        <f>IF(TRIM(Github!D$2047)="TRUE","FALSE","TRUE")</f>
        <v>FALSE</v>
      </c>
      <c r="J2048" s="17"/>
      <c r="K2048" s="17" t="str">
        <f>Github!L$2047</f>
        <v>Linked List;Two Pointers;Sorting;</v>
      </c>
      <c r="L2048" s="17" t="b">
        <f>Github!M$2047</f>
        <v>0</v>
      </c>
      <c r="M2048" s="17" t="str">
        <f>ROUND(Github!N$2047, 2)&amp;"%"</f>
        <v>0%</v>
      </c>
      <c r="N2048" s="17">
        <f>Github!O$2047</f>
        <v>70.48040455</v>
      </c>
      <c r="O2048" s="17">
        <f>Github!P$2047</f>
        <v>2230</v>
      </c>
    </row>
    <row r="2049">
      <c r="A2049" s="17">
        <f>Github!J$2048</f>
        <v>2047</v>
      </c>
      <c r="B2049" s="27" t="str">
        <f>HYPERLINK(CONCAT("http://leetcode.com/problems/",Github!C$2048), Github!B$2048)</f>
        <v>Number of Valid Words in a Sentence</v>
      </c>
      <c r="C2049" s="17">
        <f>Github!F$2048</f>
        <v>109</v>
      </c>
      <c r="D2049" s="17">
        <f>Github!G$2048</f>
        <v>448</v>
      </c>
      <c r="E2049" s="17">
        <f>Github!F$2048+Github!G$2048</f>
        <v>557</v>
      </c>
      <c r="F2049" s="18">
        <f t="shared" si="1"/>
        <v>0.24</v>
      </c>
      <c r="G2049" s="17" t="str">
        <f>Github!H$2048</f>
        <v>Algorithms</v>
      </c>
      <c r="H2049" s="17" t="str">
        <f>Github!E$2048</f>
        <v>Easy</v>
      </c>
      <c r="I2049" s="17" t="str">
        <f>IF(TRIM(Github!D$2048)="TRUE","FALSE","TRUE")</f>
        <v>TRUE</v>
      </c>
      <c r="J2049" s="17"/>
      <c r="K2049" s="17" t="str">
        <f>Github!L$2048</f>
        <v>String;</v>
      </c>
      <c r="L2049" s="17" t="b">
        <f>Github!M$2048</f>
        <v>0</v>
      </c>
      <c r="M2049" s="17" t="str">
        <f>ROUND(Github!N$2048, 2)&amp;"%"</f>
        <v>0%</v>
      </c>
      <c r="N2049" s="17">
        <f>Github!O$2048</f>
        <v>29.30540393</v>
      </c>
      <c r="O2049" s="17">
        <f>Github!P$2048</f>
        <v>12885</v>
      </c>
    </row>
    <row r="2050">
      <c r="A2050" s="17">
        <f>Github!J$2049</f>
        <v>2048</v>
      </c>
      <c r="B2050" s="27" t="str">
        <f>HYPERLINK(CONCAT("http://leetcode.com/problems/",Github!C$2049), Github!B$2049)</f>
        <v>Next Greater Numerically Balanced Number</v>
      </c>
      <c r="C2050" s="17">
        <f>Github!F$2049</f>
        <v>91</v>
      </c>
      <c r="D2050" s="17">
        <f>Github!G$2049</f>
        <v>213</v>
      </c>
      <c r="E2050" s="17">
        <f>Github!F$2049+Github!G$2049</f>
        <v>304</v>
      </c>
      <c r="F2050" s="18">
        <f t="shared" si="1"/>
        <v>0.43</v>
      </c>
      <c r="G2050" s="17" t="str">
        <f>Github!H$2049</f>
        <v>Algorithms</v>
      </c>
      <c r="H2050" s="17" t="str">
        <f>Github!E$2049</f>
        <v>Medium</v>
      </c>
      <c r="I2050" s="17" t="str">
        <f>IF(TRIM(Github!D$2049)="TRUE","FALSE","TRUE")</f>
        <v>TRUE</v>
      </c>
      <c r="J2050" s="17"/>
      <c r="K2050" s="17" t="str">
        <f>Github!L$2049</f>
        <v>Math;Backtracking;Enumeration;</v>
      </c>
      <c r="L2050" s="17" t="b">
        <f>Github!M$2049</f>
        <v>0</v>
      </c>
      <c r="M2050" s="17" t="str">
        <f>ROUND(Github!N$2049, 2)&amp;"%"</f>
        <v>0%</v>
      </c>
      <c r="N2050" s="17">
        <f>Github!O$2049</f>
        <v>46.0976306</v>
      </c>
      <c r="O2050" s="17">
        <f>Github!P$2049</f>
        <v>8074</v>
      </c>
    </row>
    <row r="2051">
      <c r="A2051" s="17">
        <f>Github!J$2050</f>
        <v>2049</v>
      </c>
      <c r="B2051" s="27" t="str">
        <f>HYPERLINK(CONCAT("http://leetcode.com/problems/",Github!C$2050), Github!B$2050)</f>
        <v>Count Nodes With the Highest Score</v>
      </c>
      <c r="C2051" s="17">
        <f>Github!F$2050</f>
        <v>358</v>
      </c>
      <c r="D2051" s="17">
        <f>Github!G$2050</f>
        <v>24</v>
      </c>
      <c r="E2051" s="17">
        <f>Github!F$2050+Github!G$2050</f>
        <v>382</v>
      </c>
      <c r="F2051" s="18">
        <f t="shared" si="1"/>
        <v>14.92</v>
      </c>
      <c r="G2051" s="17" t="str">
        <f>Github!H$2050</f>
        <v>Algorithms</v>
      </c>
      <c r="H2051" s="17" t="str">
        <f>Github!E$2050</f>
        <v>Medium</v>
      </c>
      <c r="I2051" s="17" t="str">
        <f>IF(TRIM(Github!D$2050)="TRUE","FALSE","TRUE")</f>
        <v>TRUE</v>
      </c>
      <c r="J2051" s="17"/>
      <c r="K2051" s="17" t="str">
        <f>Github!L$2050</f>
        <v>Array;Tree;Depth-First Search;Binary Tree;</v>
      </c>
      <c r="L2051" s="17" t="b">
        <f>Github!M$2050</f>
        <v>0</v>
      </c>
      <c r="M2051" s="17" t="str">
        <f>ROUND(Github!N$2050, 2)&amp;"%"</f>
        <v>0%</v>
      </c>
      <c r="N2051" s="17">
        <f>Github!O$2050</f>
        <v>46.38140792</v>
      </c>
      <c r="O2051" s="17">
        <f>Github!P$2050</f>
        <v>8921</v>
      </c>
    </row>
    <row r="2052">
      <c r="A2052" s="17">
        <f>Github!J$2051</f>
        <v>2050</v>
      </c>
      <c r="B2052" s="27" t="str">
        <f>HYPERLINK(CONCAT("http://leetcode.com/problems/",Github!C$2051), Github!B$2051)</f>
        <v>Parallel Courses III</v>
      </c>
      <c r="C2052" s="17">
        <f>Github!F$2051</f>
        <v>293</v>
      </c>
      <c r="D2052" s="17">
        <f>Github!G$2051</f>
        <v>7</v>
      </c>
      <c r="E2052" s="17">
        <f>Github!F$2051+Github!G$2051</f>
        <v>300</v>
      </c>
      <c r="F2052" s="18">
        <f t="shared" si="1"/>
        <v>41.86</v>
      </c>
      <c r="G2052" s="17" t="str">
        <f>Github!H$2051</f>
        <v>Algorithms</v>
      </c>
      <c r="H2052" s="17" t="str">
        <f>Github!E$2051</f>
        <v>Hard</v>
      </c>
      <c r="I2052" s="17" t="str">
        <f>IF(TRIM(Github!D$2051)="TRUE","FALSE","TRUE")</f>
        <v>TRUE</v>
      </c>
      <c r="J2052" s="17"/>
      <c r="K2052" s="17" t="str">
        <f>Github!L$2051</f>
        <v>Dynamic Programming;Graph;Topological Sort;</v>
      </c>
      <c r="L2052" s="17" t="b">
        <f>Github!M$2051</f>
        <v>0</v>
      </c>
      <c r="M2052" s="17" t="str">
        <f>ROUND(Github!N$2051, 2)&amp;"%"</f>
        <v>0%</v>
      </c>
      <c r="N2052" s="17">
        <f>Github!O$2051</f>
        <v>60.16629456</v>
      </c>
      <c r="O2052" s="17">
        <f>Github!P$2051</f>
        <v>7815</v>
      </c>
    </row>
    <row r="2053">
      <c r="A2053" s="17">
        <f>Github!J$2052</f>
        <v>2051</v>
      </c>
      <c r="B2053" s="27" t="str">
        <f>HYPERLINK(CONCAT("http://leetcode.com/problems/",Github!C$2052), Github!B$2052)</f>
        <v>The Category of Each Member in the Store</v>
      </c>
      <c r="C2053" s="17">
        <f>Github!F$2052</f>
        <v>17</v>
      </c>
      <c r="D2053" s="17">
        <f>Github!G$2052</f>
        <v>4</v>
      </c>
      <c r="E2053" s="17">
        <f>Github!F$2052+Github!G$2052</f>
        <v>21</v>
      </c>
      <c r="F2053" s="18">
        <f t="shared" si="1"/>
        <v>4.25</v>
      </c>
      <c r="G2053" s="17" t="str">
        <f>Github!H$2052</f>
        <v>Database</v>
      </c>
      <c r="H2053" s="17" t="str">
        <f>Github!E$2052</f>
        <v>Medium</v>
      </c>
      <c r="I2053" s="17" t="str">
        <f>IF(TRIM(Github!D$2052)="TRUE","FALSE","TRUE")</f>
        <v>FALSE</v>
      </c>
      <c r="J2053" s="17"/>
      <c r="K2053" s="17" t="str">
        <f>Github!L$2052</f>
        <v>Database;</v>
      </c>
      <c r="L2053" s="17" t="b">
        <f>Github!M$2052</f>
        <v>0</v>
      </c>
      <c r="M2053" s="17" t="str">
        <f>ROUND(Github!N$2052, 2)&amp;"%"</f>
        <v>0%</v>
      </c>
      <c r="N2053" s="17">
        <f>Github!O$2052</f>
        <v>73.03904924</v>
      </c>
      <c r="O2053" s="17">
        <f>Github!P$2052</f>
        <v>2147</v>
      </c>
    </row>
    <row r="2054">
      <c r="A2054" s="17">
        <f>Github!J$2053</f>
        <v>2052</v>
      </c>
      <c r="B2054" s="27" t="str">
        <f>HYPERLINK(CONCAT("http://leetcode.com/problems/",Github!C$2053), Github!B$2053)</f>
        <v>Minimum Cost to Separate Sentence Into Rows</v>
      </c>
      <c r="C2054" s="17">
        <f>Github!F$2053</f>
        <v>21</v>
      </c>
      <c r="D2054" s="17">
        <f>Github!G$2053</f>
        <v>8</v>
      </c>
      <c r="E2054" s="17">
        <f>Github!F$2053+Github!G$2053</f>
        <v>29</v>
      </c>
      <c r="F2054" s="18">
        <f t="shared" si="1"/>
        <v>2.63</v>
      </c>
      <c r="G2054" s="17" t="str">
        <f>Github!H$2053</f>
        <v>Algorithms</v>
      </c>
      <c r="H2054" s="17" t="str">
        <f>Github!E$2053</f>
        <v>Medium</v>
      </c>
      <c r="I2054" s="17" t="str">
        <f>IF(TRIM(Github!D$2053)="TRUE","FALSE","TRUE")</f>
        <v>FALSE</v>
      </c>
      <c r="J2054" s="17"/>
      <c r="K2054" s="17" t="str">
        <f>Github!L$2053</f>
        <v>Array;Dynamic Programming;</v>
      </c>
      <c r="L2054" s="17" t="b">
        <f>Github!M$2053</f>
        <v>0</v>
      </c>
      <c r="M2054" s="17" t="str">
        <f>ROUND(Github!N$2053, 2)&amp;"%"</f>
        <v>0%</v>
      </c>
      <c r="N2054" s="17">
        <f>Github!O$2053</f>
        <v>53.51934052</v>
      </c>
      <c r="O2054" s="17">
        <f>Github!P$2053</f>
        <v>844</v>
      </c>
    </row>
    <row r="2055">
      <c r="A2055" s="17">
        <f>Github!J$2054</f>
        <v>2053</v>
      </c>
      <c r="B2055" s="27" t="str">
        <f>HYPERLINK(CONCAT("http://leetcode.com/problems/",Github!C$2054), Github!B$2054)</f>
        <v>Kth Distinct String in an Array</v>
      </c>
      <c r="C2055" s="17">
        <f>Github!F$2054</f>
        <v>253</v>
      </c>
      <c r="D2055" s="17">
        <f>Github!G$2054</f>
        <v>6</v>
      </c>
      <c r="E2055" s="17">
        <f>Github!F$2054+Github!G$2054</f>
        <v>259</v>
      </c>
      <c r="F2055" s="18">
        <f t="shared" si="1"/>
        <v>42.17</v>
      </c>
      <c r="G2055" s="17" t="str">
        <f>Github!H$2054</f>
        <v>Algorithms</v>
      </c>
      <c r="H2055" s="17" t="str">
        <f>Github!E$2054</f>
        <v>Easy</v>
      </c>
      <c r="I2055" s="17" t="str">
        <f>IF(TRIM(Github!D$2054)="TRUE","FALSE","TRUE")</f>
        <v>TRUE</v>
      </c>
      <c r="J2055" s="17"/>
      <c r="K2055" s="17" t="str">
        <f>Github!L$2054</f>
        <v>Array;Hash Table;String;Counting;</v>
      </c>
      <c r="L2055" s="17" t="b">
        <f>Github!M$2054</f>
        <v>0</v>
      </c>
      <c r="M2055" s="17" t="str">
        <f>ROUND(Github!N$2054, 2)&amp;"%"</f>
        <v>0%</v>
      </c>
      <c r="N2055" s="17">
        <f>Github!O$2054</f>
        <v>73.11359712</v>
      </c>
      <c r="O2055" s="17">
        <f>Github!P$2054</f>
        <v>19476</v>
      </c>
    </row>
    <row r="2056">
      <c r="A2056" s="17">
        <f>Github!J$2055</f>
        <v>2054</v>
      </c>
      <c r="B2056" s="27" t="str">
        <f>HYPERLINK(CONCAT("http://leetcode.com/problems/",Github!C$2055), Github!B$2055)</f>
        <v>Two Best Non-Overlapping Events</v>
      </c>
      <c r="C2056" s="17">
        <f>Github!F$2055</f>
        <v>359</v>
      </c>
      <c r="D2056" s="17">
        <f>Github!G$2055</f>
        <v>7</v>
      </c>
      <c r="E2056" s="17">
        <f>Github!F$2055+Github!G$2055</f>
        <v>366</v>
      </c>
      <c r="F2056" s="18">
        <f t="shared" si="1"/>
        <v>51.29</v>
      </c>
      <c r="G2056" s="17" t="str">
        <f>Github!H$2055</f>
        <v>Algorithms</v>
      </c>
      <c r="H2056" s="17" t="str">
        <f>Github!E$2055</f>
        <v>Medium</v>
      </c>
      <c r="I2056" s="17" t="str">
        <f>IF(TRIM(Github!D$2055)="TRUE","FALSE","TRUE")</f>
        <v>TRUE</v>
      </c>
      <c r="J2056" s="17"/>
      <c r="K2056" s="17" t="str">
        <f>Github!L$2055</f>
        <v>Array;Binary Search;Dynamic Programming;Sorting;Heap (Priority Queue);</v>
      </c>
      <c r="L2056" s="17" t="b">
        <f>Github!M$2055</f>
        <v>0</v>
      </c>
      <c r="M2056" s="17" t="str">
        <f>ROUND(Github!N$2055, 2)&amp;"%"</f>
        <v>0%</v>
      </c>
      <c r="N2056" s="17">
        <f>Github!O$2055</f>
        <v>42.87207703</v>
      </c>
      <c r="O2056" s="17">
        <f>Github!P$2055</f>
        <v>7792</v>
      </c>
    </row>
    <row r="2057">
      <c r="A2057" s="17">
        <f>Github!J$2056</f>
        <v>2055</v>
      </c>
      <c r="B2057" s="27" t="str">
        <f>HYPERLINK(CONCAT("http://leetcode.com/problems/",Github!C$2056), Github!B$2056)</f>
        <v>Plates Between Candles</v>
      </c>
      <c r="C2057" s="17">
        <f>Github!F$2056</f>
        <v>343</v>
      </c>
      <c r="D2057" s="17">
        <f>Github!G$2056</f>
        <v>8</v>
      </c>
      <c r="E2057" s="17">
        <f>Github!F$2056+Github!G$2056</f>
        <v>351</v>
      </c>
      <c r="F2057" s="18">
        <f t="shared" si="1"/>
        <v>42.88</v>
      </c>
      <c r="G2057" s="17" t="str">
        <f>Github!H$2056</f>
        <v>Algorithms</v>
      </c>
      <c r="H2057" s="17" t="str">
        <f>Github!E$2056</f>
        <v>Medium</v>
      </c>
      <c r="I2057" s="17" t="str">
        <f>IF(TRIM(Github!D$2056)="TRUE","FALSE","TRUE")</f>
        <v>TRUE</v>
      </c>
      <c r="J2057" s="17"/>
      <c r="K2057" s="17" t="str">
        <f>Github!L$2056</f>
        <v>Array;String;Binary Search;Prefix Sum;</v>
      </c>
      <c r="L2057" s="17" t="b">
        <f>Github!M$2056</f>
        <v>0</v>
      </c>
      <c r="M2057" s="17" t="str">
        <f>ROUND(Github!N$2056, 2)&amp;"%"</f>
        <v>0%</v>
      </c>
      <c r="N2057" s="17">
        <f>Github!O$2056</f>
        <v>46.74730636</v>
      </c>
      <c r="O2057" s="17">
        <f>Github!P$2056</f>
        <v>9198</v>
      </c>
    </row>
    <row r="2058">
      <c r="A2058" s="17">
        <f>Github!J$2057</f>
        <v>2056</v>
      </c>
      <c r="B2058" s="27" t="str">
        <f>HYPERLINK(CONCAT("http://leetcode.com/problems/",Github!C$2057), Github!B$2057)</f>
        <v>Number of Valid Move Combinations On Chessboard</v>
      </c>
      <c r="C2058" s="17">
        <f>Github!F$2057</f>
        <v>30</v>
      </c>
      <c r="D2058" s="17">
        <f>Github!G$2057</f>
        <v>146</v>
      </c>
      <c r="E2058" s="17">
        <f>Github!F$2057+Github!G$2057</f>
        <v>176</v>
      </c>
      <c r="F2058" s="18">
        <f t="shared" si="1"/>
        <v>0.21</v>
      </c>
      <c r="G2058" s="17" t="str">
        <f>Github!H$2057</f>
        <v>Algorithms</v>
      </c>
      <c r="H2058" s="17" t="str">
        <f>Github!E$2057</f>
        <v>Hard</v>
      </c>
      <c r="I2058" s="17" t="str">
        <f>IF(TRIM(Github!D$2057)="TRUE","FALSE","TRUE")</f>
        <v>TRUE</v>
      </c>
      <c r="J2058" s="17"/>
      <c r="K2058" s="17" t="str">
        <f>Github!L$2057</f>
        <v>Array;String;Backtracking;Simulation;</v>
      </c>
      <c r="L2058" s="17" t="b">
        <f>Github!M$2057</f>
        <v>0</v>
      </c>
      <c r="M2058" s="17" t="str">
        <f>ROUND(Github!N$2057, 2)&amp;"%"</f>
        <v>0%</v>
      </c>
      <c r="N2058" s="17">
        <f>Github!O$2057</f>
        <v>58.68769361</v>
      </c>
      <c r="O2058" s="17">
        <f>Github!P$2057</f>
        <v>2084</v>
      </c>
    </row>
    <row r="2059">
      <c r="A2059" s="17">
        <f>Github!J$2058</f>
        <v>2057</v>
      </c>
      <c r="B2059" s="27" t="str">
        <f>HYPERLINK(CONCAT("http://leetcode.com/problems/",Github!C$2058), Github!B$2058)</f>
        <v>Smallest Index With Equal Value</v>
      </c>
      <c r="C2059" s="17">
        <f>Github!F$2058</f>
        <v>129</v>
      </c>
      <c r="D2059" s="17">
        <f>Github!G$2058</f>
        <v>62</v>
      </c>
      <c r="E2059" s="17">
        <f>Github!F$2058+Github!G$2058</f>
        <v>191</v>
      </c>
      <c r="F2059" s="18">
        <f t="shared" si="1"/>
        <v>2.08</v>
      </c>
      <c r="G2059" s="17" t="str">
        <f>Github!H$2058</f>
        <v>Algorithms</v>
      </c>
      <c r="H2059" s="17" t="str">
        <f>Github!E$2058</f>
        <v>Easy</v>
      </c>
      <c r="I2059" s="17" t="str">
        <f>IF(TRIM(Github!D$2058)="TRUE","FALSE","TRUE")</f>
        <v>TRUE</v>
      </c>
      <c r="J2059" s="17"/>
      <c r="K2059" s="17" t="str">
        <f>Github!L$2058</f>
        <v>Array;</v>
      </c>
      <c r="L2059" s="17" t="b">
        <f>Github!M$2058</f>
        <v>0</v>
      </c>
      <c r="M2059" s="17" t="str">
        <f>ROUND(Github!N$2058, 2)&amp;"%"</f>
        <v>0%</v>
      </c>
      <c r="N2059" s="17">
        <f>Github!O$2058</f>
        <v>73.59493153</v>
      </c>
      <c r="O2059" s="17">
        <f>Github!P$2058</f>
        <v>21604</v>
      </c>
    </row>
    <row r="2060">
      <c r="A2060" s="17">
        <f>Github!J$2059</f>
        <v>2058</v>
      </c>
      <c r="B2060" s="27" t="str">
        <f>HYPERLINK(CONCAT("http://leetcode.com/problems/",Github!C$2059), Github!B$2059)</f>
        <v>Find the Minimum and Maximum Number of Nodes Between Critical Points</v>
      </c>
      <c r="C2060" s="17">
        <f>Github!F$2059</f>
        <v>220</v>
      </c>
      <c r="D2060" s="17">
        <f>Github!G$2059</f>
        <v>11</v>
      </c>
      <c r="E2060" s="17">
        <f>Github!F$2059+Github!G$2059</f>
        <v>231</v>
      </c>
      <c r="F2060" s="18">
        <f t="shared" si="1"/>
        <v>20</v>
      </c>
      <c r="G2060" s="17" t="str">
        <f>Github!H$2059</f>
        <v>Algorithms</v>
      </c>
      <c r="H2060" s="17" t="str">
        <f>Github!E$2059</f>
        <v>Medium</v>
      </c>
      <c r="I2060" s="17" t="str">
        <f>IF(TRIM(Github!D$2059)="TRUE","FALSE","TRUE")</f>
        <v>TRUE</v>
      </c>
      <c r="J2060" s="17"/>
      <c r="K2060" s="17" t="str">
        <f>Github!L$2059</f>
        <v>Linked List;</v>
      </c>
      <c r="L2060" s="17" t="b">
        <f>Github!M$2059</f>
        <v>0</v>
      </c>
      <c r="M2060" s="17" t="str">
        <f>ROUND(Github!N$2059, 2)&amp;"%"</f>
        <v>0%</v>
      </c>
      <c r="N2060" s="17">
        <f>Github!O$2059</f>
        <v>57.84762612</v>
      </c>
      <c r="O2060" s="17">
        <f>Github!P$2059</f>
        <v>14024</v>
      </c>
    </row>
    <row r="2061">
      <c r="A2061" s="17">
        <f>Github!J$2060</f>
        <v>2059</v>
      </c>
      <c r="B2061" s="27" t="str">
        <f>HYPERLINK(CONCAT("http://leetcode.com/problems/",Github!C$2060), Github!B$2060)</f>
        <v>Minimum Operations to Convert Number</v>
      </c>
      <c r="C2061" s="17">
        <f>Github!F$2060</f>
        <v>327</v>
      </c>
      <c r="D2061" s="17">
        <f>Github!G$2060</f>
        <v>16</v>
      </c>
      <c r="E2061" s="17">
        <f>Github!F$2060+Github!G$2060</f>
        <v>343</v>
      </c>
      <c r="F2061" s="18">
        <f t="shared" si="1"/>
        <v>20.44</v>
      </c>
      <c r="G2061" s="17" t="str">
        <f>Github!H$2060</f>
        <v>Algorithms</v>
      </c>
      <c r="H2061" s="17" t="str">
        <f>Github!E$2060</f>
        <v>Medium</v>
      </c>
      <c r="I2061" s="17" t="str">
        <f>IF(TRIM(Github!D$2060)="TRUE","FALSE","TRUE")</f>
        <v>TRUE</v>
      </c>
      <c r="J2061" s="17"/>
      <c r="K2061" s="17" t="str">
        <f>Github!L$2060</f>
        <v>Array;Breadth-First Search;</v>
      </c>
      <c r="L2061" s="17" t="b">
        <f>Github!M$2060</f>
        <v>0</v>
      </c>
      <c r="M2061" s="17" t="str">
        <f>ROUND(Github!N$2060, 2)&amp;"%"</f>
        <v>0%</v>
      </c>
      <c r="N2061" s="17">
        <f>Github!O$2060</f>
        <v>45.82893878</v>
      </c>
      <c r="O2061" s="17">
        <f>Github!P$2060</f>
        <v>9123</v>
      </c>
    </row>
    <row r="2062">
      <c r="A2062" s="17">
        <f>Github!J$2061</f>
        <v>2060</v>
      </c>
      <c r="B2062" s="27" t="str">
        <f>HYPERLINK(CONCAT("http://leetcode.com/problems/",Github!C$2061), Github!B$2061)</f>
        <v>Check if an Original String Exists Given Two Encoded Strings</v>
      </c>
      <c r="C2062" s="17">
        <f>Github!F$2061</f>
        <v>133</v>
      </c>
      <c r="D2062" s="17">
        <f>Github!G$2061</f>
        <v>62</v>
      </c>
      <c r="E2062" s="17">
        <f>Github!F$2061+Github!G$2061</f>
        <v>195</v>
      </c>
      <c r="F2062" s="18">
        <f t="shared" si="1"/>
        <v>2.15</v>
      </c>
      <c r="G2062" s="17" t="str">
        <f>Github!H$2061</f>
        <v>Algorithms</v>
      </c>
      <c r="H2062" s="17" t="str">
        <f>Github!E$2061</f>
        <v>Hard</v>
      </c>
      <c r="I2062" s="17" t="str">
        <f>IF(TRIM(Github!D$2061)="TRUE","FALSE","TRUE")</f>
        <v>TRUE</v>
      </c>
      <c r="J2062" s="17"/>
      <c r="K2062" s="17" t="str">
        <f>Github!L$2061</f>
        <v>String;Dynamic Programming;</v>
      </c>
      <c r="L2062" s="17" t="b">
        <f>Github!M$2061</f>
        <v>0</v>
      </c>
      <c r="M2062" s="17" t="str">
        <f>ROUND(Github!N$2061, 2)&amp;"%"</f>
        <v>0%</v>
      </c>
      <c r="N2062" s="17">
        <f>Github!O$2061</f>
        <v>39.42391621</v>
      </c>
      <c r="O2062" s="17">
        <f>Github!P$2061</f>
        <v>4065</v>
      </c>
    </row>
    <row r="2063">
      <c r="A2063" s="17">
        <f>Github!J$2062</f>
        <v>2061</v>
      </c>
      <c r="B2063" s="27" t="str">
        <f>HYPERLINK(CONCAT("http://leetcode.com/problems/",Github!C$2062), Github!B$2062)</f>
        <v>Number of Spaces Cleaning Robot Cleaned</v>
      </c>
      <c r="C2063" s="17">
        <f>Github!F$2062</f>
        <v>47</v>
      </c>
      <c r="D2063" s="17">
        <f>Github!G$2062</f>
        <v>12</v>
      </c>
      <c r="E2063" s="17">
        <f>Github!F$2062+Github!G$2062</f>
        <v>59</v>
      </c>
      <c r="F2063" s="18">
        <f t="shared" si="1"/>
        <v>3.92</v>
      </c>
      <c r="G2063" s="17" t="str">
        <f>Github!H$2062</f>
        <v>Algorithms</v>
      </c>
      <c r="H2063" s="17" t="str">
        <f>Github!E$2062</f>
        <v>Medium</v>
      </c>
      <c r="I2063" s="17" t="str">
        <f>IF(TRIM(Github!D$2062)="TRUE","FALSE","TRUE")</f>
        <v>FALSE</v>
      </c>
      <c r="J2063" s="17"/>
      <c r="K2063" s="17" t="str">
        <f>Github!L$2062</f>
        <v>Array;Matrix;Simulation;</v>
      </c>
      <c r="L2063" s="17" t="b">
        <f>Github!M$2062</f>
        <v>0</v>
      </c>
      <c r="M2063" s="17" t="str">
        <f>ROUND(Github!N$2062, 2)&amp;"%"</f>
        <v>0%</v>
      </c>
      <c r="N2063" s="17">
        <f>Github!O$2062</f>
        <v>54.98195948</v>
      </c>
      <c r="O2063" s="17">
        <f>Github!P$2062</f>
        <v>1981</v>
      </c>
    </row>
    <row r="2064">
      <c r="A2064" s="17">
        <f>Github!J$2063</f>
        <v>2062</v>
      </c>
      <c r="B2064" s="27" t="str">
        <f>HYPERLINK(CONCAT("http://leetcode.com/problems/",Github!C$2063), Github!B$2063)</f>
        <v>Count Vowel Substrings of a String</v>
      </c>
      <c r="C2064" s="17">
        <f>Github!F$2063</f>
        <v>330</v>
      </c>
      <c r="D2064" s="17">
        <f>Github!G$2063</f>
        <v>99</v>
      </c>
      <c r="E2064" s="17">
        <f>Github!F$2063+Github!G$2063</f>
        <v>429</v>
      </c>
      <c r="F2064" s="18">
        <f t="shared" si="1"/>
        <v>3.33</v>
      </c>
      <c r="G2064" s="17" t="str">
        <f>Github!H$2063</f>
        <v>Algorithms</v>
      </c>
      <c r="H2064" s="17" t="str">
        <f>Github!E$2063</f>
        <v>Easy</v>
      </c>
      <c r="I2064" s="17" t="str">
        <f>IF(TRIM(Github!D$2063)="TRUE","FALSE","TRUE")</f>
        <v>TRUE</v>
      </c>
      <c r="J2064" s="17"/>
      <c r="K2064" s="17" t="str">
        <f>Github!L$2063</f>
        <v>Hash Table;String;</v>
      </c>
      <c r="L2064" s="17" t="b">
        <f>Github!M$2063</f>
        <v>0</v>
      </c>
      <c r="M2064" s="17" t="str">
        <f>ROUND(Github!N$2063, 2)&amp;"%"</f>
        <v>0%</v>
      </c>
      <c r="N2064" s="17">
        <f>Github!O$2063</f>
        <v>65.76798445</v>
      </c>
      <c r="O2064" s="17">
        <f>Github!P$2063</f>
        <v>15222</v>
      </c>
    </row>
    <row r="2065">
      <c r="A2065" s="17">
        <f>Github!J$2064</f>
        <v>2063</v>
      </c>
      <c r="B2065" s="27" t="str">
        <f>HYPERLINK(CONCAT("http://leetcode.com/problems/",Github!C$2064), Github!B$2064)</f>
        <v>Vowels of All Substrings</v>
      </c>
      <c r="C2065" s="17">
        <f>Github!F$2064</f>
        <v>321</v>
      </c>
      <c r="D2065" s="17">
        <f>Github!G$2064</f>
        <v>12</v>
      </c>
      <c r="E2065" s="17">
        <f>Github!F$2064+Github!G$2064</f>
        <v>333</v>
      </c>
      <c r="F2065" s="18">
        <f t="shared" si="1"/>
        <v>26.75</v>
      </c>
      <c r="G2065" s="17" t="str">
        <f>Github!H$2064</f>
        <v>Algorithms</v>
      </c>
      <c r="H2065" s="17" t="str">
        <f>Github!E$2064</f>
        <v>Medium</v>
      </c>
      <c r="I2065" s="17" t="str">
        <f>IF(TRIM(Github!D$2064)="TRUE","FALSE","TRUE")</f>
        <v>TRUE</v>
      </c>
      <c r="J2065" s="17"/>
      <c r="K2065" s="17" t="str">
        <f>Github!L$2064</f>
        <v>Math;String;Dynamic Programming;Combinatorics;</v>
      </c>
      <c r="L2065" s="17" t="b">
        <f>Github!M$2064</f>
        <v>0</v>
      </c>
      <c r="M2065" s="17" t="str">
        <f>ROUND(Github!N$2064, 2)&amp;"%"</f>
        <v>0%</v>
      </c>
      <c r="N2065" s="17">
        <f>Github!O$2064</f>
        <v>54.14154237</v>
      </c>
      <c r="O2065" s="17">
        <f>Github!P$2064</f>
        <v>11942</v>
      </c>
    </row>
    <row r="2066">
      <c r="A2066" s="17">
        <f>Github!J$2065</f>
        <v>2064</v>
      </c>
      <c r="B2066" s="27" t="str">
        <f>HYPERLINK(CONCAT("http://leetcode.com/problems/",Github!C$2065), Github!B$2065)</f>
        <v>Minimized Maximum of Products Distributed to Any Store</v>
      </c>
      <c r="C2066" s="17">
        <f>Github!F$2065</f>
        <v>371</v>
      </c>
      <c r="D2066" s="17">
        <f>Github!G$2065</f>
        <v>15</v>
      </c>
      <c r="E2066" s="17">
        <f>Github!F$2065+Github!G$2065</f>
        <v>386</v>
      </c>
      <c r="F2066" s="18">
        <f t="shared" si="1"/>
        <v>24.73</v>
      </c>
      <c r="G2066" s="17" t="str">
        <f>Github!H$2065</f>
        <v>Algorithms</v>
      </c>
      <c r="H2066" s="17" t="str">
        <f>Github!E$2065</f>
        <v>Medium</v>
      </c>
      <c r="I2066" s="17" t="str">
        <f>IF(TRIM(Github!D$2065)="TRUE","FALSE","TRUE")</f>
        <v>TRUE</v>
      </c>
      <c r="J2066" s="17"/>
      <c r="K2066" s="17" t="str">
        <f>Github!L$2065</f>
        <v>Array;Binary Search;</v>
      </c>
      <c r="L2066" s="17" t="b">
        <f>Github!M$2065</f>
        <v>0</v>
      </c>
      <c r="M2066" s="17" t="str">
        <f>ROUND(Github!N$2065, 2)&amp;"%"</f>
        <v>0%</v>
      </c>
      <c r="N2066" s="17">
        <f>Github!O$2065</f>
        <v>48.19382449</v>
      </c>
      <c r="O2066" s="17">
        <f>Github!P$2065</f>
        <v>10472</v>
      </c>
    </row>
    <row r="2067">
      <c r="A2067" s="17">
        <f>Github!J$2066</f>
        <v>2065</v>
      </c>
      <c r="B2067" s="27" t="str">
        <f>HYPERLINK(CONCAT("http://leetcode.com/problems/",Github!C$2066), Github!B$2066)</f>
        <v>Maximum Path Quality of a Graph</v>
      </c>
      <c r="C2067" s="17">
        <f>Github!F$2066</f>
        <v>228</v>
      </c>
      <c r="D2067" s="17">
        <f>Github!G$2066</f>
        <v>23</v>
      </c>
      <c r="E2067" s="17">
        <f>Github!F$2066+Github!G$2066</f>
        <v>251</v>
      </c>
      <c r="F2067" s="18">
        <f t="shared" si="1"/>
        <v>9.91</v>
      </c>
      <c r="G2067" s="17" t="str">
        <f>Github!H$2066</f>
        <v>Algorithms</v>
      </c>
      <c r="H2067" s="17" t="str">
        <f>Github!E$2066</f>
        <v>Hard</v>
      </c>
      <c r="I2067" s="17" t="str">
        <f>IF(TRIM(Github!D$2066)="TRUE","FALSE","TRUE")</f>
        <v>TRUE</v>
      </c>
      <c r="J2067" s="17"/>
      <c r="K2067" s="17" t="str">
        <f>Github!L$2066</f>
        <v>Array;Backtracking;Graph;</v>
      </c>
      <c r="L2067" s="17" t="b">
        <f>Github!M$2066</f>
        <v>0</v>
      </c>
      <c r="M2067" s="17" t="str">
        <f>ROUND(Github!N$2066, 2)&amp;"%"</f>
        <v>0%</v>
      </c>
      <c r="N2067" s="17">
        <f>Github!O$2066</f>
        <v>57.71982827</v>
      </c>
      <c r="O2067" s="17">
        <f>Github!P$2066</f>
        <v>7260</v>
      </c>
    </row>
    <row r="2068">
      <c r="A2068" s="17">
        <f>Github!J$2067</f>
        <v>2066</v>
      </c>
      <c r="B2068" s="27" t="str">
        <f>HYPERLINK(CONCAT("http://leetcode.com/problems/",Github!C$2067), Github!B$2067)</f>
        <v>Account Balance</v>
      </c>
      <c r="C2068" s="17">
        <f>Github!F$2067</f>
        <v>25</v>
      </c>
      <c r="D2068" s="17">
        <f>Github!G$2067</f>
        <v>1</v>
      </c>
      <c r="E2068" s="17">
        <f>Github!F$2067+Github!G$2067</f>
        <v>26</v>
      </c>
      <c r="F2068" s="18">
        <f t="shared" si="1"/>
        <v>25</v>
      </c>
      <c r="G2068" s="17" t="str">
        <f>Github!H$2067</f>
        <v>Database</v>
      </c>
      <c r="H2068" s="17" t="str">
        <f>Github!E$2067</f>
        <v>Medium</v>
      </c>
      <c r="I2068" s="17" t="str">
        <f>IF(TRIM(Github!D$2067)="TRUE","FALSE","TRUE")</f>
        <v>FALSE</v>
      </c>
      <c r="J2068" s="17"/>
      <c r="K2068" s="17" t="str">
        <f>Github!L$2067</f>
        <v>Database;</v>
      </c>
      <c r="L2068" s="17" t="b">
        <f>Github!M$2067</f>
        <v>0</v>
      </c>
      <c r="M2068" s="17" t="str">
        <f>ROUND(Github!N$2067, 2)&amp;"%"</f>
        <v>0%</v>
      </c>
      <c r="N2068" s="17">
        <f>Github!O$2067</f>
        <v>85.10491916</v>
      </c>
      <c r="O2068" s="17">
        <f>Github!P$2067</f>
        <v>2474</v>
      </c>
    </row>
    <row r="2069">
      <c r="A2069" s="17">
        <f>Github!J$2068</f>
        <v>2067</v>
      </c>
      <c r="B2069" s="27" t="str">
        <f>HYPERLINK(CONCAT("http://leetcode.com/problems/",Github!C$2068), Github!B$2068)</f>
        <v>Number of Equal Count Substrings</v>
      </c>
      <c r="C2069" s="17">
        <f>Github!F$2068</f>
        <v>42</v>
      </c>
      <c r="D2069" s="17">
        <f>Github!G$2068</f>
        <v>4</v>
      </c>
      <c r="E2069" s="17">
        <f>Github!F$2068+Github!G$2068</f>
        <v>46</v>
      </c>
      <c r="F2069" s="18">
        <f t="shared" si="1"/>
        <v>10.5</v>
      </c>
      <c r="G2069" s="17" t="str">
        <f>Github!H$2068</f>
        <v>Algorithms</v>
      </c>
      <c r="H2069" s="17" t="str">
        <f>Github!E$2068</f>
        <v>Medium</v>
      </c>
      <c r="I2069" s="17" t="str">
        <f>IF(TRIM(Github!D$2068)="TRUE","FALSE","TRUE")</f>
        <v>FALSE</v>
      </c>
      <c r="J2069" s="17"/>
      <c r="K2069" s="17" t="str">
        <f>Github!L$2068</f>
        <v>String;Counting;Prefix Sum;</v>
      </c>
      <c r="L2069" s="17" t="b">
        <f>Github!M$2068</f>
        <v>0</v>
      </c>
      <c r="M2069" s="17" t="str">
        <f>ROUND(Github!N$2068, 2)&amp;"%"</f>
        <v>0%</v>
      </c>
      <c r="N2069" s="17">
        <f>Github!O$2068</f>
        <v>50.94017094</v>
      </c>
      <c r="O2069" s="17">
        <f>Github!P$2068</f>
        <v>893</v>
      </c>
    </row>
    <row r="2070">
      <c r="A2070" s="17">
        <f>Github!J$2069</f>
        <v>2068</v>
      </c>
      <c r="B2070" s="27" t="str">
        <f>HYPERLINK(CONCAT("http://leetcode.com/problems/",Github!C$2069), Github!B$2069)</f>
        <v>Check Whether Two Strings are Almost Equivalent</v>
      </c>
      <c r="C2070" s="17">
        <f>Github!F$2069</f>
        <v>179</v>
      </c>
      <c r="D2070" s="17">
        <f>Github!G$2069</f>
        <v>6</v>
      </c>
      <c r="E2070" s="17">
        <f>Github!F$2069+Github!G$2069</f>
        <v>185</v>
      </c>
      <c r="F2070" s="18">
        <f t="shared" si="1"/>
        <v>29.83</v>
      </c>
      <c r="G2070" s="17" t="str">
        <f>Github!H$2069</f>
        <v>Algorithms</v>
      </c>
      <c r="H2070" s="17" t="str">
        <f>Github!E$2069</f>
        <v>Easy</v>
      </c>
      <c r="I2070" s="17" t="str">
        <f>IF(TRIM(Github!D$2069)="TRUE","FALSE","TRUE")</f>
        <v>TRUE</v>
      </c>
      <c r="J2070" s="17"/>
      <c r="K2070" s="17" t="str">
        <f>Github!L$2069</f>
        <v>Hash Table;String;Counting;</v>
      </c>
      <c r="L2070" s="17" t="b">
        <f>Github!M$2069</f>
        <v>0</v>
      </c>
      <c r="M2070" s="17" t="str">
        <f>ROUND(Github!N$2069, 2)&amp;"%"</f>
        <v>0%</v>
      </c>
      <c r="N2070" s="17">
        <f>Github!O$2069</f>
        <v>66.59469463</v>
      </c>
      <c r="O2070" s="17">
        <f>Github!P$2069</f>
        <v>15112</v>
      </c>
    </row>
    <row r="2071">
      <c r="A2071" s="17">
        <f>Github!J$2070</f>
        <v>2069</v>
      </c>
      <c r="B2071" s="27" t="str">
        <f>HYPERLINK(CONCAT("http://leetcode.com/problems/",Github!C$2070), Github!B$2070)</f>
        <v>Walking Robot Simulation II</v>
      </c>
      <c r="C2071" s="17">
        <f>Github!F$2070</f>
        <v>103</v>
      </c>
      <c r="D2071" s="17">
        <f>Github!G$2070</f>
        <v>229</v>
      </c>
      <c r="E2071" s="17">
        <f>Github!F$2070+Github!G$2070</f>
        <v>332</v>
      </c>
      <c r="F2071" s="18">
        <f t="shared" si="1"/>
        <v>0.45</v>
      </c>
      <c r="G2071" s="17" t="str">
        <f>Github!H$2070</f>
        <v>Algorithms</v>
      </c>
      <c r="H2071" s="17" t="str">
        <f>Github!E$2070</f>
        <v>Medium</v>
      </c>
      <c r="I2071" s="17" t="str">
        <f>IF(TRIM(Github!D$2070)="TRUE","FALSE","TRUE")</f>
        <v>TRUE</v>
      </c>
      <c r="J2071" s="17"/>
      <c r="K2071" s="17" t="str">
        <f>Github!L$2070</f>
        <v>Design;Simulation;</v>
      </c>
      <c r="L2071" s="17" t="b">
        <f>Github!M$2070</f>
        <v>0</v>
      </c>
      <c r="M2071" s="17" t="str">
        <f>ROUND(Github!N$2070, 2)&amp;"%"</f>
        <v>0%</v>
      </c>
      <c r="N2071" s="17">
        <f>Github!O$2070</f>
        <v>21.37106513</v>
      </c>
      <c r="O2071" s="17">
        <f>Github!P$2070</f>
        <v>5309</v>
      </c>
    </row>
    <row r="2072">
      <c r="A2072" s="17">
        <f>Github!J$2071</f>
        <v>2070</v>
      </c>
      <c r="B2072" s="27" t="str">
        <f>HYPERLINK(CONCAT("http://leetcode.com/problems/",Github!C$2071), Github!B$2071)</f>
        <v>Most Beautiful Item for Each Query</v>
      </c>
      <c r="C2072" s="17">
        <f>Github!F$2071</f>
        <v>272</v>
      </c>
      <c r="D2072" s="17">
        <f>Github!G$2071</f>
        <v>7</v>
      </c>
      <c r="E2072" s="17">
        <f>Github!F$2071+Github!G$2071</f>
        <v>279</v>
      </c>
      <c r="F2072" s="18">
        <f t="shared" si="1"/>
        <v>38.86</v>
      </c>
      <c r="G2072" s="17" t="str">
        <f>Github!H$2071</f>
        <v>Algorithms</v>
      </c>
      <c r="H2072" s="17" t="str">
        <f>Github!E$2071</f>
        <v>Medium</v>
      </c>
      <c r="I2072" s="17" t="str">
        <f>IF(TRIM(Github!D$2071)="TRUE","FALSE","TRUE")</f>
        <v>TRUE</v>
      </c>
      <c r="J2072" s="17"/>
      <c r="K2072" s="17" t="str">
        <f>Github!L$2071</f>
        <v>Array;Binary Search;Sorting;</v>
      </c>
      <c r="L2072" s="17" t="b">
        <f>Github!M$2071</f>
        <v>0</v>
      </c>
      <c r="M2072" s="17" t="str">
        <f>ROUND(Github!N$2071, 2)&amp;"%"</f>
        <v>0%</v>
      </c>
      <c r="N2072" s="17">
        <f>Github!O$2071</f>
        <v>48.5537322</v>
      </c>
      <c r="O2072" s="17">
        <f>Github!P$2071</f>
        <v>7604</v>
      </c>
    </row>
    <row r="2073">
      <c r="A2073" s="17">
        <f>Github!J$2072</f>
        <v>2071</v>
      </c>
      <c r="B2073" s="27" t="str">
        <f>HYPERLINK(CONCAT("http://leetcode.com/problems/",Github!C$2072), Github!B$2072)</f>
        <v>Maximum Number of Tasks You Can Assign</v>
      </c>
      <c r="C2073" s="17">
        <f>Github!F$2072</f>
        <v>213</v>
      </c>
      <c r="D2073" s="17">
        <f>Github!G$2072</f>
        <v>10</v>
      </c>
      <c r="E2073" s="17">
        <f>Github!F$2072+Github!G$2072</f>
        <v>223</v>
      </c>
      <c r="F2073" s="18">
        <f t="shared" si="1"/>
        <v>21.3</v>
      </c>
      <c r="G2073" s="17" t="str">
        <f>Github!H$2072</f>
        <v>Algorithms</v>
      </c>
      <c r="H2073" s="17" t="str">
        <f>Github!E$2072</f>
        <v>Hard</v>
      </c>
      <c r="I2073" s="17" t="str">
        <f>IF(TRIM(Github!D$2072)="TRUE","FALSE","TRUE")</f>
        <v>TRUE</v>
      </c>
      <c r="J2073" s="17"/>
      <c r="K2073" s="17" t="str">
        <f>Github!L$2072</f>
        <v>Array;Binary Search;Greedy;Queue;Sorting;Monotonic Queue;</v>
      </c>
      <c r="L2073" s="17" t="b">
        <f>Github!M$2072</f>
        <v>0</v>
      </c>
      <c r="M2073" s="17" t="str">
        <f>ROUND(Github!N$2072, 2)&amp;"%"</f>
        <v>0%</v>
      </c>
      <c r="N2073" s="17">
        <f>Github!O$2072</f>
        <v>37.09003066</v>
      </c>
      <c r="O2073" s="17">
        <f>Github!P$2072</f>
        <v>3992</v>
      </c>
    </row>
    <row r="2074">
      <c r="A2074" s="17">
        <f>Github!J$2073</f>
        <v>2072</v>
      </c>
      <c r="B2074" s="27" t="str">
        <f>HYPERLINK(CONCAT("http://leetcode.com/problems/",Github!C$2073), Github!B$2073)</f>
        <v>The Winner University</v>
      </c>
      <c r="C2074" s="17">
        <f>Github!F$2073</f>
        <v>20</v>
      </c>
      <c r="D2074" s="17">
        <f>Github!G$2073</f>
        <v>2</v>
      </c>
      <c r="E2074" s="17">
        <f>Github!F$2073+Github!G$2073</f>
        <v>22</v>
      </c>
      <c r="F2074" s="18">
        <f t="shared" si="1"/>
        <v>10</v>
      </c>
      <c r="G2074" s="17" t="str">
        <f>Github!H$2073</f>
        <v>Database</v>
      </c>
      <c r="H2074" s="17" t="str">
        <f>Github!E$2073</f>
        <v>Easy</v>
      </c>
      <c r="I2074" s="17" t="str">
        <f>IF(TRIM(Github!D$2073)="TRUE","FALSE","TRUE")</f>
        <v>FALSE</v>
      </c>
      <c r="J2074" s="17"/>
      <c r="K2074" s="17" t="str">
        <f>Github!L$2073</f>
        <v>Database;</v>
      </c>
      <c r="L2074" s="17" t="b">
        <f>Github!M$2073</f>
        <v>0</v>
      </c>
      <c r="M2074" s="17" t="str">
        <f>ROUND(Github!N$2073, 2)&amp;"%"</f>
        <v>0%</v>
      </c>
      <c r="N2074" s="17">
        <f>Github!O$2073</f>
        <v>72.88636924</v>
      </c>
      <c r="O2074" s="17">
        <f>Github!P$2073</f>
        <v>2957</v>
      </c>
    </row>
    <row r="2075">
      <c r="A2075" s="17">
        <f>Github!J$2074</f>
        <v>2073</v>
      </c>
      <c r="B2075" s="27" t="str">
        <f>HYPERLINK(CONCAT("http://leetcode.com/problems/",Github!C$2074), Github!B$2074)</f>
        <v>Time Needed to Buy Tickets</v>
      </c>
      <c r="C2075" s="17">
        <f>Github!F$2074</f>
        <v>293</v>
      </c>
      <c r="D2075" s="17">
        <f>Github!G$2074</f>
        <v>18</v>
      </c>
      <c r="E2075" s="17">
        <f>Github!F$2074+Github!G$2074</f>
        <v>311</v>
      </c>
      <c r="F2075" s="18">
        <f t="shared" si="1"/>
        <v>16.28</v>
      </c>
      <c r="G2075" s="17" t="str">
        <f>Github!H$2074</f>
        <v>Algorithms</v>
      </c>
      <c r="H2075" s="17" t="str">
        <f>Github!E$2074</f>
        <v>Easy</v>
      </c>
      <c r="I2075" s="17" t="str">
        <f>IF(TRIM(Github!D$2074)="TRUE","FALSE","TRUE")</f>
        <v>TRUE</v>
      </c>
      <c r="J2075" s="17"/>
      <c r="K2075" s="17" t="str">
        <f>Github!L$2074</f>
        <v>Array;Queue;Simulation;</v>
      </c>
      <c r="L2075" s="17" t="b">
        <f>Github!M$2074</f>
        <v>0</v>
      </c>
      <c r="M2075" s="17" t="str">
        <f>ROUND(Github!N$2074, 2)&amp;"%"</f>
        <v>0%</v>
      </c>
      <c r="N2075" s="17">
        <f>Github!O$2074</f>
        <v>61.99340637</v>
      </c>
      <c r="O2075" s="17">
        <f>Github!P$2074</f>
        <v>18616</v>
      </c>
    </row>
    <row r="2076">
      <c r="A2076" s="17">
        <f>Github!J$2075</f>
        <v>2074</v>
      </c>
      <c r="B2076" s="27" t="str">
        <f>HYPERLINK(CONCAT("http://leetcode.com/problems/",Github!C$2075), Github!B$2075)</f>
        <v>Reverse Nodes in Even Length Groups</v>
      </c>
      <c r="C2076" s="17">
        <f>Github!F$2075</f>
        <v>155</v>
      </c>
      <c r="D2076" s="17">
        <f>Github!G$2075</f>
        <v>179</v>
      </c>
      <c r="E2076" s="17">
        <f>Github!F$2075+Github!G$2075</f>
        <v>334</v>
      </c>
      <c r="F2076" s="18">
        <f t="shared" si="1"/>
        <v>0.87</v>
      </c>
      <c r="G2076" s="17" t="str">
        <f>Github!H$2075</f>
        <v>Algorithms</v>
      </c>
      <c r="H2076" s="17" t="str">
        <f>Github!E$2075</f>
        <v>Medium</v>
      </c>
      <c r="I2076" s="17" t="str">
        <f>IF(TRIM(Github!D$2075)="TRUE","FALSE","TRUE")</f>
        <v>TRUE</v>
      </c>
      <c r="J2076" s="17"/>
      <c r="K2076" s="17" t="str">
        <f>Github!L$2075</f>
        <v>Linked List;</v>
      </c>
      <c r="L2076" s="17" t="b">
        <f>Github!M$2075</f>
        <v>0</v>
      </c>
      <c r="M2076" s="17" t="str">
        <f>ROUND(Github!N$2075, 2)&amp;"%"</f>
        <v>0%</v>
      </c>
      <c r="N2076" s="17">
        <f>Github!O$2075</f>
        <v>49.71367013</v>
      </c>
      <c r="O2076" s="17">
        <f>Github!P$2075</f>
        <v>8768</v>
      </c>
    </row>
    <row r="2077">
      <c r="A2077" s="17">
        <f>Github!J$2076</f>
        <v>2075</v>
      </c>
      <c r="B2077" s="27" t="str">
        <f>HYPERLINK(CONCAT("http://leetcode.com/problems/",Github!C$2076), Github!B$2076)</f>
        <v>Decode the Slanted Ciphertext</v>
      </c>
      <c r="C2077" s="17">
        <f>Github!F$2076</f>
        <v>137</v>
      </c>
      <c r="D2077" s="17">
        <f>Github!G$2076</f>
        <v>29</v>
      </c>
      <c r="E2077" s="17">
        <f>Github!F$2076+Github!G$2076</f>
        <v>166</v>
      </c>
      <c r="F2077" s="18">
        <f t="shared" si="1"/>
        <v>4.72</v>
      </c>
      <c r="G2077" s="17" t="str">
        <f>Github!H$2076</f>
        <v>Algorithms</v>
      </c>
      <c r="H2077" s="17" t="str">
        <f>Github!E$2076</f>
        <v>Medium</v>
      </c>
      <c r="I2077" s="17" t="str">
        <f>IF(TRIM(Github!D$2076)="TRUE","FALSE","TRUE")</f>
        <v>TRUE</v>
      </c>
      <c r="J2077" s="17"/>
      <c r="K2077" s="17" t="str">
        <f>Github!L$2076</f>
        <v>String;Simulation;</v>
      </c>
      <c r="L2077" s="17" t="b">
        <f>Github!M$2076</f>
        <v>0</v>
      </c>
      <c r="M2077" s="17" t="str">
        <f>ROUND(Github!N$2076, 2)&amp;"%"</f>
        <v>0%</v>
      </c>
      <c r="N2077" s="17">
        <f>Github!O$2076</f>
        <v>49.91333333</v>
      </c>
      <c r="O2077" s="17">
        <f>Github!P$2076</f>
        <v>7487</v>
      </c>
    </row>
    <row r="2078">
      <c r="A2078" s="17">
        <f>Github!J$2077</f>
        <v>2076</v>
      </c>
      <c r="B2078" s="27" t="str">
        <f>HYPERLINK(CONCAT("http://leetcode.com/problems/",Github!C$2077), Github!B$2077)</f>
        <v>Process Restricted Friend Requests</v>
      </c>
      <c r="C2078" s="17">
        <f>Github!F$2077</f>
        <v>293</v>
      </c>
      <c r="D2078" s="17">
        <f>Github!G$2077</f>
        <v>3</v>
      </c>
      <c r="E2078" s="17">
        <f>Github!F$2077+Github!G$2077</f>
        <v>296</v>
      </c>
      <c r="F2078" s="18">
        <f t="shared" si="1"/>
        <v>97.67</v>
      </c>
      <c r="G2078" s="17" t="str">
        <f>Github!H$2077</f>
        <v>Algorithms</v>
      </c>
      <c r="H2078" s="17" t="str">
        <f>Github!E$2077</f>
        <v>Hard</v>
      </c>
      <c r="I2078" s="17" t="str">
        <f>IF(TRIM(Github!D$2077)="TRUE","FALSE","TRUE")</f>
        <v>TRUE</v>
      </c>
      <c r="J2078" s="17"/>
      <c r="K2078" s="17" t="str">
        <f>Github!L$2077</f>
        <v>Union Find;Graph;</v>
      </c>
      <c r="L2078" s="17" t="b">
        <f>Github!M$2077</f>
        <v>0</v>
      </c>
      <c r="M2078" s="17" t="str">
        <f>ROUND(Github!N$2077, 2)&amp;"%"</f>
        <v>0%</v>
      </c>
      <c r="N2078" s="17">
        <f>Github!O$2077</f>
        <v>53.10175302</v>
      </c>
      <c r="O2078" s="17">
        <f>Github!P$2077</f>
        <v>8209</v>
      </c>
    </row>
    <row r="2079">
      <c r="A2079" s="17">
        <f>Github!J$2078</f>
        <v>2077</v>
      </c>
      <c r="B2079" s="27" t="str">
        <f>HYPERLINK(CONCAT("http://leetcode.com/problems/",Github!C$2078), Github!B$2078)</f>
        <v>Paths in Maze That Lead to Same Room</v>
      </c>
      <c r="C2079" s="17">
        <f>Github!F$2078</f>
        <v>42</v>
      </c>
      <c r="D2079" s="17">
        <f>Github!G$2078</f>
        <v>4</v>
      </c>
      <c r="E2079" s="17">
        <f>Github!F$2078+Github!G$2078</f>
        <v>46</v>
      </c>
      <c r="F2079" s="18">
        <f t="shared" si="1"/>
        <v>10.5</v>
      </c>
      <c r="G2079" s="17" t="str">
        <f>Github!H$2078</f>
        <v>Algorithms</v>
      </c>
      <c r="H2079" s="17" t="str">
        <f>Github!E$2078</f>
        <v>Medium</v>
      </c>
      <c r="I2079" s="17" t="str">
        <f>IF(TRIM(Github!D$2078)="TRUE","FALSE","TRUE")</f>
        <v>FALSE</v>
      </c>
      <c r="J2079" s="17"/>
      <c r="K2079" s="17" t="str">
        <f>Github!L$2078</f>
        <v>Graph;</v>
      </c>
      <c r="L2079" s="17" t="b">
        <f>Github!M$2078</f>
        <v>0</v>
      </c>
      <c r="M2079" s="17" t="str">
        <f>ROUND(Github!N$2078, 2)&amp;"%"</f>
        <v>0%</v>
      </c>
      <c r="N2079" s="17">
        <f>Github!O$2078</f>
        <v>58.39233653</v>
      </c>
      <c r="O2079" s="17">
        <f>Github!P$2078</f>
        <v>1402</v>
      </c>
    </row>
    <row r="2080">
      <c r="A2080" s="17">
        <f>Github!J$2079</f>
        <v>2078</v>
      </c>
      <c r="B2080" s="27" t="str">
        <f>HYPERLINK(CONCAT("http://leetcode.com/problems/",Github!C$2079), Github!B$2079)</f>
        <v>Two Furthest Houses With Different Colors</v>
      </c>
      <c r="C2080" s="17">
        <f>Github!F$2079</f>
        <v>345</v>
      </c>
      <c r="D2080" s="17">
        <f>Github!G$2079</f>
        <v>9</v>
      </c>
      <c r="E2080" s="17">
        <f>Github!F$2079+Github!G$2079</f>
        <v>354</v>
      </c>
      <c r="F2080" s="18">
        <f t="shared" si="1"/>
        <v>38.33</v>
      </c>
      <c r="G2080" s="17" t="str">
        <f>Github!H$2079</f>
        <v>Algorithms</v>
      </c>
      <c r="H2080" s="17" t="str">
        <f>Github!E$2079</f>
        <v>Easy</v>
      </c>
      <c r="I2080" s="17" t="str">
        <f>IF(TRIM(Github!D$2079)="TRUE","FALSE","TRUE")</f>
        <v>TRUE</v>
      </c>
      <c r="J2080" s="17"/>
      <c r="K2080" s="17" t="str">
        <f>Github!L$2079</f>
        <v>Array;Greedy;</v>
      </c>
      <c r="L2080" s="17" t="b">
        <f>Github!M$2079</f>
        <v>0</v>
      </c>
      <c r="M2080" s="17" t="str">
        <f>ROUND(Github!N$2079, 2)&amp;"%"</f>
        <v>0%</v>
      </c>
      <c r="N2080" s="17">
        <f>Github!O$2079</f>
        <v>68.83044938</v>
      </c>
      <c r="O2080" s="17">
        <f>Github!P$2079</f>
        <v>21121</v>
      </c>
    </row>
    <row r="2081">
      <c r="A2081" s="17">
        <f>Github!J$2080</f>
        <v>2079</v>
      </c>
      <c r="B2081" s="27" t="str">
        <f>HYPERLINK(CONCAT("http://leetcode.com/problems/",Github!C$2080), Github!B$2080)</f>
        <v>Watering Plants</v>
      </c>
      <c r="C2081" s="17">
        <f>Github!F$2080</f>
        <v>313</v>
      </c>
      <c r="D2081" s="17">
        <f>Github!G$2080</f>
        <v>22</v>
      </c>
      <c r="E2081" s="17">
        <f>Github!F$2080+Github!G$2080</f>
        <v>335</v>
      </c>
      <c r="F2081" s="18">
        <f t="shared" si="1"/>
        <v>14.23</v>
      </c>
      <c r="G2081" s="17" t="str">
        <f>Github!H$2080</f>
        <v>Algorithms</v>
      </c>
      <c r="H2081" s="17" t="str">
        <f>Github!E$2080</f>
        <v>Medium</v>
      </c>
      <c r="I2081" s="17" t="str">
        <f>IF(TRIM(Github!D$2080)="TRUE","FALSE","TRUE")</f>
        <v>TRUE</v>
      </c>
      <c r="J2081" s="17"/>
      <c r="K2081" s="17" t="str">
        <f>Github!L$2080</f>
        <v>Array;</v>
      </c>
      <c r="L2081" s="17" t="b">
        <f>Github!M$2080</f>
        <v>0</v>
      </c>
      <c r="M2081" s="17" t="str">
        <f>ROUND(Github!N$2080, 2)&amp;"%"</f>
        <v>0%</v>
      </c>
      <c r="N2081" s="17">
        <f>Github!O$2080</f>
        <v>80.52563749</v>
      </c>
      <c r="O2081" s="17">
        <f>Github!P$2080</f>
        <v>17495</v>
      </c>
    </row>
    <row r="2082">
      <c r="A2082" s="17">
        <f>Github!J$2081</f>
        <v>2080</v>
      </c>
      <c r="B2082" s="27" t="str">
        <f>HYPERLINK(CONCAT("http://leetcode.com/problems/",Github!C$2081), Github!B$2081)</f>
        <v>Range Frequency Queries</v>
      </c>
      <c r="C2082" s="17">
        <f>Github!F$2081</f>
        <v>310</v>
      </c>
      <c r="D2082" s="17">
        <f>Github!G$2081</f>
        <v>19</v>
      </c>
      <c r="E2082" s="17">
        <f>Github!F$2081+Github!G$2081</f>
        <v>329</v>
      </c>
      <c r="F2082" s="18">
        <f t="shared" si="1"/>
        <v>16.32</v>
      </c>
      <c r="G2082" s="17" t="str">
        <f>Github!H$2081</f>
        <v>Algorithms</v>
      </c>
      <c r="H2082" s="17" t="str">
        <f>Github!E$2081</f>
        <v>Medium</v>
      </c>
      <c r="I2082" s="17" t="str">
        <f>IF(TRIM(Github!D$2081)="TRUE","FALSE","TRUE")</f>
        <v>TRUE</v>
      </c>
      <c r="J2082" s="17"/>
      <c r="K2082" s="17" t="str">
        <f>Github!L$2081</f>
        <v>Array;Hash Table;Binary Search;Design;Segment Tree;</v>
      </c>
      <c r="L2082" s="17" t="b">
        <f>Github!M$2081</f>
        <v>0</v>
      </c>
      <c r="M2082" s="17" t="str">
        <f>ROUND(Github!N$2081, 2)&amp;"%"</f>
        <v>0%</v>
      </c>
      <c r="N2082" s="17">
        <f>Github!O$2081</f>
        <v>36.22352056</v>
      </c>
      <c r="O2082" s="17">
        <f>Github!P$2081</f>
        <v>10106</v>
      </c>
    </row>
    <row r="2083">
      <c r="A2083" s="17">
        <f>Github!J$2082</f>
        <v>2081</v>
      </c>
      <c r="B2083" s="27" t="str">
        <f>HYPERLINK(CONCAT("http://leetcode.com/problems/",Github!C$2082), Github!B$2082)</f>
        <v>Sum of k-Mirror Numbers</v>
      </c>
      <c r="C2083" s="17">
        <f>Github!F$2082</f>
        <v>75</v>
      </c>
      <c r="D2083" s="17">
        <f>Github!G$2082</f>
        <v>112</v>
      </c>
      <c r="E2083" s="17">
        <f>Github!F$2082+Github!G$2082</f>
        <v>187</v>
      </c>
      <c r="F2083" s="18">
        <f t="shared" si="1"/>
        <v>0.67</v>
      </c>
      <c r="G2083" s="17" t="str">
        <f>Github!H$2082</f>
        <v>Algorithms</v>
      </c>
      <c r="H2083" s="17" t="str">
        <f>Github!E$2082</f>
        <v>Hard</v>
      </c>
      <c r="I2083" s="17" t="str">
        <f>IF(TRIM(Github!D$2082)="TRUE","FALSE","TRUE")</f>
        <v>TRUE</v>
      </c>
      <c r="J2083" s="17"/>
      <c r="K2083" s="17" t="str">
        <f>Github!L$2082</f>
        <v>Math;Enumeration;</v>
      </c>
      <c r="L2083" s="17" t="b">
        <f>Github!M$2082</f>
        <v>0</v>
      </c>
      <c r="M2083" s="17" t="str">
        <f>ROUND(Github!N$2082, 2)&amp;"%"</f>
        <v>0%</v>
      </c>
      <c r="N2083" s="17">
        <f>Github!O$2082</f>
        <v>39.74598099</v>
      </c>
      <c r="O2083" s="17">
        <f>Github!P$2082</f>
        <v>4475</v>
      </c>
    </row>
    <row r="2084">
      <c r="A2084" s="17">
        <f>Github!J$2083</f>
        <v>2082</v>
      </c>
      <c r="B2084" s="27" t="str">
        <f>HYPERLINK(CONCAT("http://leetcode.com/problems/",Github!C$2083), Github!B$2083)</f>
        <v>The Number of Rich Customers</v>
      </c>
      <c r="C2084" s="17">
        <f>Github!F$2083</f>
        <v>11</v>
      </c>
      <c r="D2084" s="17">
        <f>Github!G$2083</f>
        <v>7</v>
      </c>
      <c r="E2084" s="17">
        <f>Github!F$2083+Github!G$2083</f>
        <v>18</v>
      </c>
      <c r="F2084" s="18">
        <f t="shared" si="1"/>
        <v>1.57</v>
      </c>
      <c r="G2084" s="17" t="str">
        <f>Github!H$2083</f>
        <v>Database</v>
      </c>
      <c r="H2084" s="17" t="str">
        <f>Github!E$2083</f>
        <v>Easy</v>
      </c>
      <c r="I2084" s="17" t="str">
        <f>IF(TRIM(Github!D$2083)="TRUE","FALSE","TRUE")</f>
        <v>FALSE</v>
      </c>
      <c r="J2084" s="17"/>
      <c r="K2084" s="17" t="str">
        <f>Github!L$2083</f>
        <v>Database;</v>
      </c>
      <c r="L2084" s="17" t="b">
        <f>Github!M$2083</f>
        <v>0</v>
      </c>
      <c r="M2084" s="17" t="str">
        <f>ROUND(Github!N$2083, 2)&amp;"%"</f>
        <v>0%</v>
      </c>
      <c r="N2084" s="17">
        <f>Github!O$2083</f>
        <v>80.69989396</v>
      </c>
      <c r="O2084" s="17">
        <f>Github!P$2083</f>
        <v>3044</v>
      </c>
    </row>
    <row r="2085">
      <c r="A2085" s="17">
        <f>Github!J$2084</f>
        <v>2083</v>
      </c>
      <c r="B2085" s="27" t="str">
        <f>HYPERLINK(CONCAT("http://leetcode.com/problems/",Github!C$2084), Github!B$2084)</f>
        <v>Substrings That Begin and End With the Same Letter</v>
      </c>
      <c r="C2085" s="17">
        <f>Github!F$2084</f>
        <v>56</v>
      </c>
      <c r="D2085" s="17">
        <f>Github!G$2084</f>
        <v>2</v>
      </c>
      <c r="E2085" s="17">
        <f>Github!F$2084+Github!G$2084</f>
        <v>58</v>
      </c>
      <c r="F2085" s="18">
        <f t="shared" si="1"/>
        <v>28</v>
      </c>
      <c r="G2085" s="17" t="str">
        <f>Github!H$2084</f>
        <v>Algorithms</v>
      </c>
      <c r="H2085" s="17" t="str">
        <f>Github!E$2084</f>
        <v>Medium</v>
      </c>
      <c r="I2085" s="17" t="str">
        <f>IF(TRIM(Github!D$2084)="TRUE","FALSE","TRUE")</f>
        <v>FALSE</v>
      </c>
      <c r="J2085" s="17"/>
      <c r="K2085" s="17" t="str">
        <f>Github!L$2084</f>
        <v>Hash Table;Math;String;Counting;Prefix Sum;</v>
      </c>
      <c r="L2085" s="17" t="b">
        <f>Github!M$2084</f>
        <v>0</v>
      </c>
      <c r="M2085" s="17" t="str">
        <f>ROUND(Github!N$2084, 2)&amp;"%"</f>
        <v>0%</v>
      </c>
      <c r="N2085" s="17">
        <f>Github!O$2084</f>
        <v>69.30083043</v>
      </c>
      <c r="O2085" s="17">
        <f>Github!P$2084</f>
        <v>2586</v>
      </c>
    </row>
    <row r="2086">
      <c r="A2086" s="17">
        <f>Github!J$2085</f>
        <v>2084</v>
      </c>
      <c r="B2086" s="27" t="str">
        <f>HYPERLINK(CONCAT("http://leetcode.com/problems/",Github!C$2085), Github!B$2085)</f>
        <v>Drop Type 1 Orders for Customers With Type 0 Orders</v>
      </c>
      <c r="C2086" s="17">
        <f>Github!F$2085</f>
        <v>22</v>
      </c>
      <c r="D2086" s="17">
        <f>Github!G$2085</f>
        <v>4</v>
      </c>
      <c r="E2086" s="17">
        <f>Github!F$2085+Github!G$2085</f>
        <v>26</v>
      </c>
      <c r="F2086" s="18">
        <f t="shared" si="1"/>
        <v>5.5</v>
      </c>
      <c r="G2086" s="17" t="str">
        <f>Github!H$2085</f>
        <v>Database</v>
      </c>
      <c r="H2086" s="17" t="str">
        <f>Github!E$2085</f>
        <v>Medium</v>
      </c>
      <c r="I2086" s="17" t="str">
        <f>IF(TRIM(Github!D$2085)="TRUE","FALSE","TRUE")</f>
        <v>FALSE</v>
      </c>
      <c r="J2086" s="17"/>
      <c r="K2086" s="17" t="str">
        <f>Github!L$2085</f>
        <v>Database;</v>
      </c>
      <c r="L2086" s="17" t="b">
        <f>Github!M$2085</f>
        <v>0</v>
      </c>
      <c r="M2086" s="17" t="str">
        <f>ROUND(Github!N$2085, 2)&amp;"%"</f>
        <v>0%</v>
      </c>
      <c r="N2086" s="17">
        <f>Github!O$2085</f>
        <v>90.78254327</v>
      </c>
      <c r="O2086" s="17">
        <f>Github!P$2085</f>
        <v>2411</v>
      </c>
    </row>
    <row r="2087">
      <c r="A2087" s="17">
        <f>Github!J$2086</f>
        <v>2085</v>
      </c>
      <c r="B2087" s="27" t="str">
        <f>HYPERLINK(CONCAT("http://leetcode.com/problems/",Github!C$2086), Github!B$2086)</f>
        <v>Count Common Words With One Occurrence</v>
      </c>
      <c r="C2087" s="17">
        <f>Github!F$2086</f>
        <v>266</v>
      </c>
      <c r="D2087" s="17">
        <f>Github!G$2086</f>
        <v>6</v>
      </c>
      <c r="E2087" s="17">
        <f>Github!F$2086+Github!G$2086</f>
        <v>272</v>
      </c>
      <c r="F2087" s="18">
        <f t="shared" si="1"/>
        <v>44.33</v>
      </c>
      <c r="G2087" s="17" t="str">
        <f>Github!H$2086</f>
        <v>Algorithms</v>
      </c>
      <c r="H2087" s="17" t="str">
        <f>Github!E$2086</f>
        <v>Easy</v>
      </c>
      <c r="I2087" s="17" t="str">
        <f>IF(TRIM(Github!D$2086)="TRUE","FALSE","TRUE")</f>
        <v>TRUE</v>
      </c>
      <c r="J2087" s="17"/>
      <c r="K2087" s="17" t="str">
        <f>Github!L$2086</f>
        <v>Array;Hash Table;String;Counting;</v>
      </c>
      <c r="L2087" s="17" t="b">
        <f>Github!M$2086</f>
        <v>0</v>
      </c>
      <c r="M2087" s="17" t="str">
        <f>ROUND(Github!N$2086, 2)&amp;"%"</f>
        <v>0%</v>
      </c>
      <c r="N2087" s="17">
        <f>Github!O$2086</f>
        <v>70.99352451</v>
      </c>
      <c r="O2087" s="17">
        <f>Github!P$2086</f>
        <v>19185</v>
      </c>
    </row>
    <row r="2088">
      <c r="A2088" s="17">
        <f>Github!J$2087</f>
        <v>2086</v>
      </c>
      <c r="B2088" s="27" t="str">
        <f>HYPERLINK(CONCAT("http://leetcode.com/problems/",Github!C$2087), Github!B$2087)</f>
        <v>Minimum Number of Buckets Required to Collect Rainwater from Houses</v>
      </c>
      <c r="C2088" s="17">
        <f>Github!F$2087</f>
        <v>282</v>
      </c>
      <c r="D2088" s="17">
        <f>Github!G$2087</f>
        <v>13</v>
      </c>
      <c r="E2088" s="17">
        <f>Github!F$2087+Github!G$2087</f>
        <v>295</v>
      </c>
      <c r="F2088" s="18">
        <f t="shared" si="1"/>
        <v>21.69</v>
      </c>
      <c r="G2088" s="17" t="str">
        <f>Github!H$2087</f>
        <v>Algorithms</v>
      </c>
      <c r="H2088" s="17" t="str">
        <f>Github!E$2087</f>
        <v>Medium</v>
      </c>
      <c r="I2088" s="17" t="str">
        <f>IF(TRIM(Github!D$2087)="TRUE","FALSE","TRUE")</f>
        <v>TRUE</v>
      </c>
      <c r="J2088" s="17"/>
      <c r="K2088" s="17" t="str">
        <f>Github!L$2087</f>
        <v>String;Dynamic Programming;Greedy;</v>
      </c>
      <c r="L2088" s="17" t="b">
        <f>Github!M$2087</f>
        <v>0</v>
      </c>
      <c r="M2088" s="17" t="str">
        <f>ROUND(Github!N$2087, 2)&amp;"%"</f>
        <v>0%</v>
      </c>
      <c r="N2088" s="17">
        <f>Github!O$2087</f>
        <v>45.25269935</v>
      </c>
      <c r="O2088" s="17">
        <f>Github!P$2087</f>
        <v>8927</v>
      </c>
    </row>
    <row r="2089">
      <c r="A2089" s="17">
        <f>Github!J$2088</f>
        <v>2087</v>
      </c>
      <c r="B2089" s="27" t="str">
        <f>HYPERLINK(CONCAT("http://leetcode.com/problems/",Github!C$2088), Github!B$2088)</f>
        <v>Minimum Cost Homecoming of a Robot in a Grid</v>
      </c>
      <c r="C2089" s="17">
        <f>Github!F$2088</f>
        <v>252</v>
      </c>
      <c r="D2089" s="17">
        <f>Github!G$2088</f>
        <v>48</v>
      </c>
      <c r="E2089" s="17">
        <f>Github!F$2088+Github!G$2088</f>
        <v>300</v>
      </c>
      <c r="F2089" s="18">
        <f t="shared" si="1"/>
        <v>5.25</v>
      </c>
      <c r="G2089" s="17" t="str">
        <f>Github!H$2088</f>
        <v>Algorithms</v>
      </c>
      <c r="H2089" s="17" t="str">
        <f>Github!E$2088</f>
        <v>Medium</v>
      </c>
      <c r="I2089" s="17" t="str">
        <f>IF(TRIM(Github!D$2088)="TRUE","FALSE","TRUE")</f>
        <v>TRUE</v>
      </c>
      <c r="J2089" s="17"/>
      <c r="K2089" s="17" t="str">
        <f>Github!L$2088</f>
        <v>Array;Greedy;Matrix;</v>
      </c>
      <c r="L2089" s="17" t="b">
        <f>Github!M$2088</f>
        <v>0</v>
      </c>
      <c r="M2089" s="17" t="str">
        <f>ROUND(Github!N$2088, 2)&amp;"%"</f>
        <v>0%</v>
      </c>
      <c r="N2089" s="17">
        <f>Github!O$2088</f>
        <v>49.64443848</v>
      </c>
      <c r="O2089" s="17">
        <f>Github!P$2088</f>
        <v>7400</v>
      </c>
    </row>
    <row r="2090">
      <c r="A2090" s="17">
        <f>Github!J$2089</f>
        <v>2088</v>
      </c>
      <c r="B2090" s="27" t="str">
        <f>HYPERLINK(CONCAT("http://leetcode.com/problems/",Github!C$2089), Github!B$2089)</f>
        <v>Count Fertile Pyramids in a Land</v>
      </c>
      <c r="C2090" s="17">
        <f>Github!F$2089</f>
        <v>159</v>
      </c>
      <c r="D2090" s="17">
        <f>Github!G$2089</f>
        <v>6</v>
      </c>
      <c r="E2090" s="17">
        <f>Github!F$2089+Github!G$2089</f>
        <v>165</v>
      </c>
      <c r="F2090" s="18">
        <f t="shared" si="1"/>
        <v>26.5</v>
      </c>
      <c r="G2090" s="17" t="str">
        <f>Github!H$2089</f>
        <v>Algorithms</v>
      </c>
      <c r="H2090" s="17" t="str">
        <f>Github!E$2089</f>
        <v>Hard</v>
      </c>
      <c r="I2090" s="17" t="str">
        <f>IF(TRIM(Github!D$2089)="TRUE","FALSE","TRUE")</f>
        <v>TRUE</v>
      </c>
      <c r="J2090" s="17"/>
      <c r="K2090" s="17" t="str">
        <f>Github!L$2089</f>
        <v>Array;Dynamic Programming;Matrix;</v>
      </c>
      <c r="L2090" s="17" t="b">
        <f>Github!M$2089</f>
        <v>0</v>
      </c>
      <c r="M2090" s="17" t="str">
        <f>ROUND(Github!N$2089, 2)&amp;"%"</f>
        <v>0%</v>
      </c>
      <c r="N2090" s="17">
        <f>Github!O$2089</f>
        <v>62.60234959</v>
      </c>
      <c r="O2090" s="17">
        <f>Github!P$2089</f>
        <v>3517</v>
      </c>
    </row>
    <row r="2091">
      <c r="A2091" s="17">
        <f>Github!J$2090</f>
        <v>2089</v>
      </c>
      <c r="B2091" s="27" t="str">
        <f>HYPERLINK(CONCAT("http://leetcode.com/problems/",Github!C$2090), Github!B$2090)</f>
        <v>Find Target Indices After Sorting Array</v>
      </c>
      <c r="C2091" s="17">
        <f>Github!F$2090</f>
        <v>478</v>
      </c>
      <c r="D2091" s="17">
        <f>Github!G$2090</f>
        <v>23</v>
      </c>
      <c r="E2091" s="17">
        <f>Github!F$2090+Github!G$2090</f>
        <v>501</v>
      </c>
      <c r="F2091" s="18">
        <f t="shared" si="1"/>
        <v>20.78</v>
      </c>
      <c r="G2091" s="17" t="str">
        <f>Github!H$2090</f>
        <v>Algorithms</v>
      </c>
      <c r="H2091" s="17" t="str">
        <f>Github!E$2090</f>
        <v>Easy</v>
      </c>
      <c r="I2091" s="17" t="str">
        <f>IF(TRIM(Github!D$2090)="TRUE","FALSE","TRUE")</f>
        <v>TRUE</v>
      </c>
      <c r="J2091" s="17"/>
      <c r="K2091" s="17" t="str">
        <f>Github!L$2090</f>
        <v>Array;Binary Search;Sorting;</v>
      </c>
      <c r="L2091" s="17" t="b">
        <f>Github!M$2090</f>
        <v>0</v>
      </c>
      <c r="M2091" s="17" t="str">
        <f>ROUND(Github!N$2090, 2)&amp;"%"</f>
        <v>0%</v>
      </c>
      <c r="N2091" s="17">
        <f>Github!O$2090</f>
        <v>80.22119438</v>
      </c>
      <c r="O2091" s="17">
        <f>Github!P$2090</f>
        <v>43006</v>
      </c>
    </row>
    <row r="2092">
      <c r="A2092" s="17">
        <f>Github!J$2091</f>
        <v>2090</v>
      </c>
      <c r="B2092" s="27" t="str">
        <f>HYPERLINK(CONCAT("http://leetcode.com/problems/",Github!C$2091), Github!B$2091)</f>
        <v>K Radius Subarray Averages</v>
      </c>
      <c r="C2092" s="17">
        <f>Github!F$2091</f>
        <v>235</v>
      </c>
      <c r="D2092" s="17">
        <f>Github!G$2091</f>
        <v>10</v>
      </c>
      <c r="E2092" s="17">
        <f>Github!F$2091+Github!G$2091</f>
        <v>245</v>
      </c>
      <c r="F2092" s="18">
        <f t="shared" si="1"/>
        <v>23.5</v>
      </c>
      <c r="G2092" s="17" t="str">
        <f>Github!H$2091</f>
        <v>Algorithms</v>
      </c>
      <c r="H2092" s="17" t="str">
        <f>Github!E$2091</f>
        <v>Medium</v>
      </c>
      <c r="I2092" s="17" t="str">
        <f>IF(TRIM(Github!D$2091)="TRUE","FALSE","TRUE")</f>
        <v>TRUE</v>
      </c>
      <c r="J2092" s="17"/>
      <c r="K2092" s="17" t="str">
        <f>Github!L$2091</f>
        <v>Array;Sliding Window;</v>
      </c>
      <c r="L2092" s="17" t="b">
        <f>Github!M$2091</f>
        <v>0</v>
      </c>
      <c r="M2092" s="17" t="str">
        <f>ROUND(Github!N$2091, 2)&amp;"%"</f>
        <v>0%</v>
      </c>
      <c r="N2092" s="17">
        <f>Github!O$2091</f>
        <v>40.48710957</v>
      </c>
      <c r="O2092" s="17">
        <f>Github!P$2091</f>
        <v>13066</v>
      </c>
    </row>
    <row r="2093">
      <c r="A2093" s="17">
        <f>Github!J$2092</f>
        <v>2091</v>
      </c>
      <c r="B2093" s="27" t="str">
        <f>HYPERLINK(CONCAT("http://leetcode.com/problems/",Github!C$2092), Github!B$2092)</f>
        <v>Removing Minimum and Maximum From Array</v>
      </c>
      <c r="C2093" s="17">
        <f>Github!F$2092</f>
        <v>268</v>
      </c>
      <c r="D2093" s="17">
        <f>Github!G$2092</f>
        <v>15</v>
      </c>
      <c r="E2093" s="17">
        <f>Github!F$2092+Github!G$2092</f>
        <v>283</v>
      </c>
      <c r="F2093" s="18">
        <f t="shared" si="1"/>
        <v>17.87</v>
      </c>
      <c r="G2093" s="17" t="str">
        <f>Github!H$2092</f>
        <v>Algorithms</v>
      </c>
      <c r="H2093" s="17" t="str">
        <f>Github!E$2092</f>
        <v>Medium</v>
      </c>
      <c r="I2093" s="17" t="str">
        <f>IF(TRIM(Github!D$2092)="TRUE","FALSE","TRUE")</f>
        <v>TRUE</v>
      </c>
      <c r="J2093" s="17"/>
      <c r="K2093" s="17" t="str">
        <f>Github!L$2092</f>
        <v>Array;Greedy;</v>
      </c>
      <c r="L2093" s="17" t="b">
        <f>Github!M$2092</f>
        <v>0</v>
      </c>
      <c r="M2093" s="17" t="str">
        <f>ROUND(Github!N$2092, 2)&amp;"%"</f>
        <v>0%</v>
      </c>
      <c r="N2093" s="17">
        <f>Github!O$2092</f>
        <v>57.93471486</v>
      </c>
      <c r="O2093" s="17">
        <f>Github!P$2092</f>
        <v>14873</v>
      </c>
    </row>
    <row r="2094">
      <c r="A2094" s="17">
        <f>Github!J$2093</f>
        <v>2092</v>
      </c>
      <c r="B2094" s="27" t="str">
        <f>HYPERLINK(CONCAT("http://leetcode.com/problems/",Github!C$2093), Github!B$2093)</f>
        <v>Find All People With Secret</v>
      </c>
      <c r="C2094" s="17">
        <f>Github!F$2093</f>
        <v>387</v>
      </c>
      <c r="D2094" s="17">
        <f>Github!G$2093</f>
        <v>19</v>
      </c>
      <c r="E2094" s="17">
        <f>Github!F$2093+Github!G$2093</f>
        <v>406</v>
      </c>
      <c r="F2094" s="18">
        <f t="shared" si="1"/>
        <v>20.37</v>
      </c>
      <c r="G2094" s="17" t="str">
        <f>Github!H$2093</f>
        <v>Algorithms</v>
      </c>
      <c r="H2094" s="17" t="str">
        <f>Github!E$2093</f>
        <v>Hard</v>
      </c>
      <c r="I2094" s="17" t="str">
        <f>IF(TRIM(Github!D$2093)="TRUE","FALSE","TRUE")</f>
        <v>TRUE</v>
      </c>
      <c r="J2094" s="17"/>
      <c r="K2094" s="17" t="str">
        <f>Github!L$2093</f>
        <v>Depth-First Search;Breadth-First Search;Union Find;Graph;Sorting;</v>
      </c>
      <c r="L2094" s="17" t="b">
        <f>Github!M$2093</f>
        <v>0</v>
      </c>
      <c r="M2094" s="17" t="str">
        <f>ROUND(Github!N$2093, 2)&amp;"%"</f>
        <v>0%</v>
      </c>
      <c r="N2094" s="17">
        <f>Github!O$2093</f>
        <v>32.5280236</v>
      </c>
      <c r="O2094" s="17">
        <f>Github!P$2093</f>
        <v>11027</v>
      </c>
    </row>
    <row r="2095">
      <c r="A2095" s="17">
        <f>Github!J$2094</f>
        <v>2093</v>
      </c>
      <c r="B2095" s="27" t="str">
        <f>HYPERLINK(CONCAT("http://leetcode.com/problems/",Github!C$2094), Github!B$2094)</f>
        <v>Minimum Cost to Reach City With Discounts</v>
      </c>
      <c r="C2095" s="17">
        <f>Github!F$2094</f>
        <v>70</v>
      </c>
      <c r="D2095" s="17">
        <f>Github!G$2094</f>
        <v>5</v>
      </c>
      <c r="E2095" s="17">
        <f>Github!F$2094+Github!G$2094</f>
        <v>75</v>
      </c>
      <c r="F2095" s="18">
        <f t="shared" si="1"/>
        <v>14</v>
      </c>
      <c r="G2095" s="17" t="str">
        <f>Github!H$2094</f>
        <v>Algorithms</v>
      </c>
      <c r="H2095" s="17" t="str">
        <f>Github!E$2094</f>
        <v>Medium</v>
      </c>
      <c r="I2095" s="17" t="str">
        <f>IF(TRIM(Github!D$2094)="TRUE","FALSE","TRUE")</f>
        <v>FALSE</v>
      </c>
      <c r="J2095" s="17"/>
      <c r="K2095" s="17" t="str">
        <f>Github!L$2094</f>
        <v>Graph;Shortest Path;</v>
      </c>
      <c r="L2095" s="17" t="b">
        <f>Github!M$2094</f>
        <v>0</v>
      </c>
      <c r="M2095" s="17" t="str">
        <f>ROUND(Github!N$2094, 2)&amp;"%"</f>
        <v>0%</v>
      </c>
      <c r="N2095" s="17">
        <f>Github!O$2094</f>
        <v>56.60102115</v>
      </c>
      <c r="O2095" s="17">
        <f>Github!P$2094</f>
        <v>1552</v>
      </c>
    </row>
    <row r="2096">
      <c r="A2096" s="17">
        <f>Github!J$2095</f>
        <v>2094</v>
      </c>
      <c r="B2096" s="27" t="str">
        <f>HYPERLINK(CONCAT("http://leetcode.com/problems/",Github!C$2095), Github!B$2095)</f>
        <v>Finding 3-Digit Even Numbers</v>
      </c>
      <c r="C2096" s="17">
        <f>Github!F$2095</f>
        <v>196</v>
      </c>
      <c r="D2096" s="17">
        <f>Github!G$2095</f>
        <v>164</v>
      </c>
      <c r="E2096" s="17">
        <f>Github!F$2095+Github!G$2095</f>
        <v>360</v>
      </c>
      <c r="F2096" s="18">
        <f t="shared" si="1"/>
        <v>1.2</v>
      </c>
      <c r="G2096" s="17" t="str">
        <f>Github!H$2095</f>
        <v>Algorithms</v>
      </c>
      <c r="H2096" s="17" t="str">
        <f>Github!E$2095</f>
        <v>Easy</v>
      </c>
      <c r="I2096" s="17" t="str">
        <f>IF(TRIM(Github!D$2095)="TRUE","FALSE","TRUE")</f>
        <v>TRUE</v>
      </c>
      <c r="J2096" s="17"/>
      <c r="K2096" s="17" t="str">
        <f>Github!L$2095</f>
        <v>Array;Hash Table;Sorting;Enumeration;</v>
      </c>
      <c r="L2096" s="17" t="b">
        <f>Github!M$2095</f>
        <v>0</v>
      </c>
      <c r="M2096" s="17" t="str">
        <f>ROUND(Github!N$2095, 2)&amp;"%"</f>
        <v>0%</v>
      </c>
      <c r="N2096" s="17">
        <f>Github!O$2095</f>
        <v>55.95171699</v>
      </c>
      <c r="O2096" s="17">
        <f>Github!P$2095</f>
        <v>14043</v>
      </c>
    </row>
    <row r="2097">
      <c r="A2097" s="17">
        <f>Github!J$2096</f>
        <v>2095</v>
      </c>
      <c r="B2097" s="27" t="str">
        <f>HYPERLINK(CONCAT("http://leetcode.com/problems/",Github!C$2096), Github!B$2096)</f>
        <v>Delete the Middle Node of a Linked List</v>
      </c>
      <c r="C2097" s="17">
        <f>Github!F$2096</f>
        <v>588</v>
      </c>
      <c r="D2097" s="17">
        <f>Github!G$2096</f>
        <v>20</v>
      </c>
      <c r="E2097" s="17">
        <f>Github!F$2096+Github!G$2096</f>
        <v>608</v>
      </c>
      <c r="F2097" s="18">
        <f t="shared" si="1"/>
        <v>29.4</v>
      </c>
      <c r="G2097" s="17" t="str">
        <f>Github!H$2096</f>
        <v>Algorithms</v>
      </c>
      <c r="H2097" s="17" t="str">
        <f>Github!E$2096</f>
        <v>Medium</v>
      </c>
      <c r="I2097" s="17" t="str">
        <f>IF(TRIM(Github!D$2096)="TRUE","FALSE","TRUE")</f>
        <v>TRUE</v>
      </c>
      <c r="J2097" s="17"/>
      <c r="K2097" s="17" t="str">
        <f>Github!L$2096</f>
        <v>Linked List;Two Pointers;</v>
      </c>
      <c r="L2097" s="17" t="b">
        <f>Github!M$2096</f>
        <v>0</v>
      </c>
      <c r="M2097" s="17" t="str">
        <f>ROUND(Github!N$2096, 2)&amp;"%"</f>
        <v>0%</v>
      </c>
      <c r="N2097" s="17">
        <f>Github!O$2096</f>
        <v>57.8320854</v>
      </c>
      <c r="O2097" s="17">
        <f>Github!P$2096</f>
        <v>34825</v>
      </c>
    </row>
    <row r="2098">
      <c r="A2098" s="17">
        <f>Github!J$2097</f>
        <v>2096</v>
      </c>
      <c r="B2098" s="27" t="str">
        <f>HYPERLINK(CONCAT("http://leetcode.com/problems/",Github!C$2097), Github!B$2097)</f>
        <v>Step-By-Step Directions From a Binary Tree Node to Another</v>
      </c>
      <c r="C2098" s="17">
        <f>Github!F$2097</f>
        <v>639</v>
      </c>
      <c r="D2098" s="17">
        <f>Github!G$2097</f>
        <v>46</v>
      </c>
      <c r="E2098" s="17">
        <f>Github!F$2097+Github!G$2097</f>
        <v>685</v>
      </c>
      <c r="F2098" s="18">
        <f t="shared" si="1"/>
        <v>13.89</v>
      </c>
      <c r="G2098" s="17" t="str">
        <f>Github!H$2097</f>
        <v>Algorithms</v>
      </c>
      <c r="H2098" s="17" t="str">
        <f>Github!E$2097</f>
        <v>Medium</v>
      </c>
      <c r="I2098" s="17" t="str">
        <f>IF(TRIM(Github!D$2097)="TRUE","FALSE","TRUE")</f>
        <v>TRUE</v>
      </c>
      <c r="J2098" s="17"/>
      <c r="K2098" s="17" t="str">
        <f>Github!L$2097</f>
        <v>String;Tree;Depth-First Search;Binary Tree;</v>
      </c>
      <c r="L2098" s="17" t="b">
        <f>Github!M$2097</f>
        <v>0</v>
      </c>
      <c r="M2098" s="17" t="str">
        <f>ROUND(Github!N$2097, 2)&amp;"%"</f>
        <v>0%</v>
      </c>
      <c r="N2098" s="17">
        <f>Github!O$2097</f>
        <v>47.76657899</v>
      </c>
      <c r="O2098" s="17">
        <f>Github!P$2097</f>
        <v>20516</v>
      </c>
    </row>
    <row r="2099">
      <c r="A2099" s="17">
        <f>Github!J$2098</f>
        <v>2097</v>
      </c>
      <c r="B2099" s="27" t="str">
        <f>HYPERLINK(CONCAT("http://leetcode.com/problems/",Github!C$2098), Github!B$2098)</f>
        <v>Valid Arrangement of Pairs</v>
      </c>
      <c r="C2099" s="17">
        <f>Github!F$2098</f>
        <v>229</v>
      </c>
      <c r="D2099" s="17">
        <f>Github!G$2098</f>
        <v>10</v>
      </c>
      <c r="E2099" s="17">
        <f>Github!F$2098+Github!G$2098</f>
        <v>239</v>
      </c>
      <c r="F2099" s="18">
        <f t="shared" si="1"/>
        <v>22.9</v>
      </c>
      <c r="G2099" s="17" t="str">
        <f>Github!H$2098</f>
        <v>Algorithms</v>
      </c>
      <c r="H2099" s="17" t="str">
        <f>Github!E$2098</f>
        <v>Hard</v>
      </c>
      <c r="I2099" s="17" t="str">
        <f>IF(TRIM(Github!D$2098)="TRUE","FALSE","TRUE")</f>
        <v>TRUE</v>
      </c>
      <c r="J2099" s="17"/>
      <c r="K2099" s="17" t="str">
        <f>Github!L$2098</f>
        <v>Depth-First Search;Graph;Eulerian Circuit;</v>
      </c>
      <c r="L2099" s="17" t="b">
        <f>Github!M$2098</f>
        <v>0</v>
      </c>
      <c r="M2099" s="17" t="str">
        <f>ROUND(Github!N$2098, 2)&amp;"%"</f>
        <v>0%</v>
      </c>
      <c r="N2099" s="17">
        <f>Github!O$2098</f>
        <v>39.9733511</v>
      </c>
      <c r="O2099" s="17">
        <f>Github!P$2098</f>
        <v>4200</v>
      </c>
    </row>
    <row r="2100">
      <c r="A2100" s="17">
        <f>Github!J$2099</f>
        <v>2098</v>
      </c>
      <c r="B2100" s="27" t="str">
        <f>HYPERLINK(CONCAT("http://leetcode.com/problems/",Github!C$2099), Github!B$2099)</f>
        <v>Subsequence of Size K With the Largest Even Sum</v>
      </c>
      <c r="C2100" s="17">
        <f>Github!F$2099</f>
        <v>24</v>
      </c>
      <c r="D2100" s="17">
        <f>Github!G$2099</f>
        <v>1</v>
      </c>
      <c r="E2100" s="17">
        <f>Github!F$2099+Github!G$2099</f>
        <v>25</v>
      </c>
      <c r="F2100" s="18">
        <f t="shared" si="1"/>
        <v>24</v>
      </c>
      <c r="G2100" s="17" t="str">
        <f>Github!H$2099</f>
        <v>Algorithms</v>
      </c>
      <c r="H2100" s="17" t="str">
        <f>Github!E$2099</f>
        <v>Medium</v>
      </c>
      <c r="I2100" s="17" t="str">
        <f>IF(TRIM(Github!D$2099)="TRUE","FALSE","TRUE")</f>
        <v>FALSE</v>
      </c>
      <c r="J2100" s="17"/>
      <c r="K2100" s="17" t="str">
        <f>Github!L$2099</f>
        <v>Array;Greedy;Sorting;</v>
      </c>
      <c r="L2100" s="17" t="b">
        <f>Github!M$2099</f>
        <v>0</v>
      </c>
      <c r="M2100" s="17" t="str">
        <f>ROUND(Github!N$2099, 2)&amp;"%"</f>
        <v>0%</v>
      </c>
      <c r="N2100" s="17">
        <f>Github!O$2099</f>
        <v>40.55674518</v>
      </c>
      <c r="O2100" s="17">
        <f>Github!P$2099</f>
        <v>947</v>
      </c>
    </row>
    <row r="2101">
      <c r="A2101" s="17">
        <f>Github!J$2100</f>
        <v>2099</v>
      </c>
      <c r="B2101" s="27" t="str">
        <f>HYPERLINK(CONCAT("http://leetcode.com/problems/",Github!C$2100), Github!B$2100)</f>
        <v>Find Subsequence of Length K With the Largest Sum</v>
      </c>
      <c r="C2101" s="17">
        <f>Github!F$2100</f>
        <v>359</v>
      </c>
      <c r="D2101" s="17">
        <f>Github!G$2100</f>
        <v>27</v>
      </c>
      <c r="E2101" s="17">
        <f>Github!F$2100+Github!G$2100</f>
        <v>386</v>
      </c>
      <c r="F2101" s="18">
        <f t="shared" si="1"/>
        <v>13.3</v>
      </c>
      <c r="G2101" s="17" t="str">
        <f>Github!H$2100</f>
        <v>Algorithms</v>
      </c>
      <c r="H2101" s="17" t="str">
        <f>Github!E$2100</f>
        <v>Easy</v>
      </c>
      <c r="I2101" s="17" t="str">
        <f>IF(TRIM(Github!D$2100)="TRUE","FALSE","TRUE")</f>
        <v>TRUE</v>
      </c>
      <c r="J2101" s="17"/>
      <c r="K2101" s="17" t="str">
        <f>Github!L$2100</f>
        <v>Array;Hash Table;Sorting;Heap (Priority Queue);</v>
      </c>
      <c r="L2101" s="17" t="b">
        <f>Github!M$2100</f>
        <v>0</v>
      </c>
      <c r="M2101" s="17" t="str">
        <f>ROUND(Github!N$2100, 2)&amp;"%"</f>
        <v>0%</v>
      </c>
      <c r="N2101" s="17">
        <f>Github!O$2100</f>
        <v>44.09331074</v>
      </c>
      <c r="O2101" s="17">
        <f>Github!P$2100</f>
        <v>13269</v>
      </c>
    </row>
    <row r="2102">
      <c r="A2102" s="17">
        <f>Github!J$2101</f>
        <v>2100</v>
      </c>
      <c r="B2102" s="27" t="str">
        <f>HYPERLINK(CONCAT("http://leetcode.com/problems/",Github!C$2101), Github!B$2101)</f>
        <v>Find Good Days to Rob the Bank</v>
      </c>
      <c r="C2102" s="17">
        <f>Github!F$2101</f>
        <v>288</v>
      </c>
      <c r="D2102" s="17">
        <f>Github!G$2101</f>
        <v>14</v>
      </c>
      <c r="E2102" s="17">
        <f>Github!F$2101+Github!G$2101</f>
        <v>302</v>
      </c>
      <c r="F2102" s="18">
        <f t="shared" si="1"/>
        <v>20.57</v>
      </c>
      <c r="G2102" s="17" t="str">
        <f>Github!H$2101</f>
        <v>Algorithms</v>
      </c>
      <c r="H2102" s="17" t="str">
        <f>Github!E$2101</f>
        <v>Medium</v>
      </c>
      <c r="I2102" s="17" t="str">
        <f>IF(TRIM(Github!D$2101)="TRUE","FALSE","TRUE")</f>
        <v>TRUE</v>
      </c>
      <c r="J2102" s="17"/>
      <c r="K2102" s="17" t="str">
        <f>Github!L$2101</f>
        <v>Array;Dynamic Programming;Prefix Sum;</v>
      </c>
      <c r="L2102" s="17" t="b">
        <f>Github!M$2101</f>
        <v>0</v>
      </c>
      <c r="M2102" s="17" t="str">
        <f>ROUND(Github!N$2101, 2)&amp;"%"</f>
        <v>0%</v>
      </c>
      <c r="N2102" s="17">
        <f>Github!O$2101</f>
        <v>46.3924293</v>
      </c>
      <c r="O2102" s="17">
        <f>Github!P$2101</f>
        <v>8480</v>
      </c>
    </row>
    <row r="2103">
      <c r="A2103" s="17">
        <f>Github!J$2102</f>
        <v>2101</v>
      </c>
      <c r="B2103" s="27" t="str">
        <f>HYPERLINK(CONCAT("http://leetcode.com/problems/",Github!C$2102), Github!B$2102)</f>
        <v>Detonate the Maximum Bombs</v>
      </c>
      <c r="C2103" s="17">
        <f>Github!F$2102</f>
        <v>331</v>
      </c>
      <c r="D2103" s="17">
        <f>Github!G$2102</f>
        <v>39</v>
      </c>
      <c r="E2103" s="17">
        <f>Github!F$2102+Github!G$2102</f>
        <v>370</v>
      </c>
      <c r="F2103" s="18">
        <f t="shared" si="1"/>
        <v>8.49</v>
      </c>
      <c r="G2103" s="17" t="str">
        <f>Github!H$2102</f>
        <v>Algorithms</v>
      </c>
      <c r="H2103" s="17" t="str">
        <f>Github!E$2102</f>
        <v>Medium</v>
      </c>
      <c r="I2103" s="17" t="str">
        <f>IF(TRIM(Github!D$2102)="TRUE","FALSE","TRUE")</f>
        <v>TRUE</v>
      </c>
      <c r="J2103" s="17"/>
      <c r="K2103" s="17" t="str">
        <f>Github!L$2102</f>
        <v>Array;Math;Depth-First Search;Breadth-First Search;Graph;Geometry;</v>
      </c>
      <c r="L2103" s="17" t="b">
        <f>Github!M$2102</f>
        <v>0</v>
      </c>
      <c r="M2103" s="17" t="str">
        <f>ROUND(Github!N$2102, 2)&amp;"%"</f>
        <v>0%</v>
      </c>
      <c r="N2103" s="17">
        <f>Github!O$2102</f>
        <v>39.79078929</v>
      </c>
      <c r="O2103" s="17">
        <f>Github!P$2102</f>
        <v>8787</v>
      </c>
    </row>
    <row r="2104">
      <c r="A2104" s="17">
        <f>Github!J$2103</f>
        <v>2102</v>
      </c>
      <c r="B2104" s="27" t="str">
        <f>HYPERLINK(CONCAT("http://leetcode.com/problems/",Github!C$2103), Github!B$2103)</f>
        <v>Sequentially Ordinal Rank Tracker</v>
      </c>
      <c r="C2104" s="17">
        <f>Github!F$2103</f>
        <v>107</v>
      </c>
      <c r="D2104" s="17">
        <f>Github!G$2103</f>
        <v>24</v>
      </c>
      <c r="E2104" s="17">
        <f>Github!F$2103+Github!G$2103</f>
        <v>131</v>
      </c>
      <c r="F2104" s="18">
        <f t="shared" si="1"/>
        <v>4.46</v>
      </c>
      <c r="G2104" s="17" t="str">
        <f>Github!H$2103</f>
        <v>Algorithms</v>
      </c>
      <c r="H2104" s="17" t="str">
        <f>Github!E$2103</f>
        <v>Hard</v>
      </c>
      <c r="I2104" s="17" t="str">
        <f>IF(TRIM(Github!D$2103)="TRUE","FALSE","TRUE")</f>
        <v>TRUE</v>
      </c>
      <c r="J2104" s="17"/>
      <c r="K2104" s="17" t="str">
        <f>Github!L$2103</f>
        <v>Design;Heap (Priority Queue);Data Stream;Ordered Set;</v>
      </c>
      <c r="L2104" s="17" t="b">
        <f>Github!M$2103</f>
        <v>0</v>
      </c>
      <c r="M2104" s="17" t="str">
        <f>ROUND(Github!N$2103, 2)&amp;"%"</f>
        <v>0%</v>
      </c>
      <c r="N2104" s="17">
        <f>Github!O$2103</f>
        <v>61.02941176</v>
      </c>
      <c r="O2104" s="17">
        <f>Github!P$2103</f>
        <v>3486</v>
      </c>
    </row>
    <row r="2105">
      <c r="A2105" s="17">
        <f>Github!J$2104</f>
        <v>2103</v>
      </c>
      <c r="B2105" s="27" t="str">
        <f>HYPERLINK(CONCAT("http://leetcode.com/problems/",Github!C$2104), Github!B$2104)</f>
        <v>Rings and Rods</v>
      </c>
      <c r="C2105" s="17">
        <f>Github!F$2104</f>
        <v>315</v>
      </c>
      <c r="D2105" s="17">
        <f>Github!G$2104</f>
        <v>9</v>
      </c>
      <c r="E2105" s="17">
        <f>Github!F$2104+Github!G$2104</f>
        <v>324</v>
      </c>
      <c r="F2105" s="18">
        <f t="shared" si="1"/>
        <v>35</v>
      </c>
      <c r="G2105" s="17" t="str">
        <f>Github!H$2104</f>
        <v>Algorithms</v>
      </c>
      <c r="H2105" s="17" t="str">
        <f>Github!E$2104</f>
        <v>Easy</v>
      </c>
      <c r="I2105" s="17" t="str">
        <f>IF(TRIM(Github!D$2104)="TRUE","FALSE","TRUE")</f>
        <v>TRUE</v>
      </c>
      <c r="J2105" s="17"/>
      <c r="K2105" s="17" t="str">
        <f>Github!L$2104</f>
        <v>Hash Table;String;</v>
      </c>
      <c r="L2105" s="17" t="b">
        <f>Github!M$2104</f>
        <v>0</v>
      </c>
      <c r="M2105" s="17" t="str">
        <f>ROUND(Github!N$2104, 2)&amp;"%"</f>
        <v>0%</v>
      </c>
      <c r="N2105" s="17">
        <f>Github!O$2104</f>
        <v>81.81579293</v>
      </c>
      <c r="O2105" s="17">
        <f>Github!P$2104</f>
        <v>24900</v>
      </c>
    </row>
    <row r="2106">
      <c r="A2106" s="17">
        <f>Github!J$2105</f>
        <v>2104</v>
      </c>
      <c r="B2106" s="27" t="str">
        <f>HYPERLINK(CONCAT("http://leetcode.com/problems/",Github!C$2105), Github!B$2105)</f>
        <v>Sum of Subarray Ranges</v>
      </c>
      <c r="C2106" s="17">
        <f>Github!F$2105</f>
        <v>505</v>
      </c>
      <c r="D2106" s="17">
        <f>Github!G$2105</f>
        <v>19</v>
      </c>
      <c r="E2106" s="17">
        <f>Github!F$2105+Github!G$2105</f>
        <v>524</v>
      </c>
      <c r="F2106" s="18">
        <f t="shared" si="1"/>
        <v>26.58</v>
      </c>
      <c r="G2106" s="17" t="str">
        <f>Github!H$2105</f>
        <v>Algorithms</v>
      </c>
      <c r="H2106" s="17" t="str">
        <f>Github!E$2105</f>
        <v>Medium</v>
      </c>
      <c r="I2106" s="17" t="str">
        <f>IF(TRIM(Github!D$2105)="TRUE","FALSE","TRUE")</f>
        <v>TRUE</v>
      </c>
      <c r="J2106" s="17"/>
      <c r="K2106" s="17" t="str">
        <f>Github!L$2105</f>
        <v>Array;Stack;Monotonic Stack;</v>
      </c>
      <c r="L2106" s="17" t="b">
        <f>Github!M$2105</f>
        <v>0</v>
      </c>
      <c r="M2106" s="17" t="str">
        <f>ROUND(Github!N$2105, 2)&amp;"%"</f>
        <v>0%</v>
      </c>
      <c r="N2106" s="17">
        <f>Github!O$2105</f>
        <v>59.91987916</v>
      </c>
      <c r="O2106" s="17">
        <f>Github!P$2105</f>
        <v>18245</v>
      </c>
    </row>
    <row r="2107">
      <c r="A2107" s="17">
        <f>Github!J$2106</f>
        <v>2105</v>
      </c>
      <c r="B2107" s="27" t="str">
        <f>HYPERLINK(CONCAT("http://leetcode.com/problems/",Github!C$2106), Github!B$2106)</f>
        <v>Watering Plants II</v>
      </c>
      <c r="C2107" s="17">
        <f>Github!F$2106</f>
        <v>106</v>
      </c>
      <c r="D2107" s="17">
        <f>Github!G$2106</f>
        <v>114</v>
      </c>
      <c r="E2107" s="17">
        <f>Github!F$2106+Github!G$2106</f>
        <v>220</v>
      </c>
      <c r="F2107" s="18">
        <f t="shared" si="1"/>
        <v>0.93</v>
      </c>
      <c r="G2107" s="17" t="str">
        <f>Github!H$2106</f>
        <v>Algorithms</v>
      </c>
      <c r="H2107" s="17" t="str">
        <f>Github!E$2106</f>
        <v>Medium</v>
      </c>
      <c r="I2107" s="17" t="str">
        <f>IF(TRIM(Github!D$2106)="TRUE","FALSE","TRUE")</f>
        <v>TRUE</v>
      </c>
      <c r="J2107" s="17"/>
      <c r="K2107" s="17" t="str">
        <f>Github!L$2106</f>
        <v>Array;Two Pointers;Simulation;</v>
      </c>
      <c r="L2107" s="17" t="b">
        <f>Github!M$2106</f>
        <v>0</v>
      </c>
      <c r="M2107" s="17" t="str">
        <f>ROUND(Github!N$2106, 2)&amp;"%"</f>
        <v>0%</v>
      </c>
      <c r="N2107" s="17">
        <f>Github!O$2106</f>
        <v>51.33074087</v>
      </c>
      <c r="O2107" s="17">
        <f>Github!P$2106</f>
        <v>10164</v>
      </c>
    </row>
    <row r="2108">
      <c r="A2108" s="17">
        <f>Github!J$2107</f>
        <v>2106</v>
      </c>
      <c r="B2108" s="27" t="str">
        <f>HYPERLINK(CONCAT("http://leetcode.com/problems/",Github!C$2107), Github!B$2107)</f>
        <v>Maximum Fruits Harvested After at Most K Steps</v>
      </c>
      <c r="C2108" s="17">
        <f>Github!F$2107</f>
        <v>241</v>
      </c>
      <c r="D2108" s="17">
        <f>Github!G$2107</f>
        <v>14</v>
      </c>
      <c r="E2108" s="17">
        <f>Github!F$2107+Github!G$2107</f>
        <v>255</v>
      </c>
      <c r="F2108" s="18">
        <f t="shared" si="1"/>
        <v>17.21</v>
      </c>
      <c r="G2108" s="17" t="str">
        <f>Github!H$2107</f>
        <v>Algorithms</v>
      </c>
      <c r="H2108" s="17" t="str">
        <f>Github!E$2107</f>
        <v>Hard</v>
      </c>
      <c r="I2108" s="17" t="str">
        <f>IF(TRIM(Github!D$2107)="TRUE","FALSE","TRUE")</f>
        <v>TRUE</v>
      </c>
      <c r="J2108" s="17"/>
      <c r="K2108" s="17" t="str">
        <f>Github!L$2107</f>
        <v>Array;Binary Search;Sliding Window;Prefix Sum;</v>
      </c>
      <c r="L2108" s="17" t="b">
        <f>Github!M$2107</f>
        <v>0</v>
      </c>
      <c r="M2108" s="17" t="str">
        <f>ROUND(Github!N$2107, 2)&amp;"%"</f>
        <v>0%</v>
      </c>
      <c r="N2108" s="17">
        <f>Github!O$2107</f>
        <v>35.04878629</v>
      </c>
      <c r="O2108" s="17">
        <f>Github!P$2107</f>
        <v>5891</v>
      </c>
    </row>
    <row r="2109">
      <c r="A2109" s="17">
        <f>Github!J$2108</f>
        <v>2107</v>
      </c>
      <c r="B2109" s="27" t="str">
        <f>HYPERLINK(CONCAT("http://leetcode.com/problems/",Github!C$2108), Github!B$2108)</f>
        <v>Number of Unique Flavors After Sharing K Candies</v>
      </c>
      <c r="C2109" s="17">
        <f>Github!F$2108</f>
        <v>38</v>
      </c>
      <c r="D2109" s="17">
        <f>Github!G$2108</f>
        <v>0</v>
      </c>
      <c r="E2109" s="17">
        <f>Github!F$2108+Github!G$2108</f>
        <v>38</v>
      </c>
      <c r="F2109" s="18">
        <f t="shared" si="1"/>
        <v>38</v>
      </c>
      <c r="G2109" s="17" t="str">
        <f>Github!H$2108</f>
        <v>Algorithms</v>
      </c>
      <c r="H2109" s="17" t="str">
        <f>Github!E$2108</f>
        <v>Medium</v>
      </c>
      <c r="I2109" s="17" t="str">
        <f>IF(TRIM(Github!D$2108)="TRUE","FALSE","TRUE")</f>
        <v>FALSE</v>
      </c>
      <c r="J2109" s="17"/>
      <c r="K2109" s="17" t="str">
        <f>Github!L$2108</f>
        <v>Array;Hash Table;Sliding Window;</v>
      </c>
      <c r="L2109" s="17" t="b">
        <f>Github!M$2108</f>
        <v>0</v>
      </c>
      <c r="M2109" s="17" t="str">
        <f>ROUND(Github!N$2108, 2)&amp;"%"</f>
        <v>0%</v>
      </c>
      <c r="N2109" s="17">
        <f>Github!O$2108</f>
        <v>58.40945728</v>
      </c>
      <c r="O2109" s="17">
        <f>Github!P$2108</f>
        <v>1087</v>
      </c>
    </row>
    <row r="2110">
      <c r="A2110" s="17">
        <f>Github!J$2109</f>
        <v>2108</v>
      </c>
      <c r="B2110" s="27" t="str">
        <f>HYPERLINK(CONCAT("http://leetcode.com/problems/",Github!C$2109), Github!B$2109)</f>
        <v>Find First Palindromic String in the Array</v>
      </c>
      <c r="C2110" s="17">
        <f>Github!F$2109</f>
        <v>281</v>
      </c>
      <c r="D2110" s="17">
        <f>Github!G$2109</f>
        <v>9</v>
      </c>
      <c r="E2110" s="17">
        <f>Github!F$2109+Github!G$2109</f>
        <v>290</v>
      </c>
      <c r="F2110" s="18">
        <f t="shared" si="1"/>
        <v>31.22</v>
      </c>
      <c r="G2110" s="17" t="str">
        <f>Github!H$2109</f>
        <v>Algorithms</v>
      </c>
      <c r="H2110" s="17" t="str">
        <f>Github!E$2109</f>
        <v>Easy</v>
      </c>
      <c r="I2110" s="17" t="str">
        <f>IF(TRIM(Github!D$2109)="TRUE","FALSE","TRUE")</f>
        <v>TRUE</v>
      </c>
      <c r="J2110" s="17"/>
      <c r="K2110" s="17" t="str">
        <f>Github!L$2109</f>
        <v>Array;Two Pointers;String;</v>
      </c>
      <c r="L2110" s="17" t="b">
        <f>Github!M$2109</f>
        <v>0</v>
      </c>
      <c r="M2110" s="17" t="str">
        <f>ROUND(Github!N$2109, 2)&amp;"%"</f>
        <v>0%</v>
      </c>
      <c r="N2110" s="17">
        <f>Github!O$2109</f>
        <v>80.00643249</v>
      </c>
      <c r="O2110" s="17">
        <f>Github!P$2109</f>
        <v>34822</v>
      </c>
    </row>
    <row r="2111">
      <c r="A2111" s="17">
        <f>Github!J$2110</f>
        <v>2109</v>
      </c>
      <c r="B2111" s="27" t="str">
        <f>HYPERLINK(CONCAT("http://leetcode.com/problems/",Github!C$2110), Github!B$2110)</f>
        <v>Adding Spaces to a String</v>
      </c>
      <c r="C2111" s="17">
        <f>Github!F$2110</f>
        <v>226</v>
      </c>
      <c r="D2111" s="17">
        <f>Github!G$2110</f>
        <v>22</v>
      </c>
      <c r="E2111" s="17">
        <f>Github!F$2110+Github!G$2110</f>
        <v>248</v>
      </c>
      <c r="F2111" s="18">
        <f t="shared" si="1"/>
        <v>10.27</v>
      </c>
      <c r="G2111" s="17" t="str">
        <f>Github!H$2110</f>
        <v>Algorithms</v>
      </c>
      <c r="H2111" s="17" t="str">
        <f>Github!E$2110</f>
        <v>Medium</v>
      </c>
      <c r="I2111" s="17" t="str">
        <f>IF(TRIM(Github!D$2110)="TRUE","FALSE","TRUE")</f>
        <v>TRUE</v>
      </c>
      <c r="J2111" s="17"/>
      <c r="K2111" s="17" t="str">
        <f>Github!L$2110</f>
        <v>Array;String;Simulation;</v>
      </c>
      <c r="L2111" s="17" t="b">
        <f>Github!M$2110</f>
        <v>0</v>
      </c>
      <c r="M2111" s="17" t="str">
        <f>ROUND(Github!N$2110, 2)&amp;"%"</f>
        <v>0%</v>
      </c>
      <c r="N2111" s="17">
        <f>Github!O$2110</f>
        <v>55.85429561</v>
      </c>
      <c r="O2111" s="17">
        <f>Github!P$2110</f>
        <v>19672</v>
      </c>
    </row>
    <row r="2112">
      <c r="A2112" s="17">
        <f>Github!J$2111</f>
        <v>2110</v>
      </c>
      <c r="B2112" s="27" t="str">
        <f>HYPERLINK(CONCAT("http://leetcode.com/problems/",Github!C$2111), Github!B$2111)</f>
        <v>Number of Smooth Descent Periods of a Stock</v>
      </c>
      <c r="C2112" s="17">
        <f>Github!F$2111</f>
        <v>296</v>
      </c>
      <c r="D2112" s="17">
        <f>Github!G$2111</f>
        <v>10</v>
      </c>
      <c r="E2112" s="17">
        <f>Github!F$2111+Github!G$2111</f>
        <v>306</v>
      </c>
      <c r="F2112" s="18">
        <f t="shared" si="1"/>
        <v>29.6</v>
      </c>
      <c r="G2112" s="17" t="str">
        <f>Github!H$2111</f>
        <v>Algorithms</v>
      </c>
      <c r="H2112" s="17" t="str">
        <f>Github!E$2111</f>
        <v>Medium</v>
      </c>
      <c r="I2112" s="17" t="str">
        <f>IF(TRIM(Github!D$2111)="TRUE","FALSE","TRUE")</f>
        <v>TRUE</v>
      </c>
      <c r="J2112" s="17"/>
      <c r="K2112" s="17" t="str">
        <f>Github!L$2111</f>
        <v>Array;Math;Dynamic Programming;</v>
      </c>
      <c r="L2112" s="17" t="b">
        <f>Github!M$2111</f>
        <v>0</v>
      </c>
      <c r="M2112" s="17" t="str">
        <f>ROUND(Github!N$2111, 2)&amp;"%"</f>
        <v>0%</v>
      </c>
      <c r="N2112" s="17">
        <f>Github!O$2111</f>
        <v>54.9235213</v>
      </c>
      <c r="O2112" s="17">
        <f>Github!P$2111</f>
        <v>16733</v>
      </c>
    </row>
    <row r="2113">
      <c r="A2113" s="17">
        <f>Github!J$2112</f>
        <v>2111</v>
      </c>
      <c r="B2113" s="27" t="str">
        <f>HYPERLINK(CONCAT("http://leetcode.com/problems/",Github!C$2112), Github!B$2112)</f>
        <v>Minimum Operations to Make the Array K-Increasing</v>
      </c>
      <c r="C2113" s="17">
        <f>Github!F$2112</f>
        <v>452</v>
      </c>
      <c r="D2113" s="17">
        <f>Github!G$2112</f>
        <v>8</v>
      </c>
      <c r="E2113" s="17">
        <f>Github!F$2112+Github!G$2112</f>
        <v>460</v>
      </c>
      <c r="F2113" s="18">
        <f t="shared" si="1"/>
        <v>56.5</v>
      </c>
      <c r="G2113" s="17" t="str">
        <f>Github!H$2112</f>
        <v>Algorithms</v>
      </c>
      <c r="H2113" s="17" t="str">
        <f>Github!E$2112</f>
        <v>Hard</v>
      </c>
      <c r="I2113" s="17" t="str">
        <f>IF(TRIM(Github!D$2112)="TRUE","FALSE","TRUE")</f>
        <v>TRUE</v>
      </c>
      <c r="J2113" s="17"/>
      <c r="K2113" s="17" t="str">
        <f>Github!L$2112</f>
        <v>Array;Binary Search;</v>
      </c>
      <c r="L2113" s="17" t="b">
        <f>Github!M$2112</f>
        <v>0</v>
      </c>
      <c r="M2113" s="17" t="str">
        <f>ROUND(Github!N$2112, 2)&amp;"%"</f>
        <v>0%</v>
      </c>
      <c r="N2113" s="17">
        <f>Github!O$2112</f>
        <v>35.93595838</v>
      </c>
      <c r="O2113" s="17">
        <f>Github!P$2112</f>
        <v>8013</v>
      </c>
    </row>
    <row r="2114">
      <c r="A2114" s="17">
        <f>Github!J$2113</f>
        <v>2112</v>
      </c>
      <c r="B2114" s="27" t="str">
        <f>HYPERLINK(CONCAT("http://leetcode.com/problems/",Github!C$2113), Github!B$2113)</f>
        <v>The Airport With the Most Traffic</v>
      </c>
      <c r="C2114" s="17">
        <f>Github!F$2113</f>
        <v>14</v>
      </c>
      <c r="D2114" s="17">
        <f>Github!G$2113</f>
        <v>4</v>
      </c>
      <c r="E2114" s="17">
        <f>Github!F$2113+Github!G$2113</f>
        <v>18</v>
      </c>
      <c r="F2114" s="18">
        <f t="shared" si="1"/>
        <v>3.5</v>
      </c>
      <c r="G2114" s="17" t="str">
        <f>Github!H$2113</f>
        <v>Database</v>
      </c>
      <c r="H2114" s="17" t="str">
        <f>Github!E$2113</f>
        <v>Medium</v>
      </c>
      <c r="I2114" s="17" t="str">
        <f>IF(TRIM(Github!D$2113)="TRUE","FALSE","TRUE")</f>
        <v>FALSE</v>
      </c>
      <c r="J2114" s="17"/>
      <c r="K2114" s="17" t="str">
        <f>Github!L$2113</f>
        <v>Database;</v>
      </c>
      <c r="L2114" s="17" t="b">
        <f>Github!M$2113</f>
        <v>0</v>
      </c>
      <c r="M2114" s="17" t="str">
        <f>ROUND(Github!N$2113, 2)&amp;"%"</f>
        <v>0%</v>
      </c>
      <c r="N2114" s="17">
        <f>Github!O$2113</f>
        <v>67.86396637</v>
      </c>
      <c r="O2114" s="17">
        <f>Github!P$2113</f>
        <v>1776</v>
      </c>
    </row>
    <row r="2115">
      <c r="A2115" s="17">
        <f>Github!J$2114</f>
        <v>2113</v>
      </c>
      <c r="B2115" s="27" t="str">
        <f>HYPERLINK(CONCAT("http://leetcode.com/problems/",Github!C$2114), Github!B$2114)</f>
        <v>Elements in Array After Removing and Replacing Elements</v>
      </c>
      <c r="C2115" s="17">
        <f>Github!F$2114</f>
        <v>34</v>
      </c>
      <c r="D2115" s="17">
        <f>Github!G$2114</f>
        <v>5</v>
      </c>
      <c r="E2115" s="17">
        <f>Github!F$2114+Github!G$2114</f>
        <v>39</v>
      </c>
      <c r="F2115" s="18">
        <f t="shared" si="1"/>
        <v>6.8</v>
      </c>
      <c r="G2115" s="17" t="str">
        <f>Github!H$2114</f>
        <v>Algorithms</v>
      </c>
      <c r="H2115" s="17" t="str">
        <f>Github!E$2114</f>
        <v>Medium</v>
      </c>
      <c r="I2115" s="17" t="str">
        <f>IF(TRIM(Github!D$2114)="TRUE","FALSE","TRUE")</f>
        <v>FALSE</v>
      </c>
      <c r="J2115" s="17"/>
      <c r="K2115" s="17" t="str">
        <f>Github!L$2114</f>
        <v>Array;</v>
      </c>
      <c r="L2115" s="17" t="b">
        <f>Github!M$2114</f>
        <v>0</v>
      </c>
      <c r="M2115" s="17" t="str">
        <f>ROUND(Github!N$2114, 2)&amp;"%"</f>
        <v>0%</v>
      </c>
      <c r="N2115" s="17">
        <f>Github!O$2114</f>
        <v>73.74551971</v>
      </c>
      <c r="O2115" s="17">
        <f>Github!P$2114</f>
        <v>823</v>
      </c>
    </row>
    <row r="2116">
      <c r="A2116" s="17">
        <f>Github!J$2115</f>
        <v>2114</v>
      </c>
      <c r="B2116" s="27" t="str">
        <f>HYPERLINK(CONCAT("http://leetcode.com/problems/",Github!C$2115), Github!B$2115)</f>
        <v>Maximum Number of Words Found in Sentences</v>
      </c>
      <c r="C2116" s="17">
        <f>Github!F$2115</f>
        <v>402</v>
      </c>
      <c r="D2116" s="17">
        <f>Github!G$2115</f>
        <v>15</v>
      </c>
      <c r="E2116" s="17">
        <f>Github!F$2115+Github!G$2115</f>
        <v>417</v>
      </c>
      <c r="F2116" s="18">
        <f t="shared" si="1"/>
        <v>26.8</v>
      </c>
      <c r="G2116" s="17" t="str">
        <f>Github!H$2115</f>
        <v>Algorithms</v>
      </c>
      <c r="H2116" s="17" t="str">
        <f>Github!E$2115</f>
        <v>Easy</v>
      </c>
      <c r="I2116" s="17" t="str">
        <f>IF(TRIM(Github!D$2115)="TRUE","FALSE","TRUE")</f>
        <v>TRUE</v>
      </c>
      <c r="J2116" s="17"/>
      <c r="K2116" s="17" t="str">
        <f>Github!L$2115</f>
        <v>Array;String;</v>
      </c>
      <c r="L2116" s="17" t="b">
        <f>Github!M$2115</f>
        <v>0</v>
      </c>
      <c r="M2116" s="17" t="str">
        <f>ROUND(Github!N$2115, 2)&amp;"%"</f>
        <v>0%</v>
      </c>
      <c r="N2116" s="17">
        <f>Github!O$2115</f>
        <v>89.18938728</v>
      </c>
      <c r="O2116" s="17">
        <f>Github!P$2115</f>
        <v>48672</v>
      </c>
    </row>
    <row r="2117">
      <c r="A2117" s="17">
        <f>Github!J$2116</f>
        <v>2115</v>
      </c>
      <c r="B2117" s="27" t="str">
        <f>HYPERLINK(CONCAT("http://leetcode.com/problems/",Github!C$2116), Github!B$2116)</f>
        <v>Find All Possible Recipes from Given Supplies</v>
      </c>
      <c r="C2117" s="17">
        <f>Github!F$2116</f>
        <v>489</v>
      </c>
      <c r="D2117" s="17">
        <f>Github!G$2116</f>
        <v>38</v>
      </c>
      <c r="E2117" s="17">
        <f>Github!F$2116+Github!G$2116</f>
        <v>527</v>
      </c>
      <c r="F2117" s="18">
        <f t="shared" si="1"/>
        <v>12.87</v>
      </c>
      <c r="G2117" s="17" t="str">
        <f>Github!H$2116</f>
        <v>Algorithms</v>
      </c>
      <c r="H2117" s="17" t="str">
        <f>Github!E$2116</f>
        <v>Medium</v>
      </c>
      <c r="I2117" s="17" t="str">
        <f>IF(TRIM(Github!D$2116)="TRUE","FALSE","TRUE")</f>
        <v>TRUE</v>
      </c>
      <c r="J2117" s="17"/>
      <c r="K2117" s="17" t="str">
        <f>Github!L$2116</f>
        <v>Array;Hash Table;String;Graph;Topological Sort;</v>
      </c>
      <c r="L2117" s="17" t="b">
        <f>Github!M$2116</f>
        <v>0</v>
      </c>
      <c r="M2117" s="17" t="str">
        <f>ROUND(Github!N$2116, 2)&amp;"%"</f>
        <v>0%</v>
      </c>
      <c r="N2117" s="17">
        <f>Github!O$2116</f>
        <v>39.39925681</v>
      </c>
      <c r="O2117" s="17">
        <f>Github!P$2116</f>
        <v>15267</v>
      </c>
    </row>
    <row r="2118">
      <c r="A2118" s="17">
        <f>Github!J$2117</f>
        <v>2116</v>
      </c>
      <c r="B2118" s="27" t="str">
        <f>HYPERLINK(CONCAT("http://leetcode.com/problems/",Github!C$2117), Github!B$2117)</f>
        <v>Check if a Parentheses String Can Be Valid</v>
      </c>
      <c r="C2118" s="17">
        <f>Github!F$2117</f>
        <v>365</v>
      </c>
      <c r="D2118" s="17">
        <f>Github!G$2117</f>
        <v>13</v>
      </c>
      <c r="E2118" s="17">
        <f>Github!F$2117+Github!G$2117</f>
        <v>378</v>
      </c>
      <c r="F2118" s="18">
        <f t="shared" si="1"/>
        <v>28.08</v>
      </c>
      <c r="G2118" s="17" t="str">
        <f>Github!H$2117</f>
        <v>Algorithms</v>
      </c>
      <c r="H2118" s="17" t="str">
        <f>Github!E$2117</f>
        <v>Medium</v>
      </c>
      <c r="I2118" s="17" t="str">
        <f>IF(TRIM(Github!D$2117)="TRUE","FALSE","TRUE")</f>
        <v>TRUE</v>
      </c>
      <c r="J2118" s="17"/>
      <c r="K2118" s="17" t="str">
        <f>Github!L$2117</f>
        <v>String;Stack;Greedy;</v>
      </c>
      <c r="L2118" s="17" t="b">
        <f>Github!M$2117</f>
        <v>0</v>
      </c>
      <c r="M2118" s="17" t="str">
        <f>ROUND(Github!N$2117, 2)&amp;"%"</f>
        <v>0%</v>
      </c>
      <c r="N2118" s="17">
        <f>Github!O$2117</f>
        <v>31.17681899</v>
      </c>
      <c r="O2118" s="17">
        <f>Github!P$2117</f>
        <v>6841</v>
      </c>
    </row>
    <row r="2119">
      <c r="A2119" s="17">
        <f>Github!J$2118</f>
        <v>2117</v>
      </c>
      <c r="B2119" s="27" t="str">
        <f>HYPERLINK(CONCAT("http://leetcode.com/problems/",Github!C$2118), Github!B$2118)</f>
        <v>Abbreviating the Product of a Range</v>
      </c>
      <c r="C2119" s="17">
        <f>Github!F$2118</f>
        <v>51</v>
      </c>
      <c r="D2119" s="17">
        <f>Github!G$2118</f>
        <v>89</v>
      </c>
      <c r="E2119" s="17">
        <f>Github!F$2118+Github!G$2118</f>
        <v>140</v>
      </c>
      <c r="F2119" s="18">
        <f t="shared" si="1"/>
        <v>0.57</v>
      </c>
      <c r="G2119" s="17" t="str">
        <f>Github!H$2118</f>
        <v>Algorithms</v>
      </c>
      <c r="H2119" s="17" t="str">
        <f>Github!E$2118</f>
        <v>Hard</v>
      </c>
      <c r="I2119" s="17" t="str">
        <f>IF(TRIM(Github!D$2118)="TRUE","FALSE","TRUE")</f>
        <v>TRUE</v>
      </c>
      <c r="J2119" s="17"/>
      <c r="K2119" s="17" t="str">
        <f>Github!L$2118</f>
        <v>Math;</v>
      </c>
      <c r="L2119" s="17" t="b">
        <f>Github!M$2118</f>
        <v>0</v>
      </c>
      <c r="M2119" s="17" t="str">
        <f>ROUND(Github!N$2118, 2)&amp;"%"</f>
        <v>0%</v>
      </c>
      <c r="N2119" s="17">
        <f>Github!O$2118</f>
        <v>28.25775656</v>
      </c>
      <c r="O2119" s="17">
        <f>Github!P$2118</f>
        <v>1776</v>
      </c>
    </row>
    <row r="2120">
      <c r="A2120" s="17">
        <f>Github!J$2119</f>
        <v>2118</v>
      </c>
      <c r="B2120" s="27" t="str">
        <f>HYPERLINK(CONCAT("http://leetcode.com/problems/",Github!C$2119), Github!B$2119)</f>
        <v>Build the Equation</v>
      </c>
      <c r="C2120" s="17">
        <f>Github!F$2119</f>
        <v>9</v>
      </c>
      <c r="D2120" s="17">
        <f>Github!G$2119</f>
        <v>13</v>
      </c>
      <c r="E2120" s="17">
        <f>Github!F$2119+Github!G$2119</f>
        <v>22</v>
      </c>
      <c r="F2120" s="18">
        <f t="shared" si="1"/>
        <v>0.69</v>
      </c>
      <c r="G2120" s="17" t="str">
        <f>Github!H$2119</f>
        <v>Database</v>
      </c>
      <c r="H2120" s="17" t="str">
        <f>Github!E$2119</f>
        <v>Hard</v>
      </c>
      <c r="I2120" s="17" t="str">
        <f>IF(TRIM(Github!D$2119)="TRUE","FALSE","TRUE")</f>
        <v>FALSE</v>
      </c>
      <c r="J2120" s="17"/>
      <c r="K2120" s="17" t="str">
        <f>Github!L$2119</f>
        <v>Database;</v>
      </c>
      <c r="L2120" s="17" t="b">
        <f>Github!M$2119</f>
        <v>0</v>
      </c>
      <c r="M2120" s="17" t="str">
        <f>ROUND(Github!N$2119, 2)&amp;"%"</f>
        <v>0%</v>
      </c>
      <c r="N2120" s="17">
        <f>Github!O$2119</f>
        <v>57.81071836</v>
      </c>
      <c r="O2120" s="17">
        <f>Github!P$2119</f>
        <v>507</v>
      </c>
    </row>
    <row r="2121">
      <c r="A2121" s="17">
        <f>Github!J$2120</f>
        <v>2119</v>
      </c>
      <c r="B2121" s="27" t="str">
        <f>HYPERLINK(CONCAT("http://leetcode.com/problems/",Github!C$2120), Github!B$2120)</f>
        <v>A Number After a Double Reversal</v>
      </c>
      <c r="C2121" s="17">
        <f>Github!F$2120</f>
        <v>197</v>
      </c>
      <c r="D2121" s="17">
        <f>Github!G$2120</f>
        <v>14</v>
      </c>
      <c r="E2121" s="17">
        <f>Github!F$2120+Github!G$2120</f>
        <v>211</v>
      </c>
      <c r="F2121" s="18">
        <f t="shared" si="1"/>
        <v>14.07</v>
      </c>
      <c r="G2121" s="17" t="str">
        <f>Github!H$2120</f>
        <v>Algorithms</v>
      </c>
      <c r="H2121" s="17" t="str">
        <f>Github!E$2120</f>
        <v>Easy</v>
      </c>
      <c r="I2121" s="17" t="str">
        <f>IF(TRIM(Github!D$2120)="TRUE","FALSE","TRUE")</f>
        <v>TRUE</v>
      </c>
      <c r="J2121" s="17"/>
      <c r="K2121" s="17" t="str">
        <f>Github!L$2120</f>
        <v>Math;</v>
      </c>
      <c r="L2121" s="17" t="b">
        <f>Github!M$2120</f>
        <v>0</v>
      </c>
      <c r="M2121" s="17" t="str">
        <f>ROUND(Github!N$2120, 2)&amp;"%"</f>
        <v>0%</v>
      </c>
      <c r="N2121" s="17">
        <f>Github!O$2120</f>
        <v>77.16497495</v>
      </c>
      <c r="O2121" s="17">
        <f>Github!P$2120</f>
        <v>24022</v>
      </c>
    </row>
    <row r="2122">
      <c r="A2122" s="17">
        <f>Github!J$2121</f>
        <v>2120</v>
      </c>
      <c r="B2122" s="27" t="str">
        <f>HYPERLINK(CONCAT("http://leetcode.com/problems/",Github!C$2121), Github!B$2121)</f>
        <v>Execution of All Suffix Instructions Staying in a Grid</v>
      </c>
      <c r="C2122" s="17">
        <f>Github!F$2121</f>
        <v>224</v>
      </c>
      <c r="D2122" s="17">
        <f>Github!G$2121</f>
        <v>22</v>
      </c>
      <c r="E2122" s="17">
        <f>Github!F$2121+Github!G$2121</f>
        <v>246</v>
      </c>
      <c r="F2122" s="18">
        <f t="shared" si="1"/>
        <v>10.18</v>
      </c>
      <c r="G2122" s="17" t="str">
        <f>Github!H$2121</f>
        <v>Algorithms</v>
      </c>
      <c r="H2122" s="17" t="str">
        <f>Github!E$2121</f>
        <v>Medium</v>
      </c>
      <c r="I2122" s="17" t="str">
        <f>IF(TRIM(Github!D$2121)="TRUE","FALSE","TRUE")</f>
        <v>TRUE</v>
      </c>
      <c r="J2122" s="17"/>
      <c r="K2122" s="17" t="str">
        <f>Github!L$2121</f>
        <v>String;Simulation;</v>
      </c>
      <c r="L2122" s="17" t="b">
        <f>Github!M$2121</f>
        <v>0</v>
      </c>
      <c r="M2122" s="17" t="str">
        <f>ROUND(Github!N$2121, 2)&amp;"%"</f>
        <v>0%</v>
      </c>
      <c r="N2122" s="17">
        <f>Github!O$2121</f>
        <v>82.91808459</v>
      </c>
      <c r="O2122" s="17">
        <f>Github!P$2121</f>
        <v>13645</v>
      </c>
    </row>
    <row r="2123">
      <c r="A2123" s="17">
        <f>Github!J$2122</f>
        <v>2121</v>
      </c>
      <c r="B2123" s="27" t="str">
        <f>HYPERLINK(CONCAT("http://leetcode.com/problems/",Github!C$2122), Github!B$2122)</f>
        <v>Intervals Between Identical Elements</v>
      </c>
      <c r="C2123" s="17">
        <f>Github!F$2122</f>
        <v>443</v>
      </c>
      <c r="D2123" s="17">
        <f>Github!G$2122</f>
        <v>19</v>
      </c>
      <c r="E2123" s="17">
        <f>Github!F$2122+Github!G$2122</f>
        <v>462</v>
      </c>
      <c r="F2123" s="18">
        <f t="shared" si="1"/>
        <v>23.32</v>
      </c>
      <c r="G2123" s="17" t="str">
        <f>Github!H$2122</f>
        <v>Algorithms</v>
      </c>
      <c r="H2123" s="17" t="str">
        <f>Github!E$2122</f>
        <v>Medium</v>
      </c>
      <c r="I2123" s="17" t="str">
        <f>IF(TRIM(Github!D$2122)="TRUE","FALSE","TRUE")</f>
        <v>TRUE</v>
      </c>
      <c r="J2123" s="17"/>
      <c r="K2123" s="17" t="str">
        <f>Github!L$2122</f>
        <v>Array;Hash Table;Prefix Sum;</v>
      </c>
      <c r="L2123" s="17" t="b">
        <f>Github!M$2122</f>
        <v>0</v>
      </c>
      <c r="M2123" s="17" t="str">
        <f>ROUND(Github!N$2122, 2)&amp;"%"</f>
        <v>0%</v>
      </c>
      <c r="N2123" s="17">
        <f>Github!O$2122</f>
        <v>41.81884292</v>
      </c>
      <c r="O2123" s="17">
        <f>Github!P$2122</f>
        <v>10349</v>
      </c>
    </row>
    <row r="2124">
      <c r="A2124" s="17">
        <f>Github!J$2123</f>
        <v>2122</v>
      </c>
      <c r="B2124" s="27" t="str">
        <f>HYPERLINK(CONCAT("http://leetcode.com/problems/",Github!C$2123), Github!B$2123)</f>
        <v>Recover the Original Array</v>
      </c>
      <c r="C2124" s="17">
        <f>Github!F$2123</f>
        <v>210</v>
      </c>
      <c r="D2124" s="17">
        <f>Github!G$2123</f>
        <v>26</v>
      </c>
      <c r="E2124" s="17">
        <f>Github!F$2123+Github!G$2123</f>
        <v>236</v>
      </c>
      <c r="F2124" s="18">
        <f t="shared" si="1"/>
        <v>8.08</v>
      </c>
      <c r="G2124" s="17" t="str">
        <f>Github!H$2123</f>
        <v>Algorithms</v>
      </c>
      <c r="H2124" s="17" t="str">
        <f>Github!E$2123</f>
        <v>Hard</v>
      </c>
      <c r="I2124" s="17" t="str">
        <f>IF(TRIM(Github!D$2123)="TRUE","FALSE","TRUE")</f>
        <v>TRUE</v>
      </c>
      <c r="J2124" s="17"/>
      <c r="K2124" s="17" t="str">
        <f>Github!L$2123</f>
        <v>Array;Hash Table;Sorting;Enumeration;</v>
      </c>
      <c r="L2124" s="17" t="b">
        <f>Github!M$2123</f>
        <v>0</v>
      </c>
      <c r="M2124" s="17" t="str">
        <f>ROUND(Github!N$2123, 2)&amp;"%"</f>
        <v>0%</v>
      </c>
      <c r="N2124" s="17">
        <f>Github!O$2123</f>
        <v>37.53007217</v>
      </c>
      <c r="O2124" s="17">
        <f>Github!P$2123</f>
        <v>6084</v>
      </c>
    </row>
    <row r="2125">
      <c r="A2125" s="17">
        <f>Github!J$2124</f>
        <v>2123</v>
      </c>
      <c r="B2125" s="27" t="str">
        <f>HYPERLINK(CONCAT("http://leetcode.com/problems/",Github!C$2124), Github!B$2124)</f>
        <v>Minimum Operations to Remove Adjacent Ones in Matrix</v>
      </c>
      <c r="C2125" s="17">
        <f>Github!F$2124</f>
        <v>20</v>
      </c>
      <c r="D2125" s="17">
        <f>Github!G$2124</f>
        <v>4</v>
      </c>
      <c r="E2125" s="17">
        <f>Github!F$2124+Github!G$2124</f>
        <v>24</v>
      </c>
      <c r="F2125" s="18">
        <f t="shared" si="1"/>
        <v>5</v>
      </c>
      <c r="G2125" s="17" t="str">
        <f>Github!H$2124</f>
        <v>Algorithms</v>
      </c>
      <c r="H2125" s="17" t="str">
        <f>Github!E$2124</f>
        <v>Hard</v>
      </c>
      <c r="I2125" s="17" t="str">
        <f>IF(TRIM(Github!D$2124)="TRUE","FALSE","TRUE")</f>
        <v>FALSE</v>
      </c>
      <c r="J2125" s="17"/>
      <c r="K2125" s="17" t="str">
        <f>Github!L$2124</f>
        <v>Array;Graph;Matrix;</v>
      </c>
      <c r="L2125" s="17" t="b">
        <f>Github!M$2124</f>
        <v>0</v>
      </c>
      <c r="M2125" s="17" t="str">
        <f>ROUND(Github!N$2124, 2)&amp;"%"</f>
        <v>0%</v>
      </c>
      <c r="N2125" s="17">
        <f>Github!O$2124</f>
        <v>41.86295503</v>
      </c>
      <c r="O2125" s="17">
        <f>Github!P$2124</f>
        <v>391</v>
      </c>
    </row>
    <row r="2126">
      <c r="A2126" s="17">
        <f>Github!J$2125</f>
        <v>2124</v>
      </c>
      <c r="B2126" s="27" t="str">
        <f>HYPERLINK(CONCAT("http://leetcode.com/problems/",Github!C$2125), Github!B$2125)</f>
        <v>Check if All A's Appears Before All B's</v>
      </c>
      <c r="C2126" s="17">
        <f>Github!F$2125</f>
        <v>252</v>
      </c>
      <c r="D2126" s="17">
        <f>Github!G$2125</f>
        <v>2</v>
      </c>
      <c r="E2126" s="17">
        <f>Github!F$2125+Github!G$2125</f>
        <v>254</v>
      </c>
      <c r="F2126" s="18">
        <f t="shared" si="1"/>
        <v>126</v>
      </c>
      <c r="G2126" s="17" t="str">
        <f>Github!H$2125</f>
        <v>Algorithms</v>
      </c>
      <c r="H2126" s="17" t="str">
        <f>Github!E$2125</f>
        <v>Easy</v>
      </c>
      <c r="I2126" s="17" t="str">
        <f>IF(TRIM(Github!D$2125)="TRUE","FALSE","TRUE")</f>
        <v>TRUE</v>
      </c>
      <c r="J2126" s="17"/>
      <c r="K2126" s="17" t="str">
        <f>Github!L$2125</f>
        <v>String;</v>
      </c>
      <c r="L2126" s="17" t="b">
        <f>Github!M$2125</f>
        <v>0</v>
      </c>
      <c r="M2126" s="17" t="str">
        <f>ROUND(Github!N$2125, 2)&amp;"%"</f>
        <v>0%</v>
      </c>
      <c r="N2126" s="17">
        <f>Github!O$2125</f>
        <v>72.70446418</v>
      </c>
      <c r="O2126" s="17">
        <f>Github!P$2125</f>
        <v>25211</v>
      </c>
    </row>
    <row r="2127">
      <c r="A2127" s="17">
        <f>Github!J$2126</f>
        <v>2125</v>
      </c>
      <c r="B2127" s="27" t="str">
        <f>HYPERLINK(CONCAT("http://leetcode.com/problems/",Github!C$2126), Github!B$2126)</f>
        <v>Number of Laser Beams in a Bank</v>
      </c>
      <c r="C2127" s="17">
        <f>Github!F$2126</f>
        <v>277</v>
      </c>
      <c r="D2127" s="17">
        <f>Github!G$2126</f>
        <v>21</v>
      </c>
      <c r="E2127" s="17">
        <f>Github!F$2126+Github!G$2126</f>
        <v>298</v>
      </c>
      <c r="F2127" s="18">
        <f t="shared" si="1"/>
        <v>13.19</v>
      </c>
      <c r="G2127" s="17" t="str">
        <f>Github!H$2126</f>
        <v>Algorithms</v>
      </c>
      <c r="H2127" s="17" t="str">
        <f>Github!E$2126</f>
        <v>Medium</v>
      </c>
      <c r="I2127" s="17" t="str">
        <f>IF(TRIM(Github!D$2126)="TRUE","FALSE","TRUE")</f>
        <v>TRUE</v>
      </c>
      <c r="J2127" s="17"/>
      <c r="K2127" s="17" t="str">
        <f>Github!L$2126</f>
        <v>Array;Math;String;Matrix;</v>
      </c>
      <c r="L2127" s="17" t="b">
        <f>Github!M$2126</f>
        <v>0</v>
      </c>
      <c r="M2127" s="17" t="str">
        <f>ROUND(Github!N$2126, 2)&amp;"%"</f>
        <v>0%</v>
      </c>
      <c r="N2127" s="17">
        <f>Github!O$2126</f>
        <v>83.36696678</v>
      </c>
      <c r="O2127" s="17">
        <f>Github!P$2126</f>
        <v>21480</v>
      </c>
    </row>
    <row r="2128">
      <c r="A2128" s="17">
        <f>Github!J$2127</f>
        <v>2126</v>
      </c>
      <c r="B2128" s="27" t="str">
        <f>HYPERLINK(CONCAT("http://leetcode.com/problems/",Github!C$2127), Github!B$2127)</f>
        <v>Destroying Asteroids</v>
      </c>
      <c r="C2128" s="17">
        <f>Github!F$2127</f>
        <v>188</v>
      </c>
      <c r="D2128" s="17">
        <f>Github!G$2127</f>
        <v>96</v>
      </c>
      <c r="E2128" s="17">
        <f>Github!F$2127+Github!G$2127</f>
        <v>284</v>
      </c>
      <c r="F2128" s="18">
        <f t="shared" si="1"/>
        <v>1.96</v>
      </c>
      <c r="G2128" s="17" t="str">
        <f>Github!H$2127</f>
        <v>Algorithms</v>
      </c>
      <c r="H2128" s="17" t="str">
        <f>Github!E$2127</f>
        <v>Medium</v>
      </c>
      <c r="I2128" s="17" t="str">
        <f>IF(TRIM(Github!D$2127)="TRUE","FALSE","TRUE")</f>
        <v>TRUE</v>
      </c>
      <c r="J2128" s="17"/>
      <c r="K2128" s="17" t="str">
        <f>Github!L$2127</f>
        <v>Array;Greedy;Sorting;</v>
      </c>
      <c r="L2128" s="17" t="b">
        <f>Github!M$2127</f>
        <v>0</v>
      </c>
      <c r="M2128" s="17" t="str">
        <f>ROUND(Github!N$2127, 2)&amp;"%"</f>
        <v>0%</v>
      </c>
      <c r="N2128" s="17">
        <f>Github!O$2127</f>
        <v>48.14969162</v>
      </c>
      <c r="O2128" s="17">
        <f>Github!P$2127</f>
        <v>17330</v>
      </c>
    </row>
    <row r="2129">
      <c r="A2129" s="17">
        <f>Github!J$2128</f>
        <v>2127</v>
      </c>
      <c r="B2129" s="27" t="str">
        <f>HYPERLINK(CONCAT("http://leetcode.com/problems/",Github!C$2128), Github!B$2128)</f>
        <v>Maximum Employees to Be Invited to a Meeting</v>
      </c>
      <c r="C2129" s="17">
        <f>Github!F$2128</f>
        <v>440</v>
      </c>
      <c r="D2129" s="17">
        <f>Github!G$2128</f>
        <v>5</v>
      </c>
      <c r="E2129" s="17">
        <f>Github!F$2128+Github!G$2128</f>
        <v>445</v>
      </c>
      <c r="F2129" s="18">
        <f t="shared" si="1"/>
        <v>88</v>
      </c>
      <c r="G2129" s="17" t="str">
        <f>Github!H$2128</f>
        <v>Algorithms</v>
      </c>
      <c r="H2129" s="17" t="str">
        <f>Github!E$2128</f>
        <v>Hard</v>
      </c>
      <c r="I2129" s="17" t="str">
        <f>IF(TRIM(Github!D$2128)="TRUE","FALSE","TRUE")</f>
        <v>TRUE</v>
      </c>
      <c r="J2129" s="17"/>
      <c r="K2129" s="17" t="str">
        <f>Github!L$2128</f>
        <v>Depth-First Search;Graph;Topological Sort;</v>
      </c>
      <c r="L2129" s="17" t="b">
        <f>Github!M$2128</f>
        <v>0</v>
      </c>
      <c r="M2129" s="17" t="str">
        <f>ROUND(Github!N$2128, 2)&amp;"%"</f>
        <v>0%</v>
      </c>
      <c r="N2129" s="17">
        <f>Github!O$2128</f>
        <v>29.56533719</v>
      </c>
      <c r="O2129" s="17">
        <f>Github!P$2128</f>
        <v>4292</v>
      </c>
    </row>
    <row r="2130">
      <c r="A2130" s="17">
        <f>Github!J$2129</f>
        <v>2128</v>
      </c>
      <c r="B2130" s="27" t="str">
        <f>HYPERLINK(CONCAT("http://leetcode.com/problems/",Github!C$2129), Github!B$2129)</f>
        <v>Remove All Ones With Row and Column Flips</v>
      </c>
      <c r="C2130" s="17">
        <f>Github!F$2129</f>
        <v>170</v>
      </c>
      <c r="D2130" s="17">
        <f>Github!G$2129</f>
        <v>33</v>
      </c>
      <c r="E2130" s="17">
        <f>Github!F$2129+Github!G$2129</f>
        <v>203</v>
      </c>
      <c r="F2130" s="18">
        <f t="shared" si="1"/>
        <v>5.15</v>
      </c>
      <c r="G2130" s="17" t="str">
        <f>Github!H$2129</f>
        <v>Algorithms</v>
      </c>
      <c r="H2130" s="17" t="str">
        <f>Github!E$2129</f>
        <v>Medium</v>
      </c>
      <c r="I2130" s="17" t="str">
        <f>IF(TRIM(Github!D$2129)="TRUE","FALSE","TRUE")</f>
        <v>FALSE</v>
      </c>
      <c r="J2130" s="17"/>
      <c r="K2130" s="17" t="str">
        <f>Github!L$2129</f>
        <v>Array;Math;Bit Manipulation;Matrix;</v>
      </c>
      <c r="L2130" s="17" t="b">
        <f>Github!M$2129</f>
        <v>0</v>
      </c>
      <c r="M2130" s="17" t="str">
        <f>ROUND(Github!N$2129, 2)&amp;"%"</f>
        <v>0%</v>
      </c>
      <c r="N2130" s="17">
        <f>Github!O$2129</f>
        <v>76.28437433</v>
      </c>
      <c r="O2130" s="17">
        <f>Github!P$2129</f>
        <v>7157</v>
      </c>
    </row>
    <row r="2131">
      <c r="A2131" s="17">
        <f>Github!J$2130</f>
        <v>2129</v>
      </c>
      <c r="B2131" s="27" t="str">
        <f>HYPERLINK(CONCAT("http://leetcode.com/problems/",Github!C$2130), Github!B$2130)</f>
        <v>Capitalize the Title</v>
      </c>
      <c r="C2131" s="17">
        <f>Github!F$2130</f>
        <v>227</v>
      </c>
      <c r="D2131" s="17">
        <f>Github!G$2130</f>
        <v>24</v>
      </c>
      <c r="E2131" s="17">
        <f>Github!F$2130+Github!G$2130</f>
        <v>251</v>
      </c>
      <c r="F2131" s="18">
        <f t="shared" si="1"/>
        <v>9.46</v>
      </c>
      <c r="G2131" s="17" t="str">
        <f>Github!H$2130</f>
        <v>Algorithms</v>
      </c>
      <c r="H2131" s="17" t="str">
        <f>Github!E$2130</f>
        <v>Easy</v>
      </c>
      <c r="I2131" s="17" t="str">
        <f>IF(TRIM(Github!D$2130)="TRUE","FALSE","TRUE")</f>
        <v>TRUE</v>
      </c>
      <c r="J2131" s="17"/>
      <c r="K2131" s="17" t="str">
        <f>Github!L$2130</f>
        <v>String;</v>
      </c>
      <c r="L2131" s="17" t="b">
        <f>Github!M$2130</f>
        <v>0</v>
      </c>
      <c r="M2131" s="17" t="str">
        <f>ROUND(Github!N$2130, 2)&amp;"%"</f>
        <v>0%</v>
      </c>
      <c r="N2131" s="17">
        <f>Github!O$2130</f>
        <v>59.44619069</v>
      </c>
      <c r="O2131" s="17">
        <f>Github!P$2130</f>
        <v>19858</v>
      </c>
    </row>
    <row r="2132">
      <c r="A2132" s="17">
        <f>Github!J$2131</f>
        <v>2130</v>
      </c>
      <c r="B2132" s="27" t="str">
        <f>HYPERLINK(CONCAT("http://leetcode.com/problems/",Github!C$2131), Github!B$2131)</f>
        <v>Maximum Twin Sum of a Linked List</v>
      </c>
      <c r="C2132" s="17">
        <f>Github!F$2131</f>
        <v>384</v>
      </c>
      <c r="D2132" s="17">
        <f>Github!G$2131</f>
        <v>15</v>
      </c>
      <c r="E2132" s="17">
        <f>Github!F$2131+Github!G$2131</f>
        <v>399</v>
      </c>
      <c r="F2132" s="18">
        <f t="shared" si="1"/>
        <v>25.6</v>
      </c>
      <c r="G2132" s="17" t="str">
        <f>Github!H$2131</f>
        <v>Algorithms</v>
      </c>
      <c r="H2132" s="17" t="str">
        <f>Github!E$2131</f>
        <v>Medium</v>
      </c>
      <c r="I2132" s="17" t="str">
        <f>IF(TRIM(Github!D$2131)="TRUE","FALSE","TRUE")</f>
        <v>TRUE</v>
      </c>
      <c r="J2132" s="17"/>
      <c r="K2132" s="17" t="str">
        <f>Github!L$2131</f>
        <v>Linked List;Two Pointers;Stack;</v>
      </c>
      <c r="L2132" s="17" t="b">
        <f>Github!M$2131</f>
        <v>0</v>
      </c>
      <c r="M2132" s="17" t="str">
        <f>ROUND(Github!N$2131, 2)&amp;"%"</f>
        <v>0%</v>
      </c>
      <c r="N2132" s="17">
        <f>Github!O$2131</f>
        <v>82.38129496</v>
      </c>
      <c r="O2132" s="17">
        <f>Github!P$2131</f>
        <v>22896</v>
      </c>
    </row>
    <row r="2133">
      <c r="A2133" s="17">
        <f>Github!J$2132</f>
        <v>2131</v>
      </c>
      <c r="B2133" s="27" t="str">
        <f>HYPERLINK(CONCAT("http://leetcode.com/problems/",Github!C$2132), Github!B$2132)</f>
        <v>Longest Palindrome by Concatenating Two Letter Words</v>
      </c>
      <c r="C2133" s="17">
        <f>Github!F$2132</f>
        <v>353</v>
      </c>
      <c r="D2133" s="17">
        <f>Github!G$2132</f>
        <v>7</v>
      </c>
      <c r="E2133" s="17">
        <f>Github!F$2132+Github!G$2132</f>
        <v>360</v>
      </c>
      <c r="F2133" s="18">
        <f t="shared" si="1"/>
        <v>50.43</v>
      </c>
      <c r="G2133" s="17" t="str">
        <f>Github!H$2132</f>
        <v>Algorithms</v>
      </c>
      <c r="H2133" s="17" t="str">
        <f>Github!E$2132</f>
        <v>Medium</v>
      </c>
      <c r="I2133" s="17" t="str">
        <f>IF(TRIM(Github!D$2132)="TRUE","FALSE","TRUE")</f>
        <v>TRUE</v>
      </c>
      <c r="J2133" s="17"/>
      <c r="K2133" s="17" t="str">
        <f>Github!L$2132</f>
        <v>Array;Hash Table;String;Greedy;Counting;</v>
      </c>
      <c r="L2133" s="17" t="b">
        <f>Github!M$2132</f>
        <v>0</v>
      </c>
      <c r="M2133" s="17" t="str">
        <f>ROUND(Github!N$2132, 2)&amp;"%"</f>
        <v>0%</v>
      </c>
      <c r="N2133" s="17">
        <f>Github!O$2132</f>
        <v>37.86888868</v>
      </c>
      <c r="O2133" s="17">
        <f>Github!P$2132</f>
        <v>11998</v>
      </c>
    </row>
    <row r="2134">
      <c r="A2134" s="17">
        <f>Github!J$2133</f>
        <v>2132</v>
      </c>
      <c r="B2134" s="27" t="str">
        <f>HYPERLINK(CONCAT("http://leetcode.com/problems/",Github!C$2133), Github!B$2133)</f>
        <v>Stamping the Grid</v>
      </c>
      <c r="C2134" s="17">
        <f>Github!F$2133</f>
        <v>199</v>
      </c>
      <c r="D2134" s="17">
        <f>Github!G$2133</f>
        <v>17</v>
      </c>
      <c r="E2134" s="17">
        <f>Github!F$2133+Github!G$2133</f>
        <v>216</v>
      </c>
      <c r="F2134" s="18">
        <f t="shared" si="1"/>
        <v>11.71</v>
      </c>
      <c r="G2134" s="17" t="str">
        <f>Github!H$2133</f>
        <v>Algorithms</v>
      </c>
      <c r="H2134" s="17" t="str">
        <f>Github!E$2133</f>
        <v>Hard</v>
      </c>
      <c r="I2134" s="17" t="str">
        <f>IF(TRIM(Github!D$2133)="TRUE","FALSE","TRUE")</f>
        <v>TRUE</v>
      </c>
      <c r="J2134" s="17"/>
      <c r="K2134" s="17" t="str">
        <f>Github!L$2133</f>
        <v>Array;Greedy;Matrix;Prefix Sum;</v>
      </c>
      <c r="L2134" s="17" t="b">
        <f>Github!M$2133</f>
        <v>0</v>
      </c>
      <c r="M2134" s="17" t="str">
        <f>ROUND(Github!N$2133, 2)&amp;"%"</f>
        <v>0%</v>
      </c>
      <c r="N2134" s="17">
        <f>Github!O$2133</f>
        <v>27.71094994</v>
      </c>
      <c r="O2134" s="17">
        <f>Github!P$2133</f>
        <v>3133</v>
      </c>
    </row>
    <row r="2135">
      <c r="A2135" s="17">
        <f>Github!J$2134</f>
        <v>2133</v>
      </c>
      <c r="B2135" s="27" t="str">
        <f>HYPERLINK(CONCAT("http://leetcode.com/problems/",Github!C$2134), Github!B$2134)</f>
        <v>Check if Every Row and Column Contains All Numbers</v>
      </c>
      <c r="C2135" s="17">
        <f>Github!F$2134</f>
        <v>276</v>
      </c>
      <c r="D2135" s="17">
        <f>Github!G$2134</f>
        <v>14</v>
      </c>
      <c r="E2135" s="17">
        <f>Github!F$2134+Github!G$2134</f>
        <v>290</v>
      </c>
      <c r="F2135" s="18">
        <f t="shared" si="1"/>
        <v>19.71</v>
      </c>
      <c r="G2135" s="17" t="str">
        <f>Github!H$2134</f>
        <v>Algorithms</v>
      </c>
      <c r="H2135" s="17" t="str">
        <f>Github!E$2134</f>
        <v>Easy</v>
      </c>
      <c r="I2135" s="17" t="str">
        <f>IF(TRIM(Github!D$2134)="TRUE","FALSE","TRUE")</f>
        <v>TRUE</v>
      </c>
      <c r="J2135" s="17"/>
      <c r="K2135" s="17" t="str">
        <f>Github!L$2134</f>
        <v>Array;Hash Table;Matrix;</v>
      </c>
      <c r="L2135" s="17" t="b">
        <f>Github!M$2134</f>
        <v>0</v>
      </c>
      <c r="M2135" s="17" t="str">
        <f>ROUND(Github!N$2134, 2)&amp;"%"</f>
        <v>0%</v>
      </c>
      <c r="N2135" s="17">
        <f>Github!O$2134</f>
        <v>51.92831573</v>
      </c>
      <c r="O2135" s="17">
        <f>Github!P$2134</f>
        <v>23065</v>
      </c>
    </row>
    <row r="2136">
      <c r="A2136" s="17">
        <f>Github!J$2135</f>
        <v>2134</v>
      </c>
      <c r="B2136" s="27" t="str">
        <f>HYPERLINK(CONCAT("http://leetcode.com/problems/",Github!C$2135), Github!B$2135)</f>
        <v>Minimum Swaps to Group All 1's Together II</v>
      </c>
      <c r="C2136" s="17">
        <f>Github!F$2135</f>
        <v>506</v>
      </c>
      <c r="D2136" s="17">
        <f>Github!G$2135</f>
        <v>5</v>
      </c>
      <c r="E2136" s="17">
        <f>Github!F$2135+Github!G$2135</f>
        <v>511</v>
      </c>
      <c r="F2136" s="18">
        <f t="shared" si="1"/>
        <v>101.2</v>
      </c>
      <c r="G2136" s="17" t="str">
        <f>Github!H$2135</f>
        <v>Algorithms</v>
      </c>
      <c r="H2136" s="17" t="str">
        <f>Github!E$2135</f>
        <v>Medium</v>
      </c>
      <c r="I2136" s="17" t="str">
        <f>IF(TRIM(Github!D$2135)="TRUE","FALSE","TRUE")</f>
        <v>TRUE</v>
      </c>
      <c r="J2136" s="17"/>
      <c r="K2136" s="17" t="str">
        <f>Github!L$2135</f>
        <v>Array;Sliding Window;</v>
      </c>
      <c r="L2136" s="17" t="b">
        <f>Github!M$2135</f>
        <v>0</v>
      </c>
      <c r="M2136" s="17" t="str">
        <f>ROUND(Github!N$2135, 2)&amp;"%"</f>
        <v>0%</v>
      </c>
      <c r="N2136" s="17">
        <f>Github!O$2135</f>
        <v>46.96308211</v>
      </c>
      <c r="O2136" s="17">
        <f>Github!P$2135</f>
        <v>12262</v>
      </c>
    </row>
    <row r="2137">
      <c r="A2137" s="17">
        <f>Github!J$2136</f>
        <v>2135</v>
      </c>
      <c r="B2137" s="27" t="str">
        <f>HYPERLINK(CONCAT("http://leetcode.com/problems/",Github!C$2136), Github!B$2136)</f>
        <v>Count Words Obtained After Adding a Letter</v>
      </c>
      <c r="C2137" s="17">
        <f>Github!F$2136</f>
        <v>301</v>
      </c>
      <c r="D2137" s="17">
        <f>Github!G$2136</f>
        <v>57</v>
      </c>
      <c r="E2137" s="17">
        <f>Github!F$2136+Github!G$2136</f>
        <v>358</v>
      </c>
      <c r="F2137" s="18">
        <f t="shared" si="1"/>
        <v>5.28</v>
      </c>
      <c r="G2137" s="17" t="str">
        <f>Github!H$2136</f>
        <v>Algorithms</v>
      </c>
      <c r="H2137" s="17" t="str">
        <f>Github!E$2136</f>
        <v>Medium</v>
      </c>
      <c r="I2137" s="17" t="str">
        <f>IF(TRIM(Github!D$2136)="TRUE","FALSE","TRUE")</f>
        <v>TRUE</v>
      </c>
      <c r="J2137" s="17"/>
      <c r="K2137" s="17" t="str">
        <f>Github!L$2136</f>
        <v>Array;Hash Table;String;Bit Manipulation;Sorting;</v>
      </c>
      <c r="L2137" s="17" t="b">
        <f>Github!M$2136</f>
        <v>0</v>
      </c>
      <c r="M2137" s="17" t="str">
        <f>ROUND(Github!N$2136, 2)&amp;"%"</f>
        <v>0%</v>
      </c>
      <c r="N2137" s="17">
        <f>Github!O$2136</f>
        <v>36.12248086</v>
      </c>
      <c r="O2137" s="17">
        <f>Github!P$2136</f>
        <v>11561</v>
      </c>
    </row>
    <row r="2138">
      <c r="A2138" s="17">
        <f>Github!J$2137</f>
        <v>2136</v>
      </c>
      <c r="B2138" s="27" t="str">
        <f>HYPERLINK(CONCAT("http://leetcode.com/problems/",Github!C$2137), Github!B$2137)</f>
        <v>Earliest Possible Day of Full Bloom</v>
      </c>
      <c r="C2138" s="17">
        <f>Github!F$2137</f>
        <v>221</v>
      </c>
      <c r="D2138" s="17">
        <f>Github!G$2137</f>
        <v>11</v>
      </c>
      <c r="E2138" s="17">
        <f>Github!F$2137+Github!G$2137</f>
        <v>232</v>
      </c>
      <c r="F2138" s="18">
        <f t="shared" si="1"/>
        <v>20.09</v>
      </c>
      <c r="G2138" s="17" t="str">
        <f>Github!H$2137</f>
        <v>Algorithms</v>
      </c>
      <c r="H2138" s="17" t="str">
        <f>Github!E$2137</f>
        <v>Hard</v>
      </c>
      <c r="I2138" s="17" t="str">
        <f>IF(TRIM(Github!D$2137)="TRUE","FALSE","TRUE")</f>
        <v>TRUE</v>
      </c>
      <c r="J2138" s="17"/>
      <c r="K2138" s="17" t="str">
        <f>Github!L$2137</f>
        <v>Array;Greedy;Sorting;</v>
      </c>
      <c r="L2138" s="17" t="b">
        <f>Github!M$2137</f>
        <v>0</v>
      </c>
      <c r="M2138" s="17" t="str">
        <f>ROUND(Github!N$2137, 2)&amp;"%"</f>
        <v>0%</v>
      </c>
      <c r="N2138" s="17">
        <f>Github!O$2137</f>
        <v>67.53948903</v>
      </c>
      <c r="O2138" s="17">
        <f>Github!P$2137</f>
        <v>6371</v>
      </c>
    </row>
    <row r="2139">
      <c r="A2139" s="17">
        <f>Github!J$2138</f>
        <v>2137</v>
      </c>
      <c r="B2139" s="27" t="str">
        <f>HYPERLINK(CONCAT("http://leetcode.com/problems/",Github!C$2138), Github!B$2138)</f>
        <v>Pour Water Between Buckets to Make Water Levels Equal</v>
      </c>
      <c r="C2139" s="17">
        <f>Github!F$2138</f>
        <v>40</v>
      </c>
      <c r="D2139" s="17">
        <f>Github!G$2138</f>
        <v>2</v>
      </c>
      <c r="E2139" s="17">
        <f>Github!F$2138+Github!G$2138</f>
        <v>42</v>
      </c>
      <c r="F2139" s="18">
        <f t="shared" si="1"/>
        <v>20</v>
      </c>
      <c r="G2139" s="17" t="str">
        <f>Github!H$2138</f>
        <v>Algorithms</v>
      </c>
      <c r="H2139" s="17" t="str">
        <f>Github!E$2138</f>
        <v>Medium</v>
      </c>
      <c r="I2139" s="17" t="str">
        <f>IF(TRIM(Github!D$2138)="TRUE","FALSE","TRUE")</f>
        <v>FALSE</v>
      </c>
      <c r="J2139" s="17"/>
      <c r="K2139" s="17" t="str">
        <f>Github!L$2138</f>
        <v>Array;Binary Search;</v>
      </c>
      <c r="L2139" s="17" t="b">
        <f>Github!M$2138</f>
        <v>0</v>
      </c>
      <c r="M2139" s="17" t="str">
        <f>ROUND(Github!N$2138, 2)&amp;"%"</f>
        <v>0%</v>
      </c>
      <c r="N2139" s="17">
        <f>Github!O$2138</f>
        <v>67.88655078</v>
      </c>
      <c r="O2139" s="17">
        <f>Github!P$2138</f>
        <v>742</v>
      </c>
    </row>
    <row r="2140">
      <c r="A2140" s="17">
        <f>Github!J$2139</f>
        <v>2138</v>
      </c>
      <c r="B2140" s="27" t="str">
        <f>HYPERLINK(CONCAT("http://leetcode.com/problems/",Github!C$2139), Github!B$2139)</f>
        <v>Divide a String Into Groups of Size k</v>
      </c>
      <c r="C2140" s="17">
        <f>Github!F$2139</f>
        <v>220</v>
      </c>
      <c r="D2140" s="17">
        <f>Github!G$2139</f>
        <v>9</v>
      </c>
      <c r="E2140" s="17">
        <f>Github!F$2139+Github!G$2139</f>
        <v>229</v>
      </c>
      <c r="F2140" s="18">
        <f t="shared" si="1"/>
        <v>24.44</v>
      </c>
      <c r="G2140" s="17" t="str">
        <f>Github!H$2139</f>
        <v>Algorithms</v>
      </c>
      <c r="H2140" s="17" t="str">
        <f>Github!E$2139</f>
        <v>Easy</v>
      </c>
      <c r="I2140" s="17" t="str">
        <f>IF(TRIM(Github!D$2139)="TRUE","FALSE","TRUE")</f>
        <v>TRUE</v>
      </c>
      <c r="J2140" s="17"/>
      <c r="K2140" s="17" t="str">
        <f>Github!L$2139</f>
        <v>String;Simulation;</v>
      </c>
      <c r="L2140" s="17" t="b">
        <f>Github!M$2139</f>
        <v>0</v>
      </c>
      <c r="M2140" s="17" t="str">
        <f>ROUND(Github!N$2139, 2)&amp;"%"</f>
        <v>0%</v>
      </c>
      <c r="N2140" s="17">
        <f>Github!O$2139</f>
        <v>65.65835267</v>
      </c>
      <c r="O2140" s="17">
        <f>Github!P$2139</f>
        <v>22639</v>
      </c>
    </row>
    <row r="2141">
      <c r="A2141" s="17">
        <f>Github!J$2140</f>
        <v>2139</v>
      </c>
      <c r="B2141" s="27" t="str">
        <f>HYPERLINK(CONCAT("http://leetcode.com/problems/",Github!C$2140), Github!B$2140)</f>
        <v>Minimum Moves to Reach Target Score</v>
      </c>
      <c r="C2141" s="17">
        <f>Github!F$2140</f>
        <v>383</v>
      </c>
      <c r="D2141" s="17">
        <f>Github!G$2140</f>
        <v>5</v>
      </c>
      <c r="E2141" s="17">
        <f>Github!F$2140+Github!G$2140</f>
        <v>388</v>
      </c>
      <c r="F2141" s="18">
        <f t="shared" si="1"/>
        <v>76.6</v>
      </c>
      <c r="G2141" s="17" t="str">
        <f>Github!H$2140</f>
        <v>Algorithms</v>
      </c>
      <c r="H2141" s="17" t="str">
        <f>Github!E$2140</f>
        <v>Medium</v>
      </c>
      <c r="I2141" s="17" t="str">
        <f>IF(TRIM(Github!D$2140)="TRUE","FALSE","TRUE")</f>
        <v>TRUE</v>
      </c>
      <c r="J2141" s="17"/>
      <c r="K2141" s="17" t="str">
        <f>Github!L$2140</f>
        <v>Math;Greedy;</v>
      </c>
      <c r="L2141" s="17" t="b">
        <f>Github!M$2140</f>
        <v>0</v>
      </c>
      <c r="M2141" s="17" t="str">
        <f>ROUND(Github!N$2140, 2)&amp;"%"</f>
        <v>0%</v>
      </c>
      <c r="N2141" s="17">
        <f>Github!O$2140</f>
        <v>48.55214999</v>
      </c>
      <c r="O2141" s="17">
        <f>Github!P$2140</f>
        <v>19500</v>
      </c>
    </row>
    <row r="2142">
      <c r="A2142" s="17">
        <f>Github!J$2141</f>
        <v>2140</v>
      </c>
      <c r="B2142" s="27" t="str">
        <f>HYPERLINK(CONCAT("http://leetcode.com/problems/",Github!C$2141), Github!B$2141)</f>
        <v>Solving Questions With Brainpower</v>
      </c>
      <c r="C2142" s="17">
        <f>Github!F$2141</f>
        <v>496</v>
      </c>
      <c r="D2142" s="17">
        <f>Github!G$2141</f>
        <v>7</v>
      </c>
      <c r="E2142" s="17">
        <f>Github!F$2141+Github!G$2141</f>
        <v>503</v>
      </c>
      <c r="F2142" s="18">
        <f t="shared" si="1"/>
        <v>70.86</v>
      </c>
      <c r="G2142" s="17" t="str">
        <f>Github!H$2141</f>
        <v>Algorithms</v>
      </c>
      <c r="H2142" s="17" t="str">
        <f>Github!E$2141</f>
        <v>Medium</v>
      </c>
      <c r="I2142" s="17" t="str">
        <f>IF(TRIM(Github!D$2141)="TRUE","FALSE","TRUE")</f>
        <v>TRUE</v>
      </c>
      <c r="J2142" s="17"/>
      <c r="K2142" s="17" t="str">
        <f>Github!L$2141</f>
        <v>Array;Dynamic Programming;</v>
      </c>
      <c r="L2142" s="17" t="b">
        <f>Github!M$2141</f>
        <v>0</v>
      </c>
      <c r="M2142" s="17" t="str">
        <f>ROUND(Github!N$2141, 2)&amp;"%"</f>
        <v>0%</v>
      </c>
      <c r="N2142" s="17">
        <f>Github!O$2141</f>
        <v>43.97850871</v>
      </c>
      <c r="O2142" s="17">
        <f>Github!P$2141</f>
        <v>16780</v>
      </c>
    </row>
    <row r="2143">
      <c r="A2143" s="17">
        <f>Github!J$2142</f>
        <v>2141</v>
      </c>
      <c r="B2143" s="27" t="str">
        <f>HYPERLINK(CONCAT("http://leetcode.com/problems/",Github!C$2142), Github!B$2142)</f>
        <v>Maximum Running Time of N Computers</v>
      </c>
      <c r="C2143" s="17">
        <f>Github!F$2142</f>
        <v>417</v>
      </c>
      <c r="D2143" s="17">
        <f>Github!G$2142</f>
        <v>10</v>
      </c>
      <c r="E2143" s="17">
        <f>Github!F$2142+Github!G$2142</f>
        <v>427</v>
      </c>
      <c r="F2143" s="18">
        <f t="shared" si="1"/>
        <v>41.7</v>
      </c>
      <c r="G2143" s="17" t="str">
        <f>Github!H$2142</f>
        <v>Algorithms</v>
      </c>
      <c r="H2143" s="17" t="str">
        <f>Github!E$2142</f>
        <v>Hard</v>
      </c>
      <c r="I2143" s="17" t="str">
        <f>IF(TRIM(Github!D$2142)="TRUE","FALSE","TRUE")</f>
        <v>TRUE</v>
      </c>
      <c r="J2143" s="17"/>
      <c r="K2143" s="17" t="str">
        <f>Github!L$2142</f>
        <v>Array;Binary Search;Greedy;Sorting;</v>
      </c>
      <c r="L2143" s="17" t="b">
        <f>Github!M$2142</f>
        <v>0</v>
      </c>
      <c r="M2143" s="17" t="str">
        <f>ROUND(Github!N$2142, 2)&amp;"%"</f>
        <v>0%</v>
      </c>
      <c r="N2143" s="17">
        <f>Github!O$2142</f>
        <v>37.19268439</v>
      </c>
      <c r="O2143" s="17">
        <f>Github!P$2142</f>
        <v>7443</v>
      </c>
    </row>
    <row r="2144">
      <c r="A2144" s="17">
        <f>Github!J$2143</f>
        <v>2142</v>
      </c>
      <c r="B2144" s="27" t="str">
        <f>HYPERLINK(CONCAT("http://leetcode.com/problems/",Github!C$2143), Github!B$2143)</f>
        <v>The Number of Passengers in Each Bus I</v>
      </c>
      <c r="C2144" s="17">
        <f>Github!F$2143</f>
        <v>22</v>
      </c>
      <c r="D2144" s="17">
        <f>Github!G$2143</f>
        <v>3</v>
      </c>
      <c r="E2144" s="17">
        <f>Github!F$2143+Github!G$2143</f>
        <v>25</v>
      </c>
      <c r="F2144" s="18">
        <f t="shared" si="1"/>
        <v>7.33</v>
      </c>
      <c r="G2144" s="17" t="str">
        <f>Github!H$2143</f>
        <v>Database</v>
      </c>
      <c r="H2144" s="17" t="str">
        <f>Github!E$2143</f>
        <v>Medium</v>
      </c>
      <c r="I2144" s="17" t="str">
        <f>IF(TRIM(Github!D$2143)="TRUE","FALSE","TRUE")</f>
        <v>FALSE</v>
      </c>
      <c r="J2144" s="17"/>
      <c r="K2144" s="17" t="str">
        <f>Github!L$2143</f>
        <v>Database;</v>
      </c>
      <c r="L2144" s="17" t="b">
        <f>Github!M$2143</f>
        <v>0</v>
      </c>
      <c r="M2144" s="17" t="str">
        <f>ROUND(Github!N$2143, 2)&amp;"%"</f>
        <v>0%</v>
      </c>
      <c r="N2144" s="17">
        <f>Github!O$2143</f>
        <v>50.79435128</v>
      </c>
      <c r="O2144" s="17">
        <f>Github!P$2143</f>
        <v>1150</v>
      </c>
    </row>
    <row r="2145">
      <c r="A2145" s="17">
        <f>Github!J$2144</f>
        <v>2143</v>
      </c>
      <c r="B2145" s="27" t="str">
        <f>HYPERLINK(CONCAT("http://leetcode.com/problems/",Github!C$2144), Github!B$2144)</f>
        <v>Choose Numbers From Two Arrays in Range</v>
      </c>
      <c r="C2145" s="17">
        <f>Github!F$2144</f>
        <v>12</v>
      </c>
      <c r="D2145" s="17">
        <f>Github!G$2144</f>
        <v>1</v>
      </c>
      <c r="E2145" s="17">
        <f>Github!F$2144+Github!G$2144</f>
        <v>13</v>
      </c>
      <c r="F2145" s="18">
        <f t="shared" si="1"/>
        <v>12</v>
      </c>
      <c r="G2145" s="17" t="str">
        <f>Github!H$2144</f>
        <v>Algorithms</v>
      </c>
      <c r="H2145" s="17" t="str">
        <f>Github!E$2144</f>
        <v>Hard</v>
      </c>
      <c r="I2145" s="17" t="str">
        <f>IF(TRIM(Github!D$2144)="TRUE","FALSE","TRUE")</f>
        <v>FALSE</v>
      </c>
      <c r="J2145" s="17"/>
      <c r="K2145" s="17" t="str">
        <f>Github!L$2144</f>
        <v>Array;Dynamic Programming;</v>
      </c>
      <c r="L2145" s="17" t="b">
        <f>Github!M$2144</f>
        <v>0</v>
      </c>
      <c r="M2145" s="17" t="str">
        <f>ROUND(Github!N$2144, 2)&amp;"%"</f>
        <v>0%</v>
      </c>
      <c r="N2145" s="17">
        <f>Github!O$2144</f>
        <v>53.91891892</v>
      </c>
      <c r="O2145" s="17">
        <f>Github!P$2144</f>
        <v>399</v>
      </c>
    </row>
    <row r="2146">
      <c r="A2146" s="17">
        <f>Github!J$2145</f>
        <v>2144</v>
      </c>
      <c r="B2146" s="27" t="str">
        <f>HYPERLINK(CONCAT("http://leetcode.com/problems/",Github!C$2145), Github!B$2145)</f>
        <v>Minimum Cost of Buying Candies With Discount</v>
      </c>
      <c r="C2146" s="17">
        <f>Github!F$2145</f>
        <v>193</v>
      </c>
      <c r="D2146" s="17">
        <f>Github!G$2145</f>
        <v>8</v>
      </c>
      <c r="E2146" s="17">
        <f>Github!F$2145+Github!G$2145</f>
        <v>201</v>
      </c>
      <c r="F2146" s="18">
        <f t="shared" si="1"/>
        <v>24.13</v>
      </c>
      <c r="G2146" s="17" t="str">
        <f>Github!H$2145</f>
        <v>Algorithms</v>
      </c>
      <c r="H2146" s="17" t="str">
        <f>Github!E$2145</f>
        <v>Easy</v>
      </c>
      <c r="I2146" s="17" t="str">
        <f>IF(TRIM(Github!D$2145)="TRUE","FALSE","TRUE")</f>
        <v>TRUE</v>
      </c>
      <c r="J2146" s="17"/>
      <c r="K2146" s="17" t="str">
        <f>Github!L$2145</f>
        <v>Array;Greedy;Sorting;</v>
      </c>
      <c r="L2146" s="17" t="b">
        <f>Github!M$2145</f>
        <v>0</v>
      </c>
      <c r="M2146" s="17" t="str">
        <f>ROUND(Github!N$2145, 2)&amp;"%"</f>
        <v>0%</v>
      </c>
      <c r="N2146" s="17">
        <f>Github!O$2145</f>
        <v>60.52004196</v>
      </c>
      <c r="O2146" s="17">
        <f>Github!P$2145</f>
        <v>19038</v>
      </c>
    </row>
    <row r="2147">
      <c r="A2147" s="17">
        <f>Github!J$2146</f>
        <v>2145</v>
      </c>
      <c r="B2147" s="27" t="str">
        <f>HYPERLINK(CONCAT("http://leetcode.com/problems/",Github!C$2146), Github!B$2146)</f>
        <v>Count the Hidden Sequences</v>
      </c>
      <c r="C2147" s="17">
        <f>Github!F$2146</f>
        <v>342</v>
      </c>
      <c r="D2147" s="17">
        <f>Github!G$2146</f>
        <v>37</v>
      </c>
      <c r="E2147" s="17">
        <f>Github!F$2146+Github!G$2146</f>
        <v>379</v>
      </c>
      <c r="F2147" s="18">
        <f t="shared" si="1"/>
        <v>9.24</v>
      </c>
      <c r="G2147" s="17" t="str">
        <f>Github!H$2146</f>
        <v>Algorithms</v>
      </c>
      <c r="H2147" s="17" t="str">
        <f>Github!E$2146</f>
        <v>Medium</v>
      </c>
      <c r="I2147" s="17" t="str">
        <f>IF(TRIM(Github!D$2146)="TRUE","FALSE","TRUE")</f>
        <v>TRUE</v>
      </c>
      <c r="J2147" s="17"/>
      <c r="K2147" s="17" t="str">
        <f>Github!L$2146</f>
        <v>Array;Prefix Sum;</v>
      </c>
      <c r="L2147" s="17" t="b">
        <f>Github!M$2146</f>
        <v>0</v>
      </c>
      <c r="M2147" s="17" t="str">
        <f>ROUND(Github!N$2146, 2)&amp;"%"</f>
        <v>0%</v>
      </c>
      <c r="N2147" s="17">
        <f>Github!O$2146</f>
        <v>34.91028785</v>
      </c>
      <c r="O2147" s="17">
        <f>Github!P$2146</f>
        <v>10817</v>
      </c>
    </row>
    <row r="2148">
      <c r="A2148" s="17">
        <f>Github!J$2147</f>
        <v>2146</v>
      </c>
      <c r="B2148" s="27" t="str">
        <f>HYPERLINK(CONCAT("http://leetcode.com/problems/",Github!C$2147), Github!B$2147)</f>
        <v>K Highest Ranked Items Within a Price Range</v>
      </c>
      <c r="C2148" s="17">
        <f>Github!F$2147</f>
        <v>228</v>
      </c>
      <c r="D2148" s="17">
        <f>Github!G$2147</f>
        <v>101</v>
      </c>
      <c r="E2148" s="17">
        <f>Github!F$2147+Github!G$2147</f>
        <v>329</v>
      </c>
      <c r="F2148" s="18">
        <f t="shared" si="1"/>
        <v>2.26</v>
      </c>
      <c r="G2148" s="17" t="str">
        <f>Github!H$2147</f>
        <v>Algorithms</v>
      </c>
      <c r="H2148" s="17" t="str">
        <f>Github!E$2147</f>
        <v>Medium</v>
      </c>
      <c r="I2148" s="17" t="str">
        <f>IF(TRIM(Github!D$2147)="TRUE","FALSE","TRUE")</f>
        <v>TRUE</v>
      </c>
      <c r="J2148" s="17"/>
      <c r="K2148" s="17" t="str">
        <f>Github!L$2147</f>
        <v>Array;Breadth-First Search;Sorting;Heap (Priority Queue);Matrix;</v>
      </c>
      <c r="L2148" s="17" t="b">
        <f>Github!M$2147</f>
        <v>0</v>
      </c>
      <c r="M2148" s="17" t="str">
        <f>ROUND(Github!N$2147, 2)&amp;"%"</f>
        <v>0%</v>
      </c>
      <c r="N2148" s="17">
        <f>Github!O$2147</f>
        <v>40.00730346</v>
      </c>
      <c r="O2148" s="17">
        <f>Github!P$2147</f>
        <v>7661</v>
      </c>
    </row>
    <row r="2149">
      <c r="A2149" s="17">
        <f>Github!J$2148</f>
        <v>2147</v>
      </c>
      <c r="B2149" s="27" t="str">
        <f>HYPERLINK(CONCAT("http://leetcode.com/problems/",Github!C$2148), Github!B$2148)</f>
        <v>Number of Ways to Divide a Long Corridor</v>
      </c>
      <c r="C2149" s="17">
        <f>Github!F$2148</f>
        <v>165</v>
      </c>
      <c r="D2149" s="17">
        <f>Github!G$2148</f>
        <v>14</v>
      </c>
      <c r="E2149" s="17">
        <f>Github!F$2148+Github!G$2148</f>
        <v>179</v>
      </c>
      <c r="F2149" s="18">
        <f t="shared" si="1"/>
        <v>11.79</v>
      </c>
      <c r="G2149" s="17" t="str">
        <f>Github!H$2148</f>
        <v>Algorithms</v>
      </c>
      <c r="H2149" s="17" t="str">
        <f>Github!E$2148</f>
        <v>Hard</v>
      </c>
      <c r="I2149" s="17" t="str">
        <f>IF(TRIM(Github!D$2148)="TRUE","FALSE","TRUE")</f>
        <v>TRUE</v>
      </c>
      <c r="J2149" s="17"/>
      <c r="K2149" s="17" t="str">
        <f>Github!L$2148</f>
        <v>Math;String;Dynamic Programming;</v>
      </c>
      <c r="L2149" s="17" t="b">
        <f>Github!M$2148</f>
        <v>0</v>
      </c>
      <c r="M2149" s="17" t="str">
        <f>ROUND(Github!N$2148, 2)&amp;"%"</f>
        <v>0%</v>
      </c>
      <c r="N2149" s="17">
        <f>Github!O$2148</f>
        <v>39.9228859</v>
      </c>
      <c r="O2149" s="17">
        <f>Github!P$2148</f>
        <v>6109</v>
      </c>
    </row>
    <row r="2150">
      <c r="A2150" s="17">
        <f>Github!J$2149</f>
        <v>2148</v>
      </c>
      <c r="B2150" s="27" t="str">
        <f>HYPERLINK(CONCAT("http://leetcode.com/problems/",Github!C$2149), Github!B$2149)</f>
        <v>Count Elements With Strictly Smaller and Greater Elements </v>
      </c>
      <c r="C2150" s="17">
        <f>Github!F$2149</f>
        <v>212</v>
      </c>
      <c r="D2150" s="17">
        <f>Github!G$2149</f>
        <v>7</v>
      </c>
      <c r="E2150" s="17">
        <f>Github!F$2149+Github!G$2149</f>
        <v>219</v>
      </c>
      <c r="F2150" s="18">
        <f t="shared" si="1"/>
        <v>30.29</v>
      </c>
      <c r="G2150" s="17" t="str">
        <f>Github!H$2149</f>
        <v>Algorithms</v>
      </c>
      <c r="H2150" s="17" t="str">
        <f>Github!E$2149</f>
        <v>Easy</v>
      </c>
      <c r="I2150" s="17" t="str">
        <f>IF(TRIM(Github!D$2149)="TRUE","FALSE","TRUE")</f>
        <v>TRUE</v>
      </c>
      <c r="J2150" s="17"/>
      <c r="K2150" s="17" t="str">
        <f>Github!L$2149</f>
        <v>Array;Sorting;</v>
      </c>
      <c r="L2150" s="17" t="b">
        <f>Github!M$2149</f>
        <v>0</v>
      </c>
      <c r="M2150" s="17" t="str">
        <f>ROUND(Github!N$2149, 2)&amp;"%"</f>
        <v>0%</v>
      </c>
      <c r="N2150" s="17">
        <f>Github!O$2149</f>
        <v>60.5073111</v>
      </c>
      <c r="O2150" s="17">
        <f>Github!P$2149</f>
        <v>23711</v>
      </c>
    </row>
    <row r="2151">
      <c r="A2151" s="17">
        <f>Github!J$2150</f>
        <v>2149</v>
      </c>
      <c r="B2151" s="27" t="str">
        <f>HYPERLINK(CONCAT("http://leetcode.com/problems/",Github!C$2150), Github!B$2150)</f>
        <v>Rearrange Array Elements by Sign</v>
      </c>
      <c r="C2151" s="17">
        <f>Github!F$2150</f>
        <v>294</v>
      </c>
      <c r="D2151" s="17">
        <f>Github!G$2150</f>
        <v>16</v>
      </c>
      <c r="E2151" s="17">
        <f>Github!F$2150+Github!G$2150</f>
        <v>310</v>
      </c>
      <c r="F2151" s="18">
        <f t="shared" si="1"/>
        <v>18.38</v>
      </c>
      <c r="G2151" s="17" t="str">
        <f>Github!H$2150</f>
        <v>Algorithms</v>
      </c>
      <c r="H2151" s="17" t="str">
        <f>Github!E$2150</f>
        <v>Medium</v>
      </c>
      <c r="I2151" s="17" t="str">
        <f>IF(TRIM(Github!D$2150)="TRUE","FALSE","TRUE")</f>
        <v>TRUE</v>
      </c>
      <c r="J2151" s="17"/>
      <c r="K2151" s="17" t="str">
        <f>Github!L$2150</f>
        <v>Array;Two Pointers;Simulation;</v>
      </c>
      <c r="L2151" s="17" t="b">
        <f>Github!M$2150</f>
        <v>0</v>
      </c>
      <c r="M2151" s="17" t="str">
        <f>ROUND(Github!N$2150, 2)&amp;"%"</f>
        <v>0%</v>
      </c>
      <c r="N2151" s="17">
        <f>Github!O$2150</f>
        <v>81.92497029</v>
      </c>
      <c r="O2151" s="17">
        <f>Github!P$2150</f>
        <v>24130</v>
      </c>
    </row>
    <row r="2152">
      <c r="A2152" s="17">
        <f>Github!J$2151</f>
        <v>2150</v>
      </c>
      <c r="B2152" s="27" t="str">
        <f>HYPERLINK(CONCAT("http://leetcode.com/problems/",Github!C$2151), Github!B$2151)</f>
        <v>Find All Lonely Numbers in the Array</v>
      </c>
      <c r="C2152" s="17">
        <f>Github!F$2151</f>
        <v>189</v>
      </c>
      <c r="D2152" s="17">
        <f>Github!G$2151</f>
        <v>27</v>
      </c>
      <c r="E2152" s="17">
        <f>Github!F$2151+Github!G$2151</f>
        <v>216</v>
      </c>
      <c r="F2152" s="18">
        <f t="shared" si="1"/>
        <v>7</v>
      </c>
      <c r="G2152" s="17" t="str">
        <f>Github!H$2151</f>
        <v>Algorithms</v>
      </c>
      <c r="H2152" s="17" t="str">
        <f>Github!E$2151</f>
        <v>Medium</v>
      </c>
      <c r="I2152" s="17" t="str">
        <f>IF(TRIM(Github!D$2151)="TRUE","FALSE","TRUE")</f>
        <v>TRUE</v>
      </c>
      <c r="J2152" s="17"/>
      <c r="K2152" s="17" t="str">
        <f>Github!L$2151</f>
        <v>Array;Hash Table;Counting;</v>
      </c>
      <c r="L2152" s="17" t="b">
        <f>Github!M$2151</f>
        <v>0</v>
      </c>
      <c r="M2152" s="17" t="str">
        <f>ROUND(Github!N$2151, 2)&amp;"%"</f>
        <v>0%</v>
      </c>
      <c r="N2152" s="17">
        <f>Github!O$2151</f>
        <v>60.36478627</v>
      </c>
      <c r="O2152" s="17">
        <f>Github!P$2151</f>
        <v>21377</v>
      </c>
    </row>
    <row r="2153">
      <c r="A2153" s="17">
        <f>Github!J$2152</f>
        <v>2151</v>
      </c>
      <c r="B2153" s="27" t="str">
        <f>HYPERLINK(CONCAT("http://leetcode.com/problems/",Github!C$2152), Github!B$2152)</f>
        <v>Maximum Good People Based on Statements</v>
      </c>
      <c r="C2153" s="17">
        <f>Github!F$2152</f>
        <v>286</v>
      </c>
      <c r="D2153" s="17">
        <f>Github!G$2152</f>
        <v>63</v>
      </c>
      <c r="E2153" s="17">
        <f>Github!F$2152+Github!G$2152</f>
        <v>349</v>
      </c>
      <c r="F2153" s="18">
        <f t="shared" si="1"/>
        <v>4.54</v>
      </c>
      <c r="G2153" s="17" t="str">
        <f>Github!H$2152</f>
        <v>Algorithms</v>
      </c>
      <c r="H2153" s="17" t="str">
        <f>Github!E$2152</f>
        <v>Hard</v>
      </c>
      <c r="I2153" s="17" t="str">
        <f>IF(TRIM(Github!D$2152)="TRUE","FALSE","TRUE")</f>
        <v>TRUE</v>
      </c>
      <c r="J2153" s="17"/>
      <c r="K2153" s="17" t="str">
        <f>Github!L$2152</f>
        <v>Array;Backtracking;Bit Manipulation;Enumeration;</v>
      </c>
      <c r="L2153" s="17" t="b">
        <f>Github!M$2152</f>
        <v>0</v>
      </c>
      <c r="M2153" s="17" t="str">
        <f>ROUND(Github!N$2152, 2)&amp;"%"</f>
        <v>0%</v>
      </c>
      <c r="N2153" s="17">
        <f>Github!O$2152</f>
        <v>45.67296478</v>
      </c>
      <c r="O2153" s="17">
        <f>Github!P$2152</f>
        <v>7832</v>
      </c>
    </row>
    <row r="2154">
      <c r="A2154" s="17">
        <f>Github!J$2153</f>
        <v>2152</v>
      </c>
      <c r="B2154" s="27" t="str">
        <f>HYPERLINK(CONCAT("http://leetcode.com/problems/",Github!C$2153), Github!B$2153)</f>
        <v>Minimum Number of Lines to Cover Points</v>
      </c>
      <c r="C2154" s="17">
        <f>Github!F$2153</f>
        <v>20</v>
      </c>
      <c r="D2154" s="17">
        <f>Github!G$2153</f>
        <v>5</v>
      </c>
      <c r="E2154" s="17">
        <f>Github!F$2153+Github!G$2153</f>
        <v>25</v>
      </c>
      <c r="F2154" s="18">
        <f t="shared" si="1"/>
        <v>4</v>
      </c>
      <c r="G2154" s="17" t="str">
        <f>Github!H$2153</f>
        <v>Algorithms</v>
      </c>
      <c r="H2154" s="17" t="str">
        <f>Github!E$2153</f>
        <v>Medium</v>
      </c>
      <c r="I2154" s="17" t="str">
        <f>IF(TRIM(Github!D$2153)="TRUE","FALSE","TRUE")</f>
        <v>FALSE</v>
      </c>
      <c r="J2154" s="17"/>
      <c r="K2154" s="17" t="str">
        <f>Github!L$2153</f>
        <v>Array;Hash Table;Math;Dynamic Programming;Backtracking;Bit Manipulation;Geometry;Bitmask;</v>
      </c>
      <c r="L2154" s="17" t="b">
        <f>Github!M$2153</f>
        <v>0</v>
      </c>
      <c r="M2154" s="17" t="str">
        <f>ROUND(Github!N$2153, 2)&amp;"%"</f>
        <v>0%</v>
      </c>
      <c r="N2154" s="17">
        <f>Github!O$2153</f>
        <v>46.13653413</v>
      </c>
      <c r="O2154" s="17">
        <f>Github!P$2153</f>
        <v>615</v>
      </c>
    </row>
    <row r="2155">
      <c r="A2155" s="17">
        <f>Github!J$2154</f>
        <v>2153</v>
      </c>
      <c r="B2155" s="27" t="str">
        <f>HYPERLINK(CONCAT("http://leetcode.com/problems/",Github!C$2154), Github!B$2154)</f>
        <v>The Number of Passengers in Each Bus II</v>
      </c>
      <c r="C2155" s="17">
        <f>Github!F$2154</f>
        <v>14</v>
      </c>
      <c r="D2155" s="17">
        <f>Github!G$2154</f>
        <v>5</v>
      </c>
      <c r="E2155" s="17">
        <f>Github!F$2154+Github!G$2154</f>
        <v>19</v>
      </c>
      <c r="F2155" s="18">
        <f t="shared" si="1"/>
        <v>2.8</v>
      </c>
      <c r="G2155" s="17" t="str">
        <f>Github!H$2154</f>
        <v>Database</v>
      </c>
      <c r="H2155" s="17" t="str">
        <f>Github!E$2154</f>
        <v>Hard</v>
      </c>
      <c r="I2155" s="17" t="str">
        <f>IF(TRIM(Github!D$2154)="TRUE","FALSE","TRUE")</f>
        <v>FALSE</v>
      </c>
      <c r="J2155" s="17"/>
      <c r="K2155" s="17" t="str">
        <f>Github!L$2154</f>
        <v>Database;</v>
      </c>
      <c r="L2155" s="17" t="b">
        <f>Github!M$2154</f>
        <v>0</v>
      </c>
      <c r="M2155" s="17" t="str">
        <f>ROUND(Github!N$2154, 2)&amp;"%"</f>
        <v>0%</v>
      </c>
      <c r="N2155" s="17">
        <f>Github!O$2154</f>
        <v>50.92436975</v>
      </c>
      <c r="O2155" s="17">
        <f>Github!P$2154</f>
        <v>303</v>
      </c>
    </row>
    <row r="2156">
      <c r="A2156" s="17">
        <f>Github!J$2155</f>
        <v>2154</v>
      </c>
      <c r="B2156" s="27" t="str">
        <f>HYPERLINK(CONCAT("http://leetcode.com/problems/",Github!C$2155), Github!B$2155)</f>
        <v>Keep Multiplying Found Values by Two</v>
      </c>
      <c r="C2156" s="17">
        <f>Github!F$2155</f>
        <v>222</v>
      </c>
      <c r="D2156" s="17">
        <f>Github!G$2155</f>
        <v>8</v>
      </c>
      <c r="E2156" s="17">
        <f>Github!F$2155+Github!G$2155</f>
        <v>230</v>
      </c>
      <c r="F2156" s="18">
        <f t="shared" si="1"/>
        <v>27.75</v>
      </c>
      <c r="G2156" s="17" t="str">
        <f>Github!H$2155</f>
        <v>Algorithms</v>
      </c>
      <c r="H2156" s="17" t="str">
        <f>Github!E$2155</f>
        <v>Easy</v>
      </c>
      <c r="I2156" s="17" t="str">
        <f>IF(TRIM(Github!D$2155)="TRUE","FALSE","TRUE")</f>
        <v>TRUE</v>
      </c>
      <c r="J2156" s="17"/>
      <c r="K2156" s="17" t="str">
        <f>Github!L$2155</f>
        <v>Array;Hash Table;Sorting;Simulation;</v>
      </c>
      <c r="L2156" s="17" t="b">
        <f>Github!M$2155</f>
        <v>0</v>
      </c>
      <c r="M2156" s="17" t="str">
        <f>ROUND(Github!N$2155, 2)&amp;"%"</f>
        <v>0%</v>
      </c>
      <c r="N2156" s="17">
        <f>Github!O$2155</f>
        <v>73.62184831</v>
      </c>
      <c r="O2156" s="17">
        <f>Github!P$2155</f>
        <v>29141</v>
      </c>
    </row>
    <row r="2157">
      <c r="A2157" s="17">
        <f>Github!J$2156</f>
        <v>2155</v>
      </c>
      <c r="B2157" s="27" t="str">
        <f>HYPERLINK(CONCAT("http://leetcode.com/problems/",Github!C$2156), Github!B$2156)</f>
        <v>All Divisions With the Highest Score of a Binary Array</v>
      </c>
      <c r="C2157" s="17">
        <f>Github!F$2156</f>
        <v>291</v>
      </c>
      <c r="D2157" s="17">
        <f>Github!G$2156</f>
        <v>8</v>
      </c>
      <c r="E2157" s="17">
        <f>Github!F$2156+Github!G$2156</f>
        <v>299</v>
      </c>
      <c r="F2157" s="18">
        <f t="shared" si="1"/>
        <v>36.38</v>
      </c>
      <c r="G2157" s="17" t="str">
        <f>Github!H$2156</f>
        <v>Algorithms</v>
      </c>
      <c r="H2157" s="17" t="str">
        <f>Github!E$2156</f>
        <v>Medium</v>
      </c>
      <c r="I2157" s="17" t="str">
        <f>IF(TRIM(Github!D$2156)="TRUE","FALSE","TRUE")</f>
        <v>TRUE</v>
      </c>
      <c r="J2157" s="17"/>
      <c r="K2157" s="17" t="str">
        <f>Github!L$2156</f>
        <v>Array;</v>
      </c>
      <c r="L2157" s="17" t="b">
        <f>Github!M$2156</f>
        <v>0</v>
      </c>
      <c r="M2157" s="17" t="str">
        <f>ROUND(Github!N$2156, 2)&amp;"%"</f>
        <v>0%</v>
      </c>
      <c r="N2157" s="17">
        <f>Github!O$2156</f>
        <v>61.5760229</v>
      </c>
      <c r="O2157" s="17">
        <f>Github!P$2156</f>
        <v>18285</v>
      </c>
    </row>
    <row r="2158">
      <c r="A2158" s="17">
        <f>Github!J$2157</f>
        <v>2156</v>
      </c>
      <c r="B2158" s="27" t="str">
        <f>HYPERLINK(CONCAT("http://leetcode.com/problems/",Github!C$2157), Github!B$2157)</f>
        <v>Find Substring With Given Hash Value</v>
      </c>
      <c r="C2158" s="17">
        <f>Github!F$2157</f>
        <v>286</v>
      </c>
      <c r="D2158" s="17">
        <f>Github!G$2157</f>
        <v>330</v>
      </c>
      <c r="E2158" s="17">
        <f>Github!F$2157+Github!G$2157</f>
        <v>616</v>
      </c>
      <c r="F2158" s="18">
        <f t="shared" si="1"/>
        <v>0.87</v>
      </c>
      <c r="G2158" s="17" t="str">
        <f>Github!H$2157</f>
        <v>Algorithms</v>
      </c>
      <c r="H2158" s="17" t="str">
        <f>Github!E$2157</f>
        <v>Hard</v>
      </c>
      <c r="I2158" s="17" t="str">
        <f>IF(TRIM(Github!D$2157)="TRUE","FALSE","TRUE")</f>
        <v>TRUE</v>
      </c>
      <c r="J2158" s="17"/>
      <c r="K2158" s="17" t="str">
        <f>Github!L$2157</f>
        <v>String;Sliding Window;Rolling Hash;Hash Function;</v>
      </c>
      <c r="L2158" s="17" t="b">
        <f>Github!M$2157</f>
        <v>0</v>
      </c>
      <c r="M2158" s="17" t="str">
        <f>ROUND(Github!N$2157, 2)&amp;"%"</f>
        <v>0%</v>
      </c>
      <c r="N2158" s="17">
        <f>Github!O$2157</f>
        <v>20.22587019</v>
      </c>
      <c r="O2158" s="17">
        <f>Github!P$2157</f>
        <v>8292</v>
      </c>
    </row>
    <row r="2159">
      <c r="A2159" s="17">
        <f>Github!J$2158</f>
        <v>2157</v>
      </c>
      <c r="B2159" s="27" t="str">
        <f>HYPERLINK(CONCAT("http://leetcode.com/problems/",Github!C$2158), Github!B$2158)</f>
        <v>Groups of Strings</v>
      </c>
      <c r="C2159" s="17">
        <f>Github!F$2158</f>
        <v>223</v>
      </c>
      <c r="D2159" s="17">
        <f>Github!G$2158</f>
        <v>35</v>
      </c>
      <c r="E2159" s="17">
        <f>Github!F$2158+Github!G$2158</f>
        <v>258</v>
      </c>
      <c r="F2159" s="18">
        <f t="shared" si="1"/>
        <v>6.37</v>
      </c>
      <c r="G2159" s="17" t="str">
        <f>Github!H$2158</f>
        <v>Algorithms</v>
      </c>
      <c r="H2159" s="17" t="str">
        <f>Github!E$2158</f>
        <v>Hard</v>
      </c>
      <c r="I2159" s="17" t="str">
        <f>IF(TRIM(Github!D$2158)="TRUE","FALSE","TRUE")</f>
        <v>TRUE</v>
      </c>
      <c r="J2159" s="17"/>
      <c r="K2159" s="17" t="str">
        <f>Github!L$2158</f>
        <v>String;Bit Manipulation;Union Find;</v>
      </c>
      <c r="L2159" s="17" t="b">
        <f>Github!M$2158</f>
        <v>0</v>
      </c>
      <c r="M2159" s="17" t="str">
        <f>ROUND(Github!N$2158, 2)&amp;"%"</f>
        <v>0%</v>
      </c>
      <c r="N2159" s="17">
        <f>Github!O$2158</f>
        <v>23.81928181</v>
      </c>
      <c r="O2159" s="17">
        <f>Github!P$2158</f>
        <v>4882</v>
      </c>
    </row>
    <row r="2160">
      <c r="A2160" s="17">
        <f>Github!J$2159</f>
        <v>2158</v>
      </c>
      <c r="B2160" s="27" t="str">
        <f>HYPERLINK(CONCAT("http://leetcode.com/problems/",Github!C$2159), Github!B$2159)</f>
        <v>Amount of New Area Painted Each Day</v>
      </c>
      <c r="C2160" s="17">
        <f>Github!F$2159</f>
        <v>37</v>
      </c>
      <c r="D2160" s="17">
        <f>Github!G$2159</f>
        <v>7</v>
      </c>
      <c r="E2160" s="17">
        <f>Github!F$2159+Github!G$2159</f>
        <v>44</v>
      </c>
      <c r="F2160" s="18">
        <f t="shared" si="1"/>
        <v>5.29</v>
      </c>
      <c r="G2160" s="17" t="str">
        <f>Github!H$2159</f>
        <v>Algorithms</v>
      </c>
      <c r="H2160" s="17" t="str">
        <f>Github!E$2159</f>
        <v>Hard</v>
      </c>
      <c r="I2160" s="17" t="str">
        <f>IF(TRIM(Github!D$2159)="TRUE","FALSE","TRUE")</f>
        <v>FALSE</v>
      </c>
      <c r="J2160" s="17"/>
      <c r="K2160" s="17" t="str">
        <f>Github!L$2159</f>
        <v>Array;Segment Tree;Ordered Set;</v>
      </c>
      <c r="L2160" s="17" t="b">
        <f>Github!M$2159</f>
        <v>0</v>
      </c>
      <c r="M2160" s="17" t="str">
        <f>ROUND(Github!N$2159, 2)&amp;"%"</f>
        <v>0%</v>
      </c>
      <c r="N2160" s="17">
        <f>Github!O$2159</f>
        <v>60.94078118</v>
      </c>
      <c r="O2160" s="17">
        <f>Github!P$2159</f>
        <v>1451</v>
      </c>
    </row>
    <row r="2161">
      <c r="A2161" s="17">
        <f>Github!J$2160</f>
        <v>2159</v>
      </c>
      <c r="B2161" s="27" t="str">
        <f>HYPERLINK(CONCAT("http://leetcode.com/problems/",Github!C$2160), Github!B$2160)</f>
        <v>Order Two Columns Independently</v>
      </c>
      <c r="C2161" s="17">
        <f>Github!F$2160</f>
        <v>6</v>
      </c>
      <c r="D2161" s="17">
        <f>Github!G$2160</f>
        <v>7</v>
      </c>
      <c r="E2161" s="17">
        <f>Github!F$2160+Github!G$2160</f>
        <v>13</v>
      </c>
      <c r="F2161" s="18">
        <f t="shared" si="1"/>
        <v>0.86</v>
      </c>
      <c r="G2161" s="17" t="str">
        <f>Github!H$2160</f>
        <v>Database</v>
      </c>
      <c r="H2161" s="17" t="str">
        <f>Github!E$2160</f>
        <v>Medium</v>
      </c>
      <c r="I2161" s="17" t="str">
        <f>IF(TRIM(Github!D$2160)="TRUE","FALSE","TRUE")</f>
        <v>FALSE</v>
      </c>
      <c r="J2161" s="17"/>
      <c r="K2161" s="17" t="str">
        <f>Github!L$2160</f>
        <v>Database;</v>
      </c>
      <c r="L2161" s="17" t="b">
        <f>Github!M$2160</f>
        <v>0</v>
      </c>
      <c r="M2161" s="17" t="str">
        <f>ROUND(Github!N$2160, 2)&amp;"%"</f>
        <v>0%</v>
      </c>
      <c r="N2161" s="17">
        <f>Github!O$2160</f>
        <v>62.42138365</v>
      </c>
      <c r="O2161" s="17">
        <f>Github!P$2160</f>
        <v>794</v>
      </c>
    </row>
    <row r="2162">
      <c r="A2162" s="17">
        <f>Github!J$2161</f>
        <v>2160</v>
      </c>
      <c r="B2162" s="27" t="str">
        <f>HYPERLINK(CONCAT("http://leetcode.com/problems/",Github!C$2161), Github!B$2161)</f>
        <v>Minimum Sum of Four Digit Number After Splitting Digits</v>
      </c>
      <c r="C2162" s="17">
        <f>Github!F$2161</f>
        <v>238</v>
      </c>
      <c r="D2162" s="17">
        <f>Github!G$2161</f>
        <v>24</v>
      </c>
      <c r="E2162" s="17">
        <f>Github!F$2161+Github!G$2161</f>
        <v>262</v>
      </c>
      <c r="F2162" s="18">
        <f t="shared" si="1"/>
        <v>9.92</v>
      </c>
      <c r="G2162" s="17" t="str">
        <f>Github!H$2161</f>
        <v>Algorithms</v>
      </c>
      <c r="H2162" s="17" t="str">
        <f>Github!E$2161</f>
        <v>Easy</v>
      </c>
      <c r="I2162" s="17" t="str">
        <f>IF(TRIM(Github!D$2161)="TRUE","FALSE","TRUE")</f>
        <v>TRUE</v>
      </c>
      <c r="J2162" s="17"/>
      <c r="K2162" s="17" t="str">
        <f>Github!L$2161</f>
        <v>Math;Greedy;Sorting;</v>
      </c>
      <c r="L2162" s="17" t="b">
        <f>Github!M$2161</f>
        <v>0</v>
      </c>
      <c r="M2162" s="17" t="str">
        <f>ROUND(Github!N$2161, 2)&amp;"%"</f>
        <v>0%</v>
      </c>
      <c r="N2162" s="17">
        <f>Github!O$2161</f>
        <v>87.74850895</v>
      </c>
      <c r="O2162" s="17">
        <f>Github!P$2161</f>
        <v>21183</v>
      </c>
    </row>
    <row r="2163">
      <c r="A2163" s="17">
        <f>Github!J$2162</f>
        <v>2161</v>
      </c>
      <c r="B2163" s="27" t="str">
        <f>HYPERLINK(CONCAT("http://leetcode.com/problems/",Github!C$2162), Github!B$2162)</f>
        <v>Partition Array According to Given Pivot</v>
      </c>
      <c r="C2163" s="17">
        <f>Github!F$2162</f>
        <v>176</v>
      </c>
      <c r="D2163" s="17">
        <f>Github!G$2162</f>
        <v>15</v>
      </c>
      <c r="E2163" s="17">
        <f>Github!F$2162+Github!G$2162</f>
        <v>191</v>
      </c>
      <c r="F2163" s="18">
        <f t="shared" si="1"/>
        <v>11.73</v>
      </c>
      <c r="G2163" s="17" t="str">
        <f>Github!H$2162</f>
        <v>Algorithms</v>
      </c>
      <c r="H2163" s="17" t="str">
        <f>Github!E$2162</f>
        <v>Medium</v>
      </c>
      <c r="I2163" s="17" t="str">
        <f>IF(TRIM(Github!D$2162)="TRUE","FALSE","TRUE")</f>
        <v>TRUE</v>
      </c>
      <c r="J2163" s="17"/>
      <c r="K2163" s="17" t="str">
        <f>Github!L$2162</f>
        <v>Array;Two Pointers;Simulation;</v>
      </c>
      <c r="L2163" s="17" t="b">
        <f>Github!M$2162</f>
        <v>0</v>
      </c>
      <c r="M2163" s="17" t="str">
        <f>ROUND(Github!N$2162, 2)&amp;"%"</f>
        <v>0%</v>
      </c>
      <c r="N2163" s="17">
        <f>Github!O$2162</f>
        <v>81.84410162</v>
      </c>
      <c r="O2163" s="17">
        <f>Github!P$2162</f>
        <v>16072</v>
      </c>
    </row>
    <row r="2164">
      <c r="A2164" s="17">
        <f>Github!J$2163</f>
        <v>2162</v>
      </c>
      <c r="B2164" s="27" t="str">
        <f>HYPERLINK(CONCAT("http://leetcode.com/problems/",Github!C$2163), Github!B$2163)</f>
        <v>Minimum Cost to Set Cooking Time</v>
      </c>
      <c r="C2164" s="17">
        <f>Github!F$2163</f>
        <v>125</v>
      </c>
      <c r="D2164" s="17">
        <f>Github!G$2163</f>
        <v>387</v>
      </c>
      <c r="E2164" s="17">
        <f>Github!F$2163+Github!G$2163</f>
        <v>512</v>
      </c>
      <c r="F2164" s="18">
        <f t="shared" si="1"/>
        <v>0.32</v>
      </c>
      <c r="G2164" s="17" t="str">
        <f>Github!H$2163</f>
        <v>Algorithms</v>
      </c>
      <c r="H2164" s="17" t="str">
        <f>Github!E$2163</f>
        <v>Medium</v>
      </c>
      <c r="I2164" s="17" t="str">
        <f>IF(TRIM(Github!D$2163)="TRUE","FALSE","TRUE")</f>
        <v>TRUE</v>
      </c>
      <c r="J2164" s="17"/>
      <c r="K2164" s="17" t="str">
        <f>Github!L$2163</f>
        <v>Math;Enumeration;</v>
      </c>
      <c r="L2164" s="17" t="b">
        <f>Github!M$2163</f>
        <v>0</v>
      </c>
      <c r="M2164" s="17" t="str">
        <f>ROUND(Github!N$2163, 2)&amp;"%"</f>
        <v>0%</v>
      </c>
      <c r="N2164" s="17">
        <f>Github!O$2163</f>
        <v>33.27820559</v>
      </c>
      <c r="O2164" s="17">
        <f>Github!P$2163</f>
        <v>6439</v>
      </c>
    </row>
    <row r="2165">
      <c r="A2165" s="17">
        <f>Github!J$2164</f>
        <v>2163</v>
      </c>
      <c r="B2165" s="27" t="str">
        <f>HYPERLINK(CONCAT("http://leetcode.com/problems/",Github!C$2164), Github!B$2164)</f>
        <v>Minimum Difference in Sums After Removal of Elements</v>
      </c>
      <c r="C2165" s="17">
        <f>Github!F$2164</f>
        <v>304</v>
      </c>
      <c r="D2165" s="17">
        <f>Github!G$2164</f>
        <v>5</v>
      </c>
      <c r="E2165" s="17">
        <f>Github!F$2164+Github!G$2164</f>
        <v>309</v>
      </c>
      <c r="F2165" s="18">
        <f t="shared" si="1"/>
        <v>60.8</v>
      </c>
      <c r="G2165" s="17" t="str">
        <f>Github!H$2164</f>
        <v>Algorithms</v>
      </c>
      <c r="H2165" s="17" t="str">
        <f>Github!E$2164</f>
        <v>Hard</v>
      </c>
      <c r="I2165" s="17" t="str">
        <f>IF(TRIM(Github!D$2164)="TRUE","FALSE","TRUE")</f>
        <v>TRUE</v>
      </c>
      <c r="J2165" s="17"/>
      <c r="K2165" s="17" t="str">
        <f>Github!L$2164</f>
        <v>Array;Dynamic Programming;Heap (Priority Queue);</v>
      </c>
      <c r="L2165" s="17" t="b">
        <f>Github!M$2164</f>
        <v>0</v>
      </c>
      <c r="M2165" s="17" t="str">
        <f>ROUND(Github!N$2164, 2)&amp;"%"</f>
        <v>0%</v>
      </c>
      <c r="N2165" s="17">
        <f>Github!O$2164</f>
        <v>45.55001591</v>
      </c>
      <c r="O2165" s="17">
        <f>Github!P$2164</f>
        <v>4294</v>
      </c>
    </row>
    <row r="2166">
      <c r="A2166" s="17">
        <f>Github!J$2165</f>
        <v>2164</v>
      </c>
      <c r="B2166" s="27" t="str">
        <f>HYPERLINK(CONCAT("http://leetcode.com/problems/",Github!C$2165), Github!B$2165)</f>
        <v>Sort Even and Odd Indices Independently</v>
      </c>
      <c r="C2166" s="17">
        <f>Github!F$2165</f>
        <v>214</v>
      </c>
      <c r="D2166" s="17">
        <f>Github!G$2165</f>
        <v>10</v>
      </c>
      <c r="E2166" s="17">
        <f>Github!F$2165+Github!G$2165</f>
        <v>224</v>
      </c>
      <c r="F2166" s="18">
        <f t="shared" si="1"/>
        <v>21.4</v>
      </c>
      <c r="G2166" s="17" t="str">
        <f>Github!H$2165</f>
        <v>Algorithms</v>
      </c>
      <c r="H2166" s="17" t="str">
        <f>Github!E$2165</f>
        <v>Easy</v>
      </c>
      <c r="I2166" s="17" t="str">
        <f>IF(TRIM(Github!D$2165)="TRUE","FALSE","TRUE")</f>
        <v>TRUE</v>
      </c>
      <c r="J2166" s="17"/>
      <c r="K2166" s="17" t="str">
        <f>Github!L$2165</f>
        <v>Array;Sorting;</v>
      </c>
      <c r="L2166" s="17" t="b">
        <f>Github!M$2165</f>
        <v>0</v>
      </c>
      <c r="M2166" s="17" t="str">
        <f>ROUND(Github!N$2165, 2)&amp;"%"</f>
        <v>0%</v>
      </c>
      <c r="N2166" s="17">
        <f>Github!O$2165</f>
        <v>67.76218155</v>
      </c>
      <c r="O2166" s="17">
        <f>Github!P$2165</f>
        <v>21915</v>
      </c>
    </row>
    <row r="2167">
      <c r="A2167" s="17">
        <f>Github!J$2166</f>
        <v>2165</v>
      </c>
      <c r="B2167" s="27" t="str">
        <f>HYPERLINK(CONCAT("http://leetcode.com/problems/",Github!C$2166), Github!B$2166)</f>
        <v>Smallest Value of the Rearranged Number</v>
      </c>
      <c r="C2167" s="17">
        <f>Github!F$2166</f>
        <v>264</v>
      </c>
      <c r="D2167" s="17">
        <f>Github!G$2166</f>
        <v>8</v>
      </c>
      <c r="E2167" s="17">
        <f>Github!F$2166+Github!G$2166</f>
        <v>272</v>
      </c>
      <c r="F2167" s="18">
        <f t="shared" si="1"/>
        <v>33</v>
      </c>
      <c r="G2167" s="17" t="str">
        <f>Github!H$2166</f>
        <v>Algorithms</v>
      </c>
      <c r="H2167" s="17" t="str">
        <f>Github!E$2166</f>
        <v>Medium</v>
      </c>
      <c r="I2167" s="17" t="str">
        <f>IF(TRIM(Github!D$2166)="TRUE","FALSE","TRUE")</f>
        <v>TRUE</v>
      </c>
      <c r="J2167" s="17"/>
      <c r="K2167" s="17" t="str">
        <f>Github!L$2166</f>
        <v>Math;Sorting;</v>
      </c>
      <c r="L2167" s="17" t="b">
        <f>Github!M$2166</f>
        <v>0</v>
      </c>
      <c r="M2167" s="17" t="str">
        <f>ROUND(Github!N$2166, 2)&amp;"%"</f>
        <v>0%</v>
      </c>
      <c r="N2167" s="17">
        <f>Github!O$2166</f>
        <v>50.4931766</v>
      </c>
      <c r="O2167" s="17">
        <f>Github!P$2166</f>
        <v>18685</v>
      </c>
    </row>
    <row r="2168">
      <c r="A2168" s="17">
        <f>Github!J$2167</f>
        <v>2166</v>
      </c>
      <c r="B2168" s="27" t="str">
        <f>HYPERLINK(CONCAT("http://leetcode.com/problems/",Github!C$2167), Github!B$2167)</f>
        <v>Design Bitset</v>
      </c>
      <c r="C2168" s="17">
        <f>Github!F$2167</f>
        <v>340</v>
      </c>
      <c r="D2168" s="17">
        <f>Github!G$2167</f>
        <v>31</v>
      </c>
      <c r="E2168" s="17">
        <f>Github!F$2167+Github!G$2167</f>
        <v>371</v>
      </c>
      <c r="F2168" s="18">
        <f t="shared" si="1"/>
        <v>10.97</v>
      </c>
      <c r="G2168" s="17" t="str">
        <f>Github!H$2167</f>
        <v>Algorithms</v>
      </c>
      <c r="H2168" s="17" t="str">
        <f>Github!E$2167</f>
        <v>Medium</v>
      </c>
      <c r="I2168" s="17" t="str">
        <f>IF(TRIM(Github!D$2167)="TRUE","FALSE","TRUE")</f>
        <v>TRUE</v>
      </c>
      <c r="J2168" s="17"/>
      <c r="K2168" s="17" t="str">
        <f>Github!L$2167</f>
        <v>Array;Hash Table;Design;</v>
      </c>
      <c r="L2168" s="17" t="b">
        <f>Github!M$2167</f>
        <v>0</v>
      </c>
      <c r="M2168" s="17" t="str">
        <f>ROUND(Github!N$2167, 2)&amp;"%"</f>
        <v>0%</v>
      </c>
      <c r="N2168" s="17">
        <f>Github!O$2167</f>
        <v>28.82503703</v>
      </c>
      <c r="O2168" s="17">
        <f>Github!P$2167</f>
        <v>12258</v>
      </c>
    </row>
    <row r="2169">
      <c r="A2169" s="17">
        <f>Github!J$2168</f>
        <v>2167</v>
      </c>
      <c r="B2169" s="27" t="str">
        <f>HYPERLINK(CONCAT("http://leetcode.com/problems/",Github!C$2168), Github!B$2168)</f>
        <v>Minimum Time to Remove All Cars Containing Illegal Goods</v>
      </c>
      <c r="C2169" s="17">
        <f>Github!F$2168</f>
        <v>442</v>
      </c>
      <c r="D2169" s="17">
        <f>Github!G$2168</f>
        <v>7</v>
      </c>
      <c r="E2169" s="17">
        <f>Github!F$2168+Github!G$2168</f>
        <v>449</v>
      </c>
      <c r="F2169" s="18">
        <f t="shared" si="1"/>
        <v>63.14</v>
      </c>
      <c r="G2169" s="17" t="str">
        <f>Github!H$2168</f>
        <v>Algorithms</v>
      </c>
      <c r="H2169" s="17" t="str">
        <f>Github!E$2168</f>
        <v>Hard</v>
      </c>
      <c r="I2169" s="17" t="str">
        <f>IF(TRIM(Github!D$2168)="TRUE","FALSE","TRUE")</f>
        <v>TRUE</v>
      </c>
      <c r="J2169" s="17"/>
      <c r="K2169" s="17" t="str">
        <f>Github!L$2168</f>
        <v>String;Dynamic Programming;</v>
      </c>
      <c r="L2169" s="17" t="b">
        <f>Github!M$2168</f>
        <v>0</v>
      </c>
      <c r="M2169" s="17" t="str">
        <f>ROUND(Github!N$2168, 2)&amp;"%"</f>
        <v>0%</v>
      </c>
      <c r="N2169" s="17">
        <f>Github!O$2168</f>
        <v>38.63564419</v>
      </c>
      <c r="O2169" s="17">
        <f>Github!P$2168</f>
        <v>7323</v>
      </c>
    </row>
    <row r="2170">
      <c r="A2170" s="17">
        <f>Github!J$2169</f>
        <v>2168</v>
      </c>
      <c r="B2170" s="27" t="str">
        <f>HYPERLINK(CONCAT("http://leetcode.com/problems/",Github!C$2169), Github!B$2169)</f>
        <v>Unique Substrings With Equal Digit Frequency</v>
      </c>
      <c r="C2170" s="17">
        <f>Github!F$2169</f>
        <v>20</v>
      </c>
      <c r="D2170" s="17">
        <f>Github!G$2169</f>
        <v>3</v>
      </c>
      <c r="E2170" s="17">
        <f>Github!F$2169+Github!G$2169</f>
        <v>23</v>
      </c>
      <c r="F2170" s="18">
        <f t="shared" si="1"/>
        <v>6.67</v>
      </c>
      <c r="G2170" s="17" t="str">
        <f>Github!H$2169</f>
        <v>Algorithms</v>
      </c>
      <c r="H2170" s="17" t="str">
        <f>Github!E$2169</f>
        <v>Medium</v>
      </c>
      <c r="I2170" s="17" t="str">
        <f>IF(TRIM(Github!D$2169)="TRUE","FALSE","TRUE")</f>
        <v>FALSE</v>
      </c>
      <c r="J2170" s="17"/>
      <c r="K2170" s="17" t="str">
        <f>Github!L$2169</f>
        <v>Hash Table;String;Rolling Hash;Counting;Hash Function;</v>
      </c>
      <c r="L2170" s="17" t="b">
        <f>Github!M$2169</f>
        <v>0</v>
      </c>
      <c r="M2170" s="17" t="str">
        <f>ROUND(Github!N$2169, 2)&amp;"%"</f>
        <v>0%</v>
      </c>
      <c r="N2170" s="17">
        <f>Github!O$2169</f>
        <v>58.02469136</v>
      </c>
      <c r="O2170" s="17">
        <f>Github!P$2169</f>
        <v>611</v>
      </c>
    </row>
    <row r="2171">
      <c r="A2171" s="17">
        <f>Github!J$2170</f>
        <v>2169</v>
      </c>
      <c r="B2171" s="27" t="str">
        <f>HYPERLINK(CONCAT("http://leetcode.com/problems/",Github!C$2170), Github!B$2170)</f>
        <v>Count Operations to Obtain Zero</v>
      </c>
      <c r="C2171" s="17">
        <f>Github!F$2170</f>
        <v>178</v>
      </c>
      <c r="D2171" s="17">
        <f>Github!G$2170</f>
        <v>4</v>
      </c>
      <c r="E2171" s="17">
        <f>Github!F$2170+Github!G$2170</f>
        <v>182</v>
      </c>
      <c r="F2171" s="18">
        <f t="shared" si="1"/>
        <v>44.5</v>
      </c>
      <c r="G2171" s="17" t="str">
        <f>Github!H$2170</f>
        <v>Algorithms</v>
      </c>
      <c r="H2171" s="17" t="str">
        <f>Github!E$2170</f>
        <v>Easy</v>
      </c>
      <c r="I2171" s="17" t="str">
        <f>IF(TRIM(Github!D$2170)="TRUE","FALSE","TRUE")</f>
        <v>TRUE</v>
      </c>
      <c r="J2171" s="17"/>
      <c r="K2171" s="17" t="str">
        <f>Github!L$2170</f>
        <v>Math;Simulation;</v>
      </c>
      <c r="L2171" s="17" t="b">
        <f>Github!M$2170</f>
        <v>0</v>
      </c>
      <c r="M2171" s="17" t="str">
        <f>ROUND(Github!N$2170, 2)&amp;"%"</f>
        <v>0%</v>
      </c>
      <c r="N2171" s="17">
        <f>Github!O$2170</f>
        <v>75.11326068</v>
      </c>
      <c r="O2171" s="17">
        <f>Github!P$2170</f>
        <v>24538</v>
      </c>
    </row>
    <row r="2172">
      <c r="A2172" s="17">
        <f>Github!J$2171</f>
        <v>2170</v>
      </c>
      <c r="B2172" s="27" t="str">
        <f>HYPERLINK(CONCAT("http://leetcode.com/problems/",Github!C$2171), Github!B$2171)</f>
        <v>Minimum Operations to Make the Array Alternating</v>
      </c>
      <c r="C2172" s="17">
        <f>Github!F$2171</f>
        <v>315</v>
      </c>
      <c r="D2172" s="17">
        <f>Github!G$2171</f>
        <v>247</v>
      </c>
      <c r="E2172" s="17">
        <f>Github!F$2171+Github!G$2171</f>
        <v>562</v>
      </c>
      <c r="F2172" s="18">
        <f t="shared" si="1"/>
        <v>1.28</v>
      </c>
      <c r="G2172" s="17" t="str">
        <f>Github!H$2171</f>
        <v>Algorithms</v>
      </c>
      <c r="H2172" s="17" t="str">
        <f>Github!E$2171</f>
        <v>Medium</v>
      </c>
      <c r="I2172" s="17" t="str">
        <f>IF(TRIM(Github!D$2171)="TRUE","FALSE","TRUE")</f>
        <v>TRUE</v>
      </c>
      <c r="J2172" s="17"/>
      <c r="K2172" s="17" t="str">
        <f>Github!L$2171</f>
        <v>Array;Hash Table;Greedy;Counting;</v>
      </c>
      <c r="L2172" s="17" t="b">
        <f>Github!M$2171</f>
        <v>0</v>
      </c>
      <c r="M2172" s="17" t="str">
        <f>ROUND(Github!N$2171, 2)&amp;"%"</f>
        <v>0%</v>
      </c>
      <c r="N2172" s="17">
        <f>Github!O$2171</f>
        <v>32.56590909</v>
      </c>
      <c r="O2172" s="17">
        <f>Github!P$2171</f>
        <v>14329</v>
      </c>
    </row>
    <row r="2173">
      <c r="A2173" s="17">
        <f>Github!J$2172</f>
        <v>2171</v>
      </c>
      <c r="B2173" s="27" t="str">
        <f>HYPERLINK(CONCAT("http://leetcode.com/problems/",Github!C$2172), Github!B$2172)</f>
        <v>Removing Minimum Number of Magic Beans</v>
      </c>
      <c r="C2173" s="17">
        <f>Github!F$2172</f>
        <v>416</v>
      </c>
      <c r="D2173" s="17">
        <f>Github!G$2172</f>
        <v>26</v>
      </c>
      <c r="E2173" s="17">
        <f>Github!F$2172+Github!G$2172</f>
        <v>442</v>
      </c>
      <c r="F2173" s="18">
        <f t="shared" si="1"/>
        <v>16</v>
      </c>
      <c r="G2173" s="17" t="str">
        <f>Github!H$2172</f>
        <v>Algorithms</v>
      </c>
      <c r="H2173" s="17" t="str">
        <f>Github!E$2172</f>
        <v>Medium</v>
      </c>
      <c r="I2173" s="17" t="str">
        <f>IF(TRIM(Github!D$2172)="TRUE","FALSE","TRUE")</f>
        <v>TRUE</v>
      </c>
      <c r="J2173" s="17"/>
      <c r="K2173" s="17" t="str">
        <f>Github!L$2172</f>
        <v>Array;Sorting;Prefix Sum;</v>
      </c>
      <c r="L2173" s="17" t="b">
        <f>Github!M$2172</f>
        <v>0</v>
      </c>
      <c r="M2173" s="17" t="str">
        <f>ROUND(Github!N$2172, 2)&amp;"%"</f>
        <v>0%</v>
      </c>
      <c r="N2173" s="17">
        <f>Github!O$2172</f>
        <v>40.68961209</v>
      </c>
      <c r="O2173" s="17">
        <f>Github!P$2172</f>
        <v>13028</v>
      </c>
    </row>
    <row r="2174">
      <c r="A2174" s="17">
        <f>Github!J$2173</f>
        <v>2172</v>
      </c>
      <c r="B2174" s="27" t="str">
        <f>HYPERLINK(CONCAT("http://leetcode.com/problems/",Github!C$2173), Github!B$2173)</f>
        <v>Maximum AND Sum of Array</v>
      </c>
      <c r="C2174" s="17">
        <f>Github!F$2173</f>
        <v>205</v>
      </c>
      <c r="D2174" s="17">
        <f>Github!G$2173</f>
        <v>9</v>
      </c>
      <c r="E2174" s="17">
        <f>Github!F$2173+Github!G$2173</f>
        <v>214</v>
      </c>
      <c r="F2174" s="18">
        <f t="shared" si="1"/>
        <v>22.78</v>
      </c>
      <c r="G2174" s="17" t="str">
        <f>Github!H$2173</f>
        <v>Algorithms</v>
      </c>
      <c r="H2174" s="17" t="str">
        <f>Github!E$2173</f>
        <v>Hard</v>
      </c>
      <c r="I2174" s="17" t="str">
        <f>IF(TRIM(Github!D$2173)="TRUE","FALSE","TRUE")</f>
        <v>TRUE</v>
      </c>
      <c r="J2174" s="17"/>
      <c r="K2174" s="17" t="str">
        <f>Github!L$2173</f>
        <v>Array;Dynamic Programming;Bit Manipulation;Bitmask;</v>
      </c>
      <c r="L2174" s="17" t="b">
        <f>Github!M$2173</f>
        <v>0</v>
      </c>
      <c r="M2174" s="17" t="str">
        <f>ROUND(Github!N$2173, 2)&amp;"%"</f>
        <v>0%</v>
      </c>
      <c r="N2174" s="17">
        <f>Github!O$2173</f>
        <v>42.85214654</v>
      </c>
      <c r="O2174" s="17">
        <f>Github!P$2173</f>
        <v>4901</v>
      </c>
    </row>
    <row r="2175">
      <c r="A2175" s="17">
        <f>Github!J$2174</f>
        <v>2173</v>
      </c>
      <c r="B2175" s="27" t="str">
        <f>HYPERLINK(CONCAT("http://leetcode.com/problems/",Github!C$2174), Github!B$2174)</f>
        <v>Longest Winning Streak</v>
      </c>
      <c r="C2175" s="17">
        <f>Github!F$2174</f>
        <v>14</v>
      </c>
      <c r="D2175" s="17">
        <f>Github!G$2174</f>
        <v>1</v>
      </c>
      <c r="E2175" s="17">
        <f>Github!F$2174+Github!G$2174</f>
        <v>15</v>
      </c>
      <c r="F2175" s="18">
        <f t="shared" si="1"/>
        <v>14</v>
      </c>
      <c r="G2175" s="17" t="str">
        <f>Github!H$2174</f>
        <v>Database</v>
      </c>
      <c r="H2175" s="17" t="str">
        <f>Github!E$2174</f>
        <v>Hard</v>
      </c>
      <c r="I2175" s="17" t="str">
        <f>IF(TRIM(Github!D$2174)="TRUE","FALSE","TRUE")</f>
        <v>FALSE</v>
      </c>
      <c r="J2175" s="17"/>
      <c r="K2175" s="17" t="str">
        <f>Github!L$2174</f>
        <v>Database;</v>
      </c>
      <c r="L2175" s="17" t="b">
        <f>Github!M$2174</f>
        <v>0</v>
      </c>
      <c r="M2175" s="17" t="str">
        <f>ROUND(Github!N$2174, 2)&amp;"%"</f>
        <v>0%</v>
      </c>
      <c r="N2175" s="17">
        <f>Github!O$2174</f>
        <v>45.96443228</v>
      </c>
      <c r="O2175" s="17">
        <f>Github!P$2174</f>
        <v>336</v>
      </c>
    </row>
    <row r="2176">
      <c r="A2176" s="17">
        <f>Github!J$2175</f>
        <v>2174</v>
      </c>
      <c r="B2176" s="27" t="str">
        <f>HYPERLINK(CONCAT("http://leetcode.com/problems/",Github!C$2175), Github!B$2175)</f>
        <v>Remove All Ones With Row and Column Flips II</v>
      </c>
      <c r="C2176" s="17">
        <f>Github!F$2175</f>
        <v>19</v>
      </c>
      <c r="D2176" s="17">
        <f>Github!G$2175</f>
        <v>1</v>
      </c>
      <c r="E2176" s="17">
        <f>Github!F$2175+Github!G$2175</f>
        <v>20</v>
      </c>
      <c r="F2176" s="18">
        <f t="shared" si="1"/>
        <v>19</v>
      </c>
      <c r="G2176" s="17" t="str">
        <f>Github!H$2175</f>
        <v>Algorithms</v>
      </c>
      <c r="H2176" s="17" t="str">
        <f>Github!E$2175</f>
        <v>Medium</v>
      </c>
      <c r="I2176" s="17" t="str">
        <f>IF(TRIM(Github!D$2175)="TRUE","FALSE","TRUE")</f>
        <v>FALSE</v>
      </c>
      <c r="J2176" s="17"/>
      <c r="K2176" s="17" t="str">
        <f>Github!L$2175</f>
        <v>Array;Bit Manipulation;Breadth-First Search;Matrix;</v>
      </c>
      <c r="L2176" s="17" t="b">
        <f>Github!M$2175</f>
        <v>0</v>
      </c>
      <c r="M2176" s="17" t="str">
        <f>ROUND(Github!N$2175, 2)&amp;"%"</f>
        <v>0%</v>
      </c>
      <c r="N2176" s="17">
        <f>Github!O$2175</f>
        <v>68.27309237</v>
      </c>
      <c r="O2176" s="17">
        <f>Github!P$2175</f>
        <v>510</v>
      </c>
    </row>
    <row r="2177">
      <c r="A2177" s="17">
        <f>Github!J$2176</f>
        <v>2175</v>
      </c>
      <c r="B2177" s="27" t="str">
        <f>HYPERLINK(CONCAT("http://leetcode.com/problems/",Github!C$2176), Github!B$2176)</f>
        <v>The Change in Global Rankings</v>
      </c>
      <c r="C2177" s="17">
        <f>Github!F$2176</f>
        <v>7</v>
      </c>
      <c r="D2177" s="17">
        <f>Github!G$2176</f>
        <v>4</v>
      </c>
      <c r="E2177" s="17">
        <f>Github!F$2176+Github!G$2176</f>
        <v>11</v>
      </c>
      <c r="F2177" s="18">
        <f t="shared" si="1"/>
        <v>1.75</v>
      </c>
      <c r="G2177" s="17" t="str">
        <f>Github!H$2176</f>
        <v>Database</v>
      </c>
      <c r="H2177" s="17" t="str">
        <f>Github!E$2176</f>
        <v>Medium</v>
      </c>
      <c r="I2177" s="17" t="str">
        <f>IF(TRIM(Github!D$2176)="TRUE","FALSE","TRUE")</f>
        <v>FALSE</v>
      </c>
      <c r="J2177" s="17"/>
      <c r="K2177" s="17" t="str">
        <f>Github!L$2176</f>
        <v>Database;</v>
      </c>
      <c r="L2177" s="17" t="b">
        <f>Github!M$2176</f>
        <v>0</v>
      </c>
      <c r="M2177" s="17" t="str">
        <f>ROUND(Github!N$2176, 2)&amp;"%"</f>
        <v>0%</v>
      </c>
      <c r="N2177" s="17">
        <f>Github!O$2176</f>
        <v>63.26304107</v>
      </c>
      <c r="O2177" s="17">
        <f>Github!P$2176</f>
        <v>569</v>
      </c>
    </row>
    <row r="2178">
      <c r="A2178" s="17">
        <f>Github!J$2177</f>
        <v>2176</v>
      </c>
      <c r="B2178" s="27" t="str">
        <f>HYPERLINK(CONCAT("http://leetcode.com/problems/",Github!C$2177), Github!B$2177)</f>
        <v>Count Equal and Divisible Pairs in an Array</v>
      </c>
      <c r="C2178" s="17">
        <f>Github!F$2177</f>
        <v>135</v>
      </c>
      <c r="D2178" s="17">
        <f>Github!G$2177</f>
        <v>3</v>
      </c>
      <c r="E2178" s="17">
        <f>Github!F$2177+Github!G$2177</f>
        <v>138</v>
      </c>
      <c r="F2178" s="18">
        <f t="shared" si="1"/>
        <v>45</v>
      </c>
      <c r="G2178" s="17" t="str">
        <f>Github!H$2177</f>
        <v>Algorithms</v>
      </c>
      <c r="H2178" s="17" t="str">
        <f>Github!E$2177</f>
        <v>Easy</v>
      </c>
      <c r="I2178" s="17" t="str">
        <f>IF(TRIM(Github!D$2177)="TRUE","FALSE","TRUE")</f>
        <v>TRUE</v>
      </c>
      <c r="J2178" s="17"/>
      <c r="K2178" s="17" t="str">
        <f>Github!L$2177</f>
        <v>Array;</v>
      </c>
      <c r="L2178" s="17" t="b">
        <f>Github!M$2177</f>
        <v>0</v>
      </c>
      <c r="M2178" s="17" t="str">
        <f>ROUND(Github!N$2177, 2)&amp;"%"</f>
        <v>0%</v>
      </c>
      <c r="N2178" s="17">
        <f>Github!O$2177</f>
        <v>79.92948551</v>
      </c>
      <c r="O2178" s="17">
        <f>Github!P$2177</f>
        <v>18363</v>
      </c>
    </row>
    <row r="2179">
      <c r="A2179" s="17">
        <f>Github!J$2178</f>
        <v>2177</v>
      </c>
      <c r="B2179" s="27" t="str">
        <f>HYPERLINK(CONCAT("http://leetcode.com/problems/",Github!C$2178), Github!B$2178)</f>
        <v>Find Three Consecutive Integers That Sum to a Given Number</v>
      </c>
      <c r="C2179" s="17">
        <f>Github!F$2178</f>
        <v>193</v>
      </c>
      <c r="D2179" s="17">
        <f>Github!G$2178</f>
        <v>41</v>
      </c>
      <c r="E2179" s="17">
        <f>Github!F$2178+Github!G$2178</f>
        <v>234</v>
      </c>
      <c r="F2179" s="18">
        <f t="shared" si="1"/>
        <v>4.71</v>
      </c>
      <c r="G2179" s="17" t="str">
        <f>Github!H$2178</f>
        <v>Algorithms</v>
      </c>
      <c r="H2179" s="17" t="str">
        <f>Github!E$2178</f>
        <v>Medium</v>
      </c>
      <c r="I2179" s="17" t="str">
        <f>IF(TRIM(Github!D$2178)="TRUE","FALSE","TRUE")</f>
        <v>TRUE</v>
      </c>
      <c r="J2179" s="17"/>
      <c r="K2179" s="17" t="str">
        <f>Github!L$2178</f>
        <v>Math;Simulation;</v>
      </c>
      <c r="L2179" s="17" t="b">
        <f>Github!M$2178</f>
        <v>0</v>
      </c>
      <c r="M2179" s="17" t="str">
        <f>ROUND(Github!N$2178, 2)&amp;"%"</f>
        <v>0%</v>
      </c>
      <c r="N2179" s="17">
        <f>Github!O$2178</f>
        <v>59.61153956</v>
      </c>
      <c r="O2179" s="17">
        <f>Github!P$2178</f>
        <v>16696</v>
      </c>
    </row>
    <row r="2180">
      <c r="A2180" s="17">
        <f>Github!J$2179</f>
        <v>2178</v>
      </c>
      <c r="B2180" s="27" t="str">
        <f>HYPERLINK(CONCAT("http://leetcode.com/problems/",Github!C$2179), Github!B$2179)</f>
        <v>Maximum Split of Positive Even Integers</v>
      </c>
      <c r="C2180" s="17">
        <f>Github!F$2179</f>
        <v>291</v>
      </c>
      <c r="D2180" s="17">
        <f>Github!G$2179</f>
        <v>37</v>
      </c>
      <c r="E2180" s="17">
        <f>Github!F$2179+Github!G$2179</f>
        <v>328</v>
      </c>
      <c r="F2180" s="18">
        <f t="shared" si="1"/>
        <v>7.86</v>
      </c>
      <c r="G2180" s="17" t="str">
        <f>Github!H$2179</f>
        <v>Algorithms</v>
      </c>
      <c r="H2180" s="17" t="str">
        <f>Github!E$2179</f>
        <v>Medium</v>
      </c>
      <c r="I2180" s="17" t="str">
        <f>IF(TRIM(Github!D$2179)="TRUE","FALSE","TRUE")</f>
        <v>TRUE</v>
      </c>
      <c r="J2180" s="17"/>
      <c r="K2180" s="17" t="str">
        <f>Github!L$2179</f>
        <v>Math;Greedy;</v>
      </c>
      <c r="L2180" s="17" t="b">
        <f>Github!M$2179</f>
        <v>0</v>
      </c>
      <c r="M2180" s="17" t="str">
        <f>ROUND(Github!N$2179, 2)&amp;"%"</f>
        <v>0%</v>
      </c>
      <c r="N2180" s="17">
        <f>Github!O$2179</f>
        <v>53.56212917</v>
      </c>
      <c r="O2180" s="17">
        <f>Github!P$2179</f>
        <v>12548</v>
      </c>
    </row>
    <row r="2181">
      <c r="A2181" s="17">
        <f>Github!J$2180</f>
        <v>2179</v>
      </c>
      <c r="B2181" s="27" t="str">
        <f>HYPERLINK(CONCAT("http://leetcode.com/problems/",Github!C$2180), Github!B$2180)</f>
        <v>Count Good Triplets in an Array</v>
      </c>
      <c r="C2181" s="17">
        <f>Github!F$2180</f>
        <v>232</v>
      </c>
      <c r="D2181" s="17">
        <f>Github!G$2180</f>
        <v>10</v>
      </c>
      <c r="E2181" s="17">
        <f>Github!F$2180+Github!G$2180</f>
        <v>242</v>
      </c>
      <c r="F2181" s="18">
        <f t="shared" si="1"/>
        <v>23.2</v>
      </c>
      <c r="G2181" s="17" t="str">
        <f>Github!H$2180</f>
        <v>Algorithms</v>
      </c>
      <c r="H2181" s="17" t="str">
        <f>Github!E$2180</f>
        <v>Hard</v>
      </c>
      <c r="I2181" s="17" t="str">
        <f>IF(TRIM(Github!D$2180)="TRUE","FALSE","TRUE")</f>
        <v>TRUE</v>
      </c>
      <c r="J2181" s="17"/>
      <c r="K2181" s="17" t="str">
        <f>Github!L$2180</f>
        <v>Array;Binary Search;Divide and Conquer;Binary Indexed Tree;Segment Tree;Merge Sort;Ordered Set;</v>
      </c>
      <c r="L2181" s="17" t="b">
        <f>Github!M$2180</f>
        <v>0</v>
      </c>
      <c r="M2181" s="17" t="str">
        <f>ROUND(Github!N$2180, 2)&amp;"%"</f>
        <v>0%</v>
      </c>
      <c r="N2181" s="17">
        <f>Github!O$2180</f>
        <v>33.34411036</v>
      </c>
      <c r="O2181" s="17">
        <f>Github!P$2180</f>
        <v>3094</v>
      </c>
    </row>
    <row r="2182">
      <c r="A2182" s="17">
        <f>Github!J$2181</f>
        <v>2180</v>
      </c>
      <c r="B2182" s="27" t="str">
        <f>HYPERLINK(CONCAT("http://leetcode.com/problems/",Github!C$2181), Github!B$2181)</f>
        <v>Count Integers With Even Digit Sum</v>
      </c>
      <c r="C2182" s="17">
        <f>Github!F$2181</f>
        <v>183</v>
      </c>
      <c r="D2182" s="17">
        <f>Github!G$2181</f>
        <v>12</v>
      </c>
      <c r="E2182" s="17">
        <f>Github!F$2181+Github!G$2181</f>
        <v>195</v>
      </c>
      <c r="F2182" s="18">
        <f t="shared" si="1"/>
        <v>15.25</v>
      </c>
      <c r="G2182" s="17" t="str">
        <f>Github!H$2181</f>
        <v>Algorithms</v>
      </c>
      <c r="H2182" s="17" t="str">
        <f>Github!E$2181</f>
        <v>Easy</v>
      </c>
      <c r="I2182" s="17" t="str">
        <f>IF(TRIM(Github!D$2181)="TRUE","FALSE","TRUE")</f>
        <v>TRUE</v>
      </c>
      <c r="J2182" s="17"/>
      <c r="K2182" s="17" t="str">
        <f>Github!L$2181</f>
        <v>Math;Simulation;</v>
      </c>
      <c r="L2182" s="17" t="b">
        <f>Github!M$2181</f>
        <v>0</v>
      </c>
      <c r="M2182" s="17" t="str">
        <f>ROUND(Github!N$2181, 2)&amp;"%"</f>
        <v>0%</v>
      </c>
      <c r="N2182" s="17">
        <f>Github!O$2181</f>
        <v>64.89465351</v>
      </c>
      <c r="O2182" s="17">
        <f>Github!P$2181</f>
        <v>21313</v>
      </c>
    </row>
    <row r="2183">
      <c r="A2183" s="17">
        <f>Github!J$2182</f>
        <v>2181</v>
      </c>
      <c r="B2183" s="27" t="str">
        <f>HYPERLINK(CONCAT("http://leetcode.com/problems/",Github!C$2182), Github!B$2182)</f>
        <v>Merge Nodes in Between Zeros</v>
      </c>
      <c r="C2183" s="17">
        <f>Github!F$2182</f>
        <v>282</v>
      </c>
      <c r="D2183" s="17">
        <f>Github!G$2182</f>
        <v>6</v>
      </c>
      <c r="E2183" s="17">
        <f>Github!F$2182+Github!G$2182</f>
        <v>288</v>
      </c>
      <c r="F2183" s="18">
        <f t="shared" si="1"/>
        <v>47</v>
      </c>
      <c r="G2183" s="17" t="str">
        <f>Github!H$2182</f>
        <v>Algorithms</v>
      </c>
      <c r="H2183" s="17" t="str">
        <f>Github!E$2182</f>
        <v>Medium</v>
      </c>
      <c r="I2183" s="17" t="str">
        <f>IF(TRIM(Github!D$2182)="TRUE","FALSE","TRUE")</f>
        <v>TRUE</v>
      </c>
      <c r="J2183" s="17"/>
      <c r="K2183" s="17" t="str">
        <f>Github!L$2182</f>
        <v>Linked List;Simulation;</v>
      </c>
      <c r="L2183" s="17" t="b">
        <f>Github!M$2182</f>
        <v>0</v>
      </c>
      <c r="M2183" s="17" t="str">
        <f>ROUND(Github!N$2182, 2)&amp;"%"</f>
        <v>0%</v>
      </c>
      <c r="N2183" s="17">
        <f>Github!O$2182</f>
        <v>87.50304112</v>
      </c>
      <c r="O2183" s="17">
        <f>Github!P$2182</f>
        <v>21579</v>
      </c>
    </row>
    <row r="2184">
      <c r="A2184" s="17">
        <f>Github!J$2183</f>
        <v>2182</v>
      </c>
      <c r="B2184" s="27" t="str">
        <f>HYPERLINK(CONCAT("http://leetcode.com/problems/",Github!C$2183), Github!B$2183)</f>
        <v>Construct String With Repeat Limit</v>
      </c>
      <c r="C2184" s="17">
        <f>Github!F$2183</f>
        <v>330</v>
      </c>
      <c r="D2184" s="17">
        <f>Github!G$2183</f>
        <v>19</v>
      </c>
      <c r="E2184" s="17">
        <f>Github!F$2183+Github!G$2183</f>
        <v>349</v>
      </c>
      <c r="F2184" s="18">
        <f t="shared" si="1"/>
        <v>17.37</v>
      </c>
      <c r="G2184" s="17" t="str">
        <f>Github!H$2183</f>
        <v>Algorithms</v>
      </c>
      <c r="H2184" s="17" t="str">
        <f>Github!E$2183</f>
        <v>Medium</v>
      </c>
      <c r="I2184" s="17" t="str">
        <f>IF(TRIM(Github!D$2183)="TRUE","FALSE","TRUE")</f>
        <v>TRUE</v>
      </c>
      <c r="J2184" s="17"/>
      <c r="K2184" s="17" t="str">
        <f>Github!L$2183</f>
        <v>String;Greedy;Heap (Priority Queue);Counting;</v>
      </c>
      <c r="L2184" s="17" t="b">
        <f>Github!M$2183</f>
        <v>0</v>
      </c>
      <c r="M2184" s="17" t="str">
        <f>ROUND(Github!N$2183, 2)&amp;"%"</f>
        <v>0%</v>
      </c>
      <c r="N2184" s="17">
        <f>Github!O$2183</f>
        <v>50.59664843</v>
      </c>
      <c r="O2184" s="17">
        <f>Github!P$2183</f>
        <v>11744</v>
      </c>
    </row>
    <row r="2185">
      <c r="A2185" s="17">
        <f>Github!J$2184</f>
        <v>2183</v>
      </c>
      <c r="B2185" s="27" t="str">
        <f>HYPERLINK(CONCAT("http://leetcode.com/problems/",Github!C$2184), Github!B$2184)</f>
        <v>Count Array Pairs Divisible by K</v>
      </c>
      <c r="C2185" s="17">
        <f>Github!F$2184</f>
        <v>349</v>
      </c>
      <c r="D2185" s="17">
        <f>Github!G$2184</f>
        <v>21</v>
      </c>
      <c r="E2185" s="17">
        <f>Github!F$2184+Github!G$2184</f>
        <v>370</v>
      </c>
      <c r="F2185" s="18">
        <f t="shared" si="1"/>
        <v>16.62</v>
      </c>
      <c r="G2185" s="17" t="str">
        <f>Github!H$2184</f>
        <v>Algorithms</v>
      </c>
      <c r="H2185" s="17" t="str">
        <f>Github!E$2184</f>
        <v>Hard</v>
      </c>
      <c r="I2185" s="17" t="str">
        <f>IF(TRIM(Github!D$2184)="TRUE","FALSE","TRUE")</f>
        <v>TRUE</v>
      </c>
      <c r="J2185" s="17"/>
      <c r="K2185" s="17" t="str">
        <f>Github!L$2184</f>
        <v>Array;Math;Number Theory;</v>
      </c>
      <c r="L2185" s="17" t="b">
        <f>Github!M$2184</f>
        <v>0</v>
      </c>
      <c r="M2185" s="17" t="str">
        <f>ROUND(Github!N$2184, 2)&amp;"%"</f>
        <v>0%</v>
      </c>
      <c r="N2185" s="17">
        <f>Github!O$2184</f>
        <v>26.0278564</v>
      </c>
      <c r="O2185" s="17">
        <f>Github!P$2184</f>
        <v>6989</v>
      </c>
    </row>
    <row r="2186">
      <c r="A2186" s="17">
        <f>Github!J$2185</f>
        <v>2184</v>
      </c>
      <c r="B2186" s="27" t="str">
        <f>HYPERLINK(CONCAT("http://leetcode.com/problems/",Github!C$2185), Github!B$2185)</f>
        <v>Number of Ways to Build Sturdy Brick Wall</v>
      </c>
      <c r="C2186" s="17">
        <f>Github!F$2185</f>
        <v>22</v>
      </c>
      <c r="D2186" s="17">
        <f>Github!G$2185</f>
        <v>5</v>
      </c>
      <c r="E2186" s="17">
        <f>Github!F$2185+Github!G$2185</f>
        <v>27</v>
      </c>
      <c r="F2186" s="18">
        <f t="shared" si="1"/>
        <v>4.4</v>
      </c>
      <c r="G2186" s="17" t="str">
        <f>Github!H$2185</f>
        <v>Algorithms</v>
      </c>
      <c r="H2186" s="17" t="str">
        <f>Github!E$2185</f>
        <v>Medium</v>
      </c>
      <c r="I2186" s="17" t="str">
        <f>IF(TRIM(Github!D$2185)="TRUE","FALSE","TRUE")</f>
        <v>FALSE</v>
      </c>
      <c r="J2186" s="17"/>
      <c r="K2186" s="17" t="str">
        <f>Github!L$2185</f>
        <v>Array;Dynamic Programming;Bit Manipulation;Bitmask;</v>
      </c>
      <c r="L2186" s="17" t="b">
        <f>Github!M$2185</f>
        <v>0</v>
      </c>
      <c r="M2186" s="17" t="str">
        <f>ROUND(Github!N$2185, 2)&amp;"%"</f>
        <v>0%</v>
      </c>
      <c r="N2186" s="17">
        <f>Github!O$2185</f>
        <v>64.91885144</v>
      </c>
      <c r="O2186" s="17">
        <f>Github!P$2185</f>
        <v>520</v>
      </c>
    </row>
    <row r="2187">
      <c r="A2187" s="17">
        <f>Github!J$2186</f>
        <v>2185</v>
      </c>
      <c r="B2187" s="27" t="str">
        <f>HYPERLINK(CONCAT("http://leetcode.com/problems/",Github!C$2186), Github!B$2186)</f>
        <v>Counting Words With a Given Prefix</v>
      </c>
      <c r="C2187" s="17">
        <f>Github!F$2186</f>
        <v>153</v>
      </c>
      <c r="D2187" s="17">
        <f>Github!G$2186</f>
        <v>2</v>
      </c>
      <c r="E2187" s="17">
        <f>Github!F$2186+Github!G$2186</f>
        <v>155</v>
      </c>
      <c r="F2187" s="18">
        <f t="shared" si="1"/>
        <v>76.5</v>
      </c>
      <c r="G2187" s="17" t="str">
        <f>Github!H$2186</f>
        <v>Algorithms</v>
      </c>
      <c r="H2187" s="17" t="str">
        <f>Github!E$2186</f>
        <v>Easy</v>
      </c>
      <c r="I2187" s="17" t="str">
        <f>IF(TRIM(Github!D$2186)="TRUE","FALSE","TRUE")</f>
        <v>TRUE</v>
      </c>
      <c r="J2187" s="17"/>
      <c r="K2187" s="17" t="str">
        <f>Github!L$2186</f>
        <v>Array;String;</v>
      </c>
      <c r="L2187" s="17" t="b">
        <f>Github!M$2186</f>
        <v>0</v>
      </c>
      <c r="M2187" s="17" t="str">
        <f>ROUND(Github!N$2186, 2)&amp;"%"</f>
        <v>0%</v>
      </c>
      <c r="N2187" s="17">
        <f>Github!O$2186</f>
        <v>77.68156141</v>
      </c>
      <c r="O2187" s="17">
        <f>Github!P$2186</f>
        <v>22962</v>
      </c>
    </row>
    <row r="2188">
      <c r="A2188" s="17">
        <f>Github!J$2187</f>
        <v>2186</v>
      </c>
      <c r="B2188" s="27" t="str">
        <f>HYPERLINK(CONCAT("http://leetcode.com/problems/",Github!C$2187), Github!B$2187)</f>
        <v>Minimum Number of Steps to Make Two Strings Anagram II</v>
      </c>
      <c r="C2188" s="17">
        <f>Github!F$2187</f>
        <v>188</v>
      </c>
      <c r="D2188" s="17">
        <f>Github!G$2187</f>
        <v>4</v>
      </c>
      <c r="E2188" s="17">
        <f>Github!F$2187+Github!G$2187</f>
        <v>192</v>
      </c>
      <c r="F2188" s="18">
        <f t="shared" si="1"/>
        <v>47</v>
      </c>
      <c r="G2188" s="17" t="str">
        <f>Github!H$2187</f>
        <v>Algorithms</v>
      </c>
      <c r="H2188" s="17" t="str">
        <f>Github!E$2187</f>
        <v>Medium</v>
      </c>
      <c r="I2188" s="17" t="str">
        <f>IF(TRIM(Github!D$2187)="TRUE","FALSE","TRUE")</f>
        <v>TRUE</v>
      </c>
      <c r="J2188" s="17"/>
      <c r="K2188" s="17" t="str">
        <f>Github!L$2187</f>
        <v>Hash Table;String;Counting;</v>
      </c>
      <c r="L2188" s="17" t="b">
        <f>Github!M$2187</f>
        <v>0</v>
      </c>
      <c r="M2188" s="17" t="str">
        <f>ROUND(Github!N$2187, 2)&amp;"%"</f>
        <v>0%</v>
      </c>
      <c r="N2188" s="17">
        <f>Github!O$2187</f>
        <v>69.68324139</v>
      </c>
      <c r="O2188" s="17">
        <f>Github!P$2187</f>
        <v>19072</v>
      </c>
    </row>
    <row r="2189">
      <c r="A2189" s="17">
        <f>Github!J$2188</f>
        <v>2187</v>
      </c>
      <c r="B2189" s="27" t="str">
        <f>HYPERLINK(CONCAT("http://leetcode.com/problems/",Github!C$2188), Github!B$2188)</f>
        <v>Minimum Time to Complete Trips</v>
      </c>
      <c r="C2189" s="17">
        <f>Github!F$2188</f>
        <v>435</v>
      </c>
      <c r="D2189" s="17">
        <f>Github!G$2188</f>
        <v>23</v>
      </c>
      <c r="E2189" s="17">
        <f>Github!F$2188+Github!G$2188</f>
        <v>458</v>
      </c>
      <c r="F2189" s="18">
        <f t="shared" si="1"/>
        <v>18.91</v>
      </c>
      <c r="G2189" s="17" t="str">
        <f>Github!H$2188</f>
        <v>Algorithms</v>
      </c>
      <c r="H2189" s="17" t="str">
        <f>Github!E$2188</f>
        <v>Medium</v>
      </c>
      <c r="I2189" s="17" t="str">
        <f>IF(TRIM(Github!D$2188)="TRUE","FALSE","TRUE")</f>
        <v>TRUE</v>
      </c>
      <c r="J2189" s="17"/>
      <c r="K2189" s="17" t="str">
        <f>Github!L$2188</f>
        <v>Array;Binary Search;</v>
      </c>
      <c r="L2189" s="17" t="b">
        <f>Github!M$2188</f>
        <v>0</v>
      </c>
      <c r="M2189" s="17" t="str">
        <f>ROUND(Github!N$2188, 2)&amp;"%"</f>
        <v>0%</v>
      </c>
      <c r="N2189" s="17">
        <f>Github!O$2188</f>
        <v>28.88250653</v>
      </c>
      <c r="O2189" s="17">
        <f>Github!P$2188</f>
        <v>16592</v>
      </c>
    </row>
    <row r="2190">
      <c r="A2190" s="17">
        <f>Github!J$2189</f>
        <v>2188</v>
      </c>
      <c r="B2190" s="27" t="str">
        <f>HYPERLINK(CONCAT("http://leetcode.com/problems/",Github!C$2189), Github!B$2189)</f>
        <v>Minimum Time to Finish the Race</v>
      </c>
      <c r="C2190" s="17">
        <f>Github!F$2189</f>
        <v>270</v>
      </c>
      <c r="D2190" s="17">
        <f>Github!G$2189</f>
        <v>7</v>
      </c>
      <c r="E2190" s="17">
        <f>Github!F$2189+Github!G$2189</f>
        <v>277</v>
      </c>
      <c r="F2190" s="18">
        <f t="shared" si="1"/>
        <v>38.57</v>
      </c>
      <c r="G2190" s="17" t="str">
        <f>Github!H$2189</f>
        <v>Algorithms</v>
      </c>
      <c r="H2190" s="17" t="str">
        <f>Github!E$2189</f>
        <v>Hard</v>
      </c>
      <c r="I2190" s="17" t="str">
        <f>IF(TRIM(Github!D$2189)="TRUE","FALSE","TRUE")</f>
        <v>TRUE</v>
      </c>
      <c r="J2190" s="17"/>
      <c r="K2190" s="17" t="str">
        <f>Github!L$2189</f>
        <v>Array;Dynamic Programming;</v>
      </c>
      <c r="L2190" s="17" t="b">
        <f>Github!M$2189</f>
        <v>0</v>
      </c>
      <c r="M2190" s="17" t="str">
        <f>ROUND(Github!N$2189, 2)&amp;"%"</f>
        <v>0%</v>
      </c>
      <c r="N2190" s="17">
        <f>Github!O$2189</f>
        <v>39.05821776</v>
      </c>
      <c r="O2190" s="17">
        <f>Github!P$2189</f>
        <v>4702</v>
      </c>
    </row>
    <row r="2191">
      <c r="A2191" s="17">
        <f>Github!J$2190</f>
        <v>2189</v>
      </c>
      <c r="B2191" s="27" t="str">
        <f>HYPERLINK(CONCAT("http://leetcode.com/problems/",Github!C$2190), Github!B$2190)</f>
        <v>Number of Ways to Build House of Cards</v>
      </c>
      <c r="C2191" s="17">
        <f>Github!F$2190</f>
        <v>15</v>
      </c>
      <c r="D2191" s="17">
        <f>Github!G$2190</f>
        <v>2</v>
      </c>
      <c r="E2191" s="17">
        <f>Github!F$2190+Github!G$2190</f>
        <v>17</v>
      </c>
      <c r="F2191" s="18">
        <f t="shared" si="1"/>
        <v>7.5</v>
      </c>
      <c r="G2191" s="17" t="str">
        <f>Github!H$2190</f>
        <v>Algorithms</v>
      </c>
      <c r="H2191" s="17" t="str">
        <f>Github!E$2190</f>
        <v>Medium</v>
      </c>
      <c r="I2191" s="17" t="str">
        <f>IF(TRIM(Github!D$2190)="TRUE","FALSE","TRUE")</f>
        <v>FALSE</v>
      </c>
      <c r="J2191" s="17"/>
      <c r="K2191" s="17" t="str">
        <f>Github!L$2190</f>
        <v>Math;Dynamic Programming;</v>
      </c>
      <c r="L2191" s="17" t="b">
        <f>Github!M$2190</f>
        <v>0</v>
      </c>
      <c r="M2191" s="17" t="str">
        <f>ROUND(Github!N$2190, 2)&amp;"%"</f>
        <v>0%</v>
      </c>
      <c r="N2191" s="17">
        <f>Github!O$2190</f>
        <v>66.31259484</v>
      </c>
      <c r="O2191" s="17">
        <f>Github!P$2190</f>
        <v>437</v>
      </c>
    </row>
    <row r="2192">
      <c r="A2192" s="17">
        <f>Github!J$2191</f>
        <v>2190</v>
      </c>
      <c r="B2192" s="27" t="str">
        <f>HYPERLINK(CONCAT("http://leetcode.com/problems/",Github!C$2191), Github!B$2191)</f>
        <v>Most Frequent Number Following Key In an Array</v>
      </c>
      <c r="C2192" s="17">
        <f>Github!F$2191</f>
        <v>104</v>
      </c>
      <c r="D2192" s="17">
        <f>Github!G$2191</f>
        <v>50</v>
      </c>
      <c r="E2192" s="17">
        <f>Github!F$2191+Github!G$2191</f>
        <v>154</v>
      </c>
      <c r="F2192" s="18">
        <f t="shared" si="1"/>
        <v>2.08</v>
      </c>
      <c r="G2192" s="17" t="str">
        <f>Github!H$2191</f>
        <v>Algorithms</v>
      </c>
      <c r="H2192" s="17" t="str">
        <f>Github!E$2191</f>
        <v>Easy</v>
      </c>
      <c r="I2192" s="17" t="str">
        <f>IF(TRIM(Github!D$2191)="TRUE","FALSE","TRUE")</f>
        <v>TRUE</v>
      </c>
      <c r="J2192" s="17"/>
      <c r="K2192" s="17" t="str">
        <f>Github!L$2191</f>
        <v>Array;Hash Table;Counting;</v>
      </c>
      <c r="L2192" s="17" t="b">
        <f>Github!M$2191</f>
        <v>0</v>
      </c>
      <c r="M2192" s="17" t="str">
        <f>ROUND(Github!N$2191, 2)&amp;"%"</f>
        <v>0%</v>
      </c>
      <c r="N2192" s="17">
        <f>Github!O$2191</f>
        <v>60.10529134</v>
      </c>
      <c r="O2192" s="17">
        <f>Github!P$2191</f>
        <v>13466</v>
      </c>
    </row>
    <row r="2193">
      <c r="A2193" s="17">
        <f>Github!J$2192</f>
        <v>2191</v>
      </c>
      <c r="B2193" s="27" t="str">
        <f>HYPERLINK(CONCAT("http://leetcode.com/problems/",Github!C$2192), Github!B$2192)</f>
        <v>Sort the Jumbled Numbers</v>
      </c>
      <c r="C2193" s="17">
        <f>Github!F$2192</f>
        <v>182</v>
      </c>
      <c r="D2193" s="17">
        <f>Github!G$2192</f>
        <v>19</v>
      </c>
      <c r="E2193" s="17">
        <f>Github!F$2192+Github!G$2192</f>
        <v>201</v>
      </c>
      <c r="F2193" s="18">
        <f t="shared" si="1"/>
        <v>9.58</v>
      </c>
      <c r="G2193" s="17" t="str">
        <f>Github!H$2192</f>
        <v>Algorithms</v>
      </c>
      <c r="H2193" s="17" t="str">
        <f>Github!E$2192</f>
        <v>Medium</v>
      </c>
      <c r="I2193" s="17" t="str">
        <f>IF(TRIM(Github!D$2192)="TRUE","FALSE","TRUE")</f>
        <v>TRUE</v>
      </c>
      <c r="J2193" s="17"/>
      <c r="K2193" s="17" t="str">
        <f>Github!L$2192</f>
        <v>Array;Sorting;</v>
      </c>
      <c r="L2193" s="17" t="b">
        <f>Github!M$2192</f>
        <v>0</v>
      </c>
      <c r="M2193" s="17" t="str">
        <f>ROUND(Github!N$2192, 2)&amp;"%"</f>
        <v>0%</v>
      </c>
      <c r="N2193" s="17">
        <f>Github!O$2192</f>
        <v>41.90725071</v>
      </c>
      <c r="O2193" s="17">
        <f>Github!P$2192</f>
        <v>10101</v>
      </c>
    </row>
    <row r="2194">
      <c r="A2194" s="17">
        <f>Github!J$2193</f>
        <v>2192</v>
      </c>
      <c r="B2194" s="27" t="str">
        <f>HYPERLINK(CONCAT("http://leetcode.com/problems/",Github!C$2193), Github!B$2193)</f>
        <v>All Ancestors of a Node in a Directed Acyclic Graph</v>
      </c>
      <c r="C2194" s="17">
        <f>Github!F$2193</f>
        <v>262</v>
      </c>
      <c r="D2194" s="17">
        <f>Github!G$2193</f>
        <v>3</v>
      </c>
      <c r="E2194" s="17">
        <f>Github!F$2193+Github!G$2193</f>
        <v>265</v>
      </c>
      <c r="F2194" s="18">
        <f t="shared" si="1"/>
        <v>87.33</v>
      </c>
      <c r="G2194" s="17" t="str">
        <f>Github!H$2193</f>
        <v>Algorithms</v>
      </c>
      <c r="H2194" s="17" t="str">
        <f>Github!E$2193</f>
        <v>Medium</v>
      </c>
      <c r="I2194" s="17" t="str">
        <f>IF(TRIM(Github!D$2193)="TRUE","FALSE","TRUE")</f>
        <v>TRUE</v>
      </c>
      <c r="J2194" s="17"/>
      <c r="K2194" s="17" t="str">
        <f>Github!L$2193</f>
        <v>Depth-First Search;Breadth-First Search;Graph;Topological Sort;</v>
      </c>
      <c r="L2194" s="17" t="b">
        <f>Github!M$2193</f>
        <v>0</v>
      </c>
      <c r="M2194" s="17" t="str">
        <f>ROUND(Github!N$2193, 2)&amp;"%"</f>
        <v>0%</v>
      </c>
      <c r="N2194" s="17">
        <f>Github!O$2193</f>
        <v>43.23071217</v>
      </c>
      <c r="O2194" s="17">
        <f>Github!P$2193</f>
        <v>6991</v>
      </c>
    </row>
    <row r="2195">
      <c r="A2195" s="17">
        <f>Github!J$2194</f>
        <v>2193</v>
      </c>
      <c r="B2195" s="27" t="str">
        <f>HYPERLINK(CONCAT("http://leetcode.com/problems/",Github!C$2194), Github!B$2194)</f>
        <v>Minimum Number of Moves to Make Palindrome</v>
      </c>
      <c r="C2195" s="17">
        <f>Github!F$2194</f>
        <v>127</v>
      </c>
      <c r="D2195" s="17">
        <f>Github!G$2194</f>
        <v>47</v>
      </c>
      <c r="E2195" s="17">
        <f>Github!F$2194+Github!G$2194</f>
        <v>174</v>
      </c>
      <c r="F2195" s="18">
        <f t="shared" si="1"/>
        <v>2.7</v>
      </c>
      <c r="G2195" s="17" t="str">
        <f>Github!H$2194</f>
        <v>Algorithms</v>
      </c>
      <c r="H2195" s="17" t="str">
        <f>Github!E$2194</f>
        <v>Hard</v>
      </c>
      <c r="I2195" s="17" t="str">
        <f>IF(TRIM(Github!D$2194)="TRUE","FALSE","TRUE")</f>
        <v>TRUE</v>
      </c>
      <c r="J2195" s="17"/>
      <c r="K2195" s="17" t="str">
        <f>Github!L$2194</f>
        <v>Two Pointers;String;Greedy;Binary Indexed Tree;</v>
      </c>
      <c r="L2195" s="17" t="b">
        <f>Github!M$2194</f>
        <v>0</v>
      </c>
      <c r="M2195" s="17" t="str">
        <f>ROUND(Github!N$2194, 2)&amp;"%"</f>
        <v>0%</v>
      </c>
      <c r="N2195" s="17">
        <f>Github!O$2194</f>
        <v>39.00064199</v>
      </c>
      <c r="O2195" s="17">
        <f>Github!P$2194</f>
        <v>3641</v>
      </c>
    </row>
    <row r="2196">
      <c r="A2196" s="17">
        <f>Github!J$2195</f>
        <v>2194</v>
      </c>
      <c r="B2196" s="27" t="str">
        <f>HYPERLINK(CONCAT("http://leetcode.com/problems/",Github!C$2195), Github!B$2195)</f>
        <v>Cells in a Range on an Excel Sheet</v>
      </c>
      <c r="C2196" s="17">
        <f>Github!F$2195</f>
        <v>87</v>
      </c>
      <c r="D2196" s="17">
        <f>Github!G$2195</f>
        <v>24</v>
      </c>
      <c r="E2196" s="17">
        <f>Github!F$2195+Github!G$2195</f>
        <v>111</v>
      </c>
      <c r="F2196" s="18">
        <f t="shared" si="1"/>
        <v>3.63</v>
      </c>
      <c r="G2196" s="17" t="str">
        <f>Github!H$2195</f>
        <v>Algorithms</v>
      </c>
      <c r="H2196" s="17" t="str">
        <f>Github!E$2195</f>
        <v>Easy</v>
      </c>
      <c r="I2196" s="17" t="str">
        <f>IF(TRIM(Github!D$2195)="TRUE","FALSE","TRUE")</f>
        <v>TRUE</v>
      </c>
      <c r="J2196" s="17"/>
      <c r="K2196" s="17" t="str">
        <f>Github!L$2195</f>
        <v>String;</v>
      </c>
      <c r="L2196" s="17" t="b">
        <f>Github!M$2195</f>
        <v>0</v>
      </c>
      <c r="M2196" s="17" t="str">
        <f>ROUND(Github!N$2195, 2)&amp;"%"</f>
        <v>0%</v>
      </c>
      <c r="N2196" s="17">
        <f>Github!O$2195</f>
        <v>85.0458273</v>
      </c>
      <c r="O2196" s="17">
        <f>Github!P$2195</f>
        <v>15864</v>
      </c>
    </row>
    <row r="2197">
      <c r="A2197" s="17">
        <f>Github!J$2196</f>
        <v>2195</v>
      </c>
      <c r="B2197" s="27" t="str">
        <f>HYPERLINK(CONCAT("http://leetcode.com/problems/",Github!C$2196), Github!B$2196)</f>
        <v>Append K Integers With Minimal Sum</v>
      </c>
      <c r="C2197" s="17">
        <f>Github!F$2196</f>
        <v>242</v>
      </c>
      <c r="D2197" s="17">
        <f>Github!G$2196</f>
        <v>202</v>
      </c>
      <c r="E2197" s="17">
        <f>Github!F$2196+Github!G$2196</f>
        <v>444</v>
      </c>
      <c r="F2197" s="18">
        <f t="shared" si="1"/>
        <v>1.2</v>
      </c>
      <c r="G2197" s="17" t="str">
        <f>Github!H$2196</f>
        <v>Algorithms</v>
      </c>
      <c r="H2197" s="17" t="str">
        <f>Github!E$2196</f>
        <v>Medium</v>
      </c>
      <c r="I2197" s="17" t="str">
        <f>IF(TRIM(Github!D$2196)="TRUE","FALSE","TRUE")</f>
        <v>TRUE</v>
      </c>
      <c r="J2197" s="17"/>
      <c r="K2197" s="17" t="str">
        <f>Github!L$2196</f>
        <v>Array;Math;Greedy;Sorting;</v>
      </c>
      <c r="L2197" s="17" t="b">
        <f>Github!M$2196</f>
        <v>0</v>
      </c>
      <c r="M2197" s="17" t="str">
        <f>ROUND(Github!N$2196, 2)&amp;"%"</f>
        <v>0%</v>
      </c>
      <c r="N2197" s="17">
        <f>Github!O$2196</f>
        <v>22.08885452</v>
      </c>
      <c r="O2197" s="17">
        <f>Github!P$2196</f>
        <v>12566</v>
      </c>
    </row>
    <row r="2198">
      <c r="A2198" s="17">
        <f>Github!J$2197</f>
        <v>2196</v>
      </c>
      <c r="B2198" s="27" t="str">
        <f>HYPERLINK(CONCAT("http://leetcode.com/problems/",Github!C$2197), Github!B$2197)</f>
        <v>Create Binary Tree From Descriptions</v>
      </c>
      <c r="C2198" s="17">
        <f>Github!F$2197</f>
        <v>240</v>
      </c>
      <c r="D2198" s="17">
        <f>Github!G$2197</f>
        <v>7</v>
      </c>
      <c r="E2198" s="17">
        <f>Github!F$2197+Github!G$2197</f>
        <v>247</v>
      </c>
      <c r="F2198" s="18">
        <f t="shared" si="1"/>
        <v>34.29</v>
      </c>
      <c r="G2198" s="17" t="str">
        <f>Github!H$2197</f>
        <v>Algorithms</v>
      </c>
      <c r="H2198" s="17" t="str">
        <f>Github!E$2197</f>
        <v>Medium</v>
      </c>
      <c r="I2198" s="17" t="str">
        <f>IF(TRIM(Github!D$2197)="TRUE","FALSE","TRUE")</f>
        <v>TRUE</v>
      </c>
      <c r="J2198" s="17"/>
      <c r="K2198" s="17" t="str">
        <f>Github!L$2197</f>
        <v>Array;Hash Table;Tree;Depth-First Search;Breadth-First Search;Binary Tree;</v>
      </c>
      <c r="L2198" s="17" t="b">
        <f>Github!M$2197</f>
        <v>0</v>
      </c>
      <c r="M2198" s="17" t="str">
        <f>ROUND(Github!N$2197, 2)&amp;"%"</f>
        <v>0%</v>
      </c>
      <c r="N2198" s="17">
        <f>Github!O$2197</f>
        <v>69.43602965</v>
      </c>
      <c r="O2198" s="17">
        <f>Github!P$2197</f>
        <v>10768</v>
      </c>
    </row>
    <row r="2199">
      <c r="A2199" s="17">
        <f>Github!J$2198</f>
        <v>2197</v>
      </c>
      <c r="B2199" s="27" t="str">
        <f>HYPERLINK(CONCAT("http://leetcode.com/problems/",Github!C$2198), Github!B$2198)</f>
        <v>Replace Non-Coprime Numbers in Array</v>
      </c>
      <c r="C2199" s="17">
        <f>Github!F$2198</f>
        <v>169</v>
      </c>
      <c r="D2199" s="17">
        <f>Github!G$2198</f>
        <v>5</v>
      </c>
      <c r="E2199" s="17">
        <f>Github!F$2198+Github!G$2198</f>
        <v>174</v>
      </c>
      <c r="F2199" s="18">
        <f t="shared" si="1"/>
        <v>33.8</v>
      </c>
      <c r="G2199" s="17" t="str">
        <f>Github!H$2198</f>
        <v>Algorithms</v>
      </c>
      <c r="H2199" s="17" t="str">
        <f>Github!E$2198</f>
        <v>Hard</v>
      </c>
      <c r="I2199" s="17" t="str">
        <f>IF(TRIM(Github!D$2198)="TRUE","FALSE","TRUE")</f>
        <v>TRUE</v>
      </c>
      <c r="J2199" s="17"/>
      <c r="K2199" s="17" t="str">
        <f>Github!L$2198</f>
        <v>Array;Math;Stack;Number Theory;</v>
      </c>
      <c r="L2199" s="17" t="b">
        <f>Github!M$2198</f>
        <v>0</v>
      </c>
      <c r="M2199" s="17" t="str">
        <f>ROUND(Github!N$2198, 2)&amp;"%"</f>
        <v>0%</v>
      </c>
      <c r="N2199" s="17">
        <f>Github!O$2198</f>
        <v>33.2608951</v>
      </c>
      <c r="O2199" s="17">
        <f>Github!P$2198</f>
        <v>5655</v>
      </c>
    </row>
    <row r="2200">
      <c r="A2200" s="17"/>
      <c r="B2200" s="21"/>
      <c r="C2200" s="17"/>
      <c r="D2200" s="17"/>
      <c r="E2200" s="17"/>
      <c r="F2200" s="18" t="str">
        <f t="shared" si="1"/>
        <v/>
      </c>
      <c r="G2200" s="17"/>
      <c r="H2200" s="17"/>
      <c r="I2200" s="17"/>
      <c r="J2200" s="17"/>
      <c r="K2200" s="17"/>
      <c r="L2200" s="17"/>
      <c r="M2200" s="17"/>
      <c r="N2200" s="17"/>
      <c r="O2200" s="17"/>
    </row>
    <row r="2201">
      <c r="A2201" s="17"/>
      <c r="B2201" s="21"/>
      <c r="C2201" s="17" t="str">
        <f>Github!F$2200</f>
        <v/>
      </c>
      <c r="D2201" s="17"/>
      <c r="E2201" s="17"/>
      <c r="F2201" s="18" t="str">
        <f t="shared" si="1"/>
        <v/>
      </c>
      <c r="G2201" s="17"/>
      <c r="H2201" s="17"/>
      <c r="I2201" s="17"/>
      <c r="J2201" s="17"/>
      <c r="K2201" s="17"/>
      <c r="L2201" s="17"/>
      <c r="M2201" s="17"/>
      <c r="N2201" s="17"/>
      <c r="O2201" s="17"/>
    </row>
    <row r="2202">
      <c r="A2202" s="17"/>
      <c r="B2202" s="21"/>
      <c r="C2202" s="17"/>
      <c r="D2202" s="17"/>
      <c r="E2202" s="17"/>
      <c r="F2202" s="18" t="str">
        <f t="shared" si="1"/>
        <v/>
      </c>
      <c r="G2202" s="17"/>
      <c r="H2202" s="17"/>
      <c r="I2202" s="17"/>
      <c r="J2202" s="17"/>
      <c r="K2202" s="17"/>
      <c r="L2202" s="17"/>
      <c r="M2202" s="17"/>
      <c r="N2202" s="17"/>
      <c r="O2202" s="17"/>
    </row>
    <row r="2203">
      <c r="A2203" s="17"/>
      <c r="B2203" s="21"/>
      <c r="C2203" s="17"/>
      <c r="D2203" s="17"/>
      <c r="E2203" s="17"/>
      <c r="F2203" s="18" t="str">
        <f t="shared" si="1"/>
        <v/>
      </c>
      <c r="G2203" s="17"/>
      <c r="H2203" s="17"/>
      <c r="I2203" s="17"/>
      <c r="J2203" s="17"/>
      <c r="K2203" s="17"/>
      <c r="L2203" s="17"/>
      <c r="M2203" s="17"/>
      <c r="N2203" s="17"/>
      <c r="O2203" s="17"/>
    </row>
    <row r="2204">
      <c r="A2204" s="17"/>
      <c r="B2204" s="21"/>
      <c r="C2204" s="17"/>
      <c r="D2204" s="17"/>
      <c r="E2204" s="17"/>
      <c r="F2204" s="18" t="str">
        <f t="shared" si="1"/>
        <v/>
      </c>
      <c r="G2204" s="17"/>
      <c r="H2204" s="17"/>
      <c r="I2204" s="17"/>
      <c r="J2204" s="17"/>
      <c r="K2204" s="17"/>
      <c r="L2204" s="17"/>
      <c r="M2204" s="17"/>
      <c r="N2204" s="17"/>
      <c r="O2204" s="17"/>
    </row>
    <row r="2205">
      <c r="A2205" s="17"/>
      <c r="B2205" s="21"/>
      <c r="C2205" s="17"/>
      <c r="D2205" s="17"/>
      <c r="E2205" s="17"/>
      <c r="F2205" s="18" t="str">
        <f t="shared" si="1"/>
        <v/>
      </c>
      <c r="G2205" s="17"/>
      <c r="H2205" s="17"/>
      <c r="I2205" s="17"/>
      <c r="J2205" s="17"/>
      <c r="K2205" s="17"/>
      <c r="L2205" s="17"/>
      <c r="M2205" s="17"/>
      <c r="N2205" s="17"/>
      <c r="O2205" s="17"/>
    </row>
    <row r="2206">
      <c r="A2206" s="17"/>
      <c r="B2206" s="21"/>
      <c r="C2206" s="17"/>
      <c r="D2206" s="17"/>
      <c r="E2206" s="17"/>
      <c r="F2206" s="18" t="str">
        <f t="shared" si="1"/>
        <v/>
      </c>
      <c r="G2206" s="17"/>
      <c r="H2206" s="17"/>
      <c r="I2206" s="17"/>
      <c r="J2206" s="17"/>
      <c r="K2206" s="17"/>
      <c r="L2206" s="17"/>
      <c r="M2206" s="17"/>
      <c r="N2206" s="17"/>
      <c r="O2206" s="17"/>
    </row>
    <row r="2207">
      <c r="A2207" s="17"/>
      <c r="B2207" s="21"/>
      <c r="C2207" s="17"/>
      <c r="D2207" s="17"/>
      <c r="E2207" s="17"/>
      <c r="F2207" s="18" t="str">
        <f t="shared" si="1"/>
        <v/>
      </c>
      <c r="G2207" s="17"/>
      <c r="H2207" s="17"/>
      <c r="I2207" s="17"/>
      <c r="J2207" s="17"/>
      <c r="K2207" s="17"/>
      <c r="L2207" s="17"/>
      <c r="M2207" s="17"/>
      <c r="N2207" s="17"/>
      <c r="O2207" s="17"/>
    </row>
    <row r="2208">
      <c r="A2208" s="17"/>
      <c r="B2208" s="21"/>
      <c r="C2208" s="17"/>
      <c r="D2208" s="17"/>
      <c r="E2208" s="17"/>
      <c r="F2208" s="18" t="str">
        <f t="shared" si="1"/>
        <v/>
      </c>
      <c r="G2208" s="17"/>
      <c r="H2208" s="17"/>
      <c r="I2208" s="17"/>
      <c r="J2208" s="17"/>
      <c r="K2208" s="17"/>
      <c r="L2208" s="17"/>
      <c r="M2208" s="17"/>
      <c r="N2208" s="17"/>
      <c r="O2208" s="17"/>
    </row>
    <row r="2209">
      <c r="A2209" s="17"/>
      <c r="B2209" s="21"/>
      <c r="C2209" s="17"/>
      <c r="D2209" s="17"/>
      <c r="E2209" s="17"/>
      <c r="F2209" s="18" t="str">
        <f t="shared" si="1"/>
        <v/>
      </c>
      <c r="G2209" s="17"/>
      <c r="H2209" s="17"/>
      <c r="I2209" s="17"/>
      <c r="J2209" s="17"/>
      <c r="K2209" s="17"/>
      <c r="L2209" s="17"/>
      <c r="M2209" s="17"/>
      <c r="N2209" s="17"/>
      <c r="O2209" s="17"/>
    </row>
    <row r="2210">
      <c r="A2210" s="17"/>
      <c r="B2210" s="21"/>
      <c r="C2210" s="17"/>
      <c r="D2210" s="17"/>
      <c r="E2210" s="17"/>
      <c r="F2210" s="18" t="str">
        <f t="shared" si="1"/>
        <v/>
      </c>
      <c r="G2210" s="17"/>
      <c r="H2210" s="17"/>
      <c r="I2210" s="17"/>
      <c r="J2210" s="17"/>
      <c r="K2210" s="17"/>
      <c r="L2210" s="17"/>
      <c r="M2210" s="17"/>
      <c r="N2210" s="17"/>
      <c r="O2210" s="17"/>
    </row>
    <row r="2211">
      <c r="A2211" s="17"/>
      <c r="B2211" s="21"/>
      <c r="C2211" s="17"/>
      <c r="D2211" s="17"/>
      <c r="E2211" s="17"/>
      <c r="F2211" s="18" t="str">
        <f t="shared" si="1"/>
        <v/>
      </c>
      <c r="G2211" s="17"/>
      <c r="H2211" s="17"/>
      <c r="I2211" s="17"/>
      <c r="J2211" s="17"/>
      <c r="K2211" s="17"/>
      <c r="L2211" s="17"/>
      <c r="M2211" s="17"/>
      <c r="N2211" s="17"/>
      <c r="O2211" s="17"/>
    </row>
    <row r="2212">
      <c r="A2212" s="17"/>
      <c r="B2212" s="21"/>
      <c r="C2212" s="17"/>
      <c r="D2212" s="17"/>
      <c r="E2212" s="17"/>
      <c r="F2212" s="18" t="str">
        <f t="shared" si="1"/>
        <v/>
      </c>
      <c r="G2212" s="17"/>
      <c r="H2212" s="17"/>
      <c r="I2212" s="17"/>
      <c r="J2212" s="17"/>
      <c r="K2212" s="17"/>
      <c r="L2212" s="17"/>
      <c r="M2212" s="17"/>
      <c r="N2212" s="17"/>
      <c r="O2212" s="17"/>
    </row>
    <row r="2213">
      <c r="A2213" s="17"/>
      <c r="B2213" s="21"/>
      <c r="C2213" s="17"/>
      <c r="D2213" s="17"/>
      <c r="E2213" s="17"/>
      <c r="F2213" s="18" t="str">
        <f t="shared" si="1"/>
        <v/>
      </c>
      <c r="G2213" s="17"/>
      <c r="H2213" s="17"/>
      <c r="I2213" s="17"/>
      <c r="J2213" s="17"/>
      <c r="K2213" s="17"/>
      <c r="L2213" s="17"/>
      <c r="M2213" s="17"/>
      <c r="N2213" s="17"/>
      <c r="O2213" s="17"/>
    </row>
    <row r="2214">
      <c r="A2214" s="17"/>
      <c r="B2214" s="21"/>
      <c r="C2214" s="17"/>
      <c r="D2214" s="17"/>
      <c r="E2214" s="17"/>
      <c r="F2214" s="18" t="str">
        <f t="shared" si="1"/>
        <v/>
      </c>
      <c r="G2214" s="17"/>
      <c r="H2214" s="17"/>
      <c r="I2214" s="17"/>
      <c r="J2214" s="17"/>
      <c r="K2214" s="17"/>
      <c r="L2214" s="17"/>
      <c r="M2214" s="17"/>
      <c r="N2214" s="17"/>
      <c r="O2214" s="17"/>
    </row>
    <row r="2215">
      <c r="A2215" s="17"/>
      <c r="B2215" s="21"/>
      <c r="C2215" s="17"/>
      <c r="D2215" s="17"/>
      <c r="E2215" s="17"/>
      <c r="F2215" s="18" t="str">
        <f t="shared" si="1"/>
        <v/>
      </c>
      <c r="G2215" s="17"/>
      <c r="H2215" s="17"/>
      <c r="I2215" s="17"/>
      <c r="J2215" s="17"/>
      <c r="K2215" s="17"/>
      <c r="L2215" s="17"/>
      <c r="M2215" s="17"/>
      <c r="N2215" s="17"/>
      <c r="O2215" s="17"/>
    </row>
  </sheetData>
  <customSheetViews>
    <customSheetView guid="{37C3B912-A453-4F10-8090-039F13802711}" filter="1" showAutoFilter="1">
      <autoFilter ref="$A$1:$P$2199"/>
    </customSheetView>
  </customSheetViews>
  <conditionalFormatting sqref="H1:H2215">
    <cfRule type="containsText" dxfId="2" priority="1" operator="containsText" text="Medium">
      <formula>NOT(ISERROR(SEARCH(("Medium"),(H1))))</formula>
    </cfRule>
  </conditionalFormatting>
  <conditionalFormatting sqref="H1:H2215">
    <cfRule type="containsText" dxfId="0" priority="2" operator="containsText" text="Easy">
      <formula>NOT(ISERROR(SEARCH(("Easy"),(H1))))</formula>
    </cfRule>
  </conditionalFormatting>
  <conditionalFormatting sqref="O1:O2215">
    <cfRule type="containsText" dxfId="1" priority="3" operator="containsText" text="Hard">
      <formula>NOT(ISERROR(SEARCH(("Hard"),(O1))))</formula>
    </cfRule>
  </conditionalFormatting>
  <conditionalFormatting sqref="H1:H2215">
    <cfRule type="containsText" dxfId="1" priority="4" operator="containsText" text="Hard">
      <formula>NOT(ISERROR(SEARCH(("Hard"),(H1))))</formula>
    </cfRule>
  </conditionalFormatting>
  <conditionalFormatting sqref="I1:I2215 J1:K2215 L1:L2215">
    <cfRule type="containsText" dxfId="0" priority="5" operator="containsText" text="True">
      <formula>NOT(ISERROR(SEARCH(("True"),(I1))))</formula>
    </cfRule>
  </conditionalFormatting>
  <conditionalFormatting sqref="I1:I2215 J1:K2215 L1:L2215">
    <cfRule type="containsText" dxfId="1" priority="6" operator="containsText" text="False">
      <formula>NOT(ISERROR(SEARCH(("False"),(I1))))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 outlineLevelRow="1"/>
  <cols>
    <col customWidth="1" min="1" max="1" width="15.71"/>
    <col customWidth="1" min="2" max="2" width="45.57"/>
    <col customWidth="1" min="3" max="3" width="14.29"/>
    <col customWidth="1" min="4" max="4" width="15.71"/>
    <col customWidth="1" min="5" max="5" width="19.57"/>
    <col customWidth="1" min="6" max="6" width="15.71"/>
    <col customWidth="1" min="7" max="7" width="13.86"/>
    <col customWidth="1" min="8" max="8" width="11.86"/>
    <col customWidth="1" min="9" max="9" width="13.57"/>
    <col customWidth="1" min="10" max="10" width="20.29"/>
    <col customWidth="1" min="11" max="11" width="18.71"/>
    <col customWidth="1" min="12" max="12" width="18.29"/>
    <col customWidth="1" min="13" max="26" width="15.71"/>
  </cols>
  <sheetData>
    <row r="1" outlineLevel="1">
      <c r="A1" s="3"/>
      <c r="B1" s="32" t="s">
        <v>16</v>
      </c>
      <c r="C1" s="3"/>
      <c r="D1" s="3"/>
      <c r="E1" s="23"/>
      <c r="F1" s="23"/>
      <c r="G1" s="23"/>
      <c r="H1" s="23"/>
      <c r="I1" s="33" t="s">
        <v>17</v>
      </c>
      <c r="J1" s="23"/>
      <c r="K1" s="23"/>
      <c r="L1" s="23"/>
    </row>
    <row r="2">
      <c r="A2" s="30" t="s">
        <v>18</v>
      </c>
      <c r="B2" s="30" t="s">
        <v>2</v>
      </c>
      <c r="C2" s="30" t="s">
        <v>19</v>
      </c>
      <c r="D2" s="30" t="s">
        <v>20</v>
      </c>
      <c r="E2" s="30" t="s">
        <v>21</v>
      </c>
      <c r="F2" s="30" t="s">
        <v>22</v>
      </c>
      <c r="G2" s="30" t="s">
        <v>7</v>
      </c>
      <c r="H2" s="30" t="s">
        <v>23</v>
      </c>
      <c r="I2" s="30" t="s">
        <v>9</v>
      </c>
      <c r="J2" s="30" t="s">
        <v>24</v>
      </c>
      <c r="K2" s="30" t="s">
        <v>25</v>
      </c>
      <c r="L2" s="30" t="s">
        <v>26</v>
      </c>
    </row>
    <row r="3">
      <c r="A3" s="17">
        <f>Github!J$2</f>
        <v>1</v>
      </c>
      <c r="B3" s="34" t="str">
        <f>HYPERLINK(CONCAT("http://leetcode.com/problems/",Github!C$2), Github!B$2)</f>
        <v>Two Sum</v>
      </c>
      <c r="C3" s="17">
        <f>Github!F$2</f>
        <v>30049</v>
      </c>
      <c r="D3" s="17">
        <f>Github!G$2</f>
        <v>945</v>
      </c>
      <c r="E3" s="17">
        <f>Github!F$2+Github!G$2</f>
        <v>30994</v>
      </c>
      <c r="F3" s="18">
        <f t="shared" ref="F3:F2199" si="1">ROUND(C3/D3, 2)</f>
        <v>31.8</v>
      </c>
      <c r="G3" s="17" t="str">
        <f>Github!H$2</f>
        <v>Algorithms</v>
      </c>
      <c r="H3" s="17" t="b">
        <f>Github!D$2</f>
        <v>0</v>
      </c>
      <c r="I3" s="17" t="str">
        <f>Github!E$2</f>
        <v>Easy</v>
      </c>
      <c r="J3" s="17" t="str">
        <f>ROUND(Github!N$2, 2)&amp;"%"</f>
        <v>1%</v>
      </c>
      <c r="K3" s="17">
        <f>Github!O$2</f>
        <v>48.34225139</v>
      </c>
      <c r="L3" s="17">
        <f>Github!P$2</f>
        <v>6141290</v>
      </c>
    </row>
    <row r="4">
      <c r="A4" s="17">
        <f>Github!J$3</f>
        <v>2</v>
      </c>
      <c r="B4" s="34" t="str">
        <f>HYPERLINK(CONCAT("http://leetcode.com/problems/",Github!C$3), Github!B$3)</f>
        <v>Add Two Numbers</v>
      </c>
      <c r="C4" s="17">
        <f>Github!F$3</f>
        <v>17226</v>
      </c>
      <c r="D4" s="17">
        <f>Github!G$3</f>
        <v>3593</v>
      </c>
      <c r="E4" s="17">
        <f>Github!F$3+Github!G$3</f>
        <v>20819</v>
      </c>
      <c r="F4" s="18">
        <f t="shared" si="1"/>
        <v>4.79</v>
      </c>
      <c r="G4" s="17" t="str">
        <f>Github!H$3</f>
        <v>Algorithms</v>
      </c>
      <c r="H4" s="17" t="b">
        <f>Github!D$3</f>
        <v>0</v>
      </c>
      <c r="I4" s="17" t="str">
        <f>Github!E$3</f>
        <v>Medium</v>
      </c>
      <c r="J4" s="17" t="str">
        <f>ROUND(Github!N$3, 2)&amp;"%"</f>
        <v>0%</v>
      </c>
      <c r="K4" s="17">
        <f>Github!O$3</f>
        <v>38.29319147</v>
      </c>
      <c r="L4" s="17">
        <f>Github!P$3</f>
        <v>2607699</v>
      </c>
    </row>
    <row r="5">
      <c r="A5" s="17">
        <f>Github!J$4</f>
        <v>3</v>
      </c>
      <c r="B5" s="34" t="str">
        <f>HYPERLINK(CONCAT("http://leetcode.com/problems/",Github!C$4), Github!B$4)</f>
        <v>Longest Substring Without Repeating Characters</v>
      </c>
      <c r="C5" s="17">
        <f>Github!F$4</f>
        <v>21990</v>
      </c>
      <c r="D5" s="17">
        <f>Github!G$4</f>
        <v>985</v>
      </c>
      <c r="E5" s="17">
        <f>Github!F$4+Github!G$4</f>
        <v>22975</v>
      </c>
      <c r="F5" s="18">
        <f t="shared" si="1"/>
        <v>22.32</v>
      </c>
      <c r="G5" s="17" t="str">
        <f>Github!H$4</f>
        <v>Algorithms</v>
      </c>
      <c r="H5" s="17" t="b">
        <f>Github!D$4</f>
        <v>0</v>
      </c>
      <c r="I5" s="17" t="str">
        <f>Github!E$4</f>
        <v>Medium</v>
      </c>
      <c r="J5" s="17" t="str">
        <f>ROUND(Github!N$4, 2)&amp;"%"</f>
        <v>1%</v>
      </c>
      <c r="K5" s="17">
        <f>Github!O$4</f>
        <v>32.89878219</v>
      </c>
      <c r="L5" s="17">
        <f>Github!P$4</f>
        <v>3057875</v>
      </c>
    </row>
    <row r="6">
      <c r="A6" s="17">
        <f>Github!J$5</f>
        <v>4</v>
      </c>
      <c r="B6" s="34" t="str">
        <f>HYPERLINK(CONCAT("http://leetcode.com/problems/",Github!C$5), Github!B$5)</f>
        <v>Median of Two Sorted Arrays</v>
      </c>
      <c r="C6" s="17">
        <f>Github!F$5</f>
        <v>15335</v>
      </c>
      <c r="D6" s="17">
        <f>Github!G$5</f>
        <v>1920</v>
      </c>
      <c r="E6" s="17">
        <f>Github!F$5+Github!G$5</f>
        <v>17255</v>
      </c>
      <c r="F6" s="18">
        <f t="shared" si="1"/>
        <v>7.99</v>
      </c>
      <c r="G6" s="17" t="str">
        <f>Github!H$5</f>
        <v>Algorithms</v>
      </c>
      <c r="H6" s="17" t="b">
        <f>Github!D$5</f>
        <v>0</v>
      </c>
      <c r="I6" s="17" t="str">
        <f>Github!E$5</f>
        <v>Hard</v>
      </c>
      <c r="J6" s="17" t="str">
        <f>ROUND(Github!N$5, 2)&amp;"%"</f>
        <v>0%</v>
      </c>
      <c r="K6" s="17">
        <f>Github!O$5</f>
        <v>33.7823758</v>
      </c>
      <c r="L6" s="17">
        <f>Github!P$5</f>
        <v>1290429</v>
      </c>
    </row>
    <row r="7">
      <c r="A7" s="17">
        <f>Github!J$6</f>
        <v>5</v>
      </c>
      <c r="B7" s="34" t="str">
        <f>HYPERLINK(CONCAT("http://leetcode.com/problems/",Github!C$6), Github!B$6)</f>
        <v>Longest Palindromic Substring</v>
      </c>
      <c r="C7" s="17">
        <f>Github!F$6</f>
        <v>16449</v>
      </c>
      <c r="D7" s="17">
        <f>Github!G$6</f>
        <v>970</v>
      </c>
      <c r="E7" s="17">
        <f>Github!F$6+Github!G$6</f>
        <v>17419</v>
      </c>
      <c r="F7" s="18">
        <f t="shared" si="1"/>
        <v>16.96</v>
      </c>
      <c r="G7" s="17" t="str">
        <f>Github!H$6</f>
        <v>Algorithms</v>
      </c>
      <c r="H7" s="17" t="b">
        <f>Github!D$6</f>
        <v>0</v>
      </c>
      <c r="I7" s="17" t="str">
        <f>Github!E$6</f>
        <v>Medium</v>
      </c>
      <c r="J7" s="17" t="str">
        <f>ROUND(Github!N$6, 2)&amp;"%"</f>
        <v>0%</v>
      </c>
      <c r="K7" s="17">
        <f>Github!O$6</f>
        <v>31.70168868</v>
      </c>
      <c r="L7" s="17">
        <f>Github!P$6</f>
        <v>1728857</v>
      </c>
    </row>
    <row r="8">
      <c r="A8" s="17">
        <f>Github!J$7</f>
        <v>6</v>
      </c>
      <c r="B8" s="34" t="str">
        <f>HYPERLINK(CONCAT("http://leetcode.com/problems/",Github!C$7), Github!B$7)</f>
        <v>Zigzag Conversion</v>
      </c>
      <c r="C8" s="17">
        <f>Github!F$7</f>
        <v>3431</v>
      </c>
      <c r="D8" s="17">
        <f>Github!G$7</f>
        <v>7969</v>
      </c>
      <c r="E8" s="17">
        <f>Github!F$7+Github!G$7</f>
        <v>11400</v>
      </c>
      <c r="F8" s="18">
        <f t="shared" si="1"/>
        <v>0.43</v>
      </c>
      <c r="G8" s="17" t="str">
        <f>Github!H$7</f>
        <v>Algorithms</v>
      </c>
      <c r="H8" s="17" t="b">
        <f>Github!D$7</f>
        <v>0</v>
      </c>
      <c r="I8" s="17" t="str">
        <f>Github!E$7</f>
        <v>Medium</v>
      </c>
      <c r="J8" s="17" t="str">
        <f>ROUND(Github!N$7, 2)&amp;"%"</f>
        <v>0%</v>
      </c>
      <c r="K8" s="17">
        <f>Github!O$7</f>
        <v>41.12525352</v>
      </c>
      <c r="L8" s="17">
        <f>Github!P$7</f>
        <v>727324</v>
      </c>
    </row>
    <row r="9">
      <c r="A9" s="17">
        <f>Github!J$8</f>
        <v>7</v>
      </c>
      <c r="B9" s="34" t="str">
        <f>HYPERLINK(CONCAT("http://leetcode.com/problems/",Github!C$8), Github!B$8)</f>
        <v>Reverse Integer</v>
      </c>
      <c r="C9" s="17">
        <f>Github!F$8</f>
        <v>6735</v>
      </c>
      <c r="D9" s="17">
        <f>Github!G$8</f>
        <v>9419</v>
      </c>
      <c r="E9" s="17">
        <f>Github!F$8+Github!G$8</f>
        <v>16154</v>
      </c>
      <c r="F9" s="18">
        <f t="shared" si="1"/>
        <v>0.72</v>
      </c>
      <c r="G9" s="17" t="str">
        <f>Github!H$8</f>
        <v>Algorithms</v>
      </c>
      <c r="H9" s="17" t="b">
        <f>Github!D$8</f>
        <v>0</v>
      </c>
      <c r="I9" s="17" t="str">
        <f>Github!E$8</f>
        <v>Medium</v>
      </c>
      <c r="J9" s="17" t="str">
        <f>ROUND(Github!N$8, 2)&amp;"%"</f>
        <v>0%</v>
      </c>
      <c r="K9" s="17">
        <f>Github!O$8</f>
        <v>26.565699</v>
      </c>
      <c r="L9" s="17">
        <f>Github!P$8</f>
        <v>1979268</v>
      </c>
    </row>
    <row r="10">
      <c r="A10" s="17">
        <f>Github!J$9</f>
        <v>8</v>
      </c>
      <c r="B10" s="34" t="str">
        <f>HYPERLINK(CONCAT("http://leetcode.com/problems/",Github!C$9), Github!B$9)</f>
        <v>String to Integer (atoi)</v>
      </c>
      <c r="C10" s="17">
        <f>Github!F$9</f>
        <v>1451</v>
      </c>
      <c r="D10" s="17">
        <f>Github!G$9</f>
        <v>4150</v>
      </c>
      <c r="E10" s="17">
        <f>Github!F$9+Github!G$9</f>
        <v>5601</v>
      </c>
      <c r="F10" s="18">
        <f t="shared" si="1"/>
        <v>0.35</v>
      </c>
      <c r="G10" s="17" t="str">
        <f>Github!H$9</f>
        <v>Algorithms</v>
      </c>
      <c r="H10" s="17" t="b">
        <f>Github!D$9</f>
        <v>0</v>
      </c>
      <c r="I10" s="17" t="str">
        <f>Github!E$9</f>
        <v>Medium</v>
      </c>
      <c r="J10" s="17" t="str">
        <f>ROUND(Github!N$9, 2)&amp;"%"</f>
        <v>0%</v>
      </c>
      <c r="K10" s="17">
        <f>Github!O$9</f>
        <v>16.4765609</v>
      </c>
      <c r="L10" s="17">
        <f>Github!P$9</f>
        <v>958225</v>
      </c>
    </row>
    <row r="11">
      <c r="A11" s="17">
        <f>Github!J$10</f>
        <v>9</v>
      </c>
      <c r="B11" s="34" t="str">
        <f>HYPERLINK(CONCAT("http://leetcode.com/problems/",Github!C$10), Github!B$10)</f>
        <v>Palindrome Number</v>
      </c>
      <c r="C11" s="17">
        <f>Github!F$10</f>
        <v>5322</v>
      </c>
      <c r="D11" s="17">
        <f>Github!G$10</f>
        <v>2056</v>
      </c>
      <c r="E11" s="17">
        <f>Github!F$10+Github!G$10</f>
        <v>7378</v>
      </c>
      <c r="F11" s="18">
        <f t="shared" si="1"/>
        <v>2.59</v>
      </c>
      <c r="G11" s="17" t="str">
        <f>Github!H$10</f>
        <v>Algorithms</v>
      </c>
      <c r="H11" s="17" t="b">
        <f>Github!D$10</f>
        <v>0</v>
      </c>
      <c r="I11" s="17" t="str">
        <f>Github!E$10</f>
        <v>Easy</v>
      </c>
      <c r="J11" s="17" t="str">
        <f>ROUND(Github!N$10, 2)&amp;"%"</f>
        <v>0%</v>
      </c>
      <c r="K11" s="17">
        <f>Github!O$10</f>
        <v>52.20381264</v>
      </c>
      <c r="L11" s="17">
        <f>Github!P$10</f>
        <v>1908907</v>
      </c>
    </row>
    <row r="12">
      <c r="A12" s="17">
        <f>Github!J$11</f>
        <v>10</v>
      </c>
      <c r="B12" s="34" t="str">
        <f>HYPERLINK(CONCAT("http://leetcode.com/problems/",Github!C$11), Github!B$11)</f>
        <v>Regular Expression Matching</v>
      </c>
      <c r="C12" s="17">
        <f>Github!F$11</f>
        <v>7691</v>
      </c>
      <c r="D12" s="17">
        <f>Github!G$11</f>
        <v>1117</v>
      </c>
      <c r="E12" s="17">
        <f>Github!F$11+Github!G$11</f>
        <v>8808</v>
      </c>
      <c r="F12" s="18">
        <f t="shared" si="1"/>
        <v>6.89</v>
      </c>
      <c r="G12" s="17" t="str">
        <f>Github!H$11</f>
        <v>Algorithms</v>
      </c>
      <c r="H12" s="17" t="b">
        <f>Github!D$11</f>
        <v>0</v>
      </c>
      <c r="I12" s="17" t="str">
        <f>Github!E$11</f>
        <v>Hard</v>
      </c>
      <c r="J12" s="17" t="str">
        <f>ROUND(Github!N$11, 2)&amp;"%"</f>
        <v>0%</v>
      </c>
      <c r="K12" s="17">
        <f>Github!O$11</f>
        <v>28.18390854</v>
      </c>
      <c r="L12" s="17">
        <f>Github!P$11</f>
        <v>653912</v>
      </c>
    </row>
    <row r="13">
      <c r="A13" s="17">
        <f>Github!J$12</f>
        <v>11</v>
      </c>
      <c r="B13" s="34" t="str">
        <f>HYPERLINK(CONCAT("http://leetcode.com/problems/",Github!C$12), Github!B$12)</f>
        <v>Container With Most Water</v>
      </c>
      <c r="C13" s="17">
        <f>Github!F$12</f>
        <v>14820</v>
      </c>
      <c r="D13" s="17">
        <f>Github!G$12</f>
        <v>889</v>
      </c>
      <c r="E13" s="17">
        <f>Github!F$12+Github!G$12</f>
        <v>15709</v>
      </c>
      <c r="F13" s="18">
        <f t="shared" si="1"/>
        <v>16.67</v>
      </c>
      <c r="G13" s="17" t="str">
        <f>Github!H$12</f>
        <v>Algorithms</v>
      </c>
      <c r="H13" s="17" t="b">
        <f>Github!D$12</f>
        <v>0</v>
      </c>
      <c r="I13" s="17" t="str">
        <f>Github!E$12</f>
        <v>Medium</v>
      </c>
      <c r="J13" s="17" t="str">
        <f>ROUND(Github!N$12, 2)&amp;"%"</f>
        <v>1%</v>
      </c>
      <c r="K13" s="17">
        <f>Github!O$12</f>
        <v>53.42715674</v>
      </c>
      <c r="L13" s="17">
        <f>Github!P$12</f>
        <v>1339155</v>
      </c>
    </row>
    <row r="14">
      <c r="A14" s="17">
        <f>Github!J$13</f>
        <v>12</v>
      </c>
      <c r="B14" s="34" t="str">
        <f>HYPERLINK(CONCAT("http://leetcode.com/problems/",Github!C$13), Github!B$13)</f>
        <v>Integer to Roman</v>
      </c>
      <c r="C14" s="17">
        <f>Github!F$13</f>
        <v>2887</v>
      </c>
      <c r="D14" s="17">
        <f>Github!G$13</f>
        <v>3866</v>
      </c>
      <c r="E14" s="17">
        <f>Github!F$13+Github!G$13</f>
        <v>6753</v>
      </c>
      <c r="F14" s="18">
        <f t="shared" si="1"/>
        <v>0.75</v>
      </c>
      <c r="G14" s="17" t="str">
        <f>Github!H$13</f>
        <v>Algorithms</v>
      </c>
      <c r="H14" s="17" t="b">
        <f>Github!D$13</f>
        <v>0</v>
      </c>
      <c r="I14" s="17" t="str">
        <f>Github!E$13</f>
        <v>Medium</v>
      </c>
      <c r="J14" s="17" t="str">
        <f>ROUND(Github!N$13, 2)&amp;"%"</f>
        <v>0%</v>
      </c>
      <c r="K14" s="17">
        <f>Github!O$13</f>
        <v>59.14631037</v>
      </c>
      <c r="L14" s="17">
        <f>Github!P$13</f>
        <v>649478</v>
      </c>
    </row>
    <row r="15">
      <c r="A15" s="17">
        <f>Github!J$14</f>
        <v>13</v>
      </c>
      <c r="B15" s="34" t="str">
        <f>HYPERLINK(CONCAT("http://leetcode.com/problems/",Github!C$14), Github!B$14)</f>
        <v>Roman to Integer</v>
      </c>
      <c r="C15" s="17">
        <f>Github!F$14</f>
        <v>3394</v>
      </c>
      <c r="D15" s="17">
        <f>Github!G$14</f>
        <v>243</v>
      </c>
      <c r="E15" s="17">
        <f>Github!F$14+Github!G$14</f>
        <v>3637</v>
      </c>
      <c r="F15" s="18">
        <f t="shared" si="1"/>
        <v>13.97</v>
      </c>
      <c r="G15" s="17" t="str">
        <f>Github!H$14</f>
        <v>Algorithms</v>
      </c>
      <c r="H15" s="17" t="b">
        <f>Github!D$14</f>
        <v>0</v>
      </c>
      <c r="I15" s="17" t="str">
        <f>Github!E$14</f>
        <v>Easy</v>
      </c>
      <c r="J15" s="17" t="str">
        <f>ROUND(Github!N$14, 2)&amp;"%"</f>
        <v>0%</v>
      </c>
      <c r="K15" s="17">
        <f>Github!O$14</f>
        <v>57.88595408</v>
      </c>
      <c r="L15" s="17">
        <f>Github!P$14</f>
        <v>1425319</v>
      </c>
    </row>
    <row r="16">
      <c r="A16" s="17">
        <f>Github!J$15</f>
        <v>14</v>
      </c>
      <c r="B16" s="34" t="str">
        <f>HYPERLINK(CONCAT("http://leetcode.com/problems/",Github!C$15), Github!B$15)</f>
        <v>Longest Common Prefix</v>
      </c>
      <c r="C16" s="17">
        <f>Github!F$15</f>
        <v>7234</v>
      </c>
      <c r="D16" s="17">
        <f>Github!G$15</f>
        <v>2856</v>
      </c>
      <c r="E16" s="17">
        <f>Github!F$15+Github!G$15</f>
        <v>10090</v>
      </c>
      <c r="F16" s="18">
        <f t="shared" si="1"/>
        <v>2.53</v>
      </c>
      <c r="G16" s="17" t="str">
        <f>Github!H$15</f>
        <v>Algorithms</v>
      </c>
      <c r="H16" s="17" t="b">
        <f>Github!D$15</f>
        <v>0</v>
      </c>
      <c r="I16" s="17" t="str">
        <f>Github!E$15</f>
        <v>Easy</v>
      </c>
      <c r="J16" s="17" t="str">
        <f>ROUND(Github!N$15, 2)&amp;"%"</f>
        <v>0%</v>
      </c>
      <c r="K16" s="17">
        <f>Github!O$15</f>
        <v>39.0609497</v>
      </c>
      <c r="L16" s="17">
        <f>Github!P$15</f>
        <v>1467620</v>
      </c>
    </row>
    <row r="17">
      <c r="A17" s="17">
        <f>Github!J$16</f>
        <v>15</v>
      </c>
      <c r="B17" s="34" t="str">
        <f>HYPERLINK(CONCAT("http://leetcode.com/problems/",Github!C$16), Github!B$16)</f>
        <v>3Sum</v>
      </c>
      <c r="C17" s="17">
        <f>Github!F$16</f>
        <v>16515</v>
      </c>
      <c r="D17" s="17">
        <f>Github!G$16</f>
        <v>1579</v>
      </c>
      <c r="E17" s="17">
        <f>Github!F$16+Github!G$16</f>
        <v>18094</v>
      </c>
      <c r="F17" s="18">
        <f t="shared" si="1"/>
        <v>10.46</v>
      </c>
      <c r="G17" s="17" t="str">
        <f>Github!H$16</f>
        <v>Algorithms</v>
      </c>
      <c r="H17" s="17" t="b">
        <f>Github!D$16</f>
        <v>0</v>
      </c>
      <c r="I17" s="17" t="str">
        <f>Github!E$16</f>
        <v>Medium</v>
      </c>
      <c r="J17" s="17" t="str">
        <f>ROUND(Github!N$16, 2)&amp;"%"</f>
        <v>0%</v>
      </c>
      <c r="K17" s="17">
        <f>Github!O$16</f>
        <v>30.74513698</v>
      </c>
      <c r="L17" s="17">
        <f>Github!P$16</f>
        <v>1815506</v>
      </c>
    </row>
    <row r="18">
      <c r="A18" s="17">
        <f>Github!J$17</f>
        <v>16</v>
      </c>
      <c r="B18" s="34" t="str">
        <f>HYPERLINK(CONCAT("http://leetcode.com/problems/",Github!C$17), Github!B$17)</f>
        <v>3Sum Closest</v>
      </c>
      <c r="C18" s="17">
        <f>Github!F$17</f>
        <v>5428</v>
      </c>
      <c r="D18" s="17">
        <f>Github!G$17</f>
        <v>235</v>
      </c>
      <c r="E18" s="17">
        <f>Github!F$17+Github!G$17</f>
        <v>5663</v>
      </c>
      <c r="F18" s="18">
        <f t="shared" si="1"/>
        <v>23.1</v>
      </c>
      <c r="G18" s="17" t="str">
        <f>Github!H$17</f>
        <v>Algorithms</v>
      </c>
      <c r="H18" s="17" t="b">
        <f>Github!D$17</f>
        <v>0</v>
      </c>
      <c r="I18" s="17" t="str">
        <f>Github!E$17</f>
        <v>Medium</v>
      </c>
      <c r="J18" s="17" t="str">
        <f>ROUND(Github!N$17, 2)&amp;"%"</f>
        <v>0%</v>
      </c>
      <c r="K18" s="17">
        <f>Github!O$17</f>
        <v>47.05359148</v>
      </c>
      <c r="L18" s="17">
        <f>Github!P$17</f>
        <v>762835</v>
      </c>
    </row>
    <row r="19">
      <c r="A19" s="17">
        <f>Github!J$18</f>
        <v>17</v>
      </c>
      <c r="B19" s="34" t="str">
        <f>HYPERLINK(CONCAT("http://leetcode.com/problems/",Github!C$18), Github!B$18)</f>
        <v>Letter Combinations of a Phone Number</v>
      </c>
      <c r="C19" s="17">
        <f>Github!F$18</f>
        <v>9234</v>
      </c>
      <c r="D19" s="17">
        <f>Github!G$18</f>
        <v>641</v>
      </c>
      <c r="E19" s="17">
        <f>Github!F$18+Github!G$18</f>
        <v>9875</v>
      </c>
      <c r="F19" s="18">
        <f t="shared" si="1"/>
        <v>14.41</v>
      </c>
      <c r="G19" s="17" t="str">
        <f>Github!H$18</f>
        <v>Algorithms</v>
      </c>
      <c r="H19" s="17" t="b">
        <f>Github!D$18</f>
        <v>0</v>
      </c>
      <c r="I19" s="17" t="str">
        <f>Github!E$18</f>
        <v>Medium</v>
      </c>
      <c r="J19" s="17" t="str">
        <f>ROUND(Github!N$18, 2)&amp;"%"</f>
        <v>0%</v>
      </c>
      <c r="K19" s="17">
        <f>Github!O$18</f>
        <v>53.18843149</v>
      </c>
      <c r="L19" s="17">
        <f>Github!P$18</f>
        <v>1113199</v>
      </c>
    </row>
    <row r="20">
      <c r="A20" s="17">
        <f>Github!J$19</f>
        <v>18</v>
      </c>
      <c r="B20" s="34" t="str">
        <f>HYPERLINK(CONCAT("http://leetcode.com/problems/",Github!C$19), Github!B$19)</f>
        <v>4Sum</v>
      </c>
      <c r="C20" s="17">
        <f>Github!F$19</f>
        <v>5759</v>
      </c>
      <c r="D20" s="17">
        <f>Github!G$19</f>
        <v>656</v>
      </c>
      <c r="E20" s="17">
        <f>Github!F$19+Github!G$19</f>
        <v>6415</v>
      </c>
      <c r="F20" s="18">
        <f t="shared" si="1"/>
        <v>8.78</v>
      </c>
      <c r="G20" s="17" t="str">
        <f>Github!H$19</f>
        <v>Algorithms</v>
      </c>
      <c r="H20" s="17" t="b">
        <f>Github!D$19</f>
        <v>0</v>
      </c>
      <c r="I20" s="17" t="str">
        <f>Github!E$19</f>
        <v>Medium</v>
      </c>
      <c r="J20" s="17" t="str">
        <f>ROUND(Github!N$19, 2)&amp;"%"</f>
        <v>0%</v>
      </c>
      <c r="K20" s="17">
        <f>Github!O$19</f>
        <v>37.09096302</v>
      </c>
      <c r="L20" s="17">
        <f>Github!P$19</f>
        <v>552715</v>
      </c>
    </row>
    <row r="21">
      <c r="A21" s="17">
        <f>Github!J$20</f>
        <v>19</v>
      </c>
      <c r="B21" s="34" t="str">
        <f>HYPERLINK(CONCAT("http://leetcode.com/problems/",Github!C$20), Github!B$20)</f>
        <v>Remove Nth Node From End of List</v>
      </c>
      <c r="C21" s="17">
        <f>Github!F$20</f>
        <v>9134</v>
      </c>
      <c r="D21" s="17">
        <f>Github!G$20</f>
        <v>434</v>
      </c>
      <c r="E21" s="17">
        <f>Github!F$20+Github!G$20</f>
        <v>9568</v>
      </c>
      <c r="F21" s="18">
        <f t="shared" si="1"/>
        <v>21.05</v>
      </c>
      <c r="G21" s="17" t="str">
        <f>Github!H$20</f>
        <v>Algorithms</v>
      </c>
      <c r="H21" s="17" t="b">
        <f>Github!D$20</f>
        <v>0</v>
      </c>
      <c r="I21" s="17" t="str">
        <f>Github!E$20</f>
        <v>Medium</v>
      </c>
      <c r="J21" s="17" t="str">
        <f>ROUND(Github!N$20, 2)&amp;"%"</f>
        <v>1%</v>
      </c>
      <c r="K21" s="17">
        <f>Github!O$20</f>
        <v>38.01451451</v>
      </c>
      <c r="L21" s="17">
        <f>Github!P$20</f>
        <v>1284304</v>
      </c>
    </row>
    <row r="22">
      <c r="A22" s="17">
        <f>Github!J$21</f>
        <v>20</v>
      </c>
      <c r="B22" s="34" t="str">
        <f>HYPERLINK(CONCAT("http://leetcode.com/problems/",Github!C$21), Github!B$21)</f>
        <v>Valid Parentheses</v>
      </c>
      <c r="C22" s="17">
        <f>Github!F$21</f>
        <v>11641</v>
      </c>
      <c r="D22" s="17">
        <f>Github!G$21</f>
        <v>515</v>
      </c>
      <c r="E22" s="17">
        <f>Github!F$21+Github!G$21</f>
        <v>12156</v>
      </c>
      <c r="F22" s="18">
        <f t="shared" si="1"/>
        <v>22.6</v>
      </c>
      <c r="G22" s="17" t="str">
        <f>Github!H$21</f>
        <v>Algorithms</v>
      </c>
      <c r="H22" s="17" t="b">
        <f>Github!D$21</f>
        <v>0</v>
      </c>
      <c r="I22" s="17" t="str">
        <f>Github!E$21</f>
        <v>Easy</v>
      </c>
      <c r="J22" s="17" t="str">
        <f>ROUND(Github!N$21, 2)&amp;"%"</f>
        <v>1%</v>
      </c>
      <c r="K22" s="17">
        <f>Github!O$21</f>
        <v>40.61188203</v>
      </c>
      <c r="L22" s="17">
        <f>Github!P$21</f>
        <v>2029783</v>
      </c>
    </row>
    <row r="23">
      <c r="A23" s="17">
        <f>Github!J$22</f>
        <v>21</v>
      </c>
      <c r="B23" s="34" t="str">
        <f>HYPERLINK(CONCAT("http://leetcode.com/problems/",Github!C$22), Github!B$22)</f>
        <v>Merge Two Sorted Lists</v>
      </c>
      <c r="C23" s="17">
        <f>Github!F$22</f>
        <v>11322</v>
      </c>
      <c r="D23" s="17">
        <f>Github!G$22</f>
        <v>1020</v>
      </c>
      <c r="E23" s="17">
        <f>Github!F$22+Github!G$22</f>
        <v>12342</v>
      </c>
      <c r="F23" s="18">
        <f t="shared" si="1"/>
        <v>11.1</v>
      </c>
      <c r="G23" s="17" t="str">
        <f>Github!H$22</f>
        <v>Algorithms</v>
      </c>
      <c r="H23" s="17" t="b">
        <f>Github!D$22</f>
        <v>0</v>
      </c>
      <c r="I23" s="17" t="str">
        <f>Github!E$22</f>
        <v>Easy</v>
      </c>
      <c r="J23" s="17" t="str">
        <f>ROUND(Github!N$22, 2)&amp;"%"</f>
        <v>1%</v>
      </c>
      <c r="K23" s="17">
        <f>Github!O$22</f>
        <v>59.89283101</v>
      </c>
      <c r="L23" s="17">
        <f>Github!P$22</f>
        <v>2038563</v>
      </c>
    </row>
    <row r="24">
      <c r="A24" s="17">
        <f>Github!J$23</f>
        <v>22</v>
      </c>
      <c r="B24" s="34" t="str">
        <f>HYPERLINK(CONCAT("http://leetcode.com/problems/",Github!C$23), Github!B$23)</f>
        <v>Generate Parentheses</v>
      </c>
      <c r="C24" s="17">
        <f>Github!F$23</f>
        <v>11973</v>
      </c>
      <c r="D24" s="17">
        <f>Github!G$23</f>
        <v>468</v>
      </c>
      <c r="E24" s="17">
        <f>Github!F$23+Github!G$23</f>
        <v>12441</v>
      </c>
      <c r="F24" s="18">
        <f t="shared" si="1"/>
        <v>25.58</v>
      </c>
      <c r="G24" s="17" t="str">
        <f>Github!H$23</f>
        <v>Algorithms</v>
      </c>
      <c r="H24" s="17" t="b">
        <f>Github!D$23</f>
        <v>0</v>
      </c>
      <c r="I24" s="17" t="str">
        <f>Github!E$23</f>
        <v>Medium</v>
      </c>
      <c r="J24" s="17" t="str">
        <f>ROUND(Github!N$23, 2)&amp;"%"</f>
        <v>0%</v>
      </c>
      <c r="K24" s="17">
        <f>Github!O$23</f>
        <v>69.58907502</v>
      </c>
      <c r="L24" s="17">
        <f>Github!P$23</f>
        <v>1000339</v>
      </c>
    </row>
    <row r="25">
      <c r="A25" s="17">
        <f>Github!J$24</f>
        <v>23</v>
      </c>
      <c r="B25" s="34" t="str">
        <f>HYPERLINK(CONCAT("http://leetcode.com/problems/",Github!C$24), Github!B$24)</f>
        <v>Merge k Sorted Lists</v>
      </c>
      <c r="C25" s="17">
        <f>Github!F$24</f>
        <v>11431</v>
      </c>
      <c r="D25" s="17">
        <f>Github!G$24</f>
        <v>453</v>
      </c>
      <c r="E25" s="17">
        <f>Github!F$24+Github!G$24</f>
        <v>11884</v>
      </c>
      <c r="F25" s="18">
        <f t="shared" si="1"/>
        <v>25.23</v>
      </c>
      <c r="G25" s="17" t="str">
        <f>Github!H$24</f>
        <v>Algorithms</v>
      </c>
      <c r="H25" s="17" t="b">
        <f>Github!D$24</f>
        <v>0</v>
      </c>
      <c r="I25" s="17" t="str">
        <f>Github!E$24</f>
        <v>Hard</v>
      </c>
      <c r="J25" s="17" t="str">
        <f>ROUND(Github!N$24, 2)&amp;"%"</f>
        <v>0%</v>
      </c>
      <c r="K25" s="17">
        <f>Github!O$24</f>
        <v>46.64050563</v>
      </c>
      <c r="L25" s="17">
        <f>Github!P$24</f>
        <v>1194119</v>
      </c>
    </row>
    <row r="26">
      <c r="A26" s="17">
        <f>Github!J$25</f>
        <v>24</v>
      </c>
      <c r="B26" s="34" t="str">
        <f>HYPERLINK(CONCAT("http://leetcode.com/problems/",Github!C$25), Github!B$25)</f>
        <v>Swap Nodes in Pairs</v>
      </c>
      <c r="C26" s="17">
        <f>Github!F$25</f>
        <v>6506</v>
      </c>
      <c r="D26" s="17">
        <f>Github!G$25</f>
        <v>283</v>
      </c>
      <c r="E26" s="17">
        <f>Github!F$25+Github!G$25</f>
        <v>6789</v>
      </c>
      <c r="F26" s="18">
        <f t="shared" si="1"/>
        <v>22.99</v>
      </c>
      <c r="G26" s="17" t="str">
        <f>Github!H$25</f>
        <v>Algorithms</v>
      </c>
      <c r="H26" s="17" t="b">
        <f>Github!D$25</f>
        <v>0</v>
      </c>
      <c r="I26" s="17" t="str">
        <f>Github!E$25</f>
        <v>Medium</v>
      </c>
      <c r="J26" s="17" t="str">
        <f>ROUND(Github!N$25, 2)&amp;"%"</f>
        <v>0%</v>
      </c>
      <c r="K26" s="17">
        <f>Github!O$25</f>
        <v>58.2597345</v>
      </c>
      <c r="L26" s="17">
        <f>Github!P$25</f>
        <v>827925</v>
      </c>
    </row>
    <row r="27">
      <c r="A27" s="17">
        <f>Github!J$26</f>
        <v>25</v>
      </c>
      <c r="B27" s="34" t="str">
        <f>HYPERLINK(CONCAT("http://leetcode.com/problems/",Github!C$26), Github!B$26)</f>
        <v>Reverse Nodes in k-Group</v>
      </c>
      <c r="C27" s="17">
        <f>Github!F$26</f>
        <v>6536</v>
      </c>
      <c r="D27" s="17">
        <f>Github!G$26</f>
        <v>475</v>
      </c>
      <c r="E27" s="17">
        <f>Github!F$26+Github!G$26</f>
        <v>7011</v>
      </c>
      <c r="F27" s="18">
        <f t="shared" si="1"/>
        <v>13.76</v>
      </c>
      <c r="G27" s="17" t="str">
        <f>Github!H$26</f>
        <v>Algorithms</v>
      </c>
      <c r="H27" s="17" t="b">
        <f>Github!D$26</f>
        <v>0</v>
      </c>
      <c r="I27" s="17" t="str">
        <f>Github!E$26</f>
        <v>Hard</v>
      </c>
      <c r="J27" s="17" t="str">
        <f>ROUND(Github!N$26, 2)&amp;"%"</f>
        <v>0%</v>
      </c>
      <c r="K27" s="17">
        <f>Github!O$26</f>
        <v>50.45543927</v>
      </c>
      <c r="L27" s="17">
        <f>Github!P$26</f>
        <v>484173</v>
      </c>
    </row>
    <row r="28">
      <c r="A28" s="17">
        <f>Github!J$27</f>
        <v>26</v>
      </c>
      <c r="B28" s="34" t="str">
        <f>HYPERLINK(CONCAT("http://leetcode.com/problems/",Github!C$27), Github!B$27)</f>
        <v>Remove Duplicates from Sorted Array</v>
      </c>
      <c r="C28" s="17">
        <f>Github!F$27</f>
        <v>6077</v>
      </c>
      <c r="D28" s="17">
        <f>Github!G$27</f>
        <v>9551</v>
      </c>
      <c r="E28" s="17">
        <f>Github!F$27+Github!G$27</f>
        <v>15628</v>
      </c>
      <c r="F28" s="18">
        <f t="shared" si="1"/>
        <v>0.64</v>
      </c>
      <c r="G28" s="17" t="str">
        <f>Github!H$27</f>
        <v>Algorithms</v>
      </c>
      <c r="H28" s="17" t="b">
        <f>Github!D$27</f>
        <v>0</v>
      </c>
      <c r="I28" s="17" t="str">
        <f>Github!E$27</f>
        <v>Easy</v>
      </c>
      <c r="J28" s="17" t="str">
        <f>ROUND(Github!N$27, 2)&amp;"%"</f>
        <v>1%</v>
      </c>
      <c r="K28" s="17">
        <f>Github!O$27</f>
        <v>48.44924547</v>
      </c>
      <c r="L28" s="17">
        <f>Github!P$27</f>
        <v>1999467</v>
      </c>
    </row>
    <row r="29">
      <c r="A29" s="17">
        <f>Github!J$28</f>
        <v>27</v>
      </c>
      <c r="B29" s="34" t="str">
        <f>HYPERLINK(CONCAT("http://leetcode.com/problems/",Github!C$28), Github!B$28)</f>
        <v>Remove Element</v>
      </c>
      <c r="C29" s="17">
        <f>Github!F$28</f>
        <v>3287</v>
      </c>
      <c r="D29" s="17">
        <f>Github!G$28</f>
        <v>4957</v>
      </c>
      <c r="E29" s="17">
        <f>Github!F$28+Github!G$28</f>
        <v>8244</v>
      </c>
      <c r="F29" s="18">
        <f t="shared" si="1"/>
        <v>0.66</v>
      </c>
      <c r="G29" s="17" t="str">
        <f>Github!H$28</f>
        <v>Algorithms</v>
      </c>
      <c r="H29" s="17" t="b">
        <f>Github!D$28</f>
        <v>0</v>
      </c>
      <c r="I29" s="17" t="str">
        <f>Github!E$28</f>
        <v>Easy</v>
      </c>
      <c r="J29" s="17" t="str">
        <f>ROUND(Github!N$28, 2)&amp;"%"</f>
        <v>0%</v>
      </c>
      <c r="K29" s="17">
        <f>Github!O$28</f>
        <v>50.9904852</v>
      </c>
      <c r="L29" s="17">
        <f>Github!P$28</f>
        <v>1194835</v>
      </c>
    </row>
    <row r="30">
      <c r="A30" s="17">
        <f>Github!J$29</f>
        <v>28</v>
      </c>
      <c r="B30" s="34" t="str">
        <f>HYPERLINK(CONCAT("http://leetcode.com/problems/",Github!C$29), Github!B$29)</f>
        <v>Implement strStr()</v>
      </c>
      <c r="C30" s="17">
        <f>Github!F$29</f>
        <v>3675</v>
      </c>
      <c r="D30" s="17">
        <f>Github!G$29</f>
        <v>3458</v>
      </c>
      <c r="E30" s="17">
        <f>Github!F$29+Github!G$29</f>
        <v>7133</v>
      </c>
      <c r="F30" s="18">
        <f t="shared" si="1"/>
        <v>1.06</v>
      </c>
      <c r="G30" s="17" t="str">
        <f>Github!H$29</f>
        <v>Algorithms</v>
      </c>
      <c r="H30" s="17" t="b">
        <f>Github!D$29</f>
        <v>0</v>
      </c>
      <c r="I30" s="17" t="str">
        <f>Github!E$29</f>
        <v>Easy</v>
      </c>
      <c r="J30" s="17" t="str">
        <f>ROUND(Github!N$29, 2)&amp;"%"</f>
        <v>0%</v>
      </c>
      <c r="K30" s="17">
        <f>Github!O$29</f>
        <v>35.61800155</v>
      </c>
      <c r="L30" s="17">
        <f>Github!P$29</f>
        <v>1172642</v>
      </c>
    </row>
    <row r="31">
      <c r="A31" s="17">
        <f>Github!J$30</f>
        <v>29</v>
      </c>
      <c r="B31" s="34" t="str">
        <f>HYPERLINK(CONCAT("http://leetcode.com/problems/",Github!C$30), Github!B$30)</f>
        <v>Divide Two Integers</v>
      </c>
      <c r="C31" s="17">
        <f>Github!F$30</f>
        <v>2579</v>
      </c>
      <c r="D31" s="17">
        <f>Github!G$30</f>
        <v>9085</v>
      </c>
      <c r="E31" s="17">
        <f>Github!F$30+Github!G$30</f>
        <v>11664</v>
      </c>
      <c r="F31" s="18">
        <f t="shared" si="1"/>
        <v>0.28</v>
      </c>
      <c r="G31" s="17" t="str">
        <f>Github!H$30</f>
        <v>Algorithms</v>
      </c>
      <c r="H31" s="17" t="b">
        <f>Github!D$30</f>
        <v>0</v>
      </c>
      <c r="I31" s="17" t="str">
        <f>Github!E$30</f>
        <v>Medium</v>
      </c>
      <c r="J31" s="17" t="str">
        <f>ROUND(Github!N$30, 2)&amp;"%"</f>
        <v>0%</v>
      </c>
      <c r="K31" s="17">
        <f>Github!O$30</f>
        <v>17.04502491</v>
      </c>
      <c r="L31" s="17">
        <f>Github!P$30</f>
        <v>452629</v>
      </c>
    </row>
    <row r="32">
      <c r="A32" s="17">
        <f>Github!J$31</f>
        <v>30</v>
      </c>
      <c r="B32" s="34" t="str">
        <f>HYPERLINK(CONCAT("http://leetcode.com/problems/",Github!C$31), Github!B$31)</f>
        <v>Substring with Concatenation of All Words</v>
      </c>
      <c r="C32" s="17">
        <f>Github!F$31</f>
        <v>1812</v>
      </c>
      <c r="D32" s="17">
        <f>Github!G$31</f>
        <v>1798</v>
      </c>
      <c r="E32" s="17">
        <f>Github!F$31+Github!G$31</f>
        <v>3610</v>
      </c>
      <c r="F32" s="18">
        <f t="shared" si="1"/>
        <v>1.01</v>
      </c>
      <c r="G32" s="17" t="str">
        <f>Github!H$31</f>
        <v>Algorithms</v>
      </c>
      <c r="H32" s="17" t="b">
        <f>Github!D$31</f>
        <v>0</v>
      </c>
      <c r="I32" s="17" t="str">
        <f>Github!E$31</f>
        <v>Hard</v>
      </c>
      <c r="J32" s="17" t="str">
        <f>ROUND(Github!N$31, 2)&amp;"%"</f>
        <v>0%</v>
      </c>
      <c r="K32" s="17">
        <f>Github!O$31</f>
        <v>27.8721105</v>
      </c>
      <c r="L32" s="17">
        <f>Github!P$31</f>
        <v>245286</v>
      </c>
    </row>
    <row r="33">
      <c r="A33" s="17">
        <f>Github!J$32</f>
        <v>31</v>
      </c>
      <c r="B33" s="34" t="str">
        <f>HYPERLINK(CONCAT("http://leetcode.com/problems/",Github!C$32), Github!B$32)</f>
        <v>Next Permutation</v>
      </c>
      <c r="C33" s="17">
        <f>Github!F$32</f>
        <v>9113</v>
      </c>
      <c r="D33" s="17">
        <f>Github!G$32</f>
        <v>3070</v>
      </c>
      <c r="E33" s="17">
        <f>Github!F$32+Github!G$32</f>
        <v>12183</v>
      </c>
      <c r="F33" s="18">
        <f t="shared" si="1"/>
        <v>2.97</v>
      </c>
      <c r="G33" s="17" t="str">
        <f>Github!H$32</f>
        <v>Algorithms</v>
      </c>
      <c r="H33" s="17" t="b">
        <f>Github!D$32</f>
        <v>0</v>
      </c>
      <c r="I33" s="17" t="str">
        <f>Github!E$32</f>
        <v>Medium</v>
      </c>
      <c r="J33" s="17" t="str">
        <f>ROUND(Github!N$32, 2)&amp;"%"</f>
        <v>0%</v>
      </c>
      <c r="K33" s="17">
        <f>Github!O$32</f>
        <v>35.41828034</v>
      </c>
      <c r="L33" s="17">
        <f>Github!P$32</f>
        <v>721094</v>
      </c>
    </row>
    <row r="34">
      <c r="A34" s="17">
        <f>Github!J$33</f>
        <v>32</v>
      </c>
      <c r="B34" s="34" t="str">
        <f>HYPERLINK(CONCAT("http://leetcode.com/problems/",Github!C$33), Github!B$33)</f>
        <v>Longest Valid Parentheses</v>
      </c>
      <c r="C34" s="17">
        <f>Github!F$33</f>
        <v>7262</v>
      </c>
      <c r="D34" s="17">
        <f>Github!G$33</f>
        <v>248</v>
      </c>
      <c r="E34" s="17">
        <f>Github!F$33+Github!G$33</f>
        <v>7510</v>
      </c>
      <c r="F34" s="18">
        <f t="shared" si="1"/>
        <v>29.28</v>
      </c>
      <c r="G34" s="17" t="str">
        <f>Github!H$33</f>
        <v>Algorithms</v>
      </c>
      <c r="H34" s="17" t="b">
        <f>Github!D$33</f>
        <v>0</v>
      </c>
      <c r="I34" s="17" t="str">
        <f>Github!E$33</f>
        <v>Hard</v>
      </c>
      <c r="J34" s="17" t="str">
        <f>ROUND(Github!N$33, 2)&amp;"%"</f>
        <v>0%</v>
      </c>
      <c r="K34" s="17">
        <f>Github!O$33</f>
        <v>31.12535416</v>
      </c>
      <c r="L34" s="17">
        <f>Github!P$33</f>
        <v>463038</v>
      </c>
    </row>
    <row r="35">
      <c r="A35" s="17">
        <f>Github!J$34</f>
        <v>33</v>
      </c>
      <c r="B35" s="34" t="str">
        <f>HYPERLINK(CONCAT("http://leetcode.com/problems/",Github!C$34), Github!B$34)</f>
        <v>Search in Rotated Sorted Array</v>
      </c>
      <c r="C35" s="17">
        <f>Github!F$34</f>
        <v>12999</v>
      </c>
      <c r="D35" s="17">
        <f>Github!G$34</f>
        <v>851</v>
      </c>
      <c r="E35" s="17">
        <f>Github!F$34+Github!G$34</f>
        <v>13850</v>
      </c>
      <c r="F35" s="18">
        <f t="shared" si="1"/>
        <v>15.27</v>
      </c>
      <c r="G35" s="17" t="str">
        <f>Github!H$34</f>
        <v>Algorithms</v>
      </c>
      <c r="H35" s="17" t="b">
        <f>Github!D$34</f>
        <v>0</v>
      </c>
      <c r="I35" s="17" t="str">
        <f>Github!E$34</f>
        <v>Medium</v>
      </c>
      <c r="J35" s="17" t="str">
        <f>ROUND(Github!N$34, 2)&amp;"%"</f>
        <v>0%</v>
      </c>
      <c r="K35" s="17">
        <f>Github!O$34</f>
        <v>37.53484261</v>
      </c>
      <c r="L35" s="17">
        <f>Github!P$34</f>
        <v>1374027</v>
      </c>
    </row>
    <row r="36">
      <c r="A36" s="17">
        <f>Github!J$35</f>
        <v>34</v>
      </c>
      <c r="B36" s="34" t="str">
        <f>HYPERLINK(CONCAT("http://leetcode.com/problems/",Github!C$35), Github!B$35)</f>
        <v>Find First and Last Position of Element in Sorted Array</v>
      </c>
      <c r="C36" s="17">
        <f>Github!F$35</f>
        <v>9659</v>
      </c>
      <c r="D36" s="17">
        <f>Github!G$35</f>
        <v>274</v>
      </c>
      <c r="E36" s="17">
        <f>Github!F$35+Github!G$35</f>
        <v>9933</v>
      </c>
      <c r="F36" s="18">
        <f t="shared" si="1"/>
        <v>35.25</v>
      </c>
      <c r="G36" s="17" t="str">
        <f>Github!H$35</f>
        <v>Algorithms</v>
      </c>
      <c r="H36" s="17" t="b">
        <f>Github!D$35</f>
        <v>0</v>
      </c>
      <c r="I36" s="17" t="str">
        <f>Github!E$35</f>
        <v>Medium</v>
      </c>
      <c r="J36" s="17" t="str">
        <f>ROUND(Github!N$35, 2)&amp;"%"</f>
        <v>0%</v>
      </c>
      <c r="K36" s="17">
        <f>Github!O$35</f>
        <v>39.75920956</v>
      </c>
      <c r="L36" s="17">
        <f>Github!P$35</f>
        <v>1016480</v>
      </c>
    </row>
    <row r="37">
      <c r="A37" s="17">
        <f>Github!J$36</f>
        <v>35</v>
      </c>
      <c r="B37" s="34" t="str">
        <f>HYPERLINK(CONCAT("http://leetcode.com/problems/",Github!C$36), Github!B$36)</f>
        <v>Search Insert Position</v>
      </c>
      <c r="C37" s="17">
        <f>Github!F$36</f>
        <v>7044</v>
      </c>
      <c r="D37" s="17">
        <f>Github!G$36</f>
        <v>387</v>
      </c>
      <c r="E37" s="17">
        <f>Github!F$36+Github!G$36</f>
        <v>7431</v>
      </c>
      <c r="F37" s="18">
        <f t="shared" si="1"/>
        <v>18.2</v>
      </c>
      <c r="G37" s="17" t="str">
        <f>Github!H$36</f>
        <v>Algorithms</v>
      </c>
      <c r="H37" s="17" t="b">
        <f>Github!D$36</f>
        <v>0</v>
      </c>
      <c r="I37" s="17" t="str">
        <f>Github!E$36</f>
        <v>Easy</v>
      </c>
      <c r="J37" s="17" t="str">
        <f>ROUND(Github!N$36, 2)&amp;"%"</f>
        <v>0%</v>
      </c>
      <c r="K37" s="17">
        <f>Github!O$36</f>
        <v>42.40557071</v>
      </c>
      <c r="L37" s="17">
        <f>Github!P$36</f>
        <v>1303235</v>
      </c>
    </row>
    <row r="38">
      <c r="A38" s="17">
        <f>Github!J$37</f>
        <v>36</v>
      </c>
      <c r="B38" s="34" t="str">
        <f>HYPERLINK(CONCAT("http://leetcode.com/problems/",Github!C$37), Github!B$37)</f>
        <v>Valid Sudoku</v>
      </c>
      <c r="C38" s="17">
        <f>Github!F$37</f>
        <v>4604</v>
      </c>
      <c r="D38" s="17">
        <f>Github!G$37</f>
        <v>677</v>
      </c>
      <c r="E38" s="17">
        <f>Github!F$37+Github!G$37</f>
        <v>5281</v>
      </c>
      <c r="F38" s="18">
        <f t="shared" si="1"/>
        <v>6.8</v>
      </c>
      <c r="G38" s="17" t="str">
        <f>Github!H$37</f>
        <v>Algorithms</v>
      </c>
      <c r="H38" s="17" t="b">
        <f>Github!D$37</f>
        <v>0</v>
      </c>
      <c r="I38" s="17" t="str">
        <f>Github!E$37</f>
        <v>Medium</v>
      </c>
      <c r="J38" s="17" t="str">
        <f>ROUND(Github!N$37, 2)&amp;"%"</f>
        <v>0%</v>
      </c>
      <c r="K38" s="17">
        <f>Github!O$37</f>
        <v>54.61799296</v>
      </c>
      <c r="L38" s="17">
        <f>Github!P$37</f>
        <v>685038</v>
      </c>
    </row>
    <row r="39">
      <c r="A39" s="17">
        <f>Github!J$38</f>
        <v>37</v>
      </c>
      <c r="B39" s="34" t="str">
        <f>HYPERLINK(CONCAT("http://leetcode.com/problems/",Github!C$38), Github!B$38)</f>
        <v>Sudoku Solver</v>
      </c>
      <c r="C39" s="17">
        <f>Github!F$38</f>
        <v>4737</v>
      </c>
      <c r="D39" s="17">
        <f>Github!G$38</f>
        <v>145</v>
      </c>
      <c r="E39" s="17">
        <f>Github!F$38+Github!G$38</f>
        <v>4882</v>
      </c>
      <c r="F39" s="18">
        <f t="shared" si="1"/>
        <v>32.67</v>
      </c>
      <c r="G39" s="17" t="str">
        <f>Github!H$38</f>
        <v>Algorithms</v>
      </c>
      <c r="H39" s="17" t="b">
        <f>Github!D$38</f>
        <v>0</v>
      </c>
      <c r="I39" s="17" t="str">
        <f>Github!E$38</f>
        <v>Hard</v>
      </c>
      <c r="J39" s="17" t="str">
        <f>ROUND(Github!N$38, 2)&amp;"%"</f>
        <v>0%</v>
      </c>
      <c r="K39" s="17">
        <f>Github!O$38</f>
        <v>53.23328219</v>
      </c>
      <c r="L39" s="17">
        <f>Github!P$38</f>
        <v>330655</v>
      </c>
    </row>
    <row r="40">
      <c r="A40" s="17">
        <f>Github!J$39</f>
        <v>38</v>
      </c>
      <c r="B40" s="34" t="str">
        <f>HYPERLINK(CONCAT("http://leetcode.com/problems/",Github!C$39), Github!B$39)</f>
        <v>Count and Say</v>
      </c>
      <c r="C40" s="17">
        <f>Github!F$39</f>
        <v>1274</v>
      </c>
      <c r="D40" s="17">
        <f>Github!G$39</f>
        <v>3302</v>
      </c>
      <c r="E40" s="17">
        <f>Github!F$39+Github!G$39</f>
        <v>4576</v>
      </c>
      <c r="F40" s="18">
        <f t="shared" si="1"/>
        <v>0.39</v>
      </c>
      <c r="G40" s="17" t="str">
        <f>Github!H$39</f>
        <v>Algorithms</v>
      </c>
      <c r="H40" s="17" t="b">
        <f>Github!D$39</f>
        <v>0</v>
      </c>
      <c r="I40" s="17" t="str">
        <f>Github!E$39</f>
        <v>Medium</v>
      </c>
      <c r="J40" s="17" t="str">
        <f>ROUND(Github!N$39, 2)&amp;"%"</f>
        <v>0%</v>
      </c>
      <c r="K40" s="17">
        <f>Github!O$39</f>
        <v>48.34334841</v>
      </c>
      <c r="L40" s="17">
        <f>Github!P$39</f>
        <v>603702</v>
      </c>
    </row>
    <row r="41">
      <c r="A41" s="17">
        <f>Github!J$40</f>
        <v>39</v>
      </c>
      <c r="B41" s="34" t="str">
        <f>HYPERLINK(CONCAT("http://leetcode.com/problems/",Github!C$40), Github!B$40)</f>
        <v>Combination Sum</v>
      </c>
      <c r="C41" s="17">
        <f>Github!F$40</f>
        <v>10065</v>
      </c>
      <c r="D41" s="17">
        <f>Github!G$40</f>
        <v>219</v>
      </c>
      <c r="E41" s="17">
        <f>Github!F$40+Github!G$40</f>
        <v>10284</v>
      </c>
      <c r="F41" s="18">
        <f t="shared" si="1"/>
        <v>45.96</v>
      </c>
      <c r="G41" s="17" t="str">
        <f>Github!H$40</f>
        <v>Algorithms</v>
      </c>
      <c r="H41" s="17" t="b">
        <f>Github!D$40</f>
        <v>0</v>
      </c>
      <c r="I41" s="17" t="str">
        <f>Github!E$40</f>
        <v>Medium</v>
      </c>
      <c r="J41" s="17" t="str">
        <f>ROUND(Github!N$40, 2)&amp;"%"</f>
        <v>0%</v>
      </c>
      <c r="K41" s="17">
        <f>Github!O$40</f>
        <v>64.86854918</v>
      </c>
      <c r="L41" s="17">
        <f>Github!P$40</f>
        <v>1021175</v>
      </c>
    </row>
    <row r="42">
      <c r="A42" s="17">
        <f>Github!J$41</f>
        <v>40</v>
      </c>
      <c r="B42" s="34" t="str">
        <f>HYPERLINK(CONCAT("http://leetcode.com/problems/",Github!C$41), Github!B$41)</f>
        <v>Combination Sum II</v>
      </c>
      <c r="C42" s="17">
        <f>Github!F$41</f>
        <v>4810</v>
      </c>
      <c r="D42" s="17">
        <f>Github!G$41</f>
        <v>126</v>
      </c>
      <c r="E42" s="17">
        <f>Github!F$41+Github!G$41</f>
        <v>4936</v>
      </c>
      <c r="F42" s="18">
        <f t="shared" si="1"/>
        <v>38.17</v>
      </c>
      <c r="G42" s="17" t="str">
        <f>Github!H$41</f>
        <v>Algorithms</v>
      </c>
      <c r="H42" s="17" t="b">
        <f>Github!D$41</f>
        <v>0</v>
      </c>
      <c r="I42" s="17" t="str">
        <f>Github!E$41</f>
        <v>Medium</v>
      </c>
      <c r="J42" s="17" t="str">
        <f>ROUND(Github!N$41, 2)&amp;"%"</f>
        <v>0%</v>
      </c>
      <c r="K42" s="17">
        <f>Github!O$41</f>
        <v>52.1333541</v>
      </c>
      <c r="L42" s="17">
        <f>Github!P$41</f>
        <v>525426</v>
      </c>
    </row>
    <row r="43">
      <c r="A43" s="17">
        <f>Github!J$42</f>
        <v>41</v>
      </c>
      <c r="B43" s="34" t="str">
        <f>HYPERLINK(CONCAT("http://leetcode.com/problems/",Github!C$42), Github!B$42)</f>
        <v>First Missing Positive</v>
      </c>
      <c r="C43" s="17">
        <f>Github!F$42</f>
        <v>8798</v>
      </c>
      <c r="D43" s="17">
        <f>Github!G$42</f>
        <v>1264</v>
      </c>
      <c r="E43" s="17">
        <f>Github!F$42+Github!G$42</f>
        <v>10062</v>
      </c>
      <c r="F43" s="18">
        <f t="shared" si="1"/>
        <v>6.96</v>
      </c>
      <c r="G43" s="17" t="str">
        <f>Github!H$42</f>
        <v>Algorithms</v>
      </c>
      <c r="H43" s="17" t="b">
        <f>Github!D$42</f>
        <v>0</v>
      </c>
      <c r="I43" s="17" t="str">
        <f>Github!E$42</f>
        <v>Hard</v>
      </c>
      <c r="J43" s="17" t="str">
        <f>ROUND(Github!N$42, 2)&amp;"%"</f>
        <v>0%</v>
      </c>
      <c r="K43" s="17">
        <f>Github!O$42</f>
        <v>35.75966251</v>
      </c>
      <c r="L43" s="17">
        <f>Github!P$42</f>
        <v>641408</v>
      </c>
    </row>
    <row r="44">
      <c r="A44" s="17">
        <f>Github!J$43</f>
        <v>42</v>
      </c>
      <c r="B44" s="34" t="str">
        <f>HYPERLINK(CONCAT("http://leetcode.com/problems/",Github!C$43), Github!B$43)</f>
        <v>Trapping Rain Water</v>
      </c>
      <c r="C44" s="17">
        <f>Github!F$43</f>
        <v>17150</v>
      </c>
      <c r="D44" s="17">
        <f>Github!G$43</f>
        <v>243</v>
      </c>
      <c r="E44" s="17">
        <f>Github!F$43+Github!G$43</f>
        <v>17393</v>
      </c>
      <c r="F44" s="18">
        <f t="shared" si="1"/>
        <v>70.58</v>
      </c>
      <c r="G44" s="17" t="str">
        <f>Github!H$43</f>
        <v>Algorithms</v>
      </c>
      <c r="H44" s="17" t="b">
        <f>Github!D$43</f>
        <v>0</v>
      </c>
      <c r="I44" s="17" t="str">
        <f>Github!E$43</f>
        <v>Hard</v>
      </c>
      <c r="J44" s="17" t="str">
        <f>ROUND(Github!N$43, 2)&amp;"%"</f>
        <v>0%</v>
      </c>
      <c r="K44" s="17">
        <f>Github!O$43</f>
        <v>55.96155952</v>
      </c>
      <c r="L44" s="17">
        <f>Github!P$43</f>
        <v>1052579</v>
      </c>
    </row>
    <row r="45">
      <c r="A45" s="17">
        <f>Github!J$44</f>
        <v>43</v>
      </c>
      <c r="B45" s="34" t="str">
        <f>HYPERLINK(CONCAT("http://leetcode.com/problems/",Github!C$44), Github!B$44)</f>
        <v>Multiply Strings</v>
      </c>
      <c r="C45" s="17">
        <f>Github!F$44</f>
        <v>4126</v>
      </c>
      <c r="D45" s="17">
        <f>Github!G$44</f>
        <v>1615</v>
      </c>
      <c r="E45" s="17">
        <f>Github!F$44+Github!G$44</f>
        <v>5741</v>
      </c>
      <c r="F45" s="18">
        <f t="shared" si="1"/>
        <v>2.55</v>
      </c>
      <c r="G45" s="17" t="str">
        <f>Github!H$44</f>
        <v>Algorithms</v>
      </c>
      <c r="H45" s="17" t="b">
        <f>Github!D$44</f>
        <v>0</v>
      </c>
      <c r="I45" s="17" t="str">
        <f>Github!E$44</f>
        <v>Medium</v>
      </c>
      <c r="J45" s="17" t="str">
        <f>ROUND(Github!N$44, 2)&amp;"%"</f>
        <v>0%</v>
      </c>
      <c r="K45" s="17">
        <f>Github!O$44</f>
        <v>37.45262527</v>
      </c>
      <c r="L45" s="17">
        <f>Github!P$44</f>
        <v>488464</v>
      </c>
    </row>
    <row r="46">
      <c r="A46" s="17">
        <f>Github!J$45</f>
        <v>44</v>
      </c>
      <c r="B46" s="34" t="str">
        <f>HYPERLINK(CONCAT("http://leetcode.com/problems/",Github!C$45), Github!B$45)</f>
        <v>Wildcard Matching</v>
      </c>
      <c r="C46" s="17">
        <f>Github!F$45</f>
        <v>4335</v>
      </c>
      <c r="D46" s="17">
        <f>Github!G$45</f>
        <v>193</v>
      </c>
      <c r="E46" s="17">
        <f>Github!F$45+Github!G$45</f>
        <v>4528</v>
      </c>
      <c r="F46" s="18">
        <f t="shared" si="1"/>
        <v>22.46</v>
      </c>
      <c r="G46" s="17" t="str">
        <f>Github!H$45</f>
        <v>Algorithms</v>
      </c>
      <c r="H46" s="17" t="b">
        <f>Github!D$45</f>
        <v>0</v>
      </c>
      <c r="I46" s="17" t="str">
        <f>Github!E$45</f>
        <v>Hard</v>
      </c>
      <c r="J46" s="17" t="str">
        <f>ROUND(Github!N$45, 2)&amp;"%"</f>
        <v>0%</v>
      </c>
      <c r="K46" s="17">
        <f>Github!O$45</f>
        <v>26.42903161</v>
      </c>
      <c r="L46" s="17">
        <f>Github!P$45</f>
        <v>369203</v>
      </c>
    </row>
    <row r="47">
      <c r="A47" s="17">
        <f>Github!J$46</f>
        <v>45</v>
      </c>
      <c r="B47" s="34" t="str">
        <f>HYPERLINK(CONCAT("http://leetcode.com/problems/",Github!C$46), Github!B$46)</f>
        <v>Jump Game II</v>
      </c>
      <c r="C47" s="17">
        <f>Github!F$46</f>
        <v>7418</v>
      </c>
      <c r="D47" s="17">
        <f>Github!G$46</f>
        <v>278</v>
      </c>
      <c r="E47" s="17">
        <f>Github!F$46+Github!G$46</f>
        <v>7696</v>
      </c>
      <c r="F47" s="18">
        <f t="shared" si="1"/>
        <v>26.68</v>
      </c>
      <c r="G47" s="17" t="str">
        <f>Github!H$46</f>
        <v>Algorithms</v>
      </c>
      <c r="H47" s="17" t="b">
        <f>Github!D$46</f>
        <v>0</v>
      </c>
      <c r="I47" s="17" t="str">
        <f>Github!E$46</f>
        <v>Medium</v>
      </c>
      <c r="J47" s="17" t="str">
        <f>ROUND(Github!N$46, 2)&amp;"%"</f>
        <v>0%</v>
      </c>
      <c r="K47" s="17">
        <f>Github!O$46</f>
        <v>36.6513545</v>
      </c>
      <c r="L47" s="17">
        <f>Github!P$46</f>
        <v>559297</v>
      </c>
    </row>
    <row r="48">
      <c r="A48" s="17">
        <f>Github!J$47</f>
        <v>46</v>
      </c>
      <c r="B48" s="34" t="str">
        <f>HYPERLINK(CONCAT("http://leetcode.com/problems/",Github!C$47), Github!B$47)</f>
        <v>Permutations</v>
      </c>
      <c r="C48" s="17">
        <f>Github!F$47</f>
        <v>9483</v>
      </c>
      <c r="D48" s="17">
        <f>Github!G$47</f>
        <v>176</v>
      </c>
      <c r="E48" s="17">
        <f>Github!F$47+Github!G$47</f>
        <v>9659</v>
      </c>
      <c r="F48" s="18">
        <f t="shared" si="1"/>
        <v>53.88</v>
      </c>
      <c r="G48" s="17" t="str">
        <f>Github!H$47</f>
        <v>Algorithms</v>
      </c>
      <c r="H48" s="17" t="b">
        <f>Github!D$47</f>
        <v>0</v>
      </c>
      <c r="I48" s="17" t="str">
        <f>Github!E$47</f>
        <v>Medium</v>
      </c>
      <c r="J48" s="17" t="str">
        <f>ROUND(Github!N$47, 2)&amp;"%"</f>
        <v>0%</v>
      </c>
      <c r="K48" s="17">
        <f>Github!O$47</f>
        <v>71.63522737</v>
      </c>
      <c r="L48" s="17">
        <f>Github!P$47</f>
        <v>1095122</v>
      </c>
    </row>
    <row r="49">
      <c r="A49" s="17">
        <f>Github!J$48</f>
        <v>47</v>
      </c>
      <c r="B49" s="34" t="str">
        <f>HYPERLINK(CONCAT("http://leetcode.com/problems/",Github!C$48), Github!B$48)</f>
        <v>Permutations II</v>
      </c>
      <c r="C49" s="17">
        <f>Github!F$48</f>
        <v>4610</v>
      </c>
      <c r="D49" s="17">
        <f>Github!G$48</f>
        <v>90</v>
      </c>
      <c r="E49" s="17">
        <f>Github!F$48+Github!G$48</f>
        <v>4700</v>
      </c>
      <c r="F49" s="18">
        <f t="shared" si="1"/>
        <v>51.22</v>
      </c>
      <c r="G49" s="17" t="str">
        <f>Github!H$48</f>
        <v>Algorithms</v>
      </c>
      <c r="H49" s="17" t="b">
        <f>Github!D$48</f>
        <v>0</v>
      </c>
      <c r="I49" s="17" t="str">
        <f>Github!E$48</f>
        <v>Medium</v>
      </c>
      <c r="J49" s="17" t="str">
        <f>ROUND(Github!N$48, 2)&amp;"%"</f>
        <v>0%</v>
      </c>
      <c r="K49" s="17">
        <f>Github!O$48</f>
        <v>53.6020447</v>
      </c>
      <c r="L49" s="17">
        <f>Github!P$48</f>
        <v>580501</v>
      </c>
    </row>
    <row r="50">
      <c r="A50" s="17">
        <f>Github!J$49</f>
        <v>48</v>
      </c>
      <c r="B50" s="34" t="str">
        <f>HYPERLINK(CONCAT("http://leetcode.com/problems/",Github!C$49), Github!B$49)</f>
        <v>Rotate Image</v>
      </c>
      <c r="C50" s="17">
        <f>Github!F$49</f>
        <v>8360</v>
      </c>
      <c r="D50" s="17">
        <f>Github!G$49</f>
        <v>464</v>
      </c>
      <c r="E50" s="17">
        <f>Github!F$49+Github!G$49</f>
        <v>8824</v>
      </c>
      <c r="F50" s="18">
        <f t="shared" si="1"/>
        <v>18.02</v>
      </c>
      <c r="G50" s="17" t="str">
        <f>Github!H$49</f>
        <v>Algorithms</v>
      </c>
      <c r="H50" s="17" t="b">
        <f>Github!D$49</f>
        <v>0</v>
      </c>
      <c r="I50" s="17" t="str">
        <f>Github!E$49</f>
        <v>Medium</v>
      </c>
      <c r="J50" s="17" t="str">
        <f>ROUND(Github!N$49, 2)&amp;"%"</f>
        <v>0%</v>
      </c>
      <c r="K50" s="17">
        <f>Github!O$49</f>
        <v>65.92519306</v>
      </c>
      <c r="L50" s="17">
        <f>Github!P$49</f>
        <v>827572</v>
      </c>
    </row>
    <row r="51">
      <c r="A51" s="17">
        <f>Github!J$50</f>
        <v>49</v>
      </c>
      <c r="B51" s="34" t="str">
        <f>HYPERLINK(CONCAT("http://leetcode.com/problems/",Github!C$50), Github!B$50)</f>
        <v>Group Anagrams</v>
      </c>
      <c r="C51" s="17">
        <f>Github!F$50</f>
        <v>8537</v>
      </c>
      <c r="D51" s="17">
        <f>Github!G$50</f>
        <v>295</v>
      </c>
      <c r="E51" s="17">
        <f>Github!F$50+Github!G$50</f>
        <v>8832</v>
      </c>
      <c r="F51" s="18">
        <f t="shared" si="1"/>
        <v>28.94</v>
      </c>
      <c r="G51" s="17" t="str">
        <f>Github!H$50</f>
        <v>Algorithms</v>
      </c>
      <c r="H51" s="17" t="b">
        <f>Github!D$50</f>
        <v>0</v>
      </c>
      <c r="I51" s="17" t="str">
        <f>Github!E$50</f>
        <v>Medium</v>
      </c>
      <c r="J51" s="17" t="str">
        <f>ROUND(Github!N$50, 2)&amp;"%"</f>
        <v>1%</v>
      </c>
      <c r="K51" s="17">
        <f>Github!O$50</f>
        <v>63.60420214</v>
      </c>
      <c r="L51" s="17">
        <f>Github!P$50</f>
        <v>1261007</v>
      </c>
    </row>
    <row r="52">
      <c r="A52" s="17">
        <f>Github!J$51</f>
        <v>50</v>
      </c>
      <c r="B52" s="34" t="str">
        <f>HYPERLINK(CONCAT("http://leetcode.com/problems/",Github!C$51), Github!B$51)</f>
        <v>Pow(x, n)</v>
      </c>
      <c r="C52" s="17">
        <f>Github!F$51</f>
        <v>4105</v>
      </c>
      <c r="D52" s="17">
        <f>Github!G$51</f>
        <v>5123</v>
      </c>
      <c r="E52" s="17">
        <f>Github!F$51+Github!G$51</f>
        <v>9228</v>
      </c>
      <c r="F52" s="18">
        <f t="shared" si="1"/>
        <v>0.8</v>
      </c>
      <c r="G52" s="17" t="str">
        <f>Github!H$51</f>
        <v>Algorithms</v>
      </c>
      <c r="H52" s="17" t="b">
        <f>Github!D$51</f>
        <v>0</v>
      </c>
      <c r="I52" s="17" t="str">
        <f>Github!E$51</f>
        <v>Medium</v>
      </c>
      <c r="J52" s="17" t="str">
        <f>ROUND(Github!N$51, 2)&amp;"%"</f>
        <v>0%</v>
      </c>
      <c r="K52" s="17">
        <f>Github!O$51</f>
        <v>32.17285158</v>
      </c>
      <c r="L52" s="17">
        <f>Github!P$51</f>
        <v>851048</v>
      </c>
    </row>
    <row r="53">
      <c r="A53" s="17">
        <f>Github!J$52</f>
        <v>51</v>
      </c>
      <c r="B53" s="34" t="str">
        <f>HYPERLINK(CONCAT("http://leetcode.com/problems/",Github!C$52), Github!B$52)</f>
        <v>N-Queens</v>
      </c>
      <c r="C53" s="17">
        <f>Github!F$52</f>
        <v>5335</v>
      </c>
      <c r="D53" s="17">
        <f>Github!G$52</f>
        <v>145</v>
      </c>
      <c r="E53" s="17">
        <f>Github!F$52+Github!G$52</f>
        <v>5480</v>
      </c>
      <c r="F53" s="18">
        <f t="shared" si="1"/>
        <v>36.79</v>
      </c>
      <c r="G53" s="17" t="str">
        <f>Github!H$52</f>
        <v>Algorithms</v>
      </c>
      <c r="H53" s="17" t="b">
        <f>Github!D$52</f>
        <v>0</v>
      </c>
      <c r="I53" s="17" t="str">
        <f>Github!E$52</f>
        <v>Hard</v>
      </c>
      <c r="J53" s="17" t="str">
        <f>ROUND(Github!N$52, 2)&amp;"%"</f>
        <v>0%</v>
      </c>
      <c r="K53" s="17">
        <f>Github!O$52</f>
        <v>56.62612266</v>
      </c>
      <c r="L53" s="17">
        <f>Github!P$52</f>
        <v>347022</v>
      </c>
    </row>
    <row r="54">
      <c r="A54" s="17">
        <f>Github!J$53</f>
        <v>52</v>
      </c>
      <c r="B54" s="34" t="str">
        <f>HYPERLINK(CONCAT("http://leetcode.com/problems/",Github!C$53), Github!B$53)</f>
        <v>N-Queens II</v>
      </c>
      <c r="C54" s="17">
        <f>Github!F$53</f>
        <v>1594</v>
      </c>
      <c r="D54" s="17">
        <f>Github!G$53</f>
        <v>209</v>
      </c>
      <c r="E54" s="17">
        <f>Github!F$53+Github!G$53</f>
        <v>1803</v>
      </c>
      <c r="F54" s="18">
        <f t="shared" si="1"/>
        <v>7.63</v>
      </c>
      <c r="G54" s="17" t="str">
        <f>Github!H$53</f>
        <v>Algorithms</v>
      </c>
      <c r="H54" s="17" t="b">
        <f>Github!D$53</f>
        <v>0</v>
      </c>
      <c r="I54" s="17" t="str">
        <f>Github!E$53</f>
        <v>Hard</v>
      </c>
      <c r="J54" s="17" t="str">
        <f>ROUND(Github!N$53, 2)&amp;"%"</f>
        <v>0%</v>
      </c>
      <c r="K54" s="17">
        <f>Github!O$53</f>
        <v>65.68714199</v>
      </c>
      <c r="L54" s="17">
        <f>Github!P$53</f>
        <v>211574</v>
      </c>
    </row>
    <row r="55">
      <c r="A55" s="17">
        <f>Github!J$54</f>
        <v>53</v>
      </c>
      <c r="B55" s="34" t="str">
        <f>HYPERLINK(CONCAT("http://leetcode.com/problems/",Github!C$54), Github!B$54)</f>
        <v>Maximum Subarray</v>
      </c>
      <c r="C55" s="17">
        <f>Github!F$54</f>
        <v>19026</v>
      </c>
      <c r="D55" s="17">
        <f>Github!G$54</f>
        <v>909</v>
      </c>
      <c r="E55" s="17">
        <f>Github!F$54+Github!G$54</f>
        <v>19935</v>
      </c>
      <c r="F55" s="18">
        <f t="shared" si="1"/>
        <v>20.93</v>
      </c>
      <c r="G55" s="17" t="str">
        <f>Github!H$54</f>
        <v>Algorithms</v>
      </c>
      <c r="H55" s="17" t="b">
        <f>Github!D$54</f>
        <v>0</v>
      </c>
      <c r="I55" s="17" t="str">
        <f>Github!E$54</f>
        <v>Easy</v>
      </c>
      <c r="J55" s="17" t="str">
        <f>ROUND(Github!N$54, 2)&amp;"%"</f>
        <v>0%</v>
      </c>
      <c r="K55" s="17">
        <f>Github!O$54</f>
        <v>49.44598783</v>
      </c>
      <c r="L55" s="17">
        <f>Github!P$54</f>
        <v>2152481</v>
      </c>
    </row>
    <row r="56">
      <c r="A56" s="17">
        <f>Github!J$55</f>
        <v>54</v>
      </c>
      <c r="B56" s="34" t="str">
        <f>HYPERLINK(CONCAT("http://leetcode.com/problems/",Github!C$55), Github!B$55)</f>
        <v>Spiral Matrix</v>
      </c>
      <c r="C56" s="17">
        <f>Github!F$55</f>
        <v>6492</v>
      </c>
      <c r="D56" s="17">
        <f>Github!G$55</f>
        <v>799</v>
      </c>
      <c r="E56" s="17">
        <f>Github!F$55+Github!G$55</f>
        <v>7291</v>
      </c>
      <c r="F56" s="18">
        <f t="shared" si="1"/>
        <v>8.13</v>
      </c>
      <c r="G56" s="17" t="str">
        <f>Github!H$55</f>
        <v>Algorithms</v>
      </c>
      <c r="H56" s="17" t="b">
        <f>Github!D$55</f>
        <v>0</v>
      </c>
      <c r="I56" s="17" t="str">
        <f>Github!E$55</f>
        <v>Medium</v>
      </c>
      <c r="J56" s="17" t="str">
        <f>ROUND(Github!N$55, 2)&amp;"%"</f>
        <v>0%</v>
      </c>
      <c r="K56" s="17">
        <f>Github!O$55</f>
        <v>40.78228664</v>
      </c>
      <c r="L56" s="17">
        <f>Github!P$55</f>
        <v>685991</v>
      </c>
    </row>
    <row r="57">
      <c r="A57" s="17">
        <f>Github!J$56</f>
        <v>55</v>
      </c>
      <c r="B57" s="34" t="str">
        <f>HYPERLINK(CONCAT("http://leetcode.com/problems/",Github!C$56), Github!B$56)</f>
        <v>Jump Game</v>
      </c>
      <c r="C57" s="17">
        <f>Github!F$56</f>
        <v>10160</v>
      </c>
      <c r="D57" s="17">
        <f>Github!G$56</f>
        <v>588</v>
      </c>
      <c r="E57" s="17">
        <f>Github!F$56+Github!G$56</f>
        <v>10748</v>
      </c>
      <c r="F57" s="18">
        <f t="shared" si="1"/>
        <v>17.28</v>
      </c>
      <c r="G57" s="17" t="str">
        <f>Github!H$56</f>
        <v>Algorithms</v>
      </c>
      <c r="H57" s="17" t="b">
        <f>Github!D$56</f>
        <v>0</v>
      </c>
      <c r="I57" s="17" t="str">
        <f>Github!E$56</f>
        <v>Medium</v>
      </c>
      <c r="J57" s="17" t="str">
        <f>ROUND(Github!N$56, 2)&amp;"%"</f>
        <v>0%</v>
      </c>
      <c r="K57" s="17">
        <f>Github!O$56</f>
        <v>37.56172249</v>
      </c>
      <c r="L57" s="17">
        <f>Github!P$56</f>
        <v>934416</v>
      </c>
    </row>
    <row r="58">
      <c r="A58" s="17">
        <f>Github!J$57</f>
        <v>56</v>
      </c>
      <c r="B58" s="34" t="str">
        <f>HYPERLINK(CONCAT("http://leetcode.com/problems/",Github!C$57), Github!B$57)</f>
        <v>Merge Intervals</v>
      </c>
      <c r="C58" s="17">
        <f>Github!F$57</f>
        <v>12513</v>
      </c>
      <c r="D58" s="17">
        <f>Github!G$57</f>
        <v>495</v>
      </c>
      <c r="E58" s="17">
        <f>Github!F$57+Github!G$57</f>
        <v>13008</v>
      </c>
      <c r="F58" s="18">
        <f t="shared" si="1"/>
        <v>25.28</v>
      </c>
      <c r="G58" s="17" t="str">
        <f>Github!H$57</f>
        <v>Algorithms</v>
      </c>
      <c r="H58" s="17" t="b">
        <f>Github!D$57</f>
        <v>0</v>
      </c>
      <c r="I58" s="17" t="str">
        <f>Github!E$57</f>
        <v>Medium</v>
      </c>
      <c r="J58" s="17" t="str">
        <f>ROUND(Github!N$57, 2)&amp;"%"</f>
        <v>1%</v>
      </c>
      <c r="K58" s="17">
        <f>Github!O$57</f>
        <v>44.58165035</v>
      </c>
      <c r="L58" s="17">
        <f>Github!P$57</f>
        <v>1335277</v>
      </c>
    </row>
    <row r="59">
      <c r="A59" s="17">
        <f>Github!J$58</f>
        <v>57</v>
      </c>
      <c r="B59" s="34" t="str">
        <f>HYPERLINK(CONCAT("http://leetcode.com/problems/",Github!C$58), Github!B$58)</f>
        <v>Insert Interval</v>
      </c>
      <c r="C59" s="17">
        <f>Github!F$58</f>
        <v>4456</v>
      </c>
      <c r="D59" s="17">
        <f>Github!G$58</f>
        <v>325</v>
      </c>
      <c r="E59" s="17">
        <f>Github!F$58+Github!G$58</f>
        <v>4781</v>
      </c>
      <c r="F59" s="18">
        <f t="shared" si="1"/>
        <v>13.71</v>
      </c>
      <c r="G59" s="17" t="str">
        <f>Github!H$58</f>
        <v>Algorithms</v>
      </c>
      <c r="H59" s="17" t="b">
        <f>Github!D$58</f>
        <v>0</v>
      </c>
      <c r="I59" s="17" t="str">
        <f>Github!E$58</f>
        <v>Medium</v>
      </c>
      <c r="J59" s="17" t="str">
        <f>ROUND(Github!N$58, 2)&amp;"%"</f>
        <v>0%</v>
      </c>
      <c r="K59" s="17">
        <f>Github!O$58</f>
        <v>37.18910591</v>
      </c>
      <c r="L59" s="17">
        <f>Github!P$58</f>
        <v>473569</v>
      </c>
    </row>
    <row r="60">
      <c r="A60" s="17">
        <f>Github!J$59</f>
        <v>58</v>
      </c>
      <c r="B60" s="34" t="str">
        <f>HYPERLINK(CONCAT("http://leetcode.com/problems/",Github!C$59), Github!B$59)</f>
        <v>Length of Last Word</v>
      </c>
      <c r="C60" s="17">
        <f>Github!F$59</f>
        <v>745</v>
      </c>
      <c r="D60" s="17">
        <f>Github!G$59</f>
        <v>59</v>
      </c>
      <c r="E60" s="17">
        <f>Github!F$59+Github!G$59</f>
        <v>804</v>
      </c>
      <c r="F60" s="18">
        <f t="shared" si="1"/>
        <v>12.63</v>
      </c>
      <c r="G60" s="17" t="str">
        <f>Github!H$59</f>
        <v>Algorithms</v>
      </c>
      <c r="H60" s="17" t="b">
        <f>Github!D$59</f>
        <v>0</v>
      </c>
      <c r="I60" s="17" t="str">
        <f>Github!E$59</f>
        <v>Easy</v>
      </c>
      <c r="J60" s="17" t="str">
        <f>ROUND(Github!N$59, 2)&amp;"%"</f>
        <v>0%</v>
      </c>
      <c r="K60" s="17">
        <f>Github!O$59</f>
        <v>36.88991206</v>
      </c>
      <c r="L60" s="17">
        <f>Github!P$59</f>
        <v>689356</v>
      </c>
    </row>
    <row r="61">
      <c r="A61" s="17">
        <f>Github!J$60</f>
        <v>59</v>
      </c>
      <c r="B61" s="34" t="str">
        <f>HYPERLINK(CONCAT("http://leetcode.com/problems/",Github!C$60), Github!B$60)</f>
        <v>Spiral Matrix II</v>
      </c>
      <c r="C61" s="17">
        <f>Github!F$60</f>
        <v>2608</v>
      </c>
      <c r="D61" s="17">
        <f>Github!G$60</f>
        <v>163</v>
      </c>
      <c r="E61" s="17">
        <f>Github!F$60+Github!G$60</f>
        <v>2771</v>
      </c>
      <c r="F61" s="18">
        <f t="shared" si="1"/>
        <v>16</v>
      </c>
      <c r="G61" s="17" t="str">
        <f>Github!H$60</f>
        <v>Algorithms</v>
      </c>
      <c r="H61" s="17" t="b">
        <f>Github!D$60</f>
        <v>0</v>
      </c>
      <c r="I61" s="17" t="str">
        <f>Github!E$60</f>
        <v>Medium</v>
      </c>
      <c r="J61" s="17" t="str">
        <f>ROUND(Github!N$60, 2)&amp;"%"</f>
        <v>0%</v>
      </c>
      <c r="K61" s="17">
        <f>Github!O$60</f>
        <v>61.96716361</v>
      </c>
      <c r="L61" s="17">
        <f>Github!P$60</f>
        <v>307790</v>
      </c>
    </row>
    <row r="62">
      <c r="A62" s="17">
        <f>Github!J$61</f>
        <v>60</v>
      </c>
      <c r="B62" s="34" t="str">
        <f>HYPERLINK(CONCAT("http://leetcode.com/problems/",Github!C$61), Github!B$61)</f>
        <v>Permutation Sequence</v>
      </c>
      <c r="C62" s="17">
        <f>Github!F$61</f>
        <v>3448</v>
      </c>
      <c r="D62" s="17">
        <f>Github!G$61</f>
        <v>390</v>
      </c>
      <c r="E62" s="17">
        <f>Github!F$61+Github!G$61</f>
        <v>3838</v>
      </c>
      <c r="F62" s="18">
        <f t="shared" si="1"/>
        <v>8.84</v>
      </c>
      <c r="G62" s="17" t="str">
        <f>Github!H$61</f>
        <v>Algorithms</v>
      </c>
      <c r="H62" s="17" t="b">
        <f>Github!D$61</f>
        <v>0</v>
      </c>
      <c r="I62" s="17" t="str">
        <f>Github!E$61</f>
        <v>Hard</v>
      </c>
      <c r="J62" s="17" t="str">
        <f>ROUND(Github!N$61, 2)&amp;"%"</f>
        <v>0%</v>
      </c>
      <c r="K62" s="17">
        <f>Github!O$61</f>
        <v>41.77148797</v>
      </c>
      <c r="L62" s="17">
        <f>Github!P$61</f>
        <v>261215</v>
      </c>
    </row>
    <row r="63">
      <c r="A63" s="17">
        <f>Github!J$62</f>
        <v>61</v>
      </c>
      <c r="B63" s="34" t="str">
        <f>HYPERLINK(CONCAT("http://leetcode.com/problems/",Github!C$62), Github!B$62)</f>
        <v>Rotate List</v>
      </c>
      <c r="C63" s="17">
        <f>Github!F$62</f>
        <v>4714</v>
      </c>
      <c r="D63" s="17">
        <f>Github!G$62</f>
        <v>1261</v>
      </c>
      <c r="E63" s="17">
        <f>Github!F$62+Github!G$62</f>
        <v>5975</v>
      </c>
      <c r="F63" s="18">
        <f t="shared" si="1"/>
        <v>3.74</v>
      </c>
      <c r="G63" s="17" t="str">
        <f>Github!H$62</f>
        <v>Algorithms</v>
      </c>
      <c r="H63" s="17" t="b">
        <f>Github!D$62</f>
        <v>0</v>
      </c>
      <c r="I63" s="17" t="str">
        <f>Github!E$62</f>
        <v>Medium</v>
      </c>
      <c r="J63" s="17" t="str">
        <f>ROUND(Github!N$62, 2)&amp;"%"</f>
        <v>0%</v>
      </c>
      <c r="K63" s="17">
        <f>Github!O$62</f>
        <v>34.56917462</v>
      </c>
      <c r="L63" s="17">
        <f>Github!P$62</f>
        <v>524703</v>
      </c>
    </row>
    <row r="64">
      <c r="A64" s="17">
        <f>Github!J$63</f>
        <v>62</v>
      </c>
      <c r="B64" s="34" t="str">
        <f>HYPERLINK(CONCAT("http://leetcode.com/problems/",Github!C$63), Github!B$63)</f>
        <v>Unique Paths</v>
      </c>
      <c r="C64" s="17">
        <f>Github!F$63</f>
        <v>8184</v>
      </c>
      <c r="D64" s="17">
        <f>Github!G$63</f>
        <v>282</v>
      </c>
      <c r="E64" s="17">
        <f>Github!F$63+Github!G$63</f>
        <v>8466</v>
      </c>
      <c r="F64" s="18">
        <f t="shared" si="1"/>
        <v>29.02</v>
      </c>
      <c r="G64" s="17" t="str">
        <f>Github!H$63</f>
        <v>Algorithms</v>
      </c>
      <c r="H64" s="17" t="b">
        <f>Github!D$63</f>
        <v>0</v>
      </c>
      <c r="I64" s="17" t="str">
        <f>Github!E$63</f>
        <v>Medium</v>
      </c>
      <c r="J64" s="17" t="str">
        <f>ROUND(Github!N$63, 2)&amp;"%"</f>
        <v>0%</v>
      </c>
      <c r="K64" s="17">
        <f>Github!O$63</f>
        <v>59.62344015</v>
      </c>
      <c r="L64" s="17">
        <f>Github!P$63</f>
        <v>882053</v>
      </c>
    </row>
    <row r="65">
      <c r="A65" s="17">
        <f>Github!J$64</f>
        <v>63</v>
      </c>
      <c r="B65" s="34" t="str">
        <f>HYPERLINK(CONCAT("http://leetcode.com/problems/",Github!C$64), Github!B$64)</f>
        <v>Unique Paths II</v>
      </c>
      <c r="C65" s="17">
        <f>Github!F$64</f>
        <v>4363</v>
      </c>
      <c r="D65" s="17">
        <f>Github!G$64</f>
        <v>366</v>
      </c>
      <c r="E65" s="17">
        <f>Github!F$64+Github!G$64</f>
        <v>4729</v>
      </c>
      <c r="F65" s="18">
        <f t="shared" si="1"/>
        <v>11.92</v>
      </c>
      <c r="G65" s="17" t="str">
        <f>Github!H$64</f>
        <v>Algorithms</v>
      </c>
      <c r="H65" s="17" t="b">
        <f>Github!D$64</f>
        <v>0</v>
      </c>
      <c r="I65" s="17" t="str">
        <f>Github!E$64</f>
        <v>Medium</v>
      </c>
      <c r="J65" s="17" t="str">
        <f>ROUND(Github!N$64, 2)&amp;"%"</f>
        <v>0%</v>
      </c>
      <c r="K65" s="17">
        <f>Github!O$64</f>
        <v>37.3030873</v>
      </c>
      <c r="L65" s="17">
        <f>Github!P$64</f>
        <v>486115</v>
      </c>
    </row>
    <row r="66">
      <c r="A66" s="17">
        <f>Github!J$65</f>
        <v>64</v>
      </c>
      <c r="B66" s="34" t="str">
        <f>HYPERLINK(CONCAT("http://leetcode.com/problems/",Github!C$65), Github!B$65)</f>
        <v>Minimum Path Sum</v>
      </c>
      <c r="C66" s="17">
        <f>Github!F$65</f>
        <v>6875</v>
      </c>
      <c r="D66" s="17">
        <f>Github!G$65</f>
        <v>94</v>
      </c>
      <c r="E66" s="17">
        <f>Github!F$65+Github!G$65</f>
        <v>6969</v>
      </c>
      <c r="F66" s="18">
        <f t="shared" si="1"/>
        <v>73.14</v>
      </c>
      <c r="G66" s="17" t="str">
        <f>Github!H$65</f>
        <v>Algorithms</v>
      </c>
      <c r="H66" s="17" t="b">
        <f>Github!D$65</f>
        <v>0</v>
      </c>
      <c r="I66" s="17" t="str">
        <f>Github!E$65</f>
        <v>Medium</v>
      </c>
      <c r="J66" s="17" t="str">
        <f>ROUND(Github!N$65, 2)&amp;"%"</f>
        <v>0%</v>
      </c>
      <c r="K66" s="17">
        <f>Github!O$65</f>
        <v>59.0425012</v>
      </c>
      <c r="L66" s="17">
        <f>Github!P$65</f>
        <v>676468</v>
      </c>
    </row>
    <row r="67">
      <c r="A67" s="17">
        <f>Github!J$66</f>
        <v>65</v>
      </c>
      <c r="B67" s="34" t="str">
        <f>HYPERLINK(CONCAT("http://leetcode.com/problems/",Github!C$66), Github!B$66)</f>
        <v>Valid Number</v>
      </c>
      <c r="C67" s="17">
        <f>Github!F$66</f>
        <v>501</v>
      </c>
      <c r="D67" s="17">
        <f>Github!G$66</f>
        <v>900</v>
      </c>
      <c r="E67" s="17">
        <f>Github!F$66+Github!G$66</f>
        <v>1401</v>
      </c>
      <c r="F67" s="18">
        <f t="shared" si="1"/>
        <v>0.56</v>
      </c>
      <c r="G67" s="17" t="str">
        <f>Github!H$66</f>
        <v>Algorithms</v>
      </c>
      <c r="H67" s="17" t="b">
        <f>Github!D$66</f>
        <v>0</v>
      </c>
      <c r="I67" s="17" t="str">
        <f>Github!E$66</f>
        <v>Hard</v>
      </c>
      <c r="J67" s="17" t="str">
        <f>ROUND(Github!N$66, 2)&amp;"%"</f>
        <v>0%</v>
      </c>
      <c r="K67" s="17">
        <f>Github!O$66</f>
        <v>17.91376813</v>
      </c>
      <c r="L67" s="17">
        <f>Github!P$66</f>
        <v>261209</v>
      </c>
    </row>
    <row r="68">
      <c r="A68" s="17">
        <f>Github!J$67</f>
        <v>66</v>
      </c>
      <c r="B68" s="34" t="str">
        <f>HYPERLINK(CONCAT("http://leetcode.com/problems/",Github!C$67), Github!B$67)</f>
        <v>Plus One</v>
      </c>
      <c r="C68" s="17">
        <f>Github!F$67</f>
        <v>3778</v>
      </c>
      <c r="D68" s="17">
        <f>Github!G$67</f>
        <v>4007</v>
      </c>
      <c r="E68" s="17">
        <f>Github!F$67+Github!G$67</f>
        <v>7785</v>
      </c>
      <c r="F68" s="18">
        <f t="shared" si="1"/>
        <v>0.94</v>
      </c>
      <c r="G68" s="17" t="str">
        <f>Github!H$67</f>
        <v>Algorithms</v>
      </c>
      <c r="H68" s="17" t="b">
        <f>Github!D$67</f>
        <v>0</v>
      </c>
      <c r="I68" s="17" t="str">
        <f>Github!E$67</f>
        <v>Easy</v>
      </c>
      <c r="J68" s="17" t="str">
        <f>ROUND(Github!N$67, 2)&amp;"%"</f>
        <v>0%</v>
      </c>
      <c r="K68" s="17">
        <f>Github!O$67</f>
        <v>42.58383063</v>
      </c>
      <c r="L68" s="17">
        <f>Github!P$67</f>
        <v>1122398</v>
      </c>
    </row>
    <row r="69">
      <c r="A69" s="17">
        <f>Github!J$68</f>
        <v>67</v>
      </c>
      <c r="B69" s="34" t="str">
        <f>HYPERLINK(CONCAT("http://leetcode.com/problems/",Github!C$68), Github!B$68)</f>
        <v>Add Binary</v>
      </c>
      <c r="C69" s="17">
        <f>Github!F$68</f>
        <v>4689</v>
      </c>
      <c r="D69" s="17">
        <f>Github!G$68</f>
        <v>519</v>
      </c>
      <c r="E69" s="17">
        <f>Github!F$68+Github!G$68</f>
        <v>5208</v>
      </c>
      <c r="F69" s="18">
        <f t="shared" si="1"/>
        <v>9.03</v>
      </c>
      <c r="G69" s="17" t="str">
        <f>Github!H$68</f>
        <v>Algorithms</v>
      </c>
      <c r="H69" s="17" t="b">
        <f>Github!D$68</f>
        <v>0</v>
      </c>
      <c r="I69" s="17" t="str">
        <f>Github!E$68</f>
        <v>Easy</v>
      </c>
      <c r="J69" s="17" t="str">
        <f>ROUND(Github!N$68, 2)&amp;"%"</f>
        <v>0%</v>
      </c>
      <c r="K69" s="17">
        <f>Github!O$68</f>
        <v>50.17587641</v>
      </c>
      <c r="L69" s="17">
        <f>Github!P$68</f>
        <v>797812</v>
      </c>
    </row>
    <row r="70">
      <c r="A70" s="17">
        <f>Github!J$69</f>
        <v>68</v>
      </c>
      <c r="B70" s="34" t="str">
        <f>HYPERLINK(CONCAT("http://leetcode.com/problems/",Github!C$69), Github!B$69)</f>
        <v>Text Justification</v>
      </c>
      <c r="C70" s="17">
        <f>Github!F$69</f>
        <v>1649</v>
      </c>
      <c r="D70" s="17">
        <f>Github!G$69</f>
        <v>2758</v>
      </c>
      <c r="E70" s="17">
        <f>Github!F$69+Github!G$69</f>
        <v>4407</v>
      </c>
      <c r="F70" s="18">
        <f t="shared" si="1"/>
        <v>0.6</v>
      </c>
      <c r="G70" s="17" t="str">
        <f>Github!H$69</f>
        <v>Algorithms</v>
      </c>
      <c r="H70" s="17" t="b">
        <f>Github!D$69</f>
        <v>0</v>
      </c>
      <c r="I70" s="17" t="str">
        <f>Github!E$69</f>
        <v>Hard</v>
      </c>
      <c r="J70" s="17" t="str">
        <f>ROUND(Github!N$69, 2)&amp;"%"</f>
        <v>0%</v>
      </c>
      <c r="K70" s="17">
        <f>Github!O$69</f>
        <v>34.57188513</v>
      </c>
      <c r="L70" s="17">
        <f>Github!P$69</f>
        <v>233660</v>
      </c>
    </row>
    <row r="71">
      <c r="A71" s="17">
        <f>Github!J$70</f>
        <v>69</v>
      </c>
      <c r="B71" s="34" t="str">
        <f>HYPERLINK(CONCAT("http://leetcode.com/problems/",Github!C$70), Github!B$70)</f>
        <v>Sqrt(x)</v>
      </c>
      <c r="C71" s="17">
        <f>Github!F$70</f>
        <v>3444</v>
      </c>
      <c r="D71" s="17">
        <f>Github!G$70</f>
        <v>3049</v>
      </c>
      <c r="E71" s="17">
        <f>Github!F$70+Github!G$70</f>
        <v>6493</v>
      </c>
      <c r="F71" s="18">
        <f t="shared" si="1"/>
        <v>1.13</v>
      </c>
      <c r="G71" s="17" t="str">
        <f>Github!H$70</f>
        <v>Algorithms</v>
      </c>
      <c r="H71" s="17" t="b">
        <f>Github!D$70</f>
        <v>0</v>
      </c>
      <c r="I71" s="17" t="str">
        <f>Github!E$70</f>
        <v>Easy</v>
      </c>
      <c r="J71" s="17" t="str">
        <f>ROUND(Github!N$70, 2)&amp;"%"</f>
        <v>0%</v>
      </c>
      <c r="K71" s="17">
        <f>Github!O$70</f>
        <v>36.313167</v>
      </c>
      <c r="L71" s="17">
        <f>Github!P$70</f>
        <v>973356</v>
      </c>
    </row>
    <row r="72">
      <c r="A72" s="17">
        <f>Github!J$71</f>
        <v>70</v>
      </c>
      <c r="B72" s="34" t="str">
        <f>HYPERLINK(CONCAT("http://leetcode.com/problems/",Github!C$71), Github!B$71)</f>
        <v>Climbing Stairs</v>
      </c>
      <c r="C72" s="17">
        <f>Github!F$71</f>
        <v>10778</v>
      </c>
      <c r="D72" s="17">
        <f>Github!G$71</f>
        <v>330</v>
      </c>
      <c r="E72" s="17">
        <f>Github!F$71+Github!G$71</f>
        <v>11108</v>
      </c>
      <c r="F72" s="18">
        <f t="shared" si="1"/>
        <v>32.66</v>
      </c>
      <c r="G72" s="17" t="str">
        <f>Github!H$71</f>
        <v>Algorithms</v>
      </c>
      <c r="H72" s="17" t="b">
        <f>Github!D$71</f>
        <v>0</v>
      </c>
      <c r="I72" s="17" t="str">
        <f>Github!E$71</f>
        <v>Easy</v>
      </c>
      <c r="J72" s="17" t="str">
        <f>ROUND(Github!N$71, 2)&amp;"%"</f>
        <v>0%</v>
      </c>
      <c r="K72" s="17">
        <f>Github!O$71</f>
        <v>50.81404534</v>
      </c>
      <c r="L72" s="17">
        <f>Github!P$71</f>
        <v>1441629</v>
      </c>
    </row>
    <row r="73">
      <c r="A73" s="17">
        <f>Github!J$72</f>
        <v>71</v>
      </c>
      <c r="B73" s="34" t="str">
        <f>HYPERLINK(CONCAT("http://leetcode.com/problems/",Github!C$72), Github!B$72)</f>
        <v>Simplify Path</v>
      </c>
      <c r="C73" s="17">
        <f>Github!F$72</f>
        <v>1416</v>
      </c>
      <c r="D73" s="17">
        <f>Github!G$72</f>
        <v>320</v>
      </c>
      <c r="E73" s="17">
        <f>Github!F$72+Github!G$72</f>
        <v>1736</v>
      </c>
      <c r="F73" s="18">
        <f t="shared" si="1"/>
        <v>4.43</v>
      </c>
      <c r="G73" s="17" t="str">
        <f>Github!H$72</f>
        <v>Algorithms</v>
      </c>
      <c r="H73" s="17" t="b">
        <f>Github!D$72</f>
        <v>0</v>
      </c>
      <c r="I73" s="17" t="str">
        <f>Github!E$72</f>
        <v>Medium</v>
      </c>
      <c r="J73" s="17" t="str">
        <f>ROUND(Github!N$72, 2)&amp;"%"</f>
        <v>0%</v>
      </c>
      <c r="K73" s="17">
        <f>Github!O$72</f>
        <v>37.56299038</v>
      </c>
      <c r="L73" s="17">
        <f>Github!P$72</f>
        <v>370687</v>
      </c>
    </row>
    <row r="74">
      <c r="A74" s="17">
        <f>Github!J$73</f>
        <v>72</v>
      </c>
      <c r="B74" s="34" t="str">
        <f>HYPERLINK(CONCAT("http://leetcode.com/problems/",Github!C$73), Github!B$73)</f>
        <v>Edit Distance</v>
      </c>
      <c r="C74" s="17">
        <f>Github!F$73</f>
        <v>7821</v>
      </c>
      <c r="D74" s="17">
        <f>Github!G$73</f>
        <v>92</v>
      </c>
      <c r="E74" s="17">
        <f>Github!F$73+Github!G$73</f>
        <v>7913</v>
      </c>
      <c r="F74" s="18">
        <f t="shared" si="1"/>
        <v>85.01</v>
      </c>
      <c r="G74" s="17" t="str">
        <f>Github!H$73</f>
        <v>Algorithms</v>
      </c>
      <c r="H74" s="17" t="b">
        <f>Github!D$73</f>
        <v>0</v>
      </c>
      <c r="I74" s="17" t="str">
        <f>Github!E$73</f>
        <v>Hard</v>
      </c>
      <c r="J74" s="17" t="str">
        <f>ROUND(Github!N$73, 2)&amp;"%"</f>
        <v>0%</v>
      </c>
      <c r="K74" s="17">
        <f>Github!O$73</f>
        <v>50.33454376</v>
      </c>
      <c r="L74" s="17">
        <f>Github!P$73</f>
        <v>448134</v>
      </c>
    </row>
    <row r="75">
      <c r="A75" s="17">
        <f>Github!J$74</f>
        <v>73</v>
      </c>
      <c r="B75" s="34" t="str">
        <f>HYPERLINK(CONCAT("http://leetcode.com/problems/",Github!C$74), Github!B$74)</f>
        <v>Set Matrix Zeroes</v>
      </c>
      <c r="C75" s="17">
        <f>Github!F$74</f>
        <v>6243</v>
      </c>
      <c r="D75" s="17">
        <f>Github!G$74</f>
        <v>470</v>
      </c>
      <c r="E75" s="17">
        <f>Github!F$74+Github!G$74</f>
        <v>6713</v>
      </c>
      <c r="F75" s="18">
        <f t="shared" si="1"/>
        <v>13.28</v>
      </c>
      <c r="G75" s="17" t="str">
        <f>Github!H$74</f>
        <v>Algorithms</v>
      </c>
      <c r="H75" s="17" t="b">
        <f>Github!D$74</f>
        <v>0</v>
      </c>
      <c r="I75" s="17" t="str">
        <f>Github!E$74</f>
        <v>Medium</v>
      </c>
      <c r="J75" s="17" t="str">
        <f>ROUND(Github!N$74, 2)&amp;"%"</f>
        <v>0%</v>
      </c>
      <c r="K75" s="17">
        <f>Github!O$74</f>
        <v>47.86739193</v>
      </c>
      <c r="L75" s="17">
        <f>Github!P$74</f>
        <v>636660</v>
      </c>
    </row>
    <row r="76">
      <c r="A76" s="17">
        <f>Github!J$75</f>
        <v>74</v>
      </c>
      <c r="B76" s="34" t="str">
        <f>HYPERLINK(CONCAT("http://leetcode.com/problems/",Github!C$75), Github!B$75)</f>
        <v>Search a 2D Matrix</v>
      </c>
      <c r="C76" s="17">
        <f>Github!F$75</f>
        <v>6271</v>
      </c>
      <c r="D76" s="17">
        <f>Github!G$75</f>
        <v>247</v>
      </c>
      <c r="E76" s="17">
        <f>Github!F$75+Github!G$75</f>
        <v>6518</v>
      </c>
      <c r="F76" s="18">
        <f t="shared" si="1"/>
        <v>25.39</v>
      </c>
      <c r="G76" s="17" t="str">
        <f>Github!H$75</f>
        <v>Algorithms</v>
      </c>
      <c r="H76" s="17" t="b">
        <f>Github!D$75</f>
        <v>0</v>
      </c>
      <c r="I76" s="17" t="str">
        <f>Github!E$75</f>
        <v>Medium</v>
      </c>
      <c r="J76" s="17" t="str">
        <f>ROUND(Github!N$75, 2)&amp;"%"</f>
        <v>0%</v>
      </c>
      <c r="K76" s="17">
        <f>Github!O$75</f>
        <v>42.7225335</v>
      </c>
      <c r="L76" s="17">
        <f>Github!P$75</f>
        <v>675106</v>
      </c>
    </row>
    <row r="77">
      <c r="A77" s="17">
        <f>Github!J$76</f>
        <v>75</v>
      </c>
      <c r="B77" s="34" t="str">
        <f>HYPERLINK(CONCAT("http://leetcode.com/problems/",Github!C$76), Github!B$76)</f>
        <v>Sort Colors</v>
      </c>
      <c r="C77" s="17">
        <f>Github!F$76</f>
        <v>9014</v>
      </c>
      <c r="D77" s="17">
        <f>Github!G$76</f>
        <v>393</v>
      </c>
      <c r="E77" s="17">
        <f>Github!F$76+Github!G$76</f>
        <v>9407</v>
      </c>
      <c r="F77" s="18">
        <f t="shared" si="1"/>
        <v>22.94</v>
      </c>
      <c r="G77" s="17" t="str">
        <f>Github!H$76</f>
        <v>Algorithms</v>
      </c>
      <c r="H77" s="17" t="b">
        <f>Github!D$76</f>
        <v>0</v>
      </c>
      <c r="I77" s="17" t="str">
        <f>Github!E$76</f>
        <v>Medium</v>
      </c>
      <c r="J77" s="17" t="str">
        <f>ROUND(Github!N$76, 2)&amp;"%"</f>
        <v>0%</v>
      </c>
      <c r="K77" s="17">
        <f>Github!O$76</f>
        <v>54.24340948</v>
      </c>
      <c r="L77" s="17">
        <f>Github!P$76</f>
        <v>945444</v>
      </c>
    </row>
    <row r="78">
      <c r="A78" s="17">
        <f>Github!J$77</f>
        <v>76</v>
      </c>
      <c r="B78" s="34" t="str">
        <f>HYPERLINK(CONCAT("http://leetcode.com/problems/",Github!C$77), Github!B$77)</f>
        <v>Minimum Window Substring</v>
      </c>
      <c r="C78" s="17">
        <f>Github!F$77</f>
        <v>9628</v>
      </c>
      <c r="D78" s="17">
        <f>Github!G$77</f>
        <v>520</v>
      </c>
      <c r="E78" s="17">
        <f>Github!F$77+Github!G$77</f>
        <v>10148</v>
      </c>
      <c r="F78" s="18">
        <f t="shared" si="1"/>
        <v>18.52</v>
      </c>
      <c r="G78" s="17" t="str">
        <f>Github!H$77</f>
        <v>Algorithms</v>
      </c>
      <c r="H78" s="17" t="b">
        <f>Github!D$77</f>
        <v>0</v>
      </c>
      <c r="I78" s="17" t="str">
        <f>Github!E$77</f>
        <v>Hard</v>
      </c>
      <c r="J78" s="17" t="str">
        <f>ROUND(Github!N$77, 2)&amp;"%"</f>
        <v>0%</v>
      </c>
      <c r="K78" s="17">
        <f>Github!O$77</f>
        <v>38.69776264</v>
      </c>
      <c r="L78" s="17">
        <f>Github!P$77</f>
        <v>713261</v>
      </c>
    </row>
    <row r="79">
      <c r="A79" s="17">
        <f>Github!J$78</f>
        <v>77</v>
      </c>
      <c r="B79" s="34" t="str">
        <f>HYPERLINK(CONCAT("http://leetcode.com/problems/",Github!C$78), Github!B$78)</f>
        <v>Combinations</v>
      </c>
      <c r="C79" s="17">
        <f>Github!F$78</f>
        <v>3851</v>
      </c>
      <c r="D79" s="17">
        <f>Github!G$78</f>
        <v>127</v>
      </c>
      <c r="E79" s="17">
        <f>Github!F$78+Github!G$78</f>
        <v>3978</v>
      </c>
      <c r="F79" s="18">
        <f t="shared" si="1"/>
        <v>30.32</v>
      </c>
      <c r="G79" s="17" t="str">
        <f>Github!H$78</f>
        <v>Algorithms</v>
      </c>
      <c r="H79" s="17" t="b">
        <f>Github!D$78</f>
        <v>0</v>
      </c>
      <c r="I79" s="17" t="str">
        <f>Github!E$78</f>
        <v>Medium</v>
      </c>
      <c r="J79" s="17" t="str">
        <f>ROUND(Github!N$78, 2)&amp;"%"</f>
        <v>0%</v>
      </c>
      <c r="K79" s="17">
        <f>Github!O$78</f>
        <v>63.20906765</v>
      </c>
      <c r="L79" s="17">
        <f>Github!P$78</f>
        <v>492579</v>
      </c>
    </row>
    <row r="80">
      <c r="A80" s="17">
        <f>Github!J$79</f>
        <v>78</v>
      </c>
      <c r="B80" s="34" t="str">
        <f>HYPERLINK(CONCAT("http://leetcode.com/problems/",Github!C$79), Github!B$79)</f>
        <v>Subsets</v>
      </c>
      <c r="C80" s="17">
        <f>Github!F$79</f>
        <v>9358</v>
      </c>
      <c r="D80" s="17">
        <f>Github!G$79</f>
        <v>148</v>
      </c>
      <c r="E80" s="17">
        <f>Github!F$79+Github!G$79</f>
        <v>9506</v>
      </c>
      <c r="F80" s="18">
        <f t="shared" si="1"/>
        <v>63.23</v>
      </c>
      <c r="G80" s="17" t="str">
        <f>Github!H$79</f>
        <v>Algorithms</v>
      </c>
      <c r="H80" s="17" t="b">
        <f>Github!D$79</f>
        <v>0</v>
      </c>
      <c r="I80" s="17" t="str">
        <f>Github!E$79</f>
        <v>Medium</v>
      </c>
      <c r="J80" s="17" t="str">
        <f>ROUND(Github!N$79, 2)&amp;"%"</f>
        <v>0%</v>
      </c>
      <c r="K80" s="17">
        <f>Github!O$79</f>
        <v>70.79865485</v>
      </c>
      <c r="L80" s="17">
        <f>Github!P$79</f>
        <v>1032004</v>
      </c>
    </row>
    <row r="81">
      <c r="A81" s="17">
        <f>Github!J$80</f>
        <v>79</v>
      </c>
      <c r="B81" s="34" t="str">
        <f>HYPERLINK(CONCAT("http://leetcode.com/problems/",Github!C$80), Github!B$80)</f>
        <v>Word Search</v>
      </c>
      <c r="C81" s="17">
        <f>Github!F$80</f>
        <v>8696</v>
      </c>
      <c r="D81" s="17">
        <f>Github!G$80</f>
        <v>329</v>
      </c>
      <c r="E81" s="17">
        <f>Github!F$80+Github!G$80</f>
        <v>9025</v>
      </c>
      <c r="F81" s="18">
        <f t="shared" si="1"/>
        <v>26.43</v>
      </c>
      <c r="G81" s="17" t="str">
        <f>Github!H$80</f>
        <v>Algorithms</v>
      </c>
      <c r="H81" s="17" t="b">
        <f>Github!D$80</f>
        <v>0</v>
      </c>
      <c r="I81" s="17" t="str">
        <f>Github!E$80</f>
        <v>Medium</v>
      </c>
      <c r="J81" s="17" t="str">
        <f>ROUND(Github!N$80, 2)&amp;"%"</f>
        <v>0%</v>
      </c>
      <c r="K81" s="17">
        <f>Github!O$80</f>
        <v>39.46599687</v>
      </c>
      <c r="L81" s="17">
        <f>Github!P$80</f>
        <v>910847</v>
      </c>
    </row>
    <row r="82">
      <c r="A82" s="17">
        <f>Github!J$81</f>
        <v>80</v>
      </c>
      <c r="B82" s="34" t="str">
        <f>HYPERLINK(CONCAT("http://leetcode.com/problems/",Github!C$81), Github!B$81)</f>
        <v>Remove Duplicates from Sorted Array II</v>
      </c>
      <c r="C82" s="17">
        <f>Github!F$81</f>
        <v>3446</v>
      </c>
      <c r="D82" s="17">
        <f>Github!G$81</f>
        <v>908</v>
      </c>
      <c r="E82" s="17">
        <f>Github!F$81+Github!G$81</f>
        <v>4354</v>
      </c>
      <c r="F82" s="18">
        <f t="shared" si="1"/>
        <v>3.8</v>
      </c>
      <c r="G82" s="17" t="str">
        <f>Github!H$81</f>
        <v>Algorithms</v>
      </c>
      <c r="H82" s="17" t="b">
        <f>Github!D$81</f>
        <v>0</v>
      </c>
      <c r="I82" s="17" t="str">
        <f>Github!E$81</f>
        <v>Medium</v>
      </c>
      <c r="J82" s="17" t="str">
        <f>ROUND(Github!N$81, 2)&amp;"%"</f>
        <v>0%</v>
      </c>
      <c r="K82" s="17">
        <f>Github!O$81</f>
        <v>50.28557963</v>
      </c>
      <c r="L82" s="17">
        <f>Github!P$81</f>
        <v>420396</v>
      </c>
    </row>
    <row r="83">
      <c r="A83" s="17">
        <f>Github!J$82</f>
        <v>81</v>
      </c>
      <c r="B83" s="34" t="str">
        <f>HYPERLINK(CONCAT("http://leetcode.com/problems/",Github!C$82), Github!B$82)</f>
        <v>Search in Rotated Sorted Array II</v>
      </c>
      <c r="C83" s="17">
        <f>Github!F$82</f>
        <v>3420</v>
      </c>
      <c r="D83" s="17">
        <f>Github!G$82</f>
        <v>655</v>
      </c>
      <c r="E83" s="17">
        <f>Github!F$82+Github!G$82</f>
        <v>4075</v>
      </c>
      <c r="F83" s="18">
        <f t="shared" si="1"/>
        <v>5.22</v>
      </c>
      <c r="G83" s="17" t="str">
        <f>Github!H$82</f>
        <v>Algorithms</v>
      </c>
      <c r="H83" s="17" t="b">
        <f>Github!D$82</f>
        <v>0</v>
      </c>
      <c r="I83" s="17" t="str">
        <f>Github!E$82</f>
        <v>Medium</v>
      </c>
      <c r="J83" s="17" t="str">
        <f>ROUND(Github!N$82, 2)&amp;"%"</f>
        <v>0%</v>
      </c>
      <c r="K83" s="17">
        <f>Github!O$82</f>
        <v>34.44331101</v>
      </c>
      <c r="L83" s="17">
        <f>Github!P$82</f>
        <v>373095</v>
      </c>
    </row>
    <row r="84">
      <c r="A84" s="17">
        <f>Github!J$83</f>
        <v>82</v>
      </c>
      <c r="B84" s="34" t="str">
        <f>HYPERLINK(CONCAT("http://leetcode.com/problems/",Github!C$83), Github!B$83)</f>
        <v>Remove Duplicates from Sorted List II</v>
      </c>
      <c r="C84" s="17">
        <f>Github!F$83</f>
        <v>5401</v>
      </c>
      <c r="D84" s="17">
        <f>Github!G$83</f>
        <v>161</v>
      </c>
      <c r="E84" s="17">
        <f>Github!F$83+Github!G$83</f>
        <v>5562</v>
      </c>
      <c r="F84" s="18">
        <f t="shared" si="1"/>
        <v>33.55</v>
      </c>
      <c r="G84" s="17" t="str">
        <f>Github!H$83</f>
        <v>Algorithms</v>
      </c>
      <c r="H84" s="17" t="b">
        <f>Github!D$83</f>
        <v>0</v>
      </c>
      <c r="I84" s="17" t="str">
        <f>Github!E$83</f>
        <v>Medium</v>
      </c>
      <c r="J84" s="17" t="str">
        <f>ROUND(Github!N$83, 2)&amp;"%"</f>
        <v>0%</v>
      </c>
      <c r="K84" s="17">
        <f>Github!O$83</f>
        <v>43.92611435</v>
      </c>
      <c r="L84" s="17">
        <f>Github!P$83</f>
        <v>466583</v>
      </c>
    </row>
    <row r="85">
      <c r="A85" s="17">
        <f>Github!J$84</f>
        <v>83</v>
      </c>
      <c r="B85" s="34" t="str">
        <f>HYPERLINK(CONCAT("http://leetcode.com/problems/",Github!C$84), Github!B$84)</f>
        <v>Remove Duplicates from Sorted List</v>
      </c>
      <c r="C85" s="17">
        <f>Github!F$84</f>
        <v>4420</v>
      </c>
      <c r="D85" s="17">
        <f>Github!G$84</f>
        <v>179</v>
      </c>
      <c r="E85" s="17">
        <f>Github!F$84+Github!G$84</f>
        <v>4599</v>
      </c>
      <c r="F85" s="18">
        <f t="shared" si="1"/>
        <v>24.69</v>
      </c>
      <c r="G85" s="17" t="str">
        <f>Github!H$84</f>
        <v>Algorithms</v>
      </c>
      <c r="H85" s="17" t="b">
        <f>Github!D$84</f>
        <v>0</v>
      </c>
      <c r="I85" s="17" t="str">
        <f>Github!E$84</f>
        <v>Easy</v>
      </c>
      <c r="J85" s="17" t="str">
        <f>ROUND(Github!N$84, 2)&amp;"%"</f>
        <v>0%</v>
      </c>
      <c r="K85" s="17">
        <f>Github!O$84</f>
        <v>48.76765471</v>
      </c>
      <c r="L85" s="17">
        <f>Github!P$84</f>
        <v>810067</v>
      </c>
    </row>
    <row r="86">
      <c r="A86" s="17">
        <f>Github!J$85</f>
        <v>84</v>
      </c>
      <c r="B86" s="34" t="str">
        <f>HYPERLINK(CONCAT("http://leetcode.com/problems/",Github!C$85), Github!B$85)</f>
        <v>Largest Rectangle in Histogram</v>
      </c>
      <c r="C86" s="17">
        <f>Github!F$85</f>
        <v>9284</v>
      </c>
      <c r="D86" s="17">
        <f>Github!G$85</f>
        <v>137</v>
      </c>
      <c r="E86" s="17">
        <f>Github!F$85+Github!G$85</f>
        <v>9421</v>
      </c>
      <c r="F86" s="18">
        <f t="shared" si="1"/>
        <v>67.77</v>
      </c>
      <c r="G86" s="17" t="str">
        <f>Github!H$85</f>
        <v>Algorithms</v>
      </c>
      <c r="H86" s="17" t="b">
        <f>Github!D$85</f>
        <v>0</v>
      </c>
      <c r="I86" s="17" t="str">
        <f>Github!E$85</f>
        <v>Hard</v>
      </c>
      <c r="J86" s="17" t="str">
        <f>ROUND(Github!N$85, 2)&amp;"%"</f>
        <v>1%</v>
      </c>
      <c r="K86" s="17">
        <f>Github!O$85</f>
        <v>40.50836548</v>
      </c>
      <c r="L86" s="17">
        <f>Github!P$85</f>
        <v>483957</v>
      </c>
    </row>
    <row r="87">
      <c r="A87" s="17">
        <f>Github!J$86</f>
        <v>85</v>
      </c>
      <c r="B87" s="34" t="str">
        <f>HYPERLINK(CONCAT("http://leetcode.com/problems/",Github!C$86), Github!B$86)</f>
        <v>Maximal Rectangle</v>
      </c>
      <c r="C87" s="17">
        <f>Github!F$86</f>
        <v>6281</v>
      </c>
      <c r="D87" s="17">
        <f>Github!G$86</f>
        <v>106</v>
      </c>
      <c r="E87" s="17">
        <f>Github!F$86+Github!G$86</f>
        <v>6387</v>
      </c>
      <c r="F87" s="18">
        <f t="shared" si="1"/>
        <v>59.25</v>
      </c>
      <c r="G87" s="17" t="str">
        <f>Github!H$86</f>
        <v>Algorithms</v>
      </c>
      <c r="H87" s="17" t="b">
        <f>Github!D$86</f>
        <v>0</v>
      </c>
      <c r="I87" s="17" t="str">
        <f>Github!E$86</f>
        <v>Hard</v>
      </c>
      <c r="J87" s="17" t="str">
        <f>ROUND(Github!N$86, 2)&amp;"%"</f>
        <v>0%</v>
      </c>
      <c r="K87" s="17">
        <f>Github!O$86</f>
        <v>42.4601605</v>
      </c>
      <c r="L87" s="17">
        <f>Github!P$86</f>
        <v>286615</v>
      </c>
    </row>
    <row r="88">
      <c r="A88" s="17">
        <f>Github!J$87</f>
        <v>86</v>
      </c>
      <c r="B88" s="34" t="str">
        <f>HYPERLINK(CONCAT("http://leetcode.com/problems/",Github!C$87), Github!B$87)</f>
        <v>Partition List</v>
      </c>
      <c r="C88" s="17">
        <f>Github!F$87</f>
        <v>3258</v>
      </c>
      <c r="D88" s="17">
        <f>Github!G$87</f>
        <v>465</v>
      </c>
      <c r="E88" s="17">
        <f>Github!F$87+Github!G$87</f>
        <v>3723</v>
      </c>
      <c r="F88" s="18">
        <f t="shared" si="1"/>
        <v>7.01</v>
      </c>
      <c r="G88" s="17" t="str">
        <f>Github!H$87</f>
        <v>Algorithms</v>
      </c>
      <c r="H88" s="17" t="b">
        <f>Github!D$87</f>
        <v>0</v>
      </c>
      <c r="I88" s="17" t="str">
        <f>Github!E$87</f>
        <v>Medium</v>
      </c>
      <c r="J88" s="17" t="str">
        <f>ROUND(Github!N$87, 2)&amp;"%"</f>
        <v>0%</v>
      </c>
      <c r="K88" s="17">
        <f>Github!O$87</f>
        <v>47.51316593</v>
      </c>
      <c r="L88" s="17">
        <f>Github!P$87</f>
        <v>329838</v>
      </c>
    </row>
    <row r="89">
      <c r="A89" s="17">
        <f>Github!J$88</f>
        <v>87</v>
      </c>
      <c r="B89" s="34" t="str">
        <f>HYPERLINK(CONCAT("http://leetcode.com/problems/",Github!C$88), Github!B$88)</f>
        <v>Scramble String</v>
      </c>
      <c r="C89" s="17">
        <f>Github!F$88</f>
        <v>1359</v>
      </c>
      <c r="D89" s="17">
        <f>Github!G$88</f>
        <v>920</v>
      </c>
      <c r="E89" s="17">
        <f>Github!F$88+Github!G$88</f>
        <v>2279</v>
      </c>
      <c r="F89" s="18">
        <f t="shared" si="1"/>
        <v>1.48</v>
      </c>
      <c r="G89" s="17" t="str">
        <f>Github!H$88</f>
        <v>Algorithms</v>
      </c>
      <c r="H89" s="17" t="b">
        <f>Github!D$88</f>
        <v>0</v>
      </c>
      <c r="I89" s="17" t="str">
        <f>Github!E$88</f>
        <v>Hard</v>
      </c>
      <c r="J89" s="17" t="str">
        <f>ROUND(Github!N$88, 2)&amp;"%"</f>
        <v>0%</v>
      </c>
      <c r="K89" s="17">
        <f>Github!O$88</f>
        <v>35.4870643</v>
      </c>
      <c r="L89" s="17">
        <f>Github!P$88</f>
        <v>141239</v>
      </c>
    </row>
    <row r="90">
      <c r="A90" s="17">
        <f>Github!J$89</f>
        <v>88</v>
      </c>
      <c r="B90" s="34" t="str">
        <f>HYPERLINK(CONCAT("http://leetcode.com/problems/",Github!C$89), Github!B$89)</f>
        <v>Merge Sorted Array</v>
      </c>
      <c r="C90" s="17">
        <f>Github!F$89</f>
        <v>3736</v>
      </c>
      <c r="D90" s="17">
        <f>Github!G$89</f>
        <v>352</v>
      </c>
      <c r="E90" s="17">
        <f>Github!F$89+Github!G$89</f>
        <v>4088</v>
      </c>
      <c r="F90" s="18">
        <f t="shared" si="1"/>
        <v>10.61</v>
      </c>
      <c r="G90" s="17" t="str">
        <f>Github!H$89</f>
        <v>Algorithms</v>
      </c>
      <c r="H90" s="17" t="b">
        <f>Github!D$89</f>
        <v>0</v>
      </c>
      <c r="I90" s="17" t="str">
        <f>Github!E$89</f>
        <v>Easy</v>
      </c>
      <c r="J90" s="17" t="str">
        <f>ROUND(Github!N$89, 2)&amp;"%"</f>
        <v>0%</v>
      </c>
      <c r="K90" s="17">
        <f>Github!O$89</f>
        <v>43.45102111</v>
      </c>
      <c r="L90" s="17">
        <f>Github!P$89</f>
        <v>1285509</v>
      </c>
    </row>
    <row r="91">
      <c r="A91" s="17">
        <f>Github!J$90</f>
        <v>89</v>
      </c>
      <c r="B91" s="34" t="str">
        <f>HYPERLINK(CONCAT("http://leetcode.com/problems/",Github!C$90), Github!B$90)</f>
        <v>Gray Code</v>
      </c>
      <c r="C91" s="17">
        <f>Github!F$90</f>
        <v>1376</v>
      </c>
      <c r="D91" s="17">
        <f>Github!G$90</f>
        <v>2223</v>
      </c>
      <c r="E91" s="17">
        <f>Github!F$90+Github!G$90</f>
        <v>3599</v>
      </c>
      <c r="F91" s="18">
        <f t="shared" si="1"/>
        <v>0.62</v>
      </c>
      <c r="G91" s="17" t="str">
        <f>Github!H$90</f>
        <v>Algorithms</v>
      </c>
      <c r="H91" s="17" t="b">
        <f>Github!D$90</f>
        <v>0</v>
      </c>
      <c r="I91" s="17" t="str">
        <f>Github!E$90</f>
        <v>Medium</v>
      </c>
      <c r="J91" s="17" t="str">
        <f>ROUND(Github!N$90, 2)&amp;"%"</f>
        <v>0%</v>
      </c>
      <c r="K91" s="17">
        <f>Github!O$90</f>
        <v>54.97378039</v>
      </c>
      <c r="L91" s="17">
        <f>Github!P$90</f>
        <v>228326</v>
      </c>
    </row>
    <row r="92">
      <c r="A92" s="17">
        <f>Github!J$91</f>
        <v>90</v>
      </c>
      <c r="B92" s="34" t="str">
        <f>HYPERLINK(CONCAT("http://leetcode.com/problems/",Github!C$91), Github!B$91)</f>
        <v>Subsets II</v>
      </c>
      <c r="C92" s="17">
        <f>Github!F$91</f>
        <v>4615</v>
      </c>
      <c r="D92" s="17">
        <f>Github!G$91</f>
        <v>144</v>
      </c>
      <c r="E92" s="17">
        <f>Github!F$91+Github!G$91</f>
        <v>4759</v>
      </c>
      <c r="F92" s="18">
        <f t="shared" si="1"/>
        <v>32.05</v>
      </c>
      <c r="G92" s="17" t="str">
        <f>Github!H$91</f>
        <v>Algorithms</v>
      </c>
      <c r="H92" s="17" t="b">
        <f>Github!D$91</f>
        <v>0</v>
      </c>
      <c r="I92" s="17" t="str">
        <f>Github!E$91</f>
        <v>Medium</v>
      </c>
      <c r="J92" s="17" t="str">
        <f>ROUND(Github!N$91, 2)&amp;"%"</f>
        <v>0%</v>
      </c>
      <c r="K92" s="17">
        <f>Github!O$91</f>
        <v>52.77305965</v>
      </c>
      <c r="L92" s="17">
        <f>Github!P$91</f>
        <v>475668</v>
      </c>
    </row>
    <row r="93">
      <c r="A93" s="17">
        <f>Github!J$92</f>
        <v>91</v>
      </c>
      <c r="B93" s="34" t="str">
        <f>HYPERLINK(CONCAT("http://leetcode.com/problems/",Github!C$92), Github!B$92)</f>
        <v>Decode Ways</v>
      </c>
      <c r="C93" s="17">
        <f>Github!F$92</f>
        <v>6485</v>
      </c>
      <c r="D93" s="17">
        <f>Github!G$92</f>
        <v>3750</v>
      </c>
      <c r="E93" s="17">
        <f>Github!F$92+Github!G$92</f>
        <v>10235</v>
      </c>
      <c r="F93" s="18">
        <f t="shared" si="1"/>
        <v>1.73</v>
      </c>
      <c r="G93" s="17" t="str">
        <f>Github!H$92</f>
        <v>Algorithms</v>
      </c>
      <c r="H93" s="17" t="b">
        <f>Github!D$92</f>
        <v>0</v>
      </c>
      <c r="I93" s="17" t="str">
        <f>Github!E$92</f>
        <v>Medium</v>
      </c>
      <c r="J93" s="17" t="str">
        <f>ROUND(Github!N$92, 2)&amp;"%"</f>
        <v>1%</v>
      </c>
      <c r="K93" s="17">
        <f>Github!O$92</f>
        <v>29.88629567</v>
      </c>
      <c r="L93" s="17">
        <f>Github!P$92</f>
        <v>744070</v>
      </c>
    </row>
    <row r="94">
      <c r="A94" s="17">
        <f>Github!J$93</f>
        <v>92</v>
      </c>
      <c r="B94" s="34" t="str">
        <f>HYPERLINK(CONCAT("http://leetcode.com/problems/",Github!C$93), Github!B$93)</f>
        <v>Reverse Linked List II</v>
      </c>
      <c r="C94" s="17">
        <f>Github!F$93</f>
        <v>5731</v>
      </c>
      <c r="D94" s="17">
        <f>Github!G$93</f>
        <v>271</v>
      </c>
      <c r="E94" s="17">
        <f>Github!F$93+Github!G$93</f>
        <v>6002</v>
      </c>
      <c r="F94" s="18">
        <f t="shared" si="1"/>
        <v>21.15</v>
      </c>
      <c r="G94" s="17" t="str">
        <f>Github!H$93</f>
        <v>Algorithms</v>
      </c>
      <c r="H94" s="17" t="b">
        <f>Github!D$93</f>
        <v>0</v>
      </c>
      <c r="I94" s="17" t="str">
        <f>Github!E$93</f>
        <v>Medium</v>
      </c>
      <c r="J94" s="17" t="str">
        <f>ROUND(Github!N$93, 2)&amp;"%"</f>
        <v>0%</v>
      </c>
      <c r="K94" s="17">
        <f>Github!O$93</f>
        <v>43.15310602</v>
      </c>
      <c r="L94" s="17">
        <f>Github!P$93</f>
        <v>459385</v>
      </c>
    </row>
    <row r="95">
      <c r="A95" s="17">
        <f>Github!J$94</f>
        <v>93</v>
      </c>
      <c r="B95" s="34" t="str">
        <f>HYPERLINK(CONCAT("http://leetcode.com/problems/",Github!C$94), Github!B$94)</f>
        <v>Restore IP Addresses</v>
      </c>
      <c r="C95" s="17">
        <f>Github!F$94</f>
        <v>2564</v>
      </c>
      <c r="D95" s="17">
        <f>Github!G$94</f>
        <v>620</v>
      </c>
      <c r="E95" s="17">
        <f>Github!F$94+Github!G$94</f>
        <v>3184</v>
      </c>
      <c r="F95" s="18">
        <f t="shared" si="1"/>
        <v>4.14</v>
      </c>
      <c r="G95" s="17" t="str">
        <f>Github!H$94</f>
        <v>Algorithms</v>
      </c>
      <c r="H95" s="17" t="b">
        <f>Github!D$94</f>
        <v>0</v>
      </c>
      <c r="I95" s="17" t="str">
        <f>Github!E$94</f>
        <v>Medium</v>
      </c>
      <c r="J95" s="17" t="str">
        <f>ROUND(Github!N$94, 2)&amp;"%"</f>
        <v>0%</v>
      </c>
      <c r="K95" s="17">
        <f>Github!O$94</f>
        <v>41.36535058</v>
      </c>
      <c r="L95" s="17">
        <f>Github!P$94</f>
        <v>288141</v>
      </c>
    </row>
    <row r="96">
      <c r="A96" s="17">
        <f>Github!J$95</f>
        <v>94</v>
      </c>
      <c r="B96" s="34" t="str">
        <f>HYPERLINK(CONCAT("http://leetcode.com/problems/",Github!C$95), Github!B$95)</f>
        <v>Binary Tree Inorder Traversal</v>
      </c>
      <c r="C96" s="17">
        <f>Github!F$95</f>
        <v>7131</v>
      </c>
      <c r="D96" s="17">
        <f>Github!G$95</f>
        <v>315</v>
      </c>
      <c r="E96" s="17">
        <f>Github!F$95+Github!G$95</f>
        <v>7446</v>
      </c>
      <c r="F96" s="18">
        <f t="shared" si="1"/>
        <v>22.64</v>
      </c>
      <c r="G96" s="17" t="str">
        <f>Github!H$95</f>
        <v>Algorithms</v>
      </c>
      <c r="H96" s="17" t="b">
        <f>Github!D$95</f>
        <v>0</v>
      </c>
      <c r="I96" s="17" t="str">
        <f>Github!E$95</f>
        <v>Easy</v>
      </c>
      <c r="J96" s="17" t="str">
        <f>ROUND(Github!N$95, 2)&amp;"%"</f>
        <v>0%</v>
      </c>
      <c r="K96" s="17">
        <f>Github!O$95</f>
        <v>70.26099701</v>
      </c>
      <c r="L96" s="17">
        <f>Github!P$95</f>
        <v>1374840</v>
      </c>
    </row>
    <row r="97">
      <c r="A97" s="17">
        <f>Github!J$96</f>
        <v>95</v>
      </c>
      <c r="B97" s="34" t="str">
        <f>HYPERLINK(CONCAT("http://leetcode.com/problems/",Github!C$96), Github!B$96)</f>
        <v>Unique Binary Search Trees II</v>
      </c>
      <c r="C97" s="17">
        <f>Github!F$96</f>
        <v>4511</v>
      </c>
      <c r="D97" s="17">
        <f>Github!G$96</f>
        <v>293</v>
      </c>
      <c r="E97" s="17">
        <f>Github!F$96+Github!G$96</f>
        <v>4804</v>
      </c>
      <c r="F97" s="18">
        <f t="shared" si="1"/>
        <v>15.4</v>
      </c>
      <c r="G97" s="17" t="str">
        <f>Github!H$96</f>
        <v>Algorithms</v>
      </c>
      <c r="H97" s="17" t="b">
        <f>Github!D$96</f>
        <v>0</v>
      </c>
      <c r="I97" s="17" t="str">
        <f>Github!E$96</f>
        <v>Medium</v>
      </c>
      <c r="J97" s="17" t="str">
        <f>ROUND(Github!N$96, 2)&amp;"%"</f>
        <v>0%</v>
      </c>
      <c r="K97" s="17">
        <f>Github!O$96</f>
        <v>48.90895559</v>
      </c>
      <c r="L97" s="17">
        <f>Github!P$96</f>
        <v>296377</v>
      </c>
    </row>
    <row r="98">
      <c r="A98" s="17">
        <f>Github!J$97</f>
        <v>96</v>
      </c>
      <c r="B98" s="34" t="str">
        <f>HYPERLINK(CONCAT("http://leetcode.com/problems/",Github!C$97), Github!B$97)</f>
        <v>Unique Binary Search Trees</v>
      </c>
      <c r="C98" s="17">
        <f>Github!F$97</f>
        <v>6836</v>
      </c>
      <c r="D98" s="17">
        <f>Github!G$97</f>
        <v>270</v>
      </c>
      <c r="E98" s="17">
        <f>Github!F$97+Github!G$97</f>
        <v>7106</v>
      </c>
      <c r="F98" s="18">
        <f t="shared" si="1"/>
        <v>25.32</v>
      </c>
      <c r="G98" s="17" t="str">
        <f>Github!H$97</f>
        <v>Algorithms</v>
      </c>
      <c r="H98" s="17" t="b">
        <f>Github!D$97</f>
        <v>0</v>
      </c>
      <c r="I98" s="17" t="str">
        <f>Github!E$97</f>
        <v>Medium</v>
      </c>
      <c r="J98" s="17" t="str">
        <f>ROUND(Github!N$97, 2)&amp;"%"</f>
        <v>0%</v>
      </c>
      <c r="K98" s="17">
        <f>Github!O$97</f>
        <v>58.00664319</v>
      </c>
      <c r="L98" s="17">
        <f>Github!P$97</f>
        <v>464873</v>
      </c>
    </row>
    <row r="99">
      <c r="A99" s="17">
        <f>Github!J$98</f>
        <v>97</v>
      </c>
      <c r="B99" s="34" t="str">
        <f>HYPERLINK(CONCAT("http://leetcode.com/problems/",Github!C$98), Github!B$98)</f>
        <v>Interleaving String</v>
      </c>
      <c r="C99" s="17">
        <f>Github!F$98</f>
        <v>3650</v>
      </c>
      <c r="D99" s="17">
        <f>Github!G$98</f>
        <v>194</v>
      </c>
      <c r="E99" s="17">
        <f>Github!F$98+Github!G$98</f>
        <v>3844</v>
      </c>
      <c r="F99" s="18">
        <f t="shared" si="1"/>
        <v>18.81</v>
      </c>
      <c r="G99" s="17" t="str">
        <f>Github!H$98</f>
        <v>Algorithms</v>
      </c>
      <c r="H99" s="17" t="b">
        <f>Github!D$98</f>
        <v>0</v>
      </c>
      <c r="I99" s="17" t="str">
        <f>Github!E$98</f>
        <v>Medium</v>
      </c>
      <c r="J99" s="17" t="str">
        <f>ROUND(Github!N$98, 2)&amp;"%"</f>
        <v>0%</v>
      </c>
      <c r="K99" s="17">
        <f>Github!O$98</f>
        <v>34.55826173</v>
      </c>
      <c r="L99" s="17">
        <f>Github!P$98</f>
        <v>253743</v>
      </c>
    </row>
    <row r="100">
      <c r="A100" s="17">
        <f>Github!J$99</f>
        <v>98</v>
      </c>
      <c r="B100" s="34" t="str">
        <f>HYPERLINK(CONCAT("http://leetcode.com/problems/",Github!C$99), Github!B$99)</f>
        <v>Validate Binary Search Tree</v>
      </c>
      <c r="C100" s="17">
        <f>Github!F$99</f>
        <v>9093</v>
      </c>
      <c r="D100" s="17">
        <f>Github!G$99</f>
        <v>861</v>
      </c>
      <c r="E100" s="17">
        <f>Github!F$99+Github!G$99</f>
        <v>9954</v>
      </c>
      <c r="F100" s="18">
        <f t="shared" si="1"/>
        <v>10.56</v>
      </c>
      <c r="G100" s="17" t="str">
        <f>Github!H$99</f>
        <v>Algorithms</v>
      </c>
      <c r="H100" s="17" t="b">
        <f>Github!D$99</f>
        <v>0</v>
      </c>
      <c r="I100" s="17" t="str">
        <f>Github!E$99</f>
        <v>Medium</v>
      </c>
      <c r="J100" s="17" t="str">
        <f>ROUND(Github!N$99, 2)&amp;"%"</f>
        <v>1%</v>
      </c>
      <c r="K100" s="17">
        <f>Github!O$99</f>
        <v>30.31346833</v>
      </c>
      <c r="L100" s="17">
        <f>Github!P$99</f>
        <v>1320659</v>
      </c>
    </row>
    <row r="101">
      <c r="A101" s="17">
        <f>Github!J$100</f>
        <v>99</v>
      </c>
      <c r="B101" s="34" t="str">
        <f>HYPERLINK(CONCAT("http://leetcode.com/problems/",Github!C$100), Github!B$100)</f>
        <v>Recover Binary Search Tree</v>
      </c>
      <c r="C101" s="17">
        <f>Github!F$100</f>
        <v>3986</v>
      </c>
      <c r="D101" s="17">
        <f>Github!G$100</f>
        <v>149</v>
      </c>
      <c r="E101" s="17">
        <f>Github!F$100+Github!G$100</f>
        <v>4135</v>
      </c>
      <c r="F101" s="18">
        <f t="shared" si="1"/>
        <v>26.75</v>
      </c>
      <c r="G101" s="17" t="str">
        <f>Github!H$100</f>
        <v>Algorithms</v>
      </c>
      <c r="H101" s="17" t="b">
        <f>Github!D$100</f>
        <v>0</v>
      </c>
      <c r="I101" s="17" t="str">
        <f>Github!E$100</f>
        <v>Medium</v>
      </c>
      <c r="J101" s="17" t="str">
        <f>ROUND(Github!N$100, 2)&amp;"%"</f>
        <v>0%</v>
      </c>
      <c r="K101" s="17">
        <f>Github!O$100</f>
        <v>45.97796329</v>
      </c>
      <c r="L101" s="17">
        <f>Github!P$100</f>
        <v>272068</v>
      </c>
    </row>
    <row r="102">
      <c r="A102" s="17">
        <f>Github!J$101</f>
        <v>100</v>
      </c>
      <c r="B102" s="34" t="str">
        <f>HYPERLINK(CONCAT("http://leetcode.com/problems/",Github!C$101), Github!B$101)</f>
        <v>Same Tree</v>
      </c>
      <c r="C102" s="17">
        <f>Github!F$101</f>
        <v>5220</v>
      </c>
      <c r="D102" s="17">
        <f>Github!G$101</f>
        <v>127</v>
      </c>
      <c r="E102" s="17">
        <f>Github!F$101+Github!G$101</f>
        <v>5347</v>
      </c>
      <c r="F102" s="18">
        <f t="shared" si="1"/>
        <v>41.1</v>
      </c>
      <c r="G102" s="17" t="str">
        <f>Github!H$101</f>
        <v>Algorithms</v>
      </c>
      <c r="H102" s="17" t="b">
        <f>Github!D$101</f>
        <v>0</v>
      </c>
      <c r="I102" s="17" t="str">
        <f>Github!E$101</f>
        <v>Easy</v>
      </c>
      <c r="J102" s="17" t="str">
        <f>ROUND(Github!N$101, 2)&amp;"%"</f>
        <v>0%</v>
      </c>
      <c r="K102" s="17">
        <f>Github!O$101</f>
        <v>55.33839666</v>
      </c>
      <c r="L102" s="17">
        <f>Github!P$101</f>
        <v>971446</v>
      </c>
    </row>
    <row r="103">
      <c r="A103" s="17">
        <f>Github!J$102</f>
        <v>101</v>
      </c>
      <c r="B103" s="34" t="str">
        <f>HYPERLINK(CONCAT("http://leetcode.com/problems/",Github!C$102), Github!B$102)</f>
        <v>Symmetric Tree</v>
      </c>
      <c r="C103" s="17">
        <f>Github!F$102</f>
        <v>8849</v>
      </c>
      <c r="D103" s="17">
        <f>Github!G$102</f>
        <v>220</v>
      </c>
      <c r="E103" s="17">
        <f>Github!F$102+Github!G$102</f>
        <v>9069</v>
      </c>
      <c r="F103" s="18">
        <f t="shared" si="1"/>
        <v>40.22</v>
      </c>
      <c r="G103" s="17" t="str">
        <f>Github!H$102</f>
        <v>Algorithms</v>
      </c>
      <c r="H103" s="17" t="b">
        <f>Github!D$102</f>
        <v>0</v>
      </c>
      <c r="I103" s="17" t="str">
        <f>Github!E$102</f>
        <v>Easy</v>
      </c>
      <c r="J103" s="17" t="str">
        <f>ROUND(Github!N$102, 2)&amp;"%"</f>
        <v>0%</v>
      </c>
      <c r="K103" s="17">
        <f>Github!O$102</f>
        <v>51.24567722</v>
      </c>
      <c r="L103" s="17">
        <f>Github!P$102</f>
        <v>1173018</v>
      </c>
    </row>
    <row r="104">
      <c r="A104" s="17">
        <f>Github!J$103</f>
        <v>102</v>
      </c>
      <c r="B104" s="34" t="str">
        <f>HYPERLINK(CONCAT("http://leetcode.com/problems/",Github!C$103), Github!B$103)</f>
        <v>Binary Tree Level Order Traversal</v>
      </c>
      <c r="C104" s="17">
        <f>Github!F$103</f>
        <v>7541</v>
      </c>
      <c r="D104" s="17">
        <f>Github!G$103</f>
        <v>151</v>
      </c>
      <c r="E104" s="17">
        <f>Github!F$103+Github!G$103</f>
        <v>7692</v>
      </c>
      <c r="F104" s="18">
        <f t="shared" si="1"/>
        <v>49.94</v>
      </c>
      <c r="G104" s="17" t="str">
        <f>Github!H$103</f>
        <v>Algorithms</v>
      </c>
      <c r="H104" s="17" t="b">
        <f>Github!D$103</f>
        <v>0</v>
      </c>
      <c r="I104" s="17" t="str">
        <f>Github!E$103</f>
        <v>Medium</v>
      </c>
      <c r="J104" s="17" t="str">
        <f>ROUND(Github!N$103, 2)&amp;"%"</f>
        <v>0%</v>
      </c>
      <c r="K104" s="17">
        <f>Github!O$103</f>
        <v>60.46561038</v>
      </c>
      <c r="L104" s="17">
        <f>Github!P$103</f>
        <v>1161110</v>
      </c>
    </row>
    <row r="105">
      <c r="A105" s="17">
        <f>Github!J$104</f>
        <v>103</v>
      </c>
      <c r="B105" s="34" t="str">
        <f>HYPERLINK(CONCAT("http://leetcode.com/problems/",Github!C$104), Github!B$104)</f>
        <v>Binary Tree Zigzag Level Order Traversal</v>
      </c>
      <c r="C105" s="17">
        <f>Github!F$104</f>
        <v>5430</v>
      </c>
      <c r="D105" s="17">
        <f>Github!G$104</f>
        <v>167</v>
      </c>
      <c r="E105" s="17">
        <f>Github!F$104+Github!G$104</f>
        <v>5597</v>
      </c>
      <c r="F105" s="18">
        <f t="shared" si="1"/>
        <v>32.51</v>
      </c>
      <c r="G105" s="17" t="str">
        <f>Github!H$104</f>
        <v>Algorithms</v>
      </c>
      <c r="H105" s="17" t="b">
        <f>Github!D$104</f>
        <v>0</v>
      </c>
      <c r="I105" s="17" t="str">
        <f>Github!E$104</f>
        <v>Medium</v>
      </c>
      <c r="J105" s="17" t="str">
        <f>ROUND(Github!N$104, 2)&amp;"%"</f>
        <v>0%</v>
      </c>
      <c r="K105" s="17">
        <f>Github!O$104</f>
        <v>53.20397273</v>
      </c>
      <c r="L105" s="17">
        <f>Github!P$104</f>
        <v>672658</v>
      </c>
    </row>
    <row r="106">
      <c r="A106" s="17">
        <f>Github!J$105</f>
        <v>104</v>
      </c>
      <c r="B106" s="34" t="str">
        <f>HYPERLINK(CONCAT("http://leetcode.com/problems/",Github!C$105), Github!B$105)</f>
        <v>Maximum Depth of Binary Tree</v>
      </c>
      <c r="C106" s="17">
        <f>Github!F$105</f>
        <v>6484</v>
      </c>
      <c r="D106" s="17">
        <f>Github!G$105</f>
        <v>123</v>
      </c>
      <c r="E106" s="17">
        <f>Github!F$105+Github!G$105</f>
        <v>6607</v>
      </c>
      <c r="F106" s="18">
        <f t="shared" si="1"/>
        <v>52.72</v>
      </c>
      <c r="G106" s="17" t="str">
        <f>Github!H$105</f>
        <v>Algorithms</v>
      </c>
      <c r="H106" s="17" t="b">
        <f>Github!D$105</f>
        <v>0</v>
      </c>
      <c r="I106" s="17" t="str">
        <f>Github!E$105</f>
        <v>Easy</v>
      </c>
      <c r="J106" s="17" t="str">
        <f>ROUND(Github!N$105, 2)&amp;"%"</f>
        <v>0%</v>
      </c>
      <c r="K106" s="17">
        <f>Github!O$105</f>
        <v>71.5222093</v>
      </c>
      <c r="L106" s="17">
        <f>Github!P$105</f>
        <v>1564817</v>
      </c>
    </row>
    <row r="107">
      <c r="A107" s="17">
        <f>Github!J$106</f>
        <v>105</v>
      </c>
      <c r="B107" s="34" t="str">
        <f>HYPERLINK(CONCAT("http://leetcode.com/problems/",Github!C$106), Github!B$106)</f>
        <v>Construct Binary Tree from Preorder and Inorder Traversal</v>
      </c>
      <c r="C107" s="17">
        <f>Github!F$106</f>
        <v>7901</v>
      </c>
      <c r="D107" s="17">
        <f>Github!G$106</f>
        <v>204</v>
      </c>
      <c r="E107" s="17">
        <f>Github!F$106+Github!G$106</f>
        <v>8105</v>
      </c>
      <c r="F107" s="18">
        <f t="shared" si="1"/>
        <v>38.73</v>
      </c>
      <c r="G107" s="17" t="str">
        <f>Github!H$106</f>
        <v>Algorithms</v>
      </c>
      <c r="H107" s="17" t="b">
        <f>Github!D$106</f>
        <v>0</v>
      </c>
      <c r="I107" s="17" t="str">
        <f>Github!E$106</f>
        <v>Medium</v>
      </c>
      <c r="J107" s="17" t="str">
        <f>ROUND(Github!N$106, 2)&amp;"%"</f>
        <v>0%</v>
      </c>
      <c r="K107" s="17">
        <f>Github!O$106</f>
        <v>57.03323368</v>
      </c>
      <c r="L107" s="17">
        <f>Github!P$106</f>
        <v>668461</v>
      </c>
    </row>
    <row r="108">
      <c r="A108" s="17">
        <f>Github!J$107</f>
        <v>106</v>
      </c>
      <c r="B108" s="34" t="str">
        <f>HYPERLINK(CONCAT("http://leetcode.com/problems/",Github!C$107), Github!B$107)</f>
        <v>Construct Binary Tree from Inorder and Postorder Traversal</v>
      </c>
      <c r="C108" s="17">
        <f>Github!F$107</f>
        <v>4227</v>
      </c>
      <c r="D108" s="17">
        <f>Github!G$107</f>
        <v>70</v>
      </c>
      <c r="E108" s="17">
        <f>Github!F$107+Github!G$107</f>
        <v>4297</v>
      </c>
      <c r="F108" s="18">
        <f t="shared" si="1"/>
        <v>60.39</v>
      </c>
      <c r="G108" s="17" t="str">
        <f>Github!H$107</f>
        <v>Algorithms</v>
      </c>
      <c r="H108" s="17" t="b">
        <f>Github!D$107</f>
        <v>0</v>
      </c>
      <c r="I108" s="17" t="str">
        <f>Github!E$107</f>
        <v>Medium</v>
      </c>
      <c r="J108" s="17" t="str">
        <f>ROUND(Github!N$107, 2)&amp;"%"</f>
        <v>0%</v>
      </c>
      <c r="K108" s="17">
        <f>Github!O$107</f>
        <v>54.8610015</v>
      </c>
      <c r="L108" s="17">
        <f>Github!P$107</f>
        <v>382327</v>
      </c>
    </row>
    <row r="109">
      <c r="A109" s="17">
        <f>Github!J$108</f>
        <v>107</v>
      </c>
      <c r="B109" s="34" t="str">
        <f>HYPERLINK(CONCAT("http://leetcode.com/problems/",Github!C$108), Github!B$108)</f>
        <v>Binary Tree Level Order Traversal II</v>
      </c>
      <c r="C109" s="17">
        <f>Github!F$108</f>
        <v>3016</v>
      </c>
      <c r="D109" s="17">
        <f>Github!G$108</f>
        <v>274</v>
      </c>
      <c r="E109" s="17">
        <f>Github!F$108+Github!G$108</f>
        <v>3290</v>
      </c>
      <c r="F109" s="18">
        <f t="shared" si="1"/>
        <v>11.01</v>
      </c>
      <c r="G109" s="17" t="str">
        <f>Github!H$108</f>
        <v>Algorithms</v>
      </c>
      <c r="H109" s="17" t="b">
        <f>Github!D$108</f>
        <v>0</v>
      </c>
      <c r="I109" s="17" t="str">
        <f>Github!E$108</f>
        <v>Medium</v>
      </c>
      <c r="J109" s="17" t="str">
        <f>ROUND(Github!N$108, 2)&amp;"%"</f>
        <v>0%</v>
      </c>
      <c r="K109" s="17">
        <f>Github!O$108</f>
        <v>58.26543184</v>
      </c>
      <c r="L109" s="17">
        <f>Github!P$108</f>
        <v>484744</v>
      </c>
    </row>
    <row r="110">
      <c r="A110" s="17">
        <f>Github!J$109</f>
        <v>108</v>
      </c>
      <c r="B110" s="34" t="str">
        <f>HYPERLINK(CONCAT("http://leetcode.com/problems/",Github!C$109), Github!B$109)</f>
        <v>Convert Sorted Array to Binary Search Tree</v>
      </c>
      <c r="C110" s="17">
        <f>Github!F$109</f>
        <v>5927</v>
      </c>
      <c r="D110" s="17">
        <f>Github!G$109</f>
        <v>343</v>
      </c>
      <c r="E110" s="17">
        <f>Github!F$109+Github!G$109</f>
        <v>6270</v>
      </c>
      <c r="F110" s="18">
        <f t="shared" si="1"/>
        <v>17.28</v>
      </c>
      <c r="G110" s="17" t="str">
        <f>Github!H$109</f>
        <v>Algorithms</v>
      </c>
      <c r="H110" s="17" t="b">
        <f>Github!D$109</f>
        <v>0</v>
      </c>
      <c r="I110" s="17" t="str">
        <f>Github!E$109</f>
        <v>Easy</v>
      </c>
      <c r="J110" s="17" t="str">
        <f>ROUND(Github!N$109, 2)&amp;"%"</f>
        <v>0%</v>
      </c>
      <c r="K110" s="17">
        <f>Github!O$109</f>
        <v>65.53979894</v>
      </c>
      <c r="L110" s="17">
        <f>Github!P$109</f>
        <v>704012</v>
      </c>
    </row>
    <row r="111">
      <c r="A111" s="17">
        <f>Github!J$110</f>
        <v>109</v>
      </c>
      <c r="B111" s="34" t="str">
        <f>HYPERLINK(CONCAT("http://leetcode.com/problems/",Github!C$110), Github!B$110)</f>
        <v>Convert Sorted List to Binary Search Tree</v>
      </c>
      <c r="C111" s="17">
        <f>Github!F$110</f>
        <v>4326</v>
      </c>
      <c r="D111" s="17">
        <f>Github!G$110</f>
        <v>111</v>
      </c>
      <c r="E111" s="17">
        <f>Github!F$110+Github!G$110</f>
        <v>4437</v>
      </c>
      <c r="F111" s="18">
        <f t="shared" si="1"/>
        <v>38.97</v>
      </c>
      <c r="G111" s="17" t="str">
        <f>Github!H$110</f>
        <v>Algorithms</v>
      </c>
      <c r="H111" s="17" t="b">
        <f>Github!D$110</f>
        <v>0</v>
      </c>
      <c r="I111" s="17" t="str">
        <f>Github!E$110</f>
        <v>Medium</v>
      </c>
      <c r="J111" s="17" t="str">
        <f>ROUND(Github!N$110, 2)&amp;"%"</f>
        <v>0%</v>
      </c>
      <c r="K111" s="17">
        <f>Github!O$110</f>
        <v>55.05322027</v>
      </c>
      <c r="L111" s="17">
        <f>Github!P$110</f>
        <v>361174</v>
      </c>
    </row>
    <row r="112">
      <c r="A112" s="17">
        <f>Github!J$111</f>
        <v>110</v>
      </c>
      <c r="B112" s="34" t="str">
        <f>HYPERLINK(CONCAT("http://leetcode.com/problems/",Github!C$111), Github!B$111)</f>
        <v>Balanced Binary Tree</v>
      </c>
      <c r="C112" s="17">
        <f>Github!F$111</f>
        <v>5317</v>
      </c>
      <c r="D112" s="17">
        <f>Github!G$111</f>
        <v>289</v>
      </c>
      <c r="E112" s="17">
        <f>Github!F$111+Github!G$111</f>
        <v>5606</v>
      </c>
      <c r="F112" s="18">
        <f t="shared" si="1"/>
        <v>18.4</v>
      </c>
      <c r="G112" s="17" t="str">
        <f>Github!H$111</f>
        <v>Algorithms</v>
      </c>
      <c r="H112" s="17" t="b">
        <f>Github!D$111</f>
        <v>0</v>
      </c>
      <c r="I112" s="17" t="str">
        <f>Github!E$111</f>
        <v>Easy</v>
      </c>
      <c r="J112" s="17" t="str">
        <f>ROUND(Github!N$111, 2)&amp;"%"</f>
        <v>0%</v>
      </c>
      <c r="K112" s="17">
        <f>Github!O$111</f>
        <v>46.48793292</v>
      </c>
      <c r="L112" s="17">
        <f>Github!P$111</f>
        <v>718872</v>
      </c>
    </row>
    <row r="113">
      <c r="A113" s="17">
        <f>Github!J$112</f>
        <v>111</v>
      </c>
      <c r="B113" s="34" t="str">
        <f>HYPERLINK(CONCAT("http://leetcode.com/problems/",Github!C$112), Github!B$112)</f>
        <v>Minimum Depth of Binary Tree</v>
      </c>
      <c r="C113" s="17">
        <f>Github!F$112</f>
        <v>3821</v>
      </c>
      <c r="D113" s="17">
        <f>Github!G$112</f>
        <v>934</v>
      </c>
      <c r="E113" s="17">
        <f>Github!F$112+Github!G$112</f>
        <v>4755</v>
      </c>
      <c r="F113" s="18">
        <f t="shared" si="1"/>
        <v>4.09</v>
      </c>
      <c r="G113" s="17" t="str">
        <f>Github!H$112</f>
        <v>Algorithms</v>
      </c>
      <c r="H113" s="17" t="b">
        <f>Github!D$112</f>
        <v>0</v>
      </c>
      <c r="I113" s="17" t="str">
        <f>Github!E$112</f>
        <v>Easy</v>
      </c>
      <c r="J113" s="17" t="str">
        <f>ROUND(Github!N$112, 2)&amp;"%"</f>
        <v>0%</v>
      </c>
      <c r="K113" s="17">
        <f>Github!O$112</f>
        <v>42.1960412</v>
      </c>
      <c r="L113" s="17">
        <f>Github!P$112</f>
        <v>717412</v>
      </c>
    </row>
    <row r="114">
      <c r="A114" s="17">
        <f>Github!J$113</f>
        <v>112</v>
      </c>
      <c r="B114" s="34" t="str">
        <f>HYPERLINK(CONCAT("http://leetcode.com/problems/",Github!C$113), Github!B$113)</f>
        <v>Path Sum</v>
      </c>
      <c r="C114" s="17">
        <f>Github!F$113</f>
        <v>5083</v>
      </c>
      <c r="D114" s="17">
        <f>Github!G$113</f>
        <v>763</v>
      </c>
      <c r="E114" s="17">
        <f>Github!F$113+Github!G$113</f>
        <v>5846</v>
      </c>
      <c r="F114" s="18">
        <f t="shared" si="1"/>
        <v>6.66</v>
      </c>
      <c r="G114" s="17" t="str">
        <f>Github!H$113</f>
        <v>Algorithms</v>
      </c>
      <c r="H114" s="17" t="b">
        <f>Github!D$113</f>
        <v>0</v>
      </c>
      <c r="I114" s="17" t="str">
        <f>Github!E$113</f>
        <v>Easy</v>
      </c>
      <c r="J114" s="17" t="str">
        <f>ROUND(Github!N$113, 2)&amp;"%"</f>
        <v>0%</v>
      </c>
      <c r="K114" s="17">
        <f>Github!O$113</f>
        <v>45.1581487</v>
      </c>
      <c r="L114" s="17">
        <f>Github!P$113</f>
        <v>828596</v>
      </c>
    </row>
    <row r="115">
      <c r="A115" s="17">
        <f>Github!J$114</f>
        <v>113</v>
      </c>
      <c r="B115" s="34" t="str">
        <f>HYPERLINK(CONCAT("http://leetcode.com/problems/",Github!C$114), Github!B$114)</f>
        <v>Path Sum II</v>
      </c>
      <c r="C115" s="17">
        <f>Github!F$114</f>
        <v>4440</v>
      </c>
      <c r="D115" s="17">
        <f>Github!G$114</f>
        <v>104</v>
      </c>
      <c r="E115" s="17">
        <f>Github!F$114+Github!G$114</f>
        <v>4544</v>
      </c>
      <c r="F115" s="18">
        <f t="shared" si="1"/>
        <v>42.69</v>
      </c>
      <c r="G115" s="17" t="str">
        <f>Github!H$114</f>
        <v>Algorithms</v>
      </c>
      <c r="H115" s="17" t="b">
        <f>Github!D$114</f>
        <v>0</v>
      </c>
      <c r="I115" s="17" t="str">
        <f>Github!E$114</f>
        <v>Medium</v>
      </c>
      <c r="J115" s="17" t="str">
        <f>ROUND(Github!N$114, 2)&amp;"%"</f>
        <v>0%</v>
      </c>
      <c r="K115" s="17">
        <f>Github!O$114</f>
        <v>53.56260149</v>
      </c>
      <c r="L115" s="17">
        <f>Github!P$114</f>
        <v>553479</v>
      </c>
    </row>
    <row r="116">
      <c r="A116" s="17">
        <f>Github!J$115</f>
        <v>114</v>
      </c>
      <c r="B116" s="34" t="str">
        <f>HYPERLINK(CONCAT("http://leetcode.com/problems/",Github!C$115), Github!B$115)</f>
        <v>Flatten Binary Tree to Linked List</v>
      </c>
      <c r="C116" s="17">
        <f>Github!F$115</f>
        <v>6654</v>
      </c>
      <c r="D116" s="17">
        <f>Github!G$115</f>
        <v>455</v>
      </c>
      <c r="E116" s="17">
        <f>Github!F$115+Github!G$115</f>
        <v>7109</v>
      </c>
      <c r="F116" s="18">
        <f t="shared" si="1"/>
        <v>14.62</v>
      </c>
      <c r="G116" s="17" t="str">
        <f>Github!H$115</f>
        <v>Algorithms</v>
      </c>
      <c r="H116" s="17" t="b">
        <f>Github!D$115</f>
        <v>0</v>
      </c>
      <c r="I116" s="17" t="str">
        <f>Github!E$115</f>
        <v>Medium</v>
      </c>
      <c r="J116" s="17" t="str">
        <f>ROUND(Github!N$115, 2)&amp;"%"</f>
        <v>0%</v>
      </c>
      <c r="K116" s="17">
        <f>Github!O$115</f>
        <v>57.25987484</v>
      </c>
      <c r="L116" s="17">
        <f>Github!P$115</f>
        <v>576979</v>
      </c>
    </row>
    <row r="117">
      <c r="A117" s="17">
        <f>Github!J$116</f>
        <v>115</v>
      </c>
      <c r="B117" s="34" t="str">
        <f>HYPERLINK(CONCAT("http://leetcode.com/problems/",Github!C$116), Github!B$116)</f>
        <v>Distinct Subsequences</v>
      </c>
      <c r="C117" s="17">
        <f>Github!F$116</f>
        <v>3149</v>
      </c>
      <c r="D117" s="17">
        <f>Github!G$116</f>
        <v>140</v>
      </c>
      <c r="E117" s="17">
        <f>Github!F$116+Github!G$116</f>
        <v>3289</v>
      </c>
      <c r="F117" s="18">
        <f t="shared" si="1"/>
        <v>22.49</v>
      </c>
      <c r="G117" s="17" t="str">
        <f>Github!H$116</f>
        <v>Algorithms</v>
      </c>
      <c r="H117" s="17" t="b">
        <f>Github!D$116</f>
        <v>0</v>
      </c>
      <c r="I117" s="17" t="str">
        <f>Github!E$116</f>
        <v>Hard</v>
      </c>
      <c r="J117" s="17" t="str">
        <f>ROUND(Github!N$116, 2)&amp;"%"</f>
        <v>0%</v>
      </c>
      <c r="K117" s="17">
        <f>Github!O$116</f>
        <v>42.06491163</v>
      </c>
      <c r="L117" s="17">
        <f>Github!P$116</f>
        <v>210240</v>
      </c>
    </row>
    <row r="118">
      <c r="A118" s="17">
        <f>Github!J$117</f>
        <v>116</v>
      </c>
      <c r="B118" s="34" t="str">
        <f>HYPERLINK(CONCAT("http://leetcode.com/problems/",Github!C$117), Github!B$117)</f>
        <v>Populating Next Right Pointers in Each Node</v>
      </c>
      <c r="C118" s="17">
        <f>Github!F$117</f>
        <v>6026</v>
      </c>
      <c r="D118" s="17">
        <f>Github!G$117</f>
        <v>220</v>
      </c>
      <c r="E118" s="17">
        <f>Github!F$117+Github!G$117</f>
        <v>6246</v>
      </c>
      <c r="F118" s="18">
        <f t="shared" si="1"/>
        <v>27.39</v>
      </c>
      <c r="G118" s="17" t="str">
        <f>Github!H$117</f>
        <v>Algorithms</v>
      </c>
      <c r="H118" s="17" t="b">
        <f>Github!D$117</f>
        <v>0</v>
      </c>
      <c r="I118" s="17" t="str">
        <f>Github!E$117</f>
        <v>Medium</v>
      </c>
      <c r="J118" s="17" t="str">
        <f>ROUND(Github!N$117, 2)&amp;"%"</f>
        <v>0%</v>
      </c>
      <c r="K118" s="17">
        <f>Github!O$117</f>
        <v>56.23394182</v>
      </c>
      <c r="L118" s="17">
        <f>Github!P$117</f>
        <v>701245</v>
      </c>
    </row>
    <row r="119">
      <c r="A119" s="17">
        <f>Github!J$118</f>
        <v>117</v>
      </c>
      <c r="B119" s="34" t="str">
        <f>HYPERLINK(CONCAT("http://leetcode.com/problems/",Github!C$118), Github!B$118)</f>
        <v>Populating Next Right Pointers in Each Node II</v>
      </c>
      <c r="C119" s="17">
        <f>Github!F$118</f>
        <v>3490</v>
      </c>
      <c r="D119" s="17">
        <f>Github!G$118</f>
        <v>231</v>
      </c>
      <c r="E119" s="17">
        <f>Github!F$118+Github!G$118</f>
        <v>3721</v>
      </c>
      <c r="F119" s="18">
        <f t="shared" si="1"/>
        <v>15.11</v>
      </c>
      <c r="G119" s="17" t="str">
        <f>Github!H$118</f>
        <v>Algorithms</v>
      </c>
      <c r="H119" s="17" t="b">
        <f>Github!D$118</f>
        <v>0</v>
      </c>
      <c r="I119" s="17" t="str">
        <f>Github!E$118</f>
        <v>Medium</v>
      </c>
      <c r="J119" s="17" t="str">
        <f>ROUND(Github!N$118, 2)&amp;"%"</f>
        <v>0%</v>
      </c>
      <c r="K119" s="17">
        <f>Github!O$118</f>
        <v>46.0669468</v>
      </c>
      <c r="L119" s="17">
        <f>Github!P$118</f>
        <v>418342</v>
      </c>
    </row>
    <row r="120">
      <c r="A120" s="17">
        <f>Github!J$119</f>
        <v>118</v>
      </c>
      <c r="B120" s="34" t="str">
        <f>HYPERLINK(CONCAT("http://leetcode.com/problems/",Github!C$119), Github!B$119)</f>
        <v>Pascal's Triangle</v>
      </c>
      <c r="C120" s="17">
        <f>Github!F$119</f>
        <v>5134</v>
      </c>
      <c r="D120" s="17">
        <f>Github!G$119</f>
        <v>198</v>
      </c>
      <c r="E120" s="17">
        <f>Github!F$119+Github!G$119</f>
        <v>5332</v>
      </c>
      <c r="F120" s="18">
        <f t="shared" si="1"/>
        <v>25.93</v>
      </c>
      <c r="G120" s="17" t="str">
        <f>Github!H$119</f>
        <v>Algorithms</v>
      </c>
      <c r="H120" s="17" t="b">
        <f>Github!D$119</f>
        <v>0</v>
      </c>
      <c r="I120" s="17" t="str">
        <f>Github!E$119</f>
        <v>Easy</v>
      </c>
      <c r="J120" s="17" t="str">
        <f>ROUND(Github!N$119, 2)&amp;"%"</f>
        <v>1%</v>
      </c>
      <c r="K120" s="17">
        <f>Github!O$119</f>
        <v>63.44732524</v>
      </c>
      <c r="L120" s="17">
        <f>Github!P$119</f>
        <v>735080</v>
      </c>
    </row>
    <row r="121">
      <c r="A121" s="17">
        <f>Github!J$120</f>
        <v>119</v>
      </c>
      <c r="B121" s="34" t="str">
        <f>HYPERLINK(CONCAT("http://leetcode.com/problems/",Github!C$120), Github!B$120)</f>
        <v>Pascal's Triangle II</v>
      </c>
      <c r="C121" s="17">
        <f>Github!F$120</f>
        <v>2333</v>
      </c>
      <c r="D121" s="17">
        <f>Github!G$120</f>
        <v>258</v>
      </c>
      <c r="E121" s="17">
        <f>Github!F$120+Github!G$120</f>
        <v>2591</v>
      </c>
      <c r="F121" s="18">
        <f t="shared" si="1"/>
        <v>9.04</v>
      </c>
      <c r="G121" s="17" t="str">
        <f>Github!H$120</f>
        <v>Algorithms</v>
      </c>
      <c r="H121" s="17" t="b">
        <f>Github!D$120</f>
        <v>0</v>
      </c>
      <c r="I121" s="17" t="str">
        <f>Github!E$120</f>
        <v>Easy</v>
      </c>
      <c r="J121" s="17" t="str">
        <f>ROUND(Github!N$120, 2)&amp;"%"</f>
        <v>0%</v>
      </c>
      <c r="K121" s="17">
        <f>Github!O$120</f>
        <v>56.89358018</v>
      </c>
      <c r="L121" s="17">
        <f>Github!P$120</f>
        <v>493501</v>
      </c>
    </row>
    <row r="122">
      <c r="A122" s="17">
        <f>Github!J$121</f>
        <v>120</v>
      </c>
      <c r="B122" s="34" t="str">
        <f>HYPERLINK(CONCAT("http://leetcode.com/problems/",Github!C$121), Github!B$121)</f>
        <v>Triangle</v>
      </c>
      <c r="C122" s="17">
        <f>Github!F$121</f>
        <v>4578</v>
      </c>
      <c r="D122" s="17">
        <f>Github!G$121</f>
        <v>376</v>
      </c>
      <c r="E122" s="17">
        <f>Github!F$121+Github!G$121</f>
        <v>4954</v>
      </c>
      <c r="F122" s="18">
        <f t="shared" si="1"/>
        <v>12.18</v>
      </c>
      <c r="G122" s="17" t="str">
        <f>Github!H$121</f>
        <v>Algorithms</v>
      </c>
      <c r="H122" s="17" t="b">
        <f>Github!D$121</f>
        <v>0</v>
      </c>
      <c r="I122" s="17" t="str">
        <f>Github!E$121</f>
        <v>Medium</v>
      </c>
      <c r="J122" s="17" t="str">
        <f>ROUND(Github!N$121, 2)&amp;"%"</f>
        <v>0%</v>
      </c>
      <c r="K122" s="17">
        <f>Github!O$121</f>
        <v>50.2371251</v>
      </c>
      <c r="L122" s="17">
        <f>Github!P$121</f>
        <v>397125</v>
      </c>
    </row>
    <row r="123">
      <c r="A123" s="17">
        <f>Github!J$122</f>
        <v>121</v>
      </c>
      <c r="B123" s="34" t="str">
        <f>HYPERLINK(CONCAT("http://leetcode.com/problems/",Github!C$122), Github!B$122)</f>
        <v>Best Time to Buy and Sell Stock</v>
      </c>
      <c r="C123" s="17">
        <f>Github!F$122</f>
        <v>14798</v>
      </c>
      <c r="D123" s="17">
        <f>Github!G$122</f>
        <v>500</v>
      </c>
      <c r="E123" s="17">
        <f>Github!F$122+Github!G$122</f>
        <v>15298</v>
      </c>
      <c r="F123" s="18">
        <f t="shared" si="1"/>
        <v>29.6</v>
      </c>
      <c r="G123" s="17" t="str">
        <f>Github!H$122</f>
        <v>Algorithms</v>
      </c>
      <c r="H123" s="17" t="b">
        <f>Github!D$122</f>
        <v>0</v>
      </c>
      <c r="I123" s="17" t="str">
        <f>Github!E$122</f>
        <v>Easy</v>
      </c>
      <c r="J123" s="17" t="str">
        <f>ROUND(Github!N$122, 2)&amp;"%"</f>
        <v>1%</v>
      </c>
      <c r="K123" s="17">
        <f>Github!O$122</f>
        <v>53.87868769</v>
      </c>
      <c r="L123" s="17">
        <f>Github!P$122</f>
        <v>1994646</v>
      </c>
    </row>
    <row r="124">
      <c r="A124" s="17">
        <f>Github!J$123</f>
        <v>122</v>
      </c>
      <c r="B124" s="34" t="str">
        <f>HYPERLINK(CONCAT("http://leetcode.com/problems/",Github!C$123), Github!B$123)</f>
        <v>Best Time to Buy and Sell Stock II</v>
      </c>
      <c r="C124" s="17">
        <f>Github!F$123</f>
        <v>6996</v>
      </c>
      <c r="D124" s="17">
        <f>Github!G$123</f>
        <v>2337</v>
      </c>
      <c r="E124" s="17">
        <f>Github!F$123+Github!G$123</f>
        <v>9333</v>
      </c>
      <c r="F124" s="18">
        <f t="shared" si="1"/>
        <v>2.99</v>
      </c>
      <c r="G124" s="17" t="str">
        <f>Github!H$123</f>
        <v>Algorithms</v>
      </c>
      <c r="H124" s="17" t="b">
        <f>Github!D$123</f>
        <v>0</v>
      </c>
      <c r="I124" s="17" t="str">
        <f>Github!E$123</f>
        <v>Medium</v>
      </c>
      <c r="J124" s="17" t="str">
        <f>ROUND(Github!N$123, 2)&amp;"%"</f>
        <v>1%</v>
      </c>
      <c r="K124" s="17">
        <f>Github!O$123</f>
        <v>61.64232163</v>
      </c>
      <c r="L124" s="17">
        <f>Github!P$123</f>
        <v>1094840</v>
      </c>
    </row>
    <row r="125">
      <c r="A125" s="17">
        <f>Github!J$124</f>
        <v>123</v>
      </c>
      <c r="B125" s="34" t="str">
        <f>HYPERLINK(CONCAT("http://leetcode.com/problems/",Github!C$124), Github!B$124)</f>
        <v>Best Time to Buy and Sell Stock III</v>
      </c>
      <c r="C125" s="17">
        <f>Github!F$124</f>
        <v>5452</v>
      </c>
      <c r="D125" s="17">
        <f>Github!G$124</f>
        <v>114</v>
      </c>
      <c r="E125" s="17">
        <f>Github!F$124+Github!G$124</f>
        <v>5566</v>
      </c>
      <c r="F125" s="18">
        <f t="shared" si="1"/>
        <v>47.82</v>
      </c>
      <c r="G125" s="17" t="str">
        <f>Github!H$124</f>
        <v>Algorithms</v>
      </c>
      <c r="H125" s="17" t="b">
        <f>Github!D$124</f>
        <v>0</v>
      </c>
      <c r="I125" s="17" t="str">
        <f>Github!E$124</f>
        <v>Hard</v>
      </c>
      <c r="J125" s="17" t="str">
        <f>ROUND(Github!N$124, 2)&amp;"%"</f>
        <v>0%</v>
      </c>
      <c r="K125" s="17">
        <f>Github!O$124</f>
        <v>42.85311837</v>
      </c>
      <c r="L125" s="17">
        <f>Github!P$124</f>
        <v>366596</v>
      </c>
    </row>
    <row r="126">
      <c r="A126" s="17">
        <f>Github!J$125</f>
        <v>124</v>
      </c>
      <c r="B126" s="34" t="str">
        <f>HYPERLINK(CONCAT("http://leetcode.com/problems/",Github!C$125), Github!B$125)</f>
        <v>Binary Tree Maximum Path Sum</v>
      </c>
      <c r="C126" s="17">
        <f>Github!F$125</f>
        <v>8797</v>
      </c>
      <c r="D126" s="17">
        <f>Github!G$125</f>
        <v>513</v>
      </c>
      <c r="E126" s="17">
        <f>Github!F$125+Github!G$125</f>
        <v>9310</v>
      </c>
      <c r="F126" s="18">
        <f t="shared" si="1"/>
        <v>17.15</v>
      </c>
      <c r="G126" s="17" t="str">
        <f>Github!H$125</f>
        <v>Algorithms</v>
      </c>
      <c r="H126" s="17" t="b">
        <f>Github!D$125</f>
        <v>0</v>
      </c>
      <c r="I126" s="17" t="str">
        <f>Github!E$125</f>
        <v>Hard</v>
      </c>
      <c r="J126" s="17" t="str">
        <f>ROUND(Github!N$125, 2)&amp;"%"</f>
        <v>0%</v>
      </c>
      <c r="K126" s="17">
        <f>Github!O$125</f>
        <v>37.45735045</v>
      </c>
      <c r="L126" s="17">
        <f>Github!P$125</f>
        <v>691608</v>
      </c>
    </row>
    <row r="127">
      <c r="A127" s="17">
        <f>Github!J$126</f>
        <v>125</v>
      </c>
      <c r="B127" s="34" t="str">
        <f>HYPERLINK(CONCAT("http://leetcode.com/problems/",Github!C$126), Github!B$126)</f>
        <v>Valid Palindrome</v>
      </c>
      <c r="C127" s="17">
        <f>Github!F$126</f>
        <v>3223</v>
      </c>
      <c r="D127" s="17">
        <f>Github!G$126</f>
        <v>4936</v>
      </c>
      <c r="E127" s="17">
        <f>Github!F$126+Github!G$126</f>
        <v>8159</v>
      </c>
      <c r="F127" s="18">
        <f t="shared" si="1"/>
        <v>0.65</v>
      </c>
      <c r="G127" s="17" t="str">
        <f>Github!H$126</f>
        <v>Algorithms</v>
      </c>
      <c r="H127" s="17" t="b">
        <f>Github!D$126</f>
        <v>0</v>
      </c>
      <c r="I127" s="17" t="str">
        <f>Github!E$126</f>
        <v>Easy</v>
      </c>
      <c r="J127" s="17" t="str">
        <f>ROUND(Github!N$126, 2)&amp;"%"</f>
        <v>0%</v>
      </c>
      <c r="K127" s="17">
        <f>Github!O$126</f>
        <v>41.09094298</v>
      </c>
      <c r="L127" s="17">
        <f>Github!P$126</f>
        <v>1168555</v>
      </c>
    </row>
    <row r="128">
      <c r="A128" s="17">
        <f>Github!J$127</f>
        <v>126</v>
      </c>
      <c r="B128" s="34" t="str">
        <f>HYPERLINK(CONCAT("http://leetcode.com/problems/",Github!C$127), Github!B$127)</f>
        <v>Word Ladder II</v>
      </c>
      <c r="C128" s="17">
        <f>Github!F$127</f>
        <v>3508</v>
      </c>
      <c r="D128" s="17">
        <f>Github!G$127</f>
        <v>331</v>
      </c>
      <c r="E128" s="17">
        <f>Github!F$127+Github!G$127</f>
        <v>3839</v>
      </c>
      <c r="F128" s="18">
        <f t="shared" si="1"/>
        <v>10.6</v>
      </c>
      <c r="G128" s="17" t="str">
        <f>Github!H$127</f>
        <v>Algorithms</v>
      </c>
      <c r="H128" s="17" t="b">
        <f>Github!D$127</f>
        <v>0</v>
      </c>
      <c r="I128" s="17" t="str">
        <f>Github!E$127</f>
        <v>Hard</v>
      </c>
      <c r="J128" s="17" t="str">
        <f>ROUND(Github!N$127, 2)&amp;"%"</f>
        <v>0%</v>
      </c>
      <c r="K128" s="17">
        <f>Github!O$127</f>
        <v>26.70135927</v>
      </c>
      <c r="L128" s="17">
        <f>Github!P$127</f>
        <v>281694</v>
      </c>
    </row>
    <row r="129">
      <c r="A129" s="17">
        <f>Github!J$128</f>
        <v>127</v>
      </c>
      <c r="B129" s="34" t="str">
        <f>HYPERLINK(CONCAT("http://leetcode.com/problems/",Github!C$128), Github!B$128)</f>
        <v>Word Ladder</v>
      </c>
      <c r="C129" s="17">
        <f>Github!F$128</f>
        <v>7578</v>
      </c>
      <c r="D129" s="17">
        <f>Github!G$128</f>
        <v>1625</v>
      </c>
      <c r="E129" s="17">
        <f>Github!F$128+Github!G$128</f>
        <v>9203</v>
      </c>
      <c r="F129" s="18">
        <f t="shared" si="1"/>
        <v>4.66</v>
      </c>
      <c r="G129" s="17" t="str">
        <f>Github!H$128</f>
        <v>Algorithms</v>
      </c>
      <c r="H129" s="17" t="b">
        <f>Github!D$128</f>
        <v>0</v>
      </c>
      <c r="I129" s="17" t="str">
        <f>Github!E$128</f>
        <v>Hard</v>
      </c>
      <c r="J129" s="17" t="str">
        <f>ROUND(Github!N$128, 2)&amp;"%"</f>
        <v>1%</v>
      </c>
      <c r="K129" s="17">
        <f>Github!O$128</f>
        <v>35.13210852</v>
      </c>
      <c r="L129" s="17">
        <f>Github!P$128</f>
        <v>738815</v>
      </c>
    </row>
    <row r="130">
      <c r="A130" s="17">
        <f>Github!J$129</f>
        <v>128</v>
      </c>
      <c r="B130" s="34" t="str">
        <f>HYPERLINK(CONCAT("http://leetcode.com/problems/",Github!C$129), Github!B$129)</f>
        <v>Longest Consecutive Sequence</v>
      </c>
      <c r="C130" s="17">
        <f>Github!F$129</f>
        <v>8625</v>
      </c>
      <c r="D130" s="17">
        <f>Github!G$129</f>
        <v>375</v>
      </c>
      <c r="E130" s="17">
        <f>Github!F$129+Github!G$129</f>
        <v>9000</v>
      </c>
      <c r="F130" s="18">
        <f t="shared" si="1"/>
        <v>23</v>
      </c>
      <c r="G130" s="17" t="str">
        <f>Github!H$129</f>
        <v>Algorithms</v>
      </c>
      <c r="H130" s="17" t="b">
        <f>Github!D$129</f>
        <v>0</v>
      </c>
      <c r="I130" s="17" t="str">
        <f>Github!E$129</f>
        <v>Medium</v>
      </c>
      <c r="J130" s="17" t="str">
        <f>ROUND(Github!N$129, 2)&amp;"%"</f>
        <v>0%</v>
      </c>
      <c r="K130" s="17">
        <f>Github!O$129</f>
        <v>48.51582473</v>
      </c>
      <c r="L130" s="17">
        <f>Github!P$129</f>
        <v>614467</v>
      </c>
    </row>
    <row r="131">
      <c r="A131" s="17">
        <f>Github!J$130</f>
        <v>129</v>
      </c>
      <c r="B131" s="34" t="str">
        <f>HYPERLINK(CONCAT("http://leetcode.com/problems/",Github!C$130), Github!B$130)</f>
        <v>Sum Root to Leaf Numbers</v>
      </c>
      <c r="C131" s="17">
        <f>Github!F$130</f>
        <v>3929</v>
      </c>
      <c r="D131" s="17">
        <f>Github!G$130</f>
        <v>77</v>
      </c>
      <c r="E131" s="17">
        <f>Github!F$130+Github!G$130</f>
        <v>4006</v>
      </c>
      <c r="F131" s="18">
        <f t="shared" si="1"/>
        <v>51.03</v>
      </c>
      <c r="G131" s="17" t="str">
        <f>Github!H$130</f>
        <v>Algorithms</v>
      </c>
      <c r="H131" s="17" t="b">
        <f>Github!D$130</f>
        <v>0</v>
      </c>
      <c r="I131" s="17" t="str">
        <f>Github!E$130</f>
        <v>Medium</v>
      </c>
      <c r="J131" s="17" t="str">
        <f>ROUND(Github!N$130, 2)&amp;"%"</f>
        <v>0%</v>
      </c>
      <c r="K131" s="17">
        <f>Github!O$130</f>
        <v>56.34773363</v>
      </c>
      <c r="L131" s="17">
        <f>Github!P$130</f>
        <v>438784</v>
      </c>
    </row>
    <row r="132">
      <c r="A132" s="17">
        <f>Github!J$131</f>
        <v>130</v>
      </c>
      <c r="B132" s="34" t="str">
        <f>HYPERLINK(CONCAT("http://leetcode.com/problems/",Github!C$131), Github!B$131)</f>
        <v>Surrounded Regions</v>
      </c>
      <c r="C132" s="17">
        <f>Github!F$131</f>
        <v>4538</v>
      </c>
      <c r="D132" s="17">
        <f>Github!G$131</f>
        <v>1121</v>
      </c>
      <c r="E132" s="17">
        <f>Github!F$131+Github!G$131</f>
        <v>5659</v>
      </c>
      <c r="F132" s="18">
        <f t="shared" si="1"/>
        <v>4.05</v>
      </c>
      <c r="G132" s="17" t="str">
        <f>Github!H$131</f>
        <v>Algorithms</v>
      </c>
      <c r="H132" s="17" t="b">
        <f>Github!D$131</f>
        <v>0</v>
      </c>
      <c r="I132" s="17" t="str">
        <f>Github!E$131</f>
        <v>Medium</v>
      </c>
      <c r="J132" s="17" t="str">
        <f>ROUND(Github!N$131, 2)&amp;"%"</f>
        <v>0%</v>
      </c>
      <c r="K132" s="17">
        <f>Github!O$131</f>
        <v>33.58490406</v>
      </c>
      <c r="L132" s="17">
        <f>Github!P$131</f>
        <v>395562</v>
      </c>
    </row>
    <row r="133">
      <c r="A133" s="17">
        <f>Github!J$132</f>
        <v>131</v>
      </c>
      <c r="B133" s="34" t="str">
        <f>HYPERLINK(CONCAT("http://leetcode.com/problems/",Github!C$132), Github!B$132)</f>
        <v>Palindrome Partitioning</v>
      </c>
      <c r="C133" s="17">
        <f>Github!F$132</f>
        <v>6237</v>
      </c>
      <c r="D133" s="17">
        <f>Github!G$132</f>
        <v>193</v>
      </c>
      <c r="E133" s="17">
        <f>Github!F$132+Github!G$132</f>
        <v>6430</v>
      </c>
      <c r="F133" s="18">
        <f t="shared" si="1"/>
        <v>32.32</v>
      </c>
      <c r="G133" s="17" t="str">
        <f>Github!H$132</f>
        <v>Algorithms</v>
      </c>
      <c r="H133" s="17" t="b">
        <f>Github!D$132</f>
        <v>0</v>
      </c>
      <c r="I133" s="17" t="str">
        <f>Github!E$132</f>
        <v>Medium</v>
      </c>
      <c r="J133" s="17" t="str">
        <f>ROUND(Github!N$132, 2)&amp;"%"</f>
        <v>0%</v>
      </c>
      <c r="K133" s="17">
        <f>Github!O$132</f>
        <v>58.83038637</v>
      </c>
      <c r="L133" s="17">
        <f>Github!P$132</f>
        <v>430997</v>
      </c>
    </row>
    <row r="134">
      <c r="A134" s="17">
        <f>Github!J$133</f>
        <v>132</v>
      </c>
      <c r="B134" s="34" t="str">
        <f>HYPERLINK(CONCAT("http://leetcode.com/problems/",Github!C$133), Github!B$133)</f>
        <v>Palindrome Partitioning II</v>
      </c>
      <c r="C134" s="17">
        <f>Github!F$133</f>
        <v>3167</v>
      </c>
      <c r="D134" s="17">
        <f>Github!G$133</f>
        <v>77</v>
      </c>
      <c r="E134" s="17">
        <f>Github!F$133+Github!G$133</f>
        <v>3244</v>
      </c>
      <c r="F134" s="18">
        <f t="shared" si="1"/>
        <v>41.13</v>
      </c>
      <c r="G134" s="17" t="str">
        <f>Github!H$133</f>
        <v>Algorithms</v>
      </c>
      <c r="H134" s="17" t="b">
        <f>Github!D$133</f>
        <v>0</v>
      </c>
      <c r="I134" s="17" t="str">
        <f>Github!E$133</f>
        <v>Hard</v>
      </c>
      <c r="J134" s="17" t="str">
        <f>ROUND(Github!N$133, 2)&amp;"%"</f>
        <v>0%</v>
      </c>
      <c r="K134" s="17">
        <f>Github!O$133</f>
        <v>33.06804842</v>
      </c>
      <c r="L134" s="17">
        <f>Github!P$133</f>
        <v>198026</v>
      </c>
    </row>
    <row r="135">
      <c r="A135" s="17">
        <f>Github!J$134</f>
        <v>133</v>
      </c>
      <c r="B135" s="34" t="str">
        <f>HYPERLINK(CONCAT("http://leetcode.com/problems/",Github!C$134), Github!B$134)</f>
        <v>Clone Graph</v>
      </c>
      <c r="C135" s="17">
        <f>Github!F$134</f>
        <v>5344</v>
      </c>
      <c r="D135" s="17">
        <f>Github!G$134</f>
        <v>2390</v>
      </c>
      <c r="E135" s="17">
        <f>Github!F$134+Github!G$134</f>
        <v>7734</v>
      </c>
      <c r="F135" s="18">
        <f t="shared" si="1"/>
        <v>2.24</v>
      </c>
      <c r="G135" s="17" t="str">
        <f>Github!H$134</f>
        <v>Algorithms</v>
      </c>
      <c r="H135" s="17" t="b">
        <f>Github!D$134</f>
        <v>0</v>
      </c>
      <c r="I135" s="17" t="str">
        <f>Github!E$134</f>
        <v>Medium</v>
      </c>
      <c r="J135" s="17" t="str">
        <f>ROUND(Github!N$134, 2)&amp;"%"</f>
        <v>0%</v>
      </c>
      <c r="K135" s="17">
        <f>Github!O$134</f>
        <v>46.8226601</v>
      </c>
      <c r="L135" s="17">
        <f>Github!P$134</f>
        <v>674843</v>
      </c>
    </row>
    <row r="136">
      <c r="A136" s="17">
        <f>Github!J$135</f>
        <v>134</v>
      </c>
      <c r="B136" s="34" t="str">
        <f>HYPERLINK(CONCAT("http://leetcode.com/problems/",Github!C$135), Github!B$135)</f>
        <v>Gas Station</v>
      </c>
      <c r="C136" s="17">
        <f>Github!F$135</f>
        <v>5507</v>
      </c>
      <c r="D136" s="17">
        <f>Github!G$135</f>
        <v>582</v>
      </c>
      <c r="E136" s="17">
        <f>Github!F$135+Github!G$135</f>
        <v>6089</v>
      </c>
      <c r="F136" s="18">
        <f t="shared" si="1"/>
        <v>9.46</v>
      </c>
      <c r="G136" s="17" t="str">
        <f>Github!H$135</f>
        <v>Algorithms</v>
      </c>
      <c r="H136" s="17" t="b">
        <f>Github!D$135</f>
        <v>0</v>
      </c>
      <c r="I136" s="17" t="str">
        <f>Github!E$135</f>
        <v>Medium</v>
      </c>
      <c r="J136" s="17" t="str">
        <f>ROUND(Github!N$135, 2)&amp;"%"</f>
        <v>0%</v>
      </c>
      <c r="K136" s="17">
        <f>Github!O$135</f>
        <v>44.35634089</v>
      </c>
      <c r="L136" s="17">
        <f>Github!P$135</f>
        <v>389337</v>
      </c>
    </row>
    <row r="137">
      <c r="A137" s="17">
        <f>Github!J$136</f>
        <v>135</v>
      </c>
      <c r="B137" s="34" t="str">
        <f>HYPERLINK(CONCAT("http://leetcode.com/problems/",Github!C$136), Github!B$136)</f>
        <v>Candy</v>
      </c>
      <c r="C137" s="17">
        <f>Github!F$136</f>
        <v>2623</v>
      </c>
      <c r="D137" s="17">
        <f>Github!G$136</f>
        <v>245</v>
      </c>
      <c r="E137" s="17">
        <f>Github!F$136+Github!G$136</f>
        <v>2868</v>
      </c>
      <c r="F137" s="18">
        <f t="shared" si="1"/>
        <v>10.71</v>
      </c>
      <c r="G137" s="17" t="str">
        <f>Github!H$136</f>
        <v>Algorithms</v>
      </c>
      <c r="H137" s="17" t="b">
        <f>Github!D$136</f>
        <v>0</v>
      </c>
      <c r="I137" s="17" t="str">
        <f>Github!E$136</f>
        <v>Hard</v>
      </c>
      <c r="J137" s="17" t="str">
        <f>ROUND(Github!N$136, 2)&amp;"%"</f>
        <v>0%</v>
      </c>
      <c r="K137" s="17">
        <f>Github!O$136</f>
        <v>36.74397769</v>
      </c>
      <c r="L137" s="17">
        <f>Github!P$136</f>
        <v>206695</v>
      </c>
    </row>
    <row r="138">
      <c r="A138" s="17">
        <f>Github!J$137</f>
        <v>136</v>
      </c>
      <c r="B138" s="34" t="str">
        <f>HYPERLINK(CONCAT("http://leetcode.com/problems/",Github!C$137), Github!B$137)</f>
        <v>Single Number</v>
      </c>
      <c r="C138" s="17">
        <f>Github!F$137</f>
        <v>9281</v>
      </c>
      <c r="D138" s="17">
        <f>Github!G$137</f>
        <v>327</v>
      </c>
      <c r="E138" s="17">
        <f>Github!F$137+Github!G$137</f>
        <v>9608</v>
      </c>
      <c r="F138" s="18">
        <f t="shared" si="1"/>
        <v>28.38</v>
      </c>
      <c r="G138" s="17" t="str">
        <f>Github!H$137</f>
        <v>Algorithms</v>
      </c>
      <c r="H138" s="17" t="b">
        <f>Github!D$137</f>
        <v>0</v>
      </c>
      <c r="I138" s="17" t="str">
        <f>Github!E$137</f>
        <v>Easy</v>
      </c>
      <c r="J138" s="17" t="str">
        <f>ROUND(Github!N$137, 2)&amp;"%"</f>
        <v>0%</v>
      </c>
      <c r="K138" s="17">
        <f>Github!O$137</f>
        <v>69.13829507</v>
      </c>
      <c r="L138" s="17">
        <f>Github!P$137</f>
        <v>1563541</v>
      </c>
    </row>
    <row r="139">
      <c r="A139" s="17">
        <f>Github!J$138</f>
        <v>137</v>
      </c>
      <c r="B139" s="34" t="str">
        <f>HYPERLINK(CONCAT("http://leetcode.com/problems/",Github!C$138), Github!B$138)</f>
        <v>Single Number II</v>
      </c>
      <c r="C139" s="17">
        <f>Github!F$138</f>
        <v>3867</v>
      </c>
      <c r="D139" s="17">
        <f>Github!G$138</f>
        <v>470</v>
      </c>
      <c r="E139" s="17">
        <f>Github!F$138+Github!G$138</f>
        <v>4337</v>
      </c>
      <c r="F139" s="18">
        <f t="shared" si="1"/>
        <v>8.23</v>
      </c>
      <c r="G139" s="17" t="str">
        <f>Github!H$138</f>
        <v>Algorithms</v>
      </c>
      <c r="H139" s="17" t="b">
        <f>Github!D$138</f>
        <v>0</v>
      </c>
      <c r="I139" s="17" t="str">
        <f>Github!E$138</f>
        <v>Medium</v>
      </c>
      <c r="J139" s="17" t="str">
        <f>ROUND(Github!N$138, 2)&amp;"%"</f>
        <v>0%</v>
      </c>
      <c r="K139" s="17">
        <f>Github!O$138</f>
        <v>56.33858182</v>
      </c>
      <c r="L139" s="17">
        <f>Github!P$138</f>
        <v>336803</v>
      </c>
    </row>
    <row r="140">
      <c r="A140" s="17">
        <f>Github!J$139</f>
        <v>138</v>
      </c>
      <c r="B140" s="34" t="str">
        <f>HYPERLINK(CONCAT("http://leetcode.com/problems/",Github!C$139), Github!B$139)</f>
        <v>Copy List with Random Pointer</v>
      </c>
      <c r="C140" s="17">
        <f>Github!F$139</f>
        <v>7465</v>
      </c>
      <c r="D140" s="17">
        <f>Github!G$139</f>
        <v>933</v>
      </c>
      <c r="E140" s="17">
        <f>Github!F$139+Github!G$139</f>
        <v>8398</v>
      </c>
      <c r="F140" s="18">
        <f t="shared" si="1"/>
        <v>8</v>
      </c>
      <c r="G140" s="17" t="str">
        <f>Github!H$139</f>
        <v>Algorithms</v>
      </c>
      <c r="H140" s="17" t="b">
        <f>Github!D$139</f>
        <v>0</v>
      </c>
      <c r="I140" s="17" t="str">
        <f>Github!E$139</f>
        <v>Medium</v>
      </c>
      <c r="J140" s="17" t="str">
        <f>ROUND(Github!N$139, 2)&amp;"%"</f>
        <v>0%</v>
      </c>
      <c r="K140" s="17">
        <f>Github!O$139</f>
        <v>46.58358817</v>
      </c>
      <c r="L140" s="17">
        <f>Github!P$139</f>
        <v>722337</v>
      </c>
    </row>
    <row r="141">
      <c r="A141" s="17">
        <f>Github!J$140</f>
        <v>139</v>
      </c>
      <c r="B141" s="34" t="str">
        <f>HYPERLINK(CONCAT("http://leetcode.com/problems/",Github!C$140), Github!B$140)</f>
        <v>Word Break</v>
      </c>
      <c r="C141" s="17">
        <f>Github!F$140</f>
        <v>9808</v>
      </c>
      <c r="D141" s="17">
        <f>Github!G$140</f>
        <v>439</v>
      </c>
      <c r="E141" s="17">
        <f>Github!F$140+Github!G$140</f>
        <v>10247</v>
      </c>
      <c r="F141" s="18">
        <f t="shared" si="1"/>
        <v>22.34</v>
      </c>
      <c r="G141" s="17" t="str">
        <f>Github!H$140</f>
        <v>Algorithms</v>
      </c>
      <c r="H141" s="17" t="b">
        <f>Github!D$140</f>
        <v>0</v>
      </c>
      <c r="I141" s="17" t="str">
        <f>Github!E$140</f>
        <v>Medium</v>
      </c>
      <c r="J141" s="17" t="str">
        <f>ROUND(Github!N$140, 2)&amp;"%"</f>
        <v>1%</v>
      </c>
      <c r="K141" s="17">
        <f>Github!O$140</f>
        <v>44.26473046</v>
      </c>
      <c r="L141" s="17">
        <f>Github!P$140</f>
        <v>1019611</v>
      </c>
    </row>
    <row r="142">
      <c r="A142" s="17">
        <f>Github!J$141</f>
        <v>140</v>
      </c>
      <c r="B142" s="34" t="str">
        <f>HYPERLINK(CONCAT("http://leetcode.com/problems/",Github!C$141), Github!B$141)</f>
        <v>Word Break II</v>
      </c>
      <c r="C142" s="17">
        <f>Github!F$141</f>
        <v>4468</v>
      </c>
      <c r="D142" s="17">
        <f>Github!G$141</f>
        <v>473</v>
      </c>
      <c r="E142" s="17">
        <f>Github!F$141+Github!G$141</f>
        <v>4941</v>
      </c>
      <c r="F142" s="18">
        <f t="shared" si="1"/>
        <v>9.45</v>
      </c>
      <c r="G142" s="17" t="str">
        <f>Github!H$141</f>
        <v>Algorithms</v>
      </c>
      <c r="H142" s="17" t="b">
        <f>Github!D$141</f>
        <v>0</v>
      </c>
      <c r="I142" s="17" t="str">
        <f>Github!E$141</f>
        <v>Hard</v>
      </c>
      <c r="J142" s="17" t="str">
        <f>ROUND(Github!N$141, 2)&amp;"%"</f>
        <v>0%</v>
      </c>
      <c r="K142" s="17">
        <f>Github!O$141</f>
        <v>41.46041175</v>
      </c>
      <c r="L142" s="17">
        <f>Github!P$141</f>
        <v>424643</v>
      </c>
    </row>
    <row r="143">
      <c r="A143" s="17">
        <f>Github!J$142</f>
        <v>141</v>
      </c>
      <c r="B143" s="34" t="str">
        <f>HYPERLINK(CONCAT("http://leetcode.com/problems/",Github!C$142), Github!B$142)</f>
        <v>Linked List Cycle</v>
      </c>
      <c r="C143" s="17">
        <f>Github!F$142</f>
        <v>7541</v>
      </c>
      <c r="D143" s="17">
        <f>Github!G$142</f>
        <v>757</v>
      </c>
      <c r="E143" s="17">
        <f>Github!F$142+Github!G$142</f>
        <v>8298</v>
      </c>
      <c r="F143" s="18">
        <f t="shared" si="1"/>
        <v>9.96</v>
      </c>
      <c r="G143" s="17" t="str">
        <f>Github!H$142</f>
        <v>Algorithms</v>
      </c>
      <c r="H143" s="17" t="b">
        <f>Github!D$142</f>
        <v>0</v>
      </c>
      <c r="I143" s="17" t="str">
        <f>Github!E$142</f>
        <v>Easy</v>
      </c>
      <c r="J143" s="17" t="str">
        <f>ROUND(Github!N$142, 2)&amp;"%"</f>
        <v>1%</v>
      </c>
      <c r="K143" s="17">
        <f>Github!O$142</f>
        <v>45.58939646</v>
      </c>
      <c r="L143" s="17">
        <f>Github!P$142</f>
        <v>1342958</v>
      </c>
    </row>
    <row r="144">
      <c r="A144" s="17">
        <f>Github!J$143</f>
        <v>142</v>
      </c>
      <c r="B144" s="34" t="str">
        <f>HYPERLINK(CONCAT("http://leetcode.com/problems/",Github!C$143), Github!B$143)</f>
        <v>Linked List Cycle II</v>
      </c>
      <c r="C144" s="17">
        <f>Github!F$143</f>
        <v>6814</v>
      </c>
      <c r="D144" s="17">
        <f>Github!G$143</f>
        <v>451</v>
      </c>
      <c r="E144" s="17">
        <f>Github!F$143+Github!G$143</f>
        <v>7265</v>
      </c>
      <c r="F144" s="18">
        <f t="shared" si="1"/>
        <v>15.11</v>
      </c>
      <c r="G144" s="17" t="str">
        <f>Github!H$143</f>
        <v>Algorithms</v>
      </c>
      <c r="H144" s="17" t="b">
        <f>Github!D$143</f>
        <v>0</v>
      </c>
      <c r="I144" s="17" t="str">
        <f>Github!E$143</f>
        <v>Medium</v>
      </c>
      <c r="J144" s="17" t="str">
        <f>ROUND(Github!N$143, 2)&amp;"%"</f>
        <v>0%</v>
      </c>
      <c r="K144" s="17">
        <f>Github!O$143</f>
        <v>43.8835916</v>
      </c>
      <c r="L144" s="17">
        <f>Github!P$143</f>
        <v>636032</v>
      </c>
    </row>
    <row r="145">
      <c r="A145" s="17">
        <f>Github!J$144</f>
        <v>143</v>
      </c>
      <c r="B145" s="34" t="str">
        <f>HYPERLINK(CONCAT("http://leetcode.com/problems/",Github!C$144), Github!B$144)</f>
        <v>Reorder List</v>
      </c>
      <c r="C145" s="17">
        <f>Github!F$144</f>
        <v>5458</v>
      </c>
      <c r="D145" s="17">
        <f>Github!G$144</f>
        <v>202</v>
      </c>
      <c r="E145" s="17">
        <f>Github!F$144+Github!G$144</f>
        <v>5660</v>
      </c>
      <c r="F145" s="18">
        <f t="shared" si="1"/>
        <v>27.02</v>
      </c>
      <c r="G145" s="17" t="str">
        <f>Github!H$144</f>
        <v>Algorithms</v>
      </c>
      <c r="H145" s="17" t="b">
        <f>Github!D$144</f>
        <v>0</v>
      </c>
      <c r="I145" s="17" t="str">
        <f>Github!E$144</f>
        <v>Medium</v>
      </c>
      <c r="J145" s="17" t="str">
        <f>ROUND(Github!N$144, 2)&amp;"%"</f>
        <v>0%</v>
      </c>
      <c r="K145" s="17">
        <f>Github!O$144</f>
        <v>47.08762736</v>
      </c>
      <c r="L145" s="17">
        <f>Github!P$144</f>
        <v>452150</v>
      </c>
    </row>
    <row r="146">
      <c r="A146" s="17">
        <f>Github!J$145</f>
        <v>144</v>
      </c>
      <c r="B146" s="34" t="str">
        <f>HYPERLINK(CONCAT("http://leetcode.com/problems/",Github!C$145), Github!B$145)</f>
        <v>Binary Tree Preorder Traversal</v>
      </c>
      <c r="C146" s="17">
        <f>Github!F$145</f>
        <v>3785</v>
      </c>
      <c r="D146" s="17">
        <f>Github!G$145</f>
        <v>117</v>
      </c>
      <c r="E146" s="17">
        <f>Github!F$145+Github!G$145</f>
        <v>3902</v>
      </c>
      <c r="F146" s="18">
        <f t="shared" si="1"/>
        <v>32.35</v>
      </c>
      <c r="G146" s="17" t="str">
        <f>Github!H$145</f>
        <v>Algorithms</v>
      </c>
      <c r="H146" s="17" t="b">
        <f>Github!D$145</f>
        <v>0</v>
      </c>
      <c r="I146" s="17" t="str">
        <f>Github!E$145</f>
        <v>Easy</v>
      </c>
      <c r="J146" s="17" t="str">
        <f>ROUND(Github!N$145, 2)&amp;"%"</f>
        <v>0%</v>
      </c>
      <c r="K146" s="17">
        <f>Github!O$145</f>
        <v>61.96984416</v>
      </c>
      <c r="L146" s="17">
        <f>Github!P$145</f>
        <v>884736</v>
      </c>
    </row>
    <row r="147">
      <c r="A147" s="17">
        <f>Github!J$146</f>
        <v>145</v>
      </c>
      <c r="B147" s="34" t="str">
        <f>HYPERLINK(CONCAT("http://leetcode.com/problems/",Github!C$146), Github!B$146)</f>
        <v>Binary Tree Postorder Traversal</v>
      </c>
      <c r="C147" s="17">
        <f>Github!F$146</f>
        <v>3892</v>
      </c>
      <c r="D147" s="17">
        <f>Github!G$146</f>
        <v>134</v>
      </c>
      <c r="E147" s="17">
        <f>Github!F$146+Github!G$146</f>
        <v>4026</v>
      </c>
      <c r="F147" s="18">
        <f t="shared" si="1"/>
        <v>29.04</v>
      </c>
      <c r="G147" s="17" t="str">
        <f>Github!H$146</f>
        <v>Algorithms</v>
      </c>
      <c r="H147" s="17" t="b">
        <f>Github!D$146</f>
        <v>0</v>
      </c>
      <c r="I147" s="17" t="str">
        <f>Github!E$146</f>
        <v>Easy</v>
      </c>
      <c r="J147" s="17" t="str">
        <f>ROUND(Github!N$146, 2)&amp;"%"</f>
        <v>0%</v>
      </c>
      <c r="K147" s="17">
        <f>Github!O$146</f>
        <v>63.36715252</v>
      </c>
      <c r="L147" s="17">
        <f>Github!P$146</f>
        <v>675144</v>
      </c>
    </row>
    <row r="148">
      <c r="A148" s="17">
        <f>Github!J$147</f>
        <v>146</v>
      </c>
      <c r="B148" s="34" t="str">
        <f>HYPERLINK(CONCAT("http://leetcode.com/problems/",Github!C$147), Github!B$147)</f>
        <v>LRU Cache</v>
      </c>
      <c r="C148" s="17">
        <f>Github!F$147</f>
        <v>12371</v>
      </c>
      <c r="D148" s="17">
        <f>Github!G$147</f>
        <v>484</v>
      </c>
      <c r="E148" s="17">
        <f>Github!F$147+Github!G$147</f>
        <v>12855</v>
      </c>
      <c r="F148" s="18">
        <f t="shared" si="1"/>
        <v>25.56</v>
      </c>
      <c r="G148" s="17" t="str">
        <f>Github!H$147</f>
        <v>Algorithms</v>
      </c>
      <c r="H148" s="17" t="b">
        <f>Github!D$147</f>
        <v>0</v>
      </c>
      <c r="I148" s="17" t="str">
        <f>Github!E$147</f>
        <v>Medium</v>
      </c>
      <c r="J148" s="17" t="str">
        <f>ROUND(Github!N$147, 2)&amp;"%"</f>
        <v>0%</v>
      </c>
      <c r="K148" s="17">
        <f>Github!O$147</f>
        <v>39.4693941</v>
      </c>
      <c r="L148" s="17">
        <f>Github!P$147</f>
        <v>1010544</v>
      </c>
    </row>
    <row r="149">
      <c r="A149" s="17">
        <f>Github!J$148</f>
        <v>147</v>
      </c>
      <c r="B149" s="34" t="str">
        <f>HYPERLINK(CONCAT("http://leetcode.com/problems/",Github!C$148), Github!B$148)</f>
        <v>Insertion Sort List</v>
      </c>
      <c r="C149" s="17">
        <f>Github!F$148</f>
        <v>1914</v>
      </c>
      <c r="D149" s="17">
        <f>Github!G$148</f>
        <v>783</v>
      </c>
      <c r="E149" s="17">
        <f>Github!F$148+Github!G$148</f>
        <v>2697</v>
      </c>
      <c r="F149" s="18">
        <f t="shared" si="1"/>
        <v>2.44</v>
      </c>
      <c r="G149" s="17" t="str">
        <f>Github!H$148</f>
        <v>Algorithms</v>
      </c>
      <c r="H149" s="17" t="b">
        <f>Github!D$148</f>
        <v>0</v>
      </c>
      <c r="I149" s="17" t="str">
        <f>Github!E$148</f>
        <v>Medium</v>
      </c>
      <c r="J149" s="17" t="str">
        <f>ROUND(Github!N$148, 2)&amp;"%"</f>
        <v>1%</v>
      </c>
      <c r="K149" s="17">
        <f>Github!O$148</f>
        <v>48.54524201</v>
      </c>
      <c r="L149" s="17">
        <f>Github!P$148</f>
        <v>278655</v>
      </c>
    </row>
    <row r="150">
      <c r="A150" s="17">
        <f>Github!J$149</f>
        <v>148</v>
      </c>
      <c r="B150" s="34" t="str">
        <f>HYPERLINK(CONCAT("http://leetcode.com/problems/",Github!C$149), Github!B$149)</f>
        <v>Sort List</v>
      </c>
      <c r="C150" s="17">
        <f>Github!F$149</f>
        <v>6813</v>
      </c>
      <c r="D150" s="17">
        <f>Github!G$149</f>
        <v>225</v>
      </c>
      <c r="E150" s="17">
        <f>Github!F$149+Github!G$149</f>
        <v>7038</v>
      </c>
      <c r="F150" s="18">
        <f t="shared" si="1"/>
        <v>30.28</v>
      </c>
      <c r="G150" s="17" t="str">
        <f>Github!H$149</f>
        <v>Algorithms</v>
      </c>
      <c r="H150" s="17" t="b">
        <f>Github!D$149</f>
        <v>0</v>
      </c>
      <c r="I150" s="17" t="str">
        <f>Github!E$149</f>
        <v>Medium</v>
      </c>
      <c r="J150" s="17" t="str">
        <f>ROUND(Github!N$149, 2)&amp;"%"</f>
        <v>0%</v>
      </c>
      <c r="K150" s="17">
        <f>Github!O$149</f>
        <v>51.6292506</v>
      </c>
      <c r="L150" s="17">
        <f>Github!P$149</f>
        <v>472707</v>
      </c>
    </row>
    <row r="151">
      <c r="A151" s="17">
        <f>Github!J$150</f>
        <v>149</v>
      </c>
      <c r="B151" s="34" t="str">
        <f>HYPERLINK(CONCAT("http://leetcode.com/problems/",Github!C$150), Github!B$150)</f>
        <v>Max Points on a Line</v>
      </c>
      <c r="C151" s="17">
        <f>Github!F$150</f>
        <v>899</v>
      </c>
      <c r="D151" s="17">
        <f>Github!G$150</f>
        <v>163</v>
      </c>
      <c r="E151" s="17">
        <f>Github!F$150+Github!G$150</f>
        <v>1062</v>
      </c>
      <c r="F151" s="18">
        <f t="shared" si="1"/>
        <v>5.52</v>
      </c>
      <c r="G151" s="17" t="str">
        <f>Github!H$150</f>
        <v>Algorithms</v>
      </c>
      <c r="H151" s="17" t="b">
        <f>Github!D$150</f>
        <v>0</v>
      </c>
      <c r="I151" s="17" t="str">
        <f>Github!E$150</f>
        <v>Hard</v>
      </c>
      <c r="J151" s="17" t="str">
        <f>ROUND(Github!N$150, 2)&amp;"%"</f>
        <v>0%</v>
      </c>
      <c r="K151" s="17">
        <f>Github!O$150</f>
        <v>20.11455385</v>
      </c>
      <c r="L151" s="17">
        <f>Github!P$150</f>
        <v>221857</v>
      </c>
    </row>
    <row r="152">
      <c r="A152" s="17">
        <f>Github!J$151</f>
        <v>150</v>
      </c>
      <c r="B152" s="34" t="str">
        <f>HYPERLINK(CONCAT("http://leetcode.com/problems/",Github!C$151), Github!B$151)</f>
        <v>Evaluate Reverse Polish Notation</v>
      </c>
      <c r="C152" s="17">
        <f>Github!F$151</f>
        <v>2696</v>
      </c>
      <c r="D152" s="17">
        <f>Github!G$151</f>
        <v>603</v>
      </c>
      <c r="E152" s="17">
        <f>Github!F$151+Github!G$151</f>
        <v>3299</v>
      </c>
      <c r="F152" s="18">
        <f t="shared" si="1"/>
        <v>4.47</v>
      </c>
      <c r="G152" s="17" t="str">
        <f>Github!H$151</f>
        <v>Algorithms</v>
      </c>
      <c r="H152" s="17" t="b">
        <f>Github!D$151</f>
        <v>0</v>
      </c>
      <c r="I152" s="17" t="str">
        <f>Github!E$151</f>
        <v>Medium</v>
      </c>
      <c r="J152" s="17" t="str">
        <f>ROUND(Github!N$151, 2)&amp;"%"</f>
        <v>0%</v>
      </c>
      <c r="K152" s="17">
        <f>Github!O$151</f>
        <v>41.86113353</v>
      </c>
      <c r="L152" s="17">
        <f>Github!P$151</f>
        <v>378673</v>
      </c>
    </row>
    <row r="153">
      <c r="A153" s="17">
        <f>Github!J$152</f>
        <v>151</v>
      </c>
      <c r="B153" s="34" t="str">
        <f>HYPERLINK(CONCAT("http://leetcode.com/problems/",Github!C$152), Github!B$152)</f>
        <v>Reverse Words in a String</v>
      </c>
      <c r="C153" s="17">
        <f>Github!F$152</f>
        <v>2878</v>
      </c>
      <c r="D153" s="17">
        <f>Github!G$152</f>
        <v>3795</v>
      </c>
      <c r="E153" s="17">
        <f>Github!F$152+Github!G$152</f>
        <v>6673</v>
      </c>
      <c r="F153" s="18">
        <f t="shared" si="1"/>
        <v>0.76</v>
      </c>
      <c r="G153" s="17" t="str">
        <f>Github!H$152</f>
        <v>Algorithms</v>
      </c>
      <c r="H153" s="17" t="b">
        <f>Github!D$152</f>
        <v>0</v>
      </c>
      <c r="I153" s="17" t="str">
        <f>Github!E$152</f>
        <v>Medium</v>
      </c>
      <c r="J153" s="17" t="str">
        <f>ROUND(Github!N$152, 2)&amp;"%"</f>
        <v>0%</v>
      </c>
      <c r="K153" s="17">
        <f>Github!O$152</f>
        <v>28.02266542</v>
      </c>
      <c r="L153" s="17">
        <f>Github!P$152</f>
        <v>674203</v>
      </c>
    </row>
    <row r="154">
      <c r="A154" s="17">
        <f>Github!J$153</f>
        <v>152</v>
      </c>
      <c r="B154" s="34" t="str">
        <f>HYPERLINK(CONCAT("http://leetcode.com/problems/",Github!C$153), Github!B$153)</f>
        <v>Maximum Product Subarray</v>
      </c>
      <c r="C154" s="17">
        <f>Github!F$153</f>
        <v>10708</v>
      </c>
      <c r="D154" s="17">
        <f>Github!G$153</f>
        <v>333</v>
      </c>
      <c r="E154" s="17">
        <f>Github!F$153+Github!G$153</f>
        <v>11041</v>
      </c>
      <c r="F154" s="18">
        <f t="shared" si="1"/>
        <v>32.16</v>
      </c>
      <c r="G154" s="17" t="str">
        <f>Github!H$153</f>
        <v>Algorithms</v>
      </c>
      <c r="H154" s="17" t="b">
        <f>Github!D$153</f>
        <v>0</v>
      </c>
      <c r="I154" s="17" t="str">
        <f>Github!E$153</f>
        <v>Medium</v>
      </c>
      <c r="J154" s="17" t="str">
        <f>ROUND(Github!N$153, 2)&amp;"%"</f>
        <v>0%</v>
      </c>
      <c r="K154" s="17">
        <f>Github!O$153</f>
        <v>34.44638184</v>
      </c>
      <c r="L154" s="17">
        <f>Github!P$153</f>
        <v>693991</v>
      </c>
    </row>
    <row r="155">
      <c r="A155" s="17">
        <f>Github!J$154</f>
        <v>153</v>
      </c>
      <c r="B155" s="34" t="str">
        <f>HYPERLINK(CONCAT("http://leetcode.com/problems/",Github!C$154), Github!B$154)</f>
        <v>Find Minimum in Rotated Sorted Array</v>
      </c>
      <c r="C155" s="17">
        <f>Github!F$154</f>
        <v>6189</v>
      </c>
      <c r="D155" s="17">
        <f>Github!G$154</f>
        <v>375</v>
      </c>
      <c r="E155" s="17">
        <f>Github!F$154+Github!G$154</f>
        <v>6564</v>
      </c>
      <c r="F155" s="18">
        <f t="shared" si="1"/>
        <v>16.5</v>
      </c>
      <c r="G155" s="17" t="str">
        <f>Github!H$154</f>
        <v>Algorithms</v>
      </c>
      <c r="H155" s="17" t="b">
        <f>Github!D$154</f>
        <v>0</v>
      </c>
      <c r="I155" s="17" t="str">
        <f>Github!E$154</f>
        <v>Medium</v>
      </c>
      <c r="J155" s="17" t="str">
        <f>ROUND(Github!N$154, 2)&amp;"%"</f>
        <v>0%</v>
      </c>
      <c r="K155" s="17">
        <f>Github!O$154</f>
        <v>47.76416682</v>
      </c>
      <c r="L155" s="17">
        <f>Github!P$154</f>
        <v>858741</v>
      </c>
    </row>
    <row r="156">
      <c r="A156" s="17">
        <f>Github!J$155</f>
        <v>154</v>
      </c>
      <c r="B156" s="34" t="str">
        <f>HYPERLINK(CONCAT("http://leetcode.com/problems/",Github!C$155), Github!B$155)</f>
        <v>Find Minimum in Rotated Sorted Array II</v>
      </c>
      <c r="C156" s="17">
        <f>Github!F$155</f>
        <v>2713</v>
      </c>
      <c r="D156" s="17">
        <f>Github!G$155</f>
        <v>365</v>
      </c>
      <c r="E156" s="17">
        <f>Github!F$155+Github!G$155</f>
        <v>3078</v>
      </c>
      <c r="F156" s="18">
        <f t="shared" si="1"/>
        <v>7.43</v>
      </c>
      <c r="G156" s="17" t="str">
        <f>Github!H$155</f>
        <v>Algorithms</v>
      </c>
      <c r="H156" s="17" t="b">
        <f>Github!D$155</f>
        <v>0</v>
      </c>
      <c r="I156" s="17" t="str">
        <f>Github!E$155</f>
        <v>Hard</v>
      </c>
      <c r="J156" s="17" t="str">
        <f>ROUND(Github!N$155, 2)&amp;"%"</f>
        <v>0%</v>
      </c>
      <c r="K156" s="17">
        <f>Github!O$155</f>
        <v>43.23767175</v>
      </c>
      <c r="L156" s="17">
        <f>Github!P$155</f>
        <v>315230</v>
      </c>
    </row>
    <row r="157">
      <c r="A157" s="17">
        <f>Github!J$156</f>
        <v>155</v>
      </c>
      <c r="B157" s="34" t="str">
        <f>HYPERLINK(CONCAT("http://leetcode.com/problems/",Github!C$156), Github!B$156)</f>
        <v>Min Stack</v>
      </c>
      <c r="C157" s="17">
        <f>Github!F$156</f>
        <v>7527</v>
      </c>
      <c r="D157" s="17">
        <f>Github!G$156</f>
        <v>593</v>
      </c>
      <c r="E157" s="17">
        <f>Github!F$156+Github!G$156</f>
        <v>8120</v>
      </c>
      <c r="F157" s="18">
        <f t="shared" si="1"/>
        <v>12.69</v>
      </c>
      <c r="G157" s="17" t="str">
        <f>Github!H$156</f>
        <v>Algorithms</v>
      </c>
      <c r="H157" s="17" t="b">
        <f>Github!D$156</f>
        <v>0</v>
      </c>
      <c r="I157" s="17" t="str">
        <f>Github!E$156</f>
        <v>Easy</v>
      </c>
      <c r="J157" s="17" t="str">
        <f>ROUND(Github!N$156, 2)&amp;"%"</f>
        <v>0%</v>
      </c>
      <c r="K157" s="17">
        <f>Github!O$156</f>
        <v>49.76476503</v>
      </c>
      <c r="L157" s="17">
        <f>Github!P$156</f>
        <v>927548</v>
      </c>
    </row>
    <row r="158">
      <c r="A158" s="17">
        <f>Github!J$157</f>
        <v>156</v>
      </c>
      <c r="B158" s="34" t="str">
        <f>HYPERLINK(CONCAT("http://leetcode.com/problems/",Github!C$157), Github!B$157)</f>
        <v>Binary Tree Upside Down</v>
      </c>
      <c r="C158" s="17">
        <f>Github!F$157</f>
        <v>104</v>
      </c>
      <c r="D158" s="17">
        <f>Github!G$157</f>
        <v>188</v>
      </c>
      <c r="E158" s="17">
        <f>Github!F$157+Github!G$157</f>
        <v>292</v>
      </c>
      <c r="F158" s="18">
        <f t="shared" si="1"/>
        <v>0.55</v>
      </c>
      <c r="G158" s="17" t="str">
        <f>Github!H$157</f>
        <v>Algorithms</v>
      </c>
      <c r="H158" s="17" t="b">
        <f>Github!D$157</f>
        <v>1</v>
      </c>
      <c r="I158" s="17" t="str">
        <f>Github!E$157</f>
        <v>Medium</v>
      </c>
      <c r="J158" s="17" t="str">
        <f>ROUND(Github!N$157, 2)&amp;"%"</f>
        <v>0%</v>
      </c>
      <c r="K158" s="17">
        <f>Github!O$157</f>
        <v>59.81298382</v>
      </c>
      <c r="L158" s="17">
        <f>Github!P$157</f>
        <v>83602</v>
      </c>
    </row>
    <row r="159">
      <c r="A159" s="17">
        <f>Github!J$158</f>
        <v>157</v>
      </c>
      <c r="B159" s="34" t="str">
        <f>HYPERLINK(CONCAT("http://leetcode.com/problems/",Github!C$158), Github!B$158)</f>
        <v>Read N Characters Given Read4</v>
      </c>
      <c r="C159" s="17">
        <f>Github!F$158</f>
        <v>486</v>
      </c>
      <c r="D159" s="17">
        <f>Github!G$158</f>
        <v>2918</v>
      </c>
      <c r="E159" s="17">
        <f>Github!F$158+Github!G$158</f>
        <v>3404</v>
      </c>
      <c r="F159" s="18">
        <f t="shared" si="1"/>
        <v>0.17</v>
      </c>
      <c r="G159" s="17" t="str">
        <f>Github!H$158</f>
        <v>Algorithms</v>
      </c>
      <c r="H159" s="17" t="b">
        <f>Github!D$158</f>
        <v>1</v>
      </c>
      <c r="I159" s="17" t="str">
        <f>Github!E$158</f>
        <v>Easy</v>
      </c>
      <c r="J159" s="17" t="str">
        <f>ROUND(Github!N$158, 2)&amp;"%"</f>
        <v>0%</v>
      </c>
      <c r="K159" s="17">
        <f>Github!O$158</f>
        <v>40.13002551</v>
      </c>
      <c r="L159" s="17">
        <f>Github!P$158</f>
        <v>165364</v>
      </c>
    </row>
    <row r="160">
      <c r="A160" s="17">
        <f>Github!J$159</f>
        <v>158</v>
      </c>
      <c r="B160" s="34" t="str">
        <f>HYPERLINK(CONCAT("http://leetcode.com/problems/",Github!C$159), Github!B$159)</f>
        <v>Read N Characters Given read4 II - Call Multiple Times</v>
      </c>
      <c r="C160" s="17">
        <f>Github!F$159</f>
        <v>791</v>
      </c>
      <c r="D160" s="17">
        <f>Github!G$159</f>
        <v>1615</v>
      </c>
      <c r="E160" s="17">
        <f>Github!F$159+Github!G$159</f>
        <v>2406</v>
      </c>
      <c r="F160" s="18">
        <f t="shared" si="1"/>
        <v>0.49</v>
      </c>
      <c r="G160" s="17" t="str">
        <f>Github!H$159</f>
        <v>Algorithms</v>
      </c>
      <c r="H160" s="17" t="b">
        <f>Github!D$159</f>
        <v>1</v>
      </c>
      <c r="I160" s="17" t="str">
        <f>Github!E$159</f>
        <v>Hard</v>
      </c>
      <c r="J160" s="17" t="str">
        <f>ROUND(Github!N$159, 2)&amp;"%"</f>
        <v>0%</v>
      </c>
      <c r="K160" s="17">
        <f>Github!O$159</f>
        <v>40.57148442</v>
      </c>
      <c r="L160" s="17">
        <f>Github!P$159</f>
        <v>161907</v>
      </c>
    </row>
    <row r="161">
      <c r="A161" s="17">
        <f>Github!J$160</f>
        <v>159</v>
      </c>
      <c r="B161" s="34" t="str">
        <f>HYPERLINK(CONCAT("http://leetcode.com/problems/",Github!C$160), Github!B$160)</f>
        <v>Longest Substring with At Most Two Distinct Characters</v>
      </c>
      <c r="C161" s="17">
        <f>Github!F$160</f>
        <v>1646</v>
      </c>
      <c r="D161" s="17">
        <f>Github!G$160</f>
        <v>25</v>
      </c>
      <c r="E161" s="17">
        <f>Github!F$160+Github!G$160</f>
        <v>1671</v>
      </c>
      <c r="F161" s="18">
        <f t="shared" si="1"/>
        <v>65.84</v>
      </c>
      <c r="G161" s="17" t="str">
        <f>Github!H$160</f>
        <v>Algorithms</v>
      </c>
      <c r="H161" s="17" t="b">
        <f>Github!D$160</f>
        <v>1</v>
      </c>
      <c r="I161" s="17" t="str">
        <f>Github!E$160</f>
        <v>Medium</v>
      </c>
      <c r="J161" s="17" t="str">
        <f>ROUND(Github!N$160, 2)&amp;"%"</f>
        <v>1%</v>
      </c>
      <c r="K161" s="17">
        <f>Github!O$160</f>
        <v>52.45821868</v>
      </c>
      <c r="L161" s="17">
        <f>Github!P$160</f>
        <v>184345</v>
      </c>
    </row>
    <row r="162">
      <c r="A162" s="17">
        <f>Github!J$161</f>
        <v>160</v>
      </c>
      <c r="B162" s="34" t="str">
        <f>HYPERLINK(CONCAT("http://leetcode.com/problems/",Github!C$161), Github!B$161)</f>
        <v>Intersection of Two Linked Lists</v>
      </c>
      <c r="C162" s="17">
        <f>Github!F$161</f>
        <v>8235</v>
      </c>
      <c r="D162" s="17">
        <f>Github!G$161</f>
        <v>830</v>
      </c>
      <c r="E162" s="17">
        <f>Github!F$161+Github!G$161</f>
        <v>9065</v>
      </c>
      <c r="F162" s="18">
        <f t="shared" si="1"/>
        <v>9.92</v>
      </c>
      <c r="G162" s="17" t="str">
        <f>Github!H$161</f>
        <v>Algorithms</v>
      </c>
      <c r="H162" s="17" t="b">
        <f>Github!D$161</f>
        <v>0</v>
      </c>
      <c r="I162" s="17" t="str">
        <f>Github!E$161</f>
        <v>Easy</v>
      </c>
      <c r="J162" s="17" t="str">
        <f>ROUND(Github!N$161, 2)&amp;"%"</f>
        <v>1%</v>
      </c>
      <c r="K162" s="17">
        <f>Github!O$161</f>
        <v>49.27755588</v>
      </c>
      <c r="L162" s="17">
        <f>Github!P$161</f>
        <v>885557</v>
      </c>
    </row>
    <row r="163">
      <c r="A163" s="17">
        <f>Github!J$162</f>
        <v>161</v>
      </c>
      <c r="B163" s="34" t="str">
        <f>HYPERLINK(CONCAT("http://leetcode.com/problems/",Github!C$162), Github!B$162)</f>
        <v>One Edit Distance</v>
      </c>
      <c r="C163" s="17">
        <f>Github!F$162</f>
        <v>1081</v>
      </c>
      <c r="D163" s="17">
        <f>Github!G$162</f>
        <v>160</v>
      </c>
      <c r="E163" s="17">
        <f>Github!F$162+Github!G$162</f>
        <v>1241</v>
      </c>
      <c r="F163" s="18">
        <f t="shared" si="1"/>
        <v>6.76</v>
      </c>
      <c r="G163" s="17" t="str">
        <f>Github!H$162</f>
        <v>Algorithms</v>
      </c>
      <c r="H163" s="17" t="b">
        <f>Github!D$162</f>
        <v>1</v>
      </c>
      <c r="I163" s="17" t="str">
        <f>Github!E$162</f>
        <v>Medium</v>
      </c>
      <c r="J163" s="17" t="str">
        <f>ROUND(Github!N$162, 2)&amp;"%"</f>
        <v>0%</v>
      </c>
      <c r="K163" s="17">
        <f>Github!O$162</f>
        <v>33.88678514</v>
      </c>
      <c r="L163" s="17">
        <f>Github!P$162</f>
        <v>167968</v>
      </c>
    </row>
    <row r="164">
      <c r="A164" s="17">
        <f>Github!J$163</f>
        <v>162</v>
      </c>
      <c r="B164" s="34" t="str">
        <f>HYPERLINK(CONCAT("http://leetcode.com/problems/",Github!C$163), Github!B$163)</f>
        <v>Find Peak Element</v>
      </c>
      <c r="C164" s="17">
        <f>Github!F$163</f>
        <v>5533</v>
      </c>
      <c r="D164" s="17">
        <f>Github!G$163</f>
        <v>3570</v>
      </c>
      <c r="E164" s="17">
        <f>Github!F$163+Github!G$163</f>
        <v>9103</v>
      </c>
      <c r="F164" s="18">
        <f t="shared" si="1"/>
        <v>1.55</v>
      </c>
      <c r="G164" s="17" t="str">
        <f>Github!H$163</f>
        <v>Algorithms</v>
      </c>
      <c r="H164" s="17" t="b">
        <f>Github!D$163</f>
        <v>0</v>
      </c>
      <c r="I164" s="17" t="str">
        <f>Github!E$163</f>
        <v>Medium</v>
      </c>
      <c r="J164" s="17" t="str">
        <f>ROUND(Github!N$163, 2)&amp;"%"</f>
        <v>0%</v>
      </c>
      <c r="K164" s="17">
        <f>Github!O$163</f>
        <v>45.73333707</v>
      </c>
      <c r="L164" s="17">
        <f>Github!P$163</f>
        <v>733863</v>
      </c>
    </row>
    <row r="165">
      <c r="A165" s="17">
        <f>Github!J$164</f>
        <v>163</v>
      </c>
      <c r="B165" s="34" t="str">
        <f>HYPERLINK(CONCAT("http://leetcode.com/problems/",Github!C$164), Github!B$164)</f>
        <v>Missing Ranges</v>
      </c>
      <c r="C165" s="17">
        <f>Github!F$164</f>
        <v>741</v>
      </c>
      <c r="D165" s="17">
        <f>Github!G$164</f>
        <v>2457</v>
      </c>
      <c r="E165" s="17">
        <f>Github!F$164+Github!G$164</f>
        <v>3198</v>
      </c>
      <c r="F165" s="18">
        <f t="shared" si="1"/>
        <v>0.3</v>
      </c>
      <c r="G165" s="17" t="str">
        <f>Github!H$164</f>
        <v>Algorithms</v>
      </c>
      <c r="H165" s="17" t="b">
        <f>Github!D$164</f>
        <v>1</v>
      </c>
      <c r="I165" s="17" t="str">
        <f>Github!E$164</f>
        <v>Easy</v>
      </c>
      <c r="J165" s="17" t="str">
        <f>ROUND(Github!N$164, 2)&amp;"%"</f>
        <v>1%</v>
      </c>
      <c r="K165" s="17">
        <f>Github!O$164</f>
        <v>30.99094452</v>
      </c>
      <c r="L165" s="17">
        <f>Github!P$164</f>
        <v>162217</v>
      </c>
    </row>
    <row r="166">
      <c r="A166" s="17">
        <f>Github!J$165</f>
        <v>164</v>
      </c>
      <c r="B166" s="34" t="str">
        <f>HYPERLINK(CONCAT("http://leetcode.com/problems/",Github!C$165), Github!B$165)</f>
        <v>Maximum Gap</v>
      </c>
      <c r="C166" s="17">
        <f>Github!F$165</f>
        <v>1994</v>
      </c>
      <c r="D166" s="17">
        <f>Github!G$165</f>
        <v>277</v>
      </c>
      <c r="E166" s="17">
        <f>Github!F$165+Github!G$165</f>
        <v>2271</v>
      </c>
      <c r="F166" s="18">
        <f t="shared" si="1"/>
        <v>7.2</v>
      </c>
      <c r="G166" s="17" t="str">
        <f>Github!H$165</f>
        <v>Algorithms</v>
      </c>
      <c r="H166" s="17" t="b">
        <f>Github!D$165</f>
        <v>0</v>
      </c>
      <c r="I166" s="17" t="str">
        <f>Github!E$165</f>
        <v>Hard</v>
      </c>
      <c r="J166" s="17" t="str">
        <f>ROUND(Github!N$165, 2)&amp;"%"</f>
        <v>0%</v>
      </c>
      <c r="K166" s="17">
        <f>Github!O$165</f>
        <v>41.14218584</v>
      </c>
      <c r="L166" s="17">
        <f>Github!P$165</f>
        <v>135531</v>
      </c>
    </row>
    <row r="167">
      <c r="A167" s="17">
        <f>Github!J$166</f>
        <v>165</v>
      </c>
      <c r="B167" s="34" t="str">
        <f>HYPERLINK(CONCAT("http://leetcode.com/problems/",Github!C$166), Github!B$166)</f>
        <v>Compare Version Numbers</v>
      </c>
      <c r="C167" s="17">
        <f>Github!F$166</f>
        <v>1531</v>
      </c>
      <c r="D167" s="17">
        <f>Github!G$166</f>
        <v>2212</v>
      </c>
      <c r="E167" s="17">
        <f>Github!F$166+Github!G$166</f>
        <v>3743</v>
      </c>
      <c r="F167" s="18">
        <f t="shared" si="1"/>
        <v>0.69</v>
      </c>
      <c r="G167" s="17" t="str">
        <f>Github!H$166</f>
        <v>Algorithms</v>
      </c>
      <c r="H167" s="17" t="b">
        <f>Github!D$166</f>
        <v>0</v>
      </c>
      <c r="I167" s="17" t="str">
        <f>Github!E$166</f>
        <v>Medium</v>
      </c>
      <c r="J167" s="17" t="str">
        <f>ROUND(Github!N$166, 2)&amp;"%"</f>
        <v>0%</v>
      </c>
      <c r="K167" s="17">
        <f>Github!O$166</f>
        <v>34.318588</v>
      </c>
      <c r="L167" s="17">
        <f>Github!P$166</f>
        <v>309158</v>
      </c>
    </row>
    <row r="168">
      <c r="A168" s="17">
        <f>Github!J$167</f>
        <v>166</v>
      </c>
      <c r="B168" s="34" t="str">
        <f>HYPERLINK(CONCAT("http://leetcode.com/problems/",Github!C$167), Github!B$167)</f>
        <v>Fraction to Recurring Decimal</v>
      </c>
      <c r="C168" s="17">
        <f>Github!F$167</f>
        <v>1511</v>
      </c>
      <c r="D168" s="17">
        <f>Github!G$167</f>
        <v>2857</v>
      </c>
      <c r="E168" s="17">
        <f>Github!F$167+Github!G$167</f>
        <v>4368</v>
      </c>
      <c r="F168" s="18">
        <f t="shared" si="1"/>
        <v>0.53</v>
      </c>
      <c r="G168" s="17" t="str">
        <f>Github!H$167</f>
        <v>Algorithms</v>
      </c>
      <c r="H168" s="17" t="b">
        <f>Github!D$167</f>
        <v>0</v>
      </c>
      <c r="I168" s="17" t="str">
        <f>Github!E$167</f>
        <v>Medium</v>
      </c>
      <c r="J168" s="17" t="str">
        <f>ROUND(Github!N$167, 2)&amp;"%"</f>
        <v>0%</v>
      </c>
      <c r="K168" s="17">
        <f>Github!O$167</f>
        <v>23.45156321</v>
      </c>
      <c r="L168" s="17">
        <f>Github!P$167</f>
        <v>178249</v>
      </c>
    </row>
    <row r="169">
      <c r="A169" s="17">
        <f>Github!J$168</f>
        <v>167</v>
      </c>
      <c r="B169" s="34" t="str">
        <f>HYPERLINK(CONCAT("http://leetcode.com/problems/",Github!C$168), Github!B$168)</f>
        <v>Two Sum II - Input Array Is Sorted</v>
      </c>
      <c r="C169" s="17">
        <f>Github!F$168</f>
        <v>4854</v>
      </c>
      <c r="D169" s="17">
        <f>Github!G$168</f>
        <v>897</v>
      </c>
      <c r="E169" s="17">
        <f>Github!F$168+Github!G$168</f>
        <v>5751</v>
      </c>
      <c r="F169" s="18">
        <f t="shared" si="1"/>
        <v>5.41</v>
      </c>
      <c r="G169" s="17" t="str">
        <f>Github!H$168</f>
        <v>Algorithms</v>
      </c>
      <c r="H169" s="17" t="b">
        <f>Github!D$168</f>
        <v>0</v>
      </c>
      <c r="I169" s="17" t="str">
        <f>Github!E$168</f>
        <v>Medium</v>
      </c>
      <c r="J169" s="17" t="str">
        <f>ROUND(Github!N$168, 2)&amp;"%"</f>
        <v>0%</v>
      </c>
      <c r="K169" s="17">
        <f>Github!O$168</f>
        <v>58.36448836</v>
      </c>
      <c r="L169" s="17">
        <f>Github!P$168</f>
        <v>883416</v>
      </c>
    </row>
    <row r="170">
      <c r="A170" s="17">
        <f>Github!J$169</f>
        <v>168</v>
      </c>
      <c r="B170" s="34" t="str">
        <f>HYPERLINK(CONCAT("http://leetcode.com/problems/",Github!C$169), Github!B$169)</f>
        <v>Excel Sheet Column Title</v>
      </c>
      <c r="C170" s="17">
        <f>Github!F$169</f>
        <v>2623</v>
      </c>
      <c r="D170" s="17">
        <f>Github!G$169</f>
        <v>395</v>
      </c>
      <c r="E170" s="17">
        <f>Github!F$169+Github!G$169</f>
        <v>3018</v>
      </c>
      <c r="F170" s="18">
        <f t="shared" si="1"/>
        <v>6.64</v>
      </c>
      <c r="G170" s="17" t="str">
        <f>Github!H$169</f>
        <v>Algorithms</v>
      </c>
      <c r="H170" s="17" t="b">
        <f>Github!D$169</f>
        <v>0</v>
      </c>
      <c r="I170" s="17" t="str">
        <f>Github!E$169</f>
        <v>Easy</v>
      </c>
      <c r="J170" s="17" t="str">
        <f>ROUND(Github!N$169, 2)&amp;"%"</f>
        <v>0%</v>
      </c>
      <c r="K170" s="17">
        <f>Github!O$169</f>
        <v>33.7031071</v>
      </c>
      <c r="L170" s="17">
        <f>Github!P$169</f>
        <v>304424</v>
      </c>
    </row>
    <row r="171">
      <c r="A171" s="17">
        <f>Github!J$170</f>
        <v>169</v>
      </c>
      <c r="B171" s="34" t="str">
        <f>HYPERLINK(CONCAT("http://leetcode.com/problems/",Github!C$170), Github!B$170)</f>
        <v>Majority Element</v>
      </c>
      <c r="C171" s="17">
        <f>Github!F$170</f>
        <v>8978</v>
      </c>
      <c r="D171" s="17">
        <f>Github!G$170</f>
        <v>323</v>
      </c>
      <c r="E171" s="17">
        <f>Github!F$170+Github!G$170</f>
        <v>9301</v>
      </c>
      <c r="F171" s="18">
        <f t="shared" si="1"/>
        <v>27.8</v>
      </c>
      <c r="G171" s="17" t="str">
        <f>Github!H$170</f>
        <v>Algorithms</v>
      </c>
      <c r="H171" s="17" t="b">
        <f>Github!D$170</f>
        <v>0</v>
      </c>
      <c r="I171" s="17" t="str">
        <f>Github!E$170</f>
        <v>Easy</v>
      </c>
      <c r="J171" s="17" t="str">
        <f>ROUND(Github!N$170, 2)&amp;"%"</f>
        <v>0%</v>
      </c>
      <c r="K171" s="17">
        <f>Github!O$170</f>
        <v>62.67554489</v>
      </c>
      <c r="L171" s="17">
        <f>Github!P$170</f>
        <v>1163296</v>
      </c>
    </row>
    <row r="172">
      <c r="A172" s="17">
        <f>Github!J$171</f>
        <v>170</v>
      </c>
      <c r="B172" s="34" t="str">
        <f>HYPERLINK(CONCAT("http://leetcode.com/problems/",Github!C$171), Github!B$171)</f>
        <v>Two Sum III - Data structure design</v>
      </c>
      <c r="C172" s="17">
        <f>Github!F$171</f>
        <v>514</v>
      </c>
      <c r="D172" s="17">
        <f>Github!G$171</f>
        <v>361</v>
      </c>
      <c r="E172" s="17">
        <f>Github!F$171+Github!G$171</f>
        <v>875</v>
      </c>
      <c r="F172" s="18">
        <f t="shared" si="1"/>
        <v>1.42</v>
      </c>
      <c r="G172" s="17" t="str">
        <f>Github!H$171</f>
        <v>Algorithms</v>
      </c>
      <c r="H172" s="17" t="b">
        <f>Github!D$171</f>
        <v>1</v>
      </c>
      <c r="I172" s="17" t="str">
        <f>Github!E$171</f>
        <v>Easy</v>
      </c>
      <c r="J172" s="17" t="str">
        <f>ROUND(Github!N$171, 2)&amp;"%"</f>
        <v>0%</v>
      </c>
      <c r="K172" s="17">
        <f>Github!O$171</f>
        <v>36.55724904</v>
      </c>
      <c r="L172" s="17">
        <f>Github!P$171</f>
        <v>120786</v>
      </c>
    </row>
    <row r="173">
      <c r="A173" s="17">
        <f>Github!J$172</f>
        <v>171</v>
      </c>
      <c r="B173" s="34" t="str">
        <f>HYPERLINK(CONCAT("http://leetcode.com/problems/",Github!C$172), Github!B$172)</f>
        <v>Excel Sheet Column Number</v>
      </c>
      <c r="C173" s="17">
        <f>Github!F$172</f>
        <v>3141</v>
      </c>
      <c r="D173" s="17">
        <f>Github!G$172</f>
        <v>263</v>
      </c>
      <c r="E173" s="17">
        <f>Github!F$172+Github!G$172</f>
        <v>3404</v>
      </c>
      <c r="F173" s="18">
        <f t="shared" si="1"/>
        <v>11.94</v>
      </c>
      <c r="G173" s="17" t="str">
        <f>Github!H$172</f>
        <v>Algorithms</v>
      </c>
      <c r="H173" s="17" t="b">
        <f>Github!D$172</f>
        <v>0</v>
      </c>
      <c r="I173" s="17" t="str">
        <f>Github!E$172</f>
        <v>Easy</v>
      </c>
      <c r="J173" s="17" t="str">
        <f>ROUND(Github!N$172, 2)&amp;"%"</f>
        <v>0%</v>
      </c>
      <c r="K173" s="17">
        <f>Github!O$172</f>
        <v>60.45052001</v>
      </c>
      <c r="L173" s="17">
        <f>Github!P$172</f>
        <v>486964</v>
      </c>
    </row>
    <row r="174">
      <c r="A174" s="17">
        <f>Github!J$173</f>
        <v>172</v>
      </c>
      <c r="B174" s="34" t="str">
        <f>HYPERLINK(CONCAT("http://leetcode.com/problems/",Github!C$173), Github!B$173)</f>
        <v>Factorial Trailing Zeroes</v>
      </c>
      <c r="C174" s="17">
        <f>Github!F$173</f>
        <v>1896</v>
      </c>
      <c r="D174" s="17">
        <f>Github!G$173</f>
        <v>1639</v>
      </c>
      <c r="E174" s="17">
        <f>Github!F$173+Github!G$173</f>
        <v>3535</v>
      </c>
      <c r="F174" s="18">
        <f t="shared" si="1"/>
        <v>1.16</v>
      </c>
      <c r="G174" s="17" t="str">
        <f>Github!H$173</f>
        <v>Algorithms</v>
      </c>
      <c r="H174" s="17" t="b">
        <f>Github!D$173</f>
        <v>0</v>
      </c>
      <c r="I174" s="17" t="str">
        <f>Github!E$173</f>
        <v>Medium</v>
      </c>
      <c r="J174" s="17" t="str">
        <f>ROUND(Github!N$173, 2)&amp;"%"</f>
        <v>0%</v>
      </c>
      <c r="K174" s="17">
        <f>Github!O$173</f>
        <v>40.55732269</v>
      </c>
      <c r="L174" s="17">
        <f>Github!P$173</f>
        <v>308942</v>
      </c>
    </row>
    <row r="175">
      <c r="A175" s="17">
        <f>Github!J$174</f>
        <v>173</v>
      </c>
      <c r="B175" s="34" t="str">
        <f>HYPERLINK(CONCAT("http://leetcode.com/problems/",Github!C$174), Github!B$174)</f>
        <v>Binary Search Tree Iterator</v>
      </c>
      <c r="C175" s="17">
        <f>Github!F$174</f>
        <v>5013</v>
      </c>
      <c r="D175" s="17">
        <f>Github!G$174</f>
        <v>360</v>
      </c>
      <c r="E175" s="17">
        <f>Github!F$174+Github!G$174</f>
        <v>5373</v>
      </c>
      <c r="F175" s="18">
        <f t="shared" si="1"/>
        <v>13.93</v>
      </c>
      <c r="G175" s="17" t="str">
        <f>Github!H$174</f>
        <v>Algorithms</v>
      </c>
      <c r="H175" s="17" t="b">
        <f>Github!D$174</f>
        <v>0</v>
      </c>
      <c r="I175" s="17" t="str">
        <f>Github!E$174</f>
        <v>Medium</v>
      </c>
      <c r="J175" s="17" t="str">
        <f>ROUND(Github!N$174, 2)&amp;"%"</f>
        <v>0%</v>
      </c>
      <c r="K175" s="17">
        <f>Github!O$174</f>
        <v>65.17010259</v>
      </c>
      <c r="L175" s="17">
        <f>Github!P$174</f>
        <v>510563</v>
      </c>
    </row>
    <row r="176">
      <c r="A176" s="17">
        <f>Github!J$175</f>
        <v>174</v>
      </c>
      <c r="B176" s="34" t="str">
        <f>HYPERLINK(CONCAT("http://leetcode.com/problems/",Github!C$175), Github!B$175)</f>
        <v>Dungeon Game</v>
      </c>
      <c r="C176" s="17">
        <f>Github!F$175</f>
        <v>3857</v>
      </c>
      <c r="D176" s="17">
        <f>Github!G$175</f>
        <v>81</v>
      </c>
      <c r="E176" s="17">
        <f>Github!F$175+Github!G$175</f>
        <v>3938</v>
      </c>
      <c r="F176" s="18">
        <f t="shared" si="1"/>
        <v>47.62</v>
      </c>
      <c r="G176" s="17" t="str">
        <f>Github!H$175</f>
        <v>Algorithms</v>
      </c>
      <c r="H176" s="17" t="b">
        <f>Github!D$175</f>
        <v>0</v>
      </c>
      <c r="I176" s="17" t="str">
        <f>Github!E$175</f>
        <v>Hard</v>
      </c>
      <c r="J176" s="17" t="str">
        <f>ROUND(Github!N$175, 2)&amp;"%"</f>
        <v>0%</v>
      </c>
      <c r="K176" s="17">
        <f>Github!O$175</f>
        <v>36.27419183</v>
      </c>
      <c r="L176" s="17">
        <f>Github!P$175</f>
        <v>166639</v>
      </c>
    </row>
    <row r="177">
      <c r="A177" s="17">
        <f>Github!J$176</f>
        <v>175</v>
      </c>
      <c r="B177" s="34" t="str">
        <f>HYPERLINK(CONCAT("http://leetcode.com/problems/",Github!C$176), Github!B$176)</f>
        <v>Combine Two Tables</v>
      </c>
      <c r="C177" s="17">
        <f>Github!F$176</f>
        <v>1790</v>
      </c>
      <c r="D177" s="17">
        <f>Github!G$176</f>
        <v>183</v>
      </c>
      <c r="E177" s="17">
        <f>Github!F$176+Github!G$176</f>
        <v>1973</v>
      </c>
      <c r="F177" s="18">
        <f t="shared" si="1"/>
        <v>9.78</v>
      </c>
      <c r="G177" s="17" t="str">
        <f>Github!H$176</f>
        <v>Database</v>
      </c>
      <c r="H177" s="17" t="b">
        <f>Github!D$176</f>
        <v>0</v>
      </c>
      <c r="I177" s="17" t="str">
        <f>Github!E$176</f>
        <v>Easy</v>
      </c>
      <c r="J177" s="17" t="str">
        <f>ROUND(Github!N$176, 2)&amp;"%"</f>
        <v>0%</v>
      </c>
      <c r="K177" s="17">
        <f>Github!O$176</f>
        <v>69.45218968</v>
      </c>
      <c r="L177" s="17">
        <f>Github!P$176</f>
        <v>502896</v>
      </c>
    </row>
    <row r="178">
      <c r="A178" s="17">
        <f>Github!J$177</f>
        <v>176</v>
      </c>
      <c r="B178" s="34" t="str">
        <f>HYPERLINK(CONCAT("http://leetcode.com/problems/",Github!C$177), Github!B$177)</f>
        <v>Second Highest Salary</v>
      </c>
      <c r="C178" s="17">
        <f>Github!F$177</f>
        <v>1691</v>
      </c>
      <c r="D178" s="17">
        <f>Github!G$177</f>
        <v>687</v>
      </c>
      <c r="E178" s="17">
        <f>Github!F$177+Github!G$177</f>
        <v>2378</v>
      </c>
      <c r="F178" s="18">
        <f t="shared" si="1"/>
        <v>2.46</v>
      </c>
      <c r="G178" s="17" t="str">
        <f>Github!H$177</f>
        <v>Database</v>
      </c>
      <c r="H178" s="17" t="b">
        <f>Github!D$177</f>
        <v>0</v>
      </c>
      <c r="I178" s="17" t="str">
        <f>Github!E$177</f>
        <v>Medium</v>
      </c>
      <c r="J178" s="17" t="str">
        <f>ROUND(Github!N$177, 2)&amp;"%"</f>
        <v>0%</v>
      </c>
      <c r="K178" s="17">
        <f>Github!O$177</f>
        <v>35.07019502</v>
      </c>
      <c r="L178" s="17">
        <f>Github!P$177</f>
        <v>446801</v>
      </c>
    </row>
    <row r="179">
      <c r="A179" s="17">
        <f>Github!J$178</f>
        <v>177</v>
      </c>
      <c r="B179" s="34" t="str">
        <f>HYPERLINK(CONCAT("http://leetcode.com/problems/",Github!C$178), Github!B$178)</f>
        <v>Nth Highest Salary</v>
      </c>
      <c r="C179" s="17">
        <f>Github!F$178</f>
        <v>979</v>
      </c>
      <c r="D179" s="17">
        <f>Github!G$178</f>
        <v>630</v>
      </c>
      <c r="E179" s="17">
        <f>Github!F$178+Github!G$178</f>
        <v>1609</v>
      </c>
      <c r="F179" s="18">
        <f t="shared" si="1"/>
        <v>1.55</v>
      </c>
      <c r="G179" s="17" t="str">
        <f>Github!H$178</f>
        <v>Database</v>
      </c>
      <c r="H179" s="17" t="b">
        <f>Github!D$178</f>
        <v>0</v>
      </c>
      <c r="I179" s="17" t="str">
        <f>Github!E$178</f>
        <v>Medium</v>
      </c>
      <c r="J179" s="17" t="str">
        <f>ROUND(Github!N$178, 2)&amp;"%"</f>
        <v>0%</v>
      </c>
      <c r="K179" s="17">
        <f>Github!O$178</f>
        <v>35.8212658</v>
      </c>
      <c r="L179" s="17">
        <f>Github!P$178</f>
        <v>225249</v>
      </c>
    </row>
    <row r="180">
      <c r="A180" s="17">
        <f>Github!J$179</f>
        <v>178</v>
      </c>
      <c r="B180" s="34" t="str">
        <f>HYPERLINK(CONCAT("http://leetcode.com/problems/",Github!C$179), Github!B$179)</f>
        <v>Rank Scores</v>
      </c>
      <c r="C180" s="17">
        <f>Github!F$179</f>
        <v>1239</v>
      </c>
      <c r="D180" s="17">
        <f>Github!G$179</f>
        <v>200</v>
      </c>
      <c r="E180" s="17">
        <f>Github!F$179+Github!G$179</f>
        <v>1439</v>
      </c>
      <c r="F180" s="18">
        <f t="shared" si="1"/>
        <v>6.2</v>
      </c>
      <c r="G180" s="17" t="str">
        <f>Github!H$179</f>
        <v>Database</v>
      </c>
      <c r="H180" s="17" t="b">
        <f>Github!D$179</f>
        <v>0</v>
      </c>
      <c r="I180" s="17" t="str">
        <f>Github!E$179</f>
        <v>Medium</v>
      </c>
      <c r="J180" s="17" t="str">
        <f>ROUND(Github!N$179, 2)&amp;"%"</f>
        <v>0%</v>
      </c>
      <c r="K180" s="17">
        <f>Github!O$179</f>
        <v>56.72183868</v>
      </c>
      <c r="L180" s="17">
        <f>Github!P$179</f>
        <v>212710</v>
      </c>
    </row>
    <row r="181">
      <c r="A181" s="17">
        <f>Github!J$180</f>
        <v>179</v>
      </c>
      <c r="B181" s="34" t="str">
        <f>HYPERLINK(CONCAT("http://leetcode.com/problems/",Github!C$180), Github!B$180)</f>
        <v>Largest Number</v>
      </c>
      <c r="C181" s="17">
        <f>Github!F$180</f>
        <v>4588</v>
      </c>
      <c r="D181" s="17">
        <f>Github!G$180</f>
        <v>392</v>
      </c>
      <c r="E181" s="17">
        <f>Github!F$180+Github!G$180</f>
        <v>4980</v>
      </c>
      <c r="F181" s="18">
        <f t="shared" si="1"/>
        <v>11.7</v>
      </c>
      <c r="G181" s="17" t="str">
        <f>Github!H$180</f>
        <v>Algorithms</v>
      </c>
      <c r="H181" s="17" t="b">
        <f>Github!D$180</f>
        <v>0</v>
      </c>
      <c r="I181" s="17" t="str">
        <f>Github!E$180</f>
        <v>Medium</v>
      </c>
      <c r="J181" s="17" t="str">
        <f>ROUND(Github!N$180, 2)&amp;"%"</f>
        <v>0%</v>
      </c>
      <c r="K181" s="17">
        <f>Github!O$180</f>
        <v>32.65031274</v>
      </c>
      <c r="L181" s="17">
        <f>Github!P$180</f>
        <v>304734</v>
      </c>
    </row>
    <row r="182">
      <c r="A182" s="17">
        <f>Github!J$181</f>
        <v>180</v>
      </c>
      <c r="B182" s="34" t="str">
        <f>HYPERLINK(CONCAT("http://leetcode.com/problems/",Github!C$181), Github!B$181)</f>
        <v>Consecutive Numbers</v>
      </c>
      <c r="C182" s="17">
        <f>Github!F$181</f>
        <v>915</v>
      </c>
      <c r="D182" s="17">
        <f>Github!G$181</f>
        <v>179</v>
      </c>
      <c r="E182" s="17">
        <f>Github!F$181+Github!G$181</f>
        <v>1094</v>
      </c>
      <c r="F182" s="18">
        <f t="shared" si="1"/>
        <v>5.11</v>
      </c>
      <c r="G182" s="17" t="str">
        <f>Github!H$181</f>
        <v>Database</v>
      </c>
      <c r="H182" s="17" t="b">
        <f>Github!D$181</f>
        <v>0</v>
      </c>
      <c r="I182" s="17" t="str">
        <f>Github!E$181</f>
        <v>Medium</v>
      </c>
      <c r="J182" s="17" t="str">
        <f>ROUND(Github!N$181, 2)&amp;"%"</f>
        <v>0%</v>
      </c>
      <c r="K182" s="17">
        <f>Github!O$181</f>
        <v>45.33154149</v>
      </c>
      <c r="L182" s="17">
        <f>Github!P$181</f>
        <v>178103</v>
      </c>
    </row>
    <row r="183">
      <c r="A183" s="17">
        <f>Github!J$182</f>
        <v>181</v>
      </c>
      <c r="B183" s="34" t="str">
        <f>HYPERLINK(CONCAT("http://leetcode.com/problems/",Github!C$182), Github!B$182)</f>
        <v>Employees Earning More Than Their Managers</v>
      </c>
      <c r="C183" s="17">
        <f>Github!F$182</f>
        <v>1281</v>
      </c>
      <c r="D183" s="17">
        <f>Github!G$182</f>
        <v>150</v>
      </c>
      <c r="E183" s="17">
        <f>Github!F$182+Github!G$182</f>
        <v>1431</v>
      </c>
      <c r="F183" s="18">
        <f t="shared" si="1"/>
        <v>8.54</v>
      </c>
      <c r="G183" s="17" t="str">
        <f>Github!H$182</f>
        <v>Database</v>
      </c>
      <c r="H183" s="17" t="b">
        <f>Github!D$182</f>
        <v>0</v>
      </c>
      <c r="I183" s="17" t="str">
        <f>Github!E$182</f>
        <v>Easy</v>
      </c>
      <c r="J183" s="17" t="str">
        <f>ROUND(Github!N$182, 2)&amp;"%"</f>
        <v>0%</v>
      </c>
      <c r="K183" s="17">
        <f>Github!O$182</f>
        <v>65.77360114</v>
      </c>
      <c r="L183" s="17">
        <f>Github!P$182</f>
        <v>336303</v>
      </c>
    </row>
    <row r="184">
      <c r="A184" s="17">
        <f>Github!J$183</f>
        <v>182</v>
      </c>
      <c r="B184" s="34" t="str">
        <f>HYPERLINK(CONCAT("http://leetcode.com/problems/",Github!C$183), Github!B$183)</f>
        <v>Duplicate Emails</v>
      </c>
      <c r="C184" s="17">
        <f>Github!F$183</f>
        <v>990</v>
      </c>
      <c r="D184" s="17">
        <f>Github!G$183</f>
        <v>45</v>
      </c>
      <c r="E184" s="17">
        <f>Github!F$183+Github!G$183</f>
        <v>1035</v>
      </c>
      <c r="F184" s="18">
        <f t="shared" si="1"/>
        <v>22</v>
      </c>
      <c r="G184" s="17" t="str">
        <f>Github!H$183</f>
        <v>Database</v>
      </c>
      <c r="H184" s="17" t="b">
        <f>Github!D$183</f>
        <v>0</v>
      </c>
      <c r="I184" s="17" t="str">
        <f>Github!E$183</f>
        <v>Easy</v>
      </c>
      <c r="J184" s="17" t="str">
        <f>ROUND(Github!N$183, 2)&amp;"%"</f>
        <v>0%</v>
      </c>
      <c r="K184" s="17">
        <f>Github!O$183</f>
        <v>68.45270279</v>
      </c>
      <c r="L184" s="17">
        <f>Github!P$183</f>
        <v>331704</v>
      </c>
    </row>
    <row r="185">
      <c r="A185" s="17">
        <f>Github!J$184</f>
        <v>183</v>
      </c>
      <c r="B185" s="34" t="str">
        <f>HYPERLINK(CONCAT("http://leetcode.com/problems/",Github!C$184), Github!B$184)</f>
        <v>Customers Who Never Order</v>
      </c>
      <c r="C185" s="17">
        <f>Github!F$184</f>
        <v>826</v>
      </c>
      <c r="D185" s="17">
        <f>Github!G$184</f>
        <v>69</v>
      </c>
      <c r="E185" s="17">
        <f>Github!F$184+Github!G$184</f>
        <v>895</v>
      </c>
      <c r="F185" s="18">
        <f t="shared" si="1"/>
        <v>11.97</v>
      </c>
      <c r="G185" s="17" t="str">
        <f>Github!H$184</f>
        <v>Database</v>
      </c>
      <c r="H185" s="17" t="b">
        <f>Github!D$184</f>
        <v>0</v>
      </c>
      <c r="I185" s="17" t="str">
        <f>Github!E$184</f>
        <v>Easy</v>
      </c>
      <c r="J185" s="17" t="str">
        <f>ROUND(Github!N$184, 2)&amp;"%"</f>
        <v>0%</v>
      </c>
      <c r="K185" s="17">
        <f>Github!O$184</f>
        <v>62.12179385</v>
      </c>
      <c r="L185" s="17">
        <f>Github!P$184</f>
        <v>315506</v>
      </c>
    </row>
    <row r="186">
      <c r="A186" s="17">
        <f>Github!J$185</f>
        <v>184</v>
      </c>
      <c r="B186" s="34" t="str">
        <f>HYPERLINK(CONCAT("http://leetcode.com/problems/",Github!C$185), Github!B$185)</f>
        <v>Department Highest Salary</v>
      </c>
      <c r="C186" s="17">
        <f>Github!F$185</f>
        <v>1029</v>
      </c>
      <c r="D186" s="17">
        <f>Github!G$185</f>
        <v>163</v>
      </c>
      <c r="E186" s="17">
        <f>Github!F$185+Github!G$185</f>
        <v>1192</v>
      </c>
      <c r="F186" s="18">
        <f t="shared" si="1"/>
        <v>6.31</v>
      </c>
      <c r="G186" s="17" t="str">
        <f>Github!H$185</f>
        <v>Database</v>
      </c>
      <c r="H186" s="17" t="b">
        <f>Github!D$185</f>
        <v>0</v>
      </c>
      <c r="I186" s="17" t="str">
        <f>Github!E$185</f>
        <v>Medium</v>
      </c>
      <c r="J186" s="17" t="str">
        <f>ROUND(Github!N$185, 2)&amp;"%"</f>
        <v>0%</v>
      </c>
      <c r="K186" s="17">
        <f>Github!O$185</f>
        <v>46.09053135</v>
      </c>
      <c r="L186" s="17">
        <f>Github!P$185</f>
        <v>208867</v>
      </c>
    </row>
    <row r="187">
      <c r="A187" s="17">
        <f>Github!J$186</f>
        <v>185</v>
      </c>
      <c r="B187" s="34" t="str">
        <f>HYPERLINK(CONCAT("http://leetcode.com/problems/",Github!C$186), Github!B$186)</f>
        <v>Department Top Three Salaries</v>
      </c>
      <c r="C187" s="17">
        <f>Github!F$186</f>
        <v>1012</v>
      </c>
      <c r="D187" s="17">
        <f>Github!G$186</f>
        <v>180</v>
      </c>
      <c r="E187" s="17">
        <f>Github!F$186+Github!G$186</f>
        <v>1192</v>
      </c>
      <c r="F187" s="18">
        <f t="shared" si="1"/>
        <v>5.62</v>
      </c>
      <c r="G187" s="17" t="str">
        <f>Github!H$186</f>
        <v>Database</v>
      </c>
      <c r="H187" s="17" t="b">
        <f>Github!D$186</f>
        <v>0</v>
      </c>
      <c r="I187" s="17" t="str">
        <f>Github!E$186</f>
        <v>Hard</v>
      </c>
      <c r="J187" s="17" t="str">
        <f>ROUND(Github!N$186, 2)&amp;"%"</f>
        <v>0%</v>
      </c>
      <c r="K187" s="17">
        <f>Github!O$186</f>
        <v>46.27406815</v>
      </c>
      <c r="L187" s="17">
        <f>Github!P$186</f>
        <v>157366</v>
      </c>
    </row>
    <row r="188">
      <c r="A188" s="17">
        <f>Github!J$187</f>
        <v>186</v>
      </c>
      <c r="B188" s="34" t="str">
        <f>HYPERLINK(CONCAT("http://leetcode.com/problems/",Github!C$187), Github!B$187)</f>
        <v>Reverse Words in a String II</v>
      </c>
      <c r="C188" s="17">
        <f>Github!F$187</f>
        <v>826</v>
      </c>
      <c r="D188" s="17">
        <f>Github!G$187</f>
        <v>125</v>
      </c>
      <c r="E188" s="17">
        <f>Github!F$187+Github!G$187</f>
        <v>951</v>
      </c>
      <c r="F188" s="18">
        <f t="shared" si="1"/>
        <v>6.61</v>
      </c>
      <c r="G188" s="17" t="str">
        <f>Github!H$187</f>
        <v>Algorithms</v>
      </c>
      <c r="H188" s="17" t="b">
        <f>Github!D$187</f>
        <v>1</v>
      </c>
      <c r="I188" s="17" t="str">
        <f>Github!E$187</f>
        <v>Medium</v>
      </c>
      <c r="J188" s="17" t="str">
        <f>ROUND(Github!N$187, 2)&amp;"%"</f>
        <v>0%</v>
      </c>
      <c r="K188" s="17">
        <f>Github!O$187</f>
        <v>50.51099049</v>
      </c>
      <c r="L188" s="17">
        <f>Github!P$187</f>
        <v>129442</v>
      </c>
    </row>
    <row r="189">
      <c r="A189" s="17">
        <f>Github!J$188</f>
        <v>187</v>
      </c>
      <c r="B189" s="34" t="str">
        <f>HYPERLINK(CONCAT("http://leetcode.com/problems/",Github!C$188), Github!B$188)</f>
        <v>Repeated DNA Sequences</v>
      </c>
      <c r="C189" s="17">
        <f>Github!F$188</f>
        <v>1846</v>
      </c>
      <c r="D189" s="17">
        <f>Github!G$188</f>
        <v>399</v>
      </c>
      <c r="E189" s="17">
        <f>Github!F$188+Github!G$188</f>
        <v>2245</v>
      </c>
      <c r="F189" s="18">
        <f t="shared" si="1"/>
        <v>4.63</v>
      </c>
      <c r="G189" s="17" t="str">
        <f>Github!H$188</f>
        <v>Algorithms</v>
      </c>
      <c r="H189" s="17" t="b">
        <f>Github!D$188</f>
        <v>0</v>
      </c>
      <c r="I189" s="17" t="str">
        <f>Github!E$188</f>
        <v>Medium</v>
      </c>
      <c r="J189" s="17" t="str">
        <f>ROUND(Github!N$188, 2)&amp;"%"</f>
        <v>0%</v>
      </c>
      <c r="K189" s="17">
        <f>Github!O$188</f>
        <v>44.25296146</v>
      </c>
      <c r="L189" s="17">
        <f>Github!P$188</f>
        <v>254624</v>
      </c>
    </row>
    <row r="190">
      <c r="A190" s="17">
        <f>Github!J$189</f>
        <v>188</v>
      </c>
      <c r="B190" s="34" t="str">
        <f>HYPERLINK(CONCAT("http://leetcode.com/problems/",Github!C$189), Github!B$189)</f>
        <v>Best Time to Buy and Sell Stock IV</v>
      </c>
      <c r="C190" s="17">
        <f>Github!F$189</f>
        <v>3631</v>
      </c>
      <c r="D190" s="17">
        <f>Github!G$189</f>
        <v>150</v>
      </c>
      <c r="E190" s="17">
        <f>Github!F$189+Github!G$189</f>
        <v>3781</v>
      </c>
      <c r="F190" s="18">
        <f t="shared" si="1"/>
        <v>24.21</v>
      </c>
      <c r="G190" s="17" t="str">
        <f>Github!H$189</f>
        <v>Algorithms</v>
      </c>
      <c r="H190" s="17" t="b">
        <f>Github!D$189</f>
        <v>0</v>
      </c>
      <c r="I190" s="17" t="str">
        <f>Github!E$189</f>
        <v>Hard</v>
      </c>
      <c r="J190" s="17" t="str">
        <f>ROUND(Github!N$189, 2)&amp;"%"</f>
        <v>0%</v>
      </c>
      <c r="K190" s="17">
        <f>Github!O$189</f>
        <v>33.14983936</v>
      </c>
      <c r="L190" s="17">
        <f>Github!P$189</f>
        <v>233288</v>
      </c>
    </row>
    <row r="191">
      <c r="A191" s="17">
        <f>Github!J$190</f>
        <v>189</v>
      </c>
      <c r="B191" s="34" t="str">
        <f>HYPERLINK(CONCAT("http://leetcode.com/problems/",Github!C$190), Github!B$190)</f>
        <v>Rotate Array</v>
      </c>
      <c r="C191" s="17">
        <f>Github!F$190</f>
        <v>8703</v>
      </c>
      <c r="D191" s="17">
        <f>Github!G$190</f>
        <v>1238</v>
      </c>
      <c r="E191" s="17">
        <f>Github!F$190+Github!G$190</f>
        <v>9941</v>
      </c>
      <c r="F191" s="18">
        <f t="shared" si="1"/>
        <v>7.03</v>
      </c>
      <c r="G191" s="17" t="str">
        <f>Github!H$190</f>
        <v>Algorithms</v>
      </c>
      <c r="H191" s="17" t="b">
        <f>Github!D$190</f>
        <v>0</v>
      </c>
      <c r="I191" s="17" t="str">
        <f>Github!E$190</f>
        <v>Medium</v>
      </c>
      <c r="J191" s="17" t="str">
        <f>ROUND(Github!N$190, 2)&amp;"%"</f>
        <v>0%</v>
      </c>
      <c r="K191" s="17">
        <f>Github!O$190</f>
        <v>38.38707561</v>
      </c>
      <c r="L191" s="17">
        <f>Github!P$190</f>
        <v>1035688</v>
      </c>
    </row>
    <row r="192">
      <c r="A192" s="17">
        <f>Github!J$191</f>
        <v>190</v>
      </c>
      <c r="B192" s="34" t="str">
        <f>HYPERLINK(CONCAT("http://leetcode.com/problems/",Github!C$191), Github!B$191)</f>
        <v>Reverse Bits</v>
      </c>
      <c r="C192" s="17">
        <f>Github!F$191</f>
        <v>2832</v>
      </c>
      <c r="D192" s="17">
        <f>Github!G$191</f>
        <v>768</v>
      </c>
      <c r="E192" s="17">
        <f>Github!F$191+Github!G$191</f>
        <v>3600</v>
      </c>
      <c r="F192" s="18">
        <f t="shared" si="1"/>
        <v>3.69</v>
      </c>
      <c r="G192" s="17" t="str">
        <f>Github!H$191</f>
        <v>Algorithms</v>
      </c>
      <c r="H192" s="17" t="b">
        <f>Github!D$191</f>
        <v>0</v>
      </c>
      <c r="I192" s="17" t="str">
        <f>Github!E$191</f>
        <v>Easy</v>
      </c>
      <c r="J192" s="17" t="str">
        <f>ROUND(Github!N$191, 2)&amp;"%"</f>
        <v>0%</v>
      </c>
      <c r="K192" s="17">
        <f>Github!O$191</f>
        <v>48.03686919</v>
      </c>
      <c r="L192" s="17">
        <f>Github!P$191</f>
        <v>444745</v>
      </c>
    </row>
    <row r="193">
      <c r="A193" s="17">
        <f>Github!J$192</f>
        <v>191</v>
      </c>
      <c r="B193" s="34" t="str">
        <f>HYPERLINK(CONCAT("http://leetcode.com/problems/",Github!C$192), Github!B$192)</f>
        <v>Number of 1 Bits</v>
      </c>
      <c r="C193" s="17">
        <f>Github!F$192</f>
        <v>2722</v>
      </c>
      <c r="D193" s="17">
        <f>Github!G$192</f>
        <v>763</v>
      </c>
      <c r="E193" s="17">
        <f>Github!F$192+Github!G$192</f>
        <v>3485</v>
      </c>
      <c r="F193" s="18">
        <f t="shared" si="1"/>
        <v>3.57</v>
      </c>
      <c r="G193" s="17" t="str">
        <f>Github!H$192</f>
        <v>Algorithms</v>
      </c>
      <c r="H193" s="17" t="b">
        <f>Github!D$192</f>
        <v>0</v>
      </c>
      <c r="I193" s="17" t="str">
        <f>Github!E$192</f>
        <v>Easy</v>
      </c>
      <c r="J193" s="17" t="str">
        <f>ROUND(Github!N$192, 2)&amp;"%"</f>
        <v>0%</v>
      </c>
      <c r="K193" s="17">
        <f>Github!O$192</f>
        <v>59.4889424</v>
      </c>
      <c r="L193" s="17">
        <f>Github!P$192</f>
        <v>663108</v>
      </c>
    </row>
    <row r="194">
      <c r="A194" s="17">
        <f>Github!J$193</f>
        <v>192</v>
      </c>
      <c r="B194" s="34" t="str">
        <f>HYPERLINK(CONCAT("http://leetcode.com/problems/",Github!C$193), Github!B$193)</f>
        <v>Word Frequency</v>
      </c>
      <c r="C194" s="17">
        <f>Github!F$193</f>
        <v>343</v>
      </c>
      <c r="D194" s="17">
        <f>Github!G$193</f>
        <v>232</v>
      </c>
      <c r="E194" s="17">
        <f>Github!F$193+Github!G$193</f>
        <v>575</v>
      </c>
      <c r="F194" s="18">
        <f t="shared" si="1"/>
        <v>1.48</v>
      </c>
      <c r="G194" s="17" t="str">
        <f>Github!H$193</f>
        <v>Shell</v>
      </c>
      <c r="H194" s="17" t="b">
        <f>Github!D$193</f>
        <v>0</v>
      </c>
      <c r="I194" s="17" t="str">
        <f>Github!E$193</f>
        <v>Medium</v>
      </c>
      <c r="J194" s="17" t="str">
        <f>ROUND(Github!N$193, 2)&amp;"%"</f>
        <v>0%</v>
      </c>
      <c r="K194" s="17">
        <f>Github!O$193</f>
        <v>25.59252442</v>
      </c>
      <c r="L194" s="17">
        <f>Github!P$193</f>
        <v>36152</v>
      </c>
    </row>
    <row r="195">
      <c r="A195" s="17">
        <f>Github!J$194</f>
        <v>193</v>
      </c>
      <c r="B195" s="34" t="str">
        <f>HYPERLINK(CONCAT("http://leetcode.com/problems/",Github!C$194), Github!B$194)</f>
        <v>Valid Phone Numbers</v>
      </c>
      <c r="C195" s="17">
        <f>Github!F$194</f>
        <v>256</v>
      </c>
      <c r="D195" s="17">
        <f>Github!G$194</f>
        <v>687</v>
      </c>
      <c r="E195" s="17">
        <f>Github!F$194+Github!G$194</f>
        <v>943</v>
      </c>
      <c r="F195" s="18">
        <f t="shared" si="1"/>
        <v>0.37</v>
      </c>
      <c r="G195" s="17" t="str">
        <f>Github!H$194</f>
        <v>Shell</v>
      </c>
      <c r="H195" s="17" t="b">
        <f>Github!D$194</f>
        <v>0</v>
      </c>
      <c r="I195" s="17" t="str">
        <f>Github!E$194</f>
        <v>Easy</v>
      </c>
      <c r="J195" s="17" t="str">
        <f>ROUND(Github!N$194, 2)&amp;"%"</f>
        <v>0%</v>
      </c>
      <c r="K195" s="17">
        <f>Github!O$194</f>
        <v>25.79389127</v>
      </c>
      <c r="L195" s="17">
        <f>Github!P$194</f>
        <v>54055</v>
      </c>
    </row>
    <row r="196">
      <c r="A196" s="17">
        <f>Github!J$195</f>
        <v>194</v>
      </c>
      <c r="B196" s="34" t="str">
        <f>HYPERLINK(CONCAT("http://leetcode.com/problems/",Github!C$195), Github!B$195)</f>
        <v>Transpose File</v>
      </c>
      <c r="C196" s="17">
        <f>Github!F$195</f>
        <v>98</v>
      </c>
      <c r="D196" s="17">
        <f>Github!G$195</f>
        <v>237</v>
      </c>
      <c r="E196" s="17">
        <f>Github!F$195+Github!G$195</f>
        <v>335</v>
      </c>
      <c r="F196" s="18">
        <f t="shared" si="1"/>
        <v>0.41</v>
      </c>
      <c r="G196" s="17" t="str">
        <f>Github!H$195</f>
        <v>Shell</v>
      </c>
      <c r="H196" s="17" t="b">
        <f>Github!D$195</f>
        <v>0</v>
      </c>
      <c r="I196" s="17" t="str">
        <f>Github!E$195</f>
        <v>Medium</v>
      </c>
      <c r="J196" s="17" t="str">
        <f>ROUND(Github!N$195, 2)&amp;"%"</f>
        <v>0%</v>
      </c>
      <c r="K196" s="17">
        <f>Github!O$195</f>
        <v>24.99860833</v>
      </c>
      <c r="L196" s="17">
        <f>Github!P$195</f>
        <v>17963</v>
      </c>
    </row>
    <row r="197">
      <c r="A197" s="17">
        <f>Github!J$196</f>
        <v>195</v>
      </c>
      <c r="B197" s="34" t="str">
        <f>HYPERLINK(CONCAT("http://leetcode.com/problems/",Github!C$196), Github!B$196)</f>
        <v>Tenth Line</v>
      </c>
      <c r="C197" s="17">
        <f>Github!F$196</f>
        <v>250</v>
      </c>
      <c r="D197" s="17">
        <f>Github!G$196</f>
        <v>326</v>
      </c>
      <c r="E197" s="17">
        <f>Github!F$196+Github!G$196</f>
        <v>576</v>
      </c>
      <c r="F197" s="18">
        <f t="shared" si="1"/>
        <v>0.77</v>
      </c>
      <c r="G197" s="17" t="str">
        <f>Github!H$196</f>
        <v>Shell</v>
      </c>
      <c r="H197" s="17" t="b">
        <f>Github!D$196</f>
        <v>0</v>
      </c>
      <c r="I197" s="17" t="str">
        <f>Github!E$196</f>
        <v>Easy</v>
      </c>
      <c r="J197" s="17" t="str">
        <f>ROUND(Github!N$196, 2)&amp;"%"</f>
        <v>0%</v>
      </c>
      <c r="K197" s="17">
        <f>Github!O$196</f>
        <v>32.84156806</v>
      </c>
      <c r="L197" s="17">
        <f>Github!P$196</f>
        <v>71302</v>
      </c>
    </row>
    <row r="198">
      <c r="A198" s="17">
        <f>Github!J$197</f>
        <v>196</v>
      </c>
      <c r="B198" s="34" t="str">
        <f>HYPERLINK(CONCAT("http://leetcode.com/problems/",Github!C$197), Github!B$197)</f>
        <v>Delete Duplicate Emails</v>
      </c>
      <c r="C198" s="17">
        <f>Github!F$197</f>
        <v>765</v>
      </c>
      <c r="D198" s="17">
        <f>Github!G$197</f>
        <v>1233</v>
      </c>
      <c r="E198" s="17">
        <f>Github!F$197+Github!G$197</f>
        <v>1998</v>
      </c>
      <c r="F198" s="18">
        <f t="shared" si="1"/>
        <v>0.62</v>
      </c>
      <c r="G198" s="17" t="str">
        <f>Github!H$197</f>
        <v>Database</v>
      </c>
      <c r="H198" s="17" t="b">
        <f>Github!D$197</f>
        <v>0</v>
      </c>
      <c r="I198" s="17" t="str">
        <f>Github!E$197</f>
        <v>Easy</v>
      </c>
      <c r="J198" s="17" t="str">
        <f>ROUND(Github!N$197, 2)&amp;"%"</f>
        <v>0%</v>
      </c>
      <c r="K198" s="17">
        <f>Github!O$197</f>
        <v>51.12491986</v>
      </c>
      <c r="L198" s="17">
        <f>Github!P$197</f>
        <v>202558</v>
      </c>
    </row>
    <row r="199">
      <c r="A199" s="17">
        <f>Github!J$198</f>
        <v>197</v>
      </c>
      <c r="B199" s="34" t="str">
        <f>HYPERLINK(CONCAT("http://leetcode.com/problems/",Github!C$198), Github!B$198)</f>
        <v>Rising Temperature</v>
      </c>
      <c r="C199" s="17">
        <f>Github!F$198</f>
        <v>814</v>
      </c>
      <c r="D199" s="17">
        <f>Github!G$198</f>
        <v>341</v>
      </c>
      <c r="E199" s="17">
        <f>Github!F$198+Github!G$198</f>
        <v>1155</v>
      </c>
      <c r="F199" s="18">
        <f t="shared" si="1"/>
        <v>2.39</v>
      </c>
      <c r="G199" s="17" t="str">
        <f>Github!H$198</f>
        <v>Database</v>
      </c>
      <c r="H199" s="17" t="b">
        <f>Github!D$198</f>
        <v>0</v>
      </c>
      <c r="I199" s="17" t="str">
        <f>Github!E$198</f>
        <v>Easy</v>
      </c>
      <c r="J199" s="17" t="str">
        <f>ROUND(Github!N$198, 2)&amp;"%"</f>
        <v>0%</v>
      </c>
      <c r="K199" s="17">
        <f>Github!O$198</f>
        <v>42.14159489</v>
      </c>
      <c r="L199" s="17">
        <f>Github!P$198</f>
        <v>208661</v>
      </c>
    </row>
    <row r="200">
      <c r="A200" s="17">
        <f>Github!J$199</f>
        <v>198</v>
      </c>
      <c r="B200" s="34" t="str">
        <f>HYPERLINK(CONCAT("http://leetcode.com/problems/",Github!C$199), Github!B$199)</f>
        <v>House Robber</v>
      </c>
      <c r="C200" s="17">
        <f>Github!F$199</f>
        <v>11433</v>
      </c>
      <c r="D200" s="17">
        <f>Github!G$199</f>
        <v>247</v>
      </c>
      <c r="E200" s="17">
        <f>Github!F$199+Github!G$199</f>
        <v>11680</v>
      </c>
      <c r="F200" s="18">
        <f t="shared" si="1"/>
        <v>46.29</v>
      </c>
      <c r="G200" s="17" t="str">
        <f>Github!H$199</f>
        <v>Algorithms</v>
      </c>
      <c r="H200" s="17" t="b">
        <f>Github!D$199</f>
        <v>0</v>
      </c>
      <c r="I200" s="17" t="str">
        <f>Github!E$199</f>
        <v>Medium</v>
      </c>
      <c r="J200" s="17" t="str">
        <f>ROUND(Github!N$199, 2)&amp;"%"</f>
        <v>0%</v>
      </c>
      <c r="K200" s="17">
        <f>Github!O$199</f>
        <v>46.72767457</v>
      </c>
      <c r="L200" s="17">
        <f>Github!P$199</f>
        <v>1054565</v>
      </c>
    </row>
    <row r="201">
      <c r="A201" s="17">
        <f>Github!J$200</f>
        <v>199</v>
      </c>
      <c r="B201" s="34" t="str">
        <f>HYPERLINK(CONCAT("http://leetcode.com/problems/",Github!C$200), Github!B$200)</f>
        <v>Binary Tree Right Side View</v>
      </c>
      <c r="C201" s="17">
        <f>Github!F$200</f>
        <v>6062</v>
      </c>
      <c r="D201" s="17">
        <f>Github!G$200</f>
        <v>327</v>
      </c>
      <c r="E201" s="17">
        <f>Github!F$200+Github!G$200</f>
        <v>6389</v>
      </c>
      <c r="F201" s="18">
        <f t="shared" si="1"/>
        <v>18.54</v>
      </c>
      <c r="G201" s="17" t="str">
        <f>Github!H$200</f>
        <v>Algorithms</v>
      </c>
      <c r="H201" s="17" t="b">
        <f>Github!D$200</f>
        <v>0</v>
      </c>
      <c r="I201" s="17" t="str">
        <f>Github!E$200</f>
        <v>Medium</v>
      </c>
      <c r="J201" s="17" t="str">
        <f>ROUND(Github!N$200, 2)&amp;"%"</f>
        <v>0%</v>
      </c>
      <c r="K201" s="17">
        <f>Github!O$200</f>
        <v>59.26247325</v>
      </c>
      <c r="L201" s="17">
        <f>Github!P$200</f>
        <v>630330</v>
      </c>
    </row>
    <row r="202">
      <c r="A202" s="17">
        <f>Github!J$201</f>
        <v>200</v>
      </c>
      <c r="B202" s="34" t="str">
        <f>HYPERLINK(CONCAT("http://leetcode.com/problems/",Github!C$201), Github!B$201)</f>
        <v>Number of Islands</v>
      </c>
      <c r="C202" s="17">
        <f>Github!F$201</f>
        <v>12751</v>
      </c>
      <c r="D202" s="17">
        <f>Github!G$201</f>
        <v>315</v>
      </c>
      <c r="E202" s="17">
        <f>Github!F$201+Github!G$201</f>
        <v>13066</v>
      </c>
      <c r="F202" s="18">
        <f t="shared" si="1"/>
        <v>40.48</v>
      </c>
      <c r="G202" s="17" t="str">
        <f>Github!H$201</f>
        <v>Algorithms</v>
      </c>
      <c r="H202" s="17" t="b">
        <f>Github!D$201</f>
        <v>0</v>
      </c>
      <c r="I202" s="17" t="str">
        <f>Github!E$201</f>
        <v>Medium</v>
      </c>
      <c r="J202" s="17" t="str">
        <f>ROUND(Github!N$201, 2)&amp;"%"</f>
        <v>0%</v>
      </c>
      <c r="K202" s="17">
        <f>Github!O$201</f>
        <v>53.38258247</v>
      </c>
      <c r="L202" s="17">
        <f>Github!P$201</f>
        <v>1461753</v>
      </c>
    </row>
    <row r="203">
      <c r="A203" s="17">
        <f>Github!J$202</f>
        <v>201</v>
      </c>
      <c r="B203" s="34" t="str">
        <f>HYPERLINK(CONCAT("http://leetcode.com/problems/",Github!C$202), Github!B$202)</f>
        <v>Bitwise AND of Numbers Range</v>
      </c>
      <c r="C203" s="17">
        <f>Github!F$202</f>
        <v>2170</v>
      </c>
      <c r="D203" s="17">
        <f>Github!G$202</f>
        <v>177</v>
      </c>
      <c r="E203" s="17">
        <f>Github!F$202+Github!G$202</f>
        <v>2347</v>
      </c>
      <c r="F203" s="18">
        <f t="shared" si="1"/>
        <v>12.26</v>
      </c>
      <c r="G203" s="17" t="str">
        <f>Github!H$202</f>
        <v>Algorithms</v>
      </c>
      <c r="H203" s="17" t="b">
        <f>Github!D$202</f>
        <v>0</v>
      </c>
      <c r="I203" s="17" t="str">
        <f>Github!E$202</f>
        <v>Medium</v>
      </c>
      <c r="J203" s="17" t="str">
        <f>ROUND(Github!N$202, 2)&amp;"%"</f>
        <v>0%</v>
      </c>
      <c r="K203" s="17">
        <f>Github!O$202</f>
        <v>41.65873956</v>
      </c>
      <c r="L203" s="17">
        <f>Github!P$202</f>
        <v>210646</v>
      </c>
    </row>
    <row r="204">
      <c r="A204" s="17">
        <f>Github!J$203</f>
        <v>202</v>
      </c>
      <c r="B204" s="34" t="str">
        <f>HYPERLINK(CONCAT("http://leetcode.com/problems/",Github!C$203), Github!B$203)</f>
        <v>Happy Number</v>
      </c>
      <c r="C204" s="17">
        <f>Github!F$203</f>
        <v>4907</v>
      </c>
      <c r="D204" s="17">
        <f>Github!G$203</f>
        <v>674</v>
      </c>
      <c r="E204" s="17">
        <f>Github!F$203+Github!G$203</f>
        <v>5581</v>
      </c>
      <c r="F204" s="18">
        <f t="shared" si="1"/>
        <v>7.28</v>
      </c>
      <c r="G204" s="17" t="str">
        <f>Github!H$203</f>
        <v>Algorithms</v>
      </c>
      <c r="H204" s="17" t="b">
        <f>Github!D$203</f>
        <v>0</v>
      </c>
      <c r="I204" s="17" t="str">
        <f>Github!E$203</f>
        <v>Easy</v>
      </c>
      <c r="J204" s="17" t="str">
        <f>ROUND(Github!N$203, 2)&amp;"%"</f>
        <v>0%</v>
      </c>
      <c r="K204" s="17">
        <f>Github!O$203</f>
        <v>52.91904854</v>
      </c>
      <c r="L204" s="17">
        <f>Github!P$203</f>
        <v>770186</v>
      </c>
    </row>
    <row r="205">
      <c r="A205" s="17">
        <f>Github!J$204</f>
        <v>203</v>
      </c>
      <c r="B205" s="34" t="str">
        <f>HYPERLINK(CONCAT("http://leetcode.com/problems/",Github!C$204), Github!B$204)</f>
        <v>Remove Linked List Elements</v>
      </c>
      <c r="C205" s="17">
        <f>Github!F$204</f>
        <v>4596</v>
      </c>
      <c r="D205" s="17">
        <f>Github!G$204</f>
        <v>157</v>
      </c>
      <c r="E205" s="17">
        <f>Github!F$204+Github!G$204</f>
        <v>4753</v>
      </c>
      <c r="F205" s="18">
        <f t="shared" si="1"/>
        <v>29.27</v>
      </c>
      <c r="G205" s="17" t="str">
        <f>Github!H$204</f>
        <v>Algorithms</v>
      </c>
      <c r="H205" s="17" t="b">
        <f>Github!D$204</f>
        <v>0</v>
      </c>
      <c r="I205" s="17" t="str">
        <f>Github!E$204</f>
        <v>Easy</v>
      </c>
      <c r="J205" s="17" t="str">
        <f>ROUND(Github!N$204, 2)&amp;"%"</f>
        <v>0%</v>
      </c>
      <c r="K205" s="17">
        <f>Github!O$204</f>
        <v>43.11933574</v>
      </c>
      <c r="L205" s="17">
        <f>Github!P$204</f>
        <v>664128</v>
      </c>
    </row>
    <row r="206">
      <c r="A206" s="17">
        <f>Github!J$205</f>
        <v>204</v>
      </c>
      <c r="B206" s="34" t="str">
        <f>HYPERLINK(CONCAT("http://leetcode.com/problems/",Github!C$205), Github!B$205)</f>
        <v>Count Primes</v>
      </c>
      <c r="C206" s="17">
        <f>Github!F$205</f>
        <v>4533</v>
      </c>
      <c r="D206" s="17">
        <f>Github!G$205</f>
        <v>973</v>
      </c>
      <c r="E206" s="17">
        <f>Github!F$205+Github!G$205</f>
        <v>5506</v>
      </c>
      <c r="F206" s="18">
        <f t="shared" si="1"/>
        <v>4.66</v>
      </c>
      <c r="G206" s="17" t="str">
        <f>Github!H$205</f>
        <v>Algorithms</v>
      </c>
      <c r="H206" s="17" t="b">
        <f>Github!D$205</f>
        <v>0</v>
      </c>
      <c r="I206" s="17" t="str">
        <f>Github!E$205</f>
        <v>Medium</v>
      </c>
      <c r="J206" s="17" t="str">
        <f>ROUND(Github!N$205, 2)&amp;"%"</f>
        <v>0%</v>
      </c>
      <c r="K206" s="17">
        <f>Github!O$205</f>
        <v>32.96565165</v>
      </c>
      <c r="L206" s="17">
        <f>Github!P$205</f>
        <v>589280</v>
      </c>
    </row>
    <row r="207">
      <c r="A207" s="17">
        <f>Github!J$206</f>
        <v>205</v>
      </c>
      <c r="B207" s="34" t="str">
        <f>HYPERLINK(CONCAT("http://leetcode.com/problems/",Github!C$206), Github!B$206)</f>
        <v>Isomorphic Strings</v>
      </c>
      <c r="C207" s="17">
        <f>Github!F$206</f>
        <v>3304</v>
      </c>
      <c r="D207" s="17">
        <f>Github!G$206</f>
        <v>626</v>
      </c>
      <c r="E207" s="17">
        <f>Github!F$206+Github!G$206</f>
        <v>3930</v>
      </c>
      <c r="F207" s="18">
        <f t="shared" si="1"/>
        <v>5.28</v>
      </c>
      <c r="G207" s="17" t="str">
        <f>Github!H$206</f>
        <v>Algorithms</v>
      </c>
      <c r="H207" s="17" t="b">
        <f>Github!D$206</f>
        <v>0</v>
      </c>
      <c r="I207" s="17" t="str">
        <f>Github!E$206</f>
        <v>Easy</v>
      </c>
      <c r="J207" s="17" t="str">
        <f>ROUND(Github!N$206, 2)&amp;"%"</f>
        <v>0%</v>
      </c>
      <c r="K207" s="17">
        <f>Github!O$206</f>
        <v>41.97494172</v>
      </c>
      <c r="L207" s="17">
        <f>Github!P$206</f>
        <v>477364</v>
      </c>
    </row>
    <row r="208">
      <c r="A208" s="17">
        <f>Github!J$207</f>
        <v>206</v>
      </c>
      <c r="B208" s="34" t="str">
        <f>HYPERLINK(CONCAT("http://leetcode.com/problems/",Github!C$207), Github!B$207)</f>
        <v>Reverse Linked List</v>
      </c>
      <c r="C208" s="17">
        <f>Github!F$207</f>
        <v>10938</v>
      </c>
      <c r="D208" s="17">
        <f>Github!G$207</f>
        <v>185</v>
      </c>
      <c r="E208" s="17">
        <f>Github!F$207+Github!G$207</f>
        <v>11123</v>
      </c>
      <c r="F208" s="18">
        <f t="shared" si="1"/>
        <v>59.12</v>
      </c>
      <c r="G208" s="17" t="str">
        <f>Github!H$207</f>
        <v>Algorithms</v>
      </c>
      <c r="H208" s="17" t="b">
        <f>Github!D$207</f>
        <v>0</v>
      </c>
      <c r="I208" s="17" t="str">
        <f>Github!E$207</f>
        <v>Easy</v>
      </c>
      <c r="J208" s="17" t="str">
        <f>ROUND(Github!N$207, 2)&amp;"%"</f>
        <v>0%</v>
      </c>
      <c r="K208" s="17">
        <f>Github!O$207</f>
        <v>69.74642861</v>
      </c>
      <c r="L208" s="17">
        <f>Github!P$207</f>
        <v>1975641</v>
      </c>
    </row>
    <row r="209">
      <c r="A209" s="17">
        <f>Github!J$208</f>
        <v>207</v>
      </c>
      <c r="B209" s="34" t="str">
        <f>HYPERLINK(CONCAT("http://leetcode.com/problems/",Github!C$208), Github!B$208)</f>
        <v>Course Schedule</v>
      </c>
      <c r="C209" s="17">
        <f>Github!F$208</f>
        <v>8691</v>
      </c>
      <c r="D209" s="17">
        <f>Github!G$208</f>
        <v>351</v>
      </c>
      <c r="E209" s="17">
        <f>Github!F$208+Github!G$208</f>
        <v>9042</v>
      </c>
      <c r="F209" s="18">
        <f t="shared" si="1"/>
        <v>24.76</v>
      </c>
      <c r="G209" s="17" t="str">
        <f>Github!H$208</f>
        <v>Algorithms</v>
      </c>
      <c r="H209" s="17" t="b">
        <f>Github!D$208</f>
        <v>0</v>
      </c>
      <c r="I209" s="17" t="str">
        <f>Github!E$208</f>
        <v>Medium</v>
      </c>
      <c r="J209" s="17" t="str">
        <f>ROUND(Github!N$208, 2)&amp;"%"</f>
        <v>0%</v>
      </c>
      <c r="K209" s="17">
        <f>Github!O$208</f>
        <v>44.93735323</v>
      </c>
      <c r="L209" s="17">
        <f>Github!P$208</f>
        <v>813462</v>
      </c>
    </row>
    <row r="210">
      <c r="A210" s="17">
        <f>Github!J$209</f>
        <v>208</v>
      </c>
      <c r="B210" s="34" t="str">
        <f>HYPERLINK(CONCAT("http://leetcode.com/problems/",Github!C$209), Github!B$209)</f>
        <v>Implement Trie (Prefix Tree)</v>
      </c>
      <c r="C210" s="17">
        <f>Github!F$209</f>
        <v>6621</v>
      </c>
      <c r="D210" s="17">
        <f>Github!G$209</f>
        <v>87</v>
      </c>
      <c r="E210" s="17">
        <f>Github!F$209+Github!G$209</f>
        <v>6708</v>
      </c>
      <c r="F210" s="18">
        <f t="shared" si="1"/>
        <v>76.1</v>
      </c>
      <c r="G210" s="17" t="str">
        <f>Github!H$209</f>
        <v>Algorithms</v>
      </c>
      <c r="H210" s="17" t="b">
        <f>Github!D$209</f>
        <v>0</v>
      </c>
      <c r="I210" s="17" t="str">
        <f>Github!E$209</f>
        <v>Medium</v>
      </c>
      <c r="J210" s="17" t="str">
        <f>ROUND(Github!N$209, 2)&amp;"%"</f>
        <v>0%</v>
      </c>
      <c r="K210" s="17">
        <f>Github!O$209</f>
        <v>57.48388784</v>
      </c>
      <c r="L210" s="17">
        <f>Github!P$209</f>
        <v>549425</v>
      </c>
    </row>
    <row r="211">
      <c r="A211" s="17">
        <f>Github!J$210</f>
        <v>209</v>
      </c>
      <c r="B211" s="34" t="str">
        <f>HYPERLINK(CONCAT("http://leetcode.com/problems/",Github!C$210), Github!B$210)</f>
        <v>Minimum Size Subarray Sum</v>
      </c>
      <c r="C211" s="17">
        <f>Github!F$210</f>
        <v>6043</v>
      </c>
      <c r="D211" s="17">
        <f>Github!G$210</f>
        <v>180</v>
      </c>
      <c r="E211" s="17">
        <f>Github!F$210+Github!G$210</f>
        <v>6223</v>
      </c>
      <c r="F211" s="18">
        <f t="shared" si="1"/>
        <v>33.57</v>
      </c>
      <c r="G211" s="17" t="str">
        <f>Github!H$210</f>
        <v>Algorithms</v>
      </c>
      <c r="H211" s="17" t="b">
        <f>Github!D$210</f>
        <v>0</v>
      </c>
      <c r="I211" s="17" t="str">
        <f>Github!E$210</f>
        <v>Medium</v>
      </c>
      <c r="J211" s="17" t="str">
        <f>ROUND(Github!N$210, 2)&amp;"%"</f>
        <v>0%</v>
      </c>
      <c r="K211" s="17">
        <f>Github!O$210</f>
        <v>42.84442287</v>
      </c>
      <c r="L211" s="17">
        <f>Github!P$210</f>
        <v>488876</v>
      </c>
    </row>
    <row r="212">
      <c r="A212" s="17">
        <f>Github!J$211</f>
        <v>210</v>
      </c>
      <c r="B212" s="34" t="str">
        <f>HYPERLINK(CONCAT("http://leetcode.com/problems/",Github!C$211), Github!B$211)</f>
        <v>Course Schedule II</v>
      </c>
      <c r="C212" s="17">
        <f>Github!F$211</f>
        <v>6265</v>
      </c>
      <c r="D212" s="17">
        <f>Github!G$211</f>
        <v>228</v>
      </c>
      <c r="E212" s="17">
        <f>Github!F$211+Github!G$211</f>
        <v>6493</v>
      </c>
      <c r="F212" s="18">
        <f t="shared" si="1"/>
        <v>27.48</v>
      </c>
      <c r="G212" s="17" t="str">
        <f>Github!H$211</f>
        <v>Algorithms</v>
      </c>
      <c r="H212" s="17" t="b">
        <f>Github!D$211</f>
        <v>0</v>
      </c>
      <c r="I212" s="17" t="str">
        <f>Github!E$211</f>
        <v>Medium</v>
      </c>
      <c r="J212" s="17" t="str">
        <f>ROUND(Github!N$211, 2)&amp;"%"</f>
        <v>0%</v>
      </c>
      <c r="K212" s="17">
        <f>Github!O$211</f>
        <v>46.18826714</v>
      </c>
      <c r="L212" s="17">
        <f>Github!P$211</f>
        <v>584836</v>
      </c>
    </row>
    <row r="213">
      <c r="A213" s="17">
        <f>Github!J$212</f>
        <v>211</v>
      </c>
      <c r="B213" s="34" t="str">
        <f>HYPERLINK(CONCAT("http://leetcode.com/problems/",Github!C$212), Github!B$212)</f>
        <v>Design Add and Search Words Data Structure</v>
      </c>
      <c r="C213" s="17">
        <f>Github!F$212</f>
        <v>4652</v>
      </c>
      <c r="D213" s="17">
        <f>Github!G$212</f>
        <v>194</v>
      </c>
      <c r="E213" s="17">
        <f>Github!F$212+Github!G$212</f>
        <v>4846</v>
      </c>
      <c r="F213" s="18">
        <f t="shared" si="1"/>
        <v>23.98</v>
      </c>
      <c r="G213" s="17" t="str">
        <f>Github!H$212</f>
        <v>Algorithms</v>
      </c>
      <c r="H213" s="17" t="b">
        <f>Github!D$212</f>
        <v>0</v>
      </c>
      <c r="I213" s="17" t="str">
        <f>Github!E$212</f>
        <v>Medium</v>
      </c>
      <c r="J213" s="17" t="str">
        <f>ROUND(Github!N$212, 2)&amp;"%"</f>
        <v>0%</v>
      </c>
      <c r="K213" s="17">
        <f>Github!O$212</f>
        <v>43.99221195</v>
      </c>
      <c r="L213" s="17">
        <f>Github!P$212</f>
        <v>384785</v>
      </c>
    </row>
    <row r="214">
      <c r="A214" s="17">
        <f>Github!J$213</f>
        <v>212</v>
      </c>
      <c r="B214" s="34" t="str">
        <f>HYPERLINK(CONCAT("http://leetcode.com/problems/",Github!C$213), Github!B$213)</f>
        <v>Word Search II</v>
      </c>
      <c r="C214" s="17">
        <f>Github!F$213</f>
        <v>5653</v>
      </c>
      <c r="D214" s="17">
        <f>Github!G$213</f>
        <v>197</v>
      </c>
      <c r="E214" s="17">
        <f>Github!F$213+Github!G$213</f>
        <v>5850</v>
      </c>
      <c r="F214" s="18">
        <f t="shared" si="1"/>
        <v>28.7</v>
      </c>
      <c r="G214" s="17" t="str">
        <f>Github!H$213</f>
        <v>Algorithms</v>
      </c>
      <c r="H214" s="17" t="b">
        <f>Github!D$213</f>
        <v>0</v>
      </c>
      <c r="I214" s="17" t="str">
        <f>Github!E$213</f>
        <v>Hard</v>
      </c>
      <c r="J214" s="17" t="str">
        <f>ROUND(Github!N$213, 2)&amp;"%"</f>
        <v>0%</v>
      </c>
      <c r="K214" s="17">
        <f>Github!O$213</f>
        <v>38.28839614</v>
      </c>
      <c r="L214" s="17">
        <f>Github!P$213</f>
        <v>414190</v>
      </c>
    </row>
    <row r="215">
      <c r="A215" s="17">
        <f>Github!J$214</f>
        <v>213</v>
      </c>
      <c r="B215" s="34" t="str">
        <f>HYPERLINK(CONCAT("http://leetcode.com/problems/",Github!C$214), Github!B$214)</f>
        <v>House Robber II</v>
      </c>
      <c r="C215" s="17">
        <f>Github!F$214</f>
        <v>4999</v>
      </c>
      <c r="D215" s="17">
        <f>Github!G$214</f>
        <v>89</v>
      </c>
      <c r="E215" s="17">
        <f>Github!F$214+Github!G$214</f>
        <v>5088</v>
      </c>
      <c r="F215" s="18">
        <f t="shared" si="1"/>
        <v>56.17</v>
      </c>
      <c r="G215" s="17" t="str">
        <f>Github!H$214</f>
        <v>Algorithms</v>
      </c>
      <c r="H215" s="17" t="b">
        <f>Github!D$214</f>
        <v>0</v>
      </c>
      <c r="I215" s="17" t="str">
        <f>Github!E$214</f>
        <v>Medium</v>
      </c>
      <c r="J215" s="17" t="str">
        <f>ROUND(Github!N$214, 2)&amp;"%"</f>
        <v>0%</v>
      </c>
      <c r="K215" s="17">
        <f>Github!O$214</f>
        <v>39.61594346</v>
      </c>
      <c r="L215" s="17">
        <f>Github!P$214</f>
        <v>364792</v>
      </c>
    </row>
    <row r="216">
      <c r="A216" s="17">
        <f>Github!J$215</f>
        <v>214</v>
      </c>
      <c r="B216" s="34" t="str">
        <f>HYPERLINK(CONCAT("http://leetcode.com/problems/",Github!C$215), Github!B$215)</f>
        <v>Shortest Palindrome</v>
      </c>
      <c r="C216" s="17">
        <f>Github!F$215</f>
        <v>2262</v>
      </c>
      <c r="D216" s="17">
        <f>Github!G$215</f>
        <v>182</v>
      </c>
      <c r="E216" s="17">
        <f>Github!F$215+Github!G$215</f>
        <v>2444</v>
      </c>
      <c r="F216" s="18">
        <f t="shared" si="1"/>
        <v>12.43</v>
      </c>
      <c r="G216" s="17" t="str">
        <f>Github!H$215</f>
        <v>Algorithms</v>
      </c>
      <c r="H216" s="17" t="b">
        <f>Github!D$215</f>
        <v>0</v>
      </c>
      <c r="I216" s="17" t="str">
        <f>Github!E$215</f>
        <v>Hard</v>
      </c>
      <c r="J216" s="17" t="str">
        <f>ROUND(Github!N$215, 2)&amp;"%"</f>
        <v>0%</v>
      </c>
      <c r="K216" s="17">
        <f>Github!O$215</f>
        <v>31.68705846</v>
      </c>
      <c r="L216" s="17">
        <f>Github!P$215</f>
        <v>132989</v>
      </c>
    </row>
    <row r="217">
      <c r="A217" s="17">
        <f>Github!J$216</f>
        <v>215</v>
      </c>
      <c r="B217" s="34" t="str">
        <f>HYPERLINK(CONCAT("http://leetcode.com/problems/",Github!C$216), Github!B$216)</f>
        <v>Kth Largest Element in an Array</v>
      </c>
      <c r="C217" s="17">
        <f>Github!F$216</f>
        <v>8522</v>
      </c>
      <c r="D217" s="17">
        <f>Github!G$216</f>
        <v>475</v>
      </c>
      <c r="E217" s="17">
        <f>Github!F$216+Github!G$216</f>
        <v>8997</v>
      </c>
      <c r="F217" s="18">
        <f t="shared" si="1"/>
        <v>17.94</v>
      </c>
      <c r="G217" s="17" t="str">
        <f>Github!H$216</f>
        <v>Algorithms</v>
      </c>
      <c r="H217" s="17" t="b">
        <f>Github!D$216</f>
        <v>0</v>
      </c>
      <c r="I217" s="17" t="str">
        <f>Github!E$216</f>
        <v>Medium</v>
      </c>
      <c r="J217" s="17" t="str">
        <f>ROUND(Github!N$216, 2)&amp;"%"</f>
        <v>0%</v>
      </c>
      <c r="K217" s="17">
        <f>Github!O$216</f>
        <v>62.90656118</v>
      </c>
      <c r="L217" s="17">
        <f>Github!P$216</f>
        <v>1232292</v>
      </c>
    </row>
    <row r="218">
      <c r="A218" s="17">
        <f>Github!J$217</f>
        <v>216</v>
      </c>
      <c r="B218" s="34" t="str">
        <f>HYPERLINK(CONCAT("http://leetcode.com/problems/",Github!C$217), Github!B$217)</f>
        <v>Combination Sum III</v>
      </c>
      <c r="C218" s="17">
        <f>Github!F$217</f>
        <v>2655</v>
      </c>
      <c r="D218" s="17">
        <f>Github!G$217</f>
        <v>73</v>
      </c>
      <c r="E218" s="17">
        <f>Github!F$217+Github!G$217</f>
        <v>2728</v>
      </c>
      <c r="F218" s="18">
        <f t="shared" si="1"/>
        <v>36.37</v>
      </c>
      <c r="G218" s="17" t="str">
        <f>Github!H$217</f>
        <v>Algorithms</v>
      </c>
      <c r="H218" s="17" t="b">
        <f>Github!D$217</f>
        <v>0</v>
      </c>
      <c r="I218" s="17" t="str">
        <f>Github!E$217</f>
        <v>Medium</v>
      </c>
      <c r="J218" s="17" t="str">
        <f>ROUND(Github!N$217, 2)&amp;"%"</f>
        <v>0%</v>
      </c>
      <c r="K218" s="17">
        <f>Github!O$217</f>
        <v>63.62588032</v>
      </c>
      <c r="L218" s="17">
        <f>Github!P$217</f>
        <v>278081</v>
      </c>
    </row>
    <row r="219">
      <c r="A219" s="17">
        <f>Github!J$218</f>
        <v>217</v>
      </c>
      <c r="B219" s="34" t="str">
        <f>HYPERLINK(CONCAT("http://leetcode.com/problems/",Github!C$218), Github!B$218)</f>
        <v>Contains Duplicate</v>
      </c>
      <c r="C219" s="17">
        <f>Github!F$218</f>
        <v>4054</v>
      </c>
      <c r="D219" s="17">
        <f>Github!G$218</f>
        <v>931</v>
      </c>
      <c r="E219" s="17">
        <f>Github!F$218+Github!G$218</f>
        <v>4985</v>
      </c>
      <c r="F219" s="18">
        <f t="shared" si="1"/>
        <v>4.35</v>
      </c>
      <c r="G219" s="17" t="str">
        <f>Github!H$218</f>
        <v>Algorithms</v>
      </c>
      <c r="H219" s="17" t="b">
        <f>Github!D$218</f>
        <v>0</v>
      </c>
      <c r="I219" s="17" t="str">
        <f>Github!E$218</f>
        <v>Easy</v>
      </c>
      <c r="J219" s="17" t="str">
        <f>ROUND(Github!N$218, 2)&amp;"%"</f>
        <v>0%</v>
      </c>
      <c r="K219" s="17">
        <f>Github!O$218</f>
        <v>60.38529165</v>
      </c>
      <c r="L219" s="17">
        <f>Github!P$218</f>
        <v>1386740</v>
      </c>
    </row>
    <row r="220">
      <c r="A220" s="17">
        <f>Github!J$219</f>
        <v>218</v>
      </c>
      <c r="B220" s="34" t="str">
        <f>HYPERLINK(CONCAT("http://leetcode.com/problems/",Github!C$219), Github!B$219)</f>
        <v>The Skyline Problem</v>
      </c>
      <c r="C220" s="17">
        <f>Github!F$219</f>
        <v>3670</v>
      </c>
      <c r="D220" s="17">
        <f>Github!G$219</f>
        <v>190</v>
      </c>
      <c r="E220" s="17">
        <f>Github!F$219+Github!G$219</f>
        <v>3860</v>
      </c>
      <c r="F220" s="18">
        <f t="shared" si="1"/>
        <v>19.32</v>
      </c>
      <c r="G220" s="17" t="str">
        <f>Github!H$219</f>
        <v>Algorithms</v>
      </c>
      <c r="H220" s="17" t="b">
        <f>Github!D$219</f>
        <v>0</v>
      </c>
      <c r="I220" s="17" t="str">
        <f>Github!E$219</f>
        <v>Hard</v>
      </c>
      <c r="J220" s="17" t="str">
        <f>ROUND(Github!N$219, 2)&amp;"%"</f>
        <v>0%</v>
      </c>
      <c r="K220" s="17">
        <f>Github!O$219</f>
        <v>38.44666483</v>
      </c>
      <c r="L220" s="17">
        <f>Github!P$219</f>
        <v>200622</v>
      </c>
    </row>
    <row r="221">
      <c r="A221" s="17">
        <f>Github!J$220</f>
        <v>219</v>
      </c>
      <c r="B221" s="34" t="str">
        <f>HYPERLINK(CONCAT("http://leetcode.com/problems/",Github!C$220), Github!B$220)</f>
        <v>Contains Duplicate II</v>
      </c>
      <c r="C221" s="17">
        <f>Github!F$220</f>
        <v>2237</v>
      </c>
      <c r="D221" s="17">
        <f>Github!G$220</f>
        <v>1805</v>
      </c>
      <c r="E221" s="17">
        <f>Github!F$220+Github!G$220</f>
        <v>4042</v>
      </c>
      <c r="F221" s="18">
        <f t="shared" si="1"/>
        <v>1.24</v>
      </c>
      <c r="G221" s="17" t="str">
        <f>Github!H$220</f>
        <v>Algorithms</v>
      </c>
      <c r="H221" s="17" t="b">
        <f>Github!D$220</f>
        <v>0</v>
      </c>
      <c r="I221" s="17" t="str">
        <f>Github!E$220</f>
        <v>Easy</v>
      </c>
      <c r="J221" s="17" t="str">
        <f>ROUND(Github!N$220, 2)&amp;"%"</f>
        <v>0%</v>
      </c>
      <c r="K221" s="17">
        <f>Github!O$220</f>
        <v>40.51871195</v>
      </c>
      <c r="L221" s="17">
        <f>Github!P$220</f>
        <v>435858</v>
      </c>
    </row>
    <row r="222">
      <c r="A222" s="17">
        <f>Github!J$221</f>
        <v>220</v>
      </c>
      <c r="B222" s="34" t="str">
        <f>HYPERLINK(CONCAT("http://leetcode.com/problems/",Github!C$221), Github!B$221)</f>
        <v>Contains Duplicate III</v>
      </c>
      <c r="C222" s="17">
        <f>Github!F$221</f>
        <v>2194</v>
      </c>
      <c r="D222" s="17">
        <f>Github!G$221</f>
        <v>2159</v>
      </c>
      <c r="E222" s="17">
        <f>Github!F$221+Github!G$221</f>
        <v>4353</v>
      </c>
      <c r="F222" s="18">
        <f t="shared" si="1"/>
        <v>1.02</v>
      </c>
      <c r="G222" s="17" t="str">
        <f>Github!H$221</f>
        <v>Algorithms</v>
      </c>
      <c r="H222" s="17" t="b">
        <f>Github!D$221</f>
        <v>0</v>
      </c>
      <c r="I222" s="17" t="str">
        <f>Github!E$221</f>
        <v>Medium</v>
      </c>
      <c r="J222" s="17" t="str">
        <f>ROUND(Github!N$221, 2)&amp;"%"</f>
        <v>0%</v>
      </c>
      <c r="K222" s="17">
        <f>Github!O$221</f>
        <v>21.68988529</v>
      </c>
      <c r="L222" s="17">
        <f>Github!P$221</f>
        <v>196765</v>
      </c>
    </row>
    <row r="223">
      <c r="A223" s="17">
        <f>Github!J$222</f>
        <v>221</v>
      </c>
      <c r="B223" s="34" t="str">
        <f>HYPERLINK(CONCAT("http://leetcode.com/problems/",Github!C$222), Github!B$222)</f>
        <v>Maximal Square</v>
      </c>
      <c r="C223" s="17">
        <f>Github!F$222</f>
        <v>6838</v>
      </c>
      <c r="D223" s="17">
        <f>Github!G$222</f>
        <v>144</v>
      </c>
      <c r="E223" s="17">
        <f>Github!F$222+Github!G$222</f>
        <v>6982</v>
      </c>
      <c r="F223" s="18">
        <f t="shared" si="1"/>
        <v>47.49</v>
      </c>
      <c r="G223" s="17" t="str">
        <f>Github!H$222</f>
        <v>Algorithms</v>
      </c>
      <c r="H223" s="17" t="b">
        <f>Github!D$222</f>
        <v>0</v>
      </c>
      <c r="I223" s="17" t="str">
        <f>Github!E$222</f>
        <v>Medium</v>
      </c>
      <c r="J223" s="17" t="str">
        <f>ROUND(Github!N$222, 2)&amp;"%"</f>
        <v>0%</v>
      </c>
      <c r="K223" s="17">
        <f>Github!O$222</f>
        <v>43.15052896</v>
      </c>
      <c r="L223" s="17">
        <f>Github!P$222</f>
        <v>473712</v>
      </c>
    </row>
    <row r="224">
      <c r="A224" s="17">
        <f>Github!J$223</f>
        <v>222</v>
      </c>
      <c r="B224" s="34" t="str">
        <f>HYPERLINK(CONCAT("http://leetcode.com/problems/",Github!C$223), Github!B$223)</f>
        <v>Count Complete Tree Nodes</v>
      </c>
      <c r="C224" s="17">
        <f>Github!F$223</f>
        <v>4574</v>
      </c>
      <c r="D224" s="17">
        <f>Github!G$223</f>
        <v>305</v>
      </c>
      <c r="E224" s="17">
        <f>Github!F$223+Github!G$223</f>
        <v>4879</v>
      </c>
      <c r="F224" s="18">
        <f t="shared" si="1"/>
        <v>15</v>
      </c>
      <c r="G224" s="17" t="str">
        <f>Github!H$223</f>
        <v>Algorithms</v>
      </c>
      <c r="H224" s="17" t="b">
        <f>Github!D$223</f>
        <v>0</v>
      </c>
      <c r="I224" s="17" t="str">
        <f>Github!E$223</f>
        <v>Medium</v>
      </c>
      <c r="J224" s="17" t="str">
        <f>ROUND(Github!N$223, 2)&amp;"%"</f>
        <v>0%</v>
      </c>
      <c r="K224" s="17">
        <f>Github!O$223</f>
        <v>54.71181104</v>
      </c>
      <c r="L224" s="17">
        <f>Github!P$223</f>
        <v>387153</v>
      </c>
    </row>
    <row r="225">
      <c r="A225" s="17">
        <f>Github!J$224</f>
        <v>223</v>
      </c>
      <c r="B225" s="34" t="str">
        <f>HYPERLINK(CONCAT("http://leetcode.com/problems/",Github!C$224), Github!B$224)</f>
        <v>Rectangle Area</v>
      </c>
      <c r="C225" s="17">
        <f>Github!F$224</f>
        <v>723</v>
      </c>
      <c r="D225" s="17">
        <f>Github!G$224</f>
        <v>997</v>
      </c>
      <c r="E225" s="17">
        <f>Github!F$224+Github!G$224</f>
        <v>1720</v>
      </c>
      <c r="F225" s="18">
        <f t="shared" si="1"/>
        <v>0.73</v>
      </c>
      <c r="G225" s="17" t="str">
        <f>Github!H$224</f>
        <v>Algorithms</v>
      </c>
      <c r="H225" s="17" t="b">
        <f>Github!D$224</f>
        <v>0</v>
      </c>
      <c r="I225" s="17" t="str">
        <f>Github!E$224</f>
        <v>Medium</v>
      </c>
      <c r="J225" s="17" t="str">
        <f>ROUND(Github!N$224, 2)&amp;"%"</f>
        <v>0%</v>
      </c>
      <c r="K225" s="17">
        <f>Github!O$224</f>
        <v>39.90849221</v>
      </c>
      <c r="L225" s="17">
        <f>Github!P$224</f>
        <v>133802</v>
      </c>
    </row>
    <row r="226">
      <c r="A226" s="17">
        <f>Github!J$225</f>
        <v>224</v>
      </c>
      <c r="B226" s="34" t="str">
        <f>HYPERLINK(CONCAT("http://leetcode.com/problems/",Github!C$225), Github!B$225)</f>
        <v>Basic Calculator</v>
      </c>
      <c r="C226" s="17">
        <f>Github!F$225</f>
        <v>3403</v>
      </c>
      <c r="D226" s="17">
        <f>Github!G$225</f>
        <v>285</v>
      </c>
      <c r="E226" s="17">
        <f>Github!F$225+Github!G$225</f>
        <v>3688</v>
      </c>
      <c r="F226" s="18">
        <f t="shared" si="1"/>
        <v>11.94</v>
      </c>
      <c r="G226" s="17" t="str">
        <f>Github!H$225</f>
        <v>Algorithms</v>
      </c>
      <c r="H226" s="17" t="b">
        <f>Github!D$225</f>
        <v>0</v>
      </c>
      <c r="I226" s="17" t="str">
        <f>Github!E$225</f>
        <v>Hard</v>
      </c>
      <c r="J226" s="17" t="str">
        <f>ROUND(Github!N$225, 2)&amp;"%"</f>
        <v>0%</v>
      </c>
      <c r="K226" s="17">
        <f>Github!O$225</f>
        <v>40.29072191</v>
      </c>
      <c r="L226" s="17">
        <f>Github!P$225</f>
        <v>281306</v>
      </c>
    </row>
    <row r="227">
      <c r="A227" s="17">
        <f>Github!J$226</f>
        <v>225</v>
      </c>
      <c r="B227" s="34" t="str">
        <f>HYPERLINK(CONCAT("http://leetcode.com/problems/",Github!C$226), Github!B$226)</f>
        <v>Implement Stack using Queues</v>
      </c>
      <c r="C227" s="17">
        <f>Github!F$226</f>
        <v>1913</v>
      </c>
      <c r="D227" s="17">
        <f>Github!G$226</f>
        <v>775</v>
      </c>
      <c r="E227" s="17">
        <f>Github!F$226+Github!G$226</f>
        <v>2688</v>
      </c>
      <c r="F227" s="18">
        <f t="shared" si="1"/>
        <v>2.47</v>
      </c>
      <c r="G227" s="17" t="str">
        <f>Github!H$226</f>
        <v>Algorithms</v>
      </c>
      <c r="H227" s="17" t="b">
        <f>Github!D$226</f>
        <v>0</v>
      </c>
      <c r="I227" s="17" t="str">
        <f>Github!E$226</f>
        <v>Easy</v>
      </c>
      <c r="J227" s="17" t="str">
        <f>ROUND(Github!N$226, 2)&amp;"%"</f>
        <v>0%</v>
      </c>
      <c r="K227" s="17">
        <f>Github!O$226</f>
        <v>52.04705203</v>
      </c>
      <c r="L227" s="17">
        <f>Github!P$226</f>
        <v>281229</v>
      </c>
    </row>
    <row r="228">
      <c r="A228" s="17">
        <f>Github!J$227</f>
        <v>226</v>
      </c>
      <c r="B228" s="34" t="str">
        <f>HYPERLINK(CONCAT("http://leetcode.com/problems/",Github!C$227), Github!B$227)</f>
        <v>Invert Binary Tree</v>
      </c>
      <c r="C228" s="17">
        <f>Github!F$227</f>
        <v>7795</v>
      </c>
      <c r="D228" s="17">
        <f>Github!G$227</f>
        <v>105</v>
      </c>
      <c r="E228" s="17">
        <f>Github!F$227+Github!G$227</f>
        <v>7900</v>
      </c>
      <c r="F228" s="18">
        <f t="shared" si="1"/>
        <v>74.24</v>
      </c>
      <c r="G228" s="17" t="str">
        <f>Github!H$227</f>
        <v>Algorithms</v>
      </c>
      <c r="H228" s="17" t="b">
        <f>Github!D$227</f>
        <v>0</v>
      </c>
      <c r="I228" s="17" t="str">
        <f>Github!E$227</f>
        <v>Easy</v>
      </c>
      <c r="J228" s="17" t="str">
        <f>ROUND(Github!N$227, 2)&amp;"%"</f>
        <v>1%</v>
      </c>
      <c r="K228" s="17">
        <f>Github!O$227</f>
        <v>71.05821046</v>
      </c>
      <c r="L228" s="17">
        <f>Github!P$227</f>
        <v>959958</v>
      </c>
    </row>
    <row r="229">
      <c r="A229" s="17">
        <f>Github!J$228</f>
        <v>227</v>
      </c>
      <c r="B229" s="34" t="str">
        <f>HYPERLINK(CONCAT("http://leetcode.com/problems/",Github!C$228), Github!B$228)</f>
        <v>Basic Calculator II</v>
      </c>
      <c r="C229" s="17">
        <f>Github!F$228</f>
        <v>4044</v>
      </c>
      <c r="D229" s="17">
        <f>Github!G$228</f>
        <v>533</v>
      </c>
      <c r="E229" s="17">
        <f>Github!F$228+Github!G$228</f>
        <v>4577</v>
      </c>
      <c r="F229" s="18">
        <f t="shared" si="1"/>
        <v>7.59</v>
      </c>
      <c r="G229" s="17" t="str">
        <f>Github!H$228</f>
        <v>Algorithms</v>
      </c>
      <c r="H229" s="17" t="b">
        <f>Github!D$228</f>
        <v>0</v>
      </c>
      <c r="I229" s="17" t="str">
        <f>Github!E$228</f>
        <v>Medium</v>
      </c>
      <c r="J229" s="17" t="str">
        <f>ROUND(Github!N$228, 2)&amp;"%"</f>
        <v>0%</v>
      </c>
      <c r="K229" s="17">
        <f>Github!O$228</f>
        <v>41.31013365</v>
      </c>
      <c r="L229" s="17">
        <f>Github!P$228</f>
        <v>400138</v>
      </c>
    </row>
    <row r="230">
      <c r="A230" s="17">
        <f>Github!J$229</f>
        <v>228</v>
      </c>
      <c r="B230" s="34" t="str">
        <f>HYPERLINK(CONCAT("http://leetcode.com/problems/",Github!C$229), Github!B$229)</f>
        <v>Summary Ranges</v>
      </c>
      <c r="C230" s="17">
        <f>Github!F$229</f>
        <v>1985</v>
      </c>
      <c r="D230" s="17">
        <f>Github!G$229</f>
        <v>1119</v>
      </c>
      <c r="E230" s="17">
        <f>Github!F$229+Github!G$229</f>
        <v>3104</v>
      </c>
      <c r="F230" s="18">
        <f t="shared" si="1"/>
        <v>1.77</v>
      </c>
      <c r="G230" s="17" t="str">
        <f>Github!H$229</f>
        <v>Algorithms</v>
      </c>
      <c r="H230" s="17" t="b">
        <f>Github!D$229</f>
        <v>0</v>
      </c>
      <c r="I230" s="17" t="str">
        <f>Github!E$229</f>
        <v>Easy</v>
      </c>
      <c r="J230" s="17" t="str">
        <f>ROUND(Github!N$229, 2)&amp;"%"</f>
        <v>0%</v>
      </c>
      <c r="K230" s="17">
        <f>Github!O$229</f>
        <v>46.23008393</v>
      </c>
      <c r="L230" s="17">
        <f>Github!P$229</f>
        <v>286964</v>
      </c>
    </row>
    <row r="231">
      <c r="A231" s="17">
        <f>Github!J$230</f>
        <v>229</v>
      </c>
      <c r="B231" s="34" t="str">
        <f>HYPERLINK(CONCAT("http://leetcode.com/problems/",Github!C$230), Github!B$230)</f>
        <v>Majority Element II</v>
      </c>
      <c r="C231" s="17">
        <f>Github!F$230</f>
        <v>4482</v>
      </c>
      <c r="D231" s="17">
        <f>Github!G$230</f>
        <v>270</v>
      </c>
      <c r="E231" s="17">
        <f>Github!F$230+Github!G$230</f>
        <v>4752</v>
      </c>
      <c r="F231" s="18">
        <f t="shared" si="1"/>
        <v>16.6</v>
      </c>
      <c r="G231" s="17" t="str">
        <f>Github!H$230</f>
        <v>Algorithms</v>
      </c>
      <c r="H231" s="17" t="b">
        <f>Github!D$230</f>
        <v>0</v>
      </c>
      <c r="I231" s="17" t="str">
        <f>Github!E$230</f>
        <v>Medium</v>
      </c>
      <c r="J231" s="17" t="str">
        <f>ROUND(Github!N$230, 2)&amp;"%"</f>
        <v>0%</v>
      </c>
      <c r="K231" s="17">
        <f>Github!O$230</f>
        <v>41.96573894</v>
      </c>
      <c r="L231" s="17">
        <f>Github!P$230</f>
        <v>273562</v>
      </c>
    </row>
    <row r="232">
      <c r="A232" s="17">
        <f>Github!J$231</f>
        <v>230</v>
      </c>
      <c r="B232" s="34" t="str">
        <f>HYPERLINK(CONCAT("http://leetcode.com/problems/",Github!C$231), Github!B$231)</f>
        <v>Kth Smallest Element in a BST</v>
      </c>
      <c r="C232" s="17">
        <f>Github!F$231</f>
        <v>5908</v>
      </c>
      <c r="D232" s="17">
        <f>Github!G$231</f>
        <v>116</v>
      </c>
      <c r="E232" s="17">
        <f>Github!F$231+Github!G$231</f>
        <v>6024</v>
      </c>
      <c r="F232" s="18">
        <f t="shared" si="1"/>
        <v>50.93</v>
      </c>
      <c r="G232" s="17" t="str">
        <f>Github!H$231</f>
        <v>Algorithms</v>
      </c>
      <c r="H232" s="17" t="b">
        <f>Github!D$231</f>
        <v>0</v>
      </c>
      <c r="I232" s="17" t="str">
        <f>Github!E$231</f>
        <v>Medium</v>
      </c>
      <c r="J232" s="17" t="str">
        <f>ROUND(Github!N$231, 2)&amp;"%"</f>
        <v>0%</v>
      </c>
      <c r="K232" s="17">
        <f>Github!O$231</f>
        <v>66.31174593</v>
      </c>
      <c r="L232" s="17">
        <f>Github!P$231</f>
        <v>709648</v>
      </c>
    </row>
    <row r="233">
      <c r="A233" s="17">
        <f>Github!J$232</f>
        <v>231</v>
      </c>
      <c r="B233" s="34" t="str">
        <f>HYPERLINK(CONCAT("http://leetcode.com/problems/",Github!C$232), Github!B$232)</f>
        <v>Power of Two</v>
      </c>
      <c r="C233" s="17">
        <f>Github!F$232</f>
        <v>2950</v>
      </c>
      <c r="D233" s="17">
        <f>Github!G$232</f>
        <v>281</v>
      </c>
      <c r="E233" s="17">
        <f>Github!F$232+Github!G$232</f>
        <v>3231</v>
      </c>
      <c r="F233" s="18">
        <f t="shared" si="1"/>
        <v>10.5</v>
      </c>
      <c r="G233" s="17" t="str">
        <f>Github!H$232</f>
        <v>Algorithms</v>
      </c>
      <c r="H233" s="17" t="b">
        <f>Github!D$232</f>
        <v>0</v>
      </c>
      <c r="I233" s="17" t="str">
        <f>Github!E$232</f>
        <v>Easy</v>
      </c>
      <c r="J233" s="17" t="str">
        <f>ROUND(Github!N$232, 2)&amp;"%"</f>
        <v>0%</v>
      </c>
      <c r="K233" s="17">
        <f>Github!O$232</f>
        <v>44.86226758</v>
      </c>
      <c r="L233" s="17">
        <f>Github!P$232</f>
        <v>588290</v>
      </c>
    </row>
    <row r="234">
      <c r="A234" s="17">
        <f>Github!J$233</f>
        <v>232</v>
      </c>
      <c r="B234" s="34" t="str">
        <f>HYPERLINK(CONCAT("http://leetcode.com/problems/",Github!C$233), Github!B$233)</f>
        <v>Implement Queue using Stacks</v>
      </c>
      <c r="C234" s="17">
        <f>Github!F$233</f>
        <v>3031</v>
      </c>
      <c r="D234" s="17">
        <f>Github!G$233</f>
        <v>211</v>
      </c>
      <c r="E234" s="17">
        <f>Github!F$233+Github!G$233</f>
        <v>3242</v>
      </c>
      <c r="F234" s="18">
        <f t="shared" si="1"/>
        <v>14.36</v>
      </c>
      <c r="G234" s="17" t="str">
        <f>Github!H$233</f>
        <v>Algorithms</v>
      </c>
      <c r="H234" s="17" t="b">
        <f>Github!D$233</f>
        <v>0</v>
      </c>
      <c r="I234" s="17" t="str">
        <f>Github!E$233</f>
        <v>Easy</v>
      </c>
      <c r="J234" s="17" t="str">
        <f>ROUND(Github!N$233, 2)&amp;"%"</f>
        <v>0%</v>
      </c>
      <c r="K234" s="17">
        <f>Github!O$233</f>
        <v>57.32862362</v>
      </c>
      <c r="L234" s="17">
        <f>Github!P$233</f>
        <v>378966</v>
      </c>
    </row>
    <row r="235">
      <c r="A235" s="17">
        <f>Github!J$234</f>
        <v>233</v>
      </c>
      <c r="B235" s="34" t="str">
        <f>HYPERLINK(CONCAT("http://leetcode.com/problems/",Github!C$234), Github!B$234)</f>
        <v>Number of Digit One</v>
      </c>
      <c r="C235" s="17">
        <f>Github!F$234</f>
        <v>670</v>
      </c>
      <c r="D235" s="17">
        <f>Github!G$234</f>
        <v>985</v>
      </c>
      <c r="E235" s="17">
        <f>Github!F$234+Github!G$234</f>
        <v>1655</v>
      </c>
      <c r="F235" s="18">
        <f t="shared" si="1"/>
        <v>0.68</v>
      </c>
      <c r="G235" s="17" t="str">
        <f>Github!H$234</f>
        <v>Algorithms</v>
      </c>
      <c r="H235" s="17" t="b">
        <f>Github!D$234</f>
        <v>0</v>
      </c>
      <c r="I235" s="17" t="str">
        <f>Github!E$234</f>
        <v>Hard</v>
      </c>
      <c r="J235" s="17" t="str">
        <f>ROUND(Github!N$234, 2)&amp;"%"</f>
        <v>0%</v>
      </c>
      <c r="K235" s="17">
        <f>Github!O$234</f>
        <v>33.33439821</v>
      </c>
      <c r="L235" s="17">
        <f>Github!P$234</f>
        <v>62607</v>
      </c>
    </row>
    <row r="236">
      <c r="A236" s="17">
        <f>Github!J$235</f>
        <v>234</v>
      </c>
      <c r="B236" s="34" t="str">
        <f>HYPERLINK(CONCAT("http://leetcode.com/problems/",Github!C$235), Github!B$235)</f>
        <v>Palindrome Linked List</v>
      </c>
      <c r="C236" s="17">
        <f>Github!F$235</f>
        <v>8193</v>
      </c>
      <c r="D236" s="17">
        <f>Github!G$235</f>
        <v>508</v>
      </c>
      <c r="E236" s="17">
        <f>Github!F$235+Github!G$235</f>
        <v>8701</v>
      </c>
      <c r="F236" s="18">
        <f t="shared" si="1"/>
        <v>16.13</v>
      </c>
      <c r="G236" s="17" t="str">
        <f>Github!H$235</f>
        <v>Algorithms</v>
      </c>
      <c r="H236" s="17" t="b">
        <f>Github!D$235</f>
        <v>0</v>
      </c>
      <c r="I236" s="17" t="str">
        <f>Github!E$235</f>
        <v>Easy</v>
      </c>
      <c r="J236" s="17" t="str">
        <f>ROUND(Github!N$235, 2)&amp;"%"</f>
        <v>1%</v>
      </c>
      <c r="K236" s="17">
        <f>Github!O$235</f>
        <v>46.07735979</v>
      </c>
      <c r="L236" s="17">
        <f>Github!P$235</f>
        <v>899165</v>
      </c>
    </row>
    <row r="237">
      <c r="A237" s="17">
        <f>Github!J$236</f>
        <v>235</v>
      </c>
      <c r="B237" s="34" t="str">
        <f>HYPERLINK(CONCAT("http://leetcode.com/problems/",Github!C$236), Github!B$236)</f>
        <v>Lowest Common Ancestor of a Binary Search Tree</v>
      </c>
      <c r="C237" s="17">
        <f>Github!F$236</f>
        <v>5191</v>
      </c>
      <c r="D237" s="17">
        <f>Github!G$236</f>
        <v>174</v>
      </c>
      <c r="E237" s="17">
        <f>Github!F$236+Github!G$236</f>
        <v>5365</v>
      </c>
      <c r="F237" s="18">
        <f t="shared" si="1"/>
        <v>29.83</v>
      </c>
      <c r="G237" s="17" t="str">
        <f>Github!H$236</f>
        <v>Algorithms</v>
      </c>
      <c r="H237" s="17" t="b">
        <f>Github!D$236</f>
        <v>0</v>
      </c>
      <c r="I237" s="17" t="str">
        <f>Github!E$236</f>
        <v>Easy</v>
      </c>
      <c r="J237" s="17" t="str">
        <f>ROUND(Github!N$236, 2)&amp;"%"</f>
        <v>0%</v>
      </c>
      <c r="K237" s="17">
        <f>Github!O$236</f>
        <v>56.45723606</v>
      </c>
      <c r="L237" s="17">
        <f>Github!P$236</f>
        <v>701994</v>
      </c>
    </row>
    <row r="238">
      <c r="A238" s="17">
        <f>Github!J$237</f>
        <v>236</v>
      </c>
      <c r="B238" s="34" t="str">
        <f>HYPERLINK(CONCAT("http://leetcode.com/problems/",Github!C$237), Github!B$237)</f>
        <v>Lowest Common Ancestor of a Binary Tree</v>
      </c>
      <c r="C238" s="17">
        <f>Github!F$237</f>
        <v>9006</v>
      </c>
      <c r="D238" s="17">
        <f>Github!G$237</f>
        <v>260</v>
      </c>
      <c r="E238" s="17">
        <f>Github!F$237+Github!G$237</f>
        <v>9266</v>
      </c>
      <c r="F238" s="18">
        <f t="shared" si="1"/>
        <v>34.64</v>
      </c>
      <c r="G238" s="17" t="str">
        <f>Github!H$237</f>
        <v>Algorithms</v>
      </c>
      <c r="H238" s="17" t="b">
        <f>Github!D$237</f>
        <v>0</v>
      </c>
      <c r="I238" s="17" t="str">
        <f>Github!E$237</f>
        <v>Medium</v>
      </c>
      <c r="J238" s="17" t="str">
        <f>ROUND(Github!N$237, 2)&amp;"%"</f>
        <v>0%</v>
      </c>
      <c r="K238" s="17">
        <f>Github!O$237</f>
        <v>54.67392879</v>
      </c>
      <c r="L238" s="17">
        <f>Github!P$237</f>
        <v>931931</v>
      </c>
    </row>
    <row r="239">
      <c r="A239" s="17">
        <f>Github!J$238</f>
        <v>237</v>
      </c>
      <c r="B239" s="34" t="str">
        <f>HYPERLINK(CONCAT("http://leetcode.com/problems/",Github!C$238), Github!B$238)</f>
        <v>Delete Node in a Linked List</v>
      </c>
      <c r="C239" s="17">
        <f>Github!F$238</f>
        <v>4080</v>
      </c>
      <c r="D239" s="17">
        <f>Github!G$238</f>
        <v>11277</v>
      </c>
      <c r="E239" s="17">
        <f>Github!F$238+Github!G$238</f>
        <v>15357</v>
      </c>
      <c r="F239" s="18">
        <f t="shared" si="1"/>
        <v>0.36</v>
      </c>
      <c r="G239" s="17" t="str">
        <f>Github!H$238</f>
        <v>Algorithms</v>
      </c>
      <c r="H239" s="17" t="b">
        <f>Github!D$238</f>
        <v>0</v>
      </c>
      <c r="I239" s="17" t="str">
        <f>Github!E$238</f>
        <v>Easy</v>
      </c>
      <c r="J239" s="17" t="str">
        <f>ROUND(Github!N$238, 2)&amp;"%"</f>
        <v>0%</v>
      </c>
      <c r="K239" s="17">
        <f>Github!O$238</f>
        <v>71.39019501</v>
      </c>
      <c r="L239" s="17">
        <f>Github!P$238</f>
        <v>765360</v>
      </c>
    </row>
    <row r="240">
      <c r="A240" s="17">
        <f>Github!J$239</f>
        <v>238</v>
      </c>
      <c r="B240" s="34" t="str">
        <f>HYPERLINK(CONCAT("http://leetcode.com/problems/",Github!C$239), Github!B$239)</f>
        <v>Product of Array Except Self</v>
      </c>
      <c r="C240" s="17">
        <f>Github!F$239</f>
        <v>11406</v>
      </c>
      <c r="D240" s="17">
        <f>Github!G$239</f>
        <v>696</v>
      </c>
      <c r="E240" s="17">
        <f>Github!F$239+Github!G$239</f>
        <v>12102</v>
      </c>
      <c r="F240" s="18">
        <f t="shared" si="1"/>
        <v>16.39</v>
      </c>
      <c r="G240" s="17" t="str">
        <f>Github!H$239</f>
        <v>Algorithms</v>
      </c>
      <c r="H240" s="17" t="b">
        <f>Github!D$239</f>
        <v>0</v>
      </c>
      <c r="I240" s="17" t="str">
        <f>Github!E$239</f>
        <v>Medium</v>
      </c>
      <c r="J240" s="17" t="str">
        <f>ROUND(Github!N$239, 2)&amp;"%"</f>
        <v>1%</v>
      </c>
      <c r="K240" s="17">
        <f>Github!O$239</f>
        <v>63.68293236</v>
      </c>
      <c r="L240" s="17">
        <f>Github!P$239</f>
        <v>1079312</v>
      </c>
    </row>
    <row r="241">
      <c r="A241" s="17">
        <f>Github!J$240</f>
        <v>239</v>
      </c>
      <c r="B241" s="34" t="str">
        <f>HYPERLINK(CONCAT("http://leetcode.com/problems/",Github!C$240), Github!B$240)</f>
        <v>Sliding Window Maximum</v>
      </c>
      <c r="C241" s="17">
        <f>Github!F$240</f>
        <v>9088</v>
      </c>
      <c r="D241" s="17">
        <f>Github!G$240</f>
        <v>317</v>
      </c>
      <c r="E241" s="17">
        <f>Github!F$240+Github!G$240</f>
        <v>9405</v>
      </c>
      <c r="F241" s="18">
        <f t="shared" si="1"/>
        <v>28.67</v>
      </c>
      <c r="G241" s="17" t="str">
        <f>Github!H$240</f>
        <v>Algorithms</v>
      </c>
      <c r="H241" s="17" t="b">
        <f>Github!D$240</f>
        <v>0</v>
      </c>
      <c r="I241" s="17" t="str">
        <f>Github!E$240</f>
        <v>Hard</v>
      </c>
      <c r="J241" s="17" t="str">
        <f>ROUND(Github!N$240, 2)&amp;"%"</f>
        <v>0%</v>
      </c>
      <c r="K241" s="17">
        <f>Github!O$240</f>
        <v>46.11816075</v>
      </c>
      <c r="L241" s="17">
        <f>Github!P$240</f>
        <v>537807</v>
      </c>
    </row>
    <row r="242">
      <c r="A242" s="17">
        <f>Github!J$241</f>
        <v>240</v>
      </c>
      <c r="B242" s="34" t="str">
        <f>HYPERLINK(CONCAT("http://leetcode.com/problems/",Github!C$241), Github!B$241)</f>
        <v>Search a 2D Matrix II</v>
      </c>
      <c r="C242" s="17">
        <f>Github!F$241</f>
        <v>6848</v>
      </c>
      <c r="D242" s="17">
        <f>Github!G$241</f>
        <v>119</v>
      </c>
      <c r="E242" s="17">
        <f>Github!F$241+Github!G$241</f>
        <v>6967</v>
      </c>
      <c r="F242" s="18">
        <f t="shared" si="1"/>
        <v>57.55</v>
      </c>
      <c r="G242" s="17" t="str">
        <f>Github!H$241</f>
        <v>Algorithms</v>
      </c>
      <c r="H242" s="17" t="b">
        <f>Github!D$241</f>
        <v>0</v>
      </c>
      <c r="I242" s="17" t="str">
        <f>Github!E$241</f>
        <v>Medium</v>
      </c>
      <c r="J242" s="17" t="str">
        <f>ROUND(Github!N$241, 2)&amp;"%"</f>
        <v>0%</v>
      </c>
      <c r="K242" s="17">
        <f>Github!O$241</f>
        <v>47.97340379</v>
      </c>
      <c r="L242" s="17">
        <f>Github!P$241</f>
        <v>569555</v>
      </c>
    </row>
    <row r="243">
      <c r="A243" s="17">
        <f>Github!J$242</f>
        <v>241</v>
      </c>
      <c r="B243" s="34" t="str">
        <f>HYPERLINK(CONCAT("http://leetcode.com/problems/",Github!C$242), Github!B$242)</f>
        <v>Different Ways to Add Parentheses</v>
      </c>
      <c r="C243" s="17">
        <f>Github!F$242</f>
        <v>3385</v>
      </c>
      <c r="D243" s="17">
        <f>Github!G$242</f>
        <v>169</v>
      </c>
      <c r="E243" s="17">
        <f>Github!F$242+Github!G$242</f>
        <v>3554</v>
      </c>
      <c r="F243" s="18">
        <f t="shared" si="1"/>
        <v>20.03</v>
      </c>
      <c r="G243" s="17" t="str">
        <f>Github!H$242</f>
        <v>Algorithms</v>
      </c>
      <c r="H243" s="17" t="b">
        <f>Github!D$242</f>
        <v>0</v>
      </c>
      <c r="I243" s="17" t="str">
        <f>Github!E$242</f>
        <v>Medium</v>
      </c>
      <c r="J243" s="17" t="str">
        <f>ROUND(Github!N$242, 2)&amp;"%"</f>
        <v>0%</v>
      </c>
      <c r="K243" s="17">
        <f>Github!O$242</f>
        <v>61.16912769</v>
      </c>
      <c r="L243" s="17">
        <f>Github!P$242</f>
        <v>155923</v>
      </c>
    </row>
    <row r="244">
      <c r="A244" s="17">
        <f>Github!J$243</f>
        <v>242</v>
      </c>
      <c r="B244" s="34" t="str">
        <f>HYPERLINK(CONCAT("http://leetcode.com/problems/",Github!C$243), Github!B$243)</f>
        <v>Valid Anagram</v>
      </c>
      <c r="C244" s="17">
        <f>Github!F$243</f>
        <v>4367</v>
      </c>
      <c r="D244" s="17">
        <f>Github!G$243</f>
        <v>203</v>
      </c>
      <c r="E244" s="17">
        <f>Github!F$243+Github!G$243</f>
        <v>4570</v>
      </c>
      <c r="F244" s="18">
        <f t="shared" si="1"/>
        <v>21.51</v>
      </c>
      <c r="G244" s="17" t="str">
        <f>Github!H$243</f>
        <v>Algorithms</v>
      </c>
      <c r="H244" s="17" t="b">
        <f>Github!D$243</f>
        <v>0</v>
      </c>
      <c r="I244" s="17" t="str">
        <f>Github!E$243</f>
        <v>Easy</v>
      </c>
      <c r="J244" s="17" t="str">
        <f>ROUND(Github!N$243, 2)&amp;"%"</f>
        <v>1%</v>
      </c>
      <c r="K244" s="17">
        <f>Github!O$243</f>
        <v>61.13027616</v>
      </c>
      <c r="L244" s="17">
        <f>Github!P$243</f>
        <v>1144693</v>
      </c>
    </row>
    <row r="245">
      <c r="A245" s="17">
        <f>Github!J$244</f>
        <v>243</v>
      </c>
      <c r="B245" s="34" t="str">
        <f>HYPERLINK(CONCAT("http://leetcode.com/problems/",Github!C$244), Github!B$244)</f>
        <v>Shortest Word Distance</v>
      </c>
      <c r="C245" s="17">
        <f>Github!F$244</f>
        <v>970</v>
      </c>
      <c r="D245" s="17">
        <f>Github!G$244</f>
        <v>82</v>
      </c>
      <c r="E245" s="17">
        <f>Github!F$244+Github!G$244</f>
        <v>1052</v>
      </c>
      <c r="F245" s="18">
        <f t="shared" si="1"/>
        <v>11.83</v>
      </c>
      <c r="G245" s="17" t="str">
        <f>Github!H$244</f>
        <v>Algorithms</v>
      </c>
      <c r="H245" s="17" t="b">
        <f>Github!D$244</f>
        <v>1</v>
      </c>
      <c r="I245" s="17" t="str">
        <f>Github!E$244</f>
        <v>Easy</v>
      </c>
      <c r="J245" s="17" t="str">
        <f>ROUND(Github!N$244, 2)&amp;"%"</f>
        <v>0%</v>
      </c>
      <c r="K245" s="17">
        <f>Github!O$244</f>
        <v>64.08881645</v>
      </c>
      <c r="L245" s="17">
        <f>Github!P$244</f>
        <v>168302</v>
      </c>
    </row>
    <row r="246">
      <c r="A246" s="17">
        <f>Github!J$245</f>
        <v>244</v>
      </c>
      <c r="B246" s="34" t="str">
        <f>HYPERLINK(CONCAT("http://leetcode.com/problems/",Github!C$245), Github!B$245)</f>
        <v>Shortest Word Distance II</v>
      </c>
      <c r="C246" s="17">
        <f>Github!F$245</f>
        <v>797</v>
      </c>
      <c r="D246" s="17">
        <f>Github!G$245</f>
        <v>242</v>
      </c>
      <c r="E246" s="17">
        <f>Github!F$245+Github!G$245</f>
        <v>1039</v>
      </c>
      <c r="F246" s="18">
        <f t="shared" si="1"/>
        <v>3.29</v>
      </c>
      <c r="G246" s="17" t="str">
        <f>Github!H$245</f>
        <v>Algorithms</v>
      </c>
      <c r="H246" s="17" t="b">
        <f>Github!D$245</f>
        <v>1</v>
      </c>
      <c r="I246" s="17" t="str">
        <f>Github!E$245</f>
        <v>Medium</v>
      </c>
      <c r="J246" s="17" t="str">
        <f>ROUND(Github!N$245, 2)&amp;"%"</f>
        <v>0%</v>
      </c>
      <c r="K246" s="17">
        <f>Github!O$245</f>
        <v>58.98343529</v>
      </c>
      <c r="L246" s="17">
        <f>Github!P$245</f>
        <v>120140</v>
      </c>
    </row>
    <row r="247">
      <c r="A247" s="17">
        <f>Github!J$246</f>
        <v>245</v>
      </c>
      <c r="B247" s="34" t="str">
        <f>HYPERLINK(CONCAT("http://leetcode.com/problems/",Github!C$246), Github!B$246)</f>
        <v>Shortest Word Distance III</v>
      </c>
      <c r="C247" s="17">
        <f>Github!F$246</f>
        <v>330</v>
      </c>
      <c r="D247" s="17">
        <f>Github!G$246</f>
        <v>82</v>
      </c>
      <c r="E247" s="17">
        <f>Github!F$246+Github!G$246</f>
        <v>412</v>
      </c>
      <c r="F247" s="18">
        <f t="shared" si="1"/>
        <v>4.02</v>
      </c>
      <c r="G247" s="17" t="str">
        <f>Github!H$246</f>
        <v>Algorithms</v>
      </c>
      <c r="H247" s="17" t="b">
        <f>Github!D$246</f>
        <v>1</v>
      </c>
      <c r="I247" s="17" t="str">
        <f>Github!E$246</f>
        <v>Medium</v>
      </c>
      <c r="J247" s="17" t="str">
        <f>ROUND(Github!N$246, 2)&amp;"%"</f>
        <v>0%</v>
      </c>
      <c r="K247" s="17">
        <f>Github!O$246</f>
        <v>57.0778995</v>
      </c>
      <c r="L247" s="17">
        <f>Github!P$246</f>
        <v>65651</v>
      </c>
    </row>
    <row r="248">
      <c r="A248" s="17">
        <f>Github!J$247</f>
        <v>246</v>
      </c>
      <c r="B248" s="34" t="str">
        <f>HYPERLINK(CONCAT("http://leetcode.com/problems/",Github!C$247), Github!B$247)</f>
        <v>Strobogrammatic Number</v>
      </c>
      <c r="C248" s="17">
        <f>Github!F$247</f>
        <v>436</v>
      </c>
      <c r="D248" s="17">
        <f>Github!G$247</f>
        <v>719</v>
      </c>
      <c r="E248" s="17">
        <f>Github!F$247+Github!G$247</f>
        <v>1155</v>
      </c>
      <c r="F248" s="18">
        <f t="shared" si="1"/>
        <v>0.61</v>
      </c>
      <c r="G248" s="17" t="str">
        <f>Github!H$247</f>
        <v>Algorithms</v>
      </c>
      <c r="H248" s="17" t="b">
        <f>Github!D$247</f>
        <v>1</v>
      </c>
      <c r="I248" s="17" t="str">
        <f>Github!E$247</f>
        <v>Easy</v>
      </c>
      <c r="J248" s="17" t="str">
        <f>ROUND(Github!N$247, 2)&amp;"%"</f>
        <v>1%</v>
      </c>
      <c r="K248" s="17">
        <f>Github!O$247</f>
        <v>47.45256259</v>
      </c>
      <c r="L248" s="17">
        <f>Github!P$247</f>
        <v>131490</v>
      </c>
    </row>
    <row r="249">
      <c r="A249" s="17">
        <f>Github!J$248</f>
        <v>247</v>
      </c>
      <c r="B249" s="34" t="str">
        <f>HYPERLINK(CONCAT("http://leetcode.com/problems/",Github!C$248), Github!B$248)</f>
        <v>Strobogrammatic Number II</v>
      </c>
      <c r="C249" s="17">
        <f>Github!F$248</f>
        <v>730</v>
      </c>
      <c r="D249" s="17">
        <f>Github!G$248</f>
        <v>187</v>
      </c>
      <c r="E249" s="17">
        <f>Github!F$248+Github!G$248</f>
        <v>917</v>
      </c>
      <c r="F249" s="18">
        <f t="shared" si="1"/>
        <v>3.9</v>
      </c>
      <c r="G249" s="17" t="str">
        <f>Github!H$248</f>
        <v>Algorithms</v>
      </c>
      <c r="H249" s="17" t="b">
        <f>Github!D$248</f>
        <v>1</v>
      </c>
      <c r="I249" s="17" t="str">
        <f>Github!E$248</f>
        <v>Medium</v>
      </c>
      <c r="J249" s="17" t="str">
        <f>ROUND(Github!N$248, 2)&amp;"%"</f>
        <v>0%</v>
      </c>
      <c r="K249" s="17">
        <f>Github!O$248</f>
        <v>50.59399796</v>
      </c>
      <c r="L249" s="17">
        <f>Github!P$248</f>
        <v>114132</v>
      </c>
    </row>
    <row r="250">
      <c r="A250" s="17">
        <f>Github!J$249</f>
        <v>248</v>
      </c>
      <c r="B250" s="34" t="str">
        <f>HYPERLINK(CONCAT("http://leetcode.com/problems/",Github!C$249), Github!B$249)</f>
        <v>Strobogrammatic Number III</v>
      </c>
      <c r="C250" s="17">
        <f>Github!F$249</f>
        <v>266</v>
      </c>
      <c r="D250" s="17">
        <f>Github!G$249</f>
        <v>170</v>
      </c>
      <c r="E250" s="17">
        <f>Github!F$249+Github!G$249</f>
        <v>436</v>
      </c>
      <c r="F250" s="18">
        <f t="shared" si="1"/>
        <v>1.56</v>
      </c>
      <c r="G250" s="17" t="str">
        <f>Github!H$249</f>
        <v>Algorithms</v>
      </c>
      <c r="H250" s="17" t="b">
        <f>Github!D$249</f>
        <v>1</v>
      </c>
      <c r="I250" s="17" t="str">
        <f>Github!E$249</f>
        <v>Hard</v>
      </c>
      <c r="J250" s="17" t="str">
        <f>ROUND(Github!N$249, 2)&amp;"%"</f>
        <v>0%</v>
      </c>
      <c r="K250" s="17">
        <f>Github!O$249</f>
        <v>41.26903553</v>
      </c>
      <c r="L250" s="17">
        <f>Github!P$249</f>
        <v>33333</v>
      </c>
    </row>
    <row r="251">
      <c r="A251" s="17">
        <f>Github!J$250</f>
        <v>249</v>
      </c>
      <c r="B251" s="34" t="str">
        <f>HYPERLINK(CONCAT("http://leetcode.com/problems/",Github!C$250), Github!B$250)</f>
        <v>Group Shifted Strings</v>
      </c>
      <c r="C251" s="17">
        <f>Github!F$250</f>
        <v>1238</v>
      </c>
      <c r="D251" s="17">
        <f>Github!G$250</f>
        <v>227</v>
      </c>
      <c r="E251" s="17">
        <f>Github!F$250+Github!G$250</f>
        <v>1465</v>
      </c>
      <c r="F251" s="18">
        <f t="shared" si="1"/>
        <v>5.45</v>
      </c>
      <c r="G251" s="17" t="str">
        <f>Github!H$250</f>
        <v>Algorithms</v>
      </c>
      <c r="H251" s="17" t="b">
        <f>Github!D$250</f>
        <v>1</v>
      </c>
      <c r="I251" s="17" t="str">
        <f>Github!E$250</f>
        <v>Medium</v>
      </c>
      <c r="J251" s="17" t="str">
        <f>ROUND(Github!N$250, 2)&amp;"%"</f>
        <v>0%</v>
      </c>
      <c r="K251" s="17">
        <f>Github!O$250</f>
        <v>63.01421271</v>
      </c>
      <c r="L251" s="17">
        <f>Github!P$250</f>
        <v>157836</v>
      </c>
    </row>
    <row r="252">
      <c r="A252" s="17">
        <f>Github!J$251</f>
        <v>250</v>
      </c>
      <c r="B252" s="34" t="str">
        <f>HYPERLINK(CONCAT("http://leetcode.com/problems/",Github!C$251), Github!B$251)</f>
        <v>Count Univalue Subtrees</v>
      </c>
      <c r="C252" s="17">
        <f>Github!F$251</f>
        <v>909</v>
      </c>
      <c r="D252" s="17">
        <f>Github!G$251</f>
        <v>286</v>
      </c>
      <c r="E252" s="17">
        <f>Github!F$251+Github!G$251</f>
        <v>1195</v>
      </c>
      <c r="F252" s="18">
        <f t="shared" si="1"/>
        <v>3.18</v>
      </c>
      <c r="G252" s="17" t="str">
        <f>Github!H$251</f>
        <v>Algorithms</v>
      </c>
      <c r="H252" s="17" t="b">
        <f>Github!D$251</f>
        <v>1</v>
      </c>
      <c r="I252" s="17" t="str">
        <f>Github!E$251</f>
        <v>Medium</v>
      </c>
      <c r="J252" s="17" t="str">
        <f>ROUND(Github!N$251, 2)&amp;"%"</f>
        <v>0%</v>
      </c>
      <c r="K252" s="17">
        <f>Github!O$251</f>
        <v>54.68422157</v>
      </c>
      <c r="L252" s="17">
        <f>Github!P$251</f>
        <v>114674</v>
      </c>
    </row>
    <row r="253">
      <c r="A253" s="17">
        <f>Github!J$252</f>
        <v>251</v>
      </c>
      <c r="B253" s="34" t="str">
        <f>HYPERLINK(CONCAT("http://leetcode.com/problems/",Github!C$252), Github!B$252)</f>
        <v>Flatten 2D Vector</v>
      </c>
      <c r="C253" s="17">
        <f>Github!F$252</f>
        <v>551</v>
      </c>
      <c r="D253" s="17">
        <f>Github!G$252</f>
        <v>304</v>
      </c>
      <c r="E253" s="17">
        <f>Github!F$252+Github!G$252</f>
        <v>855</v>
      </c>
      <c r="F253" s="18">
        <f t="shared" si="1"/>
        <v>1.81</v>
      </c>
      <c r="G253" s="17" t="str">
        <f>Github!H$252</f>
        <v>Algorithms</v>
      </c>
      <c r="H253" s="17" t="b">
        <f>Github!D$252</f>
        <v>1</v>
      </c>
      <c r="I253" s="17" t="str">
        <f>Github!E$252</f>
        <v>Medium</v>
      </c>
      <c r="J253" s="17" t="str">
        <f>ROUND(Github!N$252, 2)&amp;"%"</f>
        <v>0%</v>
      </c>
      <c r="K253" s="17">
        <f>Github!O$252</f>
        <v>47.73582678</v>
      </c>
      <c r="L253" s="17">
        <f>Github!P$252</f>
        <v>101083</v>
      </c>
    </row>
    <row r="254">
      <c r="A254" s="17">
        <f>Github!J$253</f>
        <v>252</v>
      </c>
      <c r="B254" s="34" t="str">
        <f>HYPERLINK(CONCAT("http://leetcode.com/problems/",Github!C$253), Github!B$253)</f>
        <v>Meeting Rooms</v>
      </c>
      <c r="C254" s="17">
        <f>Github!F$253</f>
        <v>1329</v>
      </c>
      <c r="D254" s="17">
        <f>Github!G$253</f>
        <v>65</v>
      </c>
      <c r="E254" s="17">
        <f>Github!F$253+Github!G$253</f>
        <v>1394</v>
      </c>
      <c r="F254" s="18">
        <f t="shared" si="1"/>
        <v>20.45</v>
      </c>
      <c r="G254" s="17" t="str">
        <f>Github!H$253</f>
        <v>Algorithms</v>
      </c>
      <c r="H254" s="17" t="b">
        <f>Github!D$253</f>
        <v>1</v>
      </c>
      <c r="I254" s="17" t="str">
        <f>Github!E$253</f>
        <v>Easy</v>
      </c>
      <c r="J254" s="17" t="str">
        <f>ROUND(Github!N$253, 2)&amp;"%"</f>
        <v>1%</v>
      </c>
      <c r="K254" s="17">
        <f>Github!O$253</f>
        <v>56.59150169</v>
      </c>
      <c r="L254" s="17">
        <f>Github!P$253</f>
        <v>254147</v>
      </c>
    </row>
    <row r="255">
      <c r="A255" s="17">
        <f>Github!J$254</f>
        <v>253</v>
      </c>
      <c r="B255" s="34" t="str">
        <f>HYPERLINK(CONCAT("http://leetcode.com/problems/",Github!C$254), Github!B$254)</f>
        <v>Meeting Rooms II</v>
      </c>
      <c r="C255" s="17">
        <f>Github!F$254</f>
        <v>5236</v>
      </c>
      <c r="D255" s="17">
        <f>Github!G$254</f>
        <v>104</v>
      </c>
      <c r="E255" s="17">
        <f>Github!F$254+Github!G$254</f>
        <v>5340</v>
      </c>
      <c r="F255" s="18">
        <f t="shared" si="1"/>
        <v>50.35</v>
      </c>
      <c r="G255" s="17" t="str">
        <f>Github!H$254</f>
        <v>Algorithms</v>
      </c>
      <c r="H255" s="17" t="b">
        <f>Github!D$254</f>
        <v>1</v>
      </c>
      <c r="I255" s="17" t="str">
        <f>Github!E$254</f>
        <v>Medium</v>
      </c>
      <c r="J255" s="17" t="str">
        <f>ROUND(Github!N$254, 2)&amp;"%"</f>
        <v>0%</v>
      </c>
      <c r="K255" s="17">
        <f>Github!O$254</f>
        <v>49.4034928</v>
      </c>
      <c r="L255" s="17">
        <f>Github!P$254</f>
        <v>599198</v>
      </c>
    </row>
    <row r="256">
      <c r="A256" s="17">
        <f>Github!J$255</f>
        <v>254</v>
      </c>
      <c r="B256" s="34" t="str">
        <f>HYPERLINK(CONCAT("http://leetcode.com/problems/",Github!C$255), Github!B$255)</f>
        <v>Factor Combinations</v>
      </c>
      <c r="C256" s="17">
        <f>Github!F$255</f>
        <v>871</v>
      </c>
      <c r="D256" s="17">
        <f>Github!G$255</f>
        <v>45</v>
      </c>
      <c r="E256" s="17">
        <f>Github!F$255+Github!G$255</f>
        <v>916</v>
      </c>
      <c r="F256" s="18">
        <f t="shared" si="1"/>
        <v>19.36</v>
      </c>
      <c r="G256" s="17" t="str">
        <f>Github!H$255</f>
        <v>Algorithms</v>
      </c>
      <c r="H256" s="17" t="b">
        <f>Github!D$255</f>
        <v>1</v>
      </c>
      <c r="I256" s="17" t="str">
        <f>Github!E$255</f>
        <v>Medium</v>
      </c>
      <c r="J256" s="17" t="str">
        <f>ROUND(Github!N$255, 2)&amp;"%"</f>
        <v>0%</v>
      </c>
      <c r="K256" s="17">
        <f>Github!O$255</f>
        <v>48.55058535</v>
      </c>
      <c r="L256" s="17">
        <f>Github!P$255</f>
        <v>103555</v>
      </c>
    </row>
    <row r="257">
      <c r="A257" s="17">
        <f>Github!J$256</f>
        <v>255</v>
      </c>
      <c r="B257" s="34" t="str">
        <f>HYPERLINK(CONCAT("http://leetcode.com/problems/",Github!C$256), Github!B$256)</f>
        <v>Verify Preorder Sequence in Binary Search Tree</v>
      </c>
      <c r="C257" s="17">
        <f>Github!F$256</f>
        <v>900</v>
      </c>
      <c r="D257" s="17">
        <f>Github!G$256</f>
        <v>68</v>
      </c>
      <c r="E257" s="17">
        <f>Github!F$256+Github!G$256</f>
        <v>968</v>
      </c>
      <c r="F257" s="18">
        <f t="shared" si="1"/>
        <v>13.24</v>
      </c>
      <c r="G257" s="17" t="str">
        <f>Github!H$256</f>
        <v>Algorithms</v>
      </c>
      <c r="H257" s="17" t="b">
        <f>Github!D$256</f>
        <v>1</v>
      </c>
      <c r="I257" s="17" t="str">
        <f>Github!E$256</f>
        <v>Medium</v>
      </c>
      <c r="J257" s="17" t="str">
        <f>ROUND(Github!N$256, 2)&amp;"%"</f>
        <v>0%</v>
      </c>
      <c r="K257" s="17">
        <f>Github!O$256</f>
        <v>47.40671628</v>
      </c>
      <c r="L257" s="17">
        <f>Github!P$256</f>
        <v>63004</v>
      </c>
    </row>
    <row r="258">
      <c r="A258" s="17">
        <f>Github!J$257</f>
        <v>256</v>
      </c>
      <c r="B258" s="34" t="str">
        <f>HYPERLINK(CONCAT("http://leetcode.com/problems/",Github!C$257), Github!B$257)</f>
        <v>Paint House</v>
      </c>
      <c r="C258" s="17">
        <f>Github!F$257</f>
        <v>1707</v>
      </c>
      <c r="D258" s="17">
        <f>Github!G$257</f>
        <v>117</v>
      </c>
      <c r="E258" s="17">
        <f>Github!F$257+Github!G$257</f>
        <v>1824</v>
      </c>
      <c r="F258" s="18">
        <f t="shared" si="1"/>
        <v>14.59</v>
      </c>
      <c r="G258" s="17" t="str">
        <f>Github!H$257</f>
        <v>Algorithms</v>
      </c>
      <c r="H258" s="17" t="b">
        <f>Github!D$257</f>
        <v>1</v>
      </c>
      <c r="I258" s="17" t="str">
        <f>Github!E$257</f>
        <v>Medium</v>
      </c>
      <c r="J258" s="17" t="str">
        <f>ROUND(Github!N$257, 2)&amp;"%"</f>
        <v>0%</v>
      </c>
      <c r="K258" s="17">
        <f>Github!O$257</f>
        <v>58.24335063</v>
      </c>
      <c r="L258" s="17">
        <f>Github!P$257</f>
        <v>149518</v>
      </c>
    </row>
    <row r="259">
      <c r="A259" s="17">
        <f>Github!J$258</f>
        <v>257</v>
      </c>
      <c r="B259" s="34" t="str">
        <f>HYPERLINK(CONCAT("http://leetcode.com/problems/",Github!C$258), Github!B$258)</f>
        <v>Binary Tree Paths</v>
      </c>
      <c r="C259" s="17">
        <f>Github!F$258</f>
        <v>3790</v>
      </c>
      <c r="D259" s="17">
        <f>Github!G$258</f>
        <v>175</v>
      </c>
      <c r="E259" s="17">
        <f>Github!F$258+Github!G$258</f>
        <v>3965</v>
      </c>
      <c r="F259" s="18">
        <f t="shared" si="1"/>
        <v>21.66</v>
      </c>
      <c r="G259" s="17" t="str">
        <f>Github!H$258</f>
        <v>Algorithms</v>
      </c>
      <c r="H259" s="17" t="b">
        <f>Github!D$258</f>
        <v>0</v>
      </c>
      <c r="I259" s="17" t="str">
        <f>Github!E$258</f>
        <v>Easy</v>
      </c>
      <c r="J259" s="17" t="str">
        <f>ROUND(Github!N$258, 2)&amp;"%"</f>
        <v>0%</v>
      </c>
      <c r="K259" s="17">
        <f>Github!O$258</f>
        <v>58.07169993</v>
      </c>
      <c r="L259" s="17">
        <f>Github!P$258</f>
        <v>489450</v>
      </c>
    </row>
    <row r="260">
      <c r="A260" s="17">
        <f>Github!J$259</f>
        <v>258</v>
      </c>
      <c r="B260" s="34" t="str">
        <f>HYPERLINK(CONCAT("http://leetcode.com/problems/",Github!C$259), Github!B$259)</f>
        <v>Add Digits</v>
      </c>
      <c r="C260" s="17">
        <f>Github!F$259</f>
        <v>2350</v>
      </c>
      <c r="D260" s="17">
        <f>Github!G$259</f>
        <v>1635</v>
      </c>
      <c r="E260" s="17">
        <f>Github!F$259+Github!G$259</f>
        <v>3985</v>
      </c>
      <c r="F260" s="18">
        <f t="shared" si="1"/>
        <v>1.44</v>
      </c>
      <c r="G260" s="17" t="str">
        <f>Github!H$259</f>
        <v>Algorithms</v>
      </c>
      <c r="H260" s="17" t="b">
        <f>Github!D$259</f>
        <v>0</v>
      </c>
      <c r="I260" s="17" t="str">
        <f>Github!E$259</f>
        <v>Easy</v>
      </c>
      <c r="J260" s="17" t="str">
        <f>ROUND(Github!N$259, 2)&amp;"%"</f>
        <v>0%</v>
      </c>
      <c r="K260" s="17">
        <f>Github!O$259</f>
        <v>62.24182327</v>
      </c>
      <c r="L260" s="17">
        <f>Github!P$259</f>
        <v>457326</v>
      </c>
    </row>
    <row r="261">
      <c r="A261" s="17">
        <f>Github!J$260</f>
        <v>259</v>
      </c>
      <c r="B261" s="34" t="str">
        <f>HYPERLINK(CONCAT("http://leetcode.com/problems/",Github!C$260), Github!B$260)</f>
        <v>3Sum Smaller</v>
      </c>
      <c r="C261" s="17">
        <f>Github!F$260</f>
        <v>1195</v>
      </c>
      <c r="D261" s="17">
        <f>Github!G$260</f>
        <v>122</v>
      </c>
      <c r="E261" s="17">
        <f>Github!F$260+Github!G$260</f>
        <v>1317</v>
      </c>
      <c r="F261" s="18">
        <f t="shared" si="1"/>
        <v>9.8</v>
      </c>
      <c r="G261" s="17" t="str">
        <f>Github!H$260</f>
        <v>Algorithms</v>
      </c>
      <c r="H261" s="17" t="b">
        <f>Github!D$260</f>
        <v>1</v>
      </c>
      <c r="I261" s="17" t="str">
        <f>Github!E$260</f>
        <v>Medium</v>
      </c>
      <c r="J261" s="17" t="str">
        <f>ROUND(Github!N$260, 2)&amp;"%"</f>
        <v>0%</v>
      </c>
      <c r="K261" s="17">
        <f>Github!O$260</f>
        <v>50.23640822</v>
      </c>
      <c r="L261" s="17">
        <f>Github!P$260</f>
        <v>111242</v>
      </c>
    </row>
    <row r="262">
      <c r="A262" s="17">
        <f>Github!J$261</f>
        <v>260</v>
      </c>
      <c r="B262" s="34" t="str">
        <f>HYPERLINK(CONCAT("http://leetcode.com/problems/",Github!C$261), Github!B$261)</f>
        <v>Single Number III</v>
      </c>
      <c r="C262" s="17">
        <f>Github!F$261</f>
        <v>3720</v>
      </c>
      <c r="D262" s="17">
        <f>Github!G$261</f>
        <v>178</v>
      </c>
      <c r="E262" s="17">
        <f>Github!F$261+Github!G$261</f>
        <v>3898</v>
      </c>
      <c r="F262" s="18">
        <f t="shared" si="1"/>
        <v>20.9</v>
      </c>
      <c r="G262" s="17" t="str">
        <f>Github!H$261</f>
        <v>Algorithms</v>
      </c>
      <c r="H262" s="17" t="b">
        <f>Github!D$261</f>
        <v>0</v>
      </c>
      <c r="I262" s="17" t="str">
        <f>Github!E$261</f>
        <v>Medium</v>
      </c>
      <c r="J262" s="17" t="str">
        <f>ROUND(Github!N$261, 2)&amp;"%"</f>
        <v>0%</v>
      </c>
      <c r="K262" s="17">
        <f>Github!O$261</f>
        <v>67.03995817</v>
      </c>
      <c r="L262" s="17">
        <f>Github!P$261</f>
        <v>246158</v>
      </c>
    </row>
    <row r="263">
      <c r="A263" s="17">
        <f>Github!J$262</f>
        <v>261</v>
      </c>
      <c r="B263" s="34" t="str">
        <f>HYPERLINK(CONCAT("http://leetcode.com/problems/",Github!C$262), Github!B$262)</f>
        <v>Graph Valid Tree</v>
      </c>
      <c r="C263" s="17">
        <f>Github!F$262</f>
        <v>2237</v>
      </c>
      <c r="D263" s="17">
        <f>Github!G$262</f>
        <v>57</v>
      </c>
      <c r="E263" s="17">
        <f>Github!F$262+Github!G$262</f>
        <v>2294</v>
      </c>
      <c r="F263" s="18">
        <f t="shared" si="1"/>
        <v>39.25</v>
      </c>
      <c r="G263" s="17" t="str">
        <f>Github!H$262</f>
        <v>Algorithms</v>
      </c>
      <c r="H263" s="17" t="b">
        <f>Github!D$262</f>
        <v>1</v>
      </c>
      <c r="I263" s="17" t="str">
        <f>Github!E$262</f>
        <v>Medium</v>
      </c>
      <c r="J263" s="17" t="str">
        <f>ROUND(Github!N$262, 2)&amp;"%"</f>
        <v>0%</v>
      </c>
      <c r="K263" s="17">
        <f>Github!O$262</f>
        <v>45.5105427</v>
      </c>
      <c r="L263" s="17">
        <f>Github!P$262</f>
        <v>242189</v>
      </c>
    </row>
    <row r="264">
      <c r="A264" s="17">
        <f>Github!J$263</f>
        <v>262</v>
      </c>
      <c r="B264" s="34" t="str">
        <f>HYPERLINK(CONCAT("http://leetcode.com/problems/",Github!C$263), Github!B$263)</f>
        <v>Trips and Users</v>
      </c>
      <c r="C264" s="17">
        <f>Github!F$263</f>
        <v>680</v>
      </c>
      <c r="D264" s="17">
        <f>Github!G$263</f>
        <v>443</v>
      </c>
      <c r="E264" s="17">
        <f>Github!F$263+Github!G$263</f>
        <v>1123</v>
      </c>
      <c r="F264" s="18">
        <f t="shared" si="1"/>
        <v>1.53</v>
      </c>
      <c r="G264" s="17" t="str">
        <f>Github!H$263</f>
        <v>Database</v>
      </c>
      <c r="H264" s="17" t="b">
        <f>Github!D$263</f>
        <v>0</v>
      </c>
      <c r="I264" s="17" t="str">
        <f>Github!E$263</f>
        <v>Hard</v>
      </c>
      <c r="J264" s="17" t="str">
        <f>ROUND(Github!N$263, 2)&amp;"%"</f>
        <v>0%</v>
      </c>
      <c r="K264" s="17">
        <f>Github!O$263</f>
        <v>37.58496173</v>
      </c>
      <c r="L264" s="17">
        <f>Github!P$263</f>
        <v>108768</v>
      </c>
    </row>
    <row r="265">
      <c r="A265" s="17">
        <f>Github!J$264</f>
        <v>263</v>
      </c>
      <c r="B265" s="34" t="str">
        <f>HYPERLINK(CONCAT("http://leetcode.com/problems/",Github!C$264), Github!B$264)</f>
        <v>Ugly Number</v>
      </c>
      <c r="C265" s="17">
        <f>Github!F$264</f>
        <v>1300</v>
      </c>
      <c r="D265" s="17">
        <f>Github!G$264</f>
        <v>1004</v>
      </c>
      <c r="E265" s="17">
        <f>Github!F$264+Github!G$264</f>
        <v>2304</v>
      </c>
      <c r="F265" s="18">
        <f t="shared" si="1"/>
        <v>1.29</v>
      </c>
      <c r="G265" s="17" t="str">
        <f>Github!H$264</f>
        <v>Algorithms</v>
      </c>
      <c r="H265" s="17" t="b">
        <f>Github!D$264</f>
        <v>0</v>
      </c>
      <c r="I265" s="17" t="str">
        <f>Github!E$264</f>
        <v>Easy</v>
      </c>
      <c r="J265" s="17" t="str">
        <f>ROUND(Github!N$264, 2)&amp;"%"</f>
        <v>0%</v>
      </c>
      <c r="K265" s="17">
        <f>Github!O$264</f>
        <v>41.85520296</v>
      </c>
      <c r="L265" s="17">
        <f>Github!P$264</f>
        <v>286527</v>
      </c>
    </row>
    <row r="266">
      <c r="A266" s="17">
        <f>Github!J$265</f>
        <v>264</v>
      </c>
      <c r="B266" s="34" t="str">
        <f>HYPERLINK(CONCAT("http://leetcode.com/problems/",Github!C$265), Github!B$265)</f>
        <v>Ugly Number II</v>
      </c>
      <c r="C266" s="17">
        <f>Github!F$265</f>
        <v>3810</v>
      </c>
      <c r="D266" s="17">
        <f>Github!G$265</f>
        <v>205</v>
      </c>
      <c r="E266" s="17">
        <f>Github!F$265+Github!G$265</f>
        <v>4015</v>
      </c>
      <c r="F266" s="18">
        <f t="shared" si="1"/>
        <v>18.59</v>
      </c>
      <c r="G266" s="17" t="str">
        <f>Github!H$265</f>
        <v>Algorithms</v>
      </c>
      <c r="H266" s="17" t="b">
        <f>Github!D$265</f>
        <v>0</v>
      </c>
      <c r="I266" s="17" t="str">
        <f>Github!E$265</f>
        <v>Medium</v>
      </c>
      <c r="J266" s="17" t="str">
        <f>ROUND(Github!N$265, 2)&amp;"%"</f>
        <v>0%</v>
      </c>
      <c r="K266" s="17">
        <f>Github!O$265</f>
        <v>45.03023009</v>
      </c>
      <c r="L266" s="17">
        <f>Github!P$265</f>
        <v>249952</v>
      </c>
    </row>
    <row r="267">
      <c r="A267" s="17">
        <f>Github!J$266</f>
        <v>265</v>
      </c>
      <c r="B267" s="34" t="str">
        <f>HYPERLINK(CONCAT("http://leetcode.com/problems/",Github!C$266), Github!B$266)</f>
        <v>Paint House II</v>
      </c>
      <c r="C267" s="17">
        <f>Github!F$266</f>
        <v>941</v>
      </c>
      <c r="D267" s="17">
        <f>Github!G$266</f>
        <v>32</v>
      </c>
      <c r="E267" s="17">
        <f>Github!F$266+Github!G$266</f>
        <v>973</v>
      </c>
      <c r="F267" s="18">
        <f t="shared" si="1"/>
        <v>29.41</v>
      </c>
      <c r="G267" s="17" t="str">
        <f>Github!H$266</f>
        <v>Algorithms</v>
      </c>
      <c r="H267" s="17" t="b">
        <f>Github!D$266</f>
        <v>1</v>
      </c>
      <c r="I267" s="17" t="str">
        <f>Github!E$266</f>
        <v>Hard</v>
      </c>
      <c r="J267" s="17" t="str">
        <f>ROUND(Github!N$266, 2)&amp;"%"</f>
        <v>0%</v>
      </c>
      <c r="K267" s="17">
        <f>Github!O$266</f>
        <v>50.26347214</v>
      </c>
      <c r="L267" s="17">
        <f>Github!P$266</f>
        <v>91762</v>
      </c>
    </row>
    <row r="268">
      <c r="A268" s="17">
        <f>Github!J$267</f>
        <v>266</v>
      </c>
      <c r="B268" s="34" t="str">
        <f>HYPERLINK(CONCAT("http://leetcode.com/problems/",Github!C$267), Github!B$267)</f>
        <v>Palindrome Permutation</v>
      </c>
      <c r="C268" s="17">
        <f>Github!F$267</f>
        <v>843</v>
      </c>
      <c r="D268" s="17">
        <f>Github!G$267</f>
        <v>63</v>
      </c>
      <c r="E268" s="17">
        <f>Github!F$267+Github!G$267</f>
        <v>906</v>
      </c>
      <c r="F268" s="18">
        <f t="shared" si="1"/>
        <v>13.38</v>
      </c>
      <c r="G268" s="17" t="str">
        <f>Github!H$267</f>
        <v>Algorithms</v>
      </c>
      <c r="H268" s="17" t="b">
        <f>Github!D$267</f>
        <v>1</v>
      </c>
      <c r="I268" s="17" t="str">
        <f>Github!E$267</f>
        <v>Easy</v>
      </c>
      <c r="J268" s="17" t="str">
        <f>ROUND(Github!N$267, 2)&amp;"%"</f>
        <v>0%</v>
      </c>
      <c r="K268" s="17">
        <f>Github!O$267</f>
        <v>65.11494276</v>
      </c>
      <c r="L268" s="17">
        <f>Github!P$267</f>
        <v>158641</v>
      </c>
    </row>
    <row r="269">
      <c r="A269" s="17">
        <f>Github!J$268</f>
        <v>267</v>
      </c>
      <c r="B269" s="34" t="str">
        <f>HYPERLINK(CONCAT("http://leetcode.com/problems/",Github!C$268), Github!B$268)</f>
        <v>Palindrome Permutation II</v>
      </c>
      <c r="C269" s="17">
        <f>Github!F$268</f>
        <v>696</v>
      </c>
      <c r="D269" s="17">
        <f>Github!G$268</f>
        <v>83</v>
      </c>
      <c r="E269" s="17">
        <f>Github!F$268+Github!G$268</f>
        <v>779</v>
      </c>
      <c r="F269" s="18">
        <f t="shared" si="1"/>
        <v>8.39</v>
      </c>
      <c r="G269" s="17" t="str">
        <f>Github!H$268</f>
        <v>Algorithms</v>
      </c>
      <c r="H269" s="17" t="b">
        <f>Github!D$268</f>
        <v>1</v>
      </c>
      <c r="I269" s="17" t="str">
        <f>Github!E$268</f>
        <v>Medium</v>
      </c>
      <c r="J269" s="17" t="str">
        <f>ROUND(Github!N$268, 2)&amp;"%"</f>
        <v>0%</v>
      </c>
      <c r="K269" s="17">
        <f>Github!O$268</f>
        <v>39.39748181</v>
      </c>
      <c r="L269" s="17">
        <f>Github!P$268</f>
        <v>52912</v>
      </c>
    </row>
    <row r="270">
      <c r="A270" s="17">
        <f>Github!J$269</f>
        <v>268</v>
      </c>
      <c r="B270" s="34" t="str">
        <f>HYPERLINK(CONCAT("http://leetcode.com/problems/",Github!C$269), Github!B$269)</f>
        <v>Missing Number</v>
      </c>
      <c r="C270" s="17">
        <f>Github!F$269</f>
        <v>5039</v>
      </c>
      <c r="D270" s="17">
        <f>Github!G$269</f>
        <v>2806</v>
      </c>
      <c r="E270" s="17">
        <f>Github!F$269+Github!G$269</f>
        <v>7845</v>
      </c>
      <c r="F270" s="18">
        <f t="shared" si="1"/>
        <v>1.8</v>
      </c>
      <c r="G270" s="17" t="str">
        <f>Github!H$269</f>
        <v>Algorithms</v>
      </c>
      <c r="H270" s="17" t="b">
        <f>Github!D$269</f>
        <v>0</v>
      </c>
      <c r="I270" s="17" t="str">
        <f>Github!E$269</f>
        <v>Easy</v>
      </c>
      <c r="J270" s="17" t="str">
        <f>ROUND(Github!N$269, 2)&amp;"%"</f>
        <v>0%</v>
      </c>
      <c r="K270" s="17">
        <f>Github!O$269</f>
        <v>58.97579474</v>
      </c>
      <c r="L270" s="17">
        <f>Github!P$269</f>
        <v>939465</v>
      </c>
    </row>
    <row r="271">
      <c r="A271" s="17">
        <f>Github!J$270</f>
        <v>269</v>
      </c>
      <c r="B271" s="34" t="str">
        <f>HYPERLINK(CONCAT("http://leetcode.com/problems/",Github!C$270), Github!B$270)</f>
        <v>Alien Dictionary</v>
      </c>
      <c r="C271" s="17">
        <f>Github!F$270</f>
        <v>3402</v>
      </c>
      <c r="D271" s="17">
        <f>Github!G$270</f>
        <v>694</v>
      </c>
      <c r="E271" s="17">
        <f>Github!F$270+Github!G$270</f>
        <v>4096</v>
      </c>
      <c r="F271" s="18">
        <f t="shared" si="1"/>
        <v>4.9</v>
      </c>
      <c r="G271" s="17" t="str">
        <f>Github!H$270</f>
        <v>Algorithms</v>
      </c>
      <c r="H271" s="17" t="b">
        <f>Github!D$270</f>
        <v>1</v>
      </c>
      <c r="I271" s="17" t="str">
        <f>Github!E$270</f>
        <v>Hard</v>
      </c>
      <c r="J271" s="17" t="str">
        <f>ROUND(Github!N$270, 2)&amp;"%"</f>
        <v>0%</v>
      </c>
      <c r="K271" s="17">
        <f>Github!O$270</f>
        <v>34.70116058</v>
      </c>
      <c r="L271" s="17">
        <f>Github!P$270</f>
        <v>274986</v>
      </c>
    </row>
    <row r="272">
      <c r="A272" s="17">
        <f>Github!J$271</f>
        <v>270</v>
      </c>
      <c r="B272" s="34" t="str">
        <f>HYPERLINK(CONCAT("http://leetcode.com/problems/",Github!C$271), Github!B$271)</f>
        <v>Closest Binary Search Tree Value</v>
      </c>
      <c r="C272" s="17">
        <f>Github!F$271</f>
        <v>1370</v>
      </c>
      <c r="D272" s="17">
        <f>Github!G$271</f>
        <v>86</v>
      </c>
      <c r="E272" s="17">
        <f>Github!F$271+Github!G$271</f>
        <v>1456</v>
      </c>
      <c r="F272" s="18">
        <f t="shared" si="1"/>
        <v>15.93</v>
      </c>
      <c r="G272" s="17" t="str">
        <f>Github!H$271</f>
        <v>Algorithms</v>
      </c>
      <c r="H272" s="17" t="b">
        <f>Github!D$271</f>
        <v>1</v>
      </c>
      <c r="I272" s="17" t="str">
        <f>Github!E$271</f>
        <v>Easy</v>
      </c>
      <c r="J272" s="17" t="str">
        <f>ROUND(Github!N$271, 2)&amp;"%"</f>
        <v>0%</v>
      </c>
      <c r="K272" s="17">
        <f>Github!O$271</f>
        <v>53.41674708</v>
      </c>
      <c r="L272" s="17">
        <f>Github!P$271</f>
        <v>242448</v>
      </c>
    </row>
    <row r="273">
      <c r="A273" s="17">
        <f>Github!J$272</f>
        <v>271</v>
      </c>
      <c r="B273" s="34" t="str">
        <f>HYPERLINK(CONCAT("http://leetcode.com/problems/",Github!C$272), Github!B$272)</f>
        <v>Encode and Decode Strings</v>
      </c>
      <c r="C273" s="17">
        <f>Github!F$272</f>
        <v>786</v>
      </c>
      <c r="D273" s="17">
        <f>Github!G$272</f>
        <v>219</v>
      </c>
      <c r="E273" s="17">
        <f>Github!F$272+Github!G$272</f>
        <v>1005</v>
      </c>
      <c r="F273" s="18">
        <f t="shared" si="1"/>
        <v>3.59</v>
      </c>
      <c r="G273" s="17" t="str">
        <f>Github!H$272</f>
        <v>Algorithms</v>
      </c>
      <c r="H273" s="17" t="b">
        <f>Github!D$272</f>
        <v>1</v>
      </c>
      <c r="I273" s="17" t="str">
        <f>Github!E$272</f>
        <v>Medium</v>
      </c>
      <c r="J273" s="17" t="str">
        <f>ROUND(Github!N$272, 2)&amp;"%"</f>
        <v>0%</v>
      </c>
      <c r="K273" s="17">
        <f>Github!O$272</f>
        <v>37.08997314</v>
      </c>
      <c r="L273" s="17">
        <f>Github!P$272</f>
        <v>89631</v>
      </c>
    </row>
    <row r="274">
      <c r="A274" s="17">
        <f>Github!J$273</f>
        <v>272</v>
      </c>
      <c r="B274" s="34" t="str">
        <f>HYPERLINK(CONCAT("http://leetcode.com/problems/",Github!C$273), Github!B$273)</f>
        <v>Closest Binary Search Tree Value II</v>
      </c>
      <c r="C274" s="17">
        <f>Github!F$273</f>
        <v>1005</v>
      </c>
      <c r="D274" s="17">
        <f>Github!G$273</f>
        <v>32</v>
      </c>
      <c r="E274" s="17">
        <f>Github!F$273+Github!G$273</f>
        <v>1037</v>
      </c>
      <c r="F274" s="18">
        <f t="shared" si="1"/>
        <v>31.41</v>
      </c>
      <c r="G274" s="17" t="str">
        <f>Github!H$273</f>
        <v>Algorithms</v>
      </c>
      <c r="H274" s="17" t="b">
        <f>Github!D$273</f>
        <v>1</v>
      </c>
      <c r="I274" s="17" t="str">
        <f>Github!E$273</f>
        <v>Hard</v>
      </c>
      <c r="J274" s="17" t="str">
        <f>ROUND(Github!N$273, 2)&amp;"%"</f>
        <v>0%</v>
      </c>
      <c r="K274" s="17">
        <f>Github!O$273</f>
        <v>56.29277531</v>
      </c>
      <c r="L274" s="17">
        <f>Github!P$273</f>
        <v>91544</v>
      </c>
    </row>
    <row r="275">
      <c r="A275" s="17">
        <f>Github!J$274</f>
        <v>273</v>
      </c>
      <c r="B275" s="34" t="str">
        <f>HYPERLINK(CONCAT("http://leetcode.com/problems/",Github!C$274), Github!B$274)</f>
        <v>Integer to English Words</v>
      </c>
      <c r="C275" s="17">
        <f>Github!F$274</f>
        <v>1974</v>
      </c>
      <c r="D275" s="17">
        <f>Github!G$274</f>
        <v>4826</v>
      </c>
      <c r="E275" s="17">
        <f>Github!F$274+Github!G$274</f>
        <v>6800</v>
      </c>
      <c r="F275" s="18">
        <f t="shared" si="1"/>
        <v>0.41</v>
      </c>
      <c r="G275" s="17" t="str">
        <f>Github!H$274</f>
        <v>Algorithms</v>
      </c>
      <c r="H275" s="17" t="b">
        <f>Github!D$274</f>
        <v>0</v>
      </c>
      <c r="I275" s="17" t="str">
        <f>Github!E$274</f>
        <v>Hard</v>
      </c>
      <c r="J275" s="17" t="str">
        <f>ROUND(Github!N$274, 2)&amp;"%"</f>
        <v>0%</v>
      </c>
      <c r="K275" s="17">
        <f>Github!O$274</f>
        <v>29.48812321</v>
      </c>
      <c r="L275" s="17">
        <f>Github!P$274</f>
        <v>291632</v>
      </c>
    </row>
    <row r="276">
      <c r="A276" s="17">
        <f>Github!J$275</f>
        <v>274</v>
      </c>
      <c r="B276" s="34" t="str">
        <f>HYPERLINK(CONCAT("http://leetcode.com/problems/",Github!C$275), Github!B$275)</f>
        <v>H-Index</v>
      </c>
      <c r="C276" s="17">
        <f>Github!F$275</f>
        <v>1159</v>
      </c>
      <c r="D276" s="17">
        <f>Github!G$275</f>
        <v>1764</v>
      </c>
      <c r="E276" s="17">
        <f>Github!F$275+Github!G$275</f>
        <v>2923</v>
      </c>
      <c r="F276" s="18">
        <f t="shared" si="1"/>
        <v>0.66</v>
      </c>
      <c r="G276" s="17" t="str">
        <f>Github!H$275</f>
        <v>Algorithms</v>
      </c>
      <c r="H276" s="17" t="b">
        <f>Github!D$275</f>
        <v>0</v>
      </c>
      <c r="I276" s="17" t="str">
        <f>Github!E$275</f>
        <v>Medium</v>
      </c>
      <c r="J276" s="17" t="str">
        <f>ROUND(Github!N$275, 2)&amp;"%"</f>
        <v>0%</v>
      </c>
      <c r="K276" s="17">
        <f>Github!O$275</f>
        <v>37.4115976</v>
      </c>
      <c r="L276" s="17">
        <f>Github!P$275</f>
        <v>227043</v>
      </c>
    </row>
    <row r="277">
      <c r="A277" s="17">
        <f>Github!J$276</f>
        <v>275</v>
      </c>
      <c r="B277" s="34" t="str">
        <f>HYPERLINK(CONCAT("http://leetcode.com/problems/",Github!C$276), Github!B$276)</f>
        <v>H-Index II</v>
      </c>
      <c r="C277" s="17">
        <f>Github!F$276</f>
        <v>683</v>
      </c>
      <c r="D277" s="17">
        <f>Github!G$276</f>
        <v>1001</v>
      </c>
      <c r="E277" s="17">
        <f>Github!F$276+Github!G$276</f>
        <v>1684</v>
      </c>
      <c r="F277" s="18">
        <f t="shared" si="1"/>
        <v>0.68</v>
      </c>
      <c r="G277" s="17" t="str">
        <f>Github!H$276</f>
        <v>Algorithms</v>
      </c>
      <c r="H277" s="17" t="b">
        <f>Github!D$276</f>
        <v>0</v>
      </c>
      <c r="I277" s="17" t="str">
        <f>Github!E$276</f>
        <v>Medium</v>
      </c>
      <c r="J277" s="17" t="str">
        <f>ROUND(Github!N$276, 2)&amp;"%"</f>
        <v>0%</v>
      </c>
      <c r="K277" s="17">
        <f>Github!O$276</f>
        <v>36.90291073</v>
      </c>
      <c r="L277" s="17">
        <f>Github!P$276</f>
        <v>155205</v>
      </c>
    </row>
    <row r="278">
      <c r="A278" s="17">
        <f>Github!J$277</f>
        <v>276</v>
      </c>
      <c r="B278" s="34" t="str">
        <f>HYPERLINK(CONCAT("http://leetcode.com/problems/",Github!C$277), Github!B$277)</f>
        <v>Paint Fence</v>
      </c>
      <c r="C278" s="17">
        <f>Github!F$277</f>
        <v>1205</v>
      </c>
      <c r="D278" s="17">
        <f>Github!G$277</f>
        <v>350</v>
      </c>
      <c r="E278" s="17">
        <f>Github!F$277+Github!G$277</f>
        <v>1555</v>
      </c>
      <c r="F278" s="18">
        <f t="shared" si="1"/>
        <v>3.44</v>
      </c>
      <c r="G278" s="17" t="str">
        <f>Github!H$277</f>
        <v>Algorithms</v>
      </c>
      <c r="H278" s="17" t="b">
        <f>Github!D$277</f>
        <v>1</v>
      </c>
      <c r="I278" s="17" t="str">
        <f>Github!E$277</f>
        <v>Medium</v>
      </c>
      <c r="J278" s="17" t="str">
        <f>ROUND(Github!N$277, 2)&amp;"%"</f>
        <v>0%</v>
      </c>
      <c r="K278" s="17">
        <f>Github!O$277</f>
        <v>42.45174532</v>
      </c>
      <c r="L278" s="17">
        <f>Github!P$277</f>
        <v>82322</v>
      </c>
    </row>
    <row r="279">
      <c r="A279" s="17">
        <f>Github!J$278</f>
        <v>277</v>
      </c>
      <c r="B279" s="34" t="str">
        <f>HYPERLINK(CONCAT("http://leetcode.com/problems/",Github!C$278), Github!B$278)</f>
        <v>Find the Celebrity</v>
      </c>
      <c r="C279" s="17">
        <f>Github!F$278</f>
        <v>2178</v>
      </c>
      <c r="D279" s="17">
        <f>Github!G$278</f>
        <v>199</v>
      </c>
      <c r="E279" s="17">
        <f>Github!F$278+Github!G$278</f>
        <v>2377</v>
      </c>
      <c r="F279" s="18">
        <f t="shared" si="1"/>
        <v>10.94</v>
      </c>
      <c r="G279" s="17" t="str">
        <f>Github!H$278</f>
        <v>Algorithms</v>
      </c>
      <c r="H279" s="17" t="b">
        <f>Github!D$278</f>
        <v>1</v>
      </c>
      <c r="I279" s="17" t="str">
        <f>Github!E$278</f>
        <v>Medium</v>
      </c>
      <c r="J279" s="17" t="str">
        <f>ROUND(Github!N$278, 2)&amp;"%"</f>
        <v>1%</v>
      </c>
      <c r="K279" s="17">
        <f>Github!O$278</f>
        <v>46.23634059</v>
      </c>
      <c r="L279" s="17">
        <f>Github!P$278</f>
        <v>211558</v>
      </c>
    </row>
    <row r="280">
      <c r="A280" s="17">
        <f>Github!J$279</f>
        <v>278</v>
      </c>
      <c r="B280" s="34" t="str">
        <f>HYPERLINK(CONCAT("http://leetcode.com/problems/",Github!C$279), Github!B$279)</f>
        <v>First Bad Version</v>
      </c>
      <c r="C280" s="17">
        <f>Github!F$279</f>
        <v>4384</v>
      </c>
      <c r="D280" s="17">
        <f>Github!G$279</f>
        <v>1642</v>
      </c>
      <c r="E280" s="17">
        <f>Github!F$279+Github!G$279</f>
        <v>6026</v>
      </c>
      <c r="F280" s="18">
        <f t="shared" si="1"/>
        <v>2.67</v>
      </c>
      <c r="G280" s="17" t="str">
        <f>Github!H$279</f>
        <v>Algorithms</v>
      </c>
      <c r="H280" s="17" t="b">
        <f>Github!D$279</f>
        <v>0</v>
      </c>
      <c r="I280" s="17" t="str">
        <f>Github!E$279</f>
        <v>Easy</v>
      </c>
      <c r="J280" s="17" t="str">
        <f>ROUND(Github!N$279, 2)&amp;"%"</f>
        <v>1%</v>
      </c>
      <c r="K280" s="17">
        <f>Github!O$279</f>
        <v>41.19438591</v>
      </c>
      <c r="L280" s="17">
        <f>Github!P$279</f>
        <v>906214</v>
      </c>
    </row>
    <row r="281">
      <c r="A281" s="17">
        <f>Github!J$280</f>
        <v>279</v>
      </c>
      <c r="B281" s="34" t="str">
        <f>HYPERLINK(CONCAT("http://leetcode.com/problems/",Github!C$280), Github!B$280)</f>
        <v>Perfect Squares</v>
      </c>
      <c r="C281" s="17">
        <f>Github!F$280</f>
        <v>6403</v>
      </c>
      <c r="D281" s="17">
        <f>Github!G$280</f>
        <v>286</v>
      </c>
      <c r="E281" s="17">
        <f>Github!F$280+Github!G$280</f>
        <v>6689</v>
      </c>
      <c r="F281" s="18">
        <f t="shared" si="1"/>
        <v>22.39</v>
      </c>
      <c r="G281" s="17" t="str">
        <f>Github!H$280</f>
        <v>Algorithms</v>
      </c>
      <c r="H281" s="17" t="b">
        <f>Github!D$280</f>
        <v>0</v>
      </c>
      <c r="I281" s="17" t="str">
        <f>Github!E$280</f>
        <v>Medium</v>
      </c>
      <c r="J281" s="17" t="str">
        <f>ROUND(Github!N$280, 2)&amp;"%"</f>
        <v>0%</v>
      </c>
      <c r="K281" s="17">
        <f>Github!O$280</f>
        <v>51.64946893</v>
      </c>
      <c r="L281" s="17">
        <f>Github!P$280</f>
        <v>508501</v>
      </c>
    </row>
    <row r="282">
      <c r="A282" s="17">
        <f>Github!J$281</f>
        <v>280</v>
      </c>
      <c r="B282" s="34" t="str">
        <f>HYPERLINK(CONCAT("http://leetcode.com/problems/",Github!C$281), Github!B$281)</f>
        <v>Wiggle Sort</v>
      </c>
      <c r="C282" s="17">
        <f>Github!F$281</f>
        <v>896</v>
      </c>
      <c r="D282" s="17">
        <f>Github!G$281</f>
        <v>74</v>
      </c>
      <c r="E282" s="17">
        <f>Github!F$281+Github!G$281</f>
        <v>970</v>
      </c>
      <c r="F282" s="18">
        <f t="shared" si="1"/>
        <v>12.11</v>
      </c>
      <c r="G282" s="17" t="str">
        <f>Github!H$281</f>
        <v>Algorithms</v>
      </c>
      <c r="H282" s="17" t="b">
        <f>Github!D$281</f>
        <v>1</v>
      </c>
      <c r="I282" s="17" t="str">
        <f>Github!E$281</f>
        <v>Medium</v>
      </c>
      <c r="J282" s="17" t="str">
        <f>ROUND(Github!N$281, 2)&amp;"%"</f>
        <v>0%</v>
      </c>
      <c r="K282" s="17">
        <f>Github!O$281</f>
        <v>65.88884847</v>
      </c>
      <c r="L282" s="17">
        <f>Github!P$281</f>
        <v>112297</v>
      </c>
    </row>
    <row r="283">
      <c r="A283" s="17">
        <f>Github!J$282</f>
        <v>281</v>
      </c>
      <c r="B283" s="34" t="str">
        <f>HYPERLINK(CONCAT("http://leetcode.com/problems/",Github!C$282), Github!B$282)</f>
        <v>Zigzag Iterator</v>
      </c>
      <c r="C283" s="17">
        <f>Github!F$282</f>
        <v>546</v>
      </c>
      <c r="D283" s="17">
        <f>Github!G$282</f>
        <v>30</v>
      </c>
      <c r="E283" s="17">
        <f>Github!F$282+Github!G$282</f>
        <v>576</v>
      </c>
      <c r="F283" s="18">
        <f t="shared" si="1"/>
        <v>18.2</v>
      </c>
      <c r="G283" s="17" t="str">
        <f>Github!H$282</f>
        <v>Algorithms</v>
      </c>
      <c r="H283" s="17" t="b">
        <f>Github!D$282</f>
        <v>1</v>
      </c>
      <c r="I283" s="17" t="str">
        <f>Github!E$282</f>
        <v>Medium</v>
      </c>
      <c r="J283" s="17" t="str">
        <f>ROUND(Github!N$282, 2)&amp;"%"</f>
        <v>0%</v>
      </c>
      <c r="K283" s="17">
        <f>Github!O$282</f>
        <v>61.24818013</v>
      </c>
      <c r="L283" s="17">
        <f>Github!P$282</f>
        <v>78668</v>
      </c>
    </row>
    <row r="284">
      <c r="A284" s="17">
        <f>Github!J$283</f>
        <v>282</v>
      </c>
      <c r="B284" s="34" t="str">
        <f>HYPERLINK(CONCAT("http://leetcode.com/problems/",Github!C$283), Github!B$283)</f>
        <v>Expression Add Operators</v>
      </c>
      <c r="C284" s="17">
        <f>Github!F$283</f>
        <v>2414</v>
      </c>
      <c r="D284" s="17">
        <f>Github!G$283</f>
        <v>405</v>
      </c>
      <c r="E284" s="17">
        <f>Github!F$283+Github!G$283</f>
        <v>2819</v>
      </c>
      <c r="F284" s="18">
        <f t="shared" si="1"/>
        <v>5.96</v>
      </c>
      <c r="G284" s="17" t="str">
        <f>Github!H$283</f>
        <v>Algorithms</v>
      </c>
      <c r="H284" s="17" t="b">
        <f>Github!D$283</f>
        <v>0</v>
      </c>
      <c r="I284" s="17" t="str">
        <f>Github!E$283</f>
        <v>Hard</v>
      </c>
      <c r="J284" s="17" t="str">
        <f>ROUND(Github!N$283, 2)&amp;"%"</f>
        <v>0%</v>
      </c>
      <c r="K284" s="17">
        <f>Github!O$283</f>
        <v>39.09263491</v>
      </c>
      <c r="L284" s="17">
        <f>Github!P$283</f>
        <v>175857</v>
      </c>
    </row>
    <row r="285">
      <c r="A285" s="17">
        <f>Github!J$284</f>
        <v>283</v>
      </c>
      <c r="B285" s="34" t="str">
        <f>HYPERLINK(CONCAT("http://leetcode.com/problems/",Github!C$284), Github!B$284)</f>
        <v>Move Zeroes</v>
      </c>
      <c r="C285" s="17">
        <f>Github!F$284</f>
        <v>8447</v>
      </c>
      <c r="D285" s="17">
        <f>Github!G$284</f>
        <v>230</v>
      </c>
      <c r="E285" s="17">
        <f>Github!F$284+Github!G$284</f>
        <v>8677</v>
      </c>
      <c r="F285" s="18">
        <f t="shared" si="1"/>
        <v>36.73</v>
      </c>
      <c r="G285" s="17" t="str">
        <f>Github!H$284</f>
        <v>Algorithms</v>
      </c>
      <c r="H285" s="17" t="b">
        <f>Github!D$284</f>
        <v>0</v>
      </c>
      <c r="I285" s="17" t="str">
        <f>Github!E$284</f>
        <v>Easy</v>
      </c>
      <c r="J285" s="17" t="str">
        <f>ROUND(Github!N$284, 2)&amp;"%"</f>
        <v>0%</v>
      </c>
      <c r="K285" s="17">
        <f>Github!O$284</f>
        <v>60.36866235</v>
      </c>
      <c r="L285" s="17">
        <f>Github!P$284</f>
        <v>1558785</v>
      </c>
    </row>
    <row r="286">
      <c r="A286" s="17">
        <f>Github!J$285</f>
        <v>284</v>
      </c>
      <c r="B286" s="34" t="str">
        <f>HYPERLINK(CONCAT("http://leetcode.com/problems/",Github!C$285), Github!B$285)</f>
        <v>Peeking Iterator</v>
      </c>
      <c r="C286" s="17">
        <f>Github!F$285</f>
        <v>979</v>
      </c>
      <c r="D286" s="17">
        <f>Github!G$285</f>
        <v>677</v>
      </c>
      <c r="E286" s="17">
        <f>Github!F$285+Github!G$285</f>
        <v>1656</v>
      </c>
      <c r="F286" s="18">
        <f t="shared" si="1"/>
        <v>1.45</v>
      </c>
      <c r="G286" s="17" t="str">
        <f>Github!H$285</f>
        <v>Algorithms</v>
      </c>
      <c r="H286" s="17" t="b">
        <f>Github!D$285</f>
        <v>0</v>
      </c>
      <c r="I286" s="17" t="str">
        <f>Github!E$285</f>
        <v>Medium</v>
      </c>
      <c r="J286" s="17" t="str">
        <f>ROUND(Github!N$285, 2)&amp;"%"</f>
        <v>0%</v>
      </c>
      <c r="K286" s="17">
        <f>Github!O$285</f>
        <v>53.39620748</v>
      </c>
      <c r="L286" s="17">
        <f>Github!P$285</f>
        <v>154338</v>
      </c>
    </row>
    <row r="287">
      <c r="A287" s="17">
        <f>Github!J$286</f>
        <v>285</v>
      </c>
      <c r="B287" s="34" t="str">
        <f>HYPERLINK(CONCAT("http://leetcode.com/problems/",Github!C$286), Github!B$286)</f>
        <v>Inorder Successor in BST</v>
      </c>
      <c r="C287" s="17">
        <f>Github!F$286</f>
        <v>2044</v>
      </c>
      <c r="D287" s="17">
        <f>Github!G$286</f>
        <v>77</v>
      </c>
      <c r="E287" s="17">
        <f>Github!F$286+Github!G$286</f>
        <v>2121</v>
      </c>
      <c r="F287" s="18">
        <f t="shared" si="1"/>
        <v>26.55</v>
      </c>
      <c r="G287" s="17" t="str">
        <f>Github!H$286</f>
        <v>Algorithms</v>
      </c>
      <c r="H287" s="17" t="b">
        <f>Github!D$286</f>
        <v>1</v>
      </c>
      <c r="I287" s="17" t="str">
        <f>Github!E$286</f>
        <v>Medium</v>
      </c>
      <c r="J287" s="17" t="str">
        <f>ROUND(Github!N$286, 2)&amp;"%"</f>
        <v>0%</v>
      </c>
      <c r="K287" s="17">
        <f>Github!O$286</f>
        <v>46.64153188</v>
      </c>
      <c r="L287" s="17">
        <f>Github!P$286</f>
        <v>252493</v>
      </c>
    </row>
    <row r="288">
      <c r="A288" s="17">
        <f>Github!J$287</f>
        <v>286</v>
      </c>
      <c r="B288" s="34" t="str">
        <f>HYPERLINK(CONCAT("http://leetcode.com/problems/",Github!C$287), Github!B$287)</f>
        <v>Walls and Gates</v>
      </c>
      <c r="C288" s="17">
        <f>Github!F$287</f>
        <v>2216</v>
      </c>
      <c r="D288" s="17">
        <f>Github!G$287</f>
        <v>35</v>
      </c>
      <c r="E288" s="17">
        <f>Github!F$287+Github!G$287</f>
        <v>2251</v>
      </c>
      <c r="F288" s="18">
        <f t="shared" si="1"/>
        <v>63.31</v>
      </c>
      <c r="G288" s="17" t="str">
        <f>Github!H$287</f>
        <v>Algorithms</v>
      </c>
      <c r="H288" s="17" t="b">
        <f>Github!D$287</f>
        <v>1</v>
      </c>
      <c r="I288" s="17" t="str">
        <f>Github!E$287</f>
        <v>Medium</v>
      </c>
      <c r="J288" s="17" t="str">
        <f>ROUND(Github!N$287, 2)&amp;"%"</f>
        <v>0%</v>
      </c>
      <c r="K288" s="17">
        <f>Github!O$287</f>
        <v>58.92741188</v>
      </c>
      <c r="L288" s="17">
        <f>Github!P$287</f>
        <v>207814</v>
      </c>
    </row>
    <row r="289">
      <c r="A289" s="17">
        <f>Github!J$288</f>
        <v>287</v>
      </c>
      <c r="B289" s="34" t="str">
        <f>HYPERLINK(CONCAT("http://leetcode.com/problems/",Github!C$288), Github!B$288)</f>
        <v>Find the Duplicate Number</v>
      </c>
      <c r="C289" s="17">
        <f>Github!F$288</f>
        <v>11972</v>
      </c>
      <c r="D289" s="17">
        <f>Github!G$288</f>
        <v>1319</v>
      </c>
      <c r="E289" s="17">
        <f>Github!F$288+Github!G$288</f>
        <v>13291</v>
      </c>
      <c r="F289" s="18">
        <f t="shared" si="1"/>
        <v>9.08</v>
      </c>
      <c r="G289" s="17" t="str">
        <f>Github!H$288</f>
        <v>Algorithms</v>
      </c>
      <c r="H289" s="17" t="b">
        <f>Github!D$288</f>
        <v>0</v>
      </c>
      <c r="I289" s="17" t="str">
        <f>Github!E$288</f>
        <v>Medium</v>
      </c>
      <c r="J289" s="17" t="str">
        <f>ROUND(Github!N$288, 2)&amp;"%"</f>
        <v>0%</v>
      </c>
      <c r="K289" s="17">
        <f>Github!O$288</f>
        <v>58.41663759</v>
      </c>
      <c r="L289" s="17">
        <f>Github!P$288</f>
        <v>738227</v>
      </c>
    </row>
    <row r="290">
      <c r="A290" s="17">
        <f>Github!J$289</f>
        <v>288</v>
      </c>
      <c r="B290" s="34" t="str">
        <f>HYPERLINK(CONCAT("http://leetcode.com/problems/",Github!C$289), Github!B$289)</f>
        <v>Unique Word Abbreviation</v>
      </c>
      <c r="C290" s="17">
        <f>Github!F$289</f>
        <v>157</v>
      </c>
      <c r="D290" s="17">
        <f>Github!G$289</f>
        <v>1625</v>
      </c>
      <c r="E290" s="17">
        <f>Github!F$289+Github!G$289</f>
        <v>1782</v>
      </c>
      <c r="F290" s="18">
        <f t="shared" si="1"/>
        <v>0.1</v>
      </c>
      <c r="G290" s="17" t="str">
        <f>Github!H$289</f>
        <v>Algorithms</v>
      </c>
      <c r="H290" s="17" t="b">
        <f>Github!D$289</f>
        <v>1</v>
      </c>
      <c r="I290" s="17" t="str">
        <f>Github!E$289</f>
        <v>Medium</v>
      </c>
      <c r="J290" s="17" t="str">
        <f>ROUND(Github!N$289, 2)&amp;"%"</f>
        <v>0%</v>
      </c>
      <c r="K290" s="17">
        <f>Github!O$289</f>
        <v>24.59012594</v>
      </c>
      <c r="L290" s="17">
        <f>Github!P$289</f>
        <v>63654</v>
      </c>
    </row>
    <row r="291">
      <c r="A291" s="17">
        <f>Github!J$290</f>
        <v>289</v>
      </c>
      <c r="B291" s="34" t="str">
        <f>HYPERLINK(CONCAT("http://leetcode.com/problems/",Github!C$290), Github!B$290)</f>
        <v>Game of Life</v>
      </c>
      <c r="C291" s="17">
        <f>Github!F$290</f>
        <v>3617</v>
      </c>
      <c r="D291" s="17">
        <f>Github!G$290</f>
        <v>391</v>
      </c>
      <c r="E291" s="17">
        <f>Github!F$290+Github!G$290</f>
        <v>4008</v>
      </c>
      <c r="F291" s="18">
        <f t="shared" si="1"/>
        <v>9.25</v>
      </c>
      <c r="G291" s="17" t="str">
        <f>Github!H$290</f>
        <v>Algorithms</v>
      </c>
      <c r="H291" s="17" t="b">
        <f>Github!D$290</f>
        <v>0</v>
      </c>
      <c r="I291" s="17" t="str">
        <f>Github!E$290</f>
        <v>Medium</v>
      </c>
      <c r="J291" s="17" t="str">
        <f>ROUND(Github!N$290, 2)&amp;"%"</f>
        <v>1%</v>
      </c>
      <c r="K291" s="17">
        <f>Github!O$290</f>
        <v>62.37322493</v>
      </c>
      <c r="L291" s="17">
        <f>Github!P$290</f>
        <v>288002</v>
      </c>
    </row>
    <row r="292">
      <c r="A292" s="17">
        <f>Github!J$291</f>
        <v>290</v>
      </c>
      <c r="B292" s="34" t="str">
        <f>HYPERLINK(CONCAT("http://leetcode.com/problems/",Github!C$291), Github!B$291)</f>
        <v>Word Pattern</v>
      </c>
      <c r="C292" s="17">
        <f>Github!F$291</f>
        <v>3380</v>
      </c>
      <c r="D292" s="17">
        <f>Github!G$291</f>
        <v>386</v>
      </c>
      <c r="E292" s="17">
        <f>Github!F$291+Github!G$291</f>
        <v>3766</v>
      </c>
      <c r="F292" s="18">
        <f t="shared" si="1"/>
        <v>8.76</v>
      </c>
      <c r="G292" s="17" t="str">
        <f>Github!H$291</f>
        <v>Algorithms</v>
      </c>
      <c r="H292" s="17" t="b">
        <f>Github!D$291</f>
        <v>0</v>
      </c>
      <c r="I292" s="17" t="str">
        <f>Github!E$291</f>
        <v>Easy</v>
      </c>
      <c r="J292" s="17" t="str">
        <f>ROUND(Github!N$291, 2)&amp;"%"</f>
        <v>0%</v>
      </c>
      <c r="K292" s="17">
        <f>Github!O$291</f>
        <v>40.1334086</v>
      </c>
      <c r="L292" s="17">
        <f>Github!P$291</f>
        <v>348358</v>
      </c>
    </row>
    <row r="293">
      <c r="A293" s="17">
        <f>Github!J$292</f>
        <v>291</v>
      </c>
      <c r="B293" s="34" t="str">
        <f>HYPERLINK(CONCAT("http://leetcode.com/problems/",Github!C$292), Github!B$292)</f>
        <v>Word Pattern II</v>
      </c>
      <c r="C293" s="17">
        <f>Github!F$292</f>
        <v>701</v>
      </c>
      <c r="D293" s="17">
        <f>Github!G$292</f>
        <v>52</v>
      </c>
      <c r="E293" s="17">
        <f>Github!F$292+Github!G$292</f>
        <v>753</v>
      </c>
      <c r="F293" s="18">
        <f t="shared" si="1"/>
        <v>13.48</v>
      </c>
      <c r="G293" s="17" t="str">
        <f>Github!H$292</f>
        <v>Algorithms</v>
      </c>
      <c r="H293" s="17" t="b">
        <f>Github!D$292</f>
        <v>1</v>
      </c>
      <c r="I293" s="17" t="str">
        <f>Github!E$292</f>
        <v>Medium</v>
      </c>
      <c r="J293" s="17" t="str">
        <f>ROUND(Github!N$292, 2)&amp;"%"</f>
        <v>0%</v>
      </c>
      <c r="K293" s="17">
        <f>Github!O$292</f>
        <v>46.02209035</v>
      </c>
      <c r="L293" s="17">
        <f>Github!P$292</f>
        <v>58709</v>
      </c>
    </row>
    <row r="294">
      <c r="A294" s="17">
        <f>Github!J$293</f>
        <v>292</v>
      </c>
      <c r="B294" s="34" t="str">
        <f>HYPERLINK(CONCAT("http://leetcode.com/problems/",Github!C$293), Github!B$293)</f>
        <v>Nim Game</v>
      </c>
      <c r="C294" s="17">
        <f>Github!F$293</f>
        <v>1016</v>
      </c>
      <c r="D294" s="17">
        <f>Github!G$293</f>
        <v>2169</v>
      </c>
      <c r="E294" s="17">
        <f>Github!F$293+Github!G$293</f>
        <v>3185</v>
      </c>
      <c r="F294" s="18">
        <f t="shared" si="1"/>
        <v>0.47</v>
      </c>
      <c r="G294" s="17" t="str">
        <f>Github!H$293</f>
        <v>Algorithms</v>
      </c>
      <c r="H294" s="17" t="b">
        <f>Github!D$293</f>
        <v>0</v>
      </c>
      <c r="I294" s="17" t="str">
        <f>Github!E$293</f>
        <v>Easy</v>
      </c>
      <c r="J294" s="17" t="str">
        <f>ROUND(Github!N$293, 2)&amp;"%"</f>
        <v>0%</v>
      </c>
      <c r="K294" s="17">
        <f>Github!O$293</f>
        <v>55.42654443</v>
      </c>
      <c r="L294" s="17">
        <f>Github!P$293</f>
        <v>272192</v>
      </c>
    </row>
    <row r="295">
      <c r="A295" s="17">
        <f>Github!J$294</f>
        <v>293</v>
      </c>
      <c r="B295" s="34" t="str">
        <f>HYPERLINK(CONCAT("http://leetcode.com/problems/",Github!C$294), Github!B$294)</f>
        <v>Flip Game</v>
      </c>
      <c r="C295" s="17">
        <f>Github!F$294</f>
        <v>157</v>
      </c>
      <c r="D295" s="17">
        <f>Github!G$294</f>
        <v>374</v>
      </c>
      <c r="E295" s="17">
        <f>Github!F$294+Github!G$294</f>
        <v>531</v>
      </c>
      <c r="F295" s="18">
        <f t="shared" si="1"/>
        <v>0.42</v>
      </c>
      <c r="G295" s="17" t="str">
        <f>Github!H$294</f>
        <v>Algorithms</v>
      </c>
      <c r="H295" s="17" t="b">
        <f>Github!D$294</f>
        <v>1</v>
      </c>
      <c r="I295" s="17" t="str">
        <f>Github!E$294</f>
        <v>Easy</v>
      </c>
      <c r="J295" s="17" t="str">
        <f>ROUND(Github!N$294, 2)&amp;"%"</f>
        <v>0%</v>
      </c>
      <c r="K295" s="17">
        <f>Github!O$294</f>
        <v>62.41556394</v>
      </c>
      <c r="L295" s="17">
        <f>Github!P$294</f>
        <v>58582</v>
      </c>
    </row>
    <row r="296">
      <c r="A296" s="17">
        <f>Github!J$295</f>
        <v>294</v>
      </c>
      <c r="B296" s="34" t="str">
        <f>HYPERLINK(CONCAT("http://leetcode.com/problems/",Github!C$295), Github!B$295)</f>
        <v>Flip Game II</v>
      </c>
      <c r="C296" s="17">
        <f>Github!F$295</f>
        <v>516</v>
      </c>
      <c r="D296" s="17">
        <f>Github!G$295</f>
        <v>49</v>
      </c>
      <c r="E296" s="17">
        <f>Github!F$295+Github!G$295</f>
        <v>565</v>
      </c>
      <c r="F296" s="18">
        <f t="shared" si="1"/>
        <v>10.53</v>
      </c>
      <c r="G296" s="17" t="str">
        <f>Github!H$295</f>
        <v>Algorithms</v>
      </c>
      <c r="H296" s="17" t="b">
        <f>Github!D$295</f>
        <v>1</v>
      </c>
      <c r="I296" s="17" t="str">
        <f>Github!E$295</f>
        <v>Medium</v>
      </c>
      <c r="J296" s="17" t="str">
        <f>ROUND(Github!N$295, 2)&amp;"%"</f>
        <v>0%</v>
      </c>
      <c r="K296" s="17">
        <f>Github!O$295</f>
        <v>51.4075687</v>
      </c>
      <c r="L296" s="17">
        <f>Github!P$295</f>
        <v>62800</v>
      </c>
    </row>
    <row r="297">
      <c r="A297" s="17">
        <f>Github!J$296</f>
        <v>295</v>
      </c>
      <c r="B297" s="34" t="str">
        <f>HYPERLINK(CONCAT("http://leetcode.com/problems/",Github!C$296), Github!B$296)</f>
        <v>Find Median from Data Stream</v>
      </c>
      <c r="C297" s="17">
        <f>Github!F$296</f>
        <v>6401</v>
      </c>
      <c r="D297" s="17">
        <f>Github!G$296</f>
        <v>119</v>
      </c>
      <c r="E297" s="17">
        <f>Github!F$296+Github!G$296</f>
        <v>6520</v>
      </c>
      <c r="F297" s="18">
        <f t="shared" si="1"/>
        <v>53.79</v>
      </c>
      <c r="G297" s="17" t="str">
        <f>Github!H$296</f>
        <v>Algorithms</v>
      </c>
      <c r="H297" s="17" t="b">
        <f>Github!D$296</f>
        <v>0</v>
      </c>
      <c r="I297" s="17" t="str">
        <f>Github!E$296</f>
        <v>Hard</v>
      </c>
      <c r="J297" s="17" t="str">
        <f>ROUND(Github!N$296, 2)&amp;"%"</f>
        <v>0%</v>
      </c>
      <c r="K297" s="17">
        <f>Github!O$296</f>
        <v>50.07845441</v>
      </c>
      <c r="L297" s="17">
        <f>Github!P$296</f>
        <v>430532</v>
      </c>
    </row>
    <row r="298">
      <c r="A298" s="17">
        <f>Github!J$297</f>
        <v>296</v>
      </c>
      <c r="B298" s="34" t="str">
        <f>HYPERLINK(CONCAT("http://leetcode.com/problems/",Github!C$297), Github!B$297)</f>
        <v>Best Meeting Point</v>
      </c>
      <c r="C298" s="17">
        <f>Github!F$297</f>
        <v>846</v>
      </c>
      <c r="D298" s="17">
        <f>Github!G$297</f>
        <v>66</v>
      </c>
      <c r="E298" s="17">
        <f>Github!F$297+Github!G$297</f>
        <v>912</v>
      </c>
      <c r="F298" s="18">
        <f t="shared" si="1"/>
        <v>12.82</v>
      </c>
      <c r="G298" s="17" t="str">
        <f>Github!H$297</f>
        <v>Algorithms</v>
      </c>
      <c r="H298" s="17" t="b">
        <f>Github!D$297</f>
        <v>1</v>
      </c>
      <c r="I298" s="17" t="str">
        <f>Github!E$297</f>
        <v>Hard</v>
      </c>
      <c r="J298" s="17" t="str">
        <f>ROUND(Github!N$297, 2)&amp;"%"</f>
        <v>0%</v>
      </c>
      <c r="K298" s="17">
        <f>Github!O$297</f>
        <v>59.36839462</v>
      </c>
      <c r="L298" s="17">
        <f>Github!P$297</f>
        <v>56736</v>
      </c>
    </row>
    <row r="299">
      <c r="A299" s="17">
        <f>Github!J$298</f>
        <v>297</v>
      </c>
      <c r="B299" s="34" t="str">
        <f>HYPERLINK(CONCAT("http://leetcode.com/problems/",Github!C$298), Github!B$298)</f>
        <v>Serialize and Deserialize Binary Tree</v>
      </c>
      <c r="C299" s="17">
        <f>Github!F$298</f>
        <v>6203</v>
      </c>
      <c r="D299" s="17">
        <f>Github!G$298</f>
        <v>241</v>
      </c>
      <c r="E299" s="17">
        <f>Github!F$298+Github!G$298</f>
        <v>6444</v>
      </c>
      <c r="F299" s="18">
        <f t="shared" si="1"/>
        <v>25.74</v>
      </c>
      <c r="G299" s="17" t="str">
        <f>Github!H$298</f>
        <v>Algorithms</v>
      </c>
      <c r="H299" s="17" t="b">
        <f>Github!D$298</f>
        <v>0</v>
      </c>
      <c r="I299" s="17" t="str">
        <f>Github!E$298</f>
        <v>Hard</v>
      </c>
      <c r="J299" s="17" t="str">
        <f>ROUND(Github!N$298, 2)&amp;"%"</f>
        <v>0%</v>
      </c>
      <c r="K299" s="17">
        <f>Github!O$298</f>
        <v>53.3074811</v>
      </c>
      <c r="L299" s="17">
        <f>Github!P$298</f>
        <v>576810</v>
      </c>
    </row>
    <row r="300">
      <c r="A300" s="17">
        <f>Github!J$299</f>
        <v>298</v>
      </c>
      <c r="B300" s="34" t="str">
        <f>HYPERLINK(CONCAT("http://leetcode.com/problems/",Github!C$299), Github!B$299)</f>
        <v>Binary Tree Longest Consecutive Sequence</v>
      </c>
      <c r="C300" s="17">
        <f>Github!F$299</f>
        <v>858</v>
      </c>
      <c r="D300" s="17">
        <f>Github!G$299</f>
        <v>209</v>
      </c>
      <c r="E300" s="17">
        <f>Github!F$299+Github!G$299</f>
        <v>1067</v>
      </c>
      <c r="F300" s="18">
        <f t="shared" si="1"/>
        <v>4.11</v>
      </c>
      <c r="G300" s="17" t="str">
        <f>Github!H$299</f>
        <v>Algorithms</v>
      </c>
      <c r="H300" s="17" t="b">
        <f>Github!D$299</f>
        <v>1</v>
      </c>
      <c r="I300" s="17" t="str">
        <f>Github!E$299</f>
        <v>Medium</v>
      </c>
      <c r="J300" s="17" t="str">
        <f>ROUND(Github!N$299, 2)&amp;"%"</f>
        <v>0%</v>
      </c>
      <c r="K300" s="17">
        <f>Github!O$299</f>
        <v>50.90089701</v>
      </c>
      <c r="L300" s="17">
        <f>Github!P$299</f>
        <v>117802</v>
      </c>
    </row>
    <row r="301">
      <c r="A301" s="17">
        <f>Github!J$300</f>
        <v>299</v>
      </c>
      <c r="B301" s="34" t="str">
        <f>HYPERLINK(CONCAT("http://leetcode.com/problems/",Github!C$300), Github!B$300)</f>
        <v>Bulls and Cows</v>
      </c>
      <c r="C301" s="17">
        <f>Github!F$300</f>
        <v>1316</v>
      </c>
      <c r="D301" s="17">
        <f>Github!G$300</f>
        <v>1268</v>
      </c>
      <c r="E301" s="17">
        <f>Github!F$300+Github!G$300</f>
        <v>2584</v>
      </c>
      <c r="F301" s="18">
        <f t="shared" si="1"/>
        <v>1.04</v>
      </c>
      <c r="G301" s="17" t="str">
        <f>Github!H$300</f>
        <v>Algorithms</v>
      </c>
      <c r="H301" s="17" t="b">
        <f>Github!D$300</f>
        <v>0</v>
      </c>
      <c r="I301" s="17" t="str">
        <f>Github!E$300</f>
        <v>Medium</v>
      </c>
      <c r="J301" s="17" t="str">
        <f>ROUND(Github!N$300, 2)&amp;"%"</f>
        <v>0%</v>
      </c>
      <c r="K301" s="17">
        <f>Github!O$300</f>
        <v>46.95424449</v>
      </c>
      <c r="L301" s="17">
        <f>Github!P$300</f>
        <v>259618</v>
      </c>
    </row>
    <row r="302">
      <c r="A302" s="17">
        <f>Github!J$301</f>
        <v>300</v>
      </c>
      <c r="B302" s="34" t="str">
        <f>HYPERLINK(CONCAT("http://leetcode.com/problems/",Github!C$301), Github!B$301)</f>
        <v>Longest Increasing Subsequence</v>
      </c>
      <c r="C302" s="17">
        <f>Github!F$301</f>
        <v>11027</v>
      </c>
      <c r="D302" s="17">
        <f>Github!G$301</f>
        <v>217</v>
      </c>
      <c r="E302" s="17">
        <f>Github!F$301+Github!G$301</f>
        <v>11244</v>
      </c>
      <c r="F302" s="18">
        <f t="shared" si="1"/>
        <v>50.82</v>
      </c>
      <c r="G302" s="17" t="str">
        <f>Github!H$301</f>
        <v>Algorithms</v>
      </c>
      <c r="H302" s="17" t="b">
        <f>Github!D$301</f>
        <v>0</v>
      </c>
      <c r="I302" s="17" t="str">
        <f>Github!E$301</f>
        <v>Medium</v>
      </c>
      <c r="J302" s="17" t="str">
        <f>ROUND(Github!N$301, 2)&amp;"%"</f>
        <v>0%</v>
      </c>
      <c r="K302" s="17">
        <f>Github!O$301</f>
        <v>48.77545275</v>
      </c>
      <c r="L302" s="17">
        <f>Github!P$301</f>
        <v>796935</v>
      </c>
    </row>
    <row r="303">
      <c r="A303" s="17">
        <f>Github!J$302</f>
        <v>301</v>
      </c>
      <c r="B303" s="34" t="str">
        <f>HYPERLINK(CONCAT("http://leetcode.com/problems/",Github!C$302), Github!B$302)</f>
        <v>Remove Invalid Parentheses</v>
      </c>
      <c r="C303" s="17">
        <f>Github!F$302</f>
        <v>4448</v>
      </c>
      <c r="D303" s="17">
        <f>Github!G$302</f>
        <v>225</v>
      </c>
      <c r="E303" s="17">
        <f>Github!F$302+Github!G$302</f>
        <v>4673</v>
      </c>
      <c r="F303" s="18">
        <f t="shared" si="1"/>
        <v>19.77</v>
      </c>
      <c r="G303" s="17" t="str">
        <f>Github!H$302</f>
        <v>Algorithms</v>
      </c>
      <c r="H303" s="17" t="b">
        <f>Github!D$302</f>
        <v>0</v>
      </c>
      <c r="I303" s="17" t="str">
        <f>Github!E$302</f>
        <v>Hard</v>
      </c>
      <c r="J303" s="17" t="str">
        <f>ROUND(Github!N$302, 2)&amp;"%"</f>
        <v>0%</v>
      </c>
      <c r="K303" s="17">
        <f>Github!O$302</f>
        <v>46.67932031</v>
      </c>
      <c r="L303" s="17">
        <f>Github!P$302</f>
        <v>336677</v>
      </c>
    </row>
    <row r="304">
      <c r="A304" s="17">
        <f>Github!J$303</f>
        <v>302</v>
      </c>
      <c r="B304" s="34" t="str">
        <f>HYPERLINK(CONCAT("http://leetcode.com/problems/",Github!C$303), Github!B$303)</f>
        <v>Smallest Rectangle Enclosing Black Pixels</v>
      </c>
      <c r="C304" s="17">
        <f>Github!F$303</f>
        <v>393</v>
      </c>
      <c r="D304" s="17">
        <f>Github!G$303</f>
        <v>80</v>
      </c>
      <c r="E304" s="17">
        <f>Github!F$303+Github!G$303</f>
        <v>473</v>
      </c>
      <c r="F304" s="18">
        <f t="shared" si="1"/>
        <v>4.91</v>
      </c>
      <c r="G304" s="17" t="str">
        <f>Github!H$303</f>
        <v>Algorithms</v>
      </c>
      <c r="H304" s="17" t="b">
        <f>Github!D$303</f>
        <v>1</v>
      </c>
      <c r="I304" s="17" t="str">
        <f>Github!E$303</f>
        <v>Hard</v>
      </c>
      <c r="J304" s="17" t="str">
        <f>ROUND(Github!N$303, 2)&amp;"%"</f>
        <v>0%</v>
      </c>
      <c r="K304" s="17">
        <f>Github!O$303</f>
        <v>56.14819086</v>
      </c>
      <c r="L304" s="17">
        <f>Github!P$303</f>
        <v>38950</v>
      </c>
    </row>
    <row r="305">
      <c r="A305" s="17">
        <f>Github!J$304</f>
        <v>303</v>
      </c>
      <c r="B305" s="34" t="str">
        <f>HYPERLINK(CONCAT("http://leetcode.com/problems/",Github!C$304), Github!B$304)</f>
        <v>Range Sum Query - Immutable</v>
      </c>
      <c r="C305" s="17">
        <f>Github!F$304</f>
        <v>1845</v>
      </c>
      <c r="D305" s="17">
        <f>Github!G$304</f>
        <v>1611</v>
      </c>
      <c r="E305" s="17">
        <f>Github!F$304+Github!G$304</f>
        <v>3456</v>
      </c>
      <c r="F305" s="18">
        <f t="shared" si="1"/>
        <v>1.15</v>
      </c>
      <c r="G305" s="17" t="str">
        <f>Github!H$304</f>
        <v>Algorithms</v>
      </c>
      <c r="H305" s="17" t="b">
        <f>Github!D$304</f>
        <v>0</v>
      </c>
      <c r="I305" s="17" t="str">
        <f>Github!E$304</f>
        <v>Easy</v>
      </c>
      <c r="J305" s="17" t="str">
        <f>ROUND(Github!N$304, 2)&amp;"%"</f>
        <v>0%</v>
      </c>
      <c r="K305" s="17">
        <f>Github!O$304</f>
        <v>54.61336852</v>
      </c>
      <c r="L305" s="17">
        <f>Github!P$304</f>
        <v>336935</v>
      </c>
    </row>
    <row r="306">
      <c r="A306" s="17">
        <f>Github!J$305</f>
        <v>304</v>
      </c>
      <c r="B306" s="34" t="str">
        <f>HYPERLINK(CONCAT("http://leetcode.com/problems/",Github!C$305), Github!B$305)</f>
        <v>Range Sum Query 2D - Immutable</v>
      </c>
      <c r="C306" s="17">
        <f>Github!F$305</f>
        <v>2434</v>
      </c>
      <c r="D306" s="17">
        <f>Github!G$305</f>
        <v>242</v>
      </c>
      <c r="E306" s="17">
        <f>Github!F$305+Github!G$305</f>
        <v>2676</v>
      </c>
      <c r="F306" s="18">
        <f t="shared" si="1"/>
        <v>10.06</v>
      </c>
      <c r="G306" s="17" t="str">
        <f>Github!H$305</f>
        <v>Algorithms</v>
      </c>
      <c r="H306" s="17" t="b">
        <f>Github!D$305</f>
        <v>0</v>
      </c>
      <c r="I306" s="17" t="str">
        <f>Github!E$305</f>
        <v>Medium</v>
      </c>
      <c r="J306" s="17" t="str">
        <f>ROUND(Github!N$305, 2)&amp;"%"</f>
        <v>0%</v>
      </c>
      <c r="K306" s="17">
        <f>Github!O$305</f>
        <v>47.07329523</v>
      </c>
      <c r="L306" s="17">
        <f>Github!P$305</f>
        <v>214874</v>
      </c>
    </row>
    <row r="307">
      <c r="A307" s="17">
        <f>Github!J$306</f>
        <v>305</v>
      </c>
      <c r="B307" s="34" t="str">
        <f>HYPERLINK(CONCAT("http://leetcode.com/problems/",Github!C$306), Github!B$306)</f>
        <v>Number of Islands II</v>
      </c>
      <c r="C307" s="17">
        <f>Github!F$306</f>
        <v>1370</v>
      </c>
      <c r="D307" s="17">
        <f>Github!G$306</f>
        <v>42</v>
      </c>
      <c r="E307" s="17">
        <f>Github!F$306+Github!G$306</f>
        <v>1412</v>
      </c>
      <c r="F307" s="18">
        <f t="shared" si="1"/>
        <v>32.62</v>
      </c>
      <c r="G307" s="17" t="str">
        <f>Github!H$306</f>
        <v>Algorithms</v>
      </c>
      <c r="H307" s="17" t="b">
        <f>Github!D$306</f>
        <v>1</v>
      </c>
      <c r="I307" s="17" t="str">
        <f>Github!E$306</f>
        <v>Hard</v>
      </c>
      <c r="J307" s="17" t="str">
        <f>ROUND(Github!N$306, 2)&amp;"%"</f>
        <v>0%</v>
      </c>
      <c r="K307" s="17">
        <f>Github!O$306</f>
        <v>39.32746387</v>
      </c>
      <c r="L307" s="17">
        <f>Github!P$306</f>
        <v>109573</v>
      </c>
    </row>
    <row r="308">
      <c r="A308" s="17">
        <f>Github!J$307</f>
        <v>306</v>
      </c>
      <c r="B308" s="34" t="str">
        <f>HYPERLINK(CONCAT("http://leetcode.com/problems/",Github!C$307), Github!B$307)</f>
        <v>Additive Number</v>
      </c>
      <c r="C308" s="17">
        <f>Github!F$307</f>
        <v>699</v>
      </c>
      <c r="D308" s="17">
        <f>Github!G$307</f>
        <v>615</v>
      </c>
      <c r="E308" s="17">
        <f>Github!F$307+Github!G$307</f>
        <v>1314</v>
      </c>
      <c r="F308" s="18">
        <f t="shared" si="1"/>
        <v>1.14</v>
      </c>
      <c r="G308" s="17" t="str">
        <f>Github!H$307</f>
        <v>Algorithms</v>
      </c>
      <c r="H308" s="17" t="b">
        <f>Github!D$307</f>
        <v>0</v>
      </c>
      <c r="I308" s="17" t="str">
        <f>Github!E$307</f>
        <v>Medium</v>
      </c>
      <c r="J308" s="17" t="str">
        <f>ROUND(Github!N$307, 2)&amp;"%"</f>
        <v>0%</v>
      </c>
      <c r="K308" s="17">
        <f>Github!O$307</f>
        <v>30.5170602</v>
      </c>
      <c r="L308" s="17">
        <f>Github!P$307</f>
        <v>67956</v>
      </c>
    </row>
    <row r="309">
      <c r="A309" s="17">
        <f>Github!J$308</f>
        <v>307</v>
      </c>
      <c r="B309" s="34" t="str">
        <f>HYPERLINK(CONCAT("http://leetcode.com/problems/",Github!C$308), Github!B$308)</f>
        <v>Range Sum Query - Mutable</v>
      </c>
      <c r="C309" s="17">
        <f>Github!F$308</f>
        <v>2623</v>
      </c>
      <c r="D309" s="17">
        <f>Github!G$308</f>
        <v>142</v>
      </c>
      <c r="E309" s="17">
        <f>Github!F$308+Github!G$308</f>
        <v>2765</v>
      </c>
      <c r="F309" s="18">
        <f t="shared" si="1"/>
        <v>18.47</v>
      </c>
      <c r="G309" s="17" t="str">
        <f>Github!H$308</f>
        <v>Algorithms</v>
      </c>
      <c r="H309" s="17" t="b">
        <f>Github!D$308</f>
        <v>0</v>
      </c>
      <c r="I309" s="17" t="str">
        <f>Github!E$308</f>
        <v>Medium</v>
      </c>
      <c r="J309" s="17" t="str">
        <f>ROUND(Github!N$308, 2)&amp;"%"</f>
        <v>0%</v>
      </c>
      <c r="K309" s="17">
        <f>Github!O$308</f>
        <v>38.53460151</v>
      </c>
      <c r="L309" s="17">
        <f>Github!P$308</f>
        <v>176521</v>
      </c>
    </row>
    <row r="310">
      <c r="A310" s="17">
        <f>Github!J$309</f>
        <v>308</v>
      </c>
      <c r="B310" s="34" t="str">
        <f>HYPERLINK(CONCAT("http://leetcode.com/problems/",Github!C$309), Github!B$309)</f>
        <v>Range Sum Query 2D - Mutable</v>
      </c>
      <c r="C310" s="17">
        <f>Github!F$309</f>
        <v>637</v>
      </c>
      <c r="D310" s="17">
        <f>Github!G$309</f>
        <v>73</v>
      </c>
      <c r="E310" s="17">
        <f>Github!F$309+Github!G$309</f>
        <v>710</v>
      </c>
      <c r="F310" s="18">
        <f t="shared" si="1"/>
        <v>8.73</v>
      </c>
      <c r="G310" s="17" t="str">
        <f>Github!H$309</f>
        <v>Algorithms</v>
      </c>
      <c r="H310" s="17" t="b">
        <f>Github!D$309</f>
        <v>1</v>
      </c>
      <c r="I310" s="17" t="str">
        <f>Github!E$309</f>
        <v>Hard</v>
      </c>
      <c r="J310" s="17" t="str">
        <f>ROUND(Github!N$309, 2)&amp;"%"</f>
        <v>0%</v>
      </c>
      <c r="K310" s="17">
        <f>Github!O$309</f>
        <v>40.73156792</v>
      </c>
      <c r="L310" s="17">
        <f>Github!P$309</f>
        <v>64140</v>
      </c>
    </row>
    <row r="311">
      <c r="A311" s="17">
        <f>Github!J$310</f>
        <v>309</v>
      </c>
      <c r="B311" s="34" t="str">
        <f>HYPERLINK(CONCAT("http://leetcode.com/problems/",Github!C$310), Github!B$310)</f>
        <v>Best Time to Buy and Sell Stock with Cooldown</v>
      </c>
      <c r="C311" s="17">
        <f>Github!F$310</f>
        <v>5399</v>
      </c>
      <c r="D311" s="17">
        <f>Github!G$310</f>
        <v>185</v>
      </c>
      <c r="E311" s="17">
        <f>Github!F$310+Github!G$310</f>
        <v>5584</v>
      </c>
      <c r="F311" s="18">
        <f t="shared" si="1"/>
        <v>29.18</v>
      </c>
      <c r="G311" s="17" t="str">
        <f>Github!H$310</f>
        <v>Algorithms</v>
      </c>
      <c r="H311" s="17" t="b">
        <f>Github!D$310</f>
        <v>0</v>
      </c>
      <c r="I311" s="17" t="str">
        <f>Github!E$310</f>
        <v>Medium</v>
      </c>
      <c r="J311" s="17" t="str">
        <f>ROUND(Github!N$310, 2)&amp;"%"</f>
        <v>0%</v>
      </c>
      <c r="K311" s="17">
        <f>Github!O$310</f>
        <v>51.99485225</v>
      </c>
      <c r="L311" s="17">
        <f>Github!P$310</f>
        <v>263825</v>
      </c>
    </row>
    <row r="312">
      <c r="A312" s="17">
        <f>Github!J$311</f>
        <v>310</v>
      </c>
      <c r="B312" s="34" t="str">
        <f>HYPERLINK(CONCAT("http://leetcode.com/problems/",Github!C$311), Github!B$311)</f>
        <v>Minimum Height Trees</v>
      </c>
      <c r="C312" s="17">
        <f>Github!F$311</f>
        <v>4942</v>
      </c>
      <c r="D312" s="17">
        <f>Github!G$311</f>
        <v>205</v>
      </c>
      <c r="E312" s="17">
        <f>Github!F$311+Github!G$311</f>
        <v>5147</v>
      </c>
      <c r="F312" s="18">
        <f t="shared" si="1"/>
        <v>24.11</v>
      </c>
      <c r="G312" s="17" t="str">
        <f>Github!H$311</f>
        <v>Algorithms</v>
      </c>
      <c r="H312" s="17" t="b">
        <f>Github!D$311</f>
        <v>0</v>
      </c>
      <c r="I312" s="17" t="str">
        <f>Github!E$311</f>
        <v>Medium</v>
      </c>
      <c r="J312" s="17" t="str">
        <f>ROUND(Github!N$311, 2)&amp;"%"</f>
        <v>0%</v>
      </c>
      <c r="K312" s="17">
        <f>Github!O$311</f>
        <v>38.01538021</v>
      </c>
      <c r="L312" s="17">
        <f>Github!P$311</f>
        <v>188440</v>
      </c>
    </row>
    <row r="313">
      <c r="A313" s="17">
        <f>Github!J$312</f>
        <v>311</v>
      </c>
      <c r="B313" s="34" t="str">
        <f>HYPERLINK(CONCAT("http://leetcode.com/problems/",Github!C$312), Github!B$312)</f>
        <v>Sparse Matrix Multiplication</v>
      </c>
      <c r="C313" s="17">
        <f>Github!F$312</f>
        <v>780</v>
      </c>
      <c r="D313" s="17">
        <f>Github!G$312</f>
        <v>278</v>
      </c>
      <c r="E313" s="17">
        <f>Github!F$312+Github!G$312</f>
        <v>1058</v>
      </c>
      <c r="F313" s="18">
        <f t="shared" si="1"/>
        <v>2.81</v>
      </c>
      <c r="G313" s="17" t="str">
        <f>Github!H$312</f>
        <v>Algorithms</v>
      </c>
      <c r="H313" s="17" t="b">
        <f>Github!D$312</f>
        <v>1</v>
      </c>
      <c r="I313" s="17" t="str">
        <f>Github!E$312</f>
        <v>Medium</v>
      </c>
      <c r="J313" s="17" t="str">
        <f>ROUND(Github!N$312, 2)&amp;"%"</f>
        <v>0%</v>
      </c>
      <c r="K313" s="17">
        <f>Github!O$312</f>
        <v>65.73105051</v>
      </c>
      <c r="L313" s="17">
        <f>Github!P$312</f>
        <v>145965</v>
      </c>
    </row>
    <row r="314">
      <c r="A314" s="17">
        <f>Github!J$313</f>
        <v>312</v>
      </c>
      <c r="B314" s="34" t="str">
        <f>HYPERLINK(CONCAT("http://leetcode.com/problems/",Github!C$313), Github!B$313)</f>
        <v>Burst Balloons</v>
      </c>
      <c r="C314" s="17">
        <f>Github!F$313</f>
        <v>5666</v>
      </c>
      <c r="D314" s="17">
        <f>Github!G$313</f>
        <v>154</v>
      </c>
      <c r="E314" s="17">
        <f>Github!F$313+Github!G$313</f>
        <v>5820</v>
      </c>
      <c r="F314" s="18">
        <f t="shared" si="1"/>
        <v>36.79</v>
      </c>
      <c r="G314" s="17" t="str">
        <f>Github!H$313</f>
        <v>Algorithms</v>
      </c>
      <c r="H314" s="17" t="b">
        <f>Github!D$313</f>
        <v>0</v>
      </c>
      <c r="I314" s="17" t="str">
        <f>Github!E$313</f>
        <v>Hard</v>
      </c>
      <c r="J314" s="17" t="str">
        <f>ROUND(Github!N$313, 2)&amp;"%"</f>
        <v>0%</v>
      </c>
      <c r="K314" s="17">
        <f>Github!O$313</f>
        <v>56.16591507</v>
      </c>
      <c r="L314" s="17">
        <f>Github!P$313</f>
        <v>179349</v>
      </c>
    </row>
    <row r="315">
      <c r="A315" s="17">
        <f>Github!J$314</f>
        <v>313</v>
      </c>
      <c r="B315" s="34" t="str">
        <f>HYPERLINK(CONCAT("http://leetcode.com/problems/",Github!C$314), Github!B$314)</f>
        <v>Super Ugly Number</v>
      </c>
      <c r="C315" s="17">
        <f>Github!F$314</f>
        <v>1403</v>
      </c>
      <c r="D315" s="17">
        <f>Github!G$314</f>
        <v>261</v>
      </c>
      <c r="E315" s="17">
        <f>Github!F$314+Github!G$314</f>
        <v>1664</v>
      </c>
      <c r="F315" s="18">
        <f t="shared" si="1"/>
        <v>5.38</v>
      </c>
      <c r="G315" s="17" t="str">
        <f>Github!H$314</f>
        <v>Algorithms</v>
      </c>
      <c r="H315" s="17" t="b">
        <f>Github!D$314</f>
        <v>0</v>
      </c>
      <c r="I315" s="17" t="str">
        <f>Github!E$314</f>
        <v>Medium</v>
      </c>
      <c r="J315" s="17" t="str">
        <f>ROUND(Github!N$314, 2)&amp;"%"</f>
        <v>0%</v>
      </c>
      <c r="K315" s="17">
        <f>Github!O$314</f>
        <v>45.97594944</v>
      </c>
      <c r="L315" s="17">
        <f>Github!P$314</f>
        <v>102502</v>
      </c>
    </row>
    <row r="316">
      <c r="A316" s="17">
        <f>Github!J$315</f>
        <v>314</v>
      </c>
      <c r="B316" s="34" t="str">
        <f>HYPERLINK(CONCAT("http://leetcode.com/problems/",Github!C$315), Github!B$315)</f>
        <v>Binary Tree Vertical Order Traversal</v>
      </c>
      <c r="C316" s="17">
        <f>Github!F$315</f>
        <v>2228</v>
      </c>
      <c r="D316" s="17">
        <f>Github!G$315</f>
        <v>250</v>
      </c>
      <c r="E316" s="17">
        <f>Github!F$315+Github!G$315</f>
        <v>2478</v>
      </c>
      <c r="F316" s="18">
        <f t="shared" si="1"/>
        <v>8.91</v>
      </c>
      <c r="G316" s="17" t="str">
        <f>Github!H$315</f>
        <v>Algorithms</v>
      </c>
      <c r="H316" s="17" t="b">
        <f>Github!D$315</f>
        <v>1</v>
      </c>
      <c r="I316" s="17" t="str">
        <f>Github!E$315</f>
        <v>Medium</v>
      </c>
      <c r="J316" s="17" t="str">
        <f>ROUND(Github!N$315, 2)&amp;"%"</f>
        <v>0%</v>
      </c>
      <c r="K316" s="17">
        <f>Github!O$315</f>
        <v>50.78064004</v>
      </c>
      <c r="L316" s="17">
        <f>Github!P$315</f>
        <v>247805</v>
      </c>
    </row>
    <row r="317">
      <c r="A317" s="17">
        <f>Github!J$316</f>
        <v>315</v>
      </c>
      <c r="B317" s="34" t="str">
        <f>HYPERLINK(CONCAT("http://leetcode.com/problems/",Github!C$316), Github!B$316)</f>
        <v>Count of Smaller Numbers After Self</v>
      </c>
      <c r="C317" s="17">
        <f>Github!F$316</f>
        <v>5234</v>
      </c>
      <c r="D317" s="17">
        <f>Github!G$316</f>
        <v>150</v>
      </c>
      <c r="E317" s="17">
        <f>Github!F$316+Github!G$316</f>
        <v>5384</v>
      </c>
      <c r="F317" s="18">
        <f t="shared" si="1"/>
        <v>34.89</v>
      </c>
      <c r="G317" s="17" t="str">
        <f>Github!H$316</f>
        <v>Algorithms</v>
      </c>
      <c r="H317" s="17" t="b">
        <f>Github!D$316</f>
        <v>0</v>
      </c>
      <c r="I317" s="17" t="str">
        <f>Github!E$316</f>
        <v>Hard</v>
      </c>
      <c r="J317" s="17" t="str">
        <f>ROUND(Github!N$316, 2)&amp;"%"</f>
        <v>0%</v>
      </c>
      <c r="K317" s="17">
        <f>Github!O$316</f>
        <v>42.06376362</v>
      </c>
      <c r="L317" s="17">
        <f>Github!P$316</f>
        <v>220056</v>
      </c>
    </row>
    <row r="318">
      <c r="A318" s="17">
        <f>Github!J$317</f>
        <v>316</v>
      </c>
      <c r="B318" s="34" t="str">
        <f>HYPERLINK(CONCAT("http://leetcode.com/problems/",Github!C$317), Github!B$317)</f>
        <v>Remove Duplicate Letters</v>
      </c>
      <c r="C318" s="17">
        <f>Github!F$317</f>
        <v>3918</v>
      </c>
      <c r="D318" s="17">
        <f>Github!G$317</f>
        <v>275</v>
      </c>
      <c r="E318" s="17">
        <f>Github!F$317+Github!G$317</f>
        <v>4193</v>
      </c>
      <c r="F318" s="18">
        <f t="shared" si="1"/>
        <v>14.25</v>
      </c>
      <c r="G318" s="17" t="str">
        <f>Github!H$317</f>
        <v>Algorithms</v>
      </c>
      <c r="H318" s="17" t="b">
        <f>Github!D$317</f>
        <v>0</v>
      </c>
      <c r="I318" s="17" t="str">
        <f>Github!E$317</f>
        <v>Medium</v>
      </c>
      <c r="J318" s="17" t="str">
        <f>ROUND(Github!N$317, 2)&amp;"%"</f>
        <v>0%</v>
      </c>
      <c r="K318" s="17">
        <f>Github!O$317</f>
        <v>41.423777</v>
      </c>
      <c r="L318" s="17">
        <f>Github!P$317</f>
        <v>155026</v>
      </c>
    </row>
    <row r="319">
      <c r="A319" s="17">
        <f>Github!J$318</f>
        <v>317</v>
      </c>
      <c r="B319" s="34" t="str">
        <f>HYPERLINK(CONCAT("http://leetcode.com/problems/",Github!C$318), Github!B$318)</f>
        <v>Shortest Distance from All Buildings</v>
      </c>
      <c r="C319" s="17">
        <f>Github!F$318</f>
        <v>1470</v>
      </c>
      <c r="D319" s="17">
        <f>Github!G$318</f>
        <v>156</v>
      </c>
      <c r="E319" s="17">
        <f>Github!F$318+Github!G$318</f>
        <v>1626</v>
      </c>
      <c r="F319" s="18">
        <f t="shared" si="1"/>
        <v>9.42</v>
      </c>
      <c r="G319" s="17" t="str">
        <f>Github!H$318</f>
        <v>Algorithms</v>
      </c>
      <c r="H319" s="17" t="b">
        <f>Github!D$318</f>
        <v>1</v>
      </c>
      <c r="I319" s="17" t="str">
        <f>Github!E$318</f>
        <v>Hard</v>
      </c>
      <c r="J319" s="17" t="str">
        <f>ROUND(Github!N$318, 2)&amp;"%"</f>
        <v>0%</v>
      </c>
      <c r="K319" s="17">
        <f>Github!O$318</f>
        <v>43.40939072</v>
      </c>
      <c r="L319" s="17">
        <f>Github!P$318</f>
        <v>130967</v>
      </c>
    </row>
    <row r="320">
      <c r="A320" s="17">
        <f>Github!J$319</f>
        <v>318</v>
      </c>
      <c r="B320" s="34" t="str">
        <f>HYPERLINK(CONCAT("http://leetcode.com/problems/",Github!C$319), Github!B$319)</f>
        <v>Maximum Product of Word Lengths</v>
      </c>
      <c r="C320" s="17">
        <f>Github!F$319</f>
        <v>1657</v>
      </c>
      <c r="D320" s="17">
        <f>Github!G$319</f>
        <v>93</v>
      </c>
      <c r="E320" s="17">
        <f>Github!F$319+Github!G$319</f>
        <v>1750</v>
      </c>
      <c r="F320" s="18">
        <f t="shared" si="1"/>
        <v>17.82</v>
      </c>
      <c r="G320" s="17" t="str">
        <f>Github!H$319</f>
        <v>Algorithms</v>
      </c>
      <c r="H320" s="17" t="b">
        <f>Github!D$319</f>
        <v>0</v>
      </c>
      <c r="I320" s="17" t="str">
        <f>Github!E$319</f>
        <v>Medium</v>
      </c>
      <c r="J320" s="17" t="str">
        <f>ROUND(Github!N$319, 2)&amp;"%"</f>
        <v>0%</v>
      </c>
      <c r="K320" s="17">
        <f>Github!O$319</f>
        <v>56.46024158</v>
      </c>
      <c r="L320" s="17">
        <f>Github!P$319</f>
        <v>140785</v>
      </c>
    </row>
    <row r="321">
      <c r="A321" s="17">
        <f>Github!J$320</f>
        <v>319</v>
      </c>
      <c r="B321" s="34" t="str">
        <f>HYPERLINK(CONCAT("http://leetcode.com/problems/",Github!C$320), Github!B$320)</f>
        <v>Bulb Switcher</v>
      </c>
      <c r="C321" s="17">
        <f>Github!F$320</f>
        <v>880</v>
      </c>
      <c r="D321" s="17">
        <f>Github!G$320</f>
        <v>1607</v>
      </c>
      <c r="E321" s="17">
        <f>Github!F$320+Github!G$320</f>
        <v>2487</v>
      </c>
      <c r="F321" s="18">
        <f t="shared" si="1"/>
        <v>0.55</v>
      </c>
      <c r="G321" s="17" t="str">
        <f>Github!H$320</f>
        <v>Algorithms</v>
      </c>
      <c r="H321" s="17" t="b">
        <f>Github!D$320</f>
        <v>0</v>
      </c>
      <c r="I321" s="17" t="str">
        <f>Github!E$320</f>
        <v>Medium</v>
      </c>
      <c r="J321" s="17" t="str">
        <f>ROUND(Github!N$320, 2)&amp;"%"</f>
        <v>0%</v>
      </c>
      <c r="K321" s="17">
        <f>Github!O$320</f>
        <v>47.09681507</v>
      </c>
      <c r="L321" s="17">
        <f>Github!P$320</f>
        <v>111496</v>
      </c>
    </row>
    <row r="322">
      <c r="A322" s="17">
        <f>Github!J$321</f>
        <v>320</v>
      </c>
      <c r="B322" s="34" t="str">
        <f>HYPERLINK(CONCAT("http://leetcode.com/problems/",Github!C$321), Github!B$321)</f>
        <v>Generalized Abbreviation</v>
      </c>
      <c r="C322" s="17">
        <f>Github!F$321</f>
        <v>586</v>
      </c>
      <c r="D322" s="17">
        <f>Github!G$321</f>
        <v>202</v>
      </c>
      <c r="E322" s="17">
        <f>Github!F$321+Github!G$321</f>
        <v>788</v>
      </c>
      <c r="F322" s="18">
        <f t="shared" si="1"/>
        <v>2.9</v>
      </c>
      <c r="G322" s="17" t="str">
        <f>Github!H$321</f>
        <v>Algorithms</v>
      </c>
      <c r="H322" s="17" t="b">
        <f>Github!D$321</f>
        <v>1</v>
      </c>
      <c r="I322" s="17" t="str">
        <f>Github!E$321</f>
        <v>Medium</v>
      </c>
      <c r="J322" s="17" t="str">
        <f>ROUND(Github!N$321, 2)&amp;"%"</f>
        <v>0%</v>
      </c>
      <c r="K322" s="17">
        <f>Github!O$321</f>
        <v>56.02795464</v>
      </c>
      <c r="L322" s="17">
        <f>Github!P$321</f>
        <v>59485</v>
      </c>
    </row>
    <row r="323">
      <c r="A323" s="17">
        <f>Github!J$322</f>
        <v>321</v>
      </c>
      <c r="B323" s="34" t="str">
        <f>HYPERLINK(CONCAT("http://leetcode.com/problems/",Github!C$322), Github!B$322)</f>
        <v>Create Maximum Number</v>
      </c>
      <c r="C323" s="17">
        <f>Github!F$322</f>
        <v>1281</v>
      </c>
      <c r="D323" s="17">
        <f>Github!G$322</f>
        <v>306</v>
      </c>
      <c r="E323" s="17">
        <f>Github!F$322+Github!G$322</f>
        <v>1587</v>
      </c>
      <c r="F323" s="18">
        <f t="shared" si="1"/>
        <v>4.19</v>
      </c>
      <c r="G323" s="17" t="str">
        <f>Github!H$322</f>
        <v>Algorithms</v>
      </c>
      <c r="H323" s="17" t="b">
        <f>Github!D$322</f>
        <v>0</v>
      </c>
      <c r="I323" s="17" t="str">
        <f>Github!E$322</f>
        <v>Hard</v>
      </c>
      <c r="J323" s="17" t="str">
        <f>ROUND(Github!N$322, 2)&amp;"%"</f>
        <v>0%</v>
      </c>
      <c r="K323" s="17">
        <f>Github!O$322</f>
        <v>28.278206</v>
      </c>
      <c r="L323" s="17">
        <f>Github!P$322</f>
        <v>48757</v>
      </c>
    </row>
    <row r="324">
      <c r="A324" s="17">
        <f>Github!J$323</f>
        <v>322</v>
      </c>
      <c r="B324" s="34" t="str">
        <f>HYPERLINK(CONCAT("http://leetcode.com/problems/",Github!C$323), Github!B$323)</f>
        <v>Coin Change</v>
      </c>
      <c r="C324" s="17">
        <f>Github!F$323</f>
        <v>10362</v>
      </c>
      <c r="D324" s="17">
        <f>Github!G$323</f>
        <v>252</v>
      </c>
      <c r="E324" s="17">
        <f>Github!F$323+Github!G$323</f>
        <v>10614</v>
      </c>
      <c r="F324" s="18">
        <f t="shared" si="1"/>
        <v>41.12</v>
      </c>
      <c r="G324" s="17" t="str">
        <f>Github!H$323</f>
        <v>Algorithms</v>
      </c>
      <c r="H324" s="17" t="b">
        <f>Github!D$323</f>
        <v>0</v>
      </c>
      <c r="I324" s="17" t="str">
        <f>Github!E$323</f>
        <v>Medium</v>
      </c>
      <c r="J324" s="17" t="str">
        <f>ROUND(Github!N$323, 2)&amp;"%"</f>
        <v>1%</v>
      </c>
      <c r="K324" s="17">
        <f>Github!O$323</f>
        <v>39.84042273</v>
      </c>
      <c r="L324" s="17">
        <f>Github!P$323</f>
        <v>914402</v>
      </c>
    </row>
    <row r="325">
      <c r="A325" s="17">
        <f>Github!J$324</f>
        <v>323</v>
      </c>
      <c r="B325" s="34" t="str">
        <f>HYPERLINK(CONCAT("http://leetcode.com/problems/",Github!C$324), Github!B$324)</f>
        <v>Number of Connected Components in an Undirected Graph</v>
      </c>
      <c r="C325" s="17">
        <f>Github!F$324</f>
        <v>1856</v>
      </c>
      <c r="D325" s="17">
        <f>Github!G$324</f>
        <v>56</v>
      </c>
      <c r="E325" s="17">
        <f>Github!F$324+Github!G$324</f>
        <v>1912</v>
      </c>
      <c r="F325" s="18">
        <f t="shared" si="1"/>
        <v>33.14</v>
      </c>
      <c r="G325" s="17" t="str">
        <f>Github!H$324</f>
        <v>Algorithms</v>
      </c>
      <c r="H325" s="17" t="b">
        <f>Github!D$324</f>
        <v>1</v>
      </c>
      <c r="I325" s="17" t="str">
        <f>Github!E$324</f>
        <v>Medium</v>
      </c>
      <c r="J325" s="17" t="str">
        <f>ROUND(Github!N$324, 2)&amp;"%"</f>
        <v>1%</v>
      </c>
      <c r="K325" s="17">
        <f>Github!O$324</f>
        <v>60.78479181</v>
      </c>
      <c r="L325" s="17">
        <f>Github!P$324</f>
        <v>234337</v>
      </c>
    </row>
    <row r="326">
      <c r="A326" s="17">
        <f>Github!J$325</f>
        <v>324</v>
      </c>
      <c r="B326" s="34" t="str">
        <f>HYPERLINK(CONCAT("http://leetcode.com/problems/",Github!C$325), Github!B$325)</f>
        <v>Wiggle Sort II</v>
      </c>
      <c r="C326" s="17">
        <f>Github!F$325</f>
        <v>1987</v>
      </c>
      <c r="D326" s="17">
        <f>Github!G$325</f>
        <v>780</v>
      </c>
      <c r="E326" s="17">
        <f>Github!F$325+Github!G$325</f>
        <v>2767</v>
      </c>
      <c r="F326" s="18">
        <f t="shared" si="1"/>
        <v>2.55</v>
      </c>
      <c r="G326" s="17" t="str">
        <f>Github!H$325</f>
        <v>Algorithms</v>
      </c>
      <c r="H326" s="17" t="b">
        <f>Github!D$325</f>
        <v>0</v>
      </c>
      <c r="I326" s="17" t="str">
        <f>Github!E$325</f>
        <v>Medium</v>
      </c>
      <c r="J326" s="17" t="str">
        <f>ROUND(Github!N$325, 2)&amp;"%"</f>
        <v>0%</v>
      </c>
      <c r="K326" s="17">
        <f>Github!O$325</f>
        <v>32.05500952</v>
      </c>
      <c r="L326" s="17">
        <f>Github!P$325</f>
        <v>117638</v>
      </c>
    </row>
    <row r="327">
      <c r="A327" s="17">
        <f>Github!J$326</f>
        <v>325</v>
      </c>
      <c r="B327" s="34" t="str">
        <f>HYPERLINK(CONCAT("http://leetcode.com/problems/",Github!C$326), Github!B$326)</f>
        <v>Maximum Size Subarray Sum Equals k</v>
      </c>
      <c r="C327" s="17">
        <f>Github!F$326</f>
        <v>1583</v>
      </c>
      <c r="D327" s="17">
        <f>Github!G$326</f>
        <v>47</v>
      </c>
      <c r="E327" s="17">
        <f>Github!F$326+Github!G$326</f>
        <v>1630</v>
      </c>
      <c r="F327" s="18">
        <f t="shared" si="1"/>
        <v>33.68</v>
      </c>
      <c r="G327" s="17" t="str">
        <f>Github!H$326</f>
        <v>Algorithms</v>
      </c>
      <c r="H327" s="17" t="b">
        <f>Github!D$326</f>
        <v>1</v>
      </c>
      <c r="I327" s="17" t="str">
        <f>Github!E$326</f>
        <v>Medium</v>
      </c>
      <c r="J327" s="17" t="str">
        <f>ROUND(Github!N$326, 2)&amp;"%"</f>
        <v>0%</v>
      </c>
      <c r="K327" s="17">
        <f>Github!O$326</f>
        <v>48.97027643</v>
      </c>
      <c r="L327" s="17">
        <f>Github!P$326</f>
        <v>149659</v>
      </c>
    </row>
    <row r="328">
      <c r="A328" s="17">
        <f>Github!J$327</f>
        <v>326</v>
      </c>
      <c r="B328" s="34" t="str">
        <f>HYPERLINK(CONCAT("http://leetcode.com/problems/",Github!C$327), Github!B$327)</f>
        <v>Power of Three</v>
      </c>
      <c r="C328" s="17">
        <f>Github!F$327</f>
        <v>818</v>
      </c>
      <c r="D328" s="17">
        <f>Github!G$327</f>
        <v>102</v>
      </c>
      <c r="E328" s="17">
        <f>Github!F$327+Github!G$327</f>
        <v>920</v>
      </c>
      <c r="F328" s="18">
        <f t="shared" si="1"/>
        <v>8.02</v>
      </c>
      <c r="G328" s="17" t="str">
        <f>Github!H$327</f>
        <v>Algorithms</v>
      </c>
      <c r="H328" s="17" t="b">
        <f>Github!D$327</f>
        <v>0</v>
      </c>
      <c r="I328" s="17" t="str">
        <f>Github!E$327</f>
        <v>Easy</v>
      </c>
      <c r="J328" s="17" t="str">
        <f>ROUND(Github!N$327, 2)&amp;"%"</f>
        <v>0%</v>
      </c>
      <c r="K328" s="17">
        <f>Github!O$327</f>
        <v>43.32936406</v>
      </c>
      <c r="L328" s="17">
        <f>Github!P$327</f>
        <v>443196</v>
      </c>
    </row>
    <row r="329">
      <c r="A329" s="17">
        <f>Github!J$328</f>
        <v>327</v>
      </c>
      <c r="B329" s="34" t="str">
        <f>HYPERLINK(CONCAT("http://leetcode.com/problems/",Github!C$328), Github!B$328)</f>
        <v>Count of Range Sum</v>
      </c>
      <c r="C329" s="17">
        <f>Github!F$328</f>
        <v>1464</v>
      </c>
      <c r="D329" s="17">
        <f>Github!G$328</f>
        <v>153</v>
      </c>
      <c r="E329" s="17">
        <f>Github!F$328+Github!G$328</f>
        <v>1617</v>
      </c>
      <c r="F329" s="18">
        <f t="shared" si="1"/>
        <v>9.57</v>
      </c>
      <c r="G329" s="17" t="str">
        <f>Github!H$328</f>
        <v>Algorithms</v>
      </c>
      <c r="H329" s="17" t="b">
        <f>Github!D$328</f>
        <v>0</v>
      </c>
      <c r="I329" s="17" t="str">
        <f>Github!E$328</f>
        <v>Hard</v>
      </c>
      <c r="J329" s="17" t="str">
        <f>ROUND(Github!N$328, 2)&amp;"%"</f>
        <v>0%</v>
      </c>
      <c r="K329" s="17">
        <f>Github!O$328</f>
        <v>36.0297776</v>
      </c>
      <c r="L329" s="17">
        <f>Github!P$328</f>
        <v>57933</v>
      </c>
    </row>
    <row r="330">
      <c r="A330" s="17">
        <f>Github!J$329</f>
        <v>328</v>
      </c>
      <c r="B330" s="34" t="str">
        <f>HYPERLINK(CONCAT("http://leetcode.com/problems/",Github!C$329), Github!B$329)</f>
        <v>Odd Even Linked List</v>
      </c>
      <c r="C330" s="17">
        <f>Github!F$329</f>
        <v>5037</v>
      </c>
      <c r="D330" s="17">
        <f>Github!G$329</f>
        <v>380</v>
      </c>
      <c r="E330" s="17">
        <f>Github!F$329+Github!G$329</f>
        <v>5417</v>
      </c>
      <c r="F330" s="18">
        <f t="shared" si="1"/>
        <v>13.26</v>
      </c>
      <c r="G330" s="17" t="str">
        <f>Github!H$329</f>
        <v>Algorithms</v>
      </c>
      <c r="H330" s="17" t="b">
        <f>Github!D$329</f>
        <v>0</v>
      </c>
      <c r="I330" s="17" t="str">
        <f>Github!E$329</f>
        <v>Medium</v>
      </c>
      <c r="J330" s="17" t="str">
        <f>ROUND(Github!N$329, 2)&amp;"%"</f>
        <v>0%</v>
      </c>
      <c r="K330" s="17">
        <f>Github!O$329</f>
        <v>59.37136341</v>
      </c>
      <c r="L330" s="17">
        <f>Github!P$329</f>
        <v>507124</v>
      </c>
    </row>
    <row r="331">
      <c r="A331" s="17">
        <f>Github!J$330</f>
        <v>329</v>
      </c>
      <c r="B331" s="34" t="str">
        <f>HYPERLINK(CONCAT("http://leetcode.com/problems/",Github!C$330), Github!B$330)</f>
        <v>Longest Increasing Path in a Matrix</v>
      </c>
      <c r="C331" s="17">
        <f>Github!F$330</f>
        <v>4958</v>
      </c>
      <c r="D331" s="17">
        <f>Github!G$330</f>
        <v>86</v>
      </c>
      <c r="E331" s="17">
        <f>Github!F$330+Github!G$330</f>
        <v>5044</v>
      </c>
      <c r="F331" s="18">
        <f t="shared" si="1"/>
        <v>57.65</v>
      </c>
      <c r="G331" s="17" t="str">
        <f>Github!H$330</f>
        <v>Algorithms</v>
      </c>
      <c r="H331" s="17" t="b">
        <f>Github!D$330</f>
        <v>0</v>
      </c>
      <c r="I331" s="17" t="str">
        <f>Github!E$330</f>
        <v>Hard</v>
      </c>
      <c r="J331" s="17" t="str">
        <f>ROUND(Github!N$330, 2)&amp;"%"</f>
        <v>0%</v>
      </c>
      <c r="K331" s="17">
        <f>Github!O$330</f>
        <v>49.31456493</v>
      </c>
      <c r="L331" s="17">
        <f>Github!P$330</f>
        <v>307204</v>
      </c>
    </row>
    <row r="332">
      <c r="A332" s="17">
        <f>Github!J$331</f>
        <v>330</v>
      </c>
      <c r="B332" s="34" t="str">
        <f>HYPERLINK(CONCAT("http://leetcode.com/problems/",Github!C$331), Github!B$331)</f>
        <v>Patching Array</v>
      </c>
      <c r="C332" s="17">
        <f>Github!F$331</f>
        <v>1071</v>
      </c>
      <c r="D332" s="17">
        <f>Github!G$331</f>
        <v>113</v>
      </c>
      <c r="E332" s="17">
        <f>Github!F$331+Github!G$331</f>
        <v>1184</v>
      </c>
      <c r="F332" s="18">
        <f t="shared" si="1"/>
        <v>9.48</v>
      </c>
      <c r="G332" s="17" t="str">
        <f>Github!H$331</f>
        <v>Algorithms</v>
      </c>
      <c r="H332" s="17" t="b">
        <f>Github!D$331</f>
        <v>0</v>
      </c>
      <c r="I332" s="17" t="str">
        <f>Github!E$331</f>
        <v>Hard</v>
      </c>
      <c r="J332" s="17" t="str">
        <f>ROUND(Github!N$331, 2)&amp;"%"</f>
        <v>0%</v>
      </c>
      <c r="K332" s="17">
        <f>Github!O$331</f>
        <v>39.41288027</v>
      </c>
      <c r="L332" s="17">
        <f>Github!P$331</f>
        <v>55489</v>
      </c>
    </row>
    <row r="333">
      <c r="A333" s="17">
        <f>Github!J$332</f>
        <v>331</v>
      </c>
      <c r="B333" s="34" t="str">
        <f>HYPERLINK(CONCAT("http://leetcode.com/problems/",Github!C$332), Github!B$332)</f>
        <v>Verify Preorder Serialization of a Binary Tree</v>
      </c>
      <c r="C333" s="17">
        <f>Github!F$332</f>
        <v>1618</v>
      </c>
      <c r="D333" s="17">
        <f>Github!G$332</f>
        <v>80</v>
      </c>
      <c r="E333" s="17">
        <f>Github!F$332+Github!G$332</f>
        <v>1698</v>
      </c>
      <c r="F333" s="18">
        <f t="shared" si="1"/>
        <v>20.23</v>
      </c>
      <c r="G333" s="17" t="str">
        <f>Github!H$332</f>
        <v>Algorithms</v>
      </c>
      <c r="H333" s="17" t="b">
        <f>Github!D$332</f>
        <v>0</v>
      </c>
      <c r="I333" s="17" t="str">
        <f>Github!E$332</f>
        <v>Medium</v>
      </c>
      <c r="J333" s="17" t="str">
        <f>ROUND(Github!N$332, 2)&amp;"%"</f>
        <v>0%</v>
      </c>
      <c r="K333" s="17">
        <f>Github!O$332</f>
        <v>43.60724076</v>
      </c>
      <c r="L333" s="17">
        <f>Github!P$332</f>
        <v>111512</v>
      </c>
    </row>
    <row r="334">
      <c r="A334" s="17">
        <f>Github!J$333</f>
        <v>332</v>
      </c>
      <c r="B334" s="34" t="str">
        <f>HYPERLINK(CONCAT("http://leetcode.com/problems/",Github!C$333), Github!B$333)</f>
        <v>Reconstruct Itinerary</v>
      </c>
      <c r="C334" s="17">
        <f>Github!F$333</f>
        <v>3674</v>
      </c>
      <c r="D334" s="17">
        <f>Github!G$333</f>
        <v>1539</v>
      </c>
      <c r="E334" s="17">
        <f>Github!F$333+Github!G$333</f>
        <v>5213</v>
      </c>
      <c r="F334" s="18">
        <f t="shared" si="1"/>
        <v>2.39</v>
      </c>
      <c r="G334" s="17" t="str">
        <f>Github!H$333</f>
        <v>Algorithms</v>
      </c>
      <c r="H334" s="17" t="b">
        <f>Github!D$333</f>
        <v>0</v>
      </c>
      <c r="I334" s="17" t="str">
        <f>Github!E$333</f>
        <v>Hard</v>
      </c>
      <c r="J334" s="17" t="str">
        <f>ROUND(Github!N$333, 2)&amp;"%"</f>
        <v>0%</v>
      </c>
      <c r="K334" s="17">
        <f>Github!O$333</f>
        <v>39.96315998</v>
      </c>
      <c r="L334" s="17">
        <f>Github!P$333</f>
        <v>270755</v>
      </c>
    </row>
    <row r="335">
      <c r="A335" s="17">
        <f>Github!J$334</f>
        <v>333</v>
      </c>
      <c r="B335" s="34" t="str">
        <f>HYPERLINK(CONCAT("http://leetcode.com/problems/",Github!C$334), Github!B$334)</f>
        <v>Largest BST Subtree</v>
      </c>
      <c r="C335" s="17">
        <f>Github!F$334</f>
        <v>1140</v>
      </c>
      <c r="D335" s="17">
        <f>Github!G$334</f>
        <v>94</v>
      </c>
      <c r="E335" s="17">
        <f>Github!F$334+Github!G$334</f>
        <v>1234</v>
      </c>
      <c r="F335" s="18">
        <f t="shared" si="1"/>
        <v>12.13</v>
      </c>
      <c r="G335" s="17" t="str">
        <f>Github!H$334</f>
        <v>Algorithms</v>
      </c>
      <c r="H335" s="17" t="b">
        <f>Github!D$334</f>
        <v>1</v>
      </c>
      <c r="I335" s="17" t="str">
        <f>Github!E$334</f>
        <v>Medium</v>
      </c>
      <c r="J335" s="17" t="str">
        <f>ROUND(Github!N$334, 2)&amp;"%"</f>
        <v>0%</v>
      </c>
      <c r="K335" s="17">
        <f>Github!O$334</f>
        <v>40.93414533</v>
      </c>
      <c r="L335" s="17">
        <f>Github!P$334</f>
        <v>79314</v>
      </c>
    </row>
    <row r="336">
      <c r="A336" s="17">
        <f>Github!J$335</f>
        <v>334</v>
      </c>
      <c r="B336" s="34" t="str">
        <f>HYPERLINK(CONCAT("http://leetcode.com/problems/",Github!C$335), Github!B$335)</f>
        <v>Increasing Triplet Subsequence</v>
      </c>
      <c r="C336" s="17">
        <f>Github!F$335</f>
        <v>3655</v>
      </c>
      <c r="D336" s="17">
        <f>Github!G$335</f>
        <v>204</v>
      </c>
      <c r="E336" s="17">
        <f>Github!F$335+Github!G$335</f>
        <v>3859</v>
      </c>
      <c r="F336" s="18">
        <f t="shared" si="1"/>
        <v>17.92</v>
      </c>
      <c r="G336" s="17" t="str">
        <f>Github!H$335</f>
        <v>Algorithms</v>
      </c>
      <c r="H336" s="17" t="b">
        <f>Github!D$335</f>
        <v>0</v>
      </c>
      <c r="I336" s="17" t="str">
        <f>Github!E$335</f>
        <v>Medium</v>
      </c>
      <c r="J336" s="17" t="str">
        <f>ROUND(Github!N$335, 2)&amp;"%"</f>
        <v>0%</v>
      </c>
      <c r="K336" s="17">
        <f>Github!O$335</f>
        <v>41.41548633</v>
      </c>
      <c r="L336" s="17">
        <f>Github!P$335</f>
        <v>260349</v>
      </c>
    </row>
    <row r="337">
      <c r="A337" s="17">
        <f>Github!J$336</f>
        <v>335</v>
      </c>
      <c r="B337" s="34" t="str">
        <f>HYPERLINK(CONCAT("http://leetcode.com/problems/",Github!C$336), Github!B$336)</f>
        <v>Self Crossing</v>
      </c>
      <c r="C337" s="17">
        <f>Github!F$336</f>
        <v>242</v>
      </c>
      <c r="D337" s="17">
        <f>Github!G$336</f>
        <v>439</v>
      </c>
      <c r="E337" s="17">
        <f>Github!F$336+Github!G$336</f>
        <v>681</v>
      </c>
      <c r="F337" s="18">
        <f t="shared" si="1"/>
        <v>0.55</v>
      </c>
      <c r="G337" s="17" t="str">
        <f>Github!H$336</f>
        <v>Algorithms</v>
      </c>
      <c r="H337" s="17" t="b">
        <f>Github!D$336</f>
        <v>0</v>
      </c>
      <c r="I337" s="17" t="str">
        <f>Github!E$336</f>
        <v>Hard</v>
      </c>
      <c r="J337" s="17" t="str">
        <f>ROUND(Github!N$336, 2)&amp;"%"</f>
        <v>0%</v>
      </c>
      <c r="K337" s="17">
        <f>Github!O$336</f>
        <v>29.08288847</v>
      </c>
      <c r="L337" s="17">
        <f>Github!P$336</f>
        <v>27294</v>
      </c>
    </row>
    <row r="338">
      <c r="A338" s="17">
        <f>Github!J$337</f>
        <v>336</v>
      </c>
      <c r="B338" s="34" t="str">
        <f>HYPERLINK(CONCAT("http://leetcode.com/problems/",Github!C$337), Github!B$337)</f>
        <v>Palindrome Pairs</v>
      </c>
      <c r="C338" s="17">
        <f>Github!F$337</f>
        <v>2567</v>
      </c>
      <c r="D338" s="17">
        <f>Github!G$337</f>
        <v>230</v>
      </c>
      <c r="E338" s="17">
        <f>Github!F$337+Github!G$337</f>
        <v>2797</v>
      </c>
      <c r="F338" s="18">
        <f t="shared" si="1"/>
        <v>11.16</v>
      </c>
      <c r="G338" s="17" t="str">
        <f>Github!H$337</f>
        <v>Algorithms</v>
      </c>
      <c r="H338" s="17" t="b">
        <f>Github!D$337</f>
        <v>0</v>
      </c>
      <c r="I338" s="17" t="str">
        <f>Github!E$337</f>
        <v>Hard</v>
      </c>
      <c r="J338" s="17" t="str">
        <f>ROUND(Github!N$337, 2)&amp;"%"</f>
        <v>0%</v>
      </c>
      <c r="K338" s="17">
        <f>Github!O$337</f>
        <v>35.98044886</v>
      </c>
      <c r="L338" s="17">
        <f>Github!P$337</f>
        <v>144943</v>
      </c>
    </row>
    <row r="339">
      <c r="A339" s="17">
        <f>Github!J$338</f>
        <v>337</v>
      </c>
      <c r="B339" s="34" t="str">
        <f>HYPERLINK(CONCAT("http://leetcode.com/problems/",Github!C$338), Github!B$338)</f>
        <v>House Robber III</v>
      </c>
      <c r="C339" s="17">
        <f>Github!F$338</f>
        <v>6007</v>
      </c>
      <c r="D339" s="17">
        <f>Github!G$338</f>
        <v>93</v>
      </c>
      <c r="E339" s="17">
        <f>Github!F$338+Github!G$338</f>
        <v>6100</v>
      </c>
      <c r="F339" s="18">
        <f t="shared" si="1"/>
        <v>64.59</v>
      </c>
      <c r="G339" s="17" t="str">
        <f>Github!H$338</f>
        <v>Algorithms</v>
      </c>
      <c r="H339" s="17" t="b">
        <f>Github!D$338</f>
        <v>0</v>
      </c>
      <c r="I339" s="17" t="str">
        <f>Github!E$338</f>
        <v>Medium</v>
      </c>
      <c r="J339" s="17" t="str">
        <f>ROUND(Github!N$338, 2)&amp;"%"</f>
        <v>0%</v>
      </c>
      <c r="K339" s="17">
        <f>Github!O$338</f>
        <v>53.40265996</v>
      </c>
      <c r="L339" s="17">
        <f>Github!P$338</f>
        <v>277617</v>
      </c>
    </row>
    <row r="340">
      <c r="A340" s="17">
        <f>Github!J$339</f>
        <v>338</v>
      </c>
      <c r="B340" s="34" t="str">
        <f>HYPERLINK(CONCAT("http://leetcode.com/problems/",Github!C$339), Github!B$339)</f>
        <v>Counting Bits</v>
      </c>
      <c r="C340" s="17">
        <f>Github!F$339</f>
        <v>6551</v>
      </c>
      <c r="D340" s="17">
        <f>Github!G$339</f>
        <v>308</v>
      </c>
      <c r="E340" s="17">
        <f>Github!F$339+Github!G$339</f>
        <v>6859</v>
      </c>
      <c r="F340" s="18">
        <f t="shared" si="1"/>
        <v>21.27</v>
      </c>
      <c r="G340" s="17" t="str">
        <f>Github!H$339</f>
        <v>Algorithms</v>
      </c>
      <c r="H340" s="17" t="b">
        <f>Github!D$339</f>
        <v>0</v>
      </c>
      <c r="I340" s="17" t="str">
        <f>Github!E$339</f>
        <v>Easy</v>
      </c>
      <c r="J340" s="17" t="str">
        <f>ROUND(Github!N$339, 2)&amp;"%"</f>
        <v>0%</v>
      </c>
      <c r="K340" s="17">
        <f>Github!O$339</f>
        <v>73.99352613</v>
      </c>
      <c r="L340" s="17">
        <f>Github!P$339</f>
        <v>541978</v>
      </c>
    </row>
    <row r="341">
      <c r="A341" s="17">
        <f>Github!J$340</f>
        <v>339</v>
      </c>
      <c r="B341" s="34" t="str">
        <f>HYPERLINK(CONCAT("http://leetcode.com/problems/",Github!C$340), Github!B$340)</f>
        <v>Nested List Weight Sum</v>
      </c>
      <c r="C341" s="17">
        <f>Github!F$340</f>
        <v>1211</v>
      </c>
      <c r="D341" s="17">
        <f>Github!G$340</f>
        <v>279</v>
      </c>
      <c r="E341" s="17">
        <f>Github!F$340+Github!G$340</f>
        <v>1490</v>
      </c>
      <c r="F341" s="18">
        <f t="shared" si="1"/>
        <v>4.34</v>
      </c>
      <c r="G341" s="17" t="str">
        <f>Github!H$340</f>
        <v>Algorithms</v>
      </c>
      <c r="H341" s="17" t="b">
        <f>Github!D$340</f>
        <v>1</v>
      </c>
      <c r="I341" s="17" t="str">
        <f>Github!E$340</f>
        <v>Medium</v>
      </c>
      <c r="J341" s="17" t="str">
        <f>ROUND(Github!N$340, 2)&amp;"%"</f>
        <v>1%</v>
      </c>
      <c r="K341" s="17">
        <f>Github!O$340</f>
        <v>80.5868264</v>
      </c>
      <c r="L341" s="17">
        <f>Github!P$340</f>
        <v>177313</v>
      </c>
    </row>
    <row r="342">
      <c r="A342" s="17">
        <f>Github!J$341</f>
        <v>340</v>
      </c>
      <c r="B342" s="34" t="str">
        <f>HYPERLINK(CONCAT("http://leetcode.com/problems/",Github!C$341), Github!B$341)</f>
        <v>Longest Substring with At Most K Distinct Characters</v>
      </c>
      <c r="C342" s="17">
        <f>Github!F$341</f>
        <v>2190</v>
      </c>
      <c r="D342" s="17">
        <f>Github!G$341</f>
        <v>67</v>
      </c>
      <c r="E342" s="17">
        <f>Github!F$341+Github!G$341</f>
        <v>2257</v>
      </c>
      <c r="F342" s="18">
        <f t="shared" si="1"/>
        <v>32.69</v>
      </c>
      <c r="G342" s="17" t="str">
        <f>Github!H$341</f>
        <v>Algorithms</v>
      </c>
      <c r="H342" s="17" t="b">
        <f>Github!D$341</f>
        <v>1</v>
      </c>
      <c r="I342" s="17" t="str">
        <f>Github!E$341</f>
        <v>Medium</v>
      </c>
      <c r="J342" s="17" t="str">
        <f>ROUND(Github!N$341, 2)&amp;"%"</f>
        <v>1%</v>
      </c>
      <c r="K342" s="17">
        <f>Github!O$341</f>
        <v>47.2080338</v>
      </c>
      <c r="L342" s="17">
        <f>Github!P$341</f>
        <v>264048</v>
      </c>
    </row>
    <row r="343">
      <c r="A343" s="17">
        <f>Github!J$342</f>
        <v>341</v>
      </c>
      <c r="B343" s="34" t="str">
        <f>HYPERLINK(CONCAT("http://leetcode.com/problems/",Github!C$342), Github!B$342)</f>
        <v>Flatten Nested List Iterator</v>
      </c>
      <c r="C343" s="17">
        <f>Github!F$342</f>
        <v>2984</v>
      </c>
      <c r="D343" s="17">
        <f>Github!G$342</f>
        <v>1039</v>
      </c>
      <c r="E343" s="17">
        <f>Github!F$342+Github!G$342</f>
        <v>4023</v>
      </c>
      <c r="F343" s="18">
        <f t="shared" si="1"/>
        <v>2.87</v>
      </c>
      <c r="G343" s="17" t="str">
        <f>Github!H$342</f>
        <v>Algorithms</v>
      </c>
      <c r="H343" s="17" t="b">
        <f>Github!D$342</f>
        <v>0</v>
      </c>
      <c r="I343" s="17" t="str">
        <f>Github!E$342</f>
        <v>Medium</v>
      </c>
      <c r="J343" s="17" t="str">
        <f>ROUND(Github!N$342, 2)&amp;"%"</f>
        <v>0%</v>
      </c>
      <c r="K343" s="17">
        <f>Github!O$342</f>
        <v>58.35513006</v>
      </c>
      <c r="L343" s="17">
        <f>Github!P$342</f>
        <v>277761</v>
      </c>
    </row>
    <row r="344">
      <c r="A344" s="17">
        <f>Github!J$343</f>
        <v>342</v>
      </c>
      <c r="B344" s="34" t="str">
        <f>HYPERLINK(CONCAT("http://leetcode.com/problems/",Github!C$343), Github!B$343)</f>
        <v>Power of Four</v>
      </c>
      <c r="C344" s="17">
        <f>Github!F$343</f>
        <v>1370</v>
      </c>
      <c r="D344" s="17">
        <f>Github!G$343</f>
        <v>283</v>
      </c>
      <c r="E344" s="17">
        <f>Github!F$343+Github!G$343</f>
        <v>1653</v>
      </c>
      <c r="F344" s="18">
        <f t="shared" si="1"/>
        <v>4.84</v>
      </c>
      <c r="G344" s="17" t="str">
        <f>Github!H$343</f>
        <v>Algorithms</v>
      </c>
      <c r="H344" s="17" t="b">
        <f>Github!D$343</f>
        <v>0</v>
      </c>
      <c r="I344" s="17" t="str">
        <f>Github!E$343</f>
        <v>Easy</v>
      </c>
      <c r="J344" s="17" t="str">
        <f>ROUND(Github!N$343, 2)&amp;"%"</f>
        <v>0%</v>
      </c>
      <c r="K344" s="17">
        <f>Github!O$343</f>
        <v>43.67995148</v>
      </c>
      <c r="L344" s="17">
        <f>Github!P$343</f>
        <v>283758</v>
      </c>
    </row>
    <row r="345">
      <c r="A345" s="17">
        <f>Github!J$344</f>
        <v>343</v>
      </c>
      <c r="B345" s="34" t="str">
        <f>HYPERLINK(CONCAT("http://leetcode.com/problems/",Github!C$344), Github!B$344)</f>
        <v>Integer Break</v>
      </c>
      <c r="C345" s="17">
        <f>Github!F$344</f>
        <v>2589</v>
      </c>
      <c r="D345" s="17">
        <f>Github!G$344</f>
        <v>317</v>
      </c>
      <c r="E345" s="17">
        <f>Github!F$344+Github!G$344</f>
        <v>2906</v>
      </c>
      <c r="F345" s="18">
        <f t="shared" si="1"/>
        <v>8.17</v>
      </c>
      <c r="G345" s="17" t="str">
        <f>Github!H$344</f>
        <v>Algorithms</v>
      </c>
      <c r="H345" s="17" t="b">
        <f>Github!D$344</f>
        <v>0</v>
      </c>
      <c r="I345" s="17" t="str">
        <f>Github!E$344</f>
        <v>Medium</v>
      </c>
      <c r="J345" s="17" t="str">
        <f>ROUND(Github!N$344, 2)&amp;"%"</f>
        <v>0%</v>
      </c>
      <c r="K345" s="17">
        <f>Github!O$344</f>
        <v>53.76422262</v>
      </c>
      <c r="L345" s="17">
        <f>Github!P$344</f>
        <v>177476</v>
      </c>
    </row>
    <row r="346">
      <c r="A346" s="17">
        <f>Github!J$345</f>
        <v>344</v>
      </c>
      <c r="B346" s="34" t="str">
        <f>HYPERLINK(CONCAT("http://leetcode.com/problems/",Github!C$345), Github!B$345)</f>
        <v>Reverse String</v>
      </c>
      <c r="C346" s="17">
        <f>Github!F$345</f>
        <v>4120</v>
      </c>
      <c r="D346" s="17">
        <f>Github!G$345</f>
        <v>901</v>
      </c>
      <c r="E346" s="17">
        <f>Github!F$345+Github!G$345</f>
        <v>5021</v>
      </c>
      <c r="F346" s="18">
        <f t="shared" si="1"/>
        <v>4.57</v>
      </c>
      <c r="G346" s="17" t="str">
        <f>Github!H$345</f>
        <v>Algorithms</v>
      </c>
      <c r="H346" s="17" t="b">
        <f>Github!D$345</f>
        <v>0</v>
      </c>
      <c r="I346" s="17" t="str">
        <f>Github!E$345</f>
        <v>Easy</v>
      </c>
      <c r="J346" s="17" t="str">
        <f>ROUND(Github!N$345, 2)&amp;"%"</f>
        <v>1%</v>
      </c>
      <c r="K346" s="17">
        <f>Github!O$345</f>
        <v>73.86685425</v>
      </c>
      <c r="L346" s="17">
        <f>Github!P$345</f>
        <v>1439626</v>
      </c>
    </row>
    <row r="347">
      <c r="A347" s="17">
        <f>Github!J$346</f>
        <v>345</v>
      </c>
      <c r="B347" s="34" t="str">
        <f>HYPERLINK(CONCAT("http://leetcode.com/problems/",Github!C$346), Github!B$346)</f>
        <v>Reverse Vowels of a String</v>
      </c>
      <c r="C347" s="17">
        <f>Github!F$346</f>
        <v>1480</v>
      </c>
      <c r="D347" s="17">
        <f>Github!G$346</f>
        <v>1774</v>
      </c>
      <c r="E347" s="17">
        <f>Github!F$346+Github!G$346</f>
        <v>3254</v>
      </c>
      <c r="F347" s="18">
        <f t="shared" si="1"/>
        <v>0.83</v>
      </c>
      <c r="G347" s="17" t="str">
        <f>Github!H$346</f>
        <v>Algorithms</v>
      </c>
      <c r="H347" s="17" t="b">
        <f>Github!D$346</f>
        <v>0</v>
      </c>
      <c r="I347" s="17" t="str">
        <f>Github!E$346</f>
        <v>Easy</v>
      </c>
      <c r="J347" s="17" t="str">
        <f>ROUND(Github!N$346, 2)&amp;"%"</f>
        <v>0%</v>
      </c>
      <c r="K347" s="17">
        <f>Github!O$346</f>
        <v>46.74672065</v>
      </c>
      <c r="L347" s="17">
        <f>Github!P$346</f>
        <v>337127</v>
      </c>
    </row>
    <row r="348">
      <c r="A348" s="17">
        <f>Github!J$347</f>
        <v>346</v>
      </c>
      <c r="B348" s="34" t="str">
        <f>HYPERLINK(CONCAT("http://leetcode.com/problems/",Github!C$347), Github!B$347)</f>
        <v>Moving Average from Data Stream</v>
      </c>
      <c r="C348" s="17">
        <f>Github!F$347</f>
        <v>1204</v>
      </c>
      <c r="D348" s="17">
        <f>Github!G$347</f>
        <v>116</v>
      </c>
      <c r="E348" s="17">
        <f>Github!F$347+Github!G$347</f>
        <v>1320</v>
      </c>
      <c r="F348" s="18">
        <f t="shared" si="1"/>
        <v>10.38</v>
      </c>
      <c r="G348" s="17" t="str">
        <f>Github!H$347</f>
        <v>Algorithms</v>
      </c>
      <c r="H348" s="17" t="b">
        <f>Github!D$347</f>
        <v>1</v>
      </c>
      <c r="I348" s="17" t="str">
        <f>Github!E$347</f>
        <v>Easy</v>
      </c>
      <c r="J348" s="17" t="str">
        <f>ROUND(Github!N$347, 2)&amp;"%"</f>
        <v>0%</v>
      </c>
      <c r="K348" s="17">
        <f>Github!O$347</f>
        <v>75.90293366</v>
      </c>
      <c r="L348" s="17">
        <f>Github!P$347</f>
        <v>243127</v>
      </c>
    </row>
    <row r="349">
      <c r="A349" s="17">
        <f>Github!J$348</f>
        <v>347</v>
      </c>
      <c r="B349" s="34" t="str">
        <f>HYPERLINK(CONCAT("http://leetcode.com/problems/",Github!C$348), Github!B$348)</f>
        <v>Top K Frequent Elements</v>
      </c>
      <c r="C349" s="17">
        <f>Github!F$348</f>
        <v>7610</v>
      </c>
      <c r="D349" s="17">
        <f>Github!G$348</f>
        <v>333</v>
      </c>
      <c r="E349" s="17">
        <f>Github!F$348+Github!G$348</f>
        <v>7943</v>
      </c>
      <c r="F349" s="18">
        <f t="shared" si="1"/>
        <v>22.85</v>
      </c>
      <c r="G349" s="17" t="str">
        <f>Github!H$348</f>
        <v>Algorithms</v>
      </c>
      <c r="H349" s="17" t="b">
        <f>Github!D$348</f>
        <v>0</v>
      </c>
      <c r="I349" s="17" t="str">
        <f>Github!E$348</f>
        <v>Medium</v>
      </c>
      <c r="J349" s="17" t="str">
        <f>ROUND(Github!N$348, 2)&amp;"%"</f>
        <v>0%</v>
      </c>
      <c r="K349" s="17">
        <f>Github!O$348</f>
        <v>64.51666016</v>
      </c>
      <c r="L349" s="17">
        <f>Github!P$348</f>
        <v>834608</v>
      </c>
    </row>
    <row r="350">
      <c r="A350" s="17">
        <f>Github!J$349</f>
        <v>348</v>
      </c>
      <c r="B350" s="34" t="str">
        <f>HYPERLINK(CONCAT("http://leetcode.com/problems/",Github!C$349), Github!B$349)</f>
        <v>Design Tic-Tac-Toe</v>
      </c>
      <c r="C350" s="17">
        <f>Github!F$349</f>
        <v>1577</v>
      </c>
      <c r="D350" s="17">
        <f>Github!G$349</f>
        <v>92</v>
      </c>
      <c r="E350" s="17">
        <f>Github!F$349+Github!G$349</f>
        <v>1669</v>
      </c>
      <c r="F350" s="18">
        <f t="shared" si="1"/>
        <v>17.14</v>
      </c>
      <c r="G350" s="17" t="str">
        <f>Github!H$349</f>
        <v>Algorithms</v>
      </c>
      <c r="H350" s="17" t="b">
        <f>Github!D$349</f>
        <v>1</v>
      </c>
      <c r="I350" s="17" t="str">
        <f>Github!E$349</f>
        <v>Medium</v>
      </c>
      <c r="J350" s="17" t="str">
        <f>ROUND(Github!N$349, 2)&amp;"%"</f>
        <v>0%</v>
      </c>
      <c r="K350" s="17">
        <f>Github!O$349</f>
        <v>57.11640368</v>
      </c>
      <c r="L350" s="17">
        <f>Github!P$349</f>
        <v>173963</v>
      </c>
    </row>
    <row r="351">
      <c r="A351" s="17">
        <f>Github!J$350</f>
        <v>349</v>
      </c>
      <c r="B351" s="34" t="str">
        <f>HYPERLINK(CONCAT("http://leetcode.com/problems/",Github!C$350), Github!B$350)</f>
        <v>Intersection of Two Arrays</v>
      </c>
      <c r="C351" s="17">
        <f>Github!F$350</f>
        <v>2580</v>
      </c>
      <c r="D351" s="17">
        <f>Github!G$350</f>
        <v>1860</v>
      </c>
      <c r="E351" s="17">
        <f>Github!F$350+Github!G$350</f>
        <v>4440</v>
      </c>
      <c r="F351" s="18">
        <f t="shared" si="1"/>
        <v>1.39</v>
      </c>
      <c r="G351" s="17" t="str">
        <f>Github!H$350</f>
        <v>Algorithms</v>
      </c>
      <c r="H351" s="17" t="b">
        <f>Github!D$350</f>
        <v>0</v>
      </c>
      <c r="I351" s="17" t="str">
        <f>Github!E$350</f>
        <v>Easy</v>
      </c>
      <c r="J351" s="17" t="str">
        <f>ROUND(Github!N$350, 2)&amp;"%"</f>
        <v>0%</v>
      </c>
      <c r="K351" s="17">
        <f>Github!O$350</f>
        <v>68.61404572</v>
      </c>
      <c r="L351" s="17">
        <f>Github!P$350</f>
        <v>628357</v>
      </c>
    </row>
    <row r="352">
      <c r="A352" s="17">
        <f>Github!J$351</f>
        <v>350</v>
      </c>
      <c r="B352" s="34" t="str">
        <f>HYPERLINK(CONCAT("http://leetcode.com/problems/",Github!C$351), Github!B$351)</f>
        <v>Intersection of Two Arrays II</v>
      </c>
      <c r="C352" s="17">
        <f>Github!F$351</f>
        <v>4077</v>
      </c>
      <c r="D352" s="17">
        <f>Github!G$351</f>
        <v>669</v>
      </c>
      <c r="E352" s="17">
        <f>Github!F$351+Github!G$351</f>
        <v>4746</v>
      </c>
      <c r="F352" s="18">
        <f t="shared" si="1"/>
        <v>6.09</v>
      </c>
      <c r="G352" s="17" t="str">
        <f>Github!H$351</f>
        <v>Algorithms</v>
      </c>
      <c r="H352" s="17" t="b">
        <f>Github!D$351</f>
        <v>0</v>
      </c>
      <c r="I352" s="17" t="str">
        <f>Github!E$351</f>
        <v>Easy</v>
      </c>
      <c r="J352" s="17" t="str">
        <f>ROUND(Github!N$351, 2)&amp;"%"</f>
        <v>0%</v>
      </c>
      <c r="K352" s="17">
        <f>Github!O$351</f>
        <v>54.61521996</v>
      </c>
      <c r="L352" s="17">
        <f>Github!P$351</f>
        <v>745037</v>
      </c>
    </row>
    <row r="353">
      <c r="A353" s="17">
        <f>Github!J$352</f>
        <v>351</v>
      </c>
      <c r="B353" s="34" t="str">
        <f>HYPERLINK(CONCAT("http://leetcode.com/problems/",Github!C$352), Github!B$352)</f>
        <v>Android Unlock Patterns</v>
      </c>
      <c r="C353" s="17">
        <f>Github!F$352</f>
        <v>84</v>
      </c>
      <c r="D353" s="17">
        <f>Github!G$352</f>
        <v>73</v>
      </c>
      <c r="E353" s="17">
        <f>Github!F$352+Github!G$352</f>
        <v>157</v>
      </c>
      <c r="F353" s="18">
        <f t="shared" si="1"/>
        <v>1.15</v>
      </c>
      <c r="G353" s="17" t="str">
        <f>Github!H$352</f>
        <v>Algorithms</v>
      </c>
      <c r="H353" s="17" t="b">
        <f>Github!D$352</f>
        <v>1</v>
      </c>
      <c r="I353" s="17" t="str">
        <f>Github!E$352</f>
        <v>Medium</v>
      </c>
      <c r="J353" s="17" t="str">
        <f>ROUND(Github!N$352, 2)&amp;"%"</f>
        <v>0%</v>
      </c>
      <c r="K353" s="17">
        <f>Github!O$352</f>
        <v>50.87787812</v>
      </c>
      <c r="L353" s="17">
        <f>Github!P$352</f>
        <v>62533</v>
      </c>
    </row>
    <row r="354">
      <c r="A354" s="17">
        <f>Github!J$353</f>
        <v>352</v>
      </c>
      <c r="B354" s="34" t="str">
        <f>HYPERLINK(CONCAT("http://leetcode.com/problems/",Github!C$353), Github!B$353)</f>
        <v>Data Stream as Disjoint Intervals</v>
      </c>
      <c r="C354" s="17">
        <f>Github!F$353</f>
        <v>602</v>
      </c>
      <c r="D354" s="17">
        <f>Github!G$353</f>
        <v>154</v>
      </c>
      <c r="E354" s="17">
        <f>Github!F$353+Github!G$353</f>
        <v>756</v>
      </c>
      <c r="F354" s="18">
        <f t="shared" si="1"/>
        <v>3.91</v>
      </c>
      <c r="G354" s="17" t="str">
        <f>Github!H$353</f>
        <v>Algorithms</v>
      </c>
      <c r="H354" s="17" t="b">
        <f>Github!D$353</f>
        <v>0</v>
      </c>
      <c r="I354" s="17" t="str">
        <f>Github!E$353</f>
        <v>Hard</v>
      </c>
      <c r="J354" s="17" t="str">
        <f>ROUND(Github!N$353, 2)&amp;"%"</f>
        <v>0%</v>
      </c>
      <c r="K354" s="17">
        <f>Github!O$353</f>
        <v>50.384479</v>
      </c>
      <c r="L354" s="17">
        <f>Github!P$353</f>
        <v>49731</v>
      </c>
    </row>
    <row r="355">
      <c r="A355" s="17">
        <f>Github!J$354</f>
        <v>353</v>
      </c>
      <c r="B355" s="34" t="str">
        <f>HYPERLINK(CONCAT("http://leetcode.com/problems/",Github!C$354), Github!B$354)</f>
        <v>Design Snake Game</v>
      </c>
      <c r="C355" s="17">
        <f>Github!F$354</f>
        <v>688</v>
      </c>
      <c r="D355" s="17">
        <f>Github!G$354</f>
        <v>251</v>
      </c>
      <c r="E355" s="17">
        <f>Github!F$354+Github!G$354</f>
        <v>939</v>
      </c>
      <c r="F355" s="18">
        <f t="shared" si="1"/>
        <v>2.74</v>
      </c>
      <c r="G355" s="17" t="str">
        <f>Github!H$354</f>
        <v>Algorithms</v>
      </c>
      <c r="H355" s="17" t="b">
        <f>Github!D$354</f>
        <v>1</v>
      </c>
      <c r="I355" s="17" t="str">
        <f>Github!E$354</f>
        <v>Medium</v>
      </c>
      <c r="J355" s="17" t="str">
        <f>ROUND(Github!N$354, 2)&amp;"%"</f>
        <v>0%</v>
      </c>
      <c r="K355" s="17">
        <f>Github!O$354</f>
        <v>37.92447722</v>
      </c>
      <c r="L355" s="17">
        <f>Github!P$354</f>
        <v>57437</v>
      </c>
    </row>
    <row r="356">
      <c r="A356" s="17">
        <f>Github!J$355</f>
        <v>354</v>
      </c>
      <c r="B356" s="34" t="str">
        <f>HYPERLINK(CONCAT("http://leetcode.com/problems/",Github!C$355), Github!B$355)</f>
        <v>Russian Doll Envelopes</v>
      </c>
      <c r="C356" s="17">
        <f>Github!F$355</f>
        <v>2894</v>
      </c>
      <c r="D356" s="17">
        <f>Github!G$355</f>
        <v>72</v>
      </c>
      <c r="E356" s="17">
        <f>Github!F$355+Github!G$355</f>
        <v>2966</v>
      </c>
      <c r="F356" s="18">
        <f t="shared" si="1"/>
        <v>40.19</v>
      </c>
      <c r="G356" s="17" t="str">
        <f>Github!H$355</f>
        <v>Algorithms</v>
      </c>
      <c r="H356" s="17" t="b">
        <f>Github!D$355</f>
        <v>0</v>
      </c>
      <c r="I356" s="17" t="str">
        <f>Github!E$355</f>
        <v>Hard</v>
      </c>
      <c r="J356" s="17" t="str">
        <f>ROUND(Github!N$355, 2)&amp;"%"</f>
        <v>0%</v>
      </c>
      <c r="K356" s="17">
        <f>Github!O$355</f>
        <v>39.21536199</v>
      </c>
      <c r="L356" s="17">
        <f>Github!P$355</f>
        <v>132784</v>
      </c>
    </row>
    <row r="357">
      <c r="A357" s="17">
        <f>Github!J$356</f>
        <v>355</v>
      </c>
      <c r="B357" s="34" t="str">
        <f>HYPERLINK(CONCAT("http://leetcode.com/problems/",Github!C$356), Github!B$356)</f>
        <v>Design Twitter</v>
      </c>
      <c r="C357" s="17">
        <f>Github!F$356</f>
        <v>1903</v>
      </c>
      <c r="D357" s="17">
        <f>Github!G$356</f>
        <v>268</v>
      </c>
      <c r="E357" s="17">
        <f>Github!F$356+Github!G$356</f>
        <v>2171</v>
      </c>
      <c r="F357" s="18">
        <f t="shared" si="1"/>
        <v>7.1</v>
      </c>
      <c r="G357" s="17" t="str">
        <f>Github!H$356</f>
        <v>Algorithms</v>
      </c>
      <c r="H357" s="17" t="b">
        <f>Github!D$356</f>
        <v>0</v>
      </c>
      <c r="I357" s="17" t="str">
        <f>Github!E$356</f>
        <v>Medium</v>
      </c>
      <c r="J357" s="17" t="str">
        <f>ROUND(Github!N$356, 2)&amp;"%"</f>
        <v>0%</v>
      </c>
      <c r="K357" s="17">
        <f>Github!O$356</f>
        <v>34.13712076</v>
      </c>
      <c r="L357" s="17">
        <f>Github!P$356</f>
        <v>82081</v>
      </c>
    </row>
    <row r="358">
      <c r="A358" s="17">
        <f>Github!J$357</f>
        <v>356</v>
      </c>
      <c r="B358" s="34" t="str">
        <f>HYPERLINK(CONCAT("http://leetcode.com/problems/",Github!C$357), Github!B$357)</f>
        <v>Line Reflection</v>
      </c>
      <c r="C358" s="17">
        <f>Github!F$357</f>
        <v>224</v>
      </c>
      <c r="D358" s="17">
        <f>Github!G$357</f>
        <v>475</v>
      </c>
      <c r="E358" s="17">
        <f>Github!F$357+Github!G$357</f>
        <v>699</v>
      </c>
      <c r="F358" s="18">
        <f t="shared" si="1"/>
        <v>0.47</v>
      </c>
      <c r="G358" s="17" t="str">
        <f>Github!H$357</f>
        <v>Algorithms</v>
      </c>
      <c r="H358" s="17" t="b">
        <f>Github!D$357</f>
        <v>1</v>
      </c>
      <c r="I358" s="17" t="str">
        <f>Github!E$357</f>
        <v>Medium</v>
      </c>
      <c r="J358" s="17" t="str">
        <f>ROUND(Github!N$357, 2)&amp;"%"</f>
        <v>0%</v>
      </c>
      <c r="K358" s="17">
        <f>Github!O$357</f>
        <v>34.26865281</v>
      </c>
      <c r="L358" s="17">
        <f>Github!P$357</f>
        <v>31448</v>
      </c>
    </row>
    <row r="359">
      <c r="A359" s="17">
        <f>Github!J$358</f>
        <v>357</v>
      </c>
      <c r="B359" s="34" t="str">
        <f>HYPERLINK(CONCAT("http://leetcode.com/problems/",Github!C$358), Github!B$358)</f>
        <v>Count Numbers with Unique Digits</v>
      </c>
      <c r="C359" s="17">
        <f>Github!F$358</f>
        <v>839</v>
      </c>
      <c r="D359" s="17">
        <f>Github!G$358</f>
        <v>1202</v>
      </c>
      <c r="E359" s="17">
        <f>Github!F$358+Github!G$358</f>
        <v>2041</v>
      </c>
      <c r="F359" s="18">
        <f t="shared" si="1"/>
        <v>0.7</v>
      </c>
      <c r="G359" s="17" t="str">
        <f>Github!H$358</f>
        <v>Algorithms</v>
      </c>
      <c r="H359" s="17" t="b">
        <f>Github!D$358</f>
        <v>0</v>
      </c>
      <c r="I359" s="17" t="str">
        <f>Github!E$358</f>
        <v>Medium</v>
      </c>
      <c r="J359" s="17" t="str">
        <f>ROUND(Github!N$358, 2)&amp;"%"</f>
        <v>0%</v>
      </c>
      <c r="K359" s="17">
        <f>Github!O$358</f>
        <v>50.43012162</v>
      </c>
      <c r="L359" s="17">
        <f>Github!P$358</f>
        <v>100011</v>
      </c>
    </row>
    <row r="360">
      <c r="A360" s="17">
        <f>Github!J$359</f>
        <v>358</v>
      </c>
      <c r="B360" s="34" t="str">
        <f>HYPERLINK(CONCAT("http://leetcode.com/problems/",Github!C$359), Github!B$359)</f>
        <v>Rearrange String k Distance Apart</v>
      </c>
      <c r="C360" s="17">
        <f>Github!F$359</f>
        <v>713</v>
      </c>
      <c r="D360" s="17">
        <f>Github!G$359</f>
        <v>31</v>
      </c>
      <c r="E360" s="17">
        <f>Github!F$359+Github!G$359</f>
        <v>744</v>
      </c>
      <c r="F360" s="18">
        <f t="shared" si="1"/>
        <v>23</v>
      </c>
      <c r="G360" s="17" t="str">
        <f>Github!H$359</f>
        <v>Algorithms</v>
      </c>
      <c r="H360" s="17" t="b">
        <f>Github!D$359</f>
        <v>1</v>
      </c>
      <c r="I360" s="17" t="str">
        <f>Github!E$359</f>
        <v>Hard</v>
      </c>
      <c r="J360" s="17" t="str">
        <f>ROUND(Github!N$359, 2)&amp;"%"</f>
        <v>0%</v>
      </c>
      <c r="K360" s="17">
        <f>Github!O$359</f>
        <v>36.81352414</v>
      </c>
      <c r="L360" s="17">
        <f>Github!P$359</f>
        <v>50369</v>
      </c>
    </row>
    <row r="361">
      <c r="A361" s="17">
        <f>Github!J$360</f>
        <v>359</v>
      </c>
      <c r="B361" s="34" t="str">
        <f>HYPERLINK(CONCAT("http://leetcode.com/problems/",Github!C$360), Github!B$360)</f>
        <v>Logger Rate Limiter</v>
      </c>
      <c r="C361" s="17">
        <f>Github!F$360</f>
        <v>1169</v>
      </c>
      <c r="D361" s="17">
        <f>Github!G$360</f>
        <v>157</v>
      </c>
      <c r="E361" s="17">
        <f>Github!F$360+Github!G$360</f>
        <v>1326</v>
      </c>
      <c r="F361" s="18">
        <f t="shared" si="1"/>
        <v>7.45</v>
      </c>
      <c r="G361" s="17" t="str">
        <f>Github!H$360</f>
        <v>Algorithms</v>
      </c>
      <c r="H361" s="17" t="b">
        <f>Github!D$360</f>
        <v>1</v>
      </c>
      <c r="I361" s="17" t="str">
        <f>Github!E$360</f>
        <v>Easy</v>
      </c>
      <c r="J361" s="17" t="str">
        <f>ROUND(Github!N$360, 2)&amp;"%"</f>
        <v>0%</v>
      </c>
      <c r="K361" s="17">
        <f>Github!O$360</f>
        <v>74.75115422</v>
      </c>
      <c r="L361" s="17">
        <f>Github!P$360</f>
        <v>211771</v>
      </c>
    </row>
    <row r="362">
      <c r="A362" s="17">
        <f>Github!J$361</f>
        <v>360</v>
      </c>
      <c r="B362" s="34" t="str">
        <f>HYPERLINK(CONCAT("http://leetcode.com/problems/",Github!C$361), Github!B$361)</f>
        <v>Sort Transformed Array</v>
      </c>
      <c r="C362" s="17">
        <f>Github!F$361</f>
        <v>534</v>
      </c>
      <c r="D362" s="17">
        <f>Github!G$361</f>
        <v>155</v>
      </c>
      <c r="E362" s="17">
        <f>Github!F$361+Github!G$361</f>
        <v>689</v>
      </c>
      <c r="F362" s="18">
        <f t="shared" si="1"/>
        <v>3.45</v>
      </c>
      <c r="G362" s="17" t="str">
        <f>Github!H$361</f>
        <v>Algorithms</v>
      </c>
      <c r="H362" s="17" t="b">
        <f>Github!D$361</f>
        <v>1</v>
      </c>
      <c r="I362" s="17" t="str">
        <f>Github!E$361</f>
        <v>Medium</v>
      </c>
      <c r="J362" s="17" t="str">
        <f>ROUND(Github!N$361, 2)&amp;"%"</f>
        <v>0%</v>
      </c>
      <c r="K362" s="17">
        <f>Github!O$361</f>
        <v>52.97786285</v>
      </c>
      <c r="L362" s="17">
        <f>Github!P$361</f>
        <v>51477</v>
      </c>
    </row>
    <row r="363">
      <c r="A363" s="17">
        <f>Github!J$362</f>
        <v>361</v>
      </c>
      <c r="B363" s="34" t="str">
        <f>HYPERLINK(CONCAT("http://leetcode.com/problems/",Github!C$362), Github!B$362)</f>
        <v>Bomb Enemy</v>
      </c>
      <c r="C363" s="17">
        <f>Github!F$362</f>
        <v>750</v>
      </c>
      <c r="D363" s="17">
        <f>Github!G$362</f>
        <v>92</v>
      </c>
      <c r="E363" s="17">
        <f>Github!F$362+Github!G$362</f>
        <v>842</v>
      </c>
      <c r="F363" s="18">
        <f t="shared" si="1"/>
        <v>8.15</v>
      </c>
      <c r="G363" s="17" t="str">
        <f>Github!H$362</f>
        <v>Algorithms</v>
      </c>
      <c r="H363" s="17" t="b">
        <f>Github!D$362</f>
        <v>1</v>
      </c>
      <c r="I363" s="17" t="str">
        <f>Github!E$362</f>
        <v>Medium</v>
      </c>
      <c r="J363" s="17" t="str">
        <f>ROUND(Github!N$362, 2)&amp;"%"</f>
        <v>0%</v>
      </c>
      <c r="K363" s="17">
        <f>Github!O$362</f>
        <v>49.83052701</v>
      </c>
      <c r="L363" s="17">
        <f>Github!P$362</f>
        <v>63805</v>
      </c>
    </row>
    <row r="364">
      <c r="A364" s="17">
        <f>Github!J$363</f>
        <v>362</v>
      </c>
      <c r="B364" s="34" t="str">
        <f>HYPERLINK(CONCAT("http://leetcode.com/problems/",Github!C$363), Github!B$363)</f>
        <v>Design Hit Counter</v>
      </c>
      <c r="C364" s="17">
        <f>Github!F$363</f>
        <v>1442</v>
      </c>
      <c r="D364" s="17">
        <f>Github!G$363</f>
        <v>124</v>
      </c>
      <c r="E364" s="17">
        <f>Github!F$363+Github!G$363</f>
        <v>1566</v>
      </c>
      <c r="F364" s="18">
        <f t="shared" si="1"/>
        <v>11.63</v>
      </c>
      <c r="G364" s="17" t="str">
        <f>Github!H$363</f>
        <v>Algorithms</v>
      </c>
      <c r="H364" s="17" t="b">
        <f>Github!D$363</f>
        <v>1</v>
      </c>
      <c r="I364" s="17" t="str">
        <f>Github!E$363</f>
        <v>Medium</v>
      </c>
      <c r="J364" s="17" t="str">
        <f>ROUND(Github!N$363, 2)&amp;"%"</f>
        <v>0%</v>
      </c>
      <c r="K364" s="17">
        <f>Github!O$363</f>
        <v>67.15347158</v>
      </c>
      <c r="L364" s="17">
        <f>Github!P$363</f>
        <v>154726</v>
      </c>
    </row>
    <row r="365">
      <c r="A365" s="17">
        <f>Github!J$364</f>
        <v>363</v>
      </c>
      <c r="B365" s="34" t="str">
        <f>HYPERLINK(CONCAT("http://leetcode.com/problems/",Github!C$364), Github!B$364)</f>
        <v>Max Sum of Rectangle No Larger Than K</v>
      </c>
      <c r="C365" s="17">
        <f>Github!F$364</f>
        <v>1858</v>
      </c>
      <c r="D365" s="17">
        <f>Github!G$364</f>
        <v>105</v>
      </c>
      <c r="E365" s="17">
        <f>Github!F$364+Github!G$364</f>
        <v>1963</v>
      </c>
      <c r="F365" s="18">
        <f t="shared" si="1"/>
        <v>17.7</v>
      </c>
      <c r="G365" s="17" t="str">
        <f>Github!H$364</f>
        <v>Algorithms</v>
      </c>
      <c r="H365" s="17" t="b">
        <f>Github!D$364</f>
        <v>0</v>
      </c>
      <c r="I365" s="17" t="str">
        <f>Github!E$364</f>
        <v>Hard</v>
      </c>
      <c r="J365" s="17" t="str">
        <f>ROUND(Github!N$364, 2)&amp;"%"</f>
        <v>0%</v>
      </c>
      <c r="K365" s="17">
        <f>Github!O$364</f>
        <v>40.14386184</v>
      </c>
      <c r="L365" s="17">
        <f>Github!P$364</f>
        <v>77686</v>
      </c>
    </row>
    <row r="366">
      <c r="A366" s="17">
        <f>Github!J$365</f>
        <v>364</v>
      </c>
      <c r="B366" s="34" t="str">
        <f>HYPERLINK(CONCAT("http://leetcode.com/problems/",Github!C$365), Github!B$365)</f>
        <v>Nested List Weight Sum II</v>
      </c>
      <c r="C366" s="17">
        <f>Github!F$365</f>
        <v>943</v>
      </c>
      <c r="D366" s="17">
        <f>Github!G$365</f>
        <v>286</v>
      </c>
      <c r="E366" s="17">
        <f>Github!F$365+Github!G$365</f>
        <v>1229</v>
      </c>
      <c r="F366" s="18">
        <f t="shared" si="1"/>
        <v>3.3</v>
      </c>
      <c r="G366" s="17" t="str">
        <f>Github!H$365</f>
        <v>Algorithms</v>
      </c>
      <c r="H366" s="17" t="b">
        <f>Github!D$365</f>
        <v>1</v>
      </c>
      <c r="I366" s="17" t="str">
        <f>Github!E$365</f>
        <v>Medium</v>
      </c>
      <c r="J366" s="17" t="str">
        <f>ROUND(Github!N$365, 2)&amp;"%"</f>
        <v>0%</v>
      </c>
      <c r="K366" s="17">
        <f>Github!O$365</f>
        <v>67.96118925</v>
      </c>
      <c r="L366" s="17">
        <f>Github!P$365</f>
        <v>109058</v>
      </c>
    </row>
    <row r="367">
      <c r="A367" s="17">
        <f>Github!J$366</f>
        <v>365</v>
      </c>
      <c r="B367" s="34" t="str">
        <f>HYPERLINK(CONCAT("http://leetcode.com/problems/",Github!C$366), Github!B$366)</f>
        <v>Water and Jug Problem</v>
      </c>
      <c r="C367" s="17">
        <f>Github!F$366</f>
        <v>712</v>
      </c>
      <c r="D367" s="17">
        <f>Github!G$366</f>
        <v>1071</v>
      </c>
      <c r="E367" s="17">
        <f>Github!F$366+Github!G$366</f>
        <v>1783</v>
      </c>
      <c r="F367" s="18">
        <f t="shared" si="1"/>
        <v>0.66</v>
      </c>
      <c r="G367" s="17" t="str">
        <f>Github!H$366</f>
        <v>Algorithms</v>
      </c>
      <c r="H367" s="17" t="b">
        <f>Github!D$366</f>
        <v>0</v>
      </c>
      <c r="I367" s="17" t="str">
        <f>Github!E$366</f>
        <v>Medium</v>
      </c>
      <c r="J367" s="17" t="str">
        <f>ROUND(Github!N$366, 2)&amp;"%"</f>
        <v>0%</v>
      </c>
      <c r="K367" s="17">
        <f>Github!O$366</f>
        <v>33.88779815</v>
      </c>
      <c r="L367" s="17">
        <f>Github!P$366</f>
        <v>59201</v>
      </c>
    </row>
    <row r="368">
      <c r="A368" s="17">
        <f>Github!J$367</f>
        <v>366</v>
      </c>
      <c r="B368" s="34" t="str">
        <f>HYPERLINK(CONCAT("http://leetcode.com/problems/",Github!C$367), Github!B$367)</f>
        <v>Find Leaves of Binary Tree</v>
      </c>
      <c r="C368" s="17">
        <f>Github!F$367</f>
        <v>2188</v>
      </c>
      <c r="D368" s="17">
        <f>Github!G$367</f>
        <v>38</v>
      </c>
      <c r="E368" s="17">
        <f>Github!F$367+Github!G$367</f>
        <v>2226</v>
      </c>
      <c r="F368" s="18">
        <f t="shared" si="1"/>
        <v>57.58</v>
      </c>
      <c r="G368" s="17" t="str">
        <f>Github!H$367</f>
        <v>Algorithms</v>
      </c>
      <c r="H368" s="17" t="b">
        <f>Github!D$367</f>
        <v>1</v>
      </c>
      <c r="I368" s="17" t="str">
        <f>Github!E$367</f>
        <v>Medium</v>
      </c>
      <c r="J368" s="17" t="str">
        <f>ROUND(Github!N$367, 2)&amp;"%"</f>
        <v>0%</v>
      </c>
      <c r="K368" s="17">
        <f>Github!O$367</f>
        <v>77.82452555</v>
      </c>
      <c r="L368" s="17">
        <f>Github!P$367</f>
        <v>155378</v>
      </c>
    </row>
    <row r="369">
      <c r="A369" s="17">
        <f>Github!J$368</f>
        <v>367</v>
      </c>
      <c r="B369" s="34" t="str">
        <f>HYPERLINK(CONCAT("http://leetcode.com/problems/",Github!C$368), Github!B$368)</f>
        <v>Valid Perfect Square</v>
      </c>
      <c r="C369" s="17">
        <f>Github!F$368</f>
        <v>2017</v>
      </c>
      <c r="D369" s="17">
        <f>Github!G$368</f>
        <v>224</v>
      </c>
      <c r="E369" s="17">
        <f>Github!F$368+Github!G$368</f>
        <v>2241</v>
      </c>
      <c r="F369" s="18">
        <f t="shared" si="1"/>
        <v>9</v>
      </c>
      <c r="G369" s="17" t="str">
        <f>Github!H$368</f>
        <v>Algorithms</v>
      </c>
      <c r="H369" s="17" t="b">
        <f>Github!D$368</f>
        <v>0</v>
      </c>
      <c r="I369" s="17" t="str">
        <f>Github!E$368</f>
        <v>Easy</v>
      </c>
      <c r="J369" s="17" t="str">
        <f>ROUND(Github!N$368, 2)&amp;"%"</f>
        <v>0%</v>
      </c>
      <c r="K369" s="17">
        <f>Github!O$368</f>
        <v>42.85768435</v>
      </c>
      <c r="L369" s="17">
        <f>Github!P$368</f>
        <v>339201</v>
      </c>
    </row>
    <row r="370">
      <c r="A370" s="17">
        <f>Github!J$369</f>
        <v>368</v>
      </c>
      <c r="B370" s="34" t="str">
        <f>HYPERLINK(CONCAT("http://leetcode.com/problems/",Github!C$369), Github!B$369)</f>
        <v>Largest Divisible Subset</v>
      </c>
      <c r="C370" s="17">
        <f>Github!F$369</f>
        <v>3045</v>
      </c>
      <c r="D370" s="17">
        <f>Github!G$369</f>
        <v>141</v>
      </c>
      <c r="E370" s="17">
        <f>Github!F$369+Github!G$369</f>
        <v>3186</v>
      </c>
      <c r="F370" s="18">
        <f t="shared" si="1"/>
        <v>21.6</v>
      </c>
      <c r="G370" s="17" t="str">
        <f>Github!H$369</f>
        <v>Algorithms</v>
      </c>
      <c r="H370" s="17" t="b">
        <f>Github!D$369</f>
        <v>0</v>
      </c>
      <c r="I370" s="17" t="str">
        <f>Github!E$369</f>
        <v>Medium</v>
      </c>
      <c r="J370" s="17" t="str">
        <f>ROUND(Github!N$369, 2)&amp;"%"</f>
        <v>0%</v>
      </c>
      <c r="K370" s="17">
        <f>Github!O$369</f>
        <v>40.42154026</v>
      </c>
      <c r="L370" s="17">
        <f>Github!P$369</f>
        <v>146937</v>
      </c>
    </row>
    <row r="371">
      <c r="A371" s="17">
        <f>Github!J$370</f>
        <v>369</v>
      </c>
      <c r="B371" s="34" t="str">
        <f>HYPERLINK(CONCAT("http://leetcode.com/problems/",Github!C$370), Github!B$370)</f>
        <v>Plus One Linked List</v>
      </c>
      <c r="C371" s="17">
        <f>Github!F$370</f>
        <v>757</v>
      </c>
      <c r="D371" s="17">
        <f>Github!G$370</f>
        <v>39</v>
      </c>
      <c r="E371" s="17">
        <f>Github!F$370+Github!G$370</f>
        <v>796</v>
      </c>
      <c r="F371" s="18">
        <f t="shared" si="1"/>
        <v>19.41</v>
      </c>
      <c r="G371" s="17" t="str">
        <f>Github!H$370</f>
        <v>Algorithms</v>
      </c>
      <c r="H371" s="17" t="b">
        <f>Github!D$370</f>
        <v>1</v>
      </c>
      <c r="I371" s="17" t="str">
        <f>Github!E$370</f>
        <v>Medium</v>
      </c>
      <c r="J371" s="17" t="str">
        <f>ROUND(Github!N$370, 2)&amp;"%"</f>
        <v>1%</v>
      </c>
      <c r="K371" s="17">
        <f>Github!O$370</f>
        <v>60.34372429</v>
      </c>
      <c r="L371" s="17">
        <f>Github!P$370</f>
        <v>66010</v>
      </c>
    </row>
    <row r="372">
      <c r="A372" s="17">
        <f>Github!J$371</f>
        <v>370</v>
      </c>
      <c r="B372" s="34" t="str">
        <f>HYPERLINK(CONCAT("http://leetcode.com/problems/",Github!C$371), Github!B$371)</f>
        <v>Range Addition</v>
      </c>
      <c r="C372" s="17">
        <f>Github!F$371</f>
        <v>1190</v>
      </c>
      <c r="D372" s="17">
        <f>Github!G$371</f>
        <v>55</v>
      </c>
      <c r="E372" s="17">
        <f>Github!F$371+Github!G$371</f>
        <v>1245</v>
      </c>
      <c r="F372" s="18">
        <f t="shared" si="1"/>
        <v>21.64</v>
      </c>
      <c r="G372" s="17" t="str">
        <f>Github!H$371</f>
        <v>Algorithms</v>
      </c>
      <c r="H372" s="17" t="b">
        <f>Github!D$371</f>
        <v>1</v>
      </c>
      <c r="I372" s="17" t="str">
        <f>Github!E$371</f>
        <v>Medium</v>
      </c>
      <c r="J372" s="17" t="str">
        <f>ROUND(Github!N$371, 2)&amp;"%"</f>
        <v>0%</v>
      </c>
      <c r="K372" s="17">
        <f>Github!O$371</f>
        <v>68.95366711</v>
      </c>
      <c r="L372" s="17">
        <f>Github!P$371</f>
        <v>62803</v>
      </c>
    </row>
    <row r="373">
      <c r="A373" s="17">
        <f>Github!J$372</f>
        <v>371</v>
      </c>
      <c r="B373" s="34" t="str">
        <f>HYPERLINK(CONCAT("http://leetcode.com/problems/",Github!C$372), Github!B$372)</f>
        <v>Sum of Two Integers</v>
      </c>
      <c r="C373" s="17">
        <f>Github!F$372</f>
        <v>2373</v>
      </c>
      <c r="D373" s="17">
        <f>Github!G$372</f>
        <v>3582</v>
      </c>
      <c r="E373" s="17">
        <f>Github!F$372+Github!G$372</f>
        <v>5955</v>
      </c>
      <c r="F373" s="18">
        <f t="shared" si="1"/>
        <v>0.66</v>
      </c>
      <c r="G373" s="17" t="str">
        <f>Github!H$372</f>
        <v>Algorithms</v>
      </c>
      <c r="H373" s="17" t="b">
        <f>Github!D$372</f>
        <v>0</v>
      </c>
      <c r="I373" s="17" t="str">
        <f>Github!E$372</f>
        <v>Medium</v>
      </c>
      <c r="J373" s="17" t="str">
        <f>ROUND(Github!N$372, 2)&amp;"%"</f>
        <v>0%</v>
      </c>
      <c r="K373" s="17">
        <f>Github!O$372</f>
        <v>50.65365142</v>
      </c>
      <c r="L373" s="17">
        <f>Github!P$372</f>
        <v>283429</v>
      </c>
    </row>
    <row r="374">
      <c r="A374" s="17">
        <f>Github!J$373</f>
        <v>372</v>
      </c>
      <c r="B374" s="34" t="str">
        <f>HYPERLINK(CONCAT("http://leetcode.com/problems/",Github!C$373), Github!B$373)</f>
        <v>Super Pow</v>
      </c>
      <c r="C374" s="17">
        <f>Github!F$373</f>
        <v>445</v>
      </c>
      <c r="D374" s="17">
        <f>Github!G$373</f>
        <v>1065</v>
      </c>
      <c r="E374" s="17">
        <f>Github!F$373+Github!G$373</f>
        <v>1510</v>
      </c>
      <c r="F374" s="18">
        <f t="shared" si="1"/>
        <v>0.42</v>
      </c>
      <c r="G374" s="17" t="str">
        <f>Github!H$373</f>
        <v>Algorithms</v>
      </c>
      <c r="H374" s="17" t="b">
        <f>Github!D$373</f>
        <v>0</v>
      </c>
      <c r="I374" s="17" t="str">
        <f>Github!E$373</f>
        <v>Medium</v>
      </c>
      <c r="J374" s="17" t="str">
        <f>ROUND(Github!N$373, 2)&amp;"%"</f>
        <v>0%</v>
      </c>
      <c r="K374" s="17">
        <f>Github!O$373</f>
        <v>37.58451817</v>
      </c>
      <c r="L374" s="17">
        <f>Github!P$373</f>
        <v>47582</v>
      </c>
    </row>
    <row r="375">
      <c r="A375" s="17">
        <f>Github!J$374</f>
        <v>373</v>
      </c>
      <c r="B375" s="34" t="str">
        <f>HYPERLINK(CONCAT("http://leetcode.com/problems/",Github!C$374), Github!B$374)</f>
        <v>Find K Pairs with Smallest Sums</v>
      </c>
      <c r="C375" s="17">
        <f>Github!F$374</f>
        <v>2881</v>
      </c>
      <c r="D375" s="17">
        <f>Github!G$374</f>
        <v>176</v>
      </c>
      <c r="E375" s="17">
        <f>Github!F$374+Github!G$374</f>
        <v>3057</v>
      </c>
      <c r="F375" s="18">
        <f t="shared" si="1"/>
        <v>16.37</v>
      </c>
      <c r="G375" s="17" t="str">
        <f>Github!H$374</f>
        <v>Algorithms</v>
      </c>
      <c r="H375" s="17" t="b">
        <f>Github!D$374</f>
        <v>0</v>
      </c>
      <c r="I375" s="17" t="str">
        <f>Github!E$374</f>
        <v>Medium</v>
      </c>
      <c r="J375" s="17" t="str">
        <f>ROUND(Github!N$374, 2)&amp;"%"</f>
        <v>0%</v>
      </c>
      <c r="K375" s="17">
        <f>Github!O$374</f>
        <v>38.87817399</v>
      </c>
      <c r="L375" s="17">
        <f>Github!P$374</f>
        <v>163277</v>
      </c>
    </row>
    <row r="376">
      <c r="A376" s="17">
        <f>Github!J$375</f>
        <v>374</v>
      </c>
      <c r="B376" s="34" t="str">
        <f>HYPERLINK(CONCAT("http://leetcode.com/problems/",Github!C$375), Github!B$375)</f>
        <v>Guess Number Higher or Lower</v>
      </c>
      <c r="C376" s="17">
        <f>Github!F$375</f>
        <v>689</v>
      </c>
      <c r="D376" s="17">
        <f>Github!G$375</f>
        <v>110</v>
      </c>
      <c r="E376" s="17">
        <f>Github!F$375+Github!G$375</f>
        <v>799</v>
      </c>
      <c r="F376" s="18">
        <f t="shared" si="1"/>
        <v>6.26</v>
      </c>
      <c r="G376" s="17" t="str">
        <f>Github!H$375</f>
        <v>Algorithms</v>
      </c>
      <c r="H376" s="17" t="b">
        <f>Github!D$375</f>
        <v>0</v>
      </c>
      <c r="I376" s="17" t="str">
        <f>Github!E$375</f>
        <v>Easy</v>
      </c>
      <c r="J376" s="17" t="str">
        <f>ROUND(Github!N$375, 2)&amp;"%"</f>
        <v>0%</v>
      </c>
      <c r="K376" s="17">
        <f>Github!O$375</f>
        <v>48.48452128</v>
      </c>
      <c r="L376" s="17">
        <f>Github!P$375</f>
        <v>287373</v>
      </c>
    </row>
    <row r="377">
      <c r="A377" s="17">
        <f>Github!J$376</f>
        <v>375</v>
      </c>
      <c r="B377" s="34" t="str">
        <f>HYPERLINK(CONCAT("http://leetcode.com/problems/",Github!C$376), Github!B$376)</f>
        <v>Guess Number Higher or Lower II</v>
      </c>
      <c r="C377" s="17">
        <f>Github!F$376</f>
        <v>1406</v>
      </c>
      <c r="D377" s="17">
        <f>Github!G$376</f>
        <v>1746</v>
      </c>
      <c r="E377" s="17">
        <f>Github!F$376+Github!G$376</f>
        <v>3152</v>
      </c>
      <c r="F377" s="18">
        <f t="shared" si="1"/>
        <v>0.81</v>
      </c>
      <c r="G377" s="17" t="str">
        <f>Github!H$376</f>
        <v>Algorithms</v>
      </c>
      <c r="H377" s="17" t="b">
        <f>Github!D$376</f>
        <v>0</v>
      </c>
      <c r="I377" s="17" t="str">
        <f>Github!E$376</f>
        <v>Medium</v>
      </c>
      <c r="J377" s="17" t="str">
        <f>ROUND(Github!N$376, 2)&amp;"%"</f>
        <v>0%</v>
      </c>
      <c r="K377" s="17">
        <f>Github!O$376</f>
        <v>45.19367868</v>
      </c>
      <c r="L377" s="17">
        <f>Github!P$376</f>
        <v>90968</v>
      </c>
    </row>
    <row r="378">
      <c r="A378" s="17">
        <f>Github!J$377</f>
        <v>376</v>
      </c>
      <c r="B378" s="34" t="str">
        <f>HYPERLINK(CONCAT("http://leetcode.com/problems/",Github!C$377), Github!B$377)</f>
        <v>Wiggle Subsequence</v>
      </c>
      <c r="C378" s="17">
        <f>Github!F$377</f>
        <v>2538</v>
      </c>
      <c r="D378" s="17">
        <f>Github!G$377</f>
        <v>88</v>
      </c>
      <c r="E378" s="17">
        <f>Github!F$377+Github!G$377</f>
        <v>2626</v>
      </c>
      <c r="F378" s="18">
        <f t="shared" si="1"/>
        <v>28.84</v>
      </c>
      <c r="G378" s="17" t="str">
        <f>Github!H$377</f>
        <v>Algorithms</v>
      </c>
      <c r="H378" s="17" t="b">
        <f>Github!D$377</f>
        <v>0</v>
      </c>
      <c r="I378" s="17" t="str">
        <f>Github!E$377</f>
        <v>Medium</v>
      </c>
      <c r="J378" s="17" t="str">
        <f>ROUND(Github!N$377, 2)&amp;"%"</f>
        <v>0%</v>
      </c>
      <c r="K378" s="17">
        <f>Github!O$377</f>
        <v>44.61903941</v>
      </c>
      <c r="L378" s="17">
        <f>Github!P$377</f>
        <v>132038</v>
      </c>
    </row>
    <row r="379">
      <c r="A379" s="17">
        <f>Github!J$378</f>
        <v>377</v>
      </c>
      <c r="B379" s="34" t="str">
        <f>HYPERLINK(CONCAT("http://leetcode.com/problems/",Github!C$378), Github!B$378)</f>
        <v>Combination Sum IV</v>
      </c>
      <c r="C379" s="17">
        <f>Github!F$378</f>
        <v>3212</v>
      </c>
      <c r="D379" s="17">
        <f>Github!G$378</f>
        <v>371</v>
      </c>
      <c r="E379" s="17">
        <f>Github!F$378+Github!G$378</f>
        <v>3583</v>
      </c>
      <c r="F379" s="18">
        <f t="shared" si="1"/>
        <v>8.66</v>
      </c>
      <c r="G379" s="17" t="str">
        <f>Github!H$378</f>
        <v>Algorithms</v>
      </c>
      <c r="H379" s="17" t="b">
        <f>Github!D$378</f>
        <v>0</v>
      </c>
      <c r="I379" s="17" t="str">
        <f>Github!E$378</f>
        <v>Medium</v>
      </c>
      <c r="J379" s="17" t="str">
        <f>ROUND(Github!N$378, 2)&amp;"%"</f>
        <v>0%</v>
      </c>
      <c r="K379" s="17">
        <f>Github!O$378</f>
        <v>49.05659573</v>
      </c>
      <c r="L379" s="17">
        <f>Github!P$378</f>
        <v>230147</v>
      </c>
    </row>
    <row r="380">
      <c r="A380" s="17">
        <f>Github!J$379</f>
        <v>378</v>
      </c>
      <c r="B380" s="34" t="str">
        <f>HYPERLINK(CONCAT("http://leetcode.com/problems/",Github!C$379), Github!B$379)</f>
        <v>Kth Smallest Element in a Sorted Matrix</v>
      </c>
      <c r="C380" s="17">
        <f>Github!F$379</f>
        <v>5509</v>
      </c>
      <c r="D380" s="17">
        <f>Github!G$379</f>
        <v>230</v>
      </c>
      <c r="E380" s="17">
        <f>Github!F$379+Github!G$379</f>
        <v>5739</v>
      </c>
      <c r="F380" s="18">
        <f t="shared" si="1"/>
        <v>23.95</v>
      </c>
      <c r="G380" s="17" t="str">
        <f>Github!H$379</f>
        <v>Algorithms</v>
      </c>
      <c r="H380" s="17" t="b">
        <f>Github!D$379</f>
        <v>0</v>
      </c>
      <c r="I380" s="17" t="str">
        <f>Github!E$379</f>
        <v>Medium</v>
      </c>
      <c r="J380" s="17" t="str">
        <f>ROUND(Github!N$379, 2)&amp;"%"</f>
        <v>0%</v>
      </c>
      <c r="K380" s="17">
        <f>Github!O$379</f>
        <v>59.34489465</v>
      </c>
      <c r="L380" s="17">
        <f>Github!P$379</f>
        <v>365538</v>
      </c>
    </row>
    <row r="381">
      <c r="A381" s="17">
        <f>Github!J$380</f>
        <v>379</v>
      </c>
      <c r="B381" s="34" t="str">
        <f>HYPERLINK(CONCAT("http://leetcode.com/problems/",Github!C$380), Github!B$380)</f>
        <v>Design Phone Directory</v>
      </c>
      <c r="C381" s="17">
        <f>Github!F$380</f>
        <v>276</v>
      </c>
      <c r="D381" s="17">
        <f>Github!G$380</f>
        <v>384</v>
      </c>
      <c r="E381" s="17">
        <f>Github!F$380+Github!G$380</f>
        <v>660</v>
      </c>
      <c r="F381" s="18">
        <f t="shared" si="1"/>
        <v>0.72</v>
      </c>
      <c r="G381" s="17" t="str">
        <f>Github!H$380</f>
        <v>Algorithms</v>
      </c>
      <c r="H381" s="17" t="b">
        <f>Github!D$380</f>
        <v>1</v>
      </c>
      <c r="I381" s="17" t="str">
        <f>Github!E$380</f>
        <v>Medium</v>
      </c>
      <c r="J381" s="17" t="str">
        <f>ROUND(Github!N$380, 2)&amp;"%"</f>
        <v>0%</v>
      </c>
      <c r="K381" s="17">
        <f>Github!O$380</f>
        <v>50.16592609</v>
      </c>
      <c r="L381" s="17">
        <f>Github!P$380</f>
        <v>53514</v>
      </c>
    </row>
    <row r="382">
      <c r="A382" s="17">
        <f>Github!J$381</f>
        <v>380</v>
      </c>
      <c r="B382" s="34" t="str">
        <f>HYPERLINK(CONCAT("http://leetcode.com/problems/",Github!C$381), Github!B$381)</f>
        <v>Insert Delete GetRandom O(1)</v>
      </c>
      <c r="C382" s="17">
        <f>Github!F$381</f>
        <v>5135</v>
      </c>
      <c r="D382" s="17">
        <f>Github!G$381</f>
        <v>272</v>
      </c>
      <c r="E382" s="17">
        <f>Github!F$381+Github!G$381</f>
        <v>5407</v>
      </c>
      <c r="F382" s="18">
        <f t="shared" si="1"/>
        <v>18.88</v>
      </c>
      <c r="G382" s="17" t="str">
        <f>Github!H$381</f>
        <v>Algorithms</v>
      </c>
      <c r="H382" s="17" t="b">
        <f>Github!D$381</f>
        <v>0</v>
      </c>
      <c r="I382" s="17" t="str">
        <f>Github!E$381</f>
        <v>Medium</v>
      </c>
      <c r="J382" s="17" t="str">
        <f>ROUND(Github!N$381, 2)&amp;"%"</f>
        <v>0%</v>
      </c>
      <c r="K382" s="17">
        <f>Github!O$381</f>
        <v>51.14584692</v>
      </c>
      <c r="L382" s="17">
        <f>Github!P$381</f>
        <v>454744</v>
      </c>
    </row>
    <row r="383">
      <c r="A383" s="17">
        <f>Github!J$382</f>
        <v>381</v>
      </c>
      <c r="B383" s="34" t="str">
        <f>HYPERLINK(CONCAT("http://leetcode.com/problems/",Github!C$382), Github!B$382)</f>
        <v>Insert Delete GetRandom O(1) - Duplicates allowed</v>
      </c>
      <c r="C383" s="17">
        <f>Github!F$382</f>
        <v>1540</v>
      </c>
      <c r="D383" s="17">
        <f>Github!G$382</f>
        <v>112</v>
      </c>
      <c r="E383" s="17">
        <f>Github!F$382+Github!G$382</f>
        <v>1652</v>
      </c>
      <c r="F383" s="18">
        <f t="shared" si="1"/>
        <v>13.75</v>
      </c>
      <c r="G383" s="17" t="str">
        <f>Github!H$382</f>
        <v>Algorithms</v>
      </c>
      <c r="H383" s="17" t="b">
        <f>Github!D$382</f>
        <v>0</v>
      </c>
      <c r="I383" s="17" t="str">
        <f>Github!E$382</f>
        <v>Hard</v>
      </c>
      <c r="J383" s="17" t="str">
        <f>ROUND(Github!N$382, 2)&amp;"%"</f>
        <v>0%</v>
      </c>
      <c r="K383" s="17">
        <f>Github!O$382</f>
        <v>35.42385969</v>
      </c>
      <c r="L383" s="17">
        <f>Github!P$382</f>
        <v>104138</v>
      </c>
    </row>
    <row r="384">
      <c r="A384" s="17">
        <f>Github!J$383</f>
        <v>382</v>
      </c>
      <c r="B384" s="34" t="str">
        <f>HYPERLINK(CONCAT("http://leetcode.com/problems/",Github!C$383), Github!B$383)</f>
        <v>Linked List Random Node</v>
      </c>
      <c r="C384" s="17">
        <f>Github!F$383</f>
        <v>1682</v>
      </c>
      <c r="D384" s="17">
        <f>Github!G$383</f>
        <v>428</v>
      </c>
      <c r="E384" s="17">
        <f>Github!F$383+Github!G$383</f>
        <v>2110</v>
      </c>
      <c r="F384" s="18">
        <f t="shared" si="1"/>
        <v>3.93</v>
      </c>
      <c r="G384" s="17" t="str">
        <f>Github!H$383</f>
        <v>Algorithms</v>
      </c>
      <c r="H384" s="17" t="b">
        <f>Github!D$383</f>
        <v>0</v>
      </c>
      <c r="I384" s="17" t="str">
        <f>Github!E$383</f>
        <v>Medium</v>
      </c>
      <c r="J384" s="17" t="str">
        <f>ROUND(Github!N$383, 2)&amp;"%"</f>
        <v>0%</v>
      </c>
      <c r="K384" s="17">
        <f>Github!O$383</f>
        <v>58.81364908</v>
      </c>
      <c r="L384" s="17">
        <f>Github!P$383</f>
        <v>148815</v>
      </c>
    </row>
    <row r="385">
      <c r="A385" s="17">
        <f>Github!J$384</f>
        <v>383</v>
      </c>
      <c r="B385" s="34" t="str">
        <f>HYPERLINK(CONCAT("http://leetcode.com/problems/",Github!C$384), Github!B$384)</f>
        <v>Ransom Note</v>
      </c>
      <c r="C385" s="17">
        <f>Github!F$384</f>
        <v>1549</v>
      </c>
      <c r="D385" s="17">
        <f>Github!G$384</f>
        <v>287</v>
      </c>
      <c r="E385" s="17">
        <f>Github!F$384+Github!G$384</f>
        <v>1836</v>
      </c>
      <c r="F385" s="18">
        <f t="shared" si="1"/>
        <v>5.4</v>
      </c>
      <c r="G385" s="17" t="str">
        <f>Github!H$384</f>
        <v>Algorithms</v>
      </c>
      <c r="H385" s="17" t="b">
        <f>Github!D$384</f>
        <v>0</v>
      </c>
      <c r="I385" s="17" t="str">
        <f>Github!E$384</f>
        <v>Easy</v>
      </c>
      <c r="J385" s="17" t="str">
        <f>ROUND(Github!N$384, 2)&amp;"%"</f>
        <v>0%</v>
      </c>
      <c r="K385" s="17">
        <f>Github!O$384</f>
        <v>55.64293241</v>
      </c>
      <c r="L385" s="17">
        <f>Github!P$384</f>
        <v>350094</v>
      </c>
    </row>
    <row r="386">
      <c r="A386" s="17">
        <f>Github!J$385</f>
        <v>384</v>
      </c>
      <c r="B386" s="34" t="str">
        <f>HYPERLINK(CONCAT("http://leetcode.com/problems/",Github!C$385), Github!B$385)</f>
        <v>Shuffle an Array</v>
      </c>
      <c r="C386" s="17">
        <f>Github!F$385</f>
        <v>697</v>
      </c>
      <c r="D386" s="17">
        <f>Github!G$385</f>
        <v>606</v>
      </c>
      <c r="E386" s="17">
        <f>Github!F$385+Github!G$385</f>
        <v>1303</v>
      </c>
      <c r="F386" s="18">
        <f t="shared" si="1"/>
        <v>1.15</v>
      </c>
      <c r="G386" s="17" t="str">
        <f>Github!H$385</f>
        <v>Algorithms</v>
      </c>
      <c r="H386" s="17" t="b">
        <f>Github!D$385</f>
        <v>0</v>
      </c>
      <c r="I386" s="17" t="str">
        <f>Github!E$385</f>
        <v>Medium</v>
      </c>
      <c r="J386" s="17" t="str">
        <f>ROUND(Github!N$385, 2)&amp;"%"</f>
        <v>0%</v>
      </c>
      <c r="K386" s="17">
        <f>Github!O$385</f>
        <v>56.86511165</v>
      </c>
      <c r="L386" s="17">
        <f>Github!P$385</f>
        <v>251591</v>
      </c>
    </row>
    <row r="387">
      <c r="A387" s="17">
        <f>Github!J$386</f>
        <v>385</v>
      </c>
      <c r="B387" s="34" t="str">
        <f>HYPERLINK(CONCAT("http://leetcode.com/problems/",Github!C$386), Github!B$386)</f>
        <v>Mini Parser</v>
      </c>
      <c r="C387" s="17">
        <f>Github!F$386</f>
        <v>354</v>
      </c>
      <c r="D387" s="17">
        <f>Github!G$386</f>
        <v>1111</v>
      </c>
      <c r="E387" s="17">
        <f>Github!F$386+Github!G$386</f>
        <v>1465</v>
      </c>
      <c r="F387" s="18">
        <f t="shared" si="1"/>
        <v>0.32</v>
      </c>
      <c r="G387" s="17" t="str">
        <f>Github!H$386</f>
        <v>Algorithms</v>
      </c>
      <c r="H387" s="17" t="b">
        <f>Github!D$386</f>
        <v>0</v>
      </c>
      <c r="I387" s="17" t="str">
        <f>Github!E$386</f>
        <v>Medium</v>
      </c>
      <c r="J387" s="17" t="str">
        <f>ROUND(Github!N$386, 2)&amp;"%"</f>
        <v>0%</v>
      </c>
      <c r="K387" s="17">
        <f>Github!O$386</f>
        <v>35.72592441</v>
      </c>
      <c r="L387" s="17">
        <f>Github!P$386</f>
        <v>47139</v>
      </c>
    </row>
    <row r="388">
      <c r="A388" s="17">
        <f>Github!J$387</f>
        <v>386</v>
      </c>
      <c r="B388" s="34" t="str">
        <f>HYPERLINK(CONCAT("http://leetcode.com/problems/",Github!C$387), Github!B$387)</f>
        <v>Lexicographical Numbers</v>
      </c>
      <c r="C388" s="17">
        <f>Github!F$387</f>
        <v>1148</v>
      </c>
      <c r="D388" s="17">
        <f>Github!G$387</f>
        <v>112</v>
      </c>
      <c r="E388" s="17">
        <f>Github!F$387+Github!G$387</f>
        <v>1260</v>
      </c>
      <c r="F388" s="18">
        <f t="shared" si="1"/>
        <v>10.25</v>
      </c>
      <c r="G388" s="17" t="str">
        <f>Github!H$387</f>
        <v>Algorithms</v>
      </c>
      <c r="H388" s="17" t="b">
        <f>Github!D$387</f>
        <v>0</v>
      </c>
      <c r="I388" s="17" t="str">
        <f>Github!E$387</f>
        <v>Medium</v>
      </c>
      <c r="J388" s="17" t="str">
        <f>ROUND(Github!N$387, 2)&amp;"%"</f>
        <v>0%</v>
      </c>
      <c r="K388" s="17">
        <f>Github!O$387</f>
        <v>58.40331268</v>
      </c>
      <c r="L388" s="17">
        <f>Github!P$387</f>
        <v>80674</v>
      </c>
    </row>
    <row r="389">
      <c r="A389" s="17">
        <f>Github!J$388</f>
        <v>387</v>
      </c>
      <c r="B389" s="34" t="str">
        <f>HYPERLINK(CONCAT("http://leetcode.com/problems/",Github!C$388), Github!B$388)</f>
        <v>First Unique Character in a String</v>
      </c>
      <c r="C389" s="17">
        <f>Github!F$388</f>
        <v>4647</v>
      </c>
      <c r="D389" s="17">
        <f>Github!G$388</f>
        <v>187</v>
      </c>
      <c r="E389" s="17">
        <f>Github!F$388+Github!G$388</f>
        <v>4834</v>
      </c>
      <c r="F389" s="18">
        <f t="shared" si="1"/>
        <v>24.85</v>
      </c>
      <c r="G389" s="17" t="str">
        <f>Github!H$388</f>
        <v>Algorithms</v>
      </c>
      <c r="H389" s="17" t="b">
        <f>Github!D$388</f>
        <v>0</v>
      </c>
      <c r="I389" s="17" t="str">
        <f>Github!E$388</f>
        <v>Easy</v>
      </c>
      <c r="J389" s="17" t="str">
        <f>ROUND(Github!N$388, 2)&amp;"%"</f>
        <v>0%</v>
      </c>
      <c r="K389" s="17">
        <f>Github!O$388</f>
        <v>56.74742856</v>
      </c>
      <c r="L389" s="17">
        <f>Github!P$388</f>
        <v>993384</v>
      </c>
    </row>
    <row r="390">
      <c r="A390" s="17">
        <f>Github!J$389</f>
        <v>388</v>
      </c>
      <c r="B390" s="34" t="str">
        <f>HYPERLINK(CONCAT("http://leetcode.com/problems/",Github!C$389), Github!B$389)</f>
        <v>Longest Absolute File Path</v>
      </c>
      <c r="C390" s="17">
        <f>Github!F$389</f>
        <v>954</v>
      </c>
      <c r="D390" s="17">
        <f>Github!G$389</f>
        <v>2092</v>
      </c>
      <c r="E390" s="17">
        <f>Github!F$389+Github!G$389</f>
        <v>3046</v>
      </c>
      <c r="F390" s="18">
        <f t="shared" si="1"/>
        <v>0.46</v>
      </c>
      <c r="G390" s="17" t="str">
        <f>Github!H$389</f>
        <v>Algorithms</v>
      </c>
      <c r="H390" s="17" t="b">
        <f>Github!D$389</f>
        <v>0</v>
      </c>
      <c r="I390" s="17" t="str">
        <f>Github!E$389</f>
        <v>Medium</v>
      </c>
      <c r="J390" s="17" t="str">
        <f>ROUND(Github!N$389, 2)&amp;"%"</f>
        <v>0%</v>
      </c>
      <c r="K390" s="17">
        <f>Github!O$389</f>
        <v>45.67257066</v>
      </c>
      <c r="L390" s="17">
        <f>Github!P$389</f>
        <v>125345</v>
      </c>
    </row>
    <row r="391">
      <c r="A391" s="17">
        <f>Github!J$390</f>
        <v>389</v>
      </c>
      <c r="B391" s="34" t="str">
        <f>HYPERLINK(CONCAT("http://leetcode.com/problems/",Github!C$390), Github!B$390)</f>
        <v>Find the Difference</v>
      </c>
      <c r="C391" s="17">
        <f>Github!F$390</f>
        <v>2607</v>
      </c>
      <c r="D391" s="17">
        <f>Github!G$390</f>
        <v>373</v>
      </c>
      <c r="E391" s="17">
        <f>Github!F$390+Github!G$390</f>
        <v>2980</v>
      </c>
      <c r="F391" s="18">
        <f t="shared" si="1"/>
        <v>6.99</v>
      </c>
      <c r="G391" s="17" t="str">
        <f>Github!H$390</f>
        <v>Algorithms</v>
      </c>
      <c r="H391" s="17" t="b">
        <f>Github!D$390</f>
        <v>0</v>
      </c>
      <c r="I391" s="17" t="str">
        <f>Github!E$390</f>
        <v>Easy</v>
      </c>
      <c r="J391" s="17" t="str">
        <f>ROUND(Github!N$390, 2)&amp;"%"</f>
        <v>0%</v>
      </c>
      <c r="K391" s="17">
        <f>Github!O$390</f>
        <v>60.4817817</v>
      </c>
      <c r="L391" s="17">
        <f>Github!P$390</f>
        <v>373292</v>
      </c>
    </row>
    <row r="392">
      <c r="A392" s="17">
        <f>Github!J$391</f>
        <v>390</v>
      </c>
      <c r="B392" s="34" t="str">
        <f>HYPERLINK(CONCAT("http://leetcode.com/problems/",Github!C$391), Github!B$391)</f>
        <v>Elimination Game</v>
      </c>
      <c r="C392" s="17">
        <f>Github!F$391</f>
        <v>735</v>
      </c>
      <c r="D392" s="17">
        <f>Github!G$391</f>
        <v>489</v>
      </c>
      <c r="E392" s="17">
        <f>Github!F$391+Github!G$391</f>
        <v>1224</v>
      </c>
      <c r="F392" s="18">
        <f t="shared" si="1"/>
        <v>1.5</v>
      </c>
      <c r="G392" s="17" t="str">
        <f>Github!H$391</f>
        <v>Algorithms</v>
      </c>
      <c r="H392" s="17" t="b">
        <f>Github!D$391</f>
        <v>0</v>
      </c>
      <c r="I392" s="17" t="str">
        <f>Github!E$391</f>
        <v>Medium</v>
      </c>
      <c r="J392" s="17" t="str">
        <f>ROUND(Github!N$391, 2)&amp;"%"</f>
        <v>0%</v>
      </c>
      <c r="K392" s="17">
        <f>Github!O$391</f>
        <v>46.30944898</v>
      </c>
      <c r="L392" s="17">
        <f>Github!P$391</f>
        <v>44207</v>
      </c>
    </row>
    <row r="393">
      <c r="A393" s="17">
        <f>Github!J$392</f>
        <v>391</v>
      </c>
      <c r="B393" s="34" t="str">
        <f>HYPERLINK(CONCAT("http://leetcode.com/problems/",Github!C$392), Github!B$392)</f>
        <v>Perfect Rectangle</v>
      </c>
      <c r="C393" s="17">
        <f>Github!F$392</f>
        <v>579</v>
      </c>
      <c r="D393" s="17">
        <f>Github!G$392</f>
        <v>96</v>
      </c>
      <c r="E393" s="17">
        <f>Github!F$392+Github!G$392</f>
        <v>675</v>
      </c>
      <c r="F393" s="18">
        <f t="shared" si="1"/>
        <v>6.03</v>
      </c>
      <c r="G393" s="17" t="str">
        <f>Github!H$392</f>
        <v>Algorithms</v>
      </c>
      <c r="H393" s="17" t="b">
        <f>Github!D$392</f>
        <v>0</v>
      </c>
      <c r="I393" s="17" t="str">
        <f>Github!E$392</f>
        <v>Hard</v>
      </c>
      <c r="J393" s="17" t="str">
        <f>ROUND(Github!N$392, 2)&amp;"%"</f>
        <v>0%</v>
      </c>
      <c r="K393" s="17">
        <f>Github!O$392</f>
        <v>32.0036593</v>
      </c>
      <c r="L393" s="17">
        <f>Github!P$392</f>
        <v>33583</v>
      </c>
    </row>
    <row r="394">
      <c r="A394" s="17">
        <f>Github!J$393</f>
        <v>392</v>
      </c>
      <c r="B394" s="34" t="str">
        <f>HYPERLINK(CONCAT("http://leetcode.com/problems/",Github!C$393), Github!B$393)</f>
        <v>Is Subsequence</v>
      </c>
      <c r="C394" s="17">
        <f>Github!F$393</f>
        <v>4488</v>
      </c>
      <c r="D394" s="17">
        <f>Github!G$393</f>
        <v>280</v>
      </c>
      <c r="E394" s="17">
        <f>Github!F$393+Github!G$393</f>
        <v>4768</v>
      </c>
      <c r="F394" s="18">
        <f t="shared" si="1"/>
        <v>16.03</v>
      </c>
      <c r="G394" s="17" t="str">
        <f>Github!H$393</f>
        <v>Algorithms</v>
      </c>
      <c r="H394" s="17" t="b">
        <f>Github!D$393</f>
        <v>0</v>
      </c>
      <c r="I394" s="17" t="str">
        <f>Github!E$393</f>
        <v>Easy</v>
      </c>
      <c r="J394" s="17" t="str">
        <f>ROUND(Github!N$393, 2)&amp;"%"</f>
        <v>0%</v>
      </c>
      <c r="K394" s="17">
        <f>Github!O$393</f>
        <v>50.93994537</v>
      </c>
      <c r="L394" s="17">
        <f>Github!P$393</f>
        <v>442008</v>
      </c>
    </row>
    <row r="395">
      <c r="A395" s="17">
        <f>Github!J$394</f>
        <v>393</v>
      </c>
      <c r="B395" s="34" t="str">
        <f>HYPERLINK(CONCAT("http://leetcode.com/problems/",Github!C$394), Github!B$394)</f>
        <v>UTF-8 Validation</v>
      </c>
      <c r="C395" s="17">
        <f>Github!F$394</f>
        <v>359</v>
      </c>
      <c r="D395" s="17">
        <f>Github!G$394</f>
        <v>1489</v>
      </c>
      <c r="E395" s="17">
        <f>Github!F$394+Github!G$394</f>
        <v>1848</v>
      </c>
      <c r="F395" s="18">
        <f t="shared" si="1"/>
        <v>0.24</v>
      </c>
      <c r="G395" s="17" t="str">
        <f>Github!H$394</f>
        <v>Algorithms</v>
      </c>
      <c r="H395" s="17" t="b">
        <f>Github!D$394</f>
        <v>0</v>
      </c>
      <c r="I395" s="17" t="str">
        <f>Github!E$394</f>
        <v>Medium</v>
      </c>
      <c r="J395" s="17" t="str">
        <f>ROUND(Github!N$394, 2)&amp;"%"</f>
        <v>0%</v>
      </c>
      <c r="K395" s="17">
        <f>Github!O$394</f>
        <v>39.09209263</v>
      </c>
      <c r="L395" s="17">
        <f>Github!P$394</f>
        <v>66359</v>
      </c>
    </row>
    <row r="396">
      <c r="A396" s="17">
        <f>Github!J$395</f>
        <v>394</v>
      </c>
      <c r="B396" s="34" t="str">
        <f>HYPERLINK(CONCAT("http://leetcode.com/problems/",Github!C$395), Github!B$395)</f>
        <v>Decode String</v>
      </c>
      <c r="C396" s="17">
        <f>Github!F$395</f>
        <v>7682</v>
      </c>
      <c r="D396" s="17">
        <f>Github!G$395</f>
        <v>326</v>
      </c>
      <c r="E396" s="17">
        <f>Github!F$395+Github!G$395</f>
        <v>8008</v>
      </c>
      <c r="F396" s="18">
        <f t="shared" si="1"/>
        <v>23.56</v>
      </c>
      <c r="G396" s="17" t="str">
        <f>Github!H$395</f>
        <v>Algorithms</v>
      </c>
      <c r="H396" s="17" t="b">
        <f>Github!D$395</f>
        <v>0</v>
      </c>
      <c r="I396" s="17" t="str">
        <f>Github!E$395</f>
        <v>Medium</v>
      </c>
      <c r="J396" s="17" t="str">
        <f>ROUND(Github!N$395, 2)&amp;"%"</f>
        <v>0%</v>
      </c>
      <c r="K396" s="17">
        <f>Github!O$395</f>
        <v>56.0253756</v>
      </c>
      <c r="L396" s="17">
        <f>Github!P$395</f>
        <v>463551</v>
      </c>
    </row>
    <row r="397">
      <c r="A397" s="17">
        <f>Github!J$396</f>
        <v>395</v>
      </c>
      <c r="B397" s="34" t="str">
        <f>HYPERLINK(CONCAT("http://leetcode.com/problems/",Github!C$396), Github!B$396)</f>
        <v>Longest Substring with At Least K Repeating Characters</v>
      </c>
      <c r="C397" s="17">
        <f>Github!F$396</f>
        <v>3717</v>
      </c>
      <c r="D397" s="17">
        <f>Github!G$396</f>
        <v>315</v>
      </c>
      <c r="E397" s="17">
        <f>Github!F$396+Github!G$396</f>
        <v>4032</v>
      </c>
      <c r="F397" s="18">
        <f t="shared" si="1"/>
        <v>11.8</v>
      </c>
      <c r="G397" s="17" t="str">
        <f>Github!H$396</f>
        <v>Algorithms</v>
      </c>
      <c r="H397" s="17" t="b">
        <f>Github!D$396</f>
        <v>0</v>
      </c>
      <c r="I397" s="17" t="str">
        <f>Github!E$396</f>
        <v>Medium</v>
      </c>
      <c r="J397" s="17" t="str">
        <f>ROUND(Github!N$396, 2)&amp;"%"</f>
        <v>0%</v>
      </c>
      <c r="K397" s="17">
        <f>Github!O$396</f>
        <v>44.48864392</v>
      </c>
      <c r="L397" s="17">
        <f>Github!P$396</f>
        <v>150533</v>
      </c>
    </row>
    <row r="398">
      <c r="A398" s="17">
        <f>Github!J$397</f>
        <v>396</v>
      </c>
      <c r="B398" s="34" t="str">
        <f>HYPERLINK(CONCAT("http://leetcode.com/problems/",Github!C$397), Github!B$397)</f>
        <v>Rotate Function</v>
      </c>
      <c r="C398" s="17">
        <f>Github!F$397</f>
        <v>783</v>
      </c>
      <c r="D398" s="17">
        <f>Github!G$397</f>
        <v>206</v>
      </c>
      <c r="E398" s="17">
        <f>Github!F$397+Github!G$397</f>
        <v>989</v>
      </c>
      <c r="F398" s="18">
        <f t="shared" si="1"/>
        <v>3.8</v>
      </c>
      <c r="G398" s="17" t="str">
        <f>Github!H$397</f>
        <v>Algorithms</v>
      </c>
      <c r="H398" s="17" t="b">
        <f>Github!D$397</f>
        <v>0</v>
      </c>
      <c r="I398" s="17" t="str">
        <f>Github!E$397</f>
        <v>Medium</v>
      </c>
      <c r="J398" s="17" t="str">
        <f>ROUND(Github!N$397, 2)&amp;"%"</f>
        <v>0%</v>
      </c>
      <c r="K398" s="17">
        <f>Github!O$397</f>
        <v>38.94950953</v>
      </c>
      <c r="L398" s="17">
        <f>Github!P$397</f>
        <v>59360</v>
      </c>
    </row>
    <row r="399">
      <c r="A399" s="17">
        <f>Github!J$398</f>
        <v>397</v>
      </c>
      <c r="B399" s="34" t="str">
        <f>HYPERLINK(CONCAT("http://leetcode.com/problems/",Github!C$398), Github!B$398)</f>
        <v>Integer Replacement</v>
      </c>
      <c r="C399" s="17">
        <f>Github!F$398</f>
        <v>777</v>
      </c>
      <c r="D399" s="17">
        <f>Github!G$398</f>
        <v>415</v>
      </c>
      <c r="E399" s="17">
        <f>Github!F$398+Github!G$398</f>
        <v>1192</v>
      </c>
      <c r="F399" s="18">
        <f t="shared" si="1"/>
        <v>1.87</v>
      </c>
      <c r="G399" s="17" t="str">
        <f>Github!H$398</f>
        <v>Algorithms</v>
      </c>
      <c r="H399" s="17" t="b">
        <f>Github!D$398</f>
        <v>0</v>
      </c>
      <c r="I399" s="17" t="str">
        <f>Github!E$398</f>
        <v>Medium</v>
      </c>
      <c r="J399" s="17" t="str">
        <f>ROUND(Github!N$398, 2)&amp;"%"</f>
        <v>0%</v>
      </c>
      <c r="K399" s="17">
        <f>Github!O$398</f>
        <v>34.58796655</v>
      </c>
      <c r="L399" s="17">
        <f>Github!P$398</f>
        <v>79038</v>
      </c>
    </row>
    <row r="400">
      <c r="A400" s="17">
        <f>Github!J$399</f>
        <v>398</v>
      </c>
      <c r="B400" s="34" t="str">
        <f>HYPERLINK(CONCAT("http://leetcode.com/problems/",Github!C$399), Github!B$399)</f>
        <v>Random Pick Index</v>
      </c>
      <c r="C400" s="17">
        <f>Github!F$399</f>
        <v>927</v>
      </c>
      <c r="D400" s="17">
        <f>Github!G$399</f>
        <v>1003</v>
      </c>
      <c r="E400" s="17">
        <f>Github!F$399+Github!G$399</f>
        <v>1930</v>
      </c>
      <c r="F400" s="18">
        <f t="shared" si="1"/>
        <v>0.92</v>
      </c>
      <c r="G400" s="17" t="str">
        <f>Github!H$399</f>
        <v>Algorithms</v>
      </c>
      <c r="H400" s="17" t="b">
        <f>Github!D$399</f>
        <v>0</v>
      </c>
      <c r="I400" s="17" t="str">
        <f>Github!E$399</f>
        <v>Medium</v>
      </c>
      <c r="J400" s="17" t="str">
        <f>ROUND(Github!N$399, 2)&amp;"%"</f>
        <v>0%</v>
      </c>
      <c r="K400" s="17">
        <f>Github!O$399</f>
        <v>63.2297528</v>
      </c>
      <c r="L400" s="17">
        <f>Github!P$399</f>
        <v>162596</v>
      </c>
    </row>
    <row r="401">
      <c r="A401" s="17">
        <f>Github!J$400</f>
        <v>399</v>
      </c>
      <c r="B401" s="34" t="str">
        <f>HYPERLINK(CONCAT("http://leetcode.com/problems/",Github!C$400), Github!B$400)</f>
        <v>Evaluate Division</v>
      </c>
      <c r="C401" s="17">
        <f>Github!F$400</f>
        <v>4743</v>
      </c>
      <c r="D401" s="17">
        <f>Github!G$400</f>
        <v>398</v>
      </c>
      <c r="E401" s="17">
        <f>Github!F$400+Github!G$400</f>
        <v>5141</v>
      </c>
      <c r="F401" s="18">
        <f t="shared" si="1"/>
        <v>11.92</v>
      </c>
      <c r="G401" s="17" t="str">
        <f>Github!H$400</f>
        <v>Algorithms</v>
      </c>
      <c r="H401" s="17" t="b">
        <f>Github!D$400</f>
        <v>0</v>
      </c>
      <c r="I401" s="17" t="str">
        <f>Github!E$400</f>
        <v>Medium</v>
      </c>
      <c r="J401" s="17" t="str">
        <f>ROUND(Github!N$400, 2)&amp;"%"</f>
        <v>0%</v>
      </c>
      <c r="K401" s="17">
        <f>Github!O$400</f>
        <v>56.80807418</v>
      </c>
      <c r="L401" s="17">
        <f>Github!P$400</f>
        <v>238990</v>
      </c>
    </row>
    <row r="402">
      <c r="A402" s="17">
        <f>Github!J$401</f>
        <v>400</v>
      </c>
      <c r="B402" s="34" t="str">
        <f>HYPERLINK(CONCAT("http://leetcode.com/problems/",Github!C$401), Github!B$401)</f>
        <v>Nth Digit</v>
      </c>
      <c r="C402" s="17">
        <f>Github!F$401</f>
        <v>638</v>
      </c>
      <c r="D402" s="17">
        <f>Github!G$401</f>
        <v>1463</v>
      </c>
      <c r="E402" s="17">
        <f>Github!F$401+Github!G$401</f>
        <v>2101</v>
      </c>
      <c r="F402" s="18">
        <f t="shared" si="1"/>
        <v>0.44</v>
      </c>
      <c r="G402" s="17" t="str">
        <f>Github!H$401</f>
        <v>Algorithms</v>
      </c>
      <c r="H402" s="17" t="b">
        <f>Github!D$401</f>
        <v>0</v>
      </c>
      <c r="I402" s="17" t="str">
        <f>Github!E$401</f>
        <v>Medium</v>
      </c>
      <c r="J402" s="17" t="str">
        <f>ROUND(Github!N$401, 2)&amp;"%"</f>
        <v>0%</v>
      </c>
      <c r="K402" s="17">
        <f>Github!O$401</f>
        <v>33.40574746</v>
      </c>
      <c r="L402" s="17">
        <f>Github!P$401</f>
        <v>74117</v>
      </c>
    </row>
    <row r="403">
      <c r="A403" s="17">
        <f>Github!J$402</f>
        <v>401</v>
      </c>
      <c r="B403" s="34" t="str">
        <f>HYPERLINK(CONCAT("http://leetcode.com/problems/",Github!C$402), Github!B$402)</f>
        <v>Binary Watch</v>
      </c>
      <c r="C403" s="17">
        <f>Github!F$402</f>
        <v>907</v>
      </c>
      <c r="D403" s="17">
        <f>Github!G$402</f>
        <v>1707</v>
      </c>
      <c r="E403" s="17">
        <f>Github!F$402+Github!G$402</f>
        <v>2614</v>
      </c>
      <c r="F403" s="18">
        <f t="shared" si="1"/>
        <v>0.53</v>
      </c>
      <c r="G403" s="17" t="str">
        <f>Github!H$402</f>
        <v>Algorithms</v>
      </c>
      <c r="H403" s="17" t="b">
        <f>Github!D$402</f>
        <v>0</v>
      </c>
      <c r="I403" s="17" t="str">
        <f>Github!E$402</f>
        <v>Easy</v>
      </c>
      <c r="J403" s="17" t="str">
        <f>ROUND(Github!N$402, 2)&amp;"%"</f>
        <v>0%</v>
      </c>
      <c r="K403" s="17">
        <f>Github!O$402</f>
        <v>50.2700228</v>
      </c>
      <c r="L403" s="17">
        <f>Github!P$402</f>
        <v>107606</v>
      </c>
    </row>
    <row r="404">
      <c r="A404" s="17">
        <f>Github!J$403</f>
        <v>402</v>
      </c>
      <c r="B404" s="34" t="str">
        <f>HYPERLINK(CONCAT("http://leetcode.com/problems/",Github!C$403), Github!B$403)</f>
        <v>Remove K Digits</v>
      </c>
      <c r="C404" s="17">
        <f>Github!F$403</f>
        <v>5830</v>
      </c>
      <c r="D404" s="17">
        <f>Github!G$403</f>
        <v>243</v>
      </c>
      <c r="E404" s="17">
        <f>Github!F$403+Github!G$403</f>
        <v>6073</v>
      </c>
      <c r="F404" s="18">
        <f t="shared" si="1"/>
        <v>23.99</v>
      </c>
      <c r="G404" s="17" t="str">
        <f>Github!H$403</f>
        <v>Algorithms</v>
      </c>
      <c r="H404" s="17" t="b">
        <f>Github!D$403</f>
        <v>0</v>
      </c>
      <c r="I404" s="17" t="str">
        <f>Github!E$403</f>
        <v>Medium</v>
      </c>
      <c r="J404" s="17" t="str">
        <f>ROUND(Github!N$403, 2)&amp;"%"</f>
        <v>0%</v>
      </c>
      <c r="K404" s="17">
        <f>Github!O$403</f>
        <v>30.472488</v>
      </c>
      <c r="L404" s="17">
        <f>Github!P$403</f>
        <v>253412</v>
      </c>
    </row>
    <row r="405">
      <c r="A405" s="17">
        <f>Github!J$404</f>
        <v>403</v>
      </c>
      <c r="B405" s="34" t="str">
        <f>HYPERLINK(CONCAT("http://leetcode.com/problems/",Github!C$404), Github!B$404)</f>
        <v>Frog Jump</v>
      </c>
      <c r="C405" s="17">
        <f>Github!F$404</f>
        <v>2333</v>
      </c>
      <c r="D405" s="17">
        <f>Github!G$404</f>
        <v>158</v>
      </c>
      <c r="E405" s="17">
        <f>Github!F$404+Github!G$404</f>
        <v>2491</v>
      </c>
      <c r="F405" s="18">
        <f t="shared" si="1"/>
        <v>14.77</v>
      </c>
      <c r="G405" s="17" t="str">
        <f>Github!H$404</f>
        <v>Algorithms</v>
      </c>
      <c r="H405" s="17" t="b">
        <f>Github!D$404</f>
        <v>0</v>
      </c>
      <c r="I405" s="17" t="str">
        <f>Github!E$404</f>
        <v>Hard</v>
      </c>
      <c r="J405" s="17" t="str">
        <f>ROUND(Github!N$404, 2)&amp;"%"</f>
        <v>0%</v>
      </c>
      <c r="K405" s="17">
        <f>Github!O$404</f>
        <v>42.81101713</v>
      </c>
      <c r="L405" s="17">
        <f>Github!P$404</f>
        <v>148502</v>
      </c>
    </row>
    <row r="406">
      <c r="A406" s="17">
        <f>Github!J$405</f>
        <v>404</v>
      </c>
      <c r="B406" s="34" t="str">
        <f>HYPERLINK(CONCAT("http://leetcode.com/problems/",Github!C$405), Github!B$405)</f>
        <v>Sum of Left Leaves</v>
      </c>
      <c r="C406" s="17">
        <f>Github!F$405</f>
        <v>3108</v>
      </c>
      <c r="D406" s="17">
        <f>Github!G$405</f>
        <v>240</v>
      </c>
      <c r="E406" s="17">
        <f>Github!F$405+Github!G$405</f>
        <v>3348</v>
      </c>
      <c r="F406" s="18">
        <f t="shared" si="1"/>
        <v>12.95</v>
      </c>
      <c r="G406" s="17" t="str">
        <f>Github!H$405</f>
        <v>Algorithms</v>
      </c>
      <c r="H406" s="17" t="b">
        <f>Github!D$405</f>
        <v>0</v>
      </c>
      <c r="I406" s="17" t="str">
        <f>Github!E$405</f>
        <v>Easy</v>
      </c>
      <c r="J406" s="17" t="str">
        <f>ROUND(Github!N$405, 2)&amp;"%"</f>
        <v>0%</v>
      </c>
      <c r="K406" s="17">
        <f>Github!O$405</f>
        <v>54.73402001</v>
      </c>
      <c r="L406" s="17">
        <f>Github!P$405</f>
        <v>331957</v>
      </c>
    </row>
    <row r="407">
      <c r="A407" s="17">
        <f>Github!J$406</f>
        <v>405</v>
      </c>
      <c r="B407" s="34" t="str">
        <f>HYPERLINK(CONCAT("http://leetcode.com/problems/",Github!C$406), Github!B$406)</f>
        <v>Convert a Number to Hexadecimal</v>
      </c>
      <c r="C407" s="17">
        <f>Github!F$406</f>
        <v>836</v>
      </c>
      <c r="D407" s="17">
        <f>Github!G$406</f>
        <v>164</v>
      </c>
      <c r="E407" s="17">
        <f>Github!F$406+Github!G$406</f>
        <v>1000</v>
      </c>
      <c r="F407" s="18">
        <f t="shared" si="1"/>
        <v>5.1</v>
      </c>
      <c r="G407" s="17" t="str">
        <f>Github!H$406</f>
        <v>Algorithms</v>
      </c>
      <c r="H407" s="17" t="b">
        <f>Github!D$406</f>
        <v>0</v>
      </c>
      <c r="I407" s="17" t="str">
        <f>Github!E$406</f>
        <v>Easy</v>
      </c>
      <c r="J407" s="17" t="str">
        <f>ROUND(Github!N$406, 2)&amp;"%"</f>
        <v>0%</v>
      </c>
      <c r="K407" s="17">
        <f>Github!O$406</f>
        <v>45.65478746</v>
      </c>
      <c r="L407" s="17">
        <f>Github!P$406</f>
        <v>95695</v>
      </c>
    </row>
    <row r="408">
      <c r="A408" s="17">
        <f>Github!J$407</f>
        <v>406</v>
      </c>
      <c r="B408" s="34" t="str">
        <f>HYPERLINK(CONCAT("http://leetcode.com/problems/",Github!C$407), Github!B$407)</f>
        <v>Queue Reconstruction by Height</v>
      </c>
      <c r="C408" s="17">
        <f>Github!F$407</f>
        <v>4726</v>
      </c>
      <c r="D408" s="17">
        <f>Github!G$407</f>
        <v>508</v>
      </c>
      <c r="E408" s="17">
        <f>Github!F$407+Github!G$407</f>
        <v>5234</v>
      </c>
      <c r="F408" s="18">
        <f t="shared" si="1"/>
        <v>9.3</v>
      </c>
      <c r="G408" s="17" t="str">
        <f>Github!H$407</f>
        <v>Algorithms</v>
      </c>
      <c r="H408" s="17" t="b">
        <f>Github!D$407</f>
        <v>0</v>
      </c>
      <c r="I408" s="17" t="str">
        <f>Github!E$407</f>
        <v>Medium</v>
      </c>
      <c r="J408" s="17" t="str">
        <f>ROUND(Github!N$407, 2)&amp;"%"</f>
        <v>0%</v>
      </c>
      <c r="K408" s="17">
        <f>Github!O$407</f>
        <v>69.93157161</v>
      </c>
      <c r="L408" s="17">
        <f>Github!P$407</f>
        <v>218189</v>
      </c>
    </row>
    <row r="409">
      <c r="A409" s="17">
        <f>Github!J$408</f>
        <v>407</v>
      </c>
      <c r="B409" s="34" t="str">
        <f>HYPERLINK(CONCAT("http://leetcode.com/problems/",Github!C$408), Github!B$408)</f>
        <v>Trapping Rain Water II</v>
      </c>
      <c r="C409" s="17">
        <f>Github!F$408</f>
        <v>2576</v>
      </c>
      <c r="D409" s="17">
        <f>Github!G$408</f>
        <v>57</v>
      </c>
      <c r="E409" s="17">
        <f>Github!F$408+Github!G$408</f>
        <v>2633</v>
      </c>
      <c r="F409" s="18">
        <f t="shared" si="1"/>
        <v>45.19</v>
      </c>
      <c r="G409" s="17" t="str">
        <f>Github!H$408</f>
        <v>Algorithms</v>
      </c>
      <c r="H409" s="17" t="b">
        <f>Github!D$408</f>
        <v>0</v>
      </c>
      <c r="I409" s="17" t="str">
        <f>Github!E$408</f>
        <v>Hard</v>
      </c>
      <c r="J409" s="17" t="str">
        <f>ROUND(Github!N$408, 2)&amp;"%"</f>
        <v>0%</v>
      </c>
      <c r="K409" s="17">
        <f>Github!O$408</f>
        <v>46.74594078</v>
      </c>
      <c r="L409" s="17">
        <f>Github!P$408</f>
        <v>66476</v>
      </c>
    </row>
    <row r="410">
      <c r="A410" s="17">
        <f>Github!J$409</f>
        <v>408</v>
      </c>
      <c r="B410" s="34" t="str">
        <f>HYPERLINK(CONCAT("http://leetcode.com/problems/",Github!C$409), Github!B$409)</f>
        <v>Valid Word Abbreviation</v>
      </c>
      <c r="C410" s="17">
        <f>Github!F$409</f>
        <v>404</v>
      </c>
      <c r="D410" s="17">
        <f>Github!G$409</f>
        <v>1474</v>
      </c>
      <c r="E410" s="17">
        <f>Github!F$409+Github!G$409</f>
        <v>1878</v>
      </c>
      <c r="F410" s="18">
        <f t="shared" si="1"/>
        <v>0.27</v>
      </c>
      <c r="G410" s="17" t="str">
        <f>Github!H$409</f>
        <v>Algorithms</v>
      </c>
      <c r="H410" s="17" t="b">
        <f>Github!D$409</f>
        <v>1</v>
      </c>
      <c r="I410" s="17" t="str">
        <f>Github!E$409</f>
        <v>Easy</v>
      </c>
      <c r="J410" s="17" t="str">
        <f>ROUND(Github!N$409, 2)&amp;"%"</f>
        <v>0%</v>
      </c>
      <c r="K410" s="17">
        <f>Github!O$409</f>
        <v>34.33235447</v>
      </c>
      <c r="L410" s="17">
        <f>Github!P$409</f>
        <v>83474</v>
      </c>
    </row>
    <row r="411">
      <c r="A411" s="17">
        <f>Github!J$410</f>
        <v>409</v>
      </c>
      <c r="B411" s="34" t="str">
        <f>HYPERLINK(CONCAT("http://leetcode.com/problems/",Github!C$410), Github!B$410)</f>
        <v>Longest Palindrome</v>
      </c>
      <c r="C411" s="17">
        <f>Github!F$410</f>
        <v>2479</v>
      </c>
      <c r="D411" s="17">
        <f>Github!G$410</f>
        <v>146</v>
      </c>
      <c r="E411" s="17">
        <f>Github!F$410+Github!G$410</f>
        <v>2625</v>
      </c>
      <c r="F411" s="18">
        <f t="shared" si="1"/>
        <v>16.98</v>
      </c>
      <c r="G411" s="17" t="str">
        <f>Github!H$410</f>
        <v>Algorithms</v>
      </c>
      <c r="H411" s="17" t="b">
        <f>Github!D$410</f>
        <v>0</v>
      </c>
      <c r="I411" s="17" t="str">
        <f>Github!E$410</f>
        <v>Easy</v>
      </c>
      <c r="J411" s="17" t="str">
        <f>ROUND(Github!N$410, 2)&amp;"%"</f>
        <v>0%</v>
      </c>
      <c r="K411" s="17">
        <f>Github!O$410</f>
        <v>53.36185768</v>
      </c>
      <c r="L411" s="17">
        <f>Github!P$410</f>
        <v>257789</v>
      </c>
    </row>
    <row r="412">
      <c r="A412" s="17">
        <f>Github!J$411</f>
        <v>410</v>
      </c>
      <c r="B412" s="34" t="str">
        <f>HYPERLINK(CONCAT("http://leetcode.com/problems/",Github!C$411), Github!B$411)</f>
        <v>Split Array Largest Sum</v>
      </c>
      <c r="C412" s="17">
        <f>Github!F$411</f>
        <v>4474</v>
      </c>
      <c r="D412" s="17">
        <f>Github!G$411</f>
        <v>128</v>
      </c>
      <c r="E412" s="17">
        <f>Github!F$411+Github!G$411</f>
        <v>4602</v>
      </c>
      <c r="F412" s="18">
        <f t="shared" si="1"/>
        <v>34.95</v>
      </c>
      <c r="G412" s="17" t="str">
        <f>Github!H$411</f>
        <v>Algorithms</v>
      </c>
      <c r="H412" s="17" t="b">
        <f>Github!D$411</f>
        <v>0</v>
      </c>
      <c r="I412" s="17" t="str">
        <f>Github!E$411</f>
        <v>Hard</v>
      </c>
      <c r="J412" s="17" t="str">
        <f>ROUND(Github!N$411, 2)&amp;"%"</f>
        <v>0%</v>
      </c>
      <c r="K412" s="17">
        <f>Github!O$411</f>
        <v>49.97761303</v>
      </c>
      <c r="L412" s="17">
        <f>Github!P$411</f>
        <v>171893</v>
      </c>
    </row>
    <row r="413">
      <c r="A413" s="17">
        <f>Github!J$412</f>
        <v>411</v>
      </c>
      <c r="B413" s="34" t="str">
        <f>HYPERLINK(CONCAT("http://leetcode.com/problems/",Github!C$412), Github!B$412)</f>
        <v>Minimum Unique Word Abbreviation</v>
      </c>
      <c r="C413" s="17">
        <f>Github!F$412</f>
        <v>163</v>
      </c>
      <c r="D413" s="17">
        <f>Github!G$412</f>
        <v>135</v>
      </c>
      <c r="E413" s="17">
        <f>Github!F$412+Github!G$412</f>
        <v>298</v>
      </c>
      <c r="F413" s="18">
        <f t="shared" si="1"/>
        <v>1.21</v>
      </c>
      <c r="G413" s="17" t="str">
        <f>Github!H$412</f>
        <v>Algorithms</v>
      </c>
      <c r="H413" s="17" t="b">
        <f>Github!D$412</f>
        <v>1</v>
      </c>
      <c r="I413" s="17" t="str">
        <f>Github!E$412</f>
        <v>Hard</v>
      </c>
      <c r="J413" s="17" t="str">
        <f>ROUND(Github!N$412, 2)&amp;"%"</f>
        <v>0%</v>
      </c>
      <c r="K413" s="17">
        <f>Github!O$412</f>
        <v>38.35967287</v>
      </c>
      <c r="L413" s="17">
        <f>Github!P$412</f>
        <v>13180</v>
      </c>
    </row>
    <row r="414">
      <c r="A414" s="17">
        <f>Github!J$413</f>
        <v>412</v>
      </c>
      <c r="B414" s="34" t="str">
        <f>HYPERLINK(CONCAT("http://leetcode.com/problems/",Github!C$413), Github!B$413)</f>
        <v>Fizz Buzz</v>
      </c>
      <c r="C414" s="17">
        <f>Github!F$413</f>
        <v>253</v>
      </c>
      <c r="D414" s="17">
        <f>Github!G$413</f>
        <v>44</v>
      </c>
      <c r="E414" s="17">
        <f>Github!F$413+Github!G$413</f>
        <v>297</v>
      </c>
      <c r="F414" s="18">
        <f t="shared" si="1"/>
        <v>5.75</v>
      </c>
      <c r="G414" s="17" t="str">
        <f>Github!H$413</f>
        <v>Algorithms</v>
      </c>
      <c r="H414" s="17" t="b">
        <f>Github!D$413</f>
        <v>0</v>
      </c>
      <c r="I414" s="17" t="str">
        <f>Github!E$413</f>
        <v>Easy</v>
      </c>
      <c r="J414" s="17" t="str">
        <f>ROUND(Github!N$413, 2)&amp;"%"</f>
        <v>0%</v>
      </c>
      <c r="K414" s="17">
        <f>Github!O$413</f>
        <v>66.23258266</v>
      </c>
      <c r="L414" s="17">
        <f>Github!P$413</f>
        <v>587929</v>
      </c>
    </row>
    <row r="415">
      <c r="A415" s="17">
        <f>Github!J$414</f>
        <v>413</v>
      </c>
      <c r="B415" s="34" t="str">
        <f>HYPERLINK(CONCAT("http://leetcode.com/problems/",Github!C$414), Github!B$414)</f>
        <v>Arithmetic Slices</v>
      </c>
      <c r="C415" s="17">
        <f>Github!F$414</f>
        <v>3743</v>
      </c>
      <c r="D415" s="17">
        <f>Github!G$414</f>
        <v>247</v>
      </c>
      <c r="E415" s="17">
        <f>Github!F$414+Github!G$414</f>
        <v>3990</v>
      </c>
      <c r="F415" s="18">
        <f t="shared" si="1"/>
        <v>15.15</v>
      </c>
      <c r="G415" s="17" t="str">
        <f>Github!H$414</f>
        <v>Algorithms</v>
      </c>
      <c r="H415" s="17" t="b">
        <f>Github!D$414</f>
        <v>0</v>
      </c>
      <c r="I415" s="17" t="str">
        <f>Github!E$414</f>
        <v>Medium</v>
      </c>
      <c r="J415" s="17" t="str">
        <f>ROUND(Github!N$414, 2)&amp;"%"</f>
        <v>0%</v>
      </c>
      <c r="K415" s="17">
        <f>Github!O$414</f>
        <v>64.23000978</v>
      </c>
      <c r="L415" s="17">
        <f>Github!P$414</f>
        <v>219243</v>
      </c>
    </row>
    <row r="416">
      <c r="A416" s="17">
        <f>Github!J$415</f>
        <v>414</v>
      </c>
      <c r="B416" s="34" t="str">
        <f>HYPERLINK(CONCAT("http://leetcode.com/problems/",Github!C$415), Github!B$415)</f>
        <v>Third Maximum Number</v>
      </c>
      <c r="C416" s="17">
        <f>Github!F$415</f>
        <v>1563</v>
      </c>
      <c r="D416" s="17">
        <f>Github!G$415</f>
        <v>2232</v>
      </c>
      <c r="E416" s="17">
        <f>Github!F$415+Github!G$415</f>
        <v>3795</v>
      </c>
      <c r="F416" s="18">
        <f t="shared" si="1"/>
        <v>0.7</v>
      </c>
      <c r="G416" s="17" t="str">
        <f>Github!H$415</f>
        <v>Algorithms</v>
      </c>
      <c r="H416" s="17" t="b">
        <f>Github!D$415</f>
        <v>0</v>
      </c>
      <c r="I416" s="17" t="str">
        <f>Github!E$415</f>
        <v>Easy</v>
      </c>
      <c r="J416" s="17" t="str">
        <f>ROUND(Github!N$415, 2)&amp;"%"</f>
        <v>0%</v>
      </c>
      <c r="K416" s="17">
        <f>Github!O$415</f>
        <v>31.63858489</v>
      </c>
      <c r="L416" s="17">
        <f>Github!P$415</f>
        <v>309677</v>
      </c>
    </row>
    <row r="417">
      <c r="A417" s="17">
        <f>Github!J$416</f>
        <v>415</v>
      </c>
      <c r="B417" s="34" t="str">
        <f>HYPERLINK(CONCAT("http://leetcode.com/problems/",Github!C$416), Github!B$416)</f>
        <v>Add Strings</v>
      </c>
      <c r="C417" s="17">
        <f>Github!F$416</f>
        <v>3015</v>
      </c>
      <c r="D417" s="17">
        <f>Github!G$416</f>
        <v>532</v>
      </c>
      <c r="E417" s="17">
        <f>Github!F$416+Github!G$416</f>
        <v>3547</v>
      </c>
      <c r="F417" s="18">
        <f t="shared" si="1"/>
        <v>5.67</v>
      </c>
      <c r="G417" s="17" t="str">
        <f>Github!H$416</f>
        <v>Algorithms</v>
      </c>
      <c r="H417" s="17" t="b">
        <f>Github!D$416</f>
        <v>0</v>
      </c>
      <c r="I417" s="17" t="str">
        <f>Github!E$416</f>
        <v>Easy</v>
      </c>
      <c r="J417" s="17" t="str">
        <f>ROUND(Github!N$416, 2)&amp;"%"</f>
        <v>0%</v>
      </c>
      <c r="K417" s="17">
        <f>Github!O$416</f>
        <v>51.85711443</v>
      </c>
      <c r="L417" s="17">
        <f>Github!P$416</f>
        <v>448161</v>
      </c>
    </row>
    <row r="418">
      <c r="A418" s="17">
        <f>Github!J$417</f>
        <v>416</v>
      </c>
      <c r="B418" s="34" t="str">
        <f>HYPERLINK(CONCAT("http://leetcode.com/problems/",Github!C$417), Github!B$417)</f>
        <v>Partition Equal Subset Sum</v>
      </c>
      <c r="C418" s="17">
        <f>Github!F$417</f>
        <v>7025</v>
      </c>
      <c r="D418" s="17">
        <f>Github!G$417</f>
        <v>112</v>
      </c>
      <c r="E418" s="17">
        <f>Github!F$417+Github!G$417</f>
        <v>7137</v>
      </c>
      <c r="F418" s="18">
        <f t="shared" si="1"/>
        <v>62.72</v>
      </c>
      <c r="G418" s="17" t="str">
        <f>Github!H$417</f>
        <v>Algorithms</v>
      </c>
      <c r="H418" s="17" t="b">
        <f>Github!D$417</f>
        <v>0</v>
      </c>
      <c r="I418" s="17" t="str">
        <f>Github!E$417</f>
        <v>Medium</v>
      </c>
      <c r="J418" s="17" t="str">
        <f>ROUND(Github!N$417, 2)&amp;"%"</f>
        <v>1%</v>
      </c>
      <c r="K418" s="17">
        <f>Github!O$417</f>
        <v>46.30316702</v>
      </c>
      <c r="L418" s="17">
        <f>Github!P$417</f>
        <v>414211</v>
      </c>
    </row>
    <row r="419">
      <c r="A419" s="17">
        <f>Github!J$418</f>
        <v>417</v>
      </c>
      <c r="B419" s="34" t="str">
        <f>HYPERLINK(CONCAT("http://leetcode.com/problems/",Github!C$418), Github!B$418)</f>
        <v>Pacific Atlantic Water Flow</v>
      </c>
      <c r="C419" s="17">
        <f>Github!F$418</f>
        <v>3287</v>
      </c>
      <c r="D419" s="17">
        <f>Github!G$418</f>
        <v>758</v>
      </c>
      <c r="E419" s="17">
        <f>Github!F$418+Github!G$418</f>
        <v>4045</v>
      </c>
      <c r="F419" s="18">
        <f t="shared" si="1"/>
        <v>4.34</v>
      </c>
      <c r="G419" s="17" t="str">
        <f>Github!H$418</f>
        <v>Algorithms</v>
      </c>
      <c r="H419" s="17" t="b">
        <f>Github!D$418</f>
        <v>0</v>
      </c>
      <c r="I419" s="17" t="str">
        <f>Github!E$418</f>
        <v>Medium</v>
      </c>
      <c r="J419" s="17" t="str">
        <f>ROUND(Github!N$418, 2)&amp;"%"</f>
        <v>0%</v>
      </c>
      <c r="K419" s="17">
        <f>Github!O$418</f>
        <v>48.30149159</v>
      </c>
      <c r="L419" s="17">
        <f>Github!P$418</f>
        <v>180785</v>
      </c>
    </row>
    <row r="420">
      <c r="A420" s="17">
        <f>Github!J$419</f>
        <v>418</v>
      </c>
      <c r="B420" s="34" t="str">
        <f>HYPERLINK(CONCAT("http://leetcode.com/problems/",Github!C$419), Github!B$419)</f>
        <v>Sentence Screen Fitting</v>
      </c>
      <c r="C420" s="17">
        <f>Github!F$419</f>
        <v>850</v>
      </c>
      <c r="D420" s="17">
        <f>Github!G$419</f>
        <v>425</v>
      </c>
      <c r="E420" s="17">
        <f>Github!F$419+Github!G$419</f>
        <v>1275</v>
      </c>
      <c r="F420" s="18">
        <f t="shared" si="1"/>
        <v>2</v>
      </c>
      <c r="G420" s="17" t="str">
        <f>Github!H$419</f>
        <v>Algorithms</v>
      </c>
      <c r="H420" s="17" t="b">
        <f>Github!D$419</f>
        <v>1</v>
      </c>
      <c r="I420" s="17" t="str">
        <f>Github!E$419</f>
        <v>Medium</v>
      </c>
      <c r="J420" s="17" t="str">
        <f>ROUND(Github!N$419, 2)&amp;"%"</f>
        <v>0%</v>
      </c>
      <c r="K420" s="17">
        <f>Github!O$419</f>
        <v>35.29050401</v>
      </c>
      <c r="L420" s="17">
        <f>Github!P$419</f>
        <v>77553</v>
      </c>
    </row>
    <row r="421">
      <c r="A421" s="17">
        <f>Github!J$420</f>
        <v>419</v>
      </c>
      <c r="B421" s="34" t="str">
        <f>HYPERLINK(CONCAT("http://leetcode.com/problems/",Github!C$420), Github!B$420)</f>
        <v>Battleships in a Board</v>
      </c>
      <c r="C421" s="17">
        <f>Github!F$420</f>
        <v>1399</v>
      </c>
      <c r="D421" s="17">
        <f>Github!G$420</f>
        <v>714</v>
      </c>
      <c r="E421" s="17">
        <f>Github!F$420+Github!G$420</f>
        <v>2113</v>
      </c>
      <c r="F421" s="18">
        <f t="shared" si="1"/>
        <v>1.96</v>
      </c>
      <c r="G421" s="17" t="str">
        <f>Github!H$420</f>
        <v>Algorithms</v>
      </c>
      <c r="H421" s="17" t="b">
        <f>Github!D$420</f>
        <v>0</v>
      </c>
      <c r="I421" s="17" t="str">
        <f>Github!E$420</f>
        <v>Medium</v>
      </c>
      <c r="J421" s="17" t="str">
        <f>ROUND(Github!N$420, 2)&amp;"%"</f>
        <v>0%</v>
      </c>
      <c r="K421" s="17">
        <f>Github!O$420</f>
        <v>73.16349259</v>
      </c>
      <c r="L421" s="17">
        <f>Github!P$420</f>
        <v>140261</v>
      </c>
    </row>
    <row r="422">
      <c r="A422" s="17">
        <f>Github!J$421</f>
        <v>420</v>
      </c>
      <c r="B422" s="34" t="str">
        <f>HYPERLINK(CONCAT("http://leetcode.com/problems/",Github!C$421), Github!B$421)</f>
        <v>Strong Password Checker</v>
      </c>
      <c r="C422" s="17">
        <f>Github!F$421</f>
        <v>453</v>
      </c>
      <c r="D422" s="17">
        <f>Github!G$421</f>
        <v>1224</v>
      </c>
      <c r="E422" s="17">
        <f>Github!F$421+Github!G$421</f>
        <v>1677</v>
      </c>
      <c r="F422" s="18">
        <f t="shared" si="1"/>
        <v>0.37</v>
      </c>
      <c r="G422" s="17" t="str">
        <f>Github!H$421</f>
        <v>Algorithms</v>
      </c>
      <c r="H422" s="17" t="b">
        <f>Github!D$421</f>
        <v>0</v>
      </c>
      <c r="I422" s="17" t="str">
        <f>Github!E$421</f>
        <v>Hard</v>
      </c>
      <c r="J422" s="17" t="str">
        <f>ROUND(Github!N$421, 2)&amp;"%"</f>
        <v>0%</v>
      </c>
      <c r="K422" s="17">
        <f>Github!O$421</f>
        <v>14.09807144</v>
      </c>
      <c r="L422" s="17">
        <f>Github!P$421</f>
        <v>23334</v>
      </c>
    </row>
    <row r="423">
      <c r="A423" s="17">
        <f>Github!J$422</f>
        <v>421</v>
      </c>
      <c r="B423" s="34" t="str">
        <f>HYPERLINK(CONCAT("http://leetcode.com/problems/",Github!C$422), Github!B$422)</f>
        <v>Maximum XOR of Two Numbers in an Array</v>
      </c>
      <c r="C423" s="17">
        <f>Github!F$422</f>
        <v>3759</v>
      </c>
      <c r="D423" s="17">
        <f>Github!G$422</f>
        <v>319</v>
      </c>
      <c r="E423" s="17">
        <f>Github!F$422+Github!G$422</f>
        <v>4078</v>
      </c>
      <c r="F423" s="18">
        <f t="shared" si="1"/>
        <v>11.78</v>
      </c>
      <c r="G423" s="17" t="str">
        <f>Github!H$422</f>
        <v>Algorithms</v>
      </c>
      <c r="H423" s="17" t="b">
        <f>Github!D$422</f>
        <v>0</v>
      </c>
      <c r="I423" s="17" t="str">
        <f>Github!E$422</f>
        <v>Medium</v>
      </c>
      <c r="J423" s="17" t="str">
        <f>ROUND(Github!N$422, 2)&amp;"%"</f>
        <v>0%</v>
      </c>
      <c r="K423" s="17">
        <f>Github!O$422</f>
        <v>54.22907449</v>
      </c>
      <c r="L423" s="17">
        <f>Github!P$422</f>
        <v>119625</v>
      </c>
    </row>
    <row r="424">
      <c r="A424" s="17">
        <f>Github!J$423</f>
        <v>422</v>
      </c>
      <c r="B424" s="34" t="str">
        <f>HYPERLINK(CONCAT("http://leetcode.com/problems/",Github!C$423), Github!B$423)</f>
        <v>Valid Word Square</v>
      </c>
      <c r="C424" s="17">
        <f>Github!F$423</f>
        <v>274</v>
      </c>
      <c r="D424" s="17">
        <f>Github!G$423</f>
        <v>169</v>
      </c>
      <c r="E424" s="17">
        <f>Github!F$423+Github!G$423</f>
        <v>443</v>
      </c>
      <c r="F424" s="18">
        <f t="shared" si="1"/>
        <v>1.62</v>
      </c>
      <c r="G424" s="17" t="str">
        <f>Github!H$423</f>
        <v>Algorithms</v>
      </c>
      <c r="H424" s="17" t="b">
        <f>Github!D$423</f>
        <v>1</v>
      </c>
      <c r="I424" s="17" t="str">
        <f>Github!E$423</f>
        <v>Easy</v>
      </c>
      <c r="J424" s="17" t="str">
        <f>ROUND(Github!N$423, 2)&amp;"%"</f>
        <v>0%</v>
      </c>
      <c r="K424" s="17">
        <f>Github!O$423</f>
        <v>38.58588242</v>
      </c>
      <c r="L424" s="17">
        <f>Github!P$423</f>
        <v>39243</v>
      </c>
    </row>
    <row r="425">
      <c r="A425" s="17">
        <f>Github!J$424</f>
        <v>423</v>
      </c>
      <c r="B425" s="34" t="str">
        <f>HYPERLINK(CONCAT("http://leetcode.com/problems/",Github!C$424), Github!B$424)</f>
        <v>Reconstruct Original Digits from English</v>
      </c>
      <c r="C425" s="17">
        <f>Github!F$424</f>
        <v>582</v>
      </c>
      <c r="D425" s="17">
        <f>Github!G$424</f>
        <v>1881</v>
      </c>
      <c r="E425" s="17">
        <f>Github!F$424+Github!G$424</f>
        <v>2463</v>
      </c>
      <c r="F425" s="18">
        <f t="shared" si="1"/>
        <v>0.31</v>
      </c>
      <c r="G425" s="17" t="str">
        <f>Github!H$424</f>
        <v>Algorithms</v>
      </c>
      <c r="H425" s="17" t="b">
        <f>Github!D$424</f>
        <v>0</v>
      </c>
      <c r="I425" s="17" t="str">
        <f>Github!E$424</f>
        <v>Medium</v>
      </c>
      <c r="J425" s="17" t="str">
        <f>ROUND(Github!N$424, 2)&amp;"%"</f>
        <v>0%</v>
      </c>
      <c r="K425" s="17">
        <f>Github!O$424</f>
        <v>51.22393472</v>
      </c>
      <c r="L425" s="17">
        <f>Github!P$424</f>
        <v>59324</v>
      </c>
    </row>
    <row r="426">
      <c r="A426" s="17">
        <f>Github!J$425</f>
        <v>424</v>
      </c>
      <c r="B426" s="34" t="str">
        <f>HYPERLINK(CONCAT("http://leetcode.com/problems/",Github!C$425), Github!B$425)</f>
        <v>Longest Repeating Character Replacement</v>
      </c>
      <c r="C426" s="17">
        <f>Github!F$425</f>
        <v>3982</v>
      </c>
      <c r="D426" s="17">
        <f>Github!G$425</f>
        <v>156</v>
      </c>
      <c r="E426" s="17">
        <f>Github!F$425+Github!G$425</f>
        <v>4138</v>
      </c>
      <c r="F426" s="18">
        <f t="shared" si="1"/>
        <v>25.53</v>
      </c>
      <c r="G426" s="17" t="str">
        <f>Github!H$425</f>
        <v>Algorithms</v>
      </c>
      <c r="H426" s="17" t="b">
        <f>Github!D$425</f>
        <v>0</v>
      </c>
      <c r="I426" s="17" t="str">
        <f>Github!E$425</f>
        <v>Medium</v>
      </c>
      <c r="J426" s="17" t="str">
        <f>ROUND(Github!N$425, 2)&amp;"%"</f>
        <v>0%</v>
      </c>
      <c r="K426" s="17">
        <f>Github!O$425</f>
        <v>50.59112532</v>
      </c>
      <c r="L426" s="17">
        <f>Github!P$425</f>
        <v>191318</v>
      </c>
    </row>
    <row r="427">
      <c r="A427" s="17">
        <f>Github!J$426</f>
        <v>425</v>
      </c>
      <c r="B427" s="34" t="str">
        <f>HYPERLINK(CONCAT("http://leetcode.com/problems/",Github!C$426), Github!B$426)</f>
        <v>Word Squares</v>
      </c>
      <c r="C427" s="17">
        <f>Github!F$426</f>
        <v>909</v>
      </c>
      <c r="D427" s="17">
        <f>Github!G$426</f>
        <v>58</v>
      </c>
      <c r="E427" s="17">
        <f>Github!F$426+Github!G$426</f>
        <v>967</v>
      </c>
      <c r="F427" s="18">
        <f t="shared" si="1"/>
        <v>15.67</v>
      </c>
      <c r="G427" s="17" t="str">
        <f>Github!H$426</f>
        <v>Algorithms</v>
      </c>
      <c r="H427" s="17" t="b">
        <f>Github!D$426</f>
        <v>1</v>
      </c>
      <c r="I427" s="17" t="str">
        <f>Github!E$426</f>
        <v>Hard</v>
      </c>
      <c r="J427" s="17" t="str">
        <f>ROUND(Github!N$426, 2)&amp;"%"</f>
        <v>0%</v>
      </c>
      <c r="K427" s="17">
        <f>Github!O$426</f>
        <v>52.06989896</v>
      </c>
      <c r="L427" s="17">
        <f>Github!P$426</f>
        <v>60399</v>
      </c>
    </row>
    <row r="428">
      <c r="A428" s="17">
        <f>Github!J$427</f>
        <v>426</v>
      </c>
      <c r="B428" s="34" t="str">
        <f>HYPERLINK(CONCAT("http://leetcode.com/problems/",Github!C$427), Github!B$427)</f>
        <v>Convert Binary Search Tree to Sorted Doubly Linked List</v>
      </c>
      <c r="C428" s="17">
        <f>Github!F$427</f>
        <v>2071</v>
      </c>
      <c r="D428" s="17">
        <f>Github!G$427</f>
        <v>168</v>
      </c>
      <c r="E428" s="17">
        <f>Github!F$427+Github!G$427</f>
        <v>2239</v>
      </c>
      <c r="F428" s="18">
        <f t="shared" si="1"/>
        <v>12.33</v>
      </c>
      <c r="G428" s="17" t="str">
        <f>Github!H$427</f>
        <v>Algorithms</v>
      </c>
      <c r="H428" s="17" t="b">
        <f>Github!D$427</f>
        <v>1</v>
      </c>
      <c r="I428" s="17" t="str">
        <f>Github!E$427</f>
        <v>Medium</v>
      </c>
      <c r="J428" s="17" t="str">
        <f>ROUND(Github!N$427, 2)&amp;"%"</f>
        <v>0%</v>
      </c>
      <c r="K428" s="17">
        <f>Github!O$427</f>
        <v>64.17028835</v>
      </c>
      <c r="L428" s="17">
        <f>Github!P$427</f>
        <v>196523</v>
      </c>
    </row>
    <row r="429">
      <c r="A429" s="17">
        <f>Github!J$428</f>
        <v>427</v>
      </c>
      <c r="B429" s="34" t="str">
        <f>HYPERLINK(CONCAT("http://leetcode.com/problems/",Github!C$428), Github!B$428)</f>
        <v>Construct Quad Tree</v>
      </c>
      <c r="C429" s="17">
        <f>Github!F$428</f>
        <v>459</v>
      </c>
      <c r="D429" s="17">
        <f>Github!G$428</f>
        <v>644</v>
      </c>
      <c r="E429" s="17">
        <f>Github!F$428+Github!G$428</f>
        <v>1103</v>
      </c>
      <c r="F429" s="18">
        <f t="shared" si="1"/>
        <v>0.71</v>
      </c>
      <c r="G429" s="17" t="str">
        <f>Github!H$428</f>
        <v>Algorithms</v>
      </c>
      <c r="H429" s="17" t="b">
        <f>Github!D$428</f>
        <v>0</v>
      </c>
      <c r="I429" s="17" t="str">
        <f>Github!E$428</f>
        <v>Medium</v>
      </c>
      <c r="J429" s="17" t="str">
        <f>ROUND(Github!N$428, 2)&amp;"%"</f>
        <v>0%</v>
      </c>
      <c r="K429" s="17">
        <f>Github!O$428</f>
        <v>64.94729723</v>
      </c>
      <c r="L429" s="17">
        <f>Github!P$428</f>
        <v>39373</v>
      </c>
    </row>
    <row r="430">
      <c r="A430" s="17">
        <f>Github!J$429</f>
        <v>428</v>
      </c>
      <c r="B430" s="34" t="str">
        <f>HYPERLINK(CONCAT("http://leetcode.com/problems/",Github!C$429), Github!B$429)</f>
        <v>Serialize and Deserialize N-ary Tree</v>
      </c>
      <c r="C430" s="17">
        <f>Github!F$429</f>
        <v>801</v>
      </c>
      <c r="D430" s="17">
        <f>Github!G$429</f>
        <v>48</v>
      </c>
      <c r="E430" s="17">
        <f>Github!F$429+Github!G$429</f>
        <v>849</v>
      </c>
      <c r="F430" s="18">
        <f t="shared" si="1"/>
        <v>16.69</v>
      </c>
      <c r="G430" s="17" t="str">
        <f>Github!H$429</f>
        <v>Algorithms</v>
      </c>
      <c r="H430" s="17" t="b">
        <f>Github!D$429</f>
        <v>1</v>
      </c>
      <c r="I430" s="17" t="str">
        <f>Github!E$429</f>
        <v>Hard</v>
      </c>
      <c r="J430" s="17" t="str">
        <f>ROUND(Github!N$429, 2)&amp;"%"</f>
        <v>0%</v>
      </c>
      <c r="K430" s="17">
        <f>Github!O$429</f>
        <v>64.05994104</v>
      </c>
      <c r="L430" s="17">
        <f>Github!P$429</f>
        <v>62583</v>
      </c>
    </row>
    <row r="431">
      <c r="A431" s="17">
        <f>Github!J$430</f>
        <v>429</v>
      </c>
      <c r="B431" s="34" t="str">
        <f>HYPERLINK(CONCAT("http://leetcode.com/problems/",Github!C$430), Github!B$430)</f>
        <v>N-ary Tree Level Order Traversal</v>
      </c>
      <c r="C431" s="17">
        <f>Github!F$430</f>
        <v>1702</v>
      </c>
      <c r="D431" s="17">
        <f>Github!G$430</f>
        <v>82</v>
      </c>
      <c r="E431" s="17">
        <f>Github!F$430+Github!G$430</f>
        <v>1784</v>
      </c>
      <c r="F431" s="18">
        <f t="shared" si="1"/>
        <v>20.76</v>
      </c>
      <c r="G431" s="17" t="str">
        <f>Github!H$430</f>
        <v>Algorithms</v>
      </c>
      <c r="H431" s="17" t="b">
        <f>Github!D$430</f>
        <v>0</v>
      </c>
      <c r="I431" s="17" t="str">
        <f>Github!E$430</f>
        <v>Medium</v>
      </c>
      <c r="J431" s="17" t="str">
        <f>ROUND(Github!N$430, 2)&amp;"%"</f>
        <v>0%</v>
      </c>
      <c r="K431" s="17">
        <f>Github!O$430</f>
        <v>68.67024228</v>
      </c>
      <c r="L431" s="17">
        <f>Github!P$430</f>
        <v>167085</v>
      </c>
    </row>
    <row r="432">
      <c r="A432" s="17">
        <f>Github!J$431</f>
        <v>430</v>
      </c>
      <c r="B432" s="34" t="str">
        <f>HYPERLINK(CONCAT("http://leetcode.com/problems/",Github!C$431), Github!B$431)</f>
        <v>Flatten a Multilevel Doubly Linked List</v>
      </c>
      <c r="C432" s="17">
        <f>Github!F$431</f>
        <v>3490</v>
      </c>
      <c r="D432" s="17">
        <f>Github!G$431</f>
        <v>246</v>
      </c>
      <c r="E432" s="17">
        <f>Github!F$431+Github!G$431</f>
        <v>3736</v>
      </c>
      <c r="F432" s="18">
        <f t="shared" si="1"/>
        <v>14.19</v>
      </c>
      <c r="G432" s="17" t="str">
        <f>Github!H$431</f>
        <v>Algorithms</v>
      </c>
      <c r="H432" s="17" t="b">
        <f>Github!D$431</f>
        <v>0</v>
      </c>
      <c r="I432" s="17" t="str">
        <f>Github!E$431</f>
        <v>Medium</v>
      </c>
      <c r="J432" s="17" t="str">
        <f>ROUND(Github!N$431, 2)&amp;"%"</f>
        <v>0%</v>
      </c>
      <c r="K432" s="17">
        <f>Github!O$431</f>
        <v>58.81792887</v>
      </c>
      <c r="L432" s="17">
        <f>Github!P$431</f>
        <v>223013</v>
      </c>
    </row>
    <row r="433">
      <c r="A433" s="17">
        <f>Github!J$432</f>
        <v>431</v>
      </c>
      <c r="B433" s="34" t="str">
        <f>HYPERLINK(CONCAT("http://leetcode.com/problems/",Github!C$432), Github!B$432)</f>
        <v>Encode N-ary Tree to Binary Tree</v>
      </c>
      <c r="C433" s="17">
        <f>Github!F$432</f>
        <v>379</v>
      </c>
      <c r="D433" s="17">
        <f>Github!G$432</f>
        <v>20</v>
      </c>
      <c r="E433" s="17">
        <f>Github!F$432+Github!G$432</f>
        <v>399</v>
      </c>
      <c r="F433" s="18">
        <f t="shared" si="1"/>
        <v>18.95</v>
      </c>
      <c r="G433" s="17" t="str">
        <f>Github!H$432</f>
        <v>Algorithms</v>
      </c>
      <c r="H433" s="17" t="b">
        <f>Github!D$432</f>
        <v>1</v>
      </c>
      <c r="I433" s="17" t="str">
        <f>Github!E$432</f>
        <v>Hard</v>
      </c>
      <c r="J433" s="17" t="str">
        <f>ROUND(Github!N$432, 2)&amp;"%"</f>
        <v>0%</v>
      </c>
      <c r="K433" s="17">
        <f>Github!O$432</f>
        <v>76.16934642</v>
      </c>
      <c r="L433" s="17">
        <f>Github!P$432</f>
        <v>14590</v>
      </c>
    </row>
    <row r="434">
      <c r="A434" s="17">
        <f>Github!J$433</f>
        <v>432</v>
      </c>
      <c r="B434" s="34" t="str">
        <f>HYPERLINK(CONCAT("http://leetcode.com/problems/",Github!C$433), Github!B$433)</f>
        <v>All O`one Data Structure</v>
      </c>
      <c r="C434" s="17">
        <f>Github!F$433</f>
        <v>1039</v>
      </c>
      <c r="D434" s="17">
        <f>Github!G$433</f>
        <v>124</v>
      </c>
      <c r="E434" s="17">
        <f>Github!F$433+Github!G$433</f>
        <v>1163</v>
      </c>
      <c r="F434" s="18">
        <f t="shared" si="1"/>
        <v>8.38</v>
      </c>
      <c r="G434" s="17" t="str">
        <f>Github!H$433</f>
        <v>Algorithms</v>
      </c>
      <c r="H434" s="17" t="b">
        <f>Github!D$433</f>
        <v>0</v>
      </c>
      <c r="I434" s="17" t="str">
        <f>Github!E$433</f>
        <v>Hard</v>
      </c>
      <c r="J434" s="17" t="str">
        <f>ROUND(Github!N$433, 2)&amp;"%"</f>
        <v>0%</v>
      </c>
      <c r="K434" s="17">
        <f>Github!O$433</f>
        <v>35.48626188</v>
      </c>
      <c r="L434" s="17">
        <f>Github!P$433</f>
        <v>54102</v>
      </c>
    </row>
    <row r="435">
      <c r="A435" s="17">
        <f>Github!J$434</f>
        <v>433</v>
      </c>
      <c r="B435" s="34" t="str">
        <f>HYPERLINK(CONCAT("http://leetcode.com/problems/",Github!C$434), Github!B$434)</f>
        <v>Minimum Genetic Mutation</v>
      </c>
      <c r="C435" s="17">
        <f>Github!F$434</f>
        <v>816</v>
      </c>
      <c r="D435" s="17">
        <f>Github!G$434</f>
        <v>96</v>
      </c>
      <c r="E435" s="17">
        <f>Github!F$434+Github!G$434</f>
        <v>912</v>
      </c>
      <c r="F435" s="18">
        <f t="shared" si="1"/>
        <v>8.5</v>
      </c>
      <c r="G435" s="17" t="str">
        <f>Github!H$434</f>
        <v>Algorithms</v>
      </c>
      <c r="H435" s="17" t="b">
        <f>Github!D$434</f>
        <v>0</v>
      </c>
      <c r="I435" s="17" t="str">
        <f>Github!E$434</f>
        <v>Medium</v>
      </c>
      <c r="J435" s="17" t="str">
        <f>ROUND(Github!N$434, 2)&amp;"%"</f>
        <v>0%</v>
      </c>
      <c r="K435" s="17">
        <f>Github!O$434</f>
        <v>45.9321459</v>
      </c>
      <c r="L435" s="17">
        <f>Github!P$434</f>
        <v>50105</v>
      </c>
    </row>
    <row r="436">
      <c r="A436" s="17">
        <f>Github!J$435</f>
        <v>434</v>
      </c>
      <c r="B436" s="34" t="str">
        <f>HYPERLINK(CONCAT("http://leetcode.com/problems/",Github!C$435), Github!B$435)</f>
        <v>Number of Segments in a String</v>
      </c>
      <c r="C436" s="17">
        <f>Github!F$435</f>
        <v>418</v>
      </c>
      <c r="D436" s="17">
        <f>Github!G$435</f>
        <v>986</v>
      </c>
      <c r="E436" s="17">
        <f>Github!F$435+Github!G$435</f>
        <v>1404</v>
      </c>
      <c r="F436" s="18">
        <f t="shared" si="1"/>
        <v>0.42</v>
      </c>
      <c r="G436" s="17" t="str">
        <f>Github!H$435</f>
        <v>Algorithms</v>
      </c>
      <c r="H436" s="17" t="b">
        <f>Github!D$435</f>
        <v>0</v>
      </c>
      <c r="I436" s="17" t="str">
        <f>Github!E$435</f>
        <v>Easy</v>
      </c>
      <c r="J436" s="17" t="str">
        <f>ROUND(Github!N$435, 2)&amp;"%"</f>
        <v>0%</v>
      </c>
      <c r="K436" s="17">
        <f>Github!O$435</f>
        <v>37.91058023</v>
      </c>
      <c r="L436" s="17">
        <f>Github!P$435</f>
        <v>111909</v>
      </c>
    </row>
    <row r="437">
      <c r="A437" s="17">
        <f>Github!J$436</f>
        <v>435</v>
      </c>
      <c r="B437" s="34" t="str">
        <f>HYPERLINK(CONCAT("http://leetcode.com/problems/",Github!C$436), Github!B$436)</f>
        <v>Non-overlapping Intervals</v>
      </c>
      <c r="C437" s="17">
        <f>Github!F$436</f>
        <v>3643</v>
      </c>
      <c r="D437" s="17">
        <f>Github!G$436</f>
        <v>101</v>
      </c>
      <c r="E437" s="17">
        <f>Github!F$436+Github!G$436</f>
        <v>3744</v>
      </c>
      <c r="F437" s="18">
        <f t="shared" si="1"/>
        <v>36.07</v>
      </c>
      <c r="G437" s="17" t="str">
        <f>Github!H$436</f>
        <v>Algorithms</v>
      </c>
      <c r="H437" s="17" t="b">
        <f>Github!D$436</f>
        <v>0</v>
      </c>
      <c r="I437" s="17" t="str">
        <f>Github!E$436</f>
        <v>Medium</v>
      </c>
      <c r="J437" s="17" t="str">
        <f>ROUND(Github!N$436, 2)&amp;"%"</f>
        <v>0%</v>
      </c>
      <c r="K437" s="17">
        <f>Github!O$436</f>
        <v>47.80439016</v>
      </c>
      <c r="L437" s="17">
        <f>Github!P$436</f>
        <v>226071</v>
      </c>
    </row>
    <row r="438">
      <c r="A438" s="17">
        <f>Github!J$437</f>
        <v>436</v>
      </c>
      <c r="B438" s="34" t="str">
        <f>HYPERLINK(CONCAT("http://leetcode.com/problems/",Github!C$437), Github!B$437)</f>
        <v>Find Right Interval</v>
      </c>
      <c r="C438" s="17">
        <f>Github!F$437</f>
        <v>1115</v>
      </c>
      <c r="D438" s="17">
        <f>Github!G$437</f>
        <v>240</v>
      </c>
      <c r="E438" s="17">
        <f>Github!F$437+Github!G$437</f>
        <v>1355</v>
      </c>
      <c r="F438" s="18">
        <f t="shared" si="1"/>
        <v>4.65</v>
      </c>
      <c r="G438" s="17" t="str">
        <f>Github!H$437</f>
        <v>Algorithms</v>
      </c>
      <c r="H438" s="17" t="b">
        <f>Github!D$437</f>
        <v>0</v>
      </c>
      <c r="I438" s="17" t="str">
        <f>Github!E$437</f>
        <v>Medium</v>
      </c>
      <c r="J438" s="17" t="str">
        <f>ROUND(Github!N$437, 2)&amp;"%"</f>
        <v>0%</v>
      </c>
      <c r="K438" s="17">
        <f>Github!O$437</f>
        <v>49.29779174</v>
      </c>
      <c r="L438" s="17">
        <f>Github!P$437</f>
        <v>74697</v>
      </c>
    </row>
    <row r="439">
      <c r="A439" s="17">
        <f>Github!J$438</f>
        <v>437</v>
      </c>
      <c r="B439" s="34" t="str">
        <f>HYPERLINK(CONCAT("http://leetcode.com/problems/",Github!C$438), Github!B$438)</f>
        <v>Path Sum III</v>
      </c>
      <c r="C439" s="17">
        <f>Github!F$438</f>
        <v>7174</v>
      </c>
      <c r="D439" s="17">
        <f>Github!G$438</f>
        <v>357</v>
      </c>
      <c r="E439" s="17">
        <f>Github!F$438+Github!G$438</f>
        <v>7531</v>
      </c>
      <c r="F439" s="18">
        <f t="shared" si="1"/>
        <v>20.1</v>
      </c>
      <c r="G439" s="17" t="str">
        <f>Github!H$438</f>
        <v>Algorithms</v>
      </c>
      <c r="H439" s="17" t="b">
        <f>Github!D$438</f>
        <v>0</v>
      </c>
      <c r="I439" s="17" t="str">
        <f>Github!E$438</f>
        <v>Medium</v>
      </c>
      <c r="J439" s="17" t="str">
        <f>ROUND(Github!N$438, 2)&amp;"%"</f>
        <v>0%</v>
      </c>
      <c r="K439" s="17">
        <f>Github!O$438</f>
        <v>50.12576536</v>
      </c>
      <c r="L439" s="17">
        <f>Github!P$438</f>
        <v>350137</v>
      </c>
    </row>
    <row r="440">
      <c r="A440" s="17">
        <f>Github!J$439</f>
        <v>438</v>
      </c>
      <c r="B440" s="34" t="str">
        <f>HYPERLINK(CONCAT("http://leetcode.com/problems/",Github!C$439), Github!B$439)</f>
        <v>Find All Anagrams in a String</v>
      </c>
      <c r="C440" s="17">
        <f>Github!F$439</f>
        <v>7088</v>
      </c>
      <c r="D440" s="17">
        <f>Github!G$439</f>
        <v>248</v>
      </c>
      <c r="E440" s="17">
        <f>Github!F$439+Github!G$439</f>
        <v>7336</v>
      </c>
      <c r="F440" s="18">
        <f t="shared" si="1"/>
        <v>28.58</v>
      </c>
      <c r="G440" s="17" t="str">
        <f>Github!H$439</f>
        <v>Algorithms</v>
      </c>
      <c r="H440" s="17" t="b">
        <f>Github!D$439</f>
        <v>0</v>
      </c>
      <c r="I440" s="17" t="str">
        <f>Github!E$439</f>
        <v>Medium</v>
      </c>
      <c r="J440" s="17" t="str">
        <f>ROUND(Github!N$439, 2)&amp;"%"</f>
        <v>0%</v>
      </c>
      <c r="K440" s="17">
        <f>Github!O$439</f>
        <v>47.99132766</v>
      </c>
      <c r="L440" s="17">
        <f>Github!P$439</f>
        <v>503352</v>
      </c>
    </row>
    <row r="441">
      <c r="A441" s="17">
        <f>Github!J$440</f>
        <v>439</v>
      </c>
      <c r="B441" s="34" t="str">
        <f>HYPERLINK(CONCAT("http://leetcode.com/problems/",Github!C$440), Github!B$440)</f>
        <v>Ternary Expression Parser</v>
      </c>
      <c r="C441" s="17">
        <f>Github!F$440</f>
        <v>329</v>
      </c>
      <c r="D441" s="17">
        <f>Github!G$440</f>
        <v>41</v>
      </c>
      <c r="E441" s="17">
        <f>Github!F$440+Github!G$440</f>
        <v>370</v>
      </c>
      <c r="F441" s="18">
        <f t="shared" si="1"/>
        <v>8.02</v>
      </c>
      <c r="G441" s="17" t="str">
        <f>Github!H$440</f>
        <v>Algorithms</v>
      </c>
      <c r="H441" s="17" t="b">
        <f>Github!D$440</f>
        <v>1</v>
      </c>
      <c r="I441" s="17" t="str">
        <f>Github!E$440</f>
        <v>Medium</v>
      </c>
      <c r="J441" s="17" t="str">
        <f>ROUND(Github!N$440, 2)&amp;"%"</f>
        <v>0%</v>
      </c>
      <c r="K441" s="17">
        <f>Github!O$440</f>
        <v>57.75786454</v>
      </c>
      <c r="L441" s="17">
        <f>Github!P$440</f>
        <v>24364</v>
      </c>
    </row>
    <row r="442">
      <c r="A442" s="17">
        <f>Github!J$441</f>
        <v>440</v>
      </c>
      <c r="B442" s="34" t="str">
        <f>HYPERLINK(CONCAT("http://leetcode.com/problems/",Github!C$441), Github!B$441)</f>
        <v>K-th Smallest in Lexicographical Order</v>
      </c>
      <c r="C442" s="17">
        <f>Github!F$441</f>
        <v>533</v>
      </c>
      <c r="D442" s="17">
        <f>Github!G$441</f>
        <v>72</v>
      </c>
      <c r="E442" s="17">
        <f>Github!F$441+Github!G$441</f>
        <v>605</v>
      </c>
      <c r="F442" s="18">
        <f t="shared" si="1"/>
        <v>7.4</v>
      </c>
      <c r="G442" s="17" t="str">
        <f>Github!H$441</f>
        <v>Algorithms</v>
      </c>
      <c r="H442" s="17" t="b">
        <f>Github!D$441</f>
        <v>0</v>
      </c>
      <c r="I442" s="17" t="str">
        <f>Github!E$441</f>
        <v>Hard</v>
      </c>
      <c r="J442" s="17" t="str">
        <f>ROUND(Github!N$441, 2)&amp;"%"</f>
        <v>0%</v>
      </c>
      <c r="K442" s="17">
        <f>Github!O$441</f>
        <v>30.44693732</v>
      </c>
      <c r="L442" s="17">
        <f>Github!P$441</f>
        <v>17099</v>
      </c>
    </row>
    <row r="443">
      <c r="A443" s="17">
        <f>Github!J$442</f>
        <v>441</v>
      </c>
      <c r="B443" s="34" t="str">
        <f>HYPERLINK(CONCAT("http://leetcode.com/problems/",Github!C$442), Github!B$442)</f>
        <v>Arranging Coins</v>
      </c>
      <c r="C443" s="17">
        <f>Github!F$442</f>
        <v>2007</v>
      </c>
      <c r="D443" s="17">
        <f>Github!G$442</f>
        <v>996</v>
      </c>
      <c r="E443" s="17">
        <f>Github!F$442+Github!G$442</f>
        <v>3003</v>
      </c>
      <c r="F443" s="18">
        <f t="shared" si="1"/>
        <v>2.02</v>
      </c>
      <c r="G443" s="17" t="str">
        <f>Github!H$442</f>
        <v>Algorithms</v>
      </c>
      <c r="H443" s="17" t="b">
        <f>Github!D$442</f>
        <v>0</v>
      </c>
      <c r="I443" s="17" t="str">
        <f>Github!E$442</f>
        <v>Easy</v>
      </c>
      <c r="J443" s="17" t="str">
        <f>ROUND(Github!N$442, 2)&amp;"%"</f>
        <v>0%</v>
      </c>
      <c r="K443" s="17">
        <f>Github!O$442</f>
        <v>45.07013888</v>
      </c>
      <c r="L443" s="17">
        <f>Github!P$442</f>
        <v>264066</v>
      </c>
    </row>
    <row r="444">
      <c r="A444" s="17">
        <f>Github!J$443</f>
        <v>442</v>
      </c>
      <c r="B444" s="34" t="str">
        <f>HYPERLINK(CONCAT("http://leetcode.com/problems/",Github!C$443), Github!B$443)</f>
        <v>Find All Duplicates in an Array</v>
      </c>
      <c r="C444" s="17">
        <f>Github!F$443</f>
        <v>5820</v>
      </c>
      <c r="D444" s="17">
        <f>Github!G$443</f>
        <v>242</v>
      </c>
      <c r="E444" s="17">
        <f>Github!F$443+Github!G$443</f>
        <v>6062</v>
      </c>
      <c r="F444" s="18">
        <f t="shared" si="1"/>
        <v>24.05</v>
      </c>
      <c r="G444" s="17" t="str">
        <f>Github!H$443</f>
        <v>Algorithms</v>
      </c>
      <c r="H444" s="17" t="b">
        <f>Github!D$443</f>
        <v>0</v>
      </c>
      <c r="I444" s="17" t="str">
        <f>Github!E$443</f>
        <v>Medium</v>
      </c>
      <c r="J444" s="17" t="str">
        <f>ROUND(Github!N$443, 2)&amp;"%"</f>
        <v>0%</v>
      </c>
      <c r="K444" s="17">
        <f>Github!O$443</f>
        <v>72.1591835</v>
      </c>
      <c r="L444" s="17">
        <f>Github!P$443</f>
        <v>380789</v>
      </c>
    </row>
    <row r="445">
      <c r="A445" s="17">
        <f>Github!J$444</f>
        <v>443</v>
      </c>
      <c r="B445" s="34" t="str">
        <f>HYPERLINK(CONCAT("http://leetcode.com/problems/",Github!C$444), Github!B$444)</f>
        <v>String Compression</v>
      </c>
      <c r="C445" s="17">
        <f>Github!F$444</f>
        <v>1947</v>
      </c>
      <c r="D445" s="17">
        <f>Github!G$444</f>
        <v>4066</v>
      </c>
      <c r="E445" s="17">
        <f>Github!F$444+Github!G$444</f>
        <v>6013</v>
      </c>
      <c r="F445" s="18">
        <f t="shared" si="1"/>
        <v>0.48</v>
      </c>
      <c r="G445" s="17" t="str">
        <f>Github!H$444</f>
        <v>Algorithms</v>
      </c>
      <c r="H445" s="17" t="b">
        <f>Github!D$444</f>
        <v>0</v>
      </c>
      <c r="I445" s="17" t="str">
        <f>Github!E$444</f>
        <v>Medium</v>
      </c>
      <c r="J445" s="17" t="str">
        <f>ROUND(Github!N$444, 2)&amp;"%"</f>
        <v>0%</v>
      </c>
      <c r="K445" s="17">
        <f>Github!O$444</f>
        <v>47.24561737</v>
      </c>
      <c r="L445" s="17">
        <f>Github!P$444</f>
        <v>236220</v>
      </c>
    </row>
    <row r="446">
      <c r="A446" s="17">
        <f>Github!J$445</f>
        <v>444</v>
      </c>
      <c r="B446" s="34" t="str">
        <f>HYPERLINK(CONCAT("http://leetcode.com/problems/",Github!C$445), Github!B$445)</f>
        <v>Sequence Reconstruction</v>
      </c>
      <c r="C446" s="17">
        <f>Github!F$445</f>
        <v>441</v>
      </c>
      <c r="D446" s="17">
        <f>Github!G$445</f>
        <v>1374</v>
      </c>
      <c r="E446" s="17">
        <f>Github!F$445+Github!G$445</f>
        <v>1815</v>
      </c>
      <c r="F446" s="18">
        <f t="shared" si="1"/>
        <v>0.32</v>
      </c>
      <c r="G446" s="17" t="str">
        <f>Github!H$445</f>
        <v>Algorithms</v>
      </c>
      <c r="H446" s="17" t="b">
        <f>Github!D$445</f>
        <v>1</v>
      </c>
      <c r="I446" s="17" t="str">
        <f>Github!E$445</f>
        <v>Medium</v>
      </c>
      <c r="J446" s="17" t="str">
        <f>ROUND(Github!N$445, 2)&amp;"%"</f>
        <v>0%</v>
      </c>
      <c r="K446" s="17">
        <f>Github!O$445</f>
        <v>24.67707243</v>
      </c>
      <c r="L446" s="17">
        <f>Github!P$445</f>
        <v>42907</v>
      </c>
    </row>
    <row r="447">
      <c r="A447" s="17">
        <f>Github!J$446</f>
        <v>445</v>
      </c>
      <c r="B447" s="34" t="str">
        <f>HYPERLINK(CONCAT("http://leetcode.com/problems/",Github!C$446), Github!B$446)</f>
        <v>Add Two Numbers II</v>
      </c>
      <c r="C447" s="17">
        <f>Github!F$446</f>
        <v>3313</v>
      </c>
      <c r="D447" s="17">
        <f>Github!G$446</f>
        <v>225</v>
      </c>
      <c r="E447" s="17">
        <f>Github!F$446+Github!G$446</f>
        <v>3538</v>
      </c>
      <c r="F447" s="18">
        <f t="shared" si="1"/>
        <v>14.72</v>
      </c>
      <c r="G447" s="17" t="str">
        <f>Github!H$446</f>
        <v>Algorithms</v>
      </c>
      <c r="H447" s="17" t="b">
        <f>Github!D$446</f>
        <v>0</v>
      </c>
      <c r="I447" s="17" t="str">
        <f>Github!E$446</f>
        <v>Medium</v>
      </c>
      <c r="J447" s="17" t="str">
        <f>ROUND(Github!N$446, 2)&amp;"%"</f>
        <v>0%</v>
      </c>
      <c r="K447" s="17">
        <f>Github!O$446</f>
        <v>58.36131593</v>
      </c>
      <c r="L447" s="17">
        <f>Github!P$446</f>
        <v>299111</v>
      </c>
    </row>
    <row r="448">
      <c r="A448" s="17">
        <f>Github!J$447</f>
        <v>446</v>
      </c>
      <c r="B448" s="34" t="str">
        <f>HYPERLINK(CONCAT("http://leetcode.com/problems/",Github!C$447), Github!B$447)</f>
        <v>Arithmetic Slices II - Subsequence</v>
      </c>
      <c r="C448" s="17">
        <f>Github!F$447</f>
        <v>1313</v>
      </c>
      <c r="D448" s="17">
        <f>Github!G$447</f>
        <v>84</v>
      </c>
      <c r="E448" s="17">
        <f>Github!F$447+Github!G$447</f>
        <v>1397</v>
      </c>
      <c r="F448" s="18">
        <f t="shared" si="1"/>
        <v>15.63</v>
      </c>
      <c r="G448" s="17" t="str">
        <f>Github!H$447</f>
        <v>Algorithms</v>
      </c>
      <c r="H448" s="17" t="b">
        <f>Github!D$447</f>
        <v>0</v>
      </c>
      <c r="I448" s="17" t="str">
        <f>Github!E$447</f>
        <v>Hard</v>
      </c>
      <c r="J448" s="17" t="str">
        <f>ROUND(Github!N$447, 2)&amp;"%"</f>
        <v>0%</v>
      </c>
      <c r="K448" s="17">
        <f>Github!O$447</f>
        <v>39.33926512</v>
      </c>
      <c r="L448" s="17">
        <f>Github!P$447</f>
        <v>42973</v>
      </c>
    </row>
    <row r="449">
      <c r="A449" s="17">
        <f>Github!J$448</f>
        <v>447</v>
      </c>
      <c r="B449" s="34" t="str">
        <f>HYPERLINK(CONCAT("http://leetcode.com/problems/",Github!C$448), Github!B$448)</f>
        <v>Number of Boomerangs</v>
      </c>
      <c r="C449" s="17">
        <f>Github!F$448</f>
        <v>590</v>
      </c>
      <c r="D449" s="17">
        <f>Github!G$448</f>
        <v>857</v>
      </c>
      <c r="E449" s="17">
        <f>Github!F$448+Github!G$448</f>
        <v>1447</v>
      </c>
      <c r="F449" s="18">
        <f t="shared" si="1"/>
        <v>0.69</v>
      </c>
      <c r="G449" s="17" t="str">
        <f>Github!H$448</f>
        <v>Algorithms</v>
      </c>
      <c r="H449" s="17" t="b">
        <f>Github!D$448</f>
        <v>0</v>
      </c>
      <c r="I449" s="17" t="str">
        <f>Github!E$448</f>
        <v>Medium</v>
      </c>
      <c r="J449" s="17" t="str">
        <f>ROUND(Github!N$448, 2)&amp;"%"</f>
        <v>0%</v>
      </c>
      <c r="K449" s="17">
        <f>Github!O$448</f>
        <v>53.81911216</v>
      </c>
      <c r="L449" s="17">
        <f>Github!P$448</f>
        <v>82671</v>
      </c>
    </row>
    <row r="450">
      <c r="A450" s="17">
        <f>Github!J$449</f>
        <v>448</v>
      </c>
      <c r="B450" s="34" t="str">
        <f>HYPERLINK(CONCAT("http://leetcode.com/problems/",Github!C$449), Github!B$449)</f>
        <v>Find All Numbers Disappeared in an Array</v>
      </c>
      <c r="C450" s="17">
        <f>Github!F$449</f>
        <v>6226</v>
      </c>
      <c r="D450" s="17">
        <f>Github!G$449</f>
        <v>368</v>
      </c>
      <c r="E450" s="17">
        <f>Github!F$449+Github!G$449</f>
        <v>6594</v>
      </c>
      <c r="F450" s="18">
        <f t="shared" si="1"/>
        <v>16.92</v>
      </c>
      <c r="G450" s="17" t="str">
        <f>Github!H$449</f>
        <v>Algorithms</v>
      </c>
      <c r="H450" s="17" t="b">
        <f>Github!D$449</f>
        <v>0</v>
      </c>
      <c r="I450" s="17" t="str">
        <f>Github!E$449</f>
        <v>Easy</v>
      </c>
      <c r="J450" s="17" t="str">
        <f>ROUND(Github!N$449, 2)&amp;"%"</f>
        <v>0%</v>
      </c>
      <c r="K450" s="17">
        <f>Github!O$449</f>
        <v>58.87138098</v>
      </c>
      <c r="L450" s="17">
        <f>Github!P$449</f>
        <v>544578</v>
      </c>
    </row>
    <row r="451">
      <c r="A451" s="17">
        <f>Github!J$450</f>
        <v>449</v>
      </c>
      <c r="B451" s="34" t="str">
        <f>HYPERLINK(CONCAT("http://leetcode.com/problems/",Github!C$450), Github!B$450)</f>
        <v>Serialize and Deserialize BST</v>
      </c>
      <c r="C451" s="17">
        <f>Github!F$450</f>
        <v>2564</v>
      </c>
      <c r="D451" s="17">
        <f>Github!G$450</f>
        <v>127</v>
      </c>
      <c r="E451" s="17">
        <f>Github!F$450+Github!G$450</f>
        <v>2691</v>
      </c>
      <c r="F451" s="18">
        <f t="shared" si="1"/>
        <v>20.19</v>
      </c>
      <c r="G451" s="17" t="str">
        <f>Github!H$450</f>
        <v>Algorithms</v>
      </c>
      <c r="H451" s="17" t="b">
        <f>Github!D$450</f>
        <v>0</v>
      </c>
      <c r="I451" s="17" t="str">
        <f>Github!E$450</f>
        <v>Medium</v>
      </c>
      <c r="J451" s="17" t="str">
        <f>ROUND(Github!N$450, 2)&amp;"%"</f>
        <v>0%</v>
      </c>
      <c r="K451" s="17">
        <f>Github!O$450</f>
        <v>55.99012556</v>
      </c>
      <c r="L451" s="17">
        <f>Github!P$450</f>
        <v>186883</v>
      </c>
    </row>
    <row r="452">
      <c r="A452" s="17">
        <f>Github!J$451</f>
        <v>450</v>
      </c>
      <c r="B452" s="34" t="str">
        <f>HYPERLINK(CONCAT("http://leetcode.com/problems/",Github!C$451), Github!B$451)</f>
        <v>Delete Node in a BST</v>
      </c>
      <c r="C452" s="17">
        <f>Github!F$451</f>
        <v>4980</v>
      </c>
      <c r="D452" s="17">
        <f>Github!G$451</f>
        <v>146</v>
      </c>
      <c r="E452" s="17">
        <f>Github!F$451+Github!G$451</f>
        <v>5126</v>
      </c>
      <c r="F452" s="18">
        <f t="shared" si="1"/>
        <v>34.11</v>
      </c>
      <c r="G452" s="17" t="str">
        <f>Github!H$451</f>
        <v>Algorithms</v>
      </c>
      <c r="H452" s="17" t="b">
        <f>Github!D$451</f>
        <v>0</v>
      </c>
      <c r="I452" s="17" t="str">
        <f>Github!E$451</f>
        <v>Medium</v>
      </c>
      <c r="J452" s="17" t="str">
        <f>ROUND(Github!N$451, 2)&amp;"%"</f>
        <v>0%</v>
      </c>
      <c r="K452" s="17">
        <f>Github!O$451</f>
        <v>48.65347825</v>
      </c>
      <c r="L452" s="17">
        <f>Github!P$451</f>
        <v>258382</v>
      </c>
    </row>
    <row r="453">
      <c r="A453" s="17">
        <f>Github!J$452</f>
        <v>451</v>
      </c>
      <c r="B453" s="34" t="str">
        <f>HYPERLINK(CONCAT("http://leetcode.com/problems/",Github!C$452), Github!B$452)</f>
        <v>Sort Characters By Frequency</v>
      </c>
      <c r="C453" s="17">
        <f>Github!F$452</f>
        <v>3832</v>
      </c>
      <c r="D453" s="17">
        <f>Github!G$452</f>
        <v>177</v>
      </c>
      <c r="E453" s="17">
        <f>Github!F$452+Github!G$452</f>
        <v>4009</v>
      </c>
      <c r="F453" s="18">
        <f t="shared" si="1"/>
        <v>21.65</v>
      </c>
      <c r="G453" s="17" t="str">
        <f>Github!H$452</f>
        <v>Algorithms</v>
      </c>
      <c r="H453" s="17" t="b">
        <f>Github!D$452</f>
        <v>0</v>
      </c>
      <c r="I453" s="17" t="str">
        <f>Github!E$452</f>
        <v>Medium</v>
      </c>
      <c r="J453" s="17" t="str">
        <f>ROUND(Github!N$452, 2)&amp;"%"</f>
        <v>0%</v>
      </c>
      <c r="K453" s="17">
        <f>Github!O$452</f>
        <v>67.49382656</v>
      </c>
      <c r="L453" s="17">
        <f>Github!P$452</f>
        <v>345752</v>
      </c>
    </row>
    <row r="454">
      <c r="A454" s="17">
        <f>Github!J$453</f>
        <v>452</v>
      </c>
      <c r="B454" s="34" t="str">
        <f>HYPERLINK(CONCAT("http://leetcode.com/problems/",Github!C$453), Github!B$453)</f>
        <v>Minimum Number of Arrows to Burst Balloons</v>
      </c>
      <c r="C454" s="17">
        <f>Github!F$453</f>
        <v>3291</v>
      </c>
      <c r="D454" s="17">
        <f>Github!G$453</f>
        <v>96</v>
      </c>
      <c r="E454" s="17">
        <f>Github!F$453+Github!G$453</f>
        <v>3387</v>
      </c>
      <c r="F454" s="18">
        <f t="shared" si="1"/>
        <v>34.28</v>
      </c>
      <c r="G454" s="17" t="str">
        <f>Github!H$453</f>
        <v>Algorithms</v>
      </c>
      <c r="H454" s="17" t="b">
        <f>Github!D$453</f>
        <v>0</v>
      </c>
      <c r="I454" s="17" t="str">
        <f>Github!E$453</f>
        <v>Medium</v>
      </c>
      <c r="J454" s="17" t="str">
        <f>ROUND(Github!N$453, 2)&amp;"%"</f>
        <v>0%</v>
      </c>
      <c r="K454" s="17">
        <f>Github!O$453</f>
        <v>52.78219581</v>
      </c>
      <c r="L454" s="17">
        <f>Github!P$453</f>
        <v>181526</v>
      </c>
    </row>
    <row r="455">
      <c r="A455" s="17">
        <f>Github!J$454</f>
        <v>453</v>
      </c>
      <c r="B455" s="34" t="str">
        <f>HYPERLINK(CONCAT("http://leetcode.com/problems/",Github!C$454), Github!B$454)</f>
        <v>Minimum Moves to Equal Array Elements</v>
      </c>
      <c r="C455" s="17">
        <f>Github!F$454</f>
        <v>1372</v>
      </c>
      <c r="D455" s="17">
        <f>Github!G$454</f>
        <v>1516</v>
      </c>
      <c r="E455" s="17">
        <f>Github!F$454+Github!G$454</f>
        <v>2888</v>
      </c>
      <c r="F455" s="18">
        <f t="shared" si="1"/>
        <v>0.91</v>
      </c>
      <c r="G455" s="17" t="str">
        <f>Github!H$454</f>
        <v>Algorithms</v>
      </c>
      <c r="H455" s="17" t="b">
        <f>Github!D$454</f>
        <v>0</v>
      </c>
      <c r="I455" s="17" t="str">
        <f>Github!E$454</f>
        <v>Medium</v>
      </c>
      <c r="J455" s="17" t="str">
        <f>ROUND(Github!N$454, 2)&amp;"%"</f>
        <v>0%</v>
      </c>
      <c r="K455" s="17">
        <f>Github!O$454</f>
        <v>53.74254692</v>
      </c>
      <c r="L455" s="17">
        <f>Github!P$454</f>
        <v>118345</v>
      </c>
    </row>
    <row r="456">
      <c r="A456" s="17">
        <f>Github!J$455</f>
        <v>454</v>
      </c>
      <c r="B456" s="34" t="str">
        <f>HYPERLINK(CONCAT("http://leetcode.com/problems/",Github!C$455), Github!B$455)</f>
        <v>4Sum II</v>
      </c>
      <c r="C456" s="17">
        <f>Github!F$455</f>
        <v>3684</v>
      </c>
      <c r="D456" s="17">
        <f>Github!G$455</f>
        <v>111</v>
      </c>
      <c r="E456" s="17">
        <f>Github!F$455+Github!G$455</f>
        <v>3795</v>
      </c>
      <c r="F456" s="18">
        <f t="shared" si="1"/>
        <v>33.19</v>
      </c>
      <c r="G456" s="17" t="str">
        <f>Github!H$455</f>
        <v>Algorithms</v>
      </c>
      <c r="H456" s="17" t="b">
        <f>Github!D$455</f>
        <v>0</v>
      </c>
      <c r="I456" s="17" t="str">
        <f>Github!E$455</f>
        <v>Medium</v>
      </c>
      <c r="J456" s="17" t="str">
        <f>ROUND(Github!N$455, 2)&amp;"%"</f>
        <v>0%</v>
      </c>
      <c r="K456" s="17">
        <f>Github!O$455</f>
        <v>56.94132616</v>
      </c>
      <c r="L456" s="17">
        <f>Github!P$455</f>
        <v>245245</v>
      </c>
    </row>
    <row r="457">
      <c r="A457" s="17">
        <f>Github!J$456</f>
        <v>455</v>
      </c>
      <c r="B457" s="34" t="str">
        <f>HYPERLINK(CONCAT("http://leetcode.com/problems/",Github!C$456), Github!B$456)</f>
        <v>Assign Cookies</v>
      </c>
      <c r="C457" s="17">
        <f>Github!F$456</f>
        <v>1348</v>
      </c>
      <c r="D457" s="17">
        <f>Github!G$456</f>
        <v>150</v>
      </c>
      <c r="E457" s="17">
        <f>Github!F$456+Github!G$456</f>
        <v>1498</v>
      </c>
      <c r="F457" s="18">
        <f t="shared" si="1"/>
        <v>8.99</v>
      </c>
      <c r="G457" s="17" t="str">
        <f>Github!H$456</f>
        <v>Algorithms</v>
      </c>
      <c r="H457" s="17" t="b">
        <f>Github!D$456</f>
        <v>0</v>
      </c>
      <c r="I457" s="17" t="str">
        <f>Github!E$456</f>
        <v>Easy</v>
      </c>
      <c r="J457" s="17" t="str">
        <f>ROUND(Github!N$456, 2)&amp;"%"</f>
        <v>0%</v>
      </c>
      <c r="K457" s="17">
        <f>Github!O$456</f>
        <v>50.72794151</v>
      </c>
      <c r="L457" s="17">
        <f>Github!P$456</f>
        <v>157768</v>
      </c>
    </row>
    <row r="458">
      <c r="A458" s="17">
        <f>Github!J$457</f>
        <v>456</v>
      </c>
      <c r="B458" s="34" t="str">
        <f>HYPERLINK(CONCAT("http://leetcode.com/problems/",Github!C$457), Github!B$457)</f>
        <v>132 Pattern</v>
      </c>
      <c r="C458" s="17">
        <f>Github!F$457</f>
        <v>3112</v>
      </c>
      <c r="D458" s="17">
        <f>Github!G$457</f>
        <v>171</v>
      </c>
      <c r="E458" s="17">
        <f>Github!F$457+Github!G$457</f>
        <v>3283</v>
      </c>
      <c r="F458" s="18">
        <f t="shared" si="1"/>
        <v>18.2</v>
      </c>
      <c r="G458" s="17" t="str">
        <f>Github!H$457</f>
        <v>Algorithms</v>
      </c>
      <c r="H458" s="17" t="b">
        <f>Github!D$457</f>
        <v>0</v>
      </c>
      <c r="I458" s="17" t="str">
        <f>Github!E$457</f>
        <v>Medium</v>
      </c>
      <c r="J458" s="17" t="str">
        <f>ROUND(Github!N$457, 2)&amp;"%"</f>
        <v>1%</v>
      </c>
      <c r="K458" s="17">
        <f>Github!O$457</f>
        <v>30.91559743</v>
      </c>
      <c r="L458" s="17">
        <f>Github!P$457</f>
        <v>104619</v>
      </c>
    </row>
    <row r="459">
      <c r="A459" s="17">
        <f>Github!J$458</f>
        <v>457</v>
      </c>
      <c r="B459" s="34" t="str">
        <f>HYPERLINK(CONCAT("http://leetcode.com/problems/",Github!C$458), Github!B$458)</f>
        <v>Circular Array Loop</v>
      </c>
      <c r="C459" s="17">
        <f>Github!F$458</f>
        <v>319</v>
      </c>
      <c r="D459" s="17">
        <f>Github!G$458</f>
        <v>270</v>
      </c>
      <c r="E459" s="17">
        <f>Github!F$458+Github!G$458</f>
        <v>589</v>
      </c>
      <c r="F459" s="18">
        <f t="shared" si="1"/>
        <v>1.18</v>
      </c>
      <c r="G459" s="17" t="str">
        <f>Github!H$458</f>
        <v>Algorithms</v>
      </c>
      <c r="H459" s="17" t="b">
        <f>Github!D$458</f>
        <v>0</v>
      </c>
      <c r="I459" s="17" t="str">
        <f>Github!E$458</f>
        <v>Medium</v>
      </c>
      <c r="J459" s="17" t="str">
        <f>ROUND(Github!N$458, 2)&amp;"%"</f>
        <v>0%</v>
      </c>
      <c r="K459" s="17">
        <f>Github!O$458</f>
        <v>31.51337506</v>
      </c>
      <c r="L459" s="17">
        <f>Github!P$458</f>
        <v>57089</v>
      </c>
    </row>
    <row r="460">
      <c r="A460" s="17">
        <f>Github!J$459</f>
        <v>458</v>
      </c>
      <c r="B460" s="34" t="str">
        <f>HYPERLINK(CONCAT("http://leetcode.com/problems/",Github!C$459), Github!B$459)</f>
        <v>Poor Pigs</v>
      </c>
      <c r="C460" s="17">
        <f>Github!F$459</f>
        <v>626</v>
      </c>
      <c r="D460" s="17">
        <f>Github!G$459</f>
        <v>1128</v>
      </c>
      <c r="E460" s="17">
        <f>Github!F$459+Github!G$459</f>
        <v>1754</v>
      </c>
      <c r="F460" s="18">
        <f t="shared" si="1"/>
        <v>0.55</v>
      </c>
      <c r="G460" s="17" t="str">
        <f>Github!H$459</f>
        <v>Algorithms</v>
      </c>
      <c r="H460" s="17" t="b">
        <f>Github!D$459</f>
        <v>0</v>
      </c>
      <c r="I460" s="17" t="str">
        <f>Github!E$459</f>
        <v>Hard</v>
      </c>
      <c r="J460" s="17" t="str">
        <f>ROUND(Github!N$459, 2)&amp;"%"</f>
        <v>0%</v>
      </c>
      <c r="K460" s="17">
        <f>Github!O$459</f>
        <v>55.43483711</v>
      </c>
      <c r="L460" s="17">
        <f>Github!P$459</f>
        <v>33165</v>
      </c>
    </row>
    <row r="461">
      <c r="A461" s="17">
        <f>Github!J$460</f>
        <v>459</v>
      </c>
      <c r="B461" s="34" t="str">
        <f>HYPERLINK(CONCAT("http://leetcode.com/problems/",Github!C$460), Github!B$460)</f>
        <v>Repeated Substring Pattern</v>
      </c>
      <c r="C461" s="17">
        <f>Github!F$460</f>
        <v>3131</v>
      </c>
      <c r="D461" s="17">
        <f>Github!G$460</f>
        <v>302</v>
      </c>
      <c r="E461" s="17">
        <f>Github!F$460+Github!G$460</f>
        <v>3433</v>
      </c>
      <c r="F461" s="18">
        <f t="shared" si="1"/>
        <v>10.37</v>
      </c>
      <c r="G461" s="17" t="str">
        <f>Github!H$460</f>
        <v>Algorithms</v>
      </c>
      <c r="H461" s="17" t="b">
        <f>Github!D$460</f>
        <v>0</v>
      </c>
      <c r="I461" s="17" t="str">
        <f>Github!E$460</f>
        <v>Easy</v>
      </c>
      <c r="J461" s="17" t="str">
        <f>ROUND(Github!N$460, 2)&amp;"%"</f>
        <v>0%</v>
      </c>
      <c r="K461" s="17">
        <f>Github!O$460</f>
        <v>43.51955602</v>
      </c>
      <c r="L461" s="17">
        <f>Github!P$460</f>
        <v>230703</v>
      </c>
    </row>
    <row r="462">
      <c r="A462" s="17">
        <f>Github!J$461</f>
        <v>460</v>
      </c>
      <c r="B462" s="34" t="str">
        <f>HYPERLINK(CONCAT("http://leetcode.com/problems/",Github!C$461), Github!B$461)</f>
        <v>LFU Cache</v>
      </c>
      <c r="C462" s="17">
        <f>Github!F$461</f>
        <v>3009</v>
      </c>
      <c r="D462" s="17">
        <f>Github!G$461</f>
        <v>200</v>
      </c>
      <c r="E462" s="17">
        <f>Github!F$461+Github!G$461</f>
        <v>3209</v>
      </c>
      <c r="F462" s="18">
        <f t="shared" si="1"/>
        <v>15.05</v>
      </c>
      <c r="G462" s="17" t="str">
        <f>Github!H$461</f>
        <v>Algorithms</v>
      </c>
      <c r="H462" s="17" t="b">
        <f>Github!D$461</f>
        <v>0</v>
      </c>
      <c r="I462" s="17" t="str">
        <f>Github!E$461</f>
        <v>Hard</v>
      </c>
      <c r="J462" s="17" t="str">
        <f>ROUND(Github!N$461, 2)&amp;"%"</f>
        <v>0%</v>
      </c>
      <c r="K462" s="17">
        <f>Github!O$461</f>
        <v>39.10714478</v>
      </c>
      <c r="L462" s="17">
        <f>Github!P$461</f>
        <v>145570</v>
      </c>
    </row>
    <row r="463">
      <c r="A463" s="17">
        <f>Github!J$462</f>
        <v>461</v>
      </c>
      <c r="B463" s="34" t="str">
        <f>HYPERLINK(CONCAT("http://leetcode.com/problems/",Github!C$462), Github!B$462)</f>
        <v>Hamming Distance</v>
      </c>
      <c r="C463" s="17">
        <f>Github!F$462</f>
        <v>2972</v>
      </c>
      <c r="D463" s="17">
        <f>Github!G$462</f>
        <v>197</v>
      </c>
      <c r="E463" s="17">
        <f>Github!F$462+Github!G$462</f>
        <v>3169</v>
      </c>
      <c r="F463" s="18">
        <f t="shared" si="1"/>
        <v>15.09</v>
      </c>
      <c r="G463" s="17" t="str">
        <f>Github!H$462</f>
        <v>Algorithms</v>
      </c>
      <c r="H463" s="17" t="b">
        <f>Github!D$462</f>
        <v>0</v>
      </c>
      <c r="I463" s="17" t="str">
        <f>Github!E$462</f>
        <v>Easy</v>
      </c>
      <c r="J463" s="17" t="str">
        <f>ROUND(Github!N$462, 2)&amp;"%"</f>
        <v>0%</v>
      </c>
      <c r="K463" s="17">
        <f>Github!O$462</f>
        <v>74.43430257</v>
      </c>
      <c r="L463" s="17">
        <f>Github!P$462</f>
        <v>464904</v>
      </c>
    </row>
    <row r="464">
      <c r="A464" s="17">
        <f>Github!J$463</f>
        <v>462</v>
      </c>
      <c r="B464" s="34" t="str">
        <f>HYPERLINK(CONCAT("http://leetcode.com/problems/",Github!C$463), Github!B$463)</f>
        <v>Minimum Moves to Equal Array Elements II</v>
      </c>
      <c r="C464" s="17">
        <f>Github!F$463</f>
        <v>1326</v>
      </c>
      <c r="D464" s="17">
        <f>Github!G$463</f>
        <v>72</v>
      </c>
      <c r="E464" s="17">
        <f>Github!F$463+Github!G$463</f>
        <v>1398</v>
      </c>
      <c r="F464" s="18">
        <f t="shared" si="1"/>
        <v>18.42</v>
      </c>
      <c r="G464" s="17" t="str">
        <f>Github!H$463</f>
        <v>Algorithms</v>
      </c>
      <c r="H464" s="17" t="b">
        <f>Github!D$463</f>
        <v>0</v>
      </c>
      <c r="I464" s="17" t="str">
        <f>Github!E$463</f>
        <v>Medium</v>
      </c>
      <c r="J464" s="17" t="str">
        <f>ROUND(Github!N$463, 2)&amp;"%"</f>
        <v>0%</v>
      </c>
      <c r="K464" s="17">
        <f>Github!O$463</f>
        <v>56.73699741</v>
      </c>
      <c r="L464" s="17">
        <f>Github!P$463</f>
        <v>85754</v>
      </c>
    </row>
    <row r="465">
      <c r="A465" s="17">
        <f>Github!J$464</f>
        <v>463</v>
      </c>
      <c r="B465" s="34" t="str">
        <f>HYPERLINK(CONCAT("http://leetcode.com/problems/",Github!C$464), Github!B$464)</f>
        <v>Island Perimeter</v>
      </c>
      <c r="C465" s="17">
        <f>Github!F$464</f>
        <v>4156</v>
      </c>
      <c r="D465" s="17">
        <f>Github!G$464</f>
        <v>231</v>
      </c>
      <c r="E465" s="17">
        <f>Github!F$464+Github!G$464</f>
        <v>4387</v>
      </c>
      <c r="F465" s="18">
        <f t="shared" si="1"/>
        <v>17.99</v>
      </c>
      <c r="G465" s="17" t="str">
        <f>Github!H$464</f>
        <v>Algorithms</v>
      </c>
      <c r="H465" s="17" t="b">
        <f>Github!D$464</f>
        <v>0</v>
      </c>
      <c r="I465" s="17" t="str">
        <f>Github!E$464</f>
        <v>Easy</v>
      </c>
      <c r="J465" s="17" t="str">
        <f>ROUND(Github!N$464, 2)&amp;"%"</f>
        <v>0%</v>
      </c>
      <c r="K465" s="17">
        <f>Github!O$464</f>
        <v>68.77577618</v>
      </c>
      <c r="L465" s="17">
        <f>Github!P$464</f>
        <v>353032</v>
      </c>
    </row>
    <row r="466">
      <c r="A466" s="17">
        <f>Github!J$465</f>
        <v>464</v>
      </c>
      <c r="B466" s="34" t="str">
        <f>HYPERLINK(CONCAT("http://leetcode.com/problems/",Github!C$465), Github!B$465)</f>
        <v>Can I Win</v>
      </c>
      <c r="C466" s="17">
        <f>Github!F$465</f>
        <v>1780</v>
      </c>
      <c r="D466" s="17">
        <f>Github!G$465</f>
        <v>288</v>
      </c>
      <c r="E466" s="17">
        <f>Github!F$465+Github!G$465</f>
        <v>2068</v>
      </c>
      <c r="F466" s="18">
        <f t="shared" si="1"/>
        <v>6.18</v>
      </c>
      <c r="G466" s="17" t="str">
        <f>Github!H$465</f>
        <v>Algorithms</v>
      </c>
      <c r="H466" s="17" t="b">
        <f>Github!D$465</f>
        <v>0</v>
      </c>
      <c r="I466" s="17" t="str">
        <f>Github!E$465</f>
        <v>Medium</v>
      </c>
      <c r="J466" s="17" t="str">
        <f>ROUND(Github!N$465, 2)&amp;"%"</f>
        <v>0%</v>
      </c>
      <c r="K466" s="17">
        <f>Github!O$465</f>
        <v>29.85145013</v>
      </c>
      <c r="L466" s="17">
        <f>Github!P$465</f>
        <v>73428</v>
      </c>
    </row>
    <row r="467">
      <c r="A467" s="17">
        <f>Github!J$466</f>
        <v>465</v>
      </c>
      <c r="B467" s="34" t="str">
        <f>HYPERLINK(CONCAT("http://leetcode.com/problems/",Github!C$466), Github!B$466)</f>
        <v>Optimal Account Balancing</v>
      </c>
      <c r="C467" s="17">
        <f>Github!F$466</f>
        <v>1099</v>
      </c>
      <c r="D467" s="17">
        <f>Github!G$466</f>
        <v>104</v>
      </c>
      <c r="E467" s="17">
        <f>Github!F$466+Github!G$466</f>
        <v>1203</v>
      </c>
      <c r="F467" s="18">
        <f t="shared" si="1"/>
        <v>10.57</v>
      </c>
      <c r="G467" s="17" t="str">
        <f>Github!H$466</f>
        <v>Algorithms</v>
      </c>
      <c r="H467" s="17" t="b">
        <f>Github!D$466</f>
        <v>1</v>
      </c>
      <c r="I467" s="17" t="str">
        <f>Github!E$466</f>
        <v>Hard</v>
      </c>
      <c r="J467" s="17" t="str">
        <f>ROUND(Github!N$466, 2)&amp;"%"</f>
        <v>0%</v>
      </c>
      <c r="K467" s="17">
        <f>Github!O$466</f>
        <v>48.75913994</v>
      </c>
      <c r="L467" s="17">
        <f>Github!P$466</f>
        <v>67349</v>
      </c>
    </row>
    <row r="468">
      <c r="A468" s="17">
        <f>Github!J$467</f>
        <v>466</v>
      </c>
      <c r="B468" s="34" t="str">
        <f>HYPERLINK(CONCAT("http://leetcode.com/problems/",Github!C$467), Github!B$467)</f>
        <v>Count The Repetitions</v>
      </c>
      <c r="C468" s="17">
        <f>Github!F$467</f>
        <v>285</v>
      </c>
      <c r="D468" s="17">
        <f>Github!G$467</f>
        <v>255</v>
      </c>
      <c r="E468" s="17">
        <f>Github!F$467+Github!G$467</f>
        <v>540</v>
      </c>
      <c r="F468" s="18">
        <f t="shared" si="1"/>
        <v>1.12</v>
      </c>
      <c r="G468" s="17" t="str">
        <f>Github!H$467</f>
        <v>Algorithms</v>
      </c>
      <c r="H468" s="17" t="b">
        <f>Github!D$467</f>
        <v>0</v>
      </c>
      <c r="I468" s="17" t="str">
        <f>Github!E$467</f>
        <v>Hard</v>
      </c>
      <c r="J468" s="17" t="str">
        <f>ROUND(Github!N$467, 2)&amp;"%"</f>
        <v>0%</v>
      </c>
      <c r="K468" s="17">
        <f>Github!O$467</f>
        <v>28.97003745</v>
      </c>
      <c r="L468" s="17">
        <f>Github!P$467</f>
        <v>13923</v>
      </c>
    </row>
    <row r="469">
      <c r="A469" s="17">
        <f>Github!J$468</f>
        <v>467</v>
      </c>
      <c r="B469" s="34" t="str">
        <f>HYPERLINK(CONCAT("http://leetcode.com/problems/",Github!C$468), Github!B$468)</f>
        <v>Unique Substrings in Wraparound String</v>
      </c>
      <c r="C469" s="17">
        <f>Github!F$468</f>
        <v>1035</v>
      </c>
      <c r="D469" s="17">
        <f>Github!G$468</f>
        <v>131</v>
      </c>
      <c r="E469" s="17">
        <f>Github!F$468+Github!G$468</f>
        <v>1166</v>
      </c>
      <c r="F469" s="18">
        <f t="shared" si="1"/>
        <v>7.9</v>
      </c>
      <c r="G469" s="17" t="str">
        <f>Github!H$468</f>
        <v>Algorithms</v>
      </c>
      <c r="H469" s="17" t="b">
        <f>Github!D$468</f>
        <v>0</v>
      </c>
      <c r="I469" s="17" t="str">
        <f>Github!E$468</f>
        <v>Medium</v>
      </c>
      <c r="J469" s="17" t="str">
        <f>ROUND(Github!N$468, 2)&amp;"%"</f>
        <v>0%</v>
      </c>
      <c r="K469" s="17">
        <f>Github!O$468</f>
        <v>37.3467295</v>
      </c>
      <c r="L469" s="17">
        <f>Github!P$468</f>
        <v>34235</v>
      </c>
    </row>
    <row r="470">
      <c r="A470" s="17">
        <f>Github!J$469</f>
        <v>468</v>
      </c>
      <c r="B470" s="34" t="str">
        <f>HYPERLINK(CONCAT("http://leetcode.com/problems/",Github!C$469), Github!B$469)</f>
        <v>Validate IP Address</v>
      </c>
      <c r="C470" s="17">
        <f>Github!F$469</f>
        <v>652</v>
      </c>
      <c r="D470" s="17">
        <f>Github!G$469</f>
        <v>2304</v>
      </c>
      <c r="E470" s="17">
        <f>Github!F$469+Github!G$469</f>
        <v>2956</v>
      </c>
      <c r="F470" s="18">
        <f t="shared" si="1"/>
        <v>0.28</v>
      </c>
      <c r="G470" s="17" t="str">
        <f>Github!H$469</f>
        <v>Algorithms</v>
      </c>
      <c r="H470" s="17" t="b">
        <f>Github!D$469</f>
        <v>0</v>
      </c>
      <c r="I470" s="17" t="str">
        <f>Github!E$469</f>
        <v>Medium</v>
      </c>
      <c r="J470" s="17" t="str">
        <f>ROUND(Github!N$469, 2)&amp;"%"</f>
        <v>0%</v>
      </c>
      <c r="K470" s="17">
        <f>Github!O$469</f>
        <v>26.11430181</v>
      </c>
      <c r="L470" s="17">
        <f>Github!P$469</f>
        <v>122404</v>
      </c>
    </row>
    <row r="471">
      <c r="A471" s="17">
        <f>Github!J$470</f>
        <v>469</v>
      </c>
      <c r="B471" s="34" t="str">
        <f>HYPERLINK(CONCAT("http://leetcode.com/problems/",Github!C$470), Github!B$470)</f>
        <v>Convex Polygon</v>
      </c>
      <c r="C471" s="17">
        <f>Github!F$470</f>
        <v>83</v>
      </c>
      <c r="D471" s="17">
        <f>Github!G$470</f>
        <v>214</v>
      </c>
      <c r="E471" s="17">
        <f>Github!F$470+Github!G$470</f>
        <v>297</v>
      </c>
      <c r="F471" s="18">
        <f t="shared" si="1"/>
        <v>0.39</v>
      </c>
      <c r="G471" s="17" t="str">
        <f>Github!H$470</f>
        <v>Algorithms</v>
      </c>
      <c r="H471" s="17" t="b">
        <f>Github!D$470</f>
        <v>1</v>
      </c>
      <c r="I471" s="17" t="str">
        <f>Github!E$470</f>
        <v>Medium</v>
      </c>
      <c r="J471" s="17" t="str">
        <f>ROUND(Github!N$470, 2)&amp;"%"</f>
        <v>0%</v>
      </c>
      <c r="K471" s="17">
        <f>Github!O$470</f>
        <v>38.21671526</v>
      </c>
      <c r="L471" s="17">
        <f>Github!P$470</f>
        <v>9438</v>
      </c>
    </row>
    <row r="472">
      <c r="A472" s="17">
        <f>Github!J$471</f>
        <v>470</v>
      </c>
      <c r="B472" s="34" t="str">
        <f>HYPERLINK(CONCAT("http://leetcode.com/problems/",Github!C$471), Github!B$471)</f>
        <v>Implement Rand10() Using Rand7()</v>
      </c>
      <c r="C472" s="17">
        <f>Github!F$471</f>
        <v>853</v>
      </c>
      <c r="D472" s="17">
        <f>Github!G$471</f>
        <v>280</v>
      </c>
      <c r="E472" s="17">
        <f>Github!F$471+Github!G$471</f>
        <v>1133</v>
      </c>
      <c r="F472" s="18">
        <f t="shared" si="1"/>
        <v>3.05</v>
      </c>
      <c r="G472" s="17" t="str">
        <f>Github!H$471</f>
        <v>Algorithms</v>
      </c>
      <c r="H472" s="17" t="b">
        <f>Github!D$471</f>
        <v>0</v>
      </c>
      <c r="I472" s="17" t="str">
        <f>Github!E$471</f>
        <v>Medium</v>
      </c>
      <c r="J472" s="17" t="str">
        <f>ROUND(Github!N$471, 2)&amp;"%"</f>
        <v>0%</v>
      </c>
      <c r="K472" s="17">
        <f>Github!O$471</f>
        <v>46.70392266</v>
      </c>
      <c r="L472" s="17">
        <f>Github!P$471</f>
        <v>60674</v>
      </c>
    </row>
    <row r="473">
      <c r="A473" s="17">
        <f>Github!J$472</f>
        <v>471</v>
      </c>
      <c r="B473" s="34" t="str">
        <f>HYPERLINK(CONCAT("http://leetcode.com/problems/",Github!C$472), Github!B$472)</f>
        <v>Encode String with Shortest Length</v>
      </c>
      <c r="C473" s="17">
        <f>Github!F$472</f>
        <v>547</v>
      </c>
      <c r="D473" s="17">
        <f>Github!G$472</f>
        <v>33</v>
      </c>
      <c r="E473" s="17">
        <f>Github!F$472+Github!G$472</f>
        <v>580</v>
      </c>
      <c r="F473" s="18">
        <f t="shared" si="1"/>
        <v>16.58</v>
      </c>
      <c r="G473" s="17" t="str">
        <f>Github!H$472</f>
        <v>Algorithms</v>
      </c>
      <c r="H473" s="17" t="b">
        <f>Github!D$472</f>
        <v>1</v>
      </c>
      <c r="I473" s="17" t="str">
        <f>Github!E$472</f>
        <v>Hard</v>
      </c>
      <c r="J473" s="17" t="str">
        <f>ROUND(Github!N$472, 2)&amp;"%"</f>
        <v>0%</v>
      </c>
      <c r="K473" s="17">
        <f>Github!O$472</f>
        <v>50.65127569</v>
      </c>
      <c r="L473" s="17">
        <f>Github!P$472</f>
        <v>27337</v>
      </c>
    </row>
    <row r="474">
      <c r="A474" s="17">
        <f>Github!J$473</f>
        <v>472</v>
      </c>
      <c r="B474" s="34" t="str">
        <f>HYPERLINK(CONCAT("http://leetcode.com/problems/",Github!C$473), Github!B$473)</f>
        <v>Concatenated Words</v>
      </c>
      <c r="C474" s="17">
        <f>Github!F$473</f>
        <v>1788</v>
      </c>
      <c r="D474" s="17">
        <f>Github!G$473</f>
        <v>208</v>
      </c>
      <c r="E474" s="17">
        <f>Github!F$473+Github!G$473</f>
        <v>1996</v>
      </c>
      <c r="F474" s="18">
        <f t="shared" si="1"/>
        <v>8.6</v>
      </c>
      <c r="G474" s="17" t="str">
        <f>Github!H$473</f>
        <v>Algorithms</v>
      </c>
      <c r="H474" s="17" t="b">
        <f>Github!D$473</f>
        <v>0</v>
      </c>
      <c r="I474" s="17" t="str">
        <f>Github!E$473</f>
        <v>Hard</v>
      </c>
      <c r="J474" s="17" t="str">
        <f>ROUND(Github!N$473, 2)&amp;"%"</f>
        <v>0%</v>
      </c>
      <c r="K474" s="17">
        <f>Github!O$473</f>
        <v>42.47250366</v>
      </c>
      <c r="L474" s="17">
        <f>Github!P$473</f>
        <v>124459</v>
      </c>
    </row>
    <row r="475">
      <c r="A475" s="17">
        <f>Github!J$474</f>
        <v>473</v>
      </c>
      <c r="B475" s="34" t="str">
        <f>HYPERLINK(CONCAT("http://leetcode.com/problems/",Github!C$474), Github!B$474)</f>
        <v>Matchsticks to Square</v>
      </c>
      <c r="C475" s="17">
        <f>Github!F$474</f>
        <v>1526</v>
      </c>
      <c r="D475" s="17">
        <f>Github!G$474</f>
        <v>119</v>
      </c>
      <c r="E475" s="17">
        <f>Github!F$474+Github!G$474</f>
        <v>1645</v>
      </c>
      <c r="F475" s="18">
        <f t="shared" si="1"/>
        <v>12.82</v>
      </c>
      <c r="G475" s="17" t="str">
        <f>Github!H$474</f>
        <v>Algorithms</v>
      </c>
      <c r="H475" s="17" t="b">
        <f>Github!D$474</f>
        <v>0</v>
      </c>
      <c r="I475" s="17" t="str">
        <f>Github!E$474</f>
        <v>Medium</v>
      </c>
      <c r="J475" s="17" t="str">
        <f>ROUND(Github!N$474, 2)&amp;"%"</f>
        <v>0%</v>
      </c>
      <c r="K475" s="17">
        <f>Github!O$474</f>
        <v>40.37654868</v>
      </c>
      <c r="L475" s="17">
        <f>Github!P$474</f>
        <v>74695</v>
      </c>
    </row>
    <row r="476">
      <c r="A476" s="17">
        <f>Github!J$475</f>
        <v>474</v>
      </c>
      <c r="B476" s="34" t="str">
        <f>HYPERLINK(CONCAT("http://leetcode.com/problems/",Github!C$475), Github!B$475)</f>
        <v>Ones and Zeroes</v>
      </c>
      <c r="C476" s="17">
        <f>Github!F$475</f>
        <v>2719</v>
      </c>
      <c r="D476" s="17">
        <f>Github!G$475</f>
        <v>317</v>
      </c>
      <c r="E476" s="17">
        <f>Github!F$475+Github!G$475</f>
        <v>3036</v>
      </c>
      <c r="F476" s="18">
        <f t="shared" si="1"/>
        <v>8.58</v>
      </c>
      <c r="G476" s="17" t="str">
        <f>Github!H$475</f>
        <v>Algorithms</v>
      </c>
      <c r="H476" s="17" t="b">
        <f>Github!D$475</f>
        <v>0</v>
      </c>
      <c r="I476" s="17" t="str">
        <f>Github!E$475</f>
        <v>Medium</v>
      </c>
      <c r="J476" s="17" t="str">
        <f>ROUND(Github!N$475, 2)&amp;"%"</f>
        <v>0%</v>
      </c>
      <c r="K476" s="17">
        <f>Github!O$475</f>
        <v>44.42124079</v>
      </c>
      <c r="L476" s="17">
        <f>Github!P$475</f>
        <v>103376</v>
      </c>
    </row>
    <row r="477">
      <c r="A477" s="17">
        <f>Github!J$476</f>
        <v>475</v>
      </c>
      <c r="B477" s="34" t="str">
        <f>HYPERLINK(CONCAT("http://leetcode.com/problems/",Github!C$476), Github!B$476)</f>
        <v>Heaters</v>
      </c>
      <c r="C477" s="17">
        <f>Github!F$476</f>
        <v>1289</v>
      </c>
      <c r="D477" s="17">
        <f>Github!G$476</f>
        <v>1012</v>
      </c>
      <c r="E477" s="17">
        <f>Github!F$476+Github!G$476</f>
        <v>2301</v>
      </c>
      <c r="F477" s="18">
        <f t="shared" si="1"/>
        <v>1.27</v>
      </c>
      <c r="G477" s="17" t="str">
        <f>Github!H$476</f>
        <v>Algorithms</v>
      </c>
      <c r="H477" s="17" t="b">
        <f>Github!D$476</f>
        <v>0</v>
      </c>
      <c r="I477" s="17" t="str">
        <f>Github!E$476</f>
        <v>Medium</v>
      </c>
      <c r="J477" s="17" t="str">
        <f>ROUND(Github!N$476, 2)&amp;"%"</f>
        <v>0%</v>
      </c>
      <c r="K477" s="17">
        <f>Github!O$476</f>
        <v>35.06340784</v>
      </c>
      <c r="L477" s="17">
        <f>Github!P$476</f>
        <v>85574</v>
      </c>
    </row>
    <row r="478">
      <c r="A478" s="17">
        <f>Github!J$477</f>
        <v>476</v>
      </c>
      <c r="B478" s="34" t="str">
        <f>HYPERLINK(CONCAT("http://leetcode.com/problems/",Github!C$477), Github!B$477)</f>
        <v>Number Complement</v>
      </c>
      <c r="C478" s="17">
        <f>Github!F$477</f>
        <v>1918</v>
      </c>
      <c r="D478" s="17">
        <f>Github!G$477</f>
        <v>103</v>
      </c>
      <c r="E478" s="17">
        <f>Github!F$477+Github!G$477</f>
        <v>2021</v>
      </c>
      <c r="F478" s="18">
        <f t="shared" si="1"/>
        <v>18.62</v>
      </c>
      <c r="G478" s="17" t="str">
        <f>Github!H$477</f>
        <v>Algorithms</v>
      </c>
      <c r="H478" s="17" t="b">
        <f>Github!D$477</f>
        <v>0</v>
      </c>
      <c r="I478" s="17" t="str">
        <f>Github!E$477</f>
        <v>Easy</v>
      </c>
      <c r="J478" s="17" t="str">
        <f>ROUND(Github!N$477, 2)&amp;"%"</f>
        <v>0%</v>
      </c>
      <c r="K478" s="17">
        <f>Github!O$477</f>
        <v>66.61340581</v>
      </c>
      <c r="L478" s="17">
        <f>Github!P$477</f>
        <v>259311</v>
      </c>
    </row>
    <row r="479">
      <c r="A479" s="17">
        <f>Github!J$478</f>
        <v>477</v>
      </c>
      <c r="B479" s="34" t="str">
        <f>HYPERLINK(CONCAT("http://leetcode.com/problems/",Github!C$478), Github!B$478)</f>
        <v>Total Hamming Distance</v>
      </c>
      <c r="C479" s="17">
        <f>Github!F$478</f>
        <v>1575</v>
      </c>
      <c r="D479" s="17">
        <f>Github!G$478</f>
        <v>79</v>
      </c>
      <c r="E479" s="17">
        <f>Github!F$478+Github!G$478</f>
        <v>1654</v>
      </c>
      <c r="F479" s="18">
        <f t="shared" si="1"/>
        <v>19.94</v>
      </c>
      <c r="G479" s="17" t="str">
        <f>Github!H$478</f>
        <v>Algorithms</v>
      </c>
      <c r="H479" s="17" t="b">
        <f>Github!D$478</f>
        <v>0</v>
      </c>
      <c r="I479" s="17" t="str">
        <f>Github!E$478</f>
        <v>Medium</v>
      </c>
      <c r="J479" s="17" t="str">
        <f>ROUND(Github!N$478, 2)&amp;"%"</f>
        <v>0%</v>
      </c>
      <c r="K479" s="17">
        <f>Github!O$478</f>
        <v>51.88650751</v>
      </c>
      <c r="L479" s="17">
        <f>Github!P$478</f>
        <v>85893</v>
      </c>
    </row>
    <row r="480">
      <c r="A480" s="17">
        <f>Github!J$479</f>
        <v>478</v>
      </c>
      <c r="B480" s="34" t="str">
        <f>HYPERLINK(CONCAT("http://leetcode.com/problems/",Github!C$479), Github!B$479)</f>
        <v>Generate Random Point in a Circle</v>
      </c>
      <c r="C480" s="17">
        <f>Github!F$479</f>
        <v>354</v>
      </c>
      <c r="D480" s="17">
        <f>Github!G$479</f>
        <v>664</v>
      </c>
      <c r="E480" s="17">
        <f>Github!F$479+Github!G$479</f>
        <v>1018</v>
      </c>
      <c r="F480" s="18">
        <f t="shared" si="1"/>
        <v>0.53</v>
      </c>
      <c r="G480" s="17" t="str">
        <f>Github!H$479</f>
        <v>Algorithms</v>
      </c>
      <c r="H480" s="17" t="b">
        <f>Github!D$479</f>
        <v>0</v>
      </c>
      <c r="I480" s="17" t="str">
        <f>Github!E$479</f>
        <v>Medium</v>
      </c>
      <c r="J480" s="17" t="str">
        <f>ROUND(Github!N$479, 2)&amp;"%"</f>
        <v>0%</v>
      </c>
      <c r="K480" s="17">
        <f>Github!O$479</f>
        <v>39.33925663</v>
      </c>
      <c r="L480" s="17">
        <f>Github!P$479</f>
        <v>32853</v>
      </c>
    </row>
    <row r="481">
      <c r="A481" s="17">
        <f>Github!J$480</f>
        <v>479</v>
      </c>
      <c r="B481" s="34" t="str">
        <f>HYPERLINK(CONCAT("http://leetcode.com/problems/",Github!C$480), Github!B$480)</f>
        <v>Largest Palindrome Product</v>
      </c>
      <c r="C481" s="17">
        <f>Github!F$480</f>
        <v>121</v>
      </c>
      <c r="D481" s="17">
        <f>Github!G$480</f>
        <v>1437</v>
      </c>
      <c r="E481" s="17">
        <f>Github!F$480+Github!G$480</f>
        <v>1558</v>
      </c>
      <c r="F481" s="18">
        <f t="shared" si="1"/>
        <v>0.08</v>
      </c>
      <c r="G481" s="17" t="str">
        <f>Github!H$480</f>
        <v>Algorithms</v>
      </c>
      <c r="H481" s="17" t="b">
        <f>Github!D$480</f>
        <v>0</v>
      </c>
      <c r="I481" s="17" t="str">
        <f>Github!E$480</f>
        <v>Hard</v>
      </c>
      <c r="J481" s="17" t="str">
        <f>ROUND(Github!N$480, 2)&amp;"%"</f>
        <v>0%</v>
      </c>
      <c r="K481" s="17">
        <f>Github!O$480</f>
        <v>30.82351478</v>
      </c>
      <c r="L481" s="17">
        <f>Github!P$480</f>
        <v>19830</v>
      </c>
    </row>
    <row r="482">
      <c r="A482" s="17">
        <f>Github!J$481</f>
        <v>480</v>
      </c>
      <c r="B482" s="34" t="str">
        <f>HYPERLINK(CONCAT("http://leetcode.com/problems/",Github!C$481), Github!B$481)</f>
        <v>Sliding Window Median</v>
      </c>
      <c r="C482" s="17">
        <f>Github!F$481</f>
        <v>2034</v>
      </c>
      <c r="D482" s="17">
        <f>Github!G$481</f>
        <v>125</v>
      </c>
      <c r="E482" s="17">
        <f>Github!F$481+Github!G$481</f>
        <v>2159</v>
      </c>
      <c r="F482" s="18">
        <f t="shared" si="1"/>
        <v>16.27</v>
      </c>
      <c r="G482" s="17" t="str">
        <f>Github!H$481</f>
        <v>Algorithms</v>
      </c>
      <c r="H482" s="17" t="b">
        <f>Github!D$481</f>
        <v>0</v>
      </c>
      <c r="I482" s="17" t="str">
        <f>Github!E$481</f>
        <v>Hard</v>
      </c>
      <c r="J482" s="17" t="str">
        <f>ROUND(Github!N$481, 2)&amp;"%"</f>
        <v>0%</v>
      </c>
      <c r="K482" s="17">
        <f>Github!O$481</f>
        <v>40.71239053</v>
      </c>
      <c r="L482" s="17">
        <f>Github!P$481</f>
        <v>100045</v>
      </c>
    </row>
    <row r="483">
      <c r="A483" s="17">
        <f>Github!J$482</f>
        <v>481</v>
      </c>
      <c r="B483" s="34" t="str">
        <f>HYPERLINK(CONCAT("http://leetcode.com/problems/",Github!C$482), Github!B$482)</f>
        <v>Magical String</v>
      </c>
      <c r="C483" s="17">
        <f>Github!F$482</f>
        <v>174</v>
      </c>
      <c r="D483" s="17">
        <f>Github!G$482</f>
        <v>910</v>
      </c>
      <c r="E483" s="17">
        <f>Github!F$482+Github!G$482</f>
        <v>1084</v>
      </c>
      <c r="F483" s="18">
        <f t="shared" si="1"/>
        <v>0.19</v>
      </c>
      <c r="G483" s="17" t="str">
        <f>Github!H$482</f>
        <v>Algorithms</v>
      </c>
      <c r="H483" s="17" t="b">
        <f>Github!D$482</f>
        <v>0</v>
      </c>
      <c r="I483" s="17" t="str">
        <f>Github!E$482</f>
        <v>Medium</v>
      </c>
      <c r="J483" s="17" t="str">
        <f>ROUND(Github!N$482, 2)&amp;"%"</f>
        <v>0%</v>
      </c>
      <c r="K483" s="17">
        <f>Github!O$482</f>
        <v>49.49340887</v>
      </c>
      <c r="L483" s="17">
        <f>Github!P$482</f>
        <v>27251</v>
      </c>
    </row>
    <row r="484">
      <c r="A484" s="17">
        <f>Github!J$483</f>
        <v>482</v>
      </c>
      <c r="B484" s="34" t="str">
        <f>HYPERLINK(CONCAT("http://leetcode.com/problems/",Github!C$483), Github!B$483)</f>
        <v>License Key Formatting</v>
      </c>
      <c r="C484" s="17">
        <f>Github!F$483</f>
        <v>733</v>
      </c>
      <c r="D484" s="17">
        <f>Github!G$483</f>
        <v>1057</v>
      </c>
      <c r="E484" s="17">
        <f>Github!F$483+Github!G$483</f>
        <v>1790</v>
      </c>
      <c r="F484" s="18">
        <f t="shared" si="1"/>
        <v>0.69</v>
      </c>
      <c r="G484" s="17" t="str">
        <f>Github!H$483</f>
        <v>Algorithms</v>
      </c>
      <c r="H484" s="17" t="b">
        <f>Github!D$483</f>
        <v>0</v>
      </c>
      <c r="I484" s="17" t="str">
        <f>Github!E$483</f>
        <v>Easy</v>
      </c>
      <c r="J484" s="17" t="str">
        <f>ROUND(Github!N$483, 2)&amp;"%"</f>
        <v>0%</v>
      </c>
      <c r="K484" s="17">
        <f>Github!O$483</f>
        <v>43.12549197</v>
      </c>
      <c r="L484" s="17">
        <f>Github!P$483</f>
        <v>205452</v>
      </c>
    </row>
    <row r="485">
      <c r="A485" s="17">
        <f>Github!J$484</f>
        <v>483</v>
      </c>
      <c r="B485" s="34" t="str">
        <f>HYPERLINK(CONCAT("http://leetcode.com/problems/",Github!C$484), Github!B$484)</f>
        <v>Smallest Good Base</v>
      </c>
      <c r="C485" s="17">
        <f>Github!F$484</f>
        <v>261</v>
      </c>
      <c r="D485" s="17">
        <f>Github!G$484</f>
        <v>424</v>
      </c>
      <c r="E485" s="17">
        <f>Github!F$484+Github!G$484</f>
        <v>685</v>
      </c>
      <c r="F485" s="18">
        <f t="shared" si="1"/>
        <v>0.62</v>
      </c>
      <c r="G485" s="17" t="str">
        <f>Github!H$484</f>
        <v>Algorithms</v>
      </c>
      <c r="H485" s="17" t="b">
        <f>Github!D$484</f>
        <v>0</v>
      </c>
      <c r="I485" s="17" t="str">
        <f>Github!E$484</f>
        <v>Hard</v>
      </c>
      <c r="J485" s="17" t="str">
        <f>ROUND(Github!N$484, 2)&amp;"%"</f>
        <v>0%</v>
      </c>
      <c r="K485" s="17">
        <f>Github!O$484</f>
        <v>37.7681424</v>
      </c>
      <c r="L485" s="17">
        <f>Github!P$484</f>
        <v>16550</v>
      </c>
    </row>
    <row r="486">
      <c r="A486" s="17">
        <f>Github!J$485</f>
        <v>484</v>
      </c>
      <c r="B486" s="34" t="str">
        <f>HYPERLINK(CONCAT("http://leetcode.com/problems/",Github!C$485), Github!B$485)</f>
        <v>Find Permutation</v>
      </c>
      <c r="C486" s="17">
        <f>Github!F$485</f>
        <v>480</v>
      </c>
      <c r="D486" s="17">
        <f>Github!G$485</f>
        <v>79</v>
      </c>
      <c r="E486" s="17">
        <f>Github!F$485+Github!G$485</f>
        <v>559</v>
      </c>
      <c r="F486" s="18">
        <f t="shared" si="1"/>
        <v>6.08</v>
      </c>
      <c r="G486" s="17" t="str">
        <f>Github!H$485</f>
        <v>Algorithms</v>
      </c>
      <c r="H486" s="17" t="b">
        <f>Github!D$485</f>
        <v>1</v>
      </c>
      <c r="I486" s="17" t="str">
        <f>Github!E$485</f>
        <v>Medium</v>
      </c>
      <c r="J486" s="17" t="str">
        <f>ROUND(Github!N$485, 2)&amp;"%"</f>
        <v>0%</v>
      </c>
      <c r="K486" s="17">
        <f>Github!O$485</f>
        <v>64.30138293</v>
      </c>
      <c r="L486" s="17">
        <f>Github!P$485</f>
        <v>26968</v>
      </c>
    </row>
    <row r="487">
      <c r="A487" s="17">
        <f>Github!J$486</f>
        <v>485</v>
      </c>
      <c r="B487" s="34" t="str">
        <f>HYPERLINK(CONCAT("http://leetcode.com/problems/",Github!C$486), Github!B$486)</f>
        <v>Max Consecutive Ones</v>
      </c>
      <c r="C487" s="17">
        <f>Github!F$486</f>
        <v>2409</v>
      </c>
      <c r="D487" s="17">
        <f>Github!G$486</f>
        <v>394</v>
      </c>
      <c r="E487" s="17">
        <f>Github!F$486+Github!G$486</f>
        <v>2803</v>
      </c>
      <c r="F487" s="18">
        <f t="shared" si="1"/>
        <v>6.11</v>
      </c>
      <c r="G487" s="17" t="str">
        <f>Github!H$486</f>
        <v>Algorithms</v>
      </c>
      <c r="H487" s="17" t="b">
        <f>Github!D$486</f>
        <v>0</v>
      </c>
      <c r="I487" s="17" t="str">
        <f>Github!E$486</f>
        <v>Easy</v>
      </c>
      <c r="J487" s="17" t="str">
        <f>ROUND(Github!N$486, 2)&amp;"%"</f>
        <v>0%</v>
      </c>
      <c r="K487" s="17">
        <f>Github!O$486</f>
        <v>54.8905164</v>
      </c>
      <c r="L487" s="17">
        <f>Github!P$486</f>
        <v>617867</v>
      </c>
    </row>
    <row r="488">
      <c r="A488" s="17">
        <f>Github!J$487</f>
        <v>486</v>
      </c>
      <c r="B488" s="34" t="str">
        <f>HYPERLINK(CONCAT("http://leetcode.com/problems/",Github!C$487), Github!B$487)</f>
        <v>Predict the Winner</v>
      </c>
      <c r="C488" s="17">
        <f>Github!F$487</f>
        <v>2753</v>
      </c>
      <c r="D488" s="17">
        <f>Github!G$487</f>
        <v>143</v>
      </c>
      <c r="E488" s="17">
        <f>Github!F$487+Github!G$487</f>
        <v>2896</v>
      </c>
      <c r="F488" s="18">
        <f t="shared" si="1"/>
        <v>19.25</v>
      </c>
      <c r="G488" s="17" t="str">
        <f>Github!H$487</f>
        <v>Algorithms</v>
      </c>
      <c r="H488" s="17" t="b">
        <f>Github!D$487</f>
        <v>0</v>
      </c>
      <c r="I488" s="17" t="str">
        <f>Github!E$487</f>
        <v>Medium</v>
      </c>
      <c r="J488" s="17" t="str">
        <f>ROUND(Github!N$487, 2)&amp;"%"</f>
        <v>0%</v>
      </c>
      <c r="K488" s="17">
        <f>Github!O$487</f>
        <v>50.11332813</v>
      </c>
      <c r="L488" s="17">
        <f>Github!P$487</f>
        <v>107896</v>
      </c>
    </row>
    <row r="489">
      <c r="A489" s="17">
        <f>Github!J$488</f>
        <v>487</v>
      </c>
      <c r="B489" s="34" t="str">
        <f>HYPERLINK(CONCAT("http://leetcode.com/problems/",Github!C$488), Github!B$488)</f>
        <v>Max Consecutive Ones II</v>
      </c>
      <c r="C489" s="17">
        <f>Github!F$488</f>
        <v>1024</v>
      </c>
      <c r="D489" s="17">
        <f>Github!G$488</f>
        <v>21</v>
      </c>
      <c r="E489" s="17">
        <f>Github!F$488+Github!G$488</f>
        <v>1045</v>
      </c>
      <c r="F489" s="18">
        <f t="shared" si="1"/>
        <v>48.76</v>
      </c>
      <c r="G489" s="17" t="str">
        <f>Github!H$488</f>
        <v>Algorithms</v>
      </c>
      <c r="H489" s="17" t="b">
        <f>Github!D$488</f>
        <v>1</v>
      </c>
      <c r="I489" s="17" t="str">
        <f>Github!E$488</f>
        <v>Medium</v>
      </c>
      <c r="J489" s="17" t="str">
        <f>ROUND(Github!N$488, 2)&amp;"%"</f>
        <v>0%</v>
      </c>
      <c r="K489" s="17">
        <f>Github!O$488</f>
        <v>48.78221483</v>
      </c>
      <c r="L489" s="17">
        <f>Github!P$488</f>
        <v>86803</v>
      </c>
    </row>
    <row r="490">
      <c r="A490" s="17">
        <f>Github!J$489</f>
        <v>488</v>
      </c>
      <c r="B490" s="34" t="str">
        <f>HYPERLINK(CONCAT("http://leetcode.com/problems/",Github!C$489), Github!B$489)</f>
        <v>Zuma Game</v>
      </c>
      <c r="C490" s="17">
        <f>Github!F$489</f>
        <v>329</v>
      </c>
      <c r="D490" s="17">
        <f>Github!G$489</f>
        <v>386</v>
      </c>
      <c r="E490" s="17">
        <f>Github!F$489+Github!G$489</f>
        <v>715</v>
      </c>
      <c r="F490" s="18">
        <f t="shared" si="1"/>
        <v>0.85</v>
      </c>
      <c r="G490" s="17" t="str">
        <f>Github!H$489</f>
        <v>Algorithms</v>
      </c>
      <c r="H490" s="17" t="b">
        <f>Github!D$489</f>
        <v>0</v>
      </c>
      <c r="I490" s="17" t="str">
        <f>Github!E$489</f>
        <v>Hard</v>
      </c>
      <c r="J490" s="17" t="str">
        <f>ROUND(Github!N$489, 2)&amp;"%"</f>
        <v>0%</v>
      </c>
      <c r="K490" s="17">
        <f>Github!O$489</f>
        <v>36.58033974</v>
      </c>
      <c r="L490" s="17">
        <f>Github!P$489</f>
        <v>19704</v>
      </c>
    </row>
    <row r="491">
      <c r="A491" s="17">
        <f>Github!J$490</f>
        <v>489</v>
      </c>
      <c r="B491" s="34" t="str">
        <f>HYPERLINK(CONCAT("http://leetcode.com/problems/",Github!C$490), Github!B$490)</f>
        <v>Robot Room Cleaner</v>
      </c>
      <c r="C491" s="17">
        <f>Github!F$490</f>
        <v>2083</v>
      </c>
      <c r="D491" s="17">
        <f>Github!G$490</f>
        <v>122</v>
      </c>
      <c r="E491" s="17">
        <f>Github!F$490+Github!G$490</f>
        <v>2205</v>
      </c>
      <c r="F491" s="18">
        <f t="shared" si="1"/>
        <v>17.07</v>
      </c>
      <c r="G491" s="17" t="str">
        <f>Github!H$490</f>
        <v>Algorithms</v>
      </c>
      <c r="H491" s="17" t="b">
        <f>Github!D$490</f>
        <v>1</v>
      </c>
      <c r="I491" s="17" t="str">
        <f>Github!E$490</f>
        <v>Hard</v>
      </c>
      <c r="J491" s="17" t="str">
        <f>ROUND(Github!N$490, 2)&amp;"%"</f>
        <v>0%</v>
      </c>
      <c r="K491" s="17">
        <f>Github!O$490</f>
        <v>75.37922829</v>
      </c>
      <c r="L491" s="17">
        <f>Github!P$490</f>
        <v>111510</v>
      </c>
    </row>
    <row r="492">
      <c r="A492" s="17">
        <f>Github!J$491</f>
        <v>490</v>
      </c>
      <c r="B492" s="34" t="str">
        <f>HYPERLINK(CONCAT("http://leetcode.com/problems/",Github!C$491), Github!B$491)</f>
        <v>The Maze</v>
      </c>
      <c r="C492" s="17">
        <f>Github!F$491</f>
        <v>1361</v>
      </c>
      <c r="D492" s="17">
        <f>Github!G$491</f>
        <v>148</v>
      </c>
      <c r="E492" s="17">
        <f>Github!F$491+Github!G$491</f>
        <v>1509</v>
      </c>
      <c r="F492" s="18">
        <f t="shared" si="1"/>
        <v>9.2</v>
      </c>
      <c r="G492" s="17" t="str">
        <f>Github!H$491</f>
        <v>Algorithms</v>
      </c>
      <c r="H492" s="17" t="b">
        <f>Github!D$491</f>
        <v>1</v>
      </c>
      <c r="I492" s="17" t="str">
        <f>Github!E$491</f>
        <v>Medium</v>
      </c>
      <c r="J492" s="17" t="str">
        <f>ROUND(Github!N$491, 2)&amp;"%"</f>
        <v>0%</v>
      </c>
      <c r="K492" s="17">
        <f>Github!O$491</f>
        <v>54.49384555</v>
      </c>
      <c r="L492" s="17">
        <f>Github!P$491</f>
        <v>114133</v>
      </c>
    </row>
    <row r="493">
      <c r="A493" s="17">
        <f>Github!J$492</f>
        <v>491</v>
      </c>
      <c r="B493" s="34" t="str">
        <f>HYPERLINK(CONCAT("http://leetcode.com/problems/",Github!C$492), Github!B$492)</f>
        <v>Increasing Subsequences</v>
      </c>
      <c r="C493" s="17">
        <f>Github!F$492</f>
        <v>1387</v>
      </c>
      <c r="D493" s="17">
        <f>Github!G$492</f>
        <v>147</v>
      </c>
      <c r="E493" s="17">
        <f>Github!F$492+Github!G$492</f>
        <v>1534</v>
      </c>
      <c r="F493" s="18">
        <f t="shared" si="1"/>
        <v>9.44</v>
      </c>
      <c r="G493" s="17" t="str">
        <f>Github!H$492</f>
        <v>Algorithms</v>
      </c>
      <c r="H493" s="17" t="b">
        <f>Github!D$492</f>
        <v>0</v>
      </c>
      <c r="I493" s="17" t="str">
        <f>Github!E$492</f>
        <v>Medium</v>
      </c>
      <c r="J493" s="17" t="str">
        <f>ROUND(Github!N$492, 2)&amp;"%"</f>
        <v>0%</v>
      </c>
      <c r="K493" s="17">
        <f>Github!O$492</f>
        <v>50.54395601</v>
      </c>
      <c r="L493" s="17">
        <f>Github!P$492</f>
        <v>71872</v>
      </c>
    </row>
    <row r="494">
      <c r="A494" s="17">
        <f>Github!J$493</f>
        <v>492</v>
      </c>
      <c r="B494" s="34" t="str">
        <f>HYPERLINK(CONCAT("http://leetcode.com/problems/",Github!C$493), Github!B$493)</f>
        <v>Construct the Rectangle</v>
      </c>
      <c r="C494" s="17">
        <f>Github!F$493</f>
        <v>385</v>
      </c>
      <c r="D494" s="17">
        <f>Github!G$493</f>
        <v>319</v>
      </c>
      <c r="E494" s="17">
        <f>Github!F$493+Github!G$493</f>
        <v>704</v>
      </c>
      <c r="F494" s="18">
        <f t="shared" si="1"/>
        <v>1.21</v>
      </c>
      <c r="G494" s="17" t="str">
        <f>Github!H$493</f>
        <v>Algorithms</v>
      </c>
      <c r="H494" s="17" t="b">
        <f>Github!D$493</f>
        <v>0</v>
      </c>
      <c r="I494" s="17" t="str">
        <f>Github!E$493</f>
        <v>Easy</v>
      </c>
      <c r="J494" s="17" t="str">
        <f>ROUND(Github!N$493, 2)&amp;"%"</f>
        <v>0%</v>
      </c>
      <c r="K494" s="17">
        <f>Github!O$493</f>
        <v>52.41386892</v>
      </c>
      <c r="L494" s="17">
        <f>Github!P$493</f>
        <v>76280</v>
      </c>
    </row>
    <row r="495">
      <c r="A495" s="17">
        <f>Github!J$494</f>
        <v>493</v>
      </c>
      <c r="B495" s="34" t="str">
        <f>HYPERLINK(CONCAT("http://leetcode.com/problems/",Github!C$494), Github!B$494)</f>
        <v>Reverse Pairs</v>
      </c>
      <c r="C495" s="17">
        <f>Github!F$494</f>
        <v>2573</v>
      </c>
      <c r="D495" s="17">
        <f>Github!G$494</f>
        <v>174</v>
      </c>
      <c r="E495" s="17">
        <f>Github!F$494+Github!G$494</f>
        <v>2747</v>
      </c>
      <c r="F495" s="18">
        <f t="shared" si="1"/>
        <v>14.79</v>
      </c>
      <c r="G495" s="17" t="str">
        <f>Github!H$494</f>
        <v>Algorithms</v>
      </c>
      <c r="H495" s="17" t="b">
        <f>Github!D$494</f>
        <v>0</v>
      </c>
      <c r="I495" s="17" t="str">
        <f>Github!E$494</f>
        <v>Hard</v>
      </c>
      <c r="J495" s="17" t="str">
        <f>ROUND(Github!N$494, 2)&amp;"%"</f>
        <v>0%</v>
      </c>
      <c r="K495" s="17">
        <f>Github!O$494</f>
        <v>29.67540327</v>
      </c>
      <c r="L495" s="17">
        <f>Github!P$494</f>
        <v>77962</v>
      </c>
    </row>
    <row r="496">
      <c r="A496" s="17">
        <f>Github!J$495</f>
        <v>494</v>
      </c>
      <c r="B496" s="34" t="str">
        <f>HYPERLINK(CONCAT("http://leetcode.com/problems/",Github!C$495), Github!B$495)</f>
        <v>Target Sum</v>
      </c>
      <c r="C496" s="17">
        <f>Github!F$495</f>
        <v>6366</v>
      </c>
      <c r="D496" s="17">
        <f>Github!G$495</f>
        <v>246</v>
      </c>
      <c r="E496" s="17">
        <f>Github!F$495+Github!G$495</f>
        <v>6612</v>
      </c>
      <c r="F496" s="18">
        <f t="shared" si="1"/>
        <v>25.88</v>
      </c>
      <c r="G496" s="17" t="str">
        <f>Github!H$495</f>
        <v>Algorithms</v>
      </c>
      <c r="H496" s="17" t="b">
        <f>Github!D$495</f>
        <v>0</v>
      </c>
      <c r="I496" s="17" t="str">
        <f>Github!E$495</f>
        <v>Medium</v>
      </c>
      <c r="J496" s="17" t="str">
        <f>ROUND(Github!N$495, 2)&amp;"%"</f>
        <v>0%</v>
      </c>
      <c r="K496" s="17">
        <f>Github!O$495</f>
        <v>45.33425464</v>
      </c>
      <c r="L496" s="17">
        <f>Github!P$495</f>
        <v>328693</v>
      </c>
    </row>
    <row r="497">
      <c r="A497" s="17">
        <f>Github!J$496</f>
        <v>495</v>
      </c>
      <c r="B497" s="34" t="str">
        <f>HYPERLINK(CONCAT("http://leetcode.com/problems/",Github!C$496), Github!B$496)</f>
        <v>Teemo Attacking</v>
      </c>
      <c r="C497" s="17">
        <f>Github!F$496</f>
        <v>358</v>
      </c>
      <c r="D497" s="17">
        <f>Github!G$496</f>
        <v>34</v>
      </c>
      <c r="E497" s="17">
        <f>Github!F$496+Github!G$496</f>
        <v>392</v>
      </c>
      <c r="F497" s="18">
        <f t="shared" si="1"/>
        <v>10.53</v>
      </c>
      <c r="G497" s="17" t="str">
        <f>Github!H$496</f>
        <v>Algorithms</v>
      </c>
      <c r="H497" s="17" t="b">
        <f>Github!D$496</f>
        <v>0</v>
      </c>
      <c r="I497" s="17" t="str">
        <f>Github!E$496</f>
        <v>Easy</v>
      </c>
      <c r="J497" s="17" t="str">
        <f>ROUND(Github!N$496, 2)&amp;"%"</f>
        <v>0%</v>
      </c>
      <c r="K497" s="17">
        <f>Github!O$496</f>
        <v>56.83874433</v>
      </c>
      <c r="L497" s="17">
        <f>Github!P$496</f>
        <v>95237</v>
      </c>
    </row>
    <row r="498">
      <c r="A498" s="17">
        <f>Github!J$497</f>
        <v>496</v>
      </c>
      <c r="B498" s="34" t="str">
        <f>HYPERLINK(CONCAT("http://leetcode.com/problems/",Github!C$497), Github!B$497)</f>
        <v>Next Greater Element I</v>
      </c>
      <c r="C498" s="17">
        <f>Github!F$497</f>
        <v>2276</v>
      </c>
      <c r="D498" s="17">
        <f>Github!G$497</f>
        <v>147</v>
      </c>
      <c r="E498" s="17">
        <f>Github!F$497+Github!G$497</f>
        <v>2423</v>
      </c>
      <c r="F498" s="18">
        <f t="shared" si="1"/>
        <v>15.48</v>
      </c>
      <c r="G498" s="17" t="str">
        <f>Github!H$497</f>
        <v>Algorithms</v>
      </c>
      <c r="H498" s="17" t="b">
        <f>Github!D$497</f>
        <v>0</v>
      </c>
      <c r="I498" s="17" t="str">
        <f>Github!E$497</f>
        <v>Easy</v>
      </c>
      <c r="J498" s="17" t="str">
        <f>ROUND(Github!N$497, 2)&amp;"%"</f>
        <v>0%</v>
      </c>
      <c r="K498" s="17">
        <f>Github!O$497</f>
        <v>69.66741299</v>
      </c>
      <c r="L498" s="17">
        <f>Github!P$497</f>
        <v>329204</v>
      </c>
    </row>
    <row r="499">
      <c r="A499" s="17">
        <f>Github!J$498</f>
        <v>497</v>
      </c>
      <c r="B499" s="34" t="str">
        <f>HYPERLINK(CONCAT("http://leetcode.com/problems/",Github!C$498), Github!B$498)</f>
        <v>Random Point in Non-overlapping Rectangles</v>
      </c>
      <c r="C499" s="17">
        <f>Github!F$498</f>
        <v>377</v>
      </c>
      <c r="D499" s="17">
        <f>Github!G$498</f>
        <v>588</v>
      </c>
      <c r="E499" s="17">
        <f>Github!F$498+Github!G$498</f>
        <v>965</v>
      </c>
      <c r="F499" s="18">
        <f t="shared" si="1"/>
        <v>0.64</v>
      </c>
      <c r="G499" s="17" t="str">
        <f>Github!H$498</f>
        <v>Algorithms</v>
      </c>
      <c r="H499" s="17" t="b">
        <f>Github!D$498</f>
        <v>0</v>
      </c>
      <c r="I499" s="17" t="str">
        <f>Github!E$498</f>
        <v>Medium</v>
      </c>
      <c r="J499" s="17" t="str">
        <f>ROUND(Github!N$498, 2)&amp;"%"</f>
        <v>0%</v>
      </c>
      <c r="K499" s="17">
        <f>Github!O$498</f>
        <v>39.12046468</v>
      </c>
      <c r="L499" s="17">
        <f>Github!P$498</f>
        <v>33608</v>
      </c>
    </row>
    <row r="500">
      <c r="A500" s="17">
        <f>Github!J$499</f>
        <v>498</v>
      </c>
      <c r="B500" s="34" t="str">
        <f>HYPERLINK(CONCAT("http://leetcode.com/problems/",Github!C$499), Github!B$499)</f>
        <v>Diagonal Traverse</v>
      </c>
      <c r="C500" s="17">
        <f>Github!F$499</f>
        <v>2018</v>
      </c>
      <c r="D500" s="17">
        <f>Github!G$499</f>
        <v>512</v>
      </c>
      <c r="E500" s="17">
        <f>Github!F$499+Github!G$499</f>
        <v>2530</v>
      </c>
      <c r="F500" s="18">
        <f t="shared" si="1"/>
        <v>3.94</v>
      </c>
      <c r="G500" s="17" t="str">
        <f>Github!H$499</f>
        <v>Algorithms</v>
      </c>
      <c r="H500" s="17" t="b">
        <f>Github!D$499</f>
        <v>0</v>
      </c>
      <c r="I500" s="17" t="str">
        <f>Github!E$499</f>
        <v>Medium</v>
      </c>
      <c r="J500" s="17" t="str">
        <f>ROUND(Github!N$499, 2)&amp;"%"</f>
        <v>0%</v>
      </c>
      <c r="K500" s="17">
        <f>Github!O$499</f>
        <v>55.97925335</v>
      </c>
      <c r="L500" s="17">
        <f>Github!P$499</f>
        <v>186070</v>
      </c>
    </row>
    <row r="501">
      <c r="A501" s="17">
        <f>Github!J$500</f>
        <v>499</v>
      </c>
      <c r="B501" s="34" t="str">
        <f>HYPERLINK(CONCAT("http://leetcode.com/problems/",Github!C$500), Github!B$500)</f>
        <v>The Maze III</v>
      </c>
      <c r="C501" s="17">
        <f>Github!F$500</f>
        <v>335</v>
      </c>
      <c r="D501" s="17">
        <f>Github!G$500</f>
        <v>60</v>
      </c>
      <c r="E501" s="17">
        <f>Github!F$500+Github!G$500</f>
        <v>395</v>
      </c>
      <c r="F501" s="18">
        <f t="shared" si="1"/>
        <v>5.58</v>
      </c>
      <c r="G501" s="17" t="str">
        <f>Github!H$500</f>
        <v>Algorithms</v>
      </c>
      <c r="H501" s="17" t="b">
        <f>Github!D$500</f>
        <v>1</v>
      </c>
      <c r="I501" s="17" t="str">
        <f>Github!E$500</f>
        <v>Hard</v>
      </c>
      <c r="J501" s="17" t="str">
        <f>ROUND(Github!N$500, 2)&amp;"%"</f>
        <v>0%</v>
      </c>
      <c r="K501" s="17">
        <f>Github!O$500</f>
        <v>44.86132433</v>
      </c>
      <c r="L501" s="17">
        <f>Github!P$500</f>
        <v>21917</v>
      </c>
    </row>
    <row r="502">
      <c r="A502" s="17">
        <f>Github!J$501</f>
        <v>500</v>
      </c>
      <c r="B502" s="34" t="str">
        <f>HYPERLINK(CONCAT("http://leetcode.com/problems/",Github!C$501), Github!B$501)</f>
        <v>Keyboard Row</v>
      </c>
      <c r="C502" s="17">
        <f>Github!F$501</f>
        <v>865</v>
      </c>
      <c r="D502" s="17">
        <f>Github!G$501</f>
        <v>886</v>
      </c>
      <c r="E502" s="17">
        <f>Github!F$501+Github!G$501</f>
        <v>1751</v>
      </c>
      <c r="F502" s="18">
        <f t="shared" si="1"/>
        <v>0.98</v>
      </c>
      <c r="G502" s="17" t="str">
        <f>Github!H$501</f>
        <v>Algorithms</v>
      </c>
      <c r="H502" s="17" t="b">
        <f>Github!D$501</f>
        <v>0</v>
      </c>
      <c r="I502" s="17" t="str">
        <f>Github!E$501</f>
        <v>Easy</v>
      </c>
      <c r="J502" s="17" t="str">
        <f>ROUND(Github!N$501, 2)&amp;"%"</f>
        <v>0%</v>
      </c>
      <c r="K502" s="17">
        <f>Github!O$501</f>
        <v>67.76608456</v>
      </c>
      <c r="L502" s="17">
        <f>Github!P$501</f>
        <v>147453</v>
      </c>
    </row>
    <row r="503">
      <c r="A503" s="17">
        <f>Github!J$502</f>
        <v>501</v>
      </c>
      <c r="B503" s="34" t="str">
        <f>HYPERLINK(CONCAT("http://leetcode.com/problems/",Github!C$502), Github!B$502)</f>
        <v>Find Mode in Binary Search Tree</v>
      </c>
      <c r="C503" s="17">
        <f>Github!F$502</f>
        <v>1998</v>
      </c>
      <c r="D503" s="17">
        <f>Github!G$502</f>
        <v>540</v>
      </c>
      <c r="E503" s="17">
        <f>Github!F$502+Github!G$502</f>
        <v>2538</v>
      </c>
      <c r="F503" s="18">
        <f t="shared" si="1"/>
        <v>3.7</v>
      </c>
      <c r="G503" s="17" t="str">
        <f>Github!H$502</f>
        <v>Algorithms</v>
      </c>
      <c r="H503" s="17" t="b">
        <f>Github!D$502</f>
        <v>0</v>
      </c>
      <c r="I503" s="17" t="str">
        <f>Github!E$502</f>
        <v>Easy</v>
      </c>
      <c r="J503" s="17" t="str">
        <f>ROUND(Github!N$502, 2)&amp;"%"</f>
        <v>0%</v>
      </c>
      <c r="K503" s="17">
        <f>Github!O$502</f>
        <v>46.84153777</v>
      </c>
      <c r="L503" s="17">
        <f>Github!P$502</f>
        <v>144662</v>
      </c>
    </row>
    <row r="504">
      <c r="A504" s="17">
        <f>Github!J$503</f>
        <v>502</v>
      </c>
      <c r="B504" s="34" t="str">
        <f>HYPERLINK(CONCAT("http://leetcode.com/problems/",Github!C$503), Github!B$503)</f>
        <v>IPO</v>
      </c>
      <c r="C504" s="17">
        <f>Github!F$503</f>
        <v>755</v>
      </c>
      <c r="D504" s="17">
        <f>Github!G$503</f>
        <v>68</v>
      </c>
      <c r="E504" s="17">
        <f>Github!F$503+Github!G$503</f>
        <v>823</v>
      </c>
      <c r="F504" s="18">
        <f t="shared" si="1"/>
        <v>11.1</v>
      </c>
      <c r="G504" s="17" t="str">
        <f>Github!H$503</f>
        <v>Algorithms</v>
      </c>
      <c r="H504" s="17" t="b">
        <f>Github!D$503</f>
        <v>0</v>
      </c>
      <c r="I504" s="17" t="str">
        <f>Github!E$503</f>
        <v>Hard</v>
      </c>
      <c r="J504" s="17" t="str">
        <f>ROUND(Github!N$503, 2)&amp;"%"</f>
        <v>0%</v>
      </c>
      <c r="K504" s="17">
        <f>Github!O$503</f>
        <v>43.83474934</v>
      </c>
      <c r="L504" s="17">
        <f>Github!P$503</f>
        <v>31162</v>
      </c>
    </row>
    <row r="505">
      <c r="A505" s="17">
        <f>Github!J$504</f>
        <v>503</v>
      </c>
      <c r="B505" s="34" t="str">
        <f>HYPERLINK(CONCAT("http://leetcode.com/problems/",Github!C$504), Github!B$504)</f>
        <v>Next Greater Element II</v>
      </c>
      <c r="C505" s="17">
        <f>Github!F$504</f>
        <v>4179</v>
      </c>
      <c r="D505" s="17">
        <f>Github!G$504</f>
        <v>127</v>
      </c>
      <c r="E505" s="17">
        <f>Github!F$504+Github!G$504</f>
        <v>4306</v>
      </c>
      <c r="F505" s="18">
        <f t="shared" si="1"/>
        <v>32.91</v>
      </c>
      <c r="G505" s="17" t="str">
        <f>Github!H$504</f>
        <v>Algorithms</v>
      </c>
      <c r="H505" s="17" t="b">
        <f>Github!D$504</f>
        <v>0</v>
      </c>
      <c r="I505" s="17" t="str">
        <f>Github!E$504</f>
        <v>Medium</v>
      </c>
      <c r="J505" s="17" t="str">
        <f>ROUND(Github!N$504, 2)&amp;"%"</f>
        <v>0%</v>
      </c>
      <c r="K505" s="17">
        <f>Github!O$504</f>
        <v>61.70134442</v>
      </c>
      <c r="L505" s="17">
        <f>Github!P$504</f>
        <v>202798</v>
      </c>
    </row>
    <row r="506">
      <c r="A506" s="17">
        <f>Github!J$505</f>
        <v>504</v>
      </c>
      <c r="B506" s="34" t="str">
        <f>HYPERLINK(CONCAT("http://leetcode.com/problems/",Github!C$505), Github!B$505)</f>
        <v>Base 7</v>
      </c>
      <c r="C506" s="17">
        <f>Github!F$505</f>
        <v>446</v>
      </c>
      <c r="D506" s="17">
        <f>Github!G$505</f>
        <v>189</v>
      </c>
      <c r="E506" s="17">
        <f>Github!F$505+Github!G$505</f>
        <v>635</v>
      </c>
      <c r="F506" s="18">
        <f t="shared" si="1"/>
        <v>2.36</v>
      </c>
      <c r="G506" s="17" t="str">
        <f>Github!H$505</f>
        <v>Algorithms</v>
      </c>
      <c r="H506" s="17" t="b">
        <f>Github!D$505</f>
        <v>0</v>
      </c>
      <c r="I506" s="17" t="str">
        <f>Github!E$505</f>
        <v>Easy</v>
      </c>
      <c r="J506" s="17" t="str">
        <f>ROUND(Github!N$505, 2)&amp;"%"</f>
        <v>0%</v>
      </c>
      <c r="K506" s="17">
        <f>Github!O$505</f>
        <v>47.3521138</v>
      </c>
      <c r="L506" s="17">
        <f>Github!P$505</f>
        <v>82986</v>
      </c>
    </row>
    <row r="507">
      <c r="A507" s="17">
        <f>Github!J$506</f>
        <v>505</v>
      </c>
      <c r="B507" s="34" t="str">
        <f>HYPERLINK(CONCAT("http://leetcode.com/problems/",Github!C$506), Github!B$506)</f>
        <v>The Maze II</v>
      </c>
      <c r="C507" s="17">
        <f>Github!F$506</f>
        <v>1000</v>
      </c>
      <c r="D507" s="17">
        <f>Github!G$506</f>
        <v>45</v>
      </c>
      <c r="E507" s="17">
        <f>Github!F$506+Github!G$506</f>
        <v>1045</v>
      </c>
      <c r="F507" s="18">
        <f t="shared" si="1"/>
        <v>22.22</v>
      </c>
      <c r="G507" s="17" t="str">
        <f>Github!H$506</f>
        <v>Algorithms</v>
      </c>
      <c r="H507" s="17" t="b">
        <f>Github!D$506</f>
        <v>1</v>
      </c>
      <c r="I507" s="17" t="str">
        <f>Github!E$506</f>
        <v>Medium</v>
      </c>
      <c r="J507" s="17" t="str">
        <f>ROUND(Github!N$506, 2)&amp;"%"</f>
        <v>0%</v>
      </c>
      <c r="K507" s="17">
        <f>Github!O$506</f>
        <v>51.11583213</v>
      </c>
      <c r="L507" s="17">
        <f>Github!P$506</f>
        <v>78197</v>
      </c>
    </row>
    <row r="508">
      <c r="A508" s="17">
        <f>Github!J$507</f>
        <v>506</v>
      </c>
      <c r="B508" s="34" t="str">
        <f>HYPERLINK(CONCAT("http://leetcode.com/problems/",Github!C$507), Github!B$507)</f>
        <v>Relative Ranks</v>
      </c>
      <c r="C508" s="17">
        <f>Github!F$507</f>
        <v>402</v>
      </c>
      <c r="D508" s="17">
        <f>Github!G$507</f>
        <v>23</v>
      </c>
      <c r="E508" s="17">
        <f>Github!F$507+Github!G$507</f>
        <v>425</v>
      </c>
      <c r="F508" s="18">
        <f t="shared" si="1"/>
        <v>17.48</v>
      </c>
      <c r="G508" s="17" t="str">
        <f>Github!H$507</f>
        <v>Algorithms</v>
      </c>
      <c r="H508" s="17" t="b">
        <f>Github!D$507</f>
        <v>0</v>
      </c>
      <c r="I508" s="17" t="str">
        <f>Github!E$507</f>
        <v>Easy</v>
      </c>
      <c r="J508" s="17" t="str">
        <f>ROUND(Github!N$507, 2)&amp;"%"</f>
        <v>0%</v>
      </c>
      <c r="K508" s="17">
        <f>Github!O$507</f>
        <v>56.09384925</v>
      </c>
      <c r="L508" s="17">
        <f>Github!P$507</f>
        <v>84777</v>
      </c>
    </row>
    <row r="509">
      <c r="A509" s="17">
        <f>Github!J$508</f>
        <v>507</v>
      </c>
      <c r="B509" s="34" t="str">
        <f>HYPERLINK(CONCAT("http://leetcode.com/problems/",Github!C$508), Github!B$508)</f>
        <v>Perfect Number</v>
      </c>
      <c r="C509" s="17">
        <f>Github!F$508</f>
        <v>529</v>
      </c>
      <c r="D509" s="17">
        <f>Github!G$508</f>
        <v>824</v>
      </c>
      <c r="E509" s="17">
        <f>Github!F$508+Github!G$508</f>
        <v>1353</v>
      </c>
      <c r="F509" s="18">
        <f t="shared" si="1"/>
        <v>0.64</v>
      </c>
      <c r="G509" s="17" t="str">
        <f>Github!H$508</f>
        <v>Algorithms</v>
      </c>
      <c r="H509" s="17" t="b">
        <f>Github!D$508</f>
        <v>0</v>
      </c>
      <c r="I509" s="17" t="str">
        <f>Github!E$508</f>
        <v>Easy</v>
      </c>
      <c r="J509" s="17" t="str">
        <f>ROUND(Github!N$508, 2)&amp;"%"</f>
        <v>0%</v>
      </c>
      <c r="K509" s="17">
        <f>Github!O$508</f>
        <v>37.5300819</v>
      </c>
      <c r="L509" s="17">
        <f>Github!P$508</f>
        <v>99028</v>
      </c>
    </row>
    <row r="510">
      <c r="A510" s="17">
        <f>Github!J$509</f>
        <v>508</v>
      </c>
      <c r="B510" s="34" t="str">
        <f>HYPERLINK(CONCAT("http://leetcode.com/problems/",Github!C$509), Github!B$509)</f>
        <v>Most Frequent Subtree Sum</v>
      </c>
      <c r="C510" s="17">
        <f>Github!F$509</f>
        <v>1409</v>
      </c>
      <c r="D510" s="17">
        <f>Github!G$509</f>
        <v>211</v>
      </c>
      <c r="E510" s="17">
        <f>Github!F$509+Github!G$509</f>
        <v>1620</v>
      </c>
      <c r="F510" s="18">
        <f t="shared" si="1"/>
        <v>6.68</v>
      </c>
      <c r="G510" s="17" t="str">
        <f>Github!H$509</f>
        <v>Algorithms</v>
      </c>
      <c r="H510" s="17" t="b">
        <f>Github!D$509</f>
        <v>0</v>
      </c>
      <c r="I510" s="17" t="str">
        <f>Github!E$509</f>
        <v>Medium</v>
      </c>
      <c r="J510" s="17" t="str">
        <f>ROUND(Github!N$509, 2)&amp;"%"</f>
        <v>0%</v>
      </c>
      <c r="K510" s="17">
        <f>Github!O$509</f>
        <v>62.42265759</v>
      </c>
      <c r="L510" s="17">
        <f>Github!P$509</f>
        <v>104315</v>
      </c>
    </row>
    <row r="511">
      <c r="A511" s="17">
        <f>Github!J$510</f>
        <v>509</v>
      </c>
      <c r="B511" s="34" t="str">
        <f>HYPERLINK(CONCAT("http://leetcode.com/problems/",Github!C$510), Github!B$510)</f>
        <v>Fibonacci Number</v>
      </c>
      <c r="C511" s="17">
        <f>Github!F$510</f>
        <v>3084</v>
      </c>
      <c r="D511" s="17">
        <f>Github!G$510</f>
        <v>256</v>
      </c>
      <c r="E511" s="17">
        <f>Github!F$510+Github!G$510</f>
        <v>3340</v>
      </c>
      <c r="F511" s="18">
        <f t="shared" si="1"/>
        <v>12.05</v>
      </c>
      <c r="G511" s="17" t="str">
        <f>Github!H$510</f>
        <v>Algorithms</v>
      </c>
      <c r="H511" s="17" t="b">
        <f>Github!D$510</f>
        <v>0</v>
      </c>
      <c r="I511" s="17" t="str">
        <f>Github!E$510</f>
        <v>Easy</v>
      </c>
      <c r="J511" s="17" t="str">
        <f>ROUND(Github!N$510, 2)&amp;"%"</f>
        <v>0%</v>
      </c>
      <c r="K511" s="17">
        <f>Github!O$510</f>
        <v>68.08785275</v>
      </c>
      <c r="L511" s="17">
        <f>Github!P$510</f>
        <v>689399</v>
      </c>
    </row>
    <row r="512">
      <c r="A512" s="17">
        <f>Github!J$511</f>
        <v>510</v>
      </c>
      <c r="B512" s="34" t="str">
        <f>HYPERLINK(CONCAT("http://leetcode.com/problems/",Github!C$511), Github!B$511)</f>
        <v>Inorder Successor in BST II</v>
      </c>
      <c r="C512" s="17">
        <f>Github!F$511</f>
        <v>640</v>
      </c>
      <c r="D512" s="17">
        <f>Github!G$511</f>
        <v>34</v>
      </c>
      <c r="E512" s="17">
        <f>Github!F$511+Github!G$511</f>
        <v>674</v>
      </c>
      <c r="F512" s="18">
        <f t="shared" si="1"/>
        <v>18.82</v>
      </c>
      <c r="G512" s="17" t="str">
        <f>Github!H$511</f>
        <v>Algorithms</v>
      </c>
      <c r="H512" s="17" t="b">
        <f>Github!D$511</f>
        <v>1</v>
      </c>
      <c r="I512" s="17" t="str">
        <f>Github!E$511</f>
        <v>Medium</v>
      </c>
      <c r="J512" s="17" t="str">
        <f>ROUND(Github!N$511, 2)&amp;"%"</f>
        <v>0%</v>
      </c>
      <c r="K512" s="17">
        <f>Github!O$511</f>
        <v>61.48776273</v>
      </c>
      <c r="L512" s="17">
        <f>Github!P$511</f>
        <v>45899</v>
      </c>
    </row>
    <row r="513">
      <c r="A513" s="17">
        <f>Github!J$512</f>
        <v>511</v>
      </c>
      <c r="B513" s="34" t="str">
        <f>HYPERLINK(CONCAT("http://leetcode.com/problems/",Github!C$512), Github!B$512)</f>
        <v>Game Play Analysis I</v>
      </c>
      <c r="C513" s="17">
        <f>Github!F$512</f>
        <v>123</v>
      </c>
      <c r="D513" s="17">
        <f>Github!G$512</f>
        <v>8</v>
      </c>
      <c r="E513" s="17">
        <f>Github!F$512+Github!G$512</f>
        <v>131</v>
      </c>
      <c r="F513" s="18">
        <f t="shared" si="1"/>
        <v>15.38</v>
      </c>
      <c r="G513" s="17" t="str">
        <f>Github!H$512</f>
        <v>Database</v>
      </c>
      <c r="H513" s="17" t="b">
        <f>Github!D$512</f>
        <v>1</v>
      </c>
      <c r="I513" s="17" t="str">
        <f>Github!E$512</f>
        <v>Easy</v>
      </c>
      <c r="J513" s="17" t="str">
        <f>ROUND(Github!N$512, 2)&amp;"%"</f>
        <v>0%</v>
      </c>
      <c r="K513" s="17">
        <f>Github!O$512</f>
        <v>80.86668951</v>
      </c>
      <c r="L513" s="17">
        <f>Github!P$512</f>
        <v>54285</v>
      </c>
    </row>
    <row r="514">
      <c r="A514" s="17">
        <f>Github!J$513</f>
        <v>512</v>
      </c>
      <c r="B514" s="34" t="str">
        <f>HYPERLINK(CONCAT("http://leetcode.com/problems/",Github!C$513), Github!B$513)</f>
        <v>Game Play Analysis II</v>
      </c>
      <c r="C514" s="17">
        <f>Github!F$513</f>
        <v>160</v>
      </c>
      <c r="D514" s="17">
        <f>Github!G$513</f>
        <v>26</v>
      </c>
      <c r="E514" s="17">
        <f>Github!F$513+Github!G$513</f>
        <v>186</v>
      </c>
      <c r="F514" s="18">
        <f t="shared" si="1"/>
        <v>6.15</v>
      </c>
      <c r="G514" s="17" t="str">
        <f>Github!H$513</f>
        <v>Database</v>
      </c>
      <c r="H514" s="17" t="b">
        <f>Github!D$513</f>
        <v>1</v>
      </c>
      <c r="I514" s="17" t="str">
        <f>Github!E$513</f>
        <v>Easy</v>
      </c>
      <c r="J514" s="17" t="str">
        <f>ROUND(Github!N$513, 2)&amp;"%"</f>
        <v>0%</v>
      </c>
      <c r="K514" s="17">
        <f>Github!O$513</f>
        <v>54.45976666</v>
      </c>
      <c r="L514" s="17">
        <f>Github!P$513</f>
        <v>50783</v>
      </c>
    </row>
    <row r="515">
      <c r="A515" s="17">
        <f>Github!J$514</f>
        <v>513</v>
      </c>
      <c r="B515" s="34" t="str">
        <f>HYPERLINK(CONCAT("http://leetcode.com/problems/",Github!C$514), Github!B$514)</f>
        <v>Find Bottom Left Tree Value</v>
      </c>
      <c r="C515" s="17">
        <f>Github!F$514</f>
        <v>1981</v>
      </c>
      <c r="D515" s="17">
        <f>Github!G$514</f>
        <v>207</v>
      </c>
      <c r="E515" s="17">
        <f>Github!F$514+Github!G$514</f>
        <v>2188</v>
      </c>
      <c r="F515" s="18">
        <f t="shared" si="1"/>
        <v>9.57</v>
      </c>
      <c r="G515" s="17" t="str">
        <f>Github!H$514</f>
        <v>Algorithms</v>
      </c>
      <c r="H515" s="17" t="b">
        <f>Github!D$514</f>
        <v>0</v>
      </c>
      <c r="I515" s="17" t="str">
        <f>Github!E$514</f>
        <v>Medium</v>
      </c>
      <c r="J515" s="17" t="str">
        <f>ROUND(Github!N$514, 2)&amp;"%"</f>
        <v>0%</v>
      </c>
      <c r="K515" s="17">
        <f>Github!O$514</f>
        <v>64.93643194</v>
      </c>
      <c r="L515" s="17">
        <f>Github!P$514</f>
        <v>165331</v>
      </c>
    </row>
    <row r="516">
      <c r="A516" s="17">
        <f>Github!J$515</f>
        <v>514</v>
      </c>
      <c r="B516" s="34" t="str">
        <f>HYPERLINK(CONCAT("http://leetcode.com/problems/",Github!C$515), Github!B$515)</f>
        <v>Freedom Trail</v>
      </c>
      <c r="C516" s="17">
        <f>Github!F$515</f>
        <v>665</v>
      </c>
      <c r="D516" s="17">
        <f>Github!G$515</f>
        <v>31</v>
      </c>
      <c r="E516" s="17">
        <f>Github!F$515+Github!G$515</f>
        <v>696</v>
      </c>
      <c r="F516" s="18">
        <f t="shared" si="1"/>
        <v>21.45</v>
      </c>
      <c r="G516" s="17" t="str">
        <f>Github!H$515</f>
        <v>Algorithms</v>
      </c>
      <c r="H516" s="17" t="b">
        <f>Github!D$515</f>
        <v>0</v>
      </c>
      <c r="I516" s="17" t="str">
        <f>Github!E$515</f>
        <v>Hard</v>
      </c>
      <c r="J516" s="17" t="str">
        <f>ROUND(Github!N$515, 2)&amp;"%"</f>
        <v>0%</v>
      </c>
      <c r="K516" s="17">
        <f>Github!O$515</f>
        <v>46.02235371</v>
      </c>
      <c r="L516" s="17">
        <f>Github!P$515</f>
        <v>26600</v>
      </c>
    </row>
    <row r="517">
      <c r="A517" s="17">
        <f>Github!J$516</f>
        <v>515</v>
      </c>
      <c r="B517" s="34" t="str">
        <f>HYPERLINK(CONCAT("http://leetcode.com/problems/",Github!C$516), Github!B$516)</f>
        <v>Find Largest Value in Each Tree Row</v>
      </c>
      <c r="C517" s="17">
        <f>Github!F$516</f>
        <v>1907</v>
      </c>
      <c r="D517" s="17">
        <f>Github!G$516</f>
        <v>80</v>
      </c>
      <c r="E517" s="17">
        <f>Github!F$516+Github!G$516</f>
        <v>1987</v>
      </c>
      <c r="F517" s="18">
        <f t="shared" si="1"/>
        <v>23.84</v>
      </c>
      <c r="G517" s="17" t="str">
        <f>Github!H$516</f>
        <v>Algorithms</v>
      </c>
      <c r="H517" s="17" t="b">
        <f>Github!D$516</f>
        <v>0</v>
      </c>
      <c r="I517" s="17" t="str">
        <f>Github!E$516</f>
        <v>Medium</v>
      </c>
      <c r="J517" s="17" t="str">
        <f>ROUND(Github!N$516, 2)&amp;"%"</f>
        <v>0%</v>
      </c>
      <c r="K517" s="17">
        <f>Github!O$516</f>
        <v>64.27490471</v>
      </c>
      <c r="L517" s="17">
        <f>Github!P$516</f>
        <v>181778</v>
      </c>
    </row>
    <row r="518">
      <c r="A518" s="17">
        <f>Github!J$517</f>
        <v>516</v>
      </c>
      <c r="B518" s="34" t="str">
        <f>HYPERLINK(CONCAT("http://leetcode.com/problems/",Github!C$517), Github!B$517)</f>
        <v>Longest Palindromic Subsequence</v>
      </c>
      <c r="C518" s="17">
        <f>Github!F$517</f>
        <v>4848</v>
      </c>
      <c r="D518" s="17">
        <f>Github!G$517</f>
        <v>244</v>
      </c>
      <c r="E518" s="17">
        <f>Github!F$517+Github!G$517</f>
        <v>5092</v>
      </c>
      <c r="F518" s="18">
        <f t="shared" si="1"/>
        <v>19.87</v>
      </c>
      <c r="G518" s="17" t="str">
        <f>Github!H$517</f>
        <v>Algorithms</v>
      </c>
      <c r="H518" s="17" t="b">
        <f>Github!D$517</f>
        <v>0</v>
      </c>
      <c r="I518" s="17" t="str">
        <f>Github!E$517</f>
        <v>Medium</v>
      </c>
      <c r="J518" s="17" t="str">
        <f>ROUND(Github!N$517, 2)&amp;"%"</f>
        <v>0%</v>
      </c>
      <c r="K518" s="17">
        <f>Github!O$517</f>
        <v>58.99789225</v>
      </c>
      <c r="L518" s="17">
        <f>Github!P$517</f>
        <v>239319</v>
      </c>
    </row>
    <row r="519">
      <c r="A519" s="17">
        <f>Github!J$518</f>
        <v>517</v>
      </c>
      <c r="B519" s="34" t="str">
        <f>HYPERLINK(CONCAT("http://leetcode.com/problems/",Github!C$518), Github!B$518)</f>
        <v>Super Washing Machines</v>
      </c>
      <c r="C519" s="17">
        <f>Github!F$518</f>
        <v>524</v>
      </c>
      <c r="D519" s="17">
        <f>Github!G$518</f>
        <v>176</v>
      </c>
      <c r="E519" s="17">
        <f>Github!F$518+Github!G$518</f>
        <v>700</v>
      </c>
      <c r="F519" s="18">
        <f t="shared" si="1"/>
        <v>2.98</v>
      </c>
      <c r="G519" s="17" t="str">
        <f>Github!H$518</f>
        <v>Algorithms</v>
      </c>
      <c r="H519" s="17" t="b">
        <f>Github!D$518</f>
        <v>0</v>
      </c>
      <c r="I519" s="17" t="str">
        <f>Github!E$518</f>
        <v>Hard</v>
      </c>
      <c r="J519" s="17" t="str">
        <f>ROUND(Github!N$518, 2)&amp;"%"</f>
        <v>0%</v>
      </c>
      <c r="K519" s="17">
        <f>Github!O$518</f>
        <v>39.28434154</v>
      </c>
      <c r="L519" s="17">
        <f>Github!P$518</f>
        <v>21463</v>
      </c>
    </row>
    <row r="520">
      <c r="A520" s="17">
        <f>Github!J$519</f>
        <v>518</v>
      </c>
      <c r="B520" s="34" t="str">
        <f>HYPERLINK(CONCAT("http://leetcode.com/problems/",Github!C$519), Github!B$519)</f>
        <v>Coin Change 2</v>
      </c>
      <c r="C520" s="17">
        <f>Github!F$519</f>
        <v>4817</v>
      </c>
      <c r="D520" s="17">
        <f>Github!G$519</f>
        <v>99</v>
      </c>
      <c r="E520" s="17">
        <f>Github!F$519+Github!G$519</f>
        <v>4916</v>
      </c>
      <c r="F520" s="18">
        <f t="shared" si="1"/>
        <v>48.66</v>
      </c>
      <c r="G520" s="17" t="str">
        <f>Github!H$519</f>
        <v>Algorithms</v>
      </c>
      <c r="H520" s="17" t="b">
        <f>Github!D$519</f>
        <v>0</v>
      </c>
      <c r="I520" s="17" t="str">
        <f>Github!E$519</f>
        <v>Medium</v>
      </c>
      <c r="J520" s="17" t="str">
        <f>ROUND(Github!N$519, 2)&amp;"%"</f>
        <v>0%</v>
      </c>
      <c r="K520" s="17">
        <f>Github!O$519</f>
        <v>56.92221921</v>
      </c>
      <c r="L520" s="17">
        <f>Github!P$519</f>
        <v>274645</v>
      </c>
    </row>
    <row r="521">
      <c r="A521" s="17">
        <f>Github!J$520</f>
        <v>519</v>
      </c>
      <c r="B521" s="34" t="str">
        <f>HYPERLINK(CONCAT("http://leetcode.com/problems/",Github!C$520), Github!B$520)</f>
        <v>Random Flip Matrix</v>
      </c>
      <c r="C521" s="17">
        <f>Github!F$520</f>
        <v>286</v>
      </c>
      <c r="D521" s="17">
        <f>Github!G$520</f>
        <v>86</v>
      </c>
      <c r="E521" s="17">
        <f>Github!F$520+Github!G$520</f>
        <v>372</v>
      </c>
      <c r="F521" s="18">
        <f t="shared" si="1"/>
        <v>3.33</v>
      </c>
      <c r="G521" s="17" t="str">
        <f>Github!H$520</f>
        <v>Algorithms</v>
      </c>
      <c r="H521" s="17" t="b">
        <f>Github!D$520</f>
        <v>0</v>
      </c>
      <c r="I521" s="17" t="str">
        <f>Github!E$520</f>
        <v>Medium</v>
      </c>
      <c r="J521" s="17" t="str">
        <f>ROUND(Github!N$520, 2)&amp;"%"</f>
        <v>0%</v>
      </c>
      <c r="K521" s="17">
        <f>Github!O$520</f>
        <v>38.92168909</v>
      </c>
      <c r="L521" s="17">
        <f>Github!P$520</f>
        <v>12987</v>
      </c>
    </row>
    <row r="522">
      <c r="A522" s="17">
        <f>Github!J$521</f>
        <v>520</v>
      </c>
      <c r="B522" s="34" t="str">
        <f>HYPERLINK(CONCAT("http://leetcode.com/problems/",Github!C$521), Github!B$521)</f>
        <v>Detect Capital</v>
      </c>
      <c r="C522" s="17">
        <f>Github!F$521</f>
        <v>1562</v>
      </c>
      <c r="D522" s="17">
        <f>Github!G$521</f>
        <v>358</v>
      </c>
      <c r="E522" s="17">
        <f>Github!F$521+Github!G$521</f>
        <v>1920</v>
      </c>
      <c r="F522" s="18">
        <f t="shared" si="1"/>
        <v>4.36</v>
      </c>
      <c r="G522" s="17" t="str">
        <f>Github!H$521</f>
        <v>Algorithms</v>
      </c>
      <c r="H522" s="17" t="b">
        <f>Github!D$521</f>
        <v>0</v>
      </c>
      <c r="I522" s="17" t="str">
        <f>Github!E$521</f>
        <v>Easy</v>
      </c>
      <c r="J522" s="17" t="str">
        <f>ROUND(Github!N$521, 2)&amp;"%"</f>
        <v>0%</v>
      </c>
      <c r="K522" s="17">
        <f>Github!O$521</f>
        <v>55.71365166</v>
      </c>
      <c r="L522" s="17">
        <f>Github!P$521</f>
        <v>258586</v>
      </c>
    </row>
    <row r="523">
      <c r="A523" s="17">
        <f>Github!J$522</f>
        <v>521</v>
      </c>
      <c r="B523" s="34" t="str">
        <f>HYPERLINK(CONCAT("http://leetcode.com/problems/",Github!C$522), Github!B$522)</f>
        <v>Longest Uncommon Subsequence I</v>
      </c>
      <c r="C523" s="17">
        <f>Github!F$522</f>
        <v>567</v>
      </c>
      <c r="D523" s="17">
        <f>Github!G$522</f>
        <v>5499</v>
      </c>
      <c r="E523" s="17">
        <f>Github!F$522+Github!G$522</f>
        <v>6066</v>
      </c>
      <c r="F523" s="18">
        <f t="shared" si="1"/>
        <v>0.1</v>
      </c>
      <c r="G523" s="17" t="str">
        <f>Github!H$522</f>
        <v>Algorithms</v>
      </c>
      <c r="H523" s="17" t="b">
        <f>Github!D$522</f>
        <v>0</v>
      </c>
      <c r="I523" s="17" t="str">
        <f>Github!E$522</f>
        <v>Easy</v>
      </c>
      <c r="J523" s="17" t="str">
        <f>ROUND(Github!N$522, 2)&amp;"%"</f>
        <v>0%</v>
      </c>
      <c r="K523" s="17">
        <f>Github!O$522</f>
        <v>60.0304383</v>
      </c>
      <c r="L523" s="17">
        <f>Github!P$522</f>
        <v>82437</v>
      </c>
    </row>
    <row r="524">
      <c r="A524" s="17">
        <f>Github!J$523</f>
        <v>522</v>
      </c>
      <c r="B524" s="34" t="str">
        <f>HYPERLINK(CONCAT("http://leetcode.com/problems/",Github!C$523), Github!B$523)</f>
        <v>Longest Uncommon Subsequence II</v>
      </c>
      <c r="C524" s="17">
        <f>Github!F$523</f>
        <v>361</v>
      </c>
      <c r="D524" s="17">
        <f>Github!G$523</f>
        <v>1043</v>
      </c>
      <c r="E524" s="17">
        <f>Github!F$523+Github!G$523</f>
        <v>1404</v>
      </c>
      <c r="F524" s="18">
        <f t="shared" si="1"/>
        <v>0.35</v>
      </c>
      <c r="G524" s="17" t="str">
        <f>Github!H$523</f>
        <v>Algorithms</v>
      </c>
      <c r="H524" s="17" t="b">
        <f>Github!D$523</f>
        <v>0</v>
      </c>
      <c r="I524" s="17" t="str">
        <f>Github!E$523</f>
        <v>Medium</v>
      </c>
      <c r="J524" s="17" t="str">
        <f>ROUND(Github!N$523, 2)&amp;"%"</f>
        <v>0%</v>
      </c>
      <c r="K524" s="17">
        <f>Github!O$523</f>
        <v>40.06392375</v>
      </c>
      <c r="L524" s="17">
        <f>Github!P$523</f>
        <v>42368</v>
      </c>
    </row>
    <row r="525">
      <c r="A525" s="17">
        <f>Github!J$524</f>
        <v>523</v>
      </c>
      <c r="B525" s="34" t="str">
        <f>HYPERLINK(CONCAT("http://leetcode.com/problems/",Github!C$524), Github!B$524)</f>
        <v>Continuous Subarray Sum</v>
      </c>
      <c r="C525" s="17">
        <f>Github!F$524</f>
        <v>1599</v>
      </c>
      <c r="D525" s="17">
        <f>Github!G$524</f>
        <v>226</v>
      </c>
      <c r="E525" s="17">
        <f>Github!F$524+Github!G$524</f>
        <v>1825</v>
      </c>
      <c r="F525" s="18">
        <f t="shared" si="1"/>
        <v>7.08</v>
      </c>
      <c r="G525" s="17" t="str">
        <f>Github!H$524</f>
        <v>Algorithms</v>
      </c>
      <c r="H525" s="17" t="b">
        <f>Github!D$524</f>
        <v>0</v>
      </c>
      <c r="I525" s="17" t="str">
        <f>Github!E$524</f>
        <v>Medium</v>
      </c>
      <c r="J525" s="17" t="str">
        <f>ROUND(Github!N$524, 2)&amp;"%"</f>
        <v>0%</v>
      </c>
      <c r="K525" s="17">
        <f>Github!O$524</f>
        <v>26.99479052</v>
      </c>
      <c r="L525" s="17">
        <f>Github!P$524</f>
        <v>273962</v>
      </c>
    </row>
    <row r="526">
      <c r="A526" s="17">
        <f>Github!J$525</f>
        <v>524</v>
      </c>
      <c r="B526" s="34" t="str">
        <f>HYPERLINK(CONCAT("http://leetcode.com/problems/",Github!C$525), Github!B$525)</f>
        <v>Longest Word in Dictionary through Deleting</v>
      </c>
      <c r="C526" s="17">
        <f>Github!F$525</f>
        <v>1282</v>
      </c>
      <c r="D526" s="17">
        <f>Github!G$525</f>
        <v>323</v>
      </c>
      <c r="E526" s="17">
        <f>Github!F$525+Github!G$525</f>
        <v>1605</v>
      </c>
      <c r="F526" s="18">
        <f t="shared" si="1"/>
        <v>3.97</v>
      </c>
      <c r="G526" s="17" t="str">
        <f>Github!H$525</f>
        <v>Algorithms</v>
      </c>
      <c r="H526" s="17" t="b">
        <f>Github!D$525</f>
        <v>0</v>
      </c>
      <c r="I526" s="17" t="str">
        <f>Github!E$525</f>
        <v>Medium</v>
      </c>
      <c r="J526" s="17" t="str">
        <f>ROUND(Github!N$525, 2)&amp;"%"</f>
        <v>0%</v>
      </c>
      <c r="K526" s="17">
        <f>Github!O$525</f>
        <v>50.82028768</v>
      </c>
      <c r="L526" s="17">
        <f>Github!P$525</f>
        <v>123165</v>
      </c>
    </row>
    <row r="527">
      <c r="A527" s="17">
        <f>Github!J$526</f>
        <v>525</v>
      </c>
      <c r="B527" s="34" t="str">
        <f>HYPERLINK(CONCAT("http://leetcode.com/problems/",Github!C$526), Github!B$526)</f>
        <v>Contiguous Array</v>
      </c>
      <c r="C527" s="17">
        <f>Github!F$526</f>
        <v>5144</v>
      </c>
      <c r="D527" s="17">
        <f>Github!G$526</f>
        <v>221</v>
      </c>
      <c r="E527" s="17">
        <f>Github!F$526+Github!G$526</f>
        <v>5365</v>
      </c>
      <c r="F527" s="18">
        <f t="shared" si="1"/>
        <v>23.28</v>
      </c>
      <c r="G527" s="17" t="str">
        <f>Github!H$526</f>
        <v>Algorithms</v>
      </c>
      <c r="H527" s="17" t="b">
        <f>Github!D$526</f>
        <v>0</v>
      </c>
      <c r="I527" s="17" t="str">
        <f>Github!E$526</f>
        <v>Medium</v>
      </c>
      <c r="J527" s="17" t="str">
        <f>ROUND(Github!N$526, 2)&amp;"%"</f>
        <v>0%</v>
      </c>
      <c r="K527" s="17">
        <f>Github!O$526</f>
        <v>46.20299618</v>
      </c>
      <c r="L527" s="17">
        <f>Github!P$526</f>
        <v>254317</v>
      </c>
    </row>
    <row r="528">
      <c r="A528" s="17">
        <f>Github!J$527</f>
        <v>526</v>
      </c>
      <c r="B528" s="34" t="str">
        <f>HYPERLINK(CONCAT("http://leetcode.com/problems/",Github!C$527), Github!B$527)</f>
        <v>Beautiful Arrangement</v>
      </c>
      <c r="C528" s="17">
        <f>Github!F$527</f>
        <v>2042</v>
      </c>
      <c r="D528" s="17">
        <f>Github!G$527</f>
        <v>283</v>
      </c>
      <c r="E528" s="17">
        <f>Github!F$527+Github!G$527</f>
        <v>2325</v>
      </c>
      <c r="F528" s="18">
        <f t="shared" si="1"/>
        <v>7.22</v>
      </c>
      <c r="G528" s="17" t="str">
        <f>Github!H$527</f>
        <v>Algorithms</v>
      </c>
      <c r="H528" s="17" t="b">
        <f>Github!D$527</f>
        <v>0</v>
      </c>
      <c r="I528" s="17" t="str">
        <f>Github!E$527</f>
        <v>Medium</v>
      </c>
      <c r="J528" s="17" t="str">
        <f>ROUND(Github!N$527, 2)&amp;"%"</f>
        <v>0%</v>
      </c>
      <c r="K528" s="17">
        <f>Github!O$527</f>
        <v>64.18853804</v>
      </c>
      <c r="L528" s="17">
        <f>Github!P$527</f>
        <v>125219</v>
      </c>
    </row>
    <row r="529">
      <c r="A529" s="17">
        <f>Github!J$528</f>
        <v>527</v>
      </c>
      <c r="B529" s="34" t="str">
        <f>HYPERLINK(CONCAT("http://leetcode.com/problems/",Github!C$528), Github!B$528)</f>
        <v>Word Abbreviation</v>
      </c>
      <c r="C529" s="17">
        <f>Github!F$528</f>
        <v>289</v>
      </c>
      <c r="D529" s="17">
        <f>Github!G$528</f>
        <v>194</v>
      </c>
      <c r="E529" s="17">
        <f>Github!F$528+Github!G$528</f>
        <v>483</v>
      </c>
      <c r="F529" s="18">
        <f t="shared" si="1"/>
        <v>1.49</v>
      </c>
      <c r="G529" s="17" t="str">
        <f>Github!H$528</f>
        <v>Algorithms</v>
      </c>
      <c r="H529" s="17" t="b">
        <f>Github!D$528</f>
        <v>1</v>
      </c>
      <c r="I529" s="17" t="str">
        <f>Github!E$528</f>
        <v>Hard</v>
      </c>
      <c r="J529" s="17" t="str">
        <f>ROUND(Github!N$528, 2)&amp;"%"</f>
        <v>0%</v>
      </c>
      <c r="K529" s="17">
        <f>Github!O$528</f>
        <v>58.02090067</v>
      </c>
      <c r="L529" s="17">
        <f>Github!P$528</f>
        <v>21542</v>
      </c>
    </row>
    <row r="530">
      <c r="A530" s="17">
        <f>Github!J$529</f>
        <v>528</v>
      </c>
      <c r="B530" s="34" t="str">
        <f>HYPERLINK(CONCAT("http://leetcode.com/problems/",Github!C$529), Github!B$529)</f>
        <v>Random Pick with Weight</v>
      </c>
      <c r="C530" s="17">
        <f>Github!F$529</f>
        <v>565</v>
      </c>
      <c r="D530" s="17">
        <f>Github!G$529</f>
        <v>181</v>
      </c>
      <c r="E530" s="17">
        <f>Github!F$529+Github!G$529</f>
        <v>746</v>
      </c>
      <c r="F530" s="18">
        <f t="shared" si="1"/>
        <v>3.12</v>
      </c>
      <c r="G530" s="17" t="str">
        <f>Github!H$529</f>
        <v>Algorithms</v>
      </c>
      <c r="H530" s="17" t="b">
        <f>Github!D$529</f>
        <v>0</v>
      </c>
      <c r="I530" s="17" t="str">
        <f>Github!E$529</f>
        <v>Medium</v>
      </c>
      <c r="J530" s="17" t="str">
        <f>ROUND(Github!N$529, 2)&amp;"%"</f>
        <v>0%</v>
      </c>
      <c r="K530" s="17">
        <f>Github!O$529</f>
        <v>46.00214104</v>
      </c>
      <c r="L530" s="17">
        <f>Github!P$529</f>
        <v>271567</v>
      </c>
    </row>
    <row r="531">
      <c r="A531" s="17">
        <f>Github!J$530</f>
        <v>529</v>
      </c>
      <c r="B531" s="34" t="str">
        <f>HYPERLINK(CONCAT("http://leetcode.com/problems/",Github!C$530), Github!B$530)</f>
        <v>Minesweeper</v>
      </c>
      <c r="C531" s="17">
        <f>Github!F$530</f>
        <v>1310</v>
      </c>
      <c r="D531" s="17">
        <f>Github!G$530</f>
        <v>836</v>
      </c>
      <c r="E531" s="17">
        <f>Github!F$530+Github!G$530</f>
        <v>2146</v>
      </c>
      <c r="F531" s="18">
        <f t="shared" si="1"/>
        <v>1.57</v>
      </c>
      <c r="G531" s="17" t="str">
        <f>Github!H$530</f>
        <v>Algorithms</v>
      </c>
      <c r="H531" s="17" t="b">
        <f>Github!D$530</f>
        <v>0</v>
      </c>
      <c r="I531" s="17" t="str">
        <f>Github!E$530</f>
        <v>Medium</v>
      </c>
      <c r="J531" s="17" t="str">
        <f>ROUND(Github!N$530, 2)&amp;"%"</f>
        <v>0%</v>
      </c>
      <c r="K531" s="17">
        <f>Github!O$530</f>
        <v>64.35538298</v>
      </c>
      <c r="L531" s="17">
        <f>Github!P$530</f>
        <v>111375</v>
      </c>
    </row>
    <row r="532">
      <c r="A532" s="17">
        <f>Github!J$531</f>
        <v>530</v>
      </c>
      <c r="B532" s="34" t="str">
        <f>HYPERLINK(CONCAT("http://leetcode.com/problems/",Github!C$531), Github!B$531)</f>
        <v>Minimum Absolute Difference in BST</v>
      </c>
      <c r="C532" s="17">
        <f>Github!F$531</f>
        <v>1929</v>
      </c>
      <c r="D532" s="17">
        <f>Github!G$531</f>
        <v>113</v>
      </c>
      <c r="E532" s="17">
        <f>Github!F$531+Github!G$531</f>
        <v>2042</v>
      </c>
      <c r="F532" s="18">
        <f t="shared" si="1"/>
        <v>17.07</v>
      </c>
      <c r="G532" s="17" t="str">
        <f>Github!H$531</f>
        <v>Algorithms</v>
      </c>
      <c r="H532" s="17" t="b">
        <f>Github!D$531</f>
        <v>0</v>
      </c>
      <c r="I532" s="17" t="str">
        <f>Github!E$531</f>
        <v>Easy</v>
      </c>
      <c r="J532" s="17" t="str">
        <f>ROUND(Github!N$531, 2)&amp;"%"</f>
        <v>0%</v>
      </c>
      <c r="K532" s="17">
        <f>Github!O$531</f>
        <v>56.12559637</v>
      </c>
      <c r="L532" s="17">
        <f>Github!P$531</f>
        <v>149756</v>
      </c>
    </row>
    <row r="533">
      <c r="A533" s="17">
        <f>Github!J$532</f>
        <v>531</v>
      </c>
      <c r="B533" s="34" t="str">
        <f>HYPERLINK(CONCAT("http://leetcode.com/problems/",Github!C$532), Github!B$532)</f>
        <v>Lonely Pixel I</v>
      </c>
      <c r="C533" s="17">
        <f>Github!F$532</f>
        <v>294</v>
      </c>
      <c r="D533" s="17">
        <f>Github!G$532</f>
        <v>35</v>
      </c>
      <c r="E533" s="17">
        <f>Github!F$532+Github!G$532</f>
        <v>329</v>
      </c>
      <c r="F533" s="18">
        <f t="shared" si="1"/>
        <v>8.4</v>
      </c>
      <c r="G533" s="17" t="str">
        <f>Github!H$532</f>
        <v>Algorithms</v>
      </c>
      <c r="H533" s="17" t="b">
        <f>Github!D$532</f>
        <v>1</v>
      </c>
      <c r="I533" s="17" t="str">
        <f>Github!E$532</f>
        <v>Medium</v>
      </c>
      <c r="J533" s="17" t="str">
        <f>ROUND(Github!N$532, 2)&amp;"%"</f>
        <v>0%</v>
      </c>
      <c r="K533" s="17">
        <f>Github!O$532</f>
        <v>60.61753627</v>
      </c>
      <c r="L533" s="17">
        <f>Github!P$532</f>
        <v>30253</v>
      </c>
    </row>
    <row r="534">
      <c r="A534" s="17">
        <f>Github!J$533</f>
        <v>532</v>
      </c>
      <c r="B534" s="34" t="str">
        <f>HYPERLINK(CONCAT("http://leetcode.com/problems/",Github!C$533), Github!B$533)</f>
        <v>K-diff Pairs in an Array</v>
      </c>
      <c r="C534" s="17">
        <f>Github!F$533</f>
        <v>2490</v>
      </c>
      <c r="D534" s="17">
        <f>Github!G$533</f>
        <v>2036</v>
      </c>
      <c r="E534" s="17">
        <f>Github!F$533+Github!G$533</f>
        <v>4526</v>
      </c>
      <c r="F534" s="18">
        <f t="shared" si="1"/>
        <v>1.22</v>
      </c>
      <c r="G534" s="17" t="str">
        <f>Github!H$533</f>
        <v>Algorithms</v>
      </c>
      <c r="H534" s="17" t="b">
        <f>Github!D$533</f>
        <v>0</v>
      </c>
      <c r="I534" s="17" t="str">
        <f>Github!E$533</f>
        <v>Medium</v>
      </c>
      <c r="J534" s="17" t="str">
        <f>ROUND(Github!N$533, 2)&amp;"%"</f>
        <v>0%</v>
      </c>
      <c r="K534" s="17">
        <f>Github!O$533</f>
        <v>39.92295613</v>
      </c>
      <c r="L534" s="17">
        <f>Github!P$533</f>
        <v>246345</v>
      </c>
    </row>
    <row r="535">
      <c r="A535" s="17">
        <f>Github!J$534</f>
        <v>533</v>
      </c>
      <c r="B535" s="34" t="str">
        <f>HYPERLINK(CONCAT("http://leetcode.com/problems/",Github!C$534), Github!B$534)</f>
        <v>Lonely Pixel II</v>
      </c>
      <c r="C535" s="17">
        <f>Github!F$534</f>
        <v>71</v>
      </c>
      <c r="D535" s="17">
        <f>Github!G$534</f>
        <v>672</v>
      </c>
      <c r="E535" s="17">
        <f>Github!F$534+Github!G$534</f>
        <v>743</v>
      </c>
      <c r="F535" s="18">
        <f t="shared" si="1"/>
        <v>0.11</v>
      </c>
      <c r="G535" s="17" t="str">
        <f>Github!H$534</f>
        <v>Algorithms</v>
      </c>
      <c r="H535" s="17" t="b">
        <f>Github!D$534</f>
        <v>1</v>
      </c>
      <c r="I535" s="17" t="str">
        <f>Github!E$534</f>
        <v>Medium</v>
      </c>
      <c r="J535" s="17" t="str">
        <f>ROUND(Github!N$534, 2)&amp;"%"</f>
        <v>0%</v>
      </c>
      <c r="K535" s="17">
        <f>Github!O$534</f>
        <v>48.38067374</v>
      </c>
      <c r="L535" s="17">
        <f>Github!P$534</f>
        <v>11906</v>
      </c>
    </row>
    <row r="536">
      <c r="A536" s="17">
        <f>Github!J$535</f>
        <v>534</v>
      </c>
      <c r="B536" s="34" t="str">
        <f>HYPERLINK(CONCAT("http://leetcode.com/problems/",Github!C$535), Github!B$535)</f>
        <v>Game Play Analysis III</v>
      </c>
      <c r="C536" s="17">
        <f>Github!F$535</f>
        <v>253</v>
      </c>
      <c r="D536" s="17">
        <f>Github!G$535</f>
        <v>10</v>
      </c>
      <c r="E536" s="17">
        <f>Github!F$535+Github!G$535</f>
        <v>263</v>
      </c>
      <c r="F536" s="18">
        <f t="shared" si="1"/>
        <v>25.3</v>
      </c>
      <c r="G536" s="17" t="str">
        <f>Github!H$535</f>
        <v>Database</v>
      </c>
      <c r="H536" s="17" t="b">
        <f>Github!D$535</f>
        <v>1</v>
      </c>
      <c r="I536" s="17" t="str">
        <f>Github!E$535</f>
        <v>Medium</v>
      </c>
      <c r="J536" s="17" t="str">
        <f>ROUND(Github!N$535, 2)&amp;"%"</f>
        <v>0%</v>
      </c>
      <c r="K536" s="17">
        <f>Github!O$535</f>
        <v>81.67765107</v>
      </c>
      <c r="L536" s="17">
        <f>Github!P$535</f>
        <v>44118</v>
      </c>
    </row>
    <row r="537">
      <c r="A537" s="17">
        <f>Github!J$536</f>
        <v>535</v>
      </c>
      <c r="B537" s="34" t="str">
        <f>HYPERLINK(CONCAT("http://leetcode.com/problems/",Github!C$536), Github!B$536)</f>
        <v>Encode and Decode TinyURL</v>
      </c>
      <c r="C537" s="17">
        <f>Github!F$536</f>
        <v>1132</v>
      </c>
      <c r="D537" s="17">
        <f>Github!G$536</f>
        <v>2171</v>
      </c>
      <c r="E537" s="17">
        <f>Github!F$536+Github!G$536</f>
        <v>3303</v>
      </c>
      <c r="F537" s="18">
        <f t="shared" si="1"/>
        <v>0.52</v>
      </c>
      <c r="G537" s="17" t="str">
        <f>Github!H$536</f>
        <v>Algorithms</v>
      </c>
      <c r="H537" s="17" t="b">
        <f>Github!D$536</f>
        <v>0</v>
      </c>
      <c r="I537" s="17" t="str">
        <f>Github!E$536</f>
        <v>Medium</v>
      </c>
      <c r="J537" s="17" t="str">
        <f>ROUND(Github!N$536, 2)&amp;"%"</f>
        <v>0%</v>
      </c>
      <c r="K537" s="17">
        <f>Github!O$536</f>
        <v>83.36120742</v>
      </c>
      <c r="L537" s="17">
        <f>Github!P$536</f>
        <v>163487</v>
      </c>
    </row>
    <row r="538">
      <c r="A538" s="17">
        <f>Github!J$537</f>
        <v>536</v>
      </c>
      <c r="B538" s="34" t="str">
        <f>HYPERLINK(CONCAT("http://leetcode.com/problems/",Github!C$537), Github!B$537)</f>
        <v>Construct Binary Tree from String</v>
      </c>
      <c r="C538" s="17">
        <f>Github!F$537</f>
        <v>871</v>
      </c>
      <c r="D538" s="17">
        <f>Github!G$537</f>
        <v>139</v>
      </c>
      <c r="E538" s="17">
        <f>Github!F$537+Github!G$537</f>
        <v>1010</v>
      </c>
      <c r="F538" s="18">
        <f t="shared" si="1"/>
        <v>6.27</v>
      </c>
      <c r="G538" s="17" t="str">
        <f>Github!H$537</f>
        <v>Algorithms</v>
      </c>
      <c r="H538" s="17" t="b">
        <f>Github!D$537</f>
        <v>1</v>
      </c>
      <c r="I538" s="17" t="str">
        <f>Github!E$537</f>
        <v>Medium</v>
      </c>
      <c r="J538" s="17" t="str">
        <f>ROUND(Github!N$537, 2)&amp;"%"</f>
        <v>0%</v>
      </c>
      <c r="K538" s="17">
        <f>Github!O$537</f>
        <v>55.49335951</v>
      </c>
      <c r="L538" s="17">
        <f>Github!P$537</f>
        <v>72367</v>
      </c>
    </row>
    <row r="539">
      <c r="A539" s="17">
        <f>Github!J$538</f>
        <v>537</v>
      </c>
      <c r="B539" s="34" t="str">
        <f>HYPERLINK(CONCAT("http://leetcode.com/problems/",Github!C$538), Github!B$538)</f>
        <v>Complex Number Multiplication</v>
      </c>
      <c r="C539" s="17">
        <f>Github!F$538</f>
        <v>486</v>
      </c>
      <c r="D539" s="17">
        <f>Github!G$538</f>
        <v>1109</v>
      </c>
      <c r="E539" s="17">
        <f>Github!F$538+Github!G$538</f>
        <v>1595</v>
      </c>
      <c r="F539" s="18">
        <f t="shared" si="1"/>
        <v>0.44</v>
      </c>
      <c r="G539" s="17" t="str">
        <f>Github!H$538</f>
        <v>Algorithms</v>
      </c>
      <c r="H539" s="17" t="b">
        <f>Github!D$538</f>
        <v>0</v>
      </c>
      <c r="I539" s="17" t="str">
        <f>Github!E$538</f>
        <v>Medium</v>
      </c>
      <c r="J539" s="17" t="str">
        <f>ROUND(Github!N$538, 2)&amp;"%"</f>
        <v>0%</v>
      </c>
      <c r="K539" s="17">
        <f>Github!O$538</f>
        <v>71.07990074</v>
      </c>
      <c r="L539" s="17">
        <f>Github!P$538</f>
        <v>79913</v>
      </c>
    </row>
    <row r="540">
      <c r="A540" s="17">
        <f>Github!J$539</f>
        <v>538</v>
      </c>
      <c r="B540" s="34" t="str">
        <f>HYPERLINK(CONCAT("http://leetcode.com/problems/",Github!C$539), Github!B$539)</f>
        <v>Convert BST to Greater Tree</v>
      </c>
      <c r="C540" s="17">
        <f>Github!F$539</f>
        <v>3150</v>
      </c>
      <c r="D540" s="17">
        <f>Github!G$539</f>
        <v>148</v>
      </c>
      <c r="E540" s="17">
        <f>Github!F$539+Github!G$539</f>
        <v>3298</v>
      </c>
      <c r="F540" s="18">
        <f t="shared" si="1"/>
        <v>21.28</v>
      </c>
      <c r="G540" s="17" t="str">
        <f>Github!H$539</f>
        <v>Algorithms</v>
      </c>
      <c r="H540" s="17" t="b">
        <f>Github!D$539</f>
        <v>0</v>
      </c>
      <c r="I540" s="17" t="str">
        <f>Github!E$539</f>
        <v>Medium</v>
      </c>
      <c r="J540" s="17" t="str">
        <f>ROUND(Github!N$539, 2)&amp;"%"</f>
        <v>0%</v>
      </c>
      <c r="K540" s="17">
        <f>Github!O$539</f>
        <v>62.57502621</v>
      </c>
      <c r="L540" s="17">
        <f>Github!P$539</f>
        <v>192768</v>
      </c>
    </row>
    <row r="541">
      <c r="A541" s="17">
        <f>Github!J$540</f>
        <v>539</v>
      </c>
      <c r="B541" s="34" t="str">
        <f>HYPERLINK(CONCAT("http://leetcode.com/problems/",Github!C$540), Github!B$540)</f>
        <v>Minimum Time Difference</v>
      </c>
      <c r="C541" s="17">
        <f>Github!F$540</f>
        <v>941</v>
      </c>
      <c r="D541" s="17">
        <f>Github!G$540</f>
        <v>192</v>
      </c>
      <c r="E541" s="17">
        <f>Github!F$540+Github!G$540</f>
        <v>1133</v>
      </c>
      <c r="F541" s="18">
        <f t="shared" si="1"/>
        <v>4.9</v>
      </c>
      <c r="G541" s="17" t="str">
        <f>Github!H$540</f>
        <v>Algorithms</v>
      </c>
      <c r="H541" s="17" t="b">
        <f>Github!D$540</f>
        <v>0</v>
      </c>
      <c r="I541" s="17" t="str">
        <f>Github!E$540</f>
        <v>Medium</v>
      </c>
      <c r="J541" s="17" t="str">
        <f>ROUND(Github!N$540, 2)&amp;"%"</f>
        <v>0%</v>
      </c>
      <c r="K541" s="17">
        <f>Github!O$540</f>
        <v>54.01379253</v>
      </c>
      <c r="L541" s="17">
        <f>Github!P$540</f>
        <v>77772</v>
      </c>
    </row>
    <row r="542">
      <c r="A542" s="17">
        <f>Github!J$541</f>
        <v>540</v>
      </c>
      <c r="B542" s="34" t="str">
        <f>HYPERLINK(CONCAT("http://leetcode.com/problems/",Github!C$541), Github!B$541)</f>
        <v>Single Element in a Sorted Array</v>
      </c>
      <c r="C542" s="17">
        <f>Github!F$541</f>
        <v>4766</v>
      </c>
      <c r="D542" s="17">
        <f>Github!G$541</f>
        <v>109</v>
      </c>
      <c r="E542" s="17">
        <f>Github!F$541+Github!G$541</f>
        <v>4875</v>
      </c>
      <c r="F542" s="18">
        <f t="shared" si="1"/>
        <v>43.72</v>
      </c>
      <c r="G542" s="17" t="str">
        <f>Github!H$541</f>
        <v>Algorithms</v>
      </c>
      <c r="H542" s="17" t="b">
        <f>Github!D$541</f>
        <v>0</v>
      </c>
      <c r="I542" s="17" t="str">
        <f>Github!E$541</f>
        <v>Medium</v>
      </c>
      <c r="J542" s="17" t="str">
        <f>ROUND(Github!N$541, 2)&amp;"%"</f>
        <v>0%</v>
      </c>
      <c r="K542" s="17">
        <f>Github!O$541</f>
        <v>58.70057503</v>
      </c>
      <c r="L542" s="17">
        <f>Github!P$541</f>
        <v>276845</v>
      </c>
    </row>
    <row r="543">
      <c r="A543" s="17">
        <f>Github!J$542</f>
        <v>541</v>
      </c>
      <c r="B543" s="34" t="str">
        <f>HYPERLINK(CONCAT("http://leetcode.com/problems/",Github!C$542), Github!B$542)</f>
        <v>Reverse String II</v>
      </c>
      <c r="C543" s="17">
        <f>Github!F$542</f>
        <v>891</v>
      </c>
      <c r="D543" s="17">
        <f>Github!G$542</f>
        <v>2256</v>
      </c>
      <c r="E543" s="17">
        <f>Github!F$542+Github!G$542</f>
        <v>3147</v>
      </c>
      <c r="F543" s="18">
        <f t="shared" si="1"/>
        <v>0.39</v>
      </c>
      <c r="G543" s="17" t="str">
        <f>Github!H$542</f>
        <v>Algorithms</v>
      </c>
      <c r="H543" s="17" t="b">
        <f>Github!D$542</f>
        <v>0</v>
      </c>
      <c r="I543" s="17" t="str">
        <f>Github!E$542</f>
        <v>Easy</v>
      </c>
      <c r="J543" s="17" t="str">
        <f>ROUND(Github!N$542, 2)&amp;"%"</f>
        <v>0%</v>
      </c>
      <c r="K543" s="17">
        <f>Github!O$542</f>
        <v>50.0495681</v>
      </c>
      <c r="L543" s="17">
        <f>Github!P$542</f>
        <v>144388</v>
      </c>
    </row>
    <row r="544">
      <c r="A544" s="17">
        <f>Github!J$543</f>
        <v>542</v>
      </c>
      <c r="B544" s="34" t="str">
        <f>HYPERLINK(CONCAT("http://leetcode.com/problems/",Github!C$543), Github!B$543)</f>
        <v>01 Matrix</v>
      </c>
      <c r="C544" s="17">
        <f>Github!F$543</f>
        <v>4245</v>
      </c>
      <c r="D544" s="17">
        <f>Github!G$543</f>
        <v>208</v>
      </c>
      <c r="E544" s="17">
        <f>Github!F$543+Github!G$543</f>
        <v>4453</v>
      </c>
      <c r="F544" s="18">
        <f t="shared" si="1"/>
        <v>20.41</v>
      </c>
      <c r="G544" s="17" t="str">
        <f>Github!H$543</f>
        <v>Algorithms</v>
      </c>
      <c r="H544" s="17" t="b">
        <f>Github!D$543</f>
        <v>0</v>
      </c>
      <c r="I544" s="17" t="str">
        <f>Github!E$543</f>
        <v>Medium</v>
      </c>
      <c r="J544" s="17" t="str">
        <f>ROUND(Github!N$543, 2)&amp;"%"</f>
        <v>0%</v>
      </c>
      <c r="K544" s="17">
        <f>Github!O$543</f>
        <v>43.55992404</v>
      </c>
      <c r="L544" s="17">
        <f>Github!P$543</f>
        <v>221361</v>
      </c>
    </row>
    <row r="545">
      <c r="A545" s="17">
        <f>Github!J$544</f>
        <v>543</v>
      </c>
      <c r="B545" s="34" t="str">
        <f>HYPERLINK(CONCAT("http://leetcode.com/problems/",Github!C$544), Github!B$544)</f>
        <v>Diameter of Binary Tree</v>
      </c>
      <c r="C545" s="17">
        <f>Github!F$544</f>
        <v>7320</v>
      </c>
      <c r="D545" s="17">
        <f>Github!G$544</f>
        <v>455</v>
      </c>
      <c r="E545" s="17">
        <f>Github!F$544+Github!G$544</f>
        <v>7775</v>
      </c>
      <c r="F545" s="18">
        <f t="shared" si="1"/>
        <v>16.09</v>
      </c>
      <c r="G545" s="17" t="str">
        <f>Github!H$544</f>
        <v>Algorithms</v>
      </c>
      <c r="H545" s="17" t="b">
        <f>Github!D$544</f>
        <v>0</v>
      </c>
      <c r="I545" s="17" t="str">
        <f>Github!E$544</f>
        <v>Easy</v>
      </c>
      <c r="J545" s="17" t="str">
        <f>ROUND(Github!N$544, 2)&amp;"%"</f>
        <v>0%</v>
      </c>
      <c r="K545" s="17">
        <f>Github!O$544</f>
        <v>53.71511671</v>
      </c>
      <c r="L545" s="17">
        <f>Github!P$544</f>
        <v>681467</v>
      </c>
    </row>
    <row r="546">
      <c r="A546" s="17">
        <f>Github!J$545</f>
        <v>544</v>
      </c>
      <c r="B546" s="34" t="str">
        <f>HYPERLINK(CONCAT("http://leetcode.com/problems/",Github!C$545), Github!B$545)</f>
        <v>Output Contest Matches</v>
      </c>
      <c r="C546" s="17">
        <f>Github!F$545</f>
        <v>355</v>
      </c>
      <c r="D546" s="17">
        <f>Github!G$545</f>
        <v>114</v>
      </c>
      <c r="E546" s="17">
        <f>Github!F$545+Github!G$545</f>
        <v>469</v>
      </c>
      <c r="F546" s="18">
        <f t="shared" si="1"/>
        <v>3.11</v>
      </c>
      <c r="G546" s="17" t="str">
        <f>Github!H$545</f>
        <v>Algorithms</v>
      </c>
      <c r="H546" s="17" t="b">
        <f>Github!D$545</f>
        <v>1</v>
      </c>
      <c r="I546" s="17" t="str">
        <f>Github!E$545</f>
        <v>Medium</v>
      </c>
      <c r="J546" s="17" t="str">
        <f>ROUND(Github!N$545, 2)&amp;"%"</f>
        <v>0%</v>
      </c>
      <c r="K546" s="17">
        <f>Github!O$545</f>
        <v>76.36698049</v>
      </c>
      <c r="L546" s="17">
        <f>Github!P$545</f>
        <v>24497</v>
      </c>
    </row>
    <row r="547">
      <c r="A547" s="17">
        <f>Github!J$546</f>
        <v>545</v>
      </c>
      <c r="B547" s="34" t="str">
        <f>HYPERLINK(CONCAT("http://leetcode.com/problems/",Github!C$546), Github!B$546)</f>
        <v>Boundary of Binary Tree</v>
      </c>
      <c r="C547" s="17">
        <f>Github!F$546</f>
        <v>999</v>
      </c>
      <c r="D547" s="17">
        <f>Github!G$546</f>
        <v>1628</v>
      </c>
      <c r="E547" s="17">
        <f>Github!F$546+Github!G$546</f>
        <v>2627</v>
      </c>
      <c r="F547" s="18">
        <f t="shared" si="1"/>
        <v>0.61</v>
      </c>
      <c r="G547" s="17" t="str">
        <f>Github!H$546</f>
        <v>Algorithms</v>
      </c>
      <c r="H547" s="17" t="b">
        <f>Github!D$546</f>
        <v>1</v>
      </c>
      <c r="I547" s="17" t="str">
        <f>Github!E$546</f>
        <v>Medium</v>
      </c>
      <c r="J547" s="17" t="str">
        <f>ROUND(Github!N$546, 2)&amp;"%"</f>
        <v>0%</v>
      </c>
      <c r="K547" s="17">
        <f>Github!O$546</f>
        <v>42.84776637</v>
      </c>
      <c r="L547" s="17">
        <f>Github!P$546</f>
        <v>95309</v>
      </c>
    </row>
    <row r="548">
      <c r="A548" s="17">
        <f>Github!J$547</f>
        <v>546</v>
      </c>
      <c r="B548" s="34" t="str">
        <f>HYPERLINK(CONCAT("http://leetcode.com/problems/",Github!C$547), Github!B$547)</f>
        <v>Remove Boxes</v>
      </c>
      <c r="C548" s="17">
        <f>Github!F$547</f>
        <v>1456</v>
      </c>
      <c r="D548" s="17">
        <f>Github!G$547</f>
        <v>92</v>
      </c>
      <c r="E548" s="17">
        <f>Github!F$547+Github!G$547</f>
        <v>1548</v>
      </c>
      <c r="F548" s="18">
        <f t="shared" si="1"/>
        <v>15.83</v>
      </c>
      <c r="G548" s="17" t="str">
        <f>Github!H$547</f>
        <v>Algorithms</v>
      </c>
      <c r="H548" s="17" t="b">
        <f>Github!D$547</f>
        <v>0</v>
      </c>
      <c r="I548" s="17" t="str">
        <f>Github!E$547</f>
        <v>Hard</v>
      </c>
      <c r="J548" s="17" t="str">
        <f>ROUND(Github!N$547, 2)&amp;"%"</f>
        <v>0%</v>
      </c>
      <c r="K548" s="17">
        <f>Github!O$547</f>
        <v>47.31889808</v>
      </c>
      <c r="L548" s="17">
        <f>Github!P$547</f>
        <v>33392</v>
      </c>
    </row>
    <row r="549">
      <c r="A549" s="17">
        <f>Github!J$548</f>
        <v>547</v>
      </c>
      <c r="B549" s="34" t="str">
        <f>HYPERLINK(CONCAT("http://leetcode.com/problems/",Github!C$548), Github!B$548)</f>
        <v>Number of Provinces</v>
      </c>
      <c r="C549" s="17">
        <f>Github!F$548</f>
        <v>4811</v>
      </c>
      <c r="D549" s="17">
        <f>Github!G$548</f>
        <v>229</v>
      </c>
      <c r="E549" s="17">
        <f>Github!F$548+Github!G$548</f>
        <v>5040</v>
      </c>
      <c r="F549" s="18">
        <f t="shared" si="1"/>
        <v>21.01</v>
      </c>
      <c r="G549" s="17" t="str">
        <f>Github!H$548</f>
        <v>Algorithms</v>
      </c>
      <c r="H549" s="17" t="b">
        <f>Github!D$548</f>
        <v>0</v>
      </c>
      <c r="I549" s="17" t="str">
        <f>Github!E$548</f>
        <v>Medium</v>
      </c>
      <c r="J549" s="17" t="str">
        <f>ROUND(Github!N$548, 2)&amp;"%"</f>
        <v>0%</v>
      </c>
      <c r="K549" s="17">
        <f>Github!O$548</f>
        <v>62.5068695</v>
      </c>
      <c r="L549" s="17">
        <f>Github!P$548</f>
        <v>427656</v>
      </c>
    </row>
    <row r="550">
      <c r="A550" s="17">
        <f>Github!J$549</f>
        <v>548</v>
      </c>
      <c r="B550" s="34" t="str">
        <f>HYPERLINK(CONCAT("http://leetcode.com/problems/",Github!C$549), Github!B$549)</f>
        <v>Split Array with Equal Sum</v>
      </c>
      <c r="C550" s="17">
        <f>Github!F$549</f>
        <v>380</v>
      </c>
      <c r="D550" s="17">
        <f>Github!G$549</f>
        <v>124</v>
      </c>
      <c r="E550" s="17">
        <f>Github!F$549+Github!G$549</f>
        <v>504</v>
      </c>
      <c r="F550" s="18">
        <f t="shared" si="1"/>
        <v>3.06</v>
      </c>
      <c r="G550" s="17" t="str">
        <f>Github!H$549</f>
        <v>Algorithms</v>
      </c>
      <c r="H550" s="17" t="b">
        <f>Github!D$549</f>
        <v>1</v>
      </c>
      <c r="I550" s="17" t="str">
        <f>Github!E$549</f>
        <v>Hard</v>
      </c>
      <c r="J550" s="17" t="str">
        <f>ROUND(Github!N$549, 2)&amp;"%"</f>
        <v>0%</v>
      </c>
      <c r="K550" s="17">
        <f>Github!O$549</f>
        <v>49.75456061</v>
      </c>
      <c r="L550" s="17">
        <f>Github!P$549</f>
        <v>21792</v>
      </c>
    </row>
    <row r="551">
      <c r="A551" s="17">
        <f>Github!J$550</f>
        <v>549</v>
      </c>
      <c r="B551" s="34" t="str">
        <f>HYPERLINK(CONCAT("http://leetcode.com/problems/",Github!C$550), Github!B$550)</f>
        <v>Binary Tree Longest Consecutive Sequence II</v>
      </c>
      <c r="C551" s="17">
        <f>Github!F$550</f>
        <v>882</v>
      </c>
      <c r="D551" s="17">
        <f>Github!G$550</f>
        <v>70</v>
      </c>
      <c r="E551" s="17">
        <f>Github!F$550+Github!G$550</f>
        <v>952</v>
      </c>
      <c r="F551" s="18">
        <f t="shared" si="1"/>
        <v>12.6</v>
      </c>
      <c r="G551" s="17" t="str">
        <f>Github!H$550</f>
        <v>Algorithms</v>
      </c>
      <c r="H551" s="17" t="b">
        <f>Github!D$550</f>
        <v>1</v>
      </c>
      <c r="I551" s="17" t="str">
        <f>Github!E$550</f>
        <v>Medium</v>
      </c>
      <c r="J551" s="17" t="str">
        <f>ROUND(Github!N$550, 2)&amp;"%"</f>
        <v>0%</v>
      </c>
      <c r="K551" s="17">
        <f>Github!O$550</f>
        <v>48.55029864</v>
      </c>
      <c r="L551" s="17">
        <f>Github!P$550</f>
        <v>41293</v>
      </c>
    </row>
    <row r="552">
      <c r="A552" s="17">
        <f>Github!J$551</f>
        <v>550</v>
      </c>
      <c r="B552" s="34" t="str">
        <f>HYPERLINK(CONCAT("http://leetcode.com/problems/",Github!C$551), Github!B$551)</f>
        <v>Game Play Analysis IV</v>
      </c>
      <c r="C552" s="17">
        <f>Github!F$551</f>
        <v>203</v>
      </c>
      <c r="D552" s="17">
        <f>Github!G$551</f>
        <v>59</v>
      </c>
      <c r="E552" s="17">
        <f>Github!F$551+Github!G$551</f>
        <v>262</v>
      </c>
      <c r="F552" s="18">
        <f t="shared" si="1"/>
        <v>3.44</v>
      </c>
      <c r="G552" s="17" t="str">
        <f>Github!H$551</f>
        <v>Database</v>
      </c>
      <c r="H552" s="17" t="b">
        <f>Github!D$551</f>
        <v>1</v>
      </c>
      <c r="I552" s="17" t="str">
        <f>Github!E$551</f>
        <v>Medium</v>
      </c>
      <c r="J552" s="17" t="str">
        <f>ROUND(Github!N$551, 2)&amp;"%"</f>
        <v>0%</v>
      </c>
      <c r="K552" s="17">
        <f>Github!O$551</f>
        <v>44.17630179</v>
      </c>
      <c r="L552" s="17">
        <f>Github!P$551</f>
        <v>36794</v>
      </c>
    </row>
    <row r="553">
      <c r="A553" s="17">
        <f>Github!J$552</f>
        <v>551</v>
      </c>
      <c r="B553" s="34" t="str">
        <f>HYPERLINK(CONCAT("http://leetcode.com/problems/",Github!C$552), Github!B$552)</f>
        <v>Student Attendance Record I</v>
      </c>
      <c r="C553" s="17">
        <f>Github!F$552</f>
        <v>265</v>
      </c>
      <c r="D553" s="17">
        <f>Github!G$552</f>
        <v>15</v>
      </c>
      <c r="E553" s="17">
        <f>Github!F$552+Github!G$552</f>
        <v>280</v>
      </c>
      <c r="F553" s="18">
        <f t="shared" si="1"/>
        <v>17.67</v>
      </c>
      <c r="G553" s="17" t="str">
        <f>Github!H$552</f>
        <v>Algorithms</v>
      </c>
      <c r="H553" s="17" t="b">
        <f>Github!D$552</f>
        <v>0</v>
      </c>
      <c r="I553" s="17" t="str">
        <f>Github!E$552</f>
        <v>Easy</v>
      </c>
      <c r="J553" s="17" t="str">
        <f>ROUND(Github!N$552, 2)&amp;"%"</f>
        <v>0%</v>
      </c>
      <c r="K553" s="17">
        <f>Github!O$552</f>
        <v>47.43337777</v>
      </c>
      <c r="L553" s="17">
        <f>Github!P$552</f>
        <v>138048</v>
      </c>
    </row>
    <row r="554">
      <c r="A554" s="17">
        <f>Github!J$553</f>
        <v>552</v>
      </c>
      <c r="B554" s="34" t="str">
        <f>HYPERLINK(CONCAT("http://leetcode.com/problems/",Github!C$553), Github!B$553)</f>
        <v>Student Attendance Record II</v>
      </c>
      <c r="C554" s="17">
        <f>Github!F$553</f>
        <v>1097</v>
      </c>
      <c r="D554" s="17">
        <f>Github!G$553</f>
        <v>189</v>
      </c>
      <c r="E554" s="17">
        <f>Github!F$553+Github!G$553</f>
        <v>1286</v>
      </c>
      <c r="F554" s="18">
        <f t="shared" si="1"/>
        <v>5.8</v>
      </c>
      <c r="G554" s="17" t="str">
        <f>Github!H$553</f>
        <v>Algorithms</v>
      </c>
      <c r="H554" s="17" t="b">
        <f>Github!D$553</f>
        <v>0</v>
      </c>
      <c r="I554" s="17" t="str">
        <f>Github!E$553</f>
        <v>Hard</v>
      </c>
      <c r="J554" s="17" t="str">
        <f>ROUND(Github!N$553, 2)&amp;"%"</f>
        <v>0%</v>
      </c>
      <c r="K554" s="17">
        <f>Github!O$553</f>
        <v>40.31113335</v>
      </c>
      <c r="L554" s="17">
        <f>Github!P$553</f>
        <v>43506</v>
      </c>
    </row>
    <row r="555">
      <c r="A555" s="17">
        <f>Github!J$554</f>
        <v>553</v>
      </c>
      <c r="B555" s="34" t="str">
        <f>HYPERLINK(CONCAT("http://leetcode.com/problems/",Github!C$554), Github!B$554)</f>
        <v>Optimal Division</v>
      </c>
      <c r="C555" s="17">
        <f>Github!F$554</f>
        <v>255</v>
      </c>
      <c r="D555" s="17">
        <f>Github!G$554</f>
        <v>1359</v>
      </c>
      <c r="E555" s="17">
        <f>Github!F$554+Github!G$554</f>
        <v>1614</v>
      </c>
      <c r="F555" s="18">
        <f t="shared" si="1"/>
        <v>0.19</v>
      </c>
      <c r="G555" s="17" t="str">
        <f>Github!H$554</f>
        <v>Algorithms</v>
      </c>
      <c r="H555" s="17" t="b">
        <f>Github!D$554</f>
        <v>0</v>
      </c>
      <c r="I555" s="17" t="str">
        <f>Github!E$554</f>
        <v>Medium</v>
      </c>
      <c r="J555" s="17" t="str">
        <f>ROUND(Github!N$554, 2)&amp;"%"</f>
        <v>0%</v>
      </c>
      <c r="K555" s="17">
        <f>Github!O$554</f>
        <v>58.77627401</v>
      </c>
      <c r="L555" s="17">
        <f>Github!P$554</f>
        <v>31095</v>
      </c>
    </row>
    <row r="556">
      <c r="A556" s="17">
        <f>Github!J$555</f>
        <v>554</v>
      </c>
      <c r="B556" s="34" t="str">
        <f>HYPERLINK(CONCAT("http://leetcode.com/problems/",Github!C$555), Github!B$555)</f>
        <v>Brick Wall</v>
      </c>
      <c r="C556" s="17">
        <f>Github!F$555</f>
        <v>1750</v>
      </c>
      <c r="D556" s="17">
        <f>Github!G$555</f>
        <v>97</v>
      </c>
      <c r="E556" s="17">
        <f>Github!F$555+Github!G$555</f>
        <v>1847</v>
      </c>
      <c r="F556" s="18">
        <f t="shared" si="1"/>
        <v>18.04</v>
      </c>
      <c r="G556" s="17" t="str">
        <f>Github!H$555</f>
        <v>Algorithms</v>
      </c>
      <c r="H556" s="17" t="b">
        <f>Github!D$555</f>
        <v>0</v>
      </c>
      <c r="I556" s="17" t="str">
        <f>Github!E$555</f>
        <v>Medium</v>
      </c>
      <c r="J556" s="17" t="str">
        <f>ROUND(Github!N$555, 2)&amp;"%"</f>
        <v>1%</v>
      </c>
      <c r="K556" s="17">
        <f>Github!O$555</f>
        <v>52.50147741</v>
      </c>
      <c r="L556" s="17">
        <f>Github!P$555</f>
        <v>98611</v>
      </c>
    </row>
    <row r="557">
      <c r="A557" s="17">
        <f>Github!J$556</f>
        <v>555</v>
      </c>
      <c r="B557" s="34" t="str">
        <f>HYPERLINK(CONCAT("http://leetcode.com/problems/",Github!C$556), Github!B$556)</f>
        <v>Split Concatenated Strings</v>
      </c>
      <c r="C557" s="17">
        <f>Github!F$556</f>
        <v>62</v>
      </c>
      <c r="D557" s="17">
        <f>Github!G$556</f>
        <v>233</v>
      </c>
      <c r="E557" s="17">
        <f>Github!F$556+Github!G$556</f>
        <v>295</v>
      </c>
      <c r="F557" s="18">
        <f t="shared" si="1"/>
        <v>0.27</v>
      </c>
      <c r="G557" s="17" t="str">
        <f>Github!H$556</f>
        <v>Algorithms</v>
      </c>
      <c r="H557" s="17" t="b">
        <f>Github!D$556</f>
        <v>1</v>
      </c>
      <c r="I557" s="17" t="str">
        <f>Github!E$556</f>
        <v>Medium</v>
      </c>
      <c r="J557" s="17" t="str">
        <f>ROUND(Github!N$556, 2)&amp;"%"</f>
        <v>0%</v>
      </c>
      <c r="K557" s="17">
        <f>Github!O$556</f>
        <v>43.18701586</v>
      </c>
      <c r="L557" s="17">
        <f>Github!P$556</f>
        <v>5854</v>
      </c>
    </row>
    <row r="558">
      <c r="A558" s="17">
        <f>Github!J$557</f>
        <v>556</v>
      </c>
      <c r="B558" s="34" t="str">
        <f>HYPERLINK(CONCAT("http://leetcode.com/problems/",Github!C$557), Github!B$557)</f>
        <v>Next Greater Element III</v>
      </c>
      <c r="C558" s="17">
        <f>Github!F$557</f>
        <v>2044</v>
      </c>
      <c r="D558" s="17">
        <f>Github!G$557</f>
        <v>327</v>
      </c>
      <c r="E558" s="17">
        <f>Github!F$557+Github!G$557</f>
        <v>2371</v>
      </c>
      <c r="F558" s="18">
        <f t="shared" si="1"/>
        <v>6.25</v>
      </c>
      <c r="G558" s="17" t="str">
        <f>Github!H$557</f>
        <v>Algorithms</v>
      </c>
      <c r="H558" s="17" t="b">
        <f>Github!D$557</f>
        <v>0</v>
      </c>
      <c r="I558" s="17" t="str">
        <f>Github!E$557</f>
        <v>Medium</v>
      </c>
      <c r="J558" s="17" t="str">
        <f>ROUND(Github!N$557, 2)&amp;"%"</f>
        <v>0%</v>
      </c>
      <c r="K558" s="17">
        <f>Github!O$557</f>
        <v>33.63886844</v>
      </c>
      <c r="L558" s="17">
        <f>Github!P$557</f>
        <v>92295</v>
      </c>
    </row>
    <row r="559">
      <c r="A559" s="17">
        <f>Github!J$558</f>
        <v>557</v>
      </c>
      <c r="B559" s="34" t="str">
        <f>HYPERLINK(CONCAT("http://leetcode.com/problems/",Github!C$558), Github!B$558)</f>
        <v>Reverse Words in a String III</v>
      </c>
      <c r="C559" s="17">
        <f>Github!F$558</f>
        <v>2526</v>
      </c>
      <c r="D559" s="17">
        <f>Github!G$558</f>
        <v>151</v>
      </c>
      <c r="E559" s="17">
        <f>Github!F$558+Github!G$558</f>
        <v>2677</v>
      </c>
      <c r="F559" s="18">
        <f t="shared" si="1"/>
        <v>16.73</v>
      </c>
      <c r="G559" s="17" t="str">
        <f>Github!H$558</f>
        <v>Algorithms</v>
      </c>
      <c r="H559" s="17" t="b">
        <f>Github!D$558</f>
        <v>0</v>
      </c>
      <c r="I559" s="17" t="str">
        <f>Github!E$558</f>
        <v>Easy</v>
      </c>
      <c r="J559" s="17" t="str">
        <f>ROUND(Github!N$558, 2)&amp;"%"</f>
        <v>0%</v>
      </c>
      <c r="K559" s="17">
        <f>Github!O$558</f>
        <v>78.01246868</v>
      </c>
      <c r="L559" s="17">
        <f>Github!P$558</f>
        <v>407915</v>
      </c>
    </row>
    <row r="560">
      <c r="A560" s="17">
        <f>Github!J$559</f>
        <v>558</v>
      </c>
      <c r="B560" s="34" t="str">
        <f>HYPERLINK(CONCAT("http://leetcode.com/problems/",Github!C$559), Github!B$559)</f>
        <v>Logical OR of Two Binary Grids Represented as Quad-Trees</v>
      </c>
      <c r="C560" s="17">
        <f>Github!F$559</f>
        <v>125</v>
      </c>
      <c r="D560" s="17">
        <f>Github!G$559</f>
        <v>403</v>
      </c>
      <c r="E560" s="17">
        <f>Github!F$559+Github!G$559</f>
        <v>528</v>
      </c>
      <c r="F560" s="18">
        <f t="shared" si="1"/>
        <v>0.31</v>
      </c>
      <c r="G560" s="17" t="str">
        <f>Github!H$559</f>
        <v>Algorithms</v>
      </c>
      <c r="H560" s="17" t="b">
        <f>Github!D$559</f>
        <v>0</v>
      </c>
      <c r="I560" s="17" t="str">
        <f>Github!E$559</f>
        <v>Medium</v>
      </c>
      <c r="J560" s="17" t="str">
        <f>ROUND(Github!N$559, 2)&amp;"%"</f>
        <v>0%</v>
      </c>
      <c r="K560" s="17">
        <f>Github!O$559</f>
        <v>47.07650039</v>
      </c>
      <c r="L560" s="17">
        <f>Github!P$559</f>
        <v>10966</v>
      </c>
    </row>
    <row r="561">
      <c r="A561" s="17">
        <f>Github!J$560</f>
        <v>559</v>
      </c>
      <c r="B561" s="34" t="str">
        <f>HYPERLINK(CONCAT("http://leetcode.com/problems/",Github!C$560), Github!B$560)</f>
        <v>Maximum Depth of N-ary Tree</v>
      </c>
      <c r="C561" s="17">
        <f>Github!F$560</f>
        <v>1903</v>
      </c>
      <c r="D561" s="17">
        <f>Github!G$560</f>
        <v>68</v>
      </c>
      <c r="E561" s="17">
        <f>Github!F$560+Github!G$560</f>
        <v>1971</v>
      </c>
      <c r="F561" s="18">
        <f t="shared" si="1"/>
        <v>27.99</v>
      </c>
      <c r="G561" s="17" t="str">
        <f>Github!H$560</f>
        <v>Algorithms</v>
      </c>
      <c r="H561" s="17" t="b">
        <f>Github!D$560</f>
        <v>0</v>
      </c>
      <c r="I561" s="17" t="str">
        <f>Github!E$560</f>
        <v>Easy</v>
      </c>
      <c r="J561" s="17" t="str">
        <f>ROUND(Github!N$560, 2)&amp;"%"</f>
        <v>0%</v>
      </c>
      <c r="K561" s="17">
        <f>Github!O$560</f>
        <v>70.87741241</v>
      </c>
      <c r="L561" s="17">
        <f>Github!P$560</f>
        <v>202869</v>
      </c>
    </row>
    <row r="562">
      <c r="A562" s="17">
        <f>Github!J$561</f>
        <v>560</v>
      </c>
      <c r="B562" s="34" t="str">
        <f>HYPERLINK(CONCAT("http://leetcode.com/problems/",Github!C$561), Github!B$561)</f>
        <v>Subarray Sum Equals K</v>
      </c>
      <c r="C562" s="17">
        <f>Github!F$561</f>
        <v>12357</v>
      </c>
      <c r="D562" s="17">
        <f>Github!G$561</f>
        <v>390</v>
      </c>
      <c r="E562" s="17">
        <f>Github!F$561+Github!G$561</f>
        <v>12747</v>
      </c>
      <c r="F562" s="18">
        <f t="shared" si="1"/>
        <v>31.68</v>
      </c>
      <c r="G562" s="17" t="str">
        <f>Github!H$561</f>
        <v>Algorithms</v>
      </c>
      <c r="H562" s="17" t="b">
        <f>Github!D$561</f>
        <v>0</v>
      </c>
      <c r="I562" s="17" t="str">
        <f>Github!E$561</f>
        <v>Medium</v>
      </c>
      <c r="J562" s="17" t="str">
        <f>ROUND(Github!N$561, 2)&amp;"%"</f>
        <v>0%</v>
      </c>
      <c r="K562" s="17">
        <f>Github!O$561</f>
        <v>44.14636061</v>
      </c>
      <c r="L562" s="17">
        <f>Github!P$561</f>
        <v>731199</v>
      </c>
    </row>
    <row r="563">
      <c r="A563" s="17">
        <f>Github!J$562</f>
        <v>561</v>
      </c>
      <c r="B563" s="34" t="str">
        <f>HYPERLINK(CONCAT("http://leetcode.com/problems/",Github!C$562), Github!B$562)</f>
        <v>Array Partition I</v>
      </c>
      <c r="C563" s="17">
        <f>Github!F$562</f>
        <v>731</v>
      </c>
      <c r="D563" s="17">
        <f>Github!G$562</f>
        <v>125</v>
      </c>
      <c r="E563" s="17">
        <f>Github!F$562+Github!G$562</f>
        <v>856</v>
      </c>
      <c r="F563" s="18">
        <f t="shared" si="1"/>
        <v>5.85</v>
      </c>
      <c r="G563" s="17" t="str">
        <f>Github!H$562</f>
        <v>Algorithms</v>
      </c>
      <c r="H563" s="17" t="b">
        <f>Github!D$562</f>
        <v>0</v>
      </c>
      <c r="I563" s="17" t="str">
        <f>Github!E$562</f>
        <v>Easy</v>
      </c>
      <c r="J563" s="17" t="str">
        <f>ROUND(Github!N$562, 2)&amp;"%"</f>
        <v>0%</v>
      </c>
      <c r="K563" s="17">
        <f>Github!O$562</f>
        <v>75.38013326</v>
      </c>
      <c r="L563" s="17">
        <f>Github!P$562</f>
        <v>316430</v>
      </c>
    </row>
    <row r="564">
      <c r="A564" s="17">
        <f>Github!J$563</f>
        <v>562</v>
      </c>
      <c r="B564" s="34" t="str">
        <f>HYPERLINK(CONCAT("http://leetcode.com/problems/",Github!C$563), Github!B$563)</f>
        <v>Longest Line of Consecutive One in Matrix</v>
      </c>
      <c r="C564" s="17">
        <f>Github!F$563</f>
        <v>673</v>
      </c>
      <c r="D564" s="17">
        <f>Github!G$563</f>
        <v>97</v>
      </c>
      <c r="E564" s="17">
        <f>Github!F$563+Github!G$563</f>
        <v>770</v>
      </c>
      <c r="F564" s="18">
        <f t="shared" si="1"/>
        <v>6.94</v>
      </c>
      <c r="G564" s="17" t="str">
        <f>Github!H$563</f>
        <v>Algorithms</v>
      </c>
      <c r="H564" s="17" t="b">
        <f>Github!D$563</f>
        <v>1</v>
      </c>
      <c r="I564" s="17" t="str">
        <f>Github!E$563</f>
        <v>Medium</v>
      </c>
      <c r="J564" s="17" t="str">
        <f>ROUND(Github!N$563, 2)&amp;"%"</f>
        <v>0%</v>
      </c>
      <c r="K564" s="17">
        <f>Github!O$563</f>
        <v>48.94523925</v>
      </c>
      <c r="L564" s="17">
        <f>Github!P$563</f>
        <v>56380</v>
      </c>
    </row>
    <row r="565">
      <c r="A565" s="17">
        <f>Github!J$564</f>
        <v>563</v>
      </c>
      <c r="B565" s="34" t="str">
        <f>HYPERLINK(CONCAT("http://leetcode.com/problems/",Github!C$564), Github!B$564)</f>
        <v>Binary Tree Tilt</v>
      </c>
      <c r="C565" s="17">
        <f>Github!F$564</f>
        <v>1559</v>
      </c>
      <c r="D565" s="17">
        <f>Github!G$564</f>
        <v>1893</v>
      </c>
      <c r="E565" s="17">
        <f>Github!F$564+Github!G$564</f>
        <v>3452</v>
      </c>
      <c r="F565" s="18">
        <f t="shared" si="1"/>
        <v>0.82</v>
      </c>
      <c r="G565" s="17" t="str">
        <f>Github!H$564</f>
        <v>Algorithms</v>
      </c>
      <c r="H565" s="17" t="b">
        <f>Github!D$564</f>
        <v>0</v>
      </c>
      <c r="I565" s="17" t="str">
        <f>Github!E$564</f>
        <v>Easy</v>
      </c>
      <c r="J565" s="17" t="str">
        <f>ROUND(Github!N$564, 2)&amp;"%"</f>
        <v>0%</v>
      </c>
      <c r="K565" s="17">
        <f>Github!O$564</f>
        <v>58.2857061</v>
      </c>
      <c r="L565" s="17">
        <f>Github!P$564</f>
        <v>162763</v>
      </c>
    </row>
    <row r="566">
      <c r="A566" s="17">
        <f>Github!J$565</f>
        <v>564</v>
      </c>
      <c r="B566" s="34" t="str">
        <f>HYPERLINK(CONCAT("http://leetcode.com/problems/",Github!C$565), Github!B$565)</f>
        <v>Find the Closest Palindrome</v>
      </c>
      <c r="C566" s="17">
        <f>Github!F$565</f>
        <v>461</v>
      </c>
      <c r="D566" s="17">
        <f>Github!G$565</f>
        <v>1096</v>
      </c>
      <c r="E566" s="17">
        <f>Github!F$565+Github!G$565</f>
        <v>1557</v>
      </c>
      <c r="F566" s="18">
        <f t="shared" si="1"/>
        <v>0.42</v>
      </c>
      <c r="G566" s="17" t="str">
        <f>Github!H$565</f>
        <v>Algorithms</v>
      </c>
      <c r="H566" s="17" t="b">
        <f>Github!D$565</f>
        <v>0</v>
      </c>
      <c r="I566" s="17" t="str">
        <f>Github!E$565</f>
        <v>Hard</v>
      </c>
      <c r="J566" s="17" t="str">
        <f>ROUND(Github!N$565, 2)&amp;"%"</f>
        <v>0%</v>
      </c>
      <c r="K566" s="17">
        <f>Github!O$565</f>
        <v>21.1151603</v>
      </c>
      <c r="L566" s="17">
        <f>Github!P$565</f>
        <v>30303</v>
      </c>
    </row>
    <row r="567">
      <c r="A567" s="17">
        <f>Github!J$566</f>
        <v>565</v>
      </c>
      <c r="B567" s="34" t="str">
        <f>HYPERLINK(CONCAT("http://leetcode.com/problems/",Github!C$566), Github!B$566)</f>
        <v>Array Nesting</v>
      </c>
      <c r="C567" s="17">
        <f>Github!F$566</f>
        <v>1808</v>
      </c>
      <c r="D567" s="17">
        <f>Github!G$566</f>
        <v>138</v>
      </c>
      <c r="E567" s="17">
        <f>Github!F$566+Github!G$566</f>
        <v>1946</v>
      </c>
      <c r="F567" s="18">
        <f t="shared" si="1"/>
        <v>13.1</v>
      </c>
      <c r="G567" s="17" t="str">
        <f>Github!H$566</f>
        <v>Algorithms</v>
      </c>
      <c r="H567" s="17" t="b">
        <f>Github!D$566</f>
        <v>0</v>
      </c>
      <c r="I567" s="17" t="str">
        <f>Github!E$566</f>
        <v>Medium</v>
      </c>
      <c r="J567" s="17" t="str">
        <f>ROUND(Github!N$566, 2)&amp;"%"</f>
        <v>0%</v>
      </c>
      <c r="K567" s="17">
        <f>Github!O$566</f>
        <v>56.24845635</v>
      </c>
      <c r="L567" s="17">
        <f>Github!P$566</f>
        <v>111592</v>
      </c>
    </row>
    <row r="568">
      <c r="A568" s="17">
        <f>Github!J$567</f>
        <v>566</v>
      </c>
      <c r="B568" s="34" t="str">
        <f>HYPERLINK(CONCAT("http://leetcode.com/problems/",Github!C$567), Github!B$567)</f>
        <v>Reshape the Matrix</v>
      </c>
      <c r="C568" s="17">
        <f>Github!F$567</f>
        <v>2026</v>
      </c>
      <c r="D568" s="17">
        <f>Github!G$567</f>
        <v>232</v>
      </c>
      <c r="E568" s="17">
        <f>Github!F$567+Github!G$567</f>
        <v>2258</v>
      </c>
      <c r="F568" s="18">
        <f t="shared" si="1"/>
        <v>8.73</v>
      </c>
      <c r="G568" s="17" t="str">
        <f>Github!H$567</f>
        <v>Algorithms</v>
      </c>
      <c r="H568" s="17" t="b">
        <f>Github!D$567</f>
        <v>0</v>
      </c>
      <c r="I568" s="17" t="str">
        <f>Github!E$567</f>
        <v>Easy</v>
      </c>
      <c r="J568" s="17" t="str">
        <f>ROUND(Github!N$567, 2)&amp;"%"</f>
        <v>0%</v>
      </c>
      <c r="K568" s="17">
        <f>Github!O$567</f>
        <v>62.26507704</v>
      </c>
      <c r="L568" s="17">
        <f>Github!P$567</f>
        <v>214382</v>
      </c>
    </row>
    <row r="569">
      <c r="A569" s="17">
        <f>Github!J$568</f>
        <v>567</v>
      </c>
      <c r="B569" s="34" t="str">
        <f>HYPERLINK(CONCAT("http://leetcode.com/problems/",Github!C$568), Github!B$568)</f>
        <v>Permutation in String</v>
      </c>
      <c r="C569" s="17">
        <f>Github!F$568</f>
        <v>5422</v>
      </c>
      <c r="D569" s="17">
        <f>Github!G$568</f>
        <v>156</v>
      </c>
      <c r="E569" s="17">
        <f>Github!F$568+Github!G$568</f>
        <v>5578</v>
      </c>
      <c r="F569" s="18">
        <f t="shared" si="1"/>
        <v>34.76</v>
      </c>
      <c r="G569" s="17" t="str">
        <f>Github!H$568</f>
        <v>Algorithms</v>
      </c>
      <c r="H569" s="17" t="b">
        <f>Github!D$568</f>
        <v>0</v>
      </c>
      <c r="I569" s="17" t="str">
        <f>Github!E$568</f>
        <v>Medium</v>
      </c>
      <c r="J569" s="17" t="str">
        <f>ROUND(Github!N$568, 2)&amp;"%"</f>
        <v>0%</v>
      </c>
      <c r="K569" s="17">
        <f>Github!O$568</f>
        <v>45.00585701</v>
      </c>
      <c r="L569" s="17">
        <f>Github!P$568</f>
        <v>350009</v>
      </c>
    </row>
    <row r="570">
      <c r="A570" s="17">
        <f>Github!J$569</f>
        <v>568</v>
      </c>
      <c r="B570" s="34" t="str">
        <f>HYPERLINK(CONCAT("http://leetcode.com/problems/",Github!C$569), Github!B$569)</f>
        <v>Maximum Vacation Days</v>
      </c>
      <c r="C570" s="17">
        <f>Github!F$569</f>
        <v>496</v>
      </c>
      <c r="D570" s="17">
        <f>Github!G$569</f>
        <v>91</v>
      </c>
      <c r="E570" s="17">
        <f>Github!F$569+Github!G$569</f>
        <v>587</v>
      </c>
      <c r="F570" s="18">
        <f t="shared" si="1"/>
        <v>5.45</v>
      </c>
      <c r="G570" s="17" t="str">
        <f>Github!H$569</f>
        <v>Algorithms</v>
      </c>
      <c r="H570" s="17" t="b">
        <f>Github!D$569</f>
        <v>1</v>
      </c>
      <c r="I570" s="17" t="str">
        <f>Github!E$569</f>
        <v>Hard</v>
      </c>
      <c r="J570" s="17" t="str">
        <f>ROUND(Github!N$569, 2)&amp;"%"</f>
        <v>0%</v>
      </c>
      <c r="K570" s="17">
        <f>Github!O$569</f>
        <v>44.22716954</v>
      </c>
      <c r="L570" s="17">
        <f>Github!P$569</f>
        <v>33315</v>
      </c>
    </row>
    <row r="571">
      <c r="A571" s="17">
        <f>Github!J$570</f>
        <v>569</v>
      </c>
      <c r="B571" s="34" t="str">
        <f>HYPERLINK(CONCAT("http://leetcode.com/problems/",Github!C$570), Github!B$570)</f>
        <v>Median Employee Salary</v>
      </c>
      <c r="C571" s="17">
        <f>Github!F$570</f>
        <v>219</v>
      </c>
      <c r="D571" s="17">
        <f>Github!G$570</f>
        <v>119</v>
      </c>
      <c r="E571" s="17">
        <f>Github!F$570+Github!G$570</f>
        <v>338</v>
      </c>
      <c r="F571" s="18">
        <f t="shared" si="1"/>
        <v>1.84</v>
      </c>
      <c r="G571" s="17" t="str">
        <f>Github!H$570</f>
        <v>Database</v>
      </c>
      <c r="H571" s="17" t="b">
        <f>Github!D$570</f>
        <v>1</v>
      </c>
      <c r="I571" s="17" t="str">
        <f>Github!E$570</f>
        <v>Hard</v>
      </c>
      <c r="J571" s="17" t="str">
        <f>ROUND(Github!N$570, 2)&amp;"%"</f>
        <v>0%</v>
      </c>
      <c r="K571" s="17">
        <f>Github!O$570</f>
        <v>66.60545713</v>
      </c>
      <c r="L571" s="17">
        <f>Github!P$570</f>
        <v>25753</v>
      </c>
    </row>
    <row r="572">
      <c r="A572" s="17">
        <f>Github!J$571</f>
        <v>570</v>
      </c>
      <c r="B572" s="34" t="str">
        <f>HYPERLINK(CONCAT("http://leetcode.com/problems/",Github!C$571), Github!B$571)</f>
        <v>Managers with at Least 5 Direct Reports</v>
      </c>
      <c r="C572" s="17">
        <f>Github!F$571</f>
        <v>208</v>
      </c>
      <c r="D572" s="17">
        <f>Github!G$571</f>
        <v>29</v>
      </c>
      <c r="E572" s="17">
        <f>Github!F$571+Github!G$571</f>
        <v>237</v>
      </c>
      <c r="F572" s="18">
        <f t="shared" si="1"/>
        <v>7.17</v>
      </c>
      <c r="G572" s="17" t="str">
        <f>Github!H$571</f>
        <v>Database</v>
      </c>
      <c r="H572" s="17" t="b">
        <f>Github!D$571</f>
        <v>1</v>
      </c>
      <c r="I572" s="17" t="str">
        <f>Github!E$571</f>
        <v>Medium</v>
      </c>
      <c r="J572" s="17" t="str">
        <f>ROUND(Github!N$571, 2)&amp;"%"</f>
        <v>0%</v>
      </c>
      <c r="K572" s="17">
        <f>Github!O$571</f>
        <v>66.97976879</v>
      </c>
      <c r="L572" s="17">
        <f>Github!P$571</f>
        <v>54692</v>
      </c>
    </row>
    <row r="573">
      <c r="A573" s="17">
        <f>Github!J$572</f>
        <v>571</v>
      </c>
      <c r="B573" s="34" t="str">
        <f>HYPERLINK(CONCAT("http://leetcode.com/problems/",Github!C$572), Github!B$572)</f>
        <v>Find Median Given Frequency of Numbers</v>
      </c>
      <c r="C573" s="17">
        <f>Github!F$572</f>
        <v>210</v>
      </c>
      <c r="D573" s="17">
        <f>Github!G$572</f>
        <v>62</v>
      </c>
      <c r="E573" s="17">
        <f>Github!F$572+Github!G$572</f>
        <v>272</v>
      </c>
      <c r="F573" s="18">
        <f t="shared" si="1"/>
        <v>3.39</v>
      </c>
      <c r="G573" s="17" t="str">
        <f>Github!H$572</f>
        <v>Database</v>
      </c>
      <c r="H573" s="17" t="b">
        <f>Github!D$572</f>
        <v>1</v>
      </c>
      <c r="I573" s="17" t="str">
        <f>Github!E$572</f>
        <v>Hard</v>
      </c>
      <c r="J573" s="17" t="str">
        <f>ROUND(Github!N$572, 2)&amp;"%"</f>
        <v>0%</v>
      </c>
      <c r="K573" s="17">
        <f>Github!O$572</f>
        <v>44.72746305</v>
      </c>
      <c r="L573" s="17">
        <f>Github!P$572</f>
        <v>17946</v>
      </c>
    </row>
    <row r="574">
      <c r="A574" s="17">
        <f>Github!J$573</f>
        <v>572</v>
      </c>
      <c r="B574" s="34" t="str">
        <f>HYPERLINK(CONCAT("http://leetcode.com/problems/",Github!C$573), Github!B$573)</f>
        <v>Subtree of Another Tree</v>
      </c>
      <c r="C574" s="17">
        <f>Github!F$573</f>
        <v>4923</v>
      </c>
      <c r="D574" s="17">
        <f>Github!G$573</f>
        <v>251</v>
      </c>
      <c r="E574" s="17">
        <f>Github!F$573+Github!G$573</f>
        <v>5174</v>
      </c>
      <c r="F574" s="18">
        <f t="shared" si="1"/>
        <v>19.61</v>
      </c>
      <c r="G574" s="17" t="str">
        <f>Github!H$573</f>
        <v>Algorithms</v>
      </c>
      <c r="H574" s="17" t="b">
        <f>Github!D$573</f>
        <v>0</v>
      </c>
      <c r="I574" s="17" t="str">
        <f>Github!E$573</f>
        <v>Easy</v>
      </c>
      <c r="J574" s="17" t="str">
        <f>ROUND(Github!N$573, 2)&amp;"%"</f>
        <v>0%</v>
      </c>
      <c r="K574" s="17">
        <f>Github!O$573</f>
        <v>45.21406076</v>
      </c>
      <c r="L574" s="17">
        <f>Github!P$573</f>
        <v>433697</v>
      </c>
    </row>
    <row r="575">
      <c r="A575" s="17">
        <f>Github!J$574</f>
        <v>573</v>
      </c>
      <c r="B575" s="34" t="str">
        <f>HYPERLINK(CONCAT("http://leetcode.com/problems/",Github!C$574), Github!B$574)</f>
        <v>Squirrel Simulation</v>
      </c>
      <c r="C575" s="17">
        <f>Github!F$574</f>
        <v>304</v>
      </c>
      <c r="D575" s="17">
        <f>Github!G$574</f>
        <v>32</v>
      </c>
      <c r="E575" s="17">
        <f>Github!F$574+Github!G$574</f>
        <v>336</v>
      </c>
      <c r="F575" s="18">
        <f t="shared" si="1"/>
        <v>9.5</v>
      </c>
      <c r="G575" s="17" t="str">
        <f>Github!H$574</f>
        <v>Algorithms</v>
      </c>
      <c r="H575" s="17" t="b">
        <f>Github!D$574</f>
        <v>1</v>
      </c>
      <c r="I575" s="17" t="str">
        <f>Github!E$574</f>
        <v>Medium</v>
      </c>
      <c r="J575" s="17" t="str">
        <f>ROUND(Github!N$574, 2)&amp;"%"</f>
        <v>0%</v>
      </c>
      <c r="K575" s="17">
        <f>Github!O$574</f>
        <v>54.65410848</v>
      </c>
      <c r="L575" s="17">
        <f>Github!P$574</f>
        <v>16828</v>
      </c>
    </row>
    <row r="576">
      <c r="A576" s="17">
        <f>Github!J$575</f>
        <v>574</v>
      </c>
      <c r="B576" s="34" t="str">
        <f>HYPERLINK(CONCAT("http://leetcode.com/problems/",Github!C$575), Github!B$575)</f>
        <v>Winning Candidate</v>
      </c>
      <c r="C576" s="17">
        <f>Github!F$575</f>
        <v>123</v>
      </c>
      <c r="D576" s="17">
        <f>Github!G$575</f>
        <v>378</v>
      </c>
      <c r="E576" s="17">
        <f>Github!F$575+Github!G$575</f>
        <v>501</v>
      </c>
      <c r="F576" s="18">
        <f t="shared" si="1"/>
        <v>0.33</v>
      </c>
      <c r="G576" s="17" t="str">
        <f>Github!H$575</f>
        <v>Database</v>
      </c>
      <c r="H576" s="17" t="b">
        <f>Github!D$575</f>
        <v>1</v>
      </c>
      <c r="I576" s="17" t="str">
        <f>Github!E$575</f>
        <v>Medium</v>
      </c>
      <c r="J576" s="17" t="str">
        <f>ROUND(Github!N$575, 2)&amp;"%"</f>
        <v>0%</v>
      </c>
      <c r="K576" s="17">
        <f>Github!O$575</f>
        <v>57.69382236</v>
      </c>
      <c r="L576" s="17">
        <f>Github!P$575</f>
        <v>43947</v>
      </c>
    </row>
    <row r="577">
      <c r="A577" s="17">
        <f>Github!J$576</f>
        <v>575</v>
      </c>
      <c r="B577" s="34" t="str">
        <f>HYPERLINK(CONCAT("http://leetcode.com/problems/",Github!C$576), Github!B$576)</f>
        <v>Distribute Candies</v>
      </c>
      <c r="C577" s="17">
        <f>Github!F$576</f>
        <v>914</v>
      </c>
      <c r="D577" s="17">
        <f>Github!G$576</f>
        <v>1128</v>
      </c>
      <c r="E577" s="17">
        <f>Github!F$576+Github!G$576</f>
        <v>2042</v>
      </c>
      <c r="F577" s="18">
        <f t="shared" si="1"/>
        <v>0.81</v>
      </c>
      <c r="G577" s="17" t="str">
        <f>Github!H$576</f>
        <v>Algorithms</v>
      </c>
      <c r="H577" s="17" t="b">
        <f>Github!D$576</f>
        <v>0</v>
      </c>
      <c r="I577" s="17" t="str">
        <f>Github!E$576</f>
        <v>Easy</v>
      </c>
      <c r="J577" s="17" t="str">
        <f>ROUND(Github!N$576, 2)&amp;"%"</f>
        <v>0%</v>
      </c>
      <c r="K577" s="17">
        <f>Github!O$576</f>
        <v>65.48223853</v>
      </c>
      <c r="L577" s="17">
        <f>Github!P$576</f>
        <v>198365</v>
      </c>
    </row>
    <row r="578">
      <c r="A578" s="17">
        <f>Github!J$577</f>
        <v>576</v>
      </c>
      <c r="B578" s="34" t="str">
        <f>HYPERLINK(CONCAT("http://leetcode.com/problems/",Github!C$577), Github!B$577)</f>
        <v>Out of Boundary Paths</v>
      </c>
      <c r="C578" s="17">
        <f>Github!F$577</f>
        <v>1438</v>
      </c>
      <c r="D578" s="17">
        <f>Github!G$577</f>
        <v>181</v>
      </c>
      <c r="E578" s="17">
        <f>Github!F$577+Github!G$577</f>
        <v>1619</v>
      </c>
      <c r="F578" s="18">
        <f t="shared" si="1"/>
        <v>7.94</v>
      </c>
      <c r="G578" s="17" t="str">
        <f>Github!H$577</f>
        <v>Algorithms</v>
      </c>
      <c r="H578" s="17" t="b">
        <f>Github!D$577</f>
        <v>0</v>
      </c>
      <c r="I578" s="17" t="str">
        <f>Github!E$577</f>
        <v>Medium</v>
      </c>
      <c r="J578" s="17" t="str">
        <f>ROUND(Github!N$577, 2)&amp;"%"</f>
        <v>0%</v>
      </c>
      <c r="K578" s="17">
        <f>Github!O$577</f>
        <v>39.98728707</v>
      </c>
      <c r="L578" s="17">
        <f>Github!P$577</f>
        <v>62279</v>
      </c>
    </row>
    <row r="579">
      <c r="A579" s="17">
        <f>Github!J$578</f>
        <v>577</v>
      </c>
      <c r="B579" s="34" t="str">
        <f>HYPERLINK(CONCAT("http://leetcode.com/problems/",Github!C$578), Github!B$578)</f>
        <v>Employee Bonus</v>
      </c>
      <c r="C579" s="17">
        <f>Github!F$578</f>
        <v>152</v>
      </c>
      <c r="D579" s="17">
        <f>Github!G$578</f>
        <v>87</v>
      </c>
      <c r="E579" s="17">
        <f>Github!F$578+Github!G$578</f>
        <v>239</v>
      </c>
      <c r="F579" s="18">
        <f t="shared" si="1"/>
        <v>1.75</v>
      </c>
      <c r="G579" s="17" t="str">
        <f>Github!H$578</f>
        <v>Database</v>
      </c>
      <c r="H579" s="17" t="b">
        <f>Github!D$578</f>
        <v>1</v>
      </c>
      <c r="I579" s="17" t="str">
        <f>Github!E$578</f>
        <v>Easy</v>
      </c>
      <c r="J579" s="17" t="str">
        <f>ROUND(Github!N$578, 2)&amp;"%"</f>
        <v>0%</v>
      </c>
      <c r="K579" s="17">
        <f>Github!O$578</f>
        <v>74.73677178</v>
      </c>
      <c r="L579" s="17">
        <f>Github!P$578</f>
        <v>55933</v>
      </c>
    </row>
    <row r="580">
      <c r="A580" s="17">
        <f>Github!J$579</f>
        <v>578</v>
      </c>
      <c r="B580" s="34" t="str">
        <f>HYPERLINK(CONCAT("http://leetcode.com/problems/",Github!C$579), Github!B$579)</f>
        <v>Get Highest Answer Rate Question</v>
      </c>
      <c r="C580" s="17">
        <f>Github!F$579</f>
        <v>83</v>
      </c>
      <c r="D580" s="17">
        <f>Github!G$579</f>
        <v>788</v>
      </c>
      <c r="E580" s="17">
        <f>Github!F$579+Github!G$579</f>
        <v>871</v>
      </c>
      <c r="F580" s="18">
        <f t="shared" si="1"/>
        <v>0.11</v>
      </c>
      <c r="G580" s="17" t="str">
        <f>Github!H$579</f>
        <v>Database</v>
      </c>
      <c r="H580" s="17" t="b">
        <f>Github!D$579</f>
        <v>1</v>
      </c>
      <c r="I580" s="17" t="str">
        <f>Github!E$579</f>
        <v>Medium</v>
      </c>
      <c r="J580" s="17" t="str">
        <f>ROUND(Github!N$579, 2)&amp;"%"</f>
        <v>0%</v>
      </c>
      <c r="K580" s="17">
        <f>Github!O$579</f>
        <v>42.99893855</v>
      </c>
      <c r="L580" s="17">
        <f>Github!P$579</f>
        <v>38079</v>
      </c>
    </row>
    <row r="581">
      <c r="A581" s="17">
        <f>Github!J$580</f>
        <v>579</v>
      </c>
      <c r="B581" s="34" t="str">
        <f>HYPERLINK(CONCAT("http://leetcode.com/problems/",Github!C$580), Github!B$580)</f>
        <v>Find Cumulative Salary of an Employee</v>
      </c>
      <c r="C581" s="17">
        <f>Github!F$580</f>
        <v>170</v>
      </c>
      <c r="D581" s="17">
        <f>Github!G$580</f>
        <v>371</v>
      </c>
      <c r="E581" s="17">
        <f>Github!F$580+Github!G$580</f>
        <v>541</v>
      </c>
      <c r="F581" s="18">
        <f t="shared" si="1"/>
        <v>0.46</v>
      </c>
      <c r="G581" s="17" t="str">
        <f>Github!H$580</f>
        <v>Database</v>
      </c>
      <c r="H581" s="17" t="b">
        <f>Github!D$580</f>
        <v>1</v>
      </c>
      <c r="I581" s="17" t="str">
        <f>Github!E$580</f>
        <v>Hard</v>
      </c>
      <c r="J581" s="17" t="str">
        <f>ROUND(Github!N$580, 2)&amp;"%"</f>
        <v>0%</v>
      </c>
      <c r="K581" s="17">
        <f>Github!O$580</f>
        <v>42.21784599</v>
      </c>
      <c r="L581" s="17">
        <f>Github!P$580</f>
        <v>24868</v>
      </c>
    </row>
    <row r="582">
      <c r="A582" s="17">
        <f>Github!J$581</f>
        <v>580</v>
      </c>
      <c r="B582" s="34" t="str">
        <f>HYPERLINK(CONCAT("http://leetcode.com/problems/",Github!C$581), Github!B$581)</f>
        <v>Count Student Number in Departments</v>
      </c>
      <c r="C582" s="17">
        <f>Github!F$581</f>
        <v>177</v>
      </c>
      <c r="D582" s="17">
        <f>Github!G$581</f>
        <v>29</v>
      </c>
      <c r="E582" s="17">
        <f>Github!F$581+Github!G$581</f>
        <v>206</v>
      </c>
      <c r="F582" s="18">
        <f t="shared" si="1"/>
        <v>6.1</v>
      </c>
      <c r="G582" s="17" t="str">
        <f>Github!H$581</f>
        <v>Database</v>
      </c>
      <c r="H582" s="17" t="b">
        <f>Github!D$581</f>
        <v>1</v>
      </c>
      <c r="I582" s="17" t="str">
        <f>Github!E$581</f>
        <v>Medium</v>
      </c>
      <c r="J582" s="17" t="str">
        <f>ROUND(Github!N$581, 2)&amp;"%"</f>
        <v>0%</v>
      </c>
      <c r="K582" s="17">
        <f>Github!O$581</f>
        <v>56.20030203</v>
      </c>
      <c r="L582" s="17">
        <f>Github!P$581</f>
        <v>42053</v>
      </c>
    </row>
    <row r="583">
      <c r="A583" s="17">
        <f>Github!J$582</f>
        <v>581</v>
      </c>
      <c r="B583" s="34" t="str">
        <f>HYPERLINK(CONCAT("http://leetcode.com/problems/",Github!C$582), Github!B$582)</f>
        <v>Shortest Unsorted Continuous Subarray</v>
      </c>
      <c r="C583" s="17">
        <f>Github!F$582</f>
        <v>4841</v>
      </c>
      <c r="D583" s="17">
        <f>Github!G$582</f>
        <v>200</v>
      </c>
      <c r="E583" s="17">
        <f>Github!F$582+Github!G$582</f>
        <v>5041</v>
      </c>
      <c r="F583" s="18">
        <f t="shared" si="1"/>
        <v>24.21</v>
      </c>
      <c r="G583" s="17" t="str">
        <f>Github!H$582</f>
        <v>Algorithms</v>
      </c>
      <c r="H583" s="17" t="b">
        <f>Github!D$582</f>
        <v>0</v>
      </c>
      <c r="I583" s="17" t="str">
        <f>Github!E$582</f>
        <v>Medium</v>
      </c>
      <c r="J583" s="17" t="str">
        <f>ROUND(Github!N$582, 2)&amp;"%"</f>
        <v>0%</v>
      </c>
      <c r="K583" s="17">
        <f>Github!O$582</f>
        <v>34.06953287</v>
      </c>
      <c r="L583" s="17">
        <f>Github!P$582</f>
        <v>212121</v>
      </c>
    </row>
    <row r="584">
      <c r="A584" s="17">
        <f>Github!J$583</f>
        <v>582</v>
      </c>
      <c r="B584" s="34" t="str">
        <f>HYPERLINK(CONCAT("http://leetcode.com/problems/",Github!C$583), Github!B$583)</f>
        <v>Kill Process</v>
      </c>
      <c r="C584" s="17">
        <f>Github!F$583</f>
        <v>863</v>
      </c>
      <c r="D584" s="17">
        <f>Github!G$583</f>
        <v>17</v>
      </c>
      <c r="E584" s="17">
        <f>Github!F$583+Github!G$583</f>
        <v>880</v>
      </c>
      <c r="F584" s="18">
        <f t="shared" si="1"/>
        <v>50.76</v>
      </c>
      <c r="G584" s="17" t="str">
        <f>Github!H$583</f>
        <v>Algorithms</v>
      </c>
      <c r="H584" s="17" t="b">
        <f>Github!D$583</f>
        <v>1</v>
      </c>
      <c r="I584" s="17" t="str">
        <f>Github!E$583</f>
        <v>Medium</v>
      </c>
      <c r="J584" s="17" t="str">
        <f>ROUND(Github!N$583, 2)&amp;"%"</f>
        <v>1%</v>
      </c>
      <c r="K584" s="17">
        <f>Github!O$583</f>
        <v>66.53444456</v>
      </c>
      <c r="L584" s="17">
        <f>Github!P$583</f>
        <v>63068</v>
      </c>
    </row>
    <row r="585">
      <c r="A585" s="17">
        <f>Github!J$584</f>
        <v>583</v>
      </c>
      <c r="B585" s="34" t="str">
        <f>HYPERLINK(CONCAT("http://leetcode.com/problems/",Github!C$584), Github!B$584)</f>
        <v>Delete Operation for Two Strings</v>
      </c>
      <c r="C585" s="17">
        <f>Github!F$584</f>
        <v>2615</v>
      </c>
      <c r="D585" s="17">
        <f>Github!G$584</f>
        <v>42</v>
      </c>
      <c r="E585" s="17">
        <f>Github!F$584+Github!G$584</f>
        <v>2657</v>
      </c>
      <c r="F585" s="18">
        <f t="shared" si="1"/>
        <v>62.26</v>
      </c>
      <c r="G585" s="17" t="str">
        <f>Github!H$584</f>
        <v>Algorithms</v>
      </c>
      <c r="H585" s="17" t="b">
        <f>Github!D$584</f>
        <v>0</v>
      </c>
      <c r="I585" s="17" t="str">
        <f>Github!E$584</f>
        <v>Medium</v>
      </c>
      <c r="J585" s="17" t="str">
        <f>ROUND(Github!N$584, 2)&amp;"%"</f>
        <v>0%</v>
      </c>
      <c r="K585" s="17">
        <f>Github!O$584</f>
        <v>55.30022389</v>
      </c>
      <c r="L585" s="17">
        <f>Github!P$584</f>
        <v>109421</v>
      </c>
    </row>
    <row r="586">
      <c r="A586" s="17">
        <f>Github!J$585</f>
        <v>584</v>
      </c>
      <c r="B586" s="34" t="str">
        <f>HYPERLINK(CONCAT("http://leetcode.com/problems/",Github!C$585), Github!B$585)</f>
        <v>Find Customer Referee</v>
      </c>
      <c r="C586" s="17">
        <f>Github!F$585</f>
        <v>138</v>
      </c>
      <c r="D586" s="17">
        <f>Github!G$585</f>
        <v>80</v>
      </c>
      <c r="E586" s="17">
        <f>Github!F$585+Github!G$585</f>
        <v>218</v>
      </c>
      <c r="F586" s="18">
        <f t="shared" si="1"/>
        <v>1.73</v>
      </c>
      <c r="G586" s="17" t="str">
        <f>Github!H$585</f>
        <v>Database</v>
      </c>
      <c r="H586" s="17" t="b">
        <f>Github!D$585</f>
        <v>1</v>
      </c>
      <c r="I586" s="17" t="str">
        <f>Github!E$585</f>
        <v>Easy</v>
      </c>
      <c r="J586" s="17" t="str">
        <f>ROUND(Github!N$585, 2)&amp;"%"</f>
        <v>0%</v>
      </c>
      <c r="K586" s="17">
        <f>Github!O$585</f>
        <v>76.36377532</v>
      </c>
      <c r="L586" s="17">
        <f>Github!P$585</f>
        <v>49961</v>
      </c>
    </row>
    <row r="587">
      <c r="A587" s="17">
        <f>Github!J$586</f>
        <v>585</v>
      </c>
      <c r="B587" s="34" t="str">
        <f>HYPERLINK(CONCAT("http://leetcode.com/problems/",Github!C$586), Github!B$586)</f>
        <v>Investments in 2016</v>
      </c>
      <c r="C587" s="17">
        <f>Github!F$586</f>
        <v>188</v>
      </c>
      <c r="D587" s="17">
        <f>Github!G$586</f>
        <v>189</v>
      </c>
      <c r="E587" s="17">
        <f>Github!F$586+Github!G$586</f>
        <v>377</v>
      </c>
      <c r="F587" s="18">
        <f t="shared" si="1"/>
        <v>0.99</v>
      </c>
      <c r="G587" s="17" t="str">
        <f>Github!H$586</f>
        <v>Database</v>
      </c>
      <c r="H587" s="17" t="b">
        <f>Github!D$586</f>
        <v>1</v>
      </c>
      <c r="I587" s="17" t="str">
        <f>Github!E$586</f>
        <v>Medium</v>
      </c>
      <c r="J587" s="17" t="str">
        <f>ROUND(Github!N$586, 2)&amp;"%"</f>
        <v>0%</v>
      </c>
      <c r="K587" s="17">
        <f>Github!O$586</f>
        <v>55.46593383</v>
      </c>
      <c r="L587" s="17">
        <f>Github!P$586</f>
        <v>31082</v>
      </c>
    </row>
    <row r="588">
      <c r="A588" s="17">
        <f>Github!J$587</f>
        <v>586</v>
      </c>
      <c r="B588" s="34" t="str">
        <f>HYPERLINK(CONCAT("http://leetcode.com/problems/",Github!C$587), Github!B$587)</f>
        <v>Customer Placing the Largest Number of Orders</v>
      </c>
      <c r="C588" s="17">
        <f>Github!F$587</f>
        <v>198</v>
      </c>
      <c r="D588" s="17">
        <f>Github!G$587</f>
        <v>16</v>
      </c>
      <c r="E588" s="17">
        <f>Github!F$587+Github!G$587</f>
        <v>214</v>
      </c>
      <c r="F588" s="18">
        <f t="shared" si="1"/>
        <v>12.38</v>
      </c>
      <c r="G588" s="17" t="str">
        <f>Github!H$587</f>
        <v>Database</v>
      </c>
      <c r="H588" s="17" t="b">
        <f>Github!D$587</f>
        <v>1</v>
      </c>
      <c r="I588" s="17" t="str">
        <f>Github!E$587</f>
        <v>Easy</v>
      </c>
      <c r="J588" s="17" t="str">
        <f>ROUND(Github!N$587, 2)&amp;"%"</f>
        <v>0%</v>
      </c>
      <c r="K588" s="17">
        <f>Github!O$587</f>
        <v>74.92009324</v>
      </c>
      <c r="L588" s="17">
        <f>Github!P$587</f>
        <v>62350</v>
      </c>
    </row>
    <row r="589">
      <c r="A589" s="17">
        <f>Github!J$588</f>
        <v>587</v>
      </c>
      <c r="B589" s="34" t="str">
        <f>HYPERLINK(CONCAT("http://leetcode.com/problems/",Github!C$588), Github!B$588)</f>
        <v>Erect the Fence</v>
      </c>
      <c r="C589" s="17">
        <f>Github!F$588</f>
        <v>545</v>
      </c>
      <c r="D589" s="17">
        <f>Github!G$588</f>
        <v>337</v>
      </c>
      <c r="E589" s="17">
        <f>Github!F$588+Github!G$588</f>
        <v>882</v>
      </c>
      <c r="F589" s="18">
        <f t="shared" si="1"/>
        <v>1.62</v>
      </c>
      <c r="G589" s="17" t="str">
        <f>Github!H$588</f>
        <v>Algorithms</v>
      </c>
      <c r="H589" s="17" t="b">
        <f>Github!D$588</f>
        <v>0</v>
      </c>
      <c r="I589" s="17" t="str">
        <f>Github!E$588</f>
        <v>Hard</v>
      </c>
      <c r="J589" s="17" t="str">
        <f>ROUND(Github!N$588, 2)&amp;"%"</f>
        <v>0%</v>
      </c>
      <c r="K589" s="17">
        <f>Github!O$588</f>
        <v>43.23860144</v>
      </c>
      <c r="L589" s="17">
        <f>Github!P$588</f>
        <v>23917</v>
      </c>
    </row>
    <row r="590">
      <c r="A590" s="17">
        <f>Github!J$589</f>
        <v>588</v>
      </c>
      <c r="B590" s="34" t="str">
        <f>HYPERLINK(CONCAT("http://leetcode.com/problems/",Github!C$589), Github!B$589)</f>
        <v>Design In-Memory File System</v>
      </c>
      <c r="C590" s="17">
        <f>Github!F$589</f>
        <v>977</v>
      </c>
      <c r="D590" s="17">
        <f>Github!G$589</f>
        <v>119</v>
      </c>
      <c r="E590" s="17">
        <f>Github!F$589+Github!G$589</f>
        <v>1096</v>
      </c>
      <c r="F590" s="18">
        <f t="shared" si="1"/>
        <v>8.21</v>
      </c>
      <c r="G590" s="17" t="str">
        <f>Github!H$589</f>
        <v>Algorithms</v>
      </c>
      <c r="H590" s="17" t="b">
        <f>Github!D$589</f>
        <v>1</v>
      </c>
      <c r="I590" s="17" t="str">
        <f>Github!E$589</f>
        <v>Hard</v>
      </c>
      <c r="J590" s="17" t="str">
        <f>ROUND(Github!N$589, 2)&amp;"%"</f>
        <v>0%</v>
      </c>
      <c r="K590" s="17">
        <f>Github!O$589</f>
        <v>48.33734979</v>
      </c>
      <c r="L590" s="17">
        <f>Github!P$589</f>
        <v>58768</v>
      </c>
    </row>
    <row r="591">
      <c r="A591" s="17">
        <f>Github!J$590</f>
        <v>589</v>
      </c>
      <c r="B591" s="34" t="str">
        <f>HYPERLINK(CONCAT("http://leetcode.com/problems/",Github!C$590), Github!B$590)</f>
        <v>N-ary Tree Preorder Traversal</v>
      </c>
      <c r="C591" s="17">
        <f>Github!F$590</f>
        <v>1599</v>
      </c>
      <c r="D591" s="17">
        <f>Github!G$590</f>
        <v>77</v>
      </c>
      <c r="E591" s="17">
        <f>Github!F$590+Github!G$590</f>
        <v>1676</v>
      </c>
      <c r="F591" s="18">
        <f t="shared" si="1"/>
        <v>20.77</v>
      </c>
      <c r="G591" s="17" t="str">
        <f>Github!H$590</f>
        <v>Algorithms</v>
      </c>
      <c r="H591" s="17" t="b">
        <f>Github!D$590</f>
        <v>0</v>
      </c>
      <c r="I591" s="17" t="str">
        <f>Github!E$590</f>
        <v>Easy</v>
      </c>
      <c r="J591" s="17" t="str">
        <f>ROUND(Github!N$590, 2)&amp;"%"</f>
        <v>0%</v>
      </c>
      <c r="K591" s="17">
        <f>Github!O$590</f>
        <v>75.87711538</v>
      </c>
      <c r="L591" s="17">
        <f>Github!P$590</f>
        <v>214403</v>
      </c>
    </row>
    <row r="592">
      <c r="A592" s="17">
        <f>Github!J$591</f>
        <v>590</v>
      </c>
      <c r="B592" s="34" t="str">
        <f>HYPERLINK(CONCAT("http://leetcode.com/problems/",Github!C$591), Github!B$591)</f>
        <v>N-ary Tree Postorder Traversal</v>
      </c>
      <c r="C592" s="17">
        <f>Github!F$591</f>
        <v>1501</v>
      </c>
      <c r="D592" s="17">
        <f>Github!G$591</f>
        <v>79</v>
      </c>
      <c r="E592" s="17">
        <f>Github!F$591+Github!G$591</f>
        <v>1580</v>
      </c>
      <c r="F592" s="18">
        <f t="shared" si="1"/>
        <v>19</v>
      </c>
      <c r="G592" s="17" t="str">
        <f>Github!H$591</f>
        <v>Algorithms</v>
      </c>
      <c r="H592" s="17" t="b">
        <f>Github!D$591</f>
        <v>0</v>
      </c>
      <c r="I592" s="17" t="str">
        <f>Github!E$591</f>
        <v>Easy</v>
      </c>
      <c r="J592" s="17" t="str">
        <f>ROUND(Github!N$591, 2)&amp;"%"</f>
        <v>0%</v>
      </c>
      <c r="K592" s="17">
        <f>Github!O$591</f>
        <v>75.91132962</v>
      </c>
      <c r="L592" s="17">
        <f>Github!P$591</f>
        <v>173547</v>
      </c>
    </row>
    <row r="593">
      <c r="A593" s="17">
        <f>Github!J$592</f>
        <v>591</v>
      </c>
      <c r="B593" s="34" t="str">
        <f>HYPERLINK(CONCAT("http://leetcode.com/problems/",Github!C$592), Github!B$592)</f>
        <v>Tag Validator</v>
      </c>
      <c r="C593" s="17">
        <f>Github!F$592</f>
        <v>130</v>
      </c>
      <c r="D593" s="17">
        <f>Github!G$592</f>
        <v>551</v>
      </c>
      <c r="E593" s="17">
        <f>Github!F$592+Github!G$592</f>
        <v>681</v>
      </c>
      <c r="F593" s="18">
        <f t="shared" si="1"/>
        <v>0.24</v>
      </c>
      <c r="G593" s="17" t="str">
        <f>Github!H$592</f>
        <v>Algorithms</v>
      </c>
      <c r="H593" s="17" t="b">
        <f>Github!D$592</f>
        <v>0</v>
      </c>
      <c r="I593" s="17" t="str">
        <f>Github!E$592</f>
        <v>Hard</v>
      </c>
      <c r="J593" s="17" t="str">
        <f>ROUND(Github!N$592, 2)&amp;"%"</f>
        <v>0%</v>
      </c>
      <c r="K593" s="17">
        <f>Github!O$592</f>
        <v>36.18186067</v>
      </c>
      <c r="L593" s="17">
        <f>Github!P$592</f>
        <v>10839</v>
      </c>
    </row>
    <row r="594">
      <c r="A594" s="17">
        <f>Github!J$593</f>
        <v>592</v>
      </c>
      <c r="B594" s="34" t="str">
        <f>HYPERLINK(CONCAT("http://leetcode.com/problems/",Github!C$593), Github!B$593)</f>
        <v>Fraction Addition and Subtraction</v>
      </c>
      <c r="C594" s="17">
        <f>Github!F$593</f>
        <v>295</v>
      </c>
      <c r="D594" s="17">
        <f>Github!G$593</f>
        <v>428</v>
      </c>
      <c r="E594" s="17">
        <f>Github!F$593+Github!G$593</f>
        <v>723</v>
      </c>
      <c r="F594" s="18">
        <f t="shared" si="1"/>
        <v>0.69</v>
      </c>
      <c r="G594" s="17" t="str">
        <f>Github!H$593</f>
        <v>Algorithms</v>
      </c>
      <c r="H594" s="17" t="b">
        <f>Github!D$593</f>
        <v>0</v>
      </c>
      <c r="I594" s="17" t="str">
        <f>Github!E$593</f>
        <v>Medium</v>
      </c>
      <c r="J594" s="17" t="str">
        <f>ROUND(Github!N$593, 2)&amp;"%"</f>
        <v>0%</v>
      </c>
      <c r="K594" s="17">
        <f>Github!O$593</f>
        <v>51.60571408</v>
      </c>
      <c r="L594" s="17">
        <f>Github!P$593</f>
        <v>28250</v>
      </c>
    </row>
    <row r="595">
      <c r="A595" s="17">
        <f>Github!J$594</f>
        <v>593</v>
      </c>
      <c r="B595" s="34" t="str">
        <f>HYPERLINK(CONCAT("http://leetcode.com/problems/",Github!C$594), Github!B$594)</f>
        <v>Valid Square</v>
      </c>
      <c r="C595" s="17">
        <f>Github!F$594</f>
        <v>664</v>
      </c>
      <c r="D595" s="17">
        <f>Github!G$594</f>
        <v>736</v>
      </c>
      <c r="E595" s="17">
        <f>Github!F$594+Github!G$594</f>
        <v>1400</v>
      </c>
      <c r="F595" s="18">
        <f t="shared" si="1"/>
        <v>0.9</v>
      </c>
      <c r="G595" s="17" t="str">
        <f>Github!H$594</f>
        <v>Algorithms</v>
      </c>
      <c r="H595" s="17" t="b">
        <f>Github!D$594</f>
        <v>0</v>
      </c>
      <c r="I595" s="17" t="str">
        <f>Github!E$594</f>
        <v>Medium</v>
      </c>
      <c r="J595" s="17" t="str">
        <f>ROUND(Github!N$594, 2)&amp;"%"</f>
        <v>0%</v>
      </c>
      <c r="K595" s="17">
        <f>Github!O$594</f>
        <v>43.79362605</v>
      </c>
      <c r="L595" s="17">
        <f>Github!P$594</f>
        <v>80621</v>
      </c>
    </row>
    <row r="596">
      <c r="A596" s="17">
        <f>Github!J$595</f>
        <v>594</v>
      </c>
      <c r="B596" s="34" t="str">
        <f>HYPERLINK(CONCAT("http://leetcode.com/problems/",Github!C$595), Github!B$595)</f>
        <v>Longest Harmonious Subsequence</v>
      </c>
      <c r="C596" s="17">
        <f>Github!F$595</f>
        <v>1496</v>
      </c>
      <c r="D596" s="17">
        <f>Github!G$595</f>
        <v>147</v>
      </c>
      <c r="E596" s="17">
        <f>Github!F$595+Github!G$595</f>
        <v>1643</v>
      </c>
      <c r="F596" s="18">
        <f t="shared" si="1"/>
        <v>10.18</v>
      </c>
      <c r="G596" s="17" t="str">
        <f>Github!H$595</f>
        <v>Algorithms</v>
      </c>
      <c r="H596" s="17" t="b">
        <f>Github!D$595</f>
        <v>0</v>
      </c>
      <c r="I596" s="17" t="str">
        <f>Github!E$595</f>
        <v>Easy</v>
      </c>
      <c r="J596" s="17" t="str">
        <f>ROUND(Github!N$595, 2)&amp;"%"</f>
        <v>0%</v>
      </c>
      <c r="K596" s="17">
        <f>Github!O$595</f>
        <v>52.53293867</v>
      </c>
      <c r="L596" s="17">
        <f>Github!P$595</f>
        <v>112877</v>
      </c>
    </row>
    <row r="597">
      <c r="A597" s="17">
        <f>Github!J$596</f>
        <v>595</v>
      </c>
      <c r="B597" s="34" t="str">
        <f>HYPERLINK(CONCAT("http://leetcode.com/problems/",Github!C$596), Github!B$596)</f>
        <v>Big Countries</v>
      </c>
      <c r="C597" s="17">
        <f>Github!F$596</f>
        <v>700</v>
      </c>
      <c r="D597" s="17">
        <f>Github!G$596</f>
        <v>863</v>
      </c>
      <c r="E597" s="17">
        <f>Github!F$596+Github!G$596</f>
        <v>1563</v>
      </c>
      <c r="F597" s="18">
        <f t="shared" si="1"/>
        <v>0.81</v>
      </c>
      <c r="G597" s="17" t="str">
        <f>Github!H$596</f>
        <v>Database</v>
      </c>
      <c r="H597" s="17" t="b">
        <f>Github!D$596</f>
        <v>0</v>
      </c>
      <c r="I597" s="17" t="str">
        <f>Github!E$596</f>
        <v>Easy</v>
      </c>
      <c r="J597" s="17" t="str">
        <f>ROUND(Github!N$596, 2)&amp;"%"</f>
        <v>0%</v>
      </c>
      <c r="K597" s="17">
        <f>Github!O$596</f>
        <v>78.03273992</v>
      </c>
      <c r="L597" s="17">
        <f>Github!P$596</f>
        <v>261508</v>
      </c>
    </row>
    <row r="598">
      <c r="A598" s="17">
        <f>Github!J$597</f>
        <v>596</v>
      </c>
      <c r="B598" s="34" t="str">
        <f>HYPERLINK(CONCAT("http://leetcode.com/problems/",Github!C$597), Github!B$597)</f>
        <v>Classes More Than 5 Students</v>
      </c>
      <c r="C598" s="17">
        <f>Github!F$597</f>
        <v>407</v>
      </c>
      <c r="D598" s="17">
        <f>Github!G$597</f>
        <v>900</v>
      </c>
      <c r="E598" s="17">
        <f>Github!F$597+Github!G$597</f>
        <v>1307</v>
      </c>
      <c r="F598" s="18">
        <f t="shared" si="1"/>
        <v>0.45</v>
      </c>
      <c r="G598" s="17" t="str">
        <f>Github!H$597</f>
        <v>Database</v>
      </c>
      <c r="H598" s="17" t="b">
        <f>Github!D$597</f>
        <v>0</v>
      </c>
      <c r="I598" s="17" t="str">
        <f>Github!E$597</f>
        <v>Easy</v>
      </c>
      <c r="J598" s="17" t="str">
        <f>ROUND(Github!N$597, 2)&amp;"%"</f>
        <v>0%</v>
      </c>
      <c r="K598" s="17">
        <f>Github!O$597</f>
        <v>41.72817232</v>
      </c>
      <c r="L598" s="17">
        <f>Github!P$597</f>
        <v>150332</v>
      </c>
    </row>
    <row r="599">
      <c r="A599" s="17">
        <f>Github!J$598</f>
        <v>597</v>
      </c>
      <c r="B599" s="34" t="str">
        <f>HYPERLINK(CONCAT("http://leetcode.com/problems/",Github!C$598), Github!B$598)</f>
        <v>Friend Requests I: Overall Acceptance Rate</v>
      </c>
      <c r="C599" s="17">
        <f>Github!F$598</f>
        <v>228</v>
      </c>
      <c r="D599" s="17">
        <f>Github!G$598</f>
        <v>563</v>
      </c>
      <c r="E599" s="17">
        <f>Github!F$598+Github!G$598</f>
        <v>791</v>
      </c>
      <c r="F599" s="18">
        <f t="shared" si="1"/>
        <v>0.4</v>
      </c>
      <c r="G599" s="17" t="str">
        <f>Github!H$598</f>
        <v>Database</v>
      </c>
      <c r="H599" s="17" t="b">
        <f>Github!D$598</f>
        <v>1</v>
      </c>
      <c r="I599" s="17" t="str">
        <f>Github!E$598</f>
        <v>Easy</v>
      </c>
      <c r="J599" s="17" t="str">
        <f>ROUND(Github!N$598, 2)&amp;"%"</f>
        <v>0%</v>
      </c>
      <c r="K599" s="17">
        <f>Github!O$598</f>
        <v>42.61109782</v>
      </c>
      <c r="L599" s="17">
        <f>Github!P$598</f>
        <v>55221</v>
      </c>
    </row>
    <row r="600">
      <c r="A600" s="17">
        <f>Github!J$599</f>
        <v>598</v>
      </c>
      <c r="B600" s="34" t="str">
        <f>HYPERLINK(CONCAT("http://leetcode.com/problems/",Github!C$599), Github!B$599)</f>
        <v>Range Addition II</v>
      </c>
      <c r="C600" s="17">
        <f>Github!F$599</f>
        <v>628</v>
      </c>
      <c r="D600" s="17">
        <f>Github!G$599</f>
        <v>793</v>
      </c>
      <c r="E600" s="17">
        <f>Github!F$599+Github!G$599</f>
        <v>1421</v>
      </c>
      <c r="F600" s="18">
        <f t="shared" si="1"/>
        <v>0.79</v>
      </c>
      <c r="G600" s="17" t="str">
        <f>Github!H$599</f>
        <v>Algorithms</v>
      </c>
      <c r="H600" s="17" t="b">
        <f>Github!D$599</f>
        <v>0</v>
      </c>
      <c r="I600" s="17" t="str">
        <f>Github!E$599</f>
        <v>Easy</v>
      </c>
      <c r="J600" s="17" t="str">
        <f>ROUND(Github!N$599, 2)&amp;"%"</f>
        <v>0%</v>
      </c>
      <c r="K600" s="17">
        <f>Github!O$599</f>
        <v>54.58899101</v>
      </c>
      <c r="L600" s="17">
        <f>Github!P$599</f>
        <v>76144</v>
      </c>
    </row>
    <row r="601">
      <c r="A601" s="17">
        <f>Github!J$600</f>
        <v>599</v>
      </c>
      <c r="B601" s="34" t="str">
        <f>HYPERLINK(CONCAT("http://leetcode.com/problems/",Github!C$600), Github!B$600)</f>
        <v>Minimum Index Sum of Two Lists</v>
      </c>
      <c r="C601" s="17">
        <f>Github!F$600</f>
        <v>1125</v>
      </c>
      <c r="D601" s="17">
        <f>Github!G$600</f>
        <v>317</v>
      </c>
      <c r="E601" s="17">
        <f>Github!F$600+Github!G$600</f>
        <v>1442</v>
      </c>
      <c r="F601" s="18">
        <f t="shared" si="1"/>
        <v>3.55</v>
      </c>
      <c r="G601" s="17" t="str">
        <f>Github!H$600</f>
        <v>Algorithms</v>
      </c>
      <c r="H601" s="17" t="b">
        <f>Github!D$600</f>
        <v>0</v>
      </c>
      <c r="I601" s="17" t="str">
        <f>Github!E$600</f>
        <v>Easy</v>
      </c>
      <c r="J601" s="17" t="str">
        <f>ROUND(Github!N$600, 2)&amp;"%"</f>
        <v>0%</v>
      </c>
      <c r="K601" s="17">
        <f>Github!O$600</f>
        <v>52.84043979</v>
      </c>
      <c r="L601" s="17">
        <f>Github!P$600</f>
        <v>143939</v>
      </c>
    </row>
    <row r="602">
      <c r="A602" s="17">
        <f>Github!J$601</f>
        <v>600</v>
      </c>
      <c r="B602" s="34" t="str">
        <f>HYPERLINK(CONCAT("http://leetcode.com/problems/",Github!C$601), Github!B$601)</f>
        <v>Non-negative Integers without Consecutive Ones</v>
      </c>
      <c r="C602" s="17">
        <f>Github!F$601</f>
        <v>1037</v>
      </c>
      <c r="D602" s="17">
        <f>Github!G$601</f>
        <v>113</v>
      </c>
      <c r="E602" s="17">
        <f>Github!F$601+Github!G$601</f>
        <v>1150</v>
      </c>
      <c r="F602" s="18">
        <f t="shared" si="1"/>
        <v>9.18</v>
      </c>
      <c r="G602" s="17" t="str">
        <f>Github!H$601</f>
        <v>Algorithms</v>
      </c>
      <c r="H602" s="17" t="b">
        <f>Github!D$601</f>
        <v>0</v>
      </c>
      <c r="I602" s="17" t="str">
        <f>Github!E$601</f>
        <v>Hard</v>
      </c>
      <c r="J602" s="17" t="str">
        <f>ROUND(Github!N$601, 2)&amp;"%"</f>
        <v>0%</v>
      </c>
      <c r="K602" s="17">
        <f>Github!O$601</f>
        <v>38.64558772</v>
      </c>
      <c r="L602" s="17">
        <f>Github!P$601</f>
        <v>29993</v>
      </c>
    </row>
    <row r="603">
      <c r="A603" s="17">
        <f>Github!J$602</f>
        <v>601</v>
      </c>
      <c r="B603" s="34" t="str">
        <f>HYPERLINK(CONCAT("http://leetcode.com/problems/",Github!C$602), Github!B$602)</f>
        <v>Human Traffic of Stadium</v>
      </c>
      <c r="C603" s="17">
        <f>Github!F$602</f>
        <v>328</v>
      </c>
      <c r="D603" s="17">
        <f>Github!G$602</f>
        <v>471</v>
      </c>
      <c r="E603" s="17">
        <f>Github!F$602+Github!G$602</f>
        <v>799</v>
      </c>
      <c r="F603" s="18">
        <f t="shared" si="1"/>
        <v>0.7</v>
      </c>
      <c r="G603" s="17" t="str">
        <f>Github!H$602</f>
        <v>Database</v>
      </c>
      <c r="H603" s="17" t="b">
        <f>Github!D$602</f>
        <v>0</v>
      </c>
      <c r="I603" s="17" t="str">
        <f>Github!E$602</f>
        <v>Hard</v>
      </c>
      <c r="J603" s="17" t="str">
        <f>ROUND(Github!N$602, 2)&amp;"%"</f>
        <v>0%</v>
      </c>
      <c r="K603" s="17">
        <f>Github!O$602</f>
        <v>49.2660101</v>
      </c>
      <c r="L603" s="17">
        <f>Github!P$602</f>
        <v>58327</v>
      </c>
    </row>
    <row r="604">
      <c r="A604" s="17">
        <f>Github!J$603</f>
        <v>602</v>
      </c>
      <c r="B604" s="34" t="str">
        <f>HYPERLINK(CONCAT("http://leetcode.com/problems/",Github!C$603), Github!B$603)</f>
        <v>Friend Requests II: Who Has the Most Friends</v>
      </c>
      <c r="C604" s="17">
        <f>Github!F$603</f>
        <v>242</v>
      </c>
      <c r="D604" s="17">
        <f>Github!G$603</f>
        <v>70</v>
      </c>
      <c r="E604" s="17">
        <f>Github!F$603+Github!G$603</f>
        <v>312</v>
      </c>
      <c r="F604" s="18">
        <f t="shared" si="1"/>
        <v>3.46</v>
      </c>
      <c r="G604" s="17" t="str">
        <f>Github!H$603</f>
        <v>Database</v>
      </c>
      <c r="H604" s="17" t="b">
        <f>Github!D$603</f>
        <v>1</v>
      </c>
      <c r="I604" s="17" t="str">
        <f>Github!E$603</f>
        <v>Medium</v>
      </c>
      <c r="J604" s="17" t="str">
        <f>ROUND(Github!N$603, 2)&amp;"%"</f>
        <v>0%</v>
      </c>
      <c r="K604" s="17">
        <f>Github!O$603</f>
        <v>60.51347419</v>
      </c>
      <c r="L604" s="17">
        <f>Github!P$603</f>
        <v>46999</v>
      </c>
    </row>
    <row r="605">
      <c r="A605" s="17">
        <f>Github!J$604</f>
        <v>603</v>
      </c>
      <c r="B605" s="34" t="str">
        <f>HYPERLINK(CONCAT("http://leetcode.com/problems/",Github!C$604), Github!B$604)</f>
        <v>Consecutive Available Seats</v>
      </c>
      <c r="C605" s="17">
        <f>Github!F$604</f>
        <v>441</v>
      </c>
      <c r="D605" s="17">
        <f>Github!G$604</f>
        <v>39</v>
      </c>
      <c r="E605" s="17">
        <f>Github!F$604+Github!G$604</f>
        <v>480</v>
      </c>
      <c r="F605" s="18">
        <f t="shared" si="1"/>
        <v>11.31</v>
      </c>
      <c r="G605" s="17" t="str">
        <f>Github!H$604</f>
        <v>Database</v>
      </c>
      <c r="H605" s="17" t="b">
        <f>Github!D$604</f>
        <v>1</v>
      </c>
      <c r="I605" s="17" t="str">
        <f>Github!E$604</f>
        <v>Easy</v>
      </c>
      <c r="J605" s="17" t="str">
        <f>ROUND(Github!N$604, 2)&amp;"%"</f>
        <v>0%</v>
      </c>
      <c r="K605" s="17">
        <f>Github!O$604</f>
        <v>67.71614583</v>
      </c>
      <c r="L605" s="17">
        <f>Github!P$604</f>
        <v>52005</v>
      </c>
    </row>
    <row r="606">
      <c r="A606" s="17">
        <f>Github!J$605</f>
        <v>604</v>
      </c>
      <c r="B606" s="34" t="str">
        <f>HYPERLINK(CONCAT("http://leetcode.com/problems/",Github!C$605), Github!B$605)</f>
        <v>Design Compressed String Iterator</v>
      </c>
      <c r="C606" s="17">
        <f>Github!F$605</f>
        <v>350</v>
      </c>
      <c r="D606" s="17">
        <f>Github!G$605</f>
        <v>121</v>
      </c>
      <c r="E606" s="17">
        <f>Github!F$605+Github!G$605</f>
        <v>471</v>
      </c>
      <c r="F606" s="18">
        <f t="shared" si="1"/>
        <v>2.89</v>
      </c>
      <c r="G606" s="17" t="str">
        <f>Github!H$605</f>
        <v>Algorithms</v>
      </c>
      <c r="H606" s="17" t="b">
        <f>Github!D$605</f>
        <v>1</v>
      </c>
      <c r="I606" s="17" t="str">
        <f>Github!E$605</f>
        <v>Easy</v>
      </c>
      <c r="J606" s="17" t="str">
        <f>ROUND(Github!N$605, 2)&amp;"%"</f>
        <v>0%</v>
      </c>
      <c r="K606" s="17">
        <f>Github!O$605</f>
        <v>38.97955156</v>
      </c>
      <c r="L606" s="17">
        <f>Github!P$605</f>
        <v>25677</v>
      </c>
    </row>
    <row r="607">
      <c r="A607" s="17">
        <f>Github!J$606</f>
        <v>605</v>
      </c>
      <c r="B607" s="34" t="str">
        <f>HYPERLINK(CONCAT("http://leetcode.com/problems/",Github!C$606), Github!B$606)</f>
        <v>Can Place Flowers</v>
      </c>
      <c r="C607" s="17">
        <f>Github!F$606</f>
        <v>2775</v>
      </c>
      <c r="D607" s="17">
        <f>Github!G$606</f>
        <v>629</v>
      </c>
      <c r="E607" s="17">
        <f>Github!F$606+Github!G$606</f>
        <v>3404</v>
      </c>
      <c r="F607" s="18">
        <f t="shared" si="1"/>
        <v>4.41</v>
      </c>
      <c r="G607" s="17" t="str">
        <f>Github!H$606</f>
        <v>Algorithms</v>
      </c>
      <c r="H607" s="17" t="b">
        <f>Github!D$606</f>
        <v>0</v>
      </c>
      <c r="I607" s="17" t="str">
        <f>Github!E$606</f>
        <v>Easy</v>
      </c>
      <c r="J607" s="17" t="str">
        <f>ROUND(Github!N$606, 2)&amp;"%"</f>
        <v>0%</v>
      </c>
      <c r="K607" s="17">
        <f>Github!O$606</f>
        <v>33.01280733</v>
      </c>
      <c r="L607" s="17">
        <f>Github!P$606</f>
        <v>280827</v>
      </c>
    </row>
    <row r="608">
      <c r="A608" s="17">
        <f>Github!J$607</f>
        <v>606</v>
      </c>
      <c r="B608" s="34" t="str">
        <f>HYPERLINK(CONCAT("http://leetcode.com/problems/",Github!C$607), Github!B$607)</f>
        <v>Construct String from Binary Tree</v>
      </c>
      <c r="C608" s="17">
        <f>Github!F$607</f>
        <v>1306</v>
      </c>
      <c r="D608" s="17">
        <f>Github!G$607</f>
        <v>1681</v>
      </c>
      <c r="E608" s="17">
        <f>Github!F$607+Github!G$607</f>
        <v>2987</v>
      </c>
      <c r="F608" s="18">
        <f t="shared" si="1"/>
        <v>0.78</v>
      </c>
      <c r="G608" s="17" t="str">
        <f>Github!H$607</f>
        <v>Algorithms</v>
      </c>
      <c r="H608" s="17" t="b">
        <f>Github!D$607</f>
        <v>0</v>
      </c>
      <c r="I608" s="17" t="str">
        <f>Github!E$607</f>
        <v>Easy</v>
      </c>
      <c r="J608" s="17" t="str">
        <f>ROUND(Github!N$607, 2)&amp;"%"</f>
        <v>0%</v>
      </c>
      <c r="K608" s="17">
        <f>Github!O$607</f>
        <v>57.43472804</v>
      </c>
      <c r="L608" s="17">
        <f>Github!P$607</f>
        <v>124927</v>
      </c>
    </row>
    <row r="609">
      <c r="A609" s="17">
        <f>Github!J$608</f>
        <v>607</v>
      </c>
      <c r="B609" s="34" t="str">
        <f>HYPERLINK(CONCAT("http://leetcode.com/problems/",Github!C$608), Github!B$608)</f>
        <v>Sales Person</v>
      </c>
      <c r="C609" s="17">
        <f>Github!F$608</f>
        <v>232</v>
      </c>
      <c r="D609" s="17">
        <f>Github!G$608</f>
        <v>45</v>
      </c>
      <c r="E609" s="17">
        <f>Github!F$608+Github!G$608</f>
        <v>277</v>
      </c>
      <c r="F609" s="18">
        <f t="shared" si="1"/>
        <v>5.16</v>
      </c>
      <c r="G609" s="17" t="str">
        <f>Github!H$608</f>
        <v>Database</v>
      </c>
      <c r="H609" s="17" t="b">
        <f>Github!D$608</f>
        <v>1</v>
      </c>
      <c r="I609" s="17" t="str">
        <f>Github!E$608</f>
        <v>Easy</v>
      </c>
      <c r="J609" s="17" t="str">
        <f>ROUND(Github!N$608, 2)&amp;"%"</f>
        <v>0%</v>
      </c>
      <c r="K609" s="17">
        <f>Github!O$608</f>
        <v>67.97319019</v>
      </c>
      <c r="L609" s="17">
        <f>Github!P$608</f>
        <v>47360</v>
      </c>
    </row>
    <row r="610">
      <c r="A610" s="17">
        <f>Github!J$609</f>
        <v>608</v>
      </c>
      <c r="B610" s="34" t="str">
        <f>HYPERLINK(CONCAT("http://leetcode.com/problems/",Github!C$609), Github!B$609)</f>
        <v>Tree Node</v>
      </c>
      <c r="C610" s="17">
        <f>Github!F$609</f>
        <v>317</v>
      </c>
      <c r="D610" s="17">
        <f>Github!G$609</f>
        <v>30</v>
      </c>
      <c r="E610" s="17">
        <f>Github!F$609+Github!G$609</f>
        <v>347</v>
      </c>
      <c r="F610" s="18">
        <f t="shared" si="1"/>
        <v>10.57</v>
      </c>
      <c r="G610" s="17" t="str">
        <f>Github!H$609</f>
        <v>Database</v>
      </c>
      <c r="H610" s="17" t="b">
        <f>Github!D$609</f>
        <v>1</v>
      </c>
      <c r="I610" s="17" t="str">
        <f>Github!E$609</f>
        <v>Medium</v>
      </c>
      <c r="J610" s="17" t="str">
        <f>ROUND(Github!N$609, 2)&amp;"%"</f>
        <v>0%</v>
      </c>
      <c r="K610" s="17">
        <f>Github!O$609</f>
        <v>71.29727075</v>
      </c>
      <c r="L610" s="17">
        <f>Github!P$609</f>
        <v>40648</v>
      </c>
    </row>
    <row r="611">
      <c r="A611" s="17">
        <f>Github!J$610</f>
        <v>609</v>
      </c>
      <c r="B611" s="34" t="str">
        <f>HYPERLINK(CONCAT("http://leetcode.com/problems/",Github!C$610), Github!B$610)</f>
        <v>Find Duplicate File in System</v>
      </c>
      <c r="C611" s="17">
        <f>Github!F$610</f>
        <v>794</v>
      </c>
      <c r="D611" s="17">
        <f>Github!G$610</f>
        <v>908</v>
      </c>
      <c r="E611" s="17">
        <f>Github!F$610+Github!G$610</f>
        <v>1702</v>
      </c>
      <c r="F611" s="18">
        <f t="shared" si="1"/>
        <v>0.87</v>
      </c>
      <c r="G611" s="17" t="str">
        <f>Github!H$610</f>
        <v>Algorithms</v>
      </c>
      <c r="H611" s="17" t="b">
        <f>Github!D$610</f>
        <v>0</v>
      </c>
      <c r="I611" s="17" t="str">
        <f>Github!E$610</f>
        <v>Medium</v>
      </c>
      <c r="J611" s="17" t="str">
        <f>ROUND(Github!N$610, 2)&amp;"%"</f>
        <v>0%</v>
      </c>
      <c r="K611" s="17">
        <f>Github!O$610</f>
        <v>63.70141619</v>
      </c>
      <c r="L611" s="17">
        <f>Github!P$610</f>
        <v>93650</v>
      </c>
    </row>
    <row r="612">
      <c r="A612" s="17">
        <f>Github!J$611</f>
        <v>610</v>
      </c>
      <c r="B612" s="34" t="str">
        <f>HYPERLINK(CONCAT("http://leetcode.com/problems/",Github!C$611), Github!B$611)</f>
        <v>Triangle Judgement</v>
      </c>
      <c r="C612" s="17">
        <f>Github!F$611</f>
        <v>205</v>
      </c>
      <c r="D612" s="17">
        <f>Github!G$611</f>
        <v>46</v>
      </c>
      <c r="E612" s="17">
        <f>Github!F$611+Github!G$611</f>
        <v>251</v>
      </c>
      <c r="F612" s="18">
        <f t="shared" si="1"/>
        <v>4.46</v>
      </c>
      <c r="G612" s="17" t="str">
        <f>Github!H$611</f>
        <v>Database</v>
      </c>
      <c r="H612" s="17" t="b">
        <f>Github!D$611</f>
        <v>1</v>
      </c>
      <c r="I612" s="17" t="str">
        <f>Github!E$611</f>
        <v>Easy</v>
      </c>
      <c r="J612" s="17" t="str">
        <f>ROUND(Github!N$611, 2)&amp;"%"</f>
        <v>0%</v>
      </c>
      <c r="K612" s="17">
        <f>Github!O$611</f>
        <v>70.70172847</v>
      </c>
      <c r="L612" s="17">
        <f>Github!P$611</f>
        <v>47857</v>
      </c>
    </row>
    <row r="613">
      <c r="A613" s="17">
        <f>Github!J$612</f>
        <v>611</v>
      </c>
      <c r="B613" s="34" t="str">
        <f>HYPERLINK(CONCAT("http://leetcode.com/problems/",Github!C$612), Github!B$612)</f>
        <v>Valid Triangle Number</v>
      </c>
      <c r="C613" s="17">
        <f>Github!F$612</f>
        <v>2347</v>
      </c>
      <c r="D613" s="17">
        <f>Github!G$612</f>
        <v>143</v>
      </c>
      <c r="E613" s="17">
        <f>Github!F$612+Github!G$612</f>
        <v>2490</v>
      </c>
      <c r="F613" s="18">
        <f t="shared" si="1"/>
        <v>16.41</v>
      </c>
      <c r="G613" s="17" t="str">
        <f>Github!H$612</f>
        <v>Algorithms</v>
      </c>
      <c r="H613" s="17" t="b">
        <f>Github!D$612</f>
        <v>0</v>
      </c>
      <c r="I613" s="17" t="str">
        <f>Github!E$612</f>
        <v>Medium</v>
      </c>
      <c r="J613" s="17" t="str">
        <f>ROUND(Github!N$612, 2)&amp;"%"</f>
        <v>0%</v>
      </c>
      <c r="K613" s="17">
        <f>Github!O$612</f>
        <v>49.56704128</v>
      </c>
      <c r="L613" s="17">
        <f>Github!P$612</f>
        <v>130684</v>
      </c>
    </row>
    <row r="614">
      <c r="A614" s="17">
        <f>Github!J$613</f>
        <v>612</v>
      </c>
      <c r="B614" s="34" t="str">
        <f>HYPERLINK(CONCAT("http://leetcode.com/problems/",Github!C$613), Github!B$613)</f>
        <v>Shortest Distance in a Plane</v>
      </c>
      <c r="C614" s="17">
        <f>Github!F$613</f>
        <v>161</v>
      </c>
      <c r="D614" s="17">
        <f>Github!G$613</f>
        <v>61</v>
      </c>
      <c r="E614" s="17">
        <f>Github!F$613+Github!G$613</f>
        <v>222</v>
      </c>
      <c r="F614" s="18">
        <f t="shared" si="1"/>
        <v>2.64</v>
      </c>
      <c r="G614" s="17" t="str">
        <f>Github!H$613</f>
        <v>Database</v>
      </c>
      <c r="H614" s="17" t="b">
        <f>Github!D$613</f>
        <v>1</v>
      </c>
      <c r="I614" s="17" t="str">
        <f>Github!E$613</f>
        <v>Medium</v>
      </c>
      <c r="J614" s="17" t="str">
        <f>ROUND(Github!N$613, 2)&amp;"%"</f>
        <v>0%</v>
      </c>
      <c r="K614" s="17">
        <f>Github!O$613</f>
        <v>63.01878502</v>
      </c>
      <c r="L614" s="17">
        <f>Github!P$613</f>
        <v>28682</v>
      </c>
    </row>
    <row r="615">
      <c r="A615" s="17">
        <f>Github!J$614</f>
        <v>613</v>
      </c>
      <c r="B615" s="34" t="str">
        <f>HYPERLINK(CONCAT("http://leetcode.com/problems/",Github!C$614), Github!B$614)</f>
        <v>Shortest Distance in a Line</v>
      </c>
      <c r="C615" s="17">
        <f>Github!F$614</f>
        <v>240</v>
      </c>
      <c r="D615" s="17">
        <f>Github!G$614</f>
        <v>33</v>
      </c>
      <c r="E615" s="17">
        <f>Github!F$614+Github!G$614</f>
        <v>273</v>
      </c>
      <c r="F615" s="18">
        <f t="shared" si="1"/>
        <v>7.27</v>
      </c>
      <c r="G615" s="17" t="str">
        <f>Github!H$614</f>
        <v>Database</v>
      </c>
      <c r="H615" s="17" t="b">
        <f>Github!D$614</f>
        <v>1</v>
      </c>
      <c r="I615" s="17" t="str">
        <f>Github!E$614</f>
        <v>Easy</v>
      </c>
      <c r="J615" s="17" t="str">
        <f>ROUND(Github!N$614, 2)&amp;"%"</f>
        <v>0%</v>
      </c>
      <c r="K615" s="17">
        <f>Github!O$614</f>
        <v>81.0085353</v>
      </c>
      <c r="L615" s="17">
        <f>Github!P$614</f>
        <v>48499</v>
      </c>
    </row>
    <row r="616">
      <c r="A616" s="17">
        <f>Github!J$615</f>
        <v>614</v>
      </c>
      <c r="B616" s="34" t="str">
        <f>HYPERLINK(CONCAT("http://leetcode.com/problems/",Github!C$615), Github!B$615)</f>
        <v>Second Degree Follower</v>
      </c>
      <c r="C616" s="17">
        <f>Github!F$615</f>
        <v>115</v>
      </c>
      <c r="D616" s="17">
        <f>Github!G$615</f>
        <v>691</v>
      </c>
      <c r="E616" s="17">
        <f>Github!F$615+Github!G$615</f>
        <v>806</v>
      </c>
      <c r="F616" s="18">
        <f t="shared" si="1"/>
        <v>0.17</v>
      </c>
      <c r="G616" s="17" t="str">
        <f>Github!H$615</f>
        <v>Database</v>
      </c>
      <c r="H616" s="17" t="b">
        <f>Github!D$615</f>
        <v>1</v>
      </c>
      <c r="I616" s="17" t="str">
        <f>Github!E$615</f>
        <v>Medium</v>
      </c>
      <c r="J616" s="17" t="str">
        <f>ROUND(Github!N$615, 2)&amp;"%"</f>
        <v>0%</v>
      </c>
      <c r="K616" s="17">
        <f>Github!O$615</f>
        <v>35.18403973</v>
      </c>
      <c r="L616" s="17">
        <f>Github!P$615</f>
        <v>38111</v>
      </c>
    </row>
    <row r="617">
      <c r="A617" s="17">
        <f>Github!J$616</f>
        <v>615</v>
      </c>
      <c r="B617" s="34" t="str">
        <f>HYPERLINK(CONCAT("http://leetcode.com/problems/",Github!C$616), Github!B$616)</f>
        <v>Average Salary: Departments VS Company</v>
      </c>
      <c r="C617" s="17">
        <f>Github!F$616</f>
        <v>168</v>
      </c>
      <c r="D617" s="17">
        <f>Github!G$616</f>
        <v>58</v>
      </c>
      <c r="E617" s="17">
        <f>Github!F$616+Github!G$616</f>
        <v>226</v>
      </c>
      <c r="F617" s="18">
        <f t="shared" si="1"/>
        <v>2.9</v>
      </c>
      <c r="G617" s="17" t="str">
        <f>Github!H$616</f>
        <v>Database</v>
      </c>
      <c r="H617" s="17" t="b">
        <f>Github!D$616</f>
        <v>1</v>
      </c>
      <c r="I617" s="17" t="str">
        <f>Github!E$616</f>
        <v>Hard</v>
      </c>
      <c r="J617" s="17" t="str">
        <f>ROUND(Github!N$616, 2)&amp;"%"</f>
        <v>0%</v>
      </c>
      <c r="K617" s="17">
        <f>Github!O$616</f>
        <v>55.97897207</v>
      </c>
      <c r="L617" s="17">
        <f>Github!P$616</f>
        <v>24811</v>
      </c>
    </row>
    <row r="618">
      <c r="A618" s="17">
        <f>Github!J$617</f>
        <v>616</v>
      </c>
      <c r="B618" s="34" t="str">
        <f>HYPERLINK(CONCAT("http://leetcode.com/problems/",Github!C$617), Github!B$617)</f>
        <v>Add Bold Tag in String</v>
      </c>
      <c r="C618" s="17">
        <f>Github!F$617</f>
        <v>883</v>
      </c>
      <c r="D618" s="17">
        <f>Github!G$617</f>
        <v>146</v>
      </c>
      <c r="E618" s="17">
        <f>Github!F$617+Github!G$617</f>
        <v>1029</v>
      </c>
      <c r="F618" s="18">
        <f t="shared" si="1"/>
        <v>6.05</v>
      </c>
      <c r="G618" s="17" t="str">
        <f>Github!H$617</f>
        <v>Algorithms</v>
      </c>
      <c r="H618" s="17" t="b">
        <f>Github!D$617</f>
        <v>1</v>
      </c>
      <c r="I618" s="17" t="str">
        <f>Github!E$617</f>
        <v>Medium</v>
      </c>
      <c r="J618" s="17" t="str">
        <f>ROUND(Github!N$617, 2)&amp;"%"</f>
        <v>0%</v>
      </c>
      <c r="K618" s="17">
        <f>Github!O$617</f>
        <v>47.86189186</v>
      </c>
      <c r="L618" s="17">
        <f>Github!P$617</f>
        <v>71195</v>
      </c>
    </row>
    <row r="619">
      <c r="A619" s="17">
        <f>Github!J$618</f>
        <v>617</v>
      </c>
      <c r="B619" s="34" t="str">
        <f>HYPERLINK(CONCAT("http://leetcode.com/problems/",Github!C$618), Github!B$618)</f>
        <v>Merge Two Binary Trees</v>
      </c>
      <c r="C619" s="17">
        <f>Github!F$618</f>
        <v>6201</v>
      </c>
      <c r="D619" s="17">
        <f>Github!G$618</f>
        <v>240</v>
      </c>
      <c r="E619" s="17">
        <f>Github!F$618+Github!G$618</f>
        <v>6441</v>
      </c>
      <c r="F619" s="18">
        <f t="shared" si="1"/>
        <v>25.84</v>
      </c>
      <c r="G619" s="17" t="str">
        <f>Github!H$618</f>
        <v>Algorithms</v>
      </c>
      <c r="H619" s="17" t="b">
        <f>Github!D$618</f>
        <v>0</v>
      </c>
      <c r="I619" s="17" t="str">
        <f>Github!E$618</f>
        <v>Easy</v>
      </c>
      <c r="J619" s="17" t="str">
        <f>ROUND(Github!N$618, 2)&amp;"%"</f>
        <v>0%</v>
      </c>
      <c r="K619" s="17">
        <f>Github!O$618</f>
        <v>77.657902</v>
      </c>
      <c r="L619" s="17">
        <f>Github!P$618</f>
        <v>531991</v>
      </c>
    </row>
    <row r="620">
      <c r="A620" s="17">
        <f>Github!J$619</f>
        <v>618</v>
      </c>
      <c r="B620" s="34" t="str">
        <f>HYPERLINK(CONCAT("http://leetcode.com/problems/",Github!C$619), Github!B$619)</f>
        <v>Students Report By Geography</v>
      </c>
      <c r="C620" s="17">
        <f>Github!F$619</f>
        <v>115</v>
      </c>
      <c r="D620" s="17">
        <f>Github!G$619</f>
        <v>129</v>
      </c>
      <c r="E620" s="17">
        <f>Github!F$619+Github!G$619</f>
        <v>244</v>
      </c>
      <c r="F620" s="18">
        <f t="shared" si="1"/>
        <v>0.89</v>
      </c>
      <c r="G620" s="17" t="str">
        <f>Github!H$619</f>
        <v>Database</v>
      </c>
      <c r="H620" s="17" t="b">
        <f>Github!D$619</f>
        <v>1</v>
      </c>
      <c r="I620" s="17" t="str">
        <f>Github!E$619</f>
        <v>Hard</v>
      </c>
      <c r="J620" s="17" t="str">
        <f>ROUND(Github!N$619, 2)&amp;"%"</f>
        <v>0%</v>
      </c>
      <c r="K620" s="17">
        <f>Github!O$619</f>
        <v>63.06893638</v>
      </c>
      <c r="L620" s="17">
        <f>Github!P$619</f>
        <v>15671</v>
      </c>
    </row>
    <row r="621">
      <c r="A621" s="17">
        <f>Github!J$620</f>
        <v>619</v>
      </c>
      <c r="B621" s="34" t="str">
        <f>HYPERLINK(CONCAT("http://leetcode.com/problems/",Github!C$620), Github!B$620)</f>
        <v>Biggest Single Number</v>
      </c>
      <c r="C621" s="17">
        <f>Github!F$620</f>
        <v>115</v>
      </c>
      <c r="D621" s="17">
        <f>Github!G$620</f>
        <v>104</v>
      </c>
      <c r="E621" s="17">
        <f>Github!F$620+Github!G$620</f>
        <v>219</v>
      </c>
      <c r="F621" s="18">
        <f t="shared" si="1"/>
        <v>1.11</v>
      </c>
      <c r="G621" s="17" t="str">
        <f>Github!H$620</f>
        <v>Database</v>
      </c>
      <c r="H621" s="17" t="b">
        <f>Github!D$620</f>
        <v>1</v>
      </c>
      <c r="I621" s="17" t="str">
        <f>Github!E$620</f>
        <v>Easy</v>
      </c>
      <c r="J621" s="17" t="str">
        <f>ROUND(Github!N$620, 2)&amp;"%"</f>
        <v>0%</v>
      </c>
      <c r="K621" s="17">
        <f>Github!O$620</f>
        <v>47.23173051</v>
      </c>
      <c r="L621" s="17">
        <f>Github!P$620</f>
        <v>43462</v>
      </c>
    </row>
    <row r="622">
      <c r="A622" s="17">
        <f>Github!J$621</f>
        <v>620</v>
      </c>
      <c r="B622" s="34" t="str">
        <f>HYPERLINK(CONCAT("http://leetcode.com/problems/",Github!C$621), Github!B$621)</f>
        <v>Not Boring Movies</v>
      </c>
      <c r="C622" s="17">
        <f>Github!F$621</f>
        <v>462</v>
      </c>
      <c r="D622" s="17">
        <f>Github!G$621</f>
        <v>359</v>
      </c>
      <c r="E622" s="17">
        <f>Github!F$621+Github!G$621</f>
        <v>821</v>
      </c>
      <c r="F622" s="18">
        <f t="shared" si="1"/>
        <v>1.29</v>
      </c>
      <c r="G622" s="17" t="str">
        <f>Github!H$621</f>
        <v>Database</v>
      </c>
      <c r="H622" s="17" t="b">
        <f>Github!D$621</f>
        <v>0</v>
      </c>
      <c r="I622" s="17" t="str">
        <f>Github!E$621</f>
        <v>Easy</v>
      </c>
      <c r="J622" s="17" t="str">
        <f>ROUND(Github!N$621, 2)&amp;"%"</f>
        <v>0%</v>
      </c>
      <c r="K622" s="17">
        <f>Github!O$621</f>
        <v>72.35459746</v>
      </c>
      <c r="L622" s="17">
        <f>Github!P$621</f>
        <v>177823</v>
      </c>
    </row>
    <row r="623">
      <c r="A623" s="17">
        <f>Github!J$622</f>
        <v>621</v>
      </c>
      <c r="B623" s="34" t="str">
        <f>HYPERLINK(CONCAT("http://leetcode.com/problems/",Github!C$622), Github!B$622)</f>
        <v>Task Scheduler</v>
      </c>
      <c r="C623" s="17">
        <f>Github!F$622</f>
        <v>6133</v>
      </c>
      <c r="D623" s="17">
        <f>Github!G$622</f>
        <v>1171</v>
      </c>
      <c r="E623" s="17">
        <f>Github!F$622+Github!G$622</f>
        <v>7304</v>
      </c>
      <c r="F623" s="18">
        <f t="shared" si="1"/>
        <v>5.24</v>
      </c>
      <c r="G623" s="17" t="str">
        <f>Github!H$622</f>
        <v>Algorithms</v>
      </c>
      <c r="H623" s="17" t="b">
        <f>Github!D$622</f>
        <v>0</v>
      </c>
      <c r="I623" s="17" t="str">
        <f>Github!E$622</f>
        <v>Medium</v>
      </c>
      <c r="J623" s="17" t="str">
        <f>ROUND(Github!N$622, 2)&amp;"%"</f>
        <v>0%</v>
      </c>
      <c r="K623" s="17">
        <f>Github!O$622</f>
        <v>54.26564697</v>
      </c>
      <c r="L623" s="17">
        <f>Github!P$622</f>
        <v>326045</v>
      </c>
    </row>
    <row r="624">
      <c r="A624" s="17">
        <f>Github!J$623</f>
        <v>622</v>
      </c>
      <c r="B624" s="34" t="str">
        <f>HYPERLINK(CONCAT("http://leetcode.com/problems/",Github!C$623), Github!B$623)</f>
        <v>Design Circular Queue</v>
      </c>
      <c r="C624" s="17">
        <f>Github!F$623</f>
        <v>1578</v>
      </c>
      <c r="D624" s="17">
        <f>Github!G$623</f>
        <v>163</v>
      </c>
      <c r="E624" s="17">
        <f>Github!F$623+Github!G$623</f>
        <v>1741</v>
      </c>
      <c r="F624" s="18">
        <f t="shared" si="1"/>
        <v>9.68</v>
      </c>
      <c r="G624" s="17" t="str">
        <f>Github!H$623</f>
        <v>Algorithms</v>
      </c>
      <c r="H624" s="17" t="b">
        <f>Github!D$623</f>
        <v>0</v>
      </c>
      <c r="I624" s="17" t="str">
        <f>Github!E$623</f>
        <v>Medium</v>
      </c>
      <c r="J624" s="17" t="str">
        <f>ROUND(Github!N$623, 2)&amp;"%"</f>
        <v>0%</v>
      </c>
      <c r="K624" s="17">
        <f>Github!O$623</f>
        <v>48.5295945</v>
      </c>
      <c r="L624" s="17">
        <f>Github!P$623</f>
        <v>164028</v>
      </c>
    </row>
    <row r="625">
      <c r="A625" s="17">
        <f>Github!J$624</f>
        <v>623</v>
      </c>
      <c r="B625" s="34" t="str">
        <f>HYPERLINK(CONCAT("http://leetcode.com/problems/",Github!C$624), Github!B$624)</f>
        <v>Add One Row to Tree</v>
      </c>
      <c r="C625" s="17">
        <f>Github!F$624</f>
        <v>1215</v>
      </c>
      <c r="D625" s="17">
        <f>Github!G$624</f>
        <v>170</v>
      </c>
      <c r="E625" s="17">
        <f>Github!F$624+Github!G$624</f>
        <v>1385</v>
      </c>
      <c r="F625" s="18">
        <f t="shared" si="1"/>
        <v>7.15</v>
      </c>
      <c r="G625" s="17" t="str">
        <f>Github!H$624</f>
        <v>Algorithms</v>
      </c>
      <c r="H625" s="17" t="b">
        <f>Github!D$624</f>
        <v>0</v>
      </c>
      <c r="I625" s="17" t="str">
        <f>Github!E$624</f>
        <v>Medium</v>
      </c>
      <c r="J625" s="17" t="str">
        <f>ROUND(Github!N$624, 2)&amp;"%"</f>
        <v>0%</v>
      </c>
      <c r="K625" s="17">
        <f>Github!O$624</f>
        <v>53.78046517</v>
      </c>
      <c r="L625" s="17">
        <f>Github!P$624</f>
        <v>81116</v>
      </c>
    </row>
    <row r="626">
      <c r="A626" s="17">
        <f>Github!J$625</f>
        <v>624</v>
      </c>
      <c r="B626" s="34" t="str">
        <f>HYPERLINK(CONCAT("http://leetcode.com/problems/",Github!C$625), Github!B$625)</f>
        <v>Maximum Distance in Arrays</v>
      </c>
      <c r="C626" s="17">
        <f>Github!F$625</f>
        <v>591</v>
      </c>
      <c r="D626" s="17">
        <f>Github!G$625</f>
        <v>61</v>
      </c>
      <c r="E626" s="17">
        <f>Github!F$625+Github!G$625</f>
        <v>652</v>
      </c>
      <c r="F626" s="18">
        <f t="shared" si="1"/>
        <v>9.69</v>
      </c>
      <c r="G626" s="17" t="str">
        <f>Github!H$625</f>
        <v>Algorithms</v>
      </c>
      <c r="H626" s="17" t="b">
        <f>Github!D$625</f>
        <v>1</v>
      </c>
      <c r="I626" s="17" t="str">
        <f>Github!E$625</f>
        <v>Medium</v>
      </c>
      <c r="J626" s="17" t="str">
        <f>ROUND(Github!N$625, 2)&amp;"%"</f>
        <v>0%</v>
      </c>
      <c r="K626" s="17">
        <f>Github!O$625</f>
        <v>41.51866937</v>
      </c>
      <c r="L626" s="17">
        <f>Github!P$625</f>
        <v>35371</v>
      </c>
    </row>
    <row r="627">
      <c r="A627" s="17">
        <f>Github!J$626</f>
        <v>625</v>
      </c>
      <c r="B627" s="34" t="str">
        <f>HYPERLINK(CONCAT("http://leetcode.com/problems/",Github!C$626), Github!B$626)</f>
        <v>Minimum Factorization</v>
      </c>
      <c r="C627" s="17">
        <f>Github!F$626</f>
        <v>118</v>
      </c>
      <c r="D627" s="17">
        <f>Github!G$626</f>
        <v>98</v>
      </c>
      <c r="E627" s="17">
        <f>Github!F$626+Github!G$626</f>
        <v>216</v>
      </c>
      <c r="F627" s="18">
        <f t="shared" si="1"/>
        <v>1.2</v>
      </c>
      <c r="G627" s="17" t="str">
        <f>Github!H$626</f>
        <v>Algorithms</v>
      </c>
      <c r="H627" s="17" t="b">
        <f>Github!D$626</f>
        <v>1</v>
      </c>
      <c r="I627" s="17" t="str">
        <f>Github!E$626</f>
        <v>Medium</v>
      </c>
      <c r="J627" s="17" t="str">
        <f>ROUND(Github!N$626, 2)&amp;"%"</f>
        <v>0%</v>
      </c>
      <c r="K627" s="17">
        <f>Github!O$626</f>
        <v>33.23507982</v>
      </c>
      <c r="L627" s="17">
        <f>Github!P$626</f>
        <v>10035</v>
      </c>
    </row>
    <row r="628">
      <c r="A628" s="17">
        <f>Github!J$627</f>
        <v>626</v>
      </c>
      <c r="B628" s="34" t="str">
        <f>HYPERLINK(CONCAT("http://leetcode.com/problems/",Github!C$627), Github!B$627)</f>
        <v>Exchange Seats</v>
      </c>
      <c r="C628" s="17">
        <f>Github!F$627</f>
        <v>633</v>
      </c>
      <c r="D628" s="17">
        <f>Github!G$627</f>
        <v>347</v>
      </c>
      <c r="E628" s="17">
        <f>Github!F$627+Github!G$627</f>
        <v>980</v>
      </c>
      <c r="F628" s="18">
        <f t="shared" si="1"/>
        <v>1.82</v>
      </c>
      <c r="G628" s="17" t="str">
        <f>Github!H$627</f>
        <v>Database</v>
      </c>
      <c r="H628" s="17" t="b">
        <f>Github!D$627</f>
        <v>0</v>
      </c>
      <c r="I628" s="17" t="str">
        <f>Github!E$627</f>
        <v>Medium</v>
      </c>
      <c r="J628" s="17" t="str">
        <f>ROUND(Github!N$627, 2)&amp;"%"</f>
        <v>0%</v>
      </c>
      <c r="K628" s="17">
        <f>Github!O$627</f>
        <v>68.9374385</v>
      </c>
      <c r="L628" s="17">
        <f>Github!P$627</f>
        <v>96681</v>
      </c>
    </row>
    <row r="629">
      <c r="A629" s="17">
        <f>Github!J$628</f>
        <v>627</v>
      </c>
      <c r="B629" s="34" t="str">
        <f>HYPERLINK(CONCAT("http://leetcode.com/problems/",Github!C$628), Github!B$628)</f>
        <v>Swap Salary</v>
      </c>
      <c r="C629" s="17">
        <f>Github!F$628</f>
        <v>790</v>
      </c>
      <c r="D629" s="17">
        <f>Github!G$628</f>
        <v>397</v>
      </c>
      <c r="E629" s="17">
        <f>Github!F$628+Github!G$628</f>
        <v>1187</v>
      </c>
      <c r="F629" s="18">
        <f t="shared" si="1"/>
        <v>1.99</v>
      </c>
      <c r="G629" s="17" t="str">
        <f>Github!H$628</f>
        <v>Database</v>
      </c>
      <c r="H629" s="17" t="b">
        <f>Github!D$628</f>
        <v>0</v>
      </c>
      <c r="I629" s="17" t="str">
        <f>Github!E$628</f>
        <v>Easy</v>
      </c>
      <c r="J629" s="17" t="str">
        <f>ROUND(Github!N$628, 2)&amp;"%"</f>
        <v>0%</v>
      </c>
      <c r="K629" s="17">
        <f>Github!O$628</f>
        <v>79.87618877</v>
      </c>
      <c r="L629" s="17">
        <f>Github!P$628</f>
        <v>178060</v>
      </c>
    </row>
    <row r="630">
      <c r="A630" s="17">
        <f>Github!J$629</f>
        <v>628</v>
      </c>
      <c r="B630" s="34" t="str">
        <f>HYPERLINK(CONCAT("http://leetcode.com/problems/",Github!C$629), Github!B$629)</f>
        <v>Maximum Product of Three Numbers</v>
      </c>
      <c r="C630" s="17">
        <f>Github!F$629</f>
        <v>2519</v>
      </c>
      <c r="D630" s="17">
        <f>Github!G$629</f>
        <v>513</v>
      </c>
      <c r="E630" s="17">
        <f>Github!F$629+Github!G$629</f>
        <v>3032</v>
      </c>
      <c r="F630" s="18">
        <f t="shared" si="1"/>
        <v>4.91</v>
      </c>
      <c r="G630" s="17" t="str">
        <f>Github!H$629</f>
        <v>Algorithms</v>
      </c>
      <c r="H630" s="17" t="b">
        <f>Github!D$629</f>
        <v>0</v>
      </c>
      <c r="I630" s="17" t="str">
        <f>Github!E$629</f>
        <v>Easy</v>
      </c>
      <c r="J630" s="17" t="str">
        <f>ROUND(Github!N$629, 2)&amp;"%"</f>
        <v>0%</v>
      </c>
      <c r="K630" s="17">
        <f>Github!O$629</f>
        <v>46.78400165</v>
      </c>
      <c r="L630" s="17">
        <f>Github!P$629</f>
        <v>199412</v>
      </c>
    </row>
    <row r="631">
      <c r="A631" s="17">
        <f>Github!J$630</f>
        <v>629</v>
      </c>
      <c r="B631" s="34" t="str">
        <f>HYPERLINK(CONCAT("http://leetcode.com/problems/",Github!C$630), Github!B$630)</f>
        <v>K Inverse Pairs Array</v>
      </c>
      <c r="C631" s="17">
        <f>Github!F$630</f>
        <v>746</v>
      </c>
      <c r="D631" s="17">
        <f>Github!G$630</f>
        <v>108</v>
      </c>
      <c r="E631" s="17">
        <f>Github!F$630+Github!G$630</f>
        <v>854</v>
      </c>
      <c r="F631" s="18">
        <f t="shared" si="1"/>
        <v>6.91</v>
      </c>
      <c r="G631" s="17" t="str">
        <f>Github!H$630</f>
        <v>Algorithms</v>
      </c>
      <c r="H631" s="17" t="b">
        <f>Github!D$630</f>
        <v>0</v>
      </c>
      <c r="I631" s="17" t="str">
        <f>Github!E$630</f>
        <v>Hard</v>
      </c>
      <c r="J631" s="17" t="str">
        <f>ROUND(Github!N$630, 2)&amp;"%"</f>
        <v>0%</v>
      </c>
      <c r="K631" s="17">
        <f>Github!O$630</f>
        <v>37.23096058</v>
      </c>
      <c r="L631" s="17">
        <f>Github!P$630</f>
        <v>24546</v>
      </c>
    </row>
    <row r="632">
      <c r="A632" s="17">
        <f>Github!J$631</f>
        <v>630</v>
      </c>
      <c r="B632" s="34" t="str">
        <f>HYPERLINK(CONCAT("http://leetcode.com/problems/",Github!C$631), Github!B$631)</f>
        <v>Course Schedule III</v>
      </c>
      <c r="C632" s="17">
        <f>Github!F$631</f>
        <v>1846</v>
      </c>
      <c r="D632" s="17">
        <f>Github!G$631</f>
        <v>53</v>
      </c>
      <c r="E632" s="17">
        <f>Github!F$631+Github!G$631</f>
        <v>1899</v>
      </c>
      <c r="F632" s="18">
        <f t="shared" si="1"/>
        <v>34.83</v>
      </c>
      <c r="G632" s="17" t="str">
        <f>Github!H$631</f>
        <v>Algorithms</v>
      </c>
      <c r="H632" s="17" t="b">
        <f>Github!D$631</f>
        <v>0</v>
      </c>
      <c r="I632" s="17" t="str">
        <f>Github!E$631</f>
        <v>Hard</v>
      </c>
      <c r="J632" s="17" t="str">
        <f>ROUND(Github!N$631, 2)&amp;"%"</f>
        <v>0%</v>
      </c>
      <c r="K632" s="17">
        <f>Github!O$631</f>
        <v>35.62169947</v>
      </c>
      <c r="L632" s="17">
        <f>Github!P$631</f>
        <v>54908</v>
      </c>
    </row>
    <row r="633">
      <c r="A633" s="17">
        <f>Github!J$632</f>
        <v>631</v>
      </c>
      <c r="B633" s="34" t="str">
        <f>HYPERLINK(CONCAT("http://leetcode.com/problems/",Github!C$632), Github!B$632)</f>
        <v>Design Excel Sum Formula</v>
      </c>
      <c r="C633" s="17">
        <f>Github!F$632</f>
        <v>169</v>
      </c>
      <c r="D633" s="17">
        <f>Github!G$632</f>
        <v>208</v>
      </c>
      <c r="E633" s="17">
        <f>Github!F$632+Github!G$632</f>
        <v>377</v>
      </c>
      <c r="F633" s="18">
        <f t="shared" si="1"/>
        <v>0.81</v>
      </c>
      <c r="G633" s="17" t="str">
        <f>Github!H$632</f>
        <v>Algorithms</v>
      </c>
      <c r="H633" s="17" t="b">
        <f>Github!D$632</f>
        <v>1</v>
      </c>
      <c r="I633" s="17" t="str">
        <f>Github!E$632</f>
        <v>Hard</v>
      </c>
      <c r="J633" s="17" t="str">
        <f>ROUND(Github!N$632, 2)&amp;"%"</f>
        <v>0%</v>
      </c>
      <c r="K633" s="17">
        <f>Github!O$632</f>
        <v>40.61434816</v>
      </c>
      <c r="L633" s="17">
        <f>Github!P$632</f>
        <v>10128</v>
      </c>
    </row>
    <row r="634">
      <c r="A634" s="17">
        <f>Github!J$633</f>
        <v>632</v>
      </c>
      <c r="B634" s="34" t="str">
        <f>HYPERLINK(CONCAT("http://leetcode.com/problems/",Github!C$633), Github!B$633)</f>
        <v>Smallest Range Covering Elements from K Lists</v>
      </c>
      <c r="C634" s="17">
        <f>Github!F$633</f>
        <v>2028</v>
      </c>
      <c r="D634" s="17">
        <f>Github!G$633</f>
        <v>34</v>
      </c>
      <c r="E634" s="17">
        <f>Github!F$633+Github!G$633</f>
        <v>2062</v>
      </c>
      <c r="F634" s="18">
        <f t="shared" si="1"/>
        <v>59.65</v>
      </c>
      <c r="G634" s="17" t="str">
        <f>Github!H$633</f>
        <v>Algorithms</v>
      </c>
      <c r="H634" s="17" t="b">
        <f>Github!D$633</f>
        <v>0</v>
      </c>
      <c r="I634" s="17" t="str">
        <f>Github!E$633</f>
        <v>Hard</v>
      </c>
      <c r="J634" s="17" t="str">
        <f>ROUND(Github!N$633, 2)&amp;"%"</f>
        <v>0%</v>
      </c>
      <c r="K634" s="17">
        <f>Github!O$633</f>
        <v>58.0379985</v>
      </c>
      <c r="L634" s="17">
        <f>Github!P$633</f>
        <v>61706</v>
      </c>
    </row>
    <row r="635">
      <c r="A635" s="17">
        <f>Github!J$634</f>
        <v>633</v>
      </c>
      <c r="B635" s="34" t="str">
        <f>HYPERLINK(CONCAT("http://leetcode.com/problems/",Github!C$634), Github!B$634)</f>
        <v>Sum of Square Numbers</v>
      </c>
      <c r="C635" s="17">
        <f>Github!F$634</f>
        <v>1277</v>
      </c>
      <c r="D635" s="17">
        <f>Github!G$634</f>
        <v>456</v>
      </c>
      <c r="E635" s="17">
        <f>Github!F$634+Github!G$634</f>
        <v>1733</v>
      </c>
      <c r="F635" s="18">
        <f t="shared" si="1"/>
        <v>2.8</v>
      </c>
      <c r="G635" s="17" t="str">
        <f>Github!H$634</f>
        <v>Algorithms</v>
      </c>
      <c r="H635" s="17" t="b">
        <f>Github!D$634</f>
        <v>0</v>
      </c>
      <c r="I635" s="17" t="str">
        <f>Github!E$634</f>
        <v>Medium</v>
      </c>
      <c r="J635" s="17" t="str">
        <f>ROUND(Github!N$634, 2)&amp;"%"</f>
        <v>0%</v>
      </c>
      <c r="K635" s="17">
        <f>Github!O$634</f>
        <v>34.52249506</v>
      </c>
      <c r="L635" s="17">
        <f>Github!P$634</f>
        <v>128187</v>
      </c>
    </row>
    <row r="636">
      <c r="A636" s="17">
        <f>Github!J$635</f>
        <v>634</v>
      </c>
      <c r="B636" s="34" t="str">
        <f>HYPERLINK(CONCAT("http://leetcode.com/problems/",Github!C$635), Github!B$635)</f>
        <v>Find the Derangement of An Array</v>
      </c>
      <c r="C636" s="17">
        <f>Github!F$635</f>
        <v>162</v>
      </c>
      <c r="D636" s="17">
        <f>Github!G$635</f>
        <v>132</v>
      </c>
      <c r="E636" s="17">
        <f>Github!F$635+Github!G$635</f>
        <v>294</v>
      </c>
      <c r="F636" s="18">
        <f t="shared" si="1"/>
        <v>1.23</v>
      </c>
      <c r="G636" s="17" t="str">
        <f>Github!H$635</f>
        <v>Algorithms</v>
      </c>
      <c r="H636" s="17" t="b">
        <f>Github!D$635</f>
        <v>1</v>
      </c>
      <c r="I636" s="17" t="str">
        <f>Github!E$635</f>
        <v>Medium</v>
      </c>
      <c r="J636" s="17" t="str">
        <f>ROUND(Github!N$635, 2)&amp;"%"</f>
        <v>0%</v>
      </c>
      <c r="K636" s="17">
        <f>Github!O$635</f>
        <v>41.14565141</v>
      </c>
      <c r="L636" s="17">
        <f>Github!P$635</f>
        <v>8246</v>
      </c>
    </row>
    <row r="637">
      <c r="A637" s="17">
        <f>Github!J$636</f>
        <v>635</v>
      </c>
      <c r="B637" s="34" t="str">
        <f>HYPERLINK(CONCAT("http://leetcode.com/problems/",Github!C$636), Github!B$636)</f>
        <v>Design Log Storage System</v>
      </c>
      <c r="C637" s="17">
        <f>Github!F$636</f>
        <v>408</v>
      </c>
      <c r="D637" s="17">
        <f>Github!G$636</f>
        <v>168</v>
      </c>
      <c r="E637" s="17">
        <f>Github!F$636+Github!G$636</f>
        <v>576</v>
      </c>
      <c r="F637" s="18">
        <f t="shared" si="1"/>
        <v>2.43</v>
      </c>
      <c r="G637" s="17" t="str">
        <f>Github!H$636</f>
        <v>Algorithms</v>
      </c>
      <c r="H637" s="17" t="b">
        <f>Github!D$636</f>
        <v>1</v>
      </c>
      <c r="I637" s="17" t="str">
        <f>Github!E$636</f>
        <v>Medium</v>
      </c>
      <c r="J637" s="17" t="str">
        <f>ROUND(Github!N$636, 2)&amp;"%"</f>
        <v>0%</v>
      </c>
      <c r="K637" s="17">
        <f>Github!O$636</f>
        <v>62.18273033</v>
      </c>
      <c r="L637" s="17">
        <f>Github!P$636</f>
        <v>29252</v>
      </c>
    </row>
    <row r="638">
      <c r="A638" s="17">
        <f>Github!J$637</f>
        <v>636</v>
      </c>
      <c r="B638" s="34" t="str">
        <f>HYPERLINK(CONCAT("http://leetcode.com/problems/",Github!C$637), Github!B$637)</f>
        <v>Exclusive Time of Functions</v>
      </c>
      <c r="C638" s="17">
        <f>Github!F$637</f>
        <v>1548</v>
      </c>
      <c r="D638" s="17">
        <f>Github!G$637</f>
        <v>2318</v>
      </c>
      <c r="E638" s="17">
        <f>Github!F$637+Github!G$637</f>
        <v>3866</v>
      </c>
      <c r="F638" s="18">
        <f t="shared" si="1"/>
        <v>0.67</v>
      </c>
      <c r="G638" s="17" t="str">
        <f>Github!H$637</f>
        <v>Algorithms</v>
      </c>
      <c r="H638" s="17" t="b">
        <f>Github!D$637</f>
        <v>0</v>
      </c>
      <c r="I638" s="17" t="str">
        <f>Github!E$637</f>
        <v>Medium</v>
      </c>
      <c r="J638" s="17" t="str">
        <f>ROUND(Github!N$637, 2)&amp;"%"</f>
        <v>0%</v>
      </c>
      <c r="K638" s="17">
        <f>Github!O$637</f>
        <v>59.7151747</v>
      </c>
      <c r="L638" s="17">
        <f>Github!P$637</f>
        <v>160621</v>
      </c>
    </row>
    <row r="639">
      <c r="A639" s="17">
        <f>Github!J$638</f>
        <v>637</v>
      </c>
      <c r="B639" s="34" t="str">
        <f>HYPERLINK(CONCAT("http://leetcode.com/problems/",Github!C$638), Github!B$638)</f>
        <v>Average of Levels in Binary Tree</v>
      </c>
      <c r="C639" s="17">
        <f>Github!F$638</f>
        <v>2816</v>
      </c>
      <c r="D639" s="17">
        <f>Github!G$638</f>
        <v>229</v>
      </c>
      <c r="E639" s="17">
        <f>Github!F$638+Github!G$638</f>
        <v>3045</v>
      </c>
      <c r="F639" s="18">
        <f t="shared" si="1"/>
        <v>12.3</v>
      </c>
      <c r="G639" s="17" t="str">
        <f>Github!H$638</f>
        <v>Algorithms</v>
      </c>
      <c r="H639" s="17" t="b">
        <f>Github!D$638</f>
        <v>0</v>
      </c>
      <c r="I639" s="17" t="str">
        <f>Github!E$638</f>
        <v>Easy</v>
      </c>
      <c r="J639" s="17" t="str">
        <f>ROUND(Github!N$638, 2)&amp;"%"</f>
        <v>0%</v>
      </c>
      <c r="K639" s="17">
        <f>Github!O$638</f>
        <v>68.35423101</v>
      </c>
      <c r="L639" s="17">
        <f>Github!P$638</f>
        <v>256053</v>
      </c>
    </row>
    <row r="640">
      <c r="A640" s="17">
        <f>Github!J$639</f>
        <v>638</v>
      </c>
      <c r="B640" s="34" t="str">
        <f>HYPERLINK(CONCAT("http://leetcode.com/problems/",Github!C$639), Github!B$639)</f>
        <v>Shopping Offers</v>
      </c>
      <c r="C640" s="17">
        <f>Github!F$639</f>
        <v>958</v>
      </c>
      <c r="D640" s="17">
        <f>Github!G$639</f>
        <v>620</v>
      </c>
      <c r="E640" s="17">
        <f>Github!F$639+Github!G$639</f>
        <v>1578</v>
      </c>
      <c r="F640" s="18">
        <f t="shared" si="1"/>
        <v>1.55</v>
      </c>
      <c r="G640" s="17" t="str">
        <f>Github!H$639</f>
        <v>Algorithms</v>
      </c>
      <c r="H640" s="17" t="b">
        <f>Github!D$639</f>
        <v>0</v>
      </c>
      <c r="I640" s="17" t="str">
        <f>Github!E$639</f>
        <v>Medium</v>
      </c>
      <c r="J640" s="17" t="str">
        <f>ROUND(Github!N$639, 2)&amp;"%"</f>
        <v>0%</v>
      </c>
      <c r="K640" s="17">
        <f>Github!O$639</f>
        <v>54.46720312</v>
      </c>
      <c r="L640" s="17">
        <f>Github!P$639</f>
        <v>44674</v>
      </c>
    </row>
    <row r="641">
      <c r="A641" s="17">
        <f>Github!J$640</f>
        <v>639</v>
      </c>
      <c r="B641" s="34" t="str">
        <f>HYPERLINK(CONCAT("http://leetcode.com/problems/",Github!C$640), Github!B$640)</f>
        <v>Decode Ways II</v>
      </c>
      <c r="C641" s="17">
        <f>Github!F$640</f>
        <v>1020</v>
      </c>
      <c r="D641" s="17">
        <f>Github!G$640</f>
        <v>739</v>
      </c>
      <c r="E641" s="17">
        <f>Github!F$640+Github!G$640</f>
        <v>1759</v>
      </c>
      <c r="F641" s="18">
        <f t="shared" si="1"/>
        <v>1.38</v>
      </c>
      <c r="G641" s="17" t="str">
        <f>Github!H$640</f>
        <v>Algorithms</v>
      </c>
      <c r="H641" s="17" t="b">
        <f>Github!D$640</f>
        <v>0</v>
      </c>
      <c r="I641" s="17" t="str">
        <f>Github!E$640</f>
        <v>Hard</v>
      </c>
      <c r="J641" s="17" t="str">
        <f>ROUND(Github!N$640, 2)&amp;"%"</f>
        <v>0%</v>
      </c>
      <c r="K641" s="17">
        <f>Github!O$640</f>
        <v>30.32437687</v>
      </c>
      <c r="L641" s="17">
        <f>Github!P$640</f>
        <v>59578</v>
      </c>
    </row>
    <row r="642">
      <c r="A642" s="17">
        <f>Github!J$641</f>
        <v>640</v>
      </c>
      <c r="B642" s="34" t="str">
        <f>HYPERLINK(CONCAT("http://leetcode.com/problems/",Github!C$641), Github!B$641)</f>
        <v>Solve the Equation</v>
      </c>
      <c r="C642" s="17">
        <f>Github!F$641</f>
        <v>360</v>
      </c>
      <c r="D642" s="17">
        <f>Github!G$641</f>
        <v>681</v>
      </c>
      <c r="E642" s="17">
        <f>Github!F$641+Github!G$641</f>
        <v>1041</v>
      </c>
      <c r="F642" s="18">
        <f t="shared" si="1"/>
        <v>0.53</v>
      </c>
      <c r="G642" s="17" t="str">
        <f>Github!H$641</f>
        <v>Algorithms</v>
      </c>
      <c r="H642" s="17" t="b">
        <f>Github!D$641</f>
        <v>0</v>
      </c>
      <c r="I642" s="17" t="str">
        <f>Github!E$641</f>
        <v>Medium</v>
      </c>
      <c r="J642" s="17" t="str">
        <f>ROUND(Github!N$641, 2)&amp;"%"</f>
        <v>0%</v>
      </c>
      <c r="K642" s="17">
        <f>Github!O$641</f>
        <v>43.27976475</v>
      </c>
      <c r="L642" s="17">
        <f>Github!P$641</f>
        <v>31644</v>
      </c>
    </row>
    <row r="643">
      <c r="A643" s="17">
        <f>Github!J$642</f>
        <v>641</v>
      </c>
      <c r="B643" s="34" t="str">
        <f>HYPERLINK(CONCAT("http://leetcode.com/problems/",Github!C$642), Github!B$642)</f>
        <v>Design Circular Deque</v>
      </c>
      <c r="C643" s="17">
        <f>Github!F$642</f>
        <v>655</v>
      </c>
      <c r="D643" s="17">
        <f>Github!G$642</f>
        <v>55</v>
      </c>
      <c r="E643" s="17">
        <f>Github!F$642+Github!G$642</f>
        <v>710</v>
      </c>
      <c r="F643" s="18">
        <f t="shared" si="1"/>
        <v>11.91</v>
      </c>
      <c r="G643" s="17" t="str">
        <f>Github!H$642</f>
        <v>Algorithms</v>
      </c>
      <c r="H643" s="17" t="b">
        <f>Github!D$642</f>
        <v>0</v>
      </c>
      <c r="I643" s="17" t="str">
        <f>Github!E$642</f>
        <v>Medium</v>
      </c>
      <c r="J643" s="17" t="str">
        <f>ROUND(Github!N$642, 2)&amp;"%"</f>
        <v>0%</v>
      </c>
      <c r="K643" s="17">
        <f>Github!O$642</f>
        <v>57.22257273</v>
      </c>
      <c r="L643" s="17">
        <f>Github!P$642</f>
        <v>40814</v>
      </c>
    </row>
    <row r="644">
      <c r="A644" s="17">
        <f>Github!J$643</f>
        <v>642</v>
      </c>
      <c r="B644" s="34" t="str">
        <f>HYPERLINK(CONCAT("http://leetcode.com/problems/",Github!C$643), Github!B$643)</f>
        <v>Design Search Autocomplete System</v>
      </c>
      <c r="C644" s="17">
        <f>Github!F$643</f>
        <v>1700</v>
      </c>
      <c r="D644" s="17">
        <f>Github!G$643</f>
        <v>117</v>
      </c>
      <c r="E644" s="17">
        <f>Github!F$643+Github!G$643</f>
        <v>1817</v>
      </c>
      <c r="F644" s="18">
        <f t="shared" si="1"/>
        <v>14.53</v>
      </c>
      <c r="G644" s="17" t="str">
        <f>Github!H$643</f>
        <v>Algorithms</v>
      </c>
      <c r="H644" s="17" t="b">
        <f>Github!D$643</f>
        <v>1</v>
      </c>
      <c r="I644" s="17" t="str">
        <f>Github!E$643</f>
        <v>Hard</v>
      </c>
      <c r="J644" s="17" t="str">
        <f>ROUND(Github!N$643, 2)&amp;"%"</f>
        <v>0%</v>
      </c>
      <c r="K644" s="17">
        <f>Github!O$643</f>
        <v>48.06569278</v>
      </c>
      <c r="L644" s="17">
        <f>Github!P$643</f>
        <v>108316</v>
      </c>
    </row>
    <row r="645">
      <c r="A645" s="17">
        <f>Github!J$644</f>
        <v>643</v>
      </c>
      <c r="B645" s="34" t="str">
        <f>HYPERLINK(CONCAT("http://leetcode.com/problems/",Github!C$644), Github!B$644)</f>
        <v>Maximum Average Subarray I</v>
      </c>
      <c r="C645" s="17">
        <f>Github!F$644</f>
        <v>1495</v>
      </c>
      <c r="D645" s="17">
        <f>Github!G$644</f>
        <v>155</v>
      </c>
      <c r="E645" s="17">
        <f>Github!F$644+Github!G$644</f>
        <v>1650</v>
      </c>
      <c r="F645" s="18">
        <f t="shared" si="1"/>
        <v>9.65</v>
      </c>
      <c r="G645" s="17" t="str">
        <f>Github!H$644</f>
        <v>Algorithms</v>
      </c>
      <c r="H645" s="17" t="b">
        <f>Github!D$644</f>
        <v>0</v>
      </c>
      <c r="I645" s="17" t="str">
        <f>Github!E$644</f>
        <v>Easy</v>
      </c>
      <c r="J645" s="17" t="str">
        <f>ROUND(Github!N$644, 2)&amp;"%"</f>
        <v>0%</v>
      </c>
      <c r="K645" s="17">
        <f>Github!O$644</f>
        <v>43.37738035</v>
      </c>
      <c r="L645" s="17">
        <f>Github!P$644</f>
        <v>135144</v>
      </c>
    </row>
    <row r="646">
      <c r="A646" s="17">
        <f>Github!J$645</f>
        <v>644</v>
      </c>
      <c r="B646" s="34" t="str">
        <f>HYPERLINK(CONCAT("http://leetcode.com/problems/",Github!C$645), Github!B$645)</f>
        <v>Maximum Average Subarray II</v>
      </c>
      <c r="C646" s="17">
        <f>Github!F$645</f>
        <v>526</v>
      </c>
      <c r="D646" s="17">
        <f>Github!G$645</f>
        <v>57</v>
      </c>
      <c r="E646" s="17">
        <f>Github!F$645+Github!G$645</f>
        <v>583</v>
      </c>
      <c r="F646" s="18">
        <f t="shared" si="1"/>
        <v>9.23</v>
      </c>
      <c r="G646" s="17" t="str">
        <f>Github!H$645</f>
        <v>Algorithms</v>
      </c>
      <c r="H646" s="17" t="b">
        <f>Github!D$645</f>
        <v>1</v>
      </c>
      <c r="I646" s="17" t="str">
        <f>Github!E$645</f>
        <v>Hard</v>
      </c>
      <c r="J646" s="17" t="str">
        <f>ROUND(Github!N$645, 2)&amp;"%"</f>
        <v>1%</v>
      </c>
      <c r="K646" s="17">
        <f>Github!O$645</f>
        <v>35.13318489</v>
      </c>
      <c r="L646" s="17">
        <f>Github!P$645</f>
        <v>17041</v>
      </c>
    </row>
    <row r="647">
      <c r="A647" s="17">
        <f>Github!J$646</f>
        <v>645</v>
      </c>
      <c r="B647" s="34" t="str">
        <f>HYPERLINK(CONCAT("http://leetcode.com/problems/",Github!C$646), Github!B$646)</f>
        <v>Set Mismatch</v>
      </c>
      <c r="C647" s="17">
        <f>Github!F$646</f>
        <v>1776</v>
      </c>
      <c r="D647" s="17">
        <f>Github!G$646</f>
        <v>544</v>
      </c>
      <c r="E647" s="17">
        <f>Github!F$646+Github!G$646</f>
        <v>2320</v>
      </c>
      <c r="F647" s="18">
        <f t="shared" si="1"/>
        <v>3.26</v>
      </c>
      <c r="G647" s="17" t="str">
        <f>Github!H$646</f>
        <v>Algorithms</v>
      </c>
      <c r="H647" s="17" t="b">
        <f>Github!D$646</f>
        <v>0</v>
      </c>
      <c r="I647" s="17" t="str">
        <f>Github!E$646</f>
        <v>Easy</v>
      </c>
      <c r="J647" s="17" t="str">
        <f>ROUND(Github!N$646, 2)&amp;"%"</f>
        <v>0%</v>
      </c>
      <c r="K647" s="17">
        <f>Github!O$646</f>
        <v>41.22823432</v>
      </c>
      <c r="L647" s="17">
        <f>Github!P$646</f>
        <v>160839</v>
      </c>
    </row>
    <row r="648">
      <c r="A648" s="17">
        <f>Github!J$647</f>
        <v>646</v>
      </c>
      <c r="B648" s="34" t="str">
        <f>HYPERLINK(CONCAT("http://leetcode.com/problems/",Github!C$647), Github!B$647)</f>
        <v>Maximum Length of Pair Chain</v>
      </c>
      <c r="C648" s="17">
        <f>Github!F$647</f>
        <v>2110</v>
      </c>
      <c r="D648" s="17">
        <f>Github!G$647</f>
        <v>99</v>
      </c>
      <c r="E648" s="17">
        <f>Github!F$647+Github!G$647</f>
        <v>2209</v>
      </c>
      <c r="F648" s="18">
        <f t="shared" si="1"/>
        <v>21.31</v>
      </c>
      <c r="G648" s="17" t="str">
        <f>Github!H$647</f>
        <v>Algorithms</v>
      </c>
      <c r="H648" s="17" t="b">
        <f>Github!D$647</f>
        <v>0</v>
      </c>
      <c r="I648" s="17" t="str">
        <f>Github!E$647</f>
        <v>Medium</v>
      </c>
      <c r="J648" s="17" t="str">
        <f>ROUND(Github!N$647, 2)&amp;"%"</f>
        <v>0%</v>
      </c>
      <c r="K648" s="17">
        <f>Github!O$647</f>
        <v>55.45022184</v>
      </c>
      <c r="L648" s="17">
        <f>Github!P$647</f>
        <v>104231</v>
      </c>
    </row>
    <row r="649">
      <c r="A649" s="17">
        <f>Github!J$648</f>
        <v>647</v>
      </c>
      <c r="B649" s="34" t="str">
        <f>HYPERLINK(CONCAT("http://leetcode.com/problems/",Github!C$648), Github!B$648)</f>
        <v>Palindromic Substrings</v>
      </c>
      <c r="C649" s="17">
        <f>Github!F$648</f>
        <v>5980</v>
      </c>
      <c r="D649" s="17">
        <f>Github!G$648</f>
        <v>152</v>
      </c>
      <c r="E649" s="17">
        <f>Github!F$648+Github!G$648</f>
        <v>6132</v>
      </c>
      <c r="F649" s="18">
        <f t="shared" si="1"/>
        <v>39.34</v>
      </c>
      <c r="G649" s="17" t="str">
        <f>Github!H$648</f>
        <v>Algorithms</v>
      </c>
      <c r="H649" s="17" t="b">
        <f>Github!D$648</f>
        <v>0</v>
      </c>
      <c r="I649" s="17" t="str">
        <f>Github!E$648</f>
        <v>Medium</v>
      </c>
      <c r="J649" s="17" t="str">
        <f>ROUND(Github!N$648, 2)&amp;"%"</f>
        <v>0%</v>
      </c>
      <c r="K649" s="17">
        <f>Github!O$648</f>
        <v>64.32548605</v>
      </c>
      <c r="L649" s="17">
        <f>Github!P$648</f>
        <v>382500</v>
      </c>
    </row>
    <row r="650">
      <c r="A650" s="17">
        <f>Github!J$649</f>
        <v>648</v>
      </c>
      <c r="B650" s="34" t="str">
        <f>HYPERLINK(CONCAT("http://leetcode.com/problems/",Github!C$649), Github!B$649)</f>
        <v>Replace Words</v>
      </c>
      <c r="C650" s="17">
        <f>Github!F$649</f>
        <v>1428</v>
      </c>
      <c r="D650" s="17">
        <f>Github!G$649</f>
        <v>150</v>
      </c>
      <c r="E650" s="17">
        <f>Github!F$649+Github!G$649</f>
        <v>1578</v>
      </c>
      <c r="F650" s="18">
        <f t="shared" si="1"/>
        <v>9.52</v>
      </c>
      <c r="G650" s="17" t="str">
        <f>Github!H$649</f>
        <v>Algorithms</v>
      </c>
      <c r="H650" s="17" t="b">
        <f>Github!D$649</f>
        <v>0</v>
      </c>
      <c r="I650" s="17" t="str">
        <f>Github!E$649</f>
        <v>Medium</v>
      </c>
      <c r="J650" s="17" t="str">
        <f>ROUND(Github!N$649, 2)&amp;"%"</f>
        <v>0%</v>
      </c>
      <c r="K650" s="17">
        <f>Github!O$649</f>
        <v>61.77173116</v>
      </c>
      <c r="L650" s="17">
        <f>Github!P$649</f>
        <v>91805</v>
      </c>
    </row>
    <row r="651">
      <c r="A651" s="17">
        <f>Github!J$650</f>
        <v>649</v>
      </c>
      <c r="B651" s="34" t="str">
        <f>HYPERLINK(CONCAT("http://leetcode.com/problems/",Github!C$650), Github!B$650)</f>
        <v>Dota2 Senate</v>
      </c>
      <c r="C651" s="17">
        <f>Github!F$650</f>
        <v>412</v>
      </c>
      <c r="D651" s="17">
        <f>Github!G$650</f>
        <v>299</v>
      </c>
      <c r="E651" s="17">
        <f>Github!F$650+Github!G$650</f>
        <v>711</v>
      </c>
      <c r="F651" s="18">
        <f t="shared" si="1"/>
        <v>1.38</v>
      </c>
      <c r="G651" s="17" t="str">
        <f>Github!H$650</f>
        <v>Algorithms</v>
      </c>
      <c r="H651" s="17" t="b">
        <f>Github!D$650</f>
        <v>0</v>
      </c>
      <c r="I651" s="17" t="str">
        <f>Github!E$650</f>
        <v>Medium</v>
      </c>
      <c r="J651" s="17" t="str">
        <f>ROUND(Github!N$650, 2)&amp;"%"</f>
        <v>0%</v>
      </c>
      <c r="K651" s="17">
        <f>Github!O$650</f>
        <v>39.87282912</v>
      </c>
      <c r="L651" s="17">
        <f>Github!P$650</f>
        <v>18435</v>
      </c>
    </row>
    <row r="652">
      <c r="A652" s="17">
        <f>Github!J$651</f>
        <v>650</v>
      </c>
      <c r="B652" s="34" t="str">
        <f>HYPERLINK(CONCAT("http://leetcode.com/problems/",Github!C$651), Github!B$651)</f>
        <v>2 Keys Keyboard</v>
      </c>
      <c r="C652" s="17">
        <f>Github!F$651</f>
        <v>2390</v>
      </c>
      <c r="D652" s="17">
        <f>Github!G$651</f>
        <v>158</v>
      </c>
      <c r="E652" s="17">
        <f>Github!F$651+Github!G$651</f>
        <v>2548</v>
      </c>
      <c r="F652" s="18">
        <f t="shared" si="1"/>
        <v>15.13</v>
      </c>
      <c r="G652" s="17" t="str">
        <f>Github!H$651</f>
        <v>Algorithms</v>
      </c>
      <c r="H652" s="17" t="b">
        <f>Github!D$651</f>
        <v>0</v>
      </c>
      <c r="I652" s="17" t="str">
        <f>Github!E$651</f>
        <v>Medium</v>
      </c>
      <c r="J652" s="17" t="str">
        <f>ROUND(Github!N$651, 2)&amp;"%"</f>
        <v>0%</v>
      </c>
      <c r="K652" s="17">
        <f>Github!O$651</f>
        <v>52.10525455</v>
      </c>
      <c r="L652" s="17">
        <f>Github!P$651</f>
        <v>95523</v>
      </c>
    </row>
    <row r="653">
      <c r="A653" s="17">
        <f>Github!J$652</f>
        <v>651</v>
      </c>
      <c r="B653" s="34" t="str">
        <f>HYPERLINK(CONCAT("http://leetcode.com/problems/",Github!C$652), Github!B$652)</f>
        <v>4 Keys Keyboard</v>
      </c>
      <c r="C653" s="17">
        <f>Github!F$652</f>
        <v>492</v>
      </c>
      <c r="D653" s="17">
        <f>Github!G$652</f>
        <v>70</v>
      </c>
      <c r="E653" s="17">
        <f>Github!F$652+Github!G$652</f>
        <v>562</v>
      </c>
      <c r="F653" s="18">
        <f t="shared" si="1"/>
        <v>7.03</v>
      </c>
      <c r="G653" s="17" t="str">
        <f>Github!H$652</f>
        <v>Algorithms</v>
      </c>
      <c r="H653" s="17" t="b">
        <f>Github!D$652</f>
        <v>1</v>
      </c>
      <c r="I653" s="17" t="str">
        <f>Github!E$652</f>
        <v>Medium</v>
      </c>
      <c r="J653" s="17" t="str">
        <f>ROUND(Github!N$652, 2)&amp;"%"</f>
        <v>0%</v>
      </c>
      <c r="K653" s="17">
        <f>Github!O$652</f>
        <v>54.03747263</v>
      </c>
      <c r="L653" s="17">
        <f>Github!P$652</f>
        <v>21227</v>
      </c>
    </row>
    <row r="654">
      <c r="A654" s="17">
        <f>Github!J$653</f>
        <v>652</v>
      </c>
      <c r="B654" s="34" t="str">
        <f>HYPERLINK(CONCAT("http://leetcode.com/problems/",Github!C$653), Github!B$653)</f>
        <v>Find Duplicate Subtrees</v>
      </c>
      <c r="C654" s="17">
        <f>Github!F$653</f>
        <v>3033</v>
      </c>
      <c r="D654" s="17">
        <f>Github!G$653</f>
        <v>291</v>
      </c>
      <c r="E654" s="17">
        <f>Github!F$653+Github!G$653</f>
        <v>3324</v>
      </c>
      <c r="F654" s="18">
        <f t="shared" si="1"/>
        <v>10.42</v>
      </c>
      <c r="G654" s="17" t="str">
        <f>Github!H$653</f>
        <v>Algorithms</v>
      </c>
      <c r="H654" s="17" t="b">
        <f>Github!D$653</f>
        <v>0</v>
      </c>
      <c r="I654" s="17" t="str">
        <f>Github!E$653</f>
        <v>Medium</v>
      </c>
      <c r="J654" s="17" t="str">
        <f>ROUND(Github!N$653, 2)&amp;"%"</f>
        <v>0%</v>
      </c>
      <c r="K654" s="17">
        <f>Github!O$653</f>
        <v>55.51449304</v>
      </c>
      <c r="L654" s="17">
        <f>Github!P$653</f>
        <v>140000</v>
      </c>
    </row>
    <row r="655">
      <c r="A655" s="17">
        <f>Github!J$654</f>
        <v>653</v>
      </c>
      <c r="B655" s="34" t="str">
        <f>HYPERLINK(CONCAT("http://leetcode.com/problems/",Github!C$654), Github!B$654)</f>
        <v>Two Sum IV - Input is a BST</v>
      </c>
      <c r="C655" s="17">
        <f>Github!F$654</f>
        <v>3394</v>
      </c>
      <c r="D655" s="17">
        <f>Github!G$654</f>
        <v>195</v>
      </c>
      <c r="E655" s="17">
        <f>Github!F$654+Github!G$654</f>
        <v>3589</v>
      </c>
      <c r="F655" s="18">
        <f t="shared" si="1"/>
        <v>17.41</v>
      </c>
      <c r="G655" s="17" t="str">
        <f>Github!H$654</f>
        <v>Algorithms</v>
      </c>
      <c r="H655" s="17" t="b">
        <f>Github!D$654</f>
        <v>0</v>
      </c>
      <c r="I655" s="17" t="str">
        <f>Github!E$654</f>
        <v>Easy</v>
      </c>
      <c r="J655" s="17" t="str">
        <f>ROUND(Github!N$654, 2)&amp;"%"</f>
        <v>0%</v>
      </c>
      <c r="K655" s="17">
        <f>Github!O$654</f>
        <v>58.60846932</v>
      </c>
      <c r="L655" s="17">
        <f>Github!P$654</f>
        <v>292714</v>
      </c>
    </row>
    <row r="656">
      <c r="A656" s="17">
        <f>Github!J$655</f>
        <v>654</v>
      </c>
      <c r="B656" s="34" t="str">
        <f>HYPERLINK(CONCAT("http://leetcode.com/problems/",Github!C$655), Github!B$655)</f>
        <v>Maximum Binary Tree</v>
      </c>
      <c r="C656" s="17">
        <f>Github!F$655</f>
        <v>3445</v>
      </c>
      <c r="D656" s="17">
        <f>Github!G$655</f>
        <v>294</v>
      </c>
      <c r="E656" s="17">
        <f>Github!F$655+Github!G$655</f>
        <v>3739</v>
      </c>
      <c r="F656" s="18">
        <f t="shared" si="1"/>
        <v>11.72</v>
      </c>
      <c r="G656" s="17" t="str">
        <f>Github!H$655</f>
        <v>Algorithms</v>
      </c>
      <c r="H656" s="17" t="b">
        <f>Github!D$655</f>
        <v>0</v>
      </c>
      <c r="I656" s="17" t="str">
        <f>Github!E$655</f>
        <v>Medium</v>
      </c>
      <c r="J656" s="17" t="str">
        <f>ROUND(Github!N$655, 2)&amp;"%"</f>
        <v>0%</v>
      </c>
      <c r="K656" s="17">
        <f>Github!O$655</f>
        <v>83.31539641</v>
      </c>
      <c r="L656" s="17">
        <f>Github!P$655</f>
        <v>204374</v>
      </c>
    </row>
    <row r="657">
      <c r="A657" s="17">
        <f>Github!J$656</f>
        <v>655</v>
      </c>
      <c r="B657" s="34" t="str">
        <f>HYPERLINK(CONCAT("http://leetcode.com/problems/",Github!C$656), Github!B$656)</f>
        <v>Print Binary Tree</v>
      </c>
      <c r="C657" s="17">
        <f>Github!F$656</f>
        <v>160</v>
      </c>
      <c r="D657" s="17">
        <f>Github!G$656</f>
        <v>183</v>
      </c>
      <c r="E657" s="17">
        <f>Github!F$656+Github!G$656</f>
        <v>343</v>
      </c>
      <c r="F657" s="18">
        <f t="shared" si="1"/>
        <v>0.87</v>
      </c>
      <c r="G657" s="17" t="str">
        <f>Github!H$656</f>
        <v>Algorithms</v>
      </c>
      <c r="H657" s="17" t="b">
        <f>Github!D$656</f>
        <v>0</v>
      </c>
      <c r="I657" s="17" t="str">
        <f>Github!E$656</f>
        <v>Medium</v>
      </c>
      <c r="J657" s="17" t="str">
        <f>ROUND(Github!N$656, 2)&amp;"%"</f>
        <v>0%</v>
      </c>
      <c r="K657" s="17">
        <f>Github!O$656</f>
        <v>59.27463774</v>
      </c>
      <c r="L657" s="17">
        <f>Github!P$656</f>
        <v>48965</v>
      </c>
    </row>
    <row r="658">
      <c r="A658" s="17">
        <f>Github!J$657</f>
        <v>656</v>
      </c>
      <c r="B658" s="34" t="str">
        <f>HYPERLINK(CONCAT("http://leetcode.com/problems/",Github!C$657), Github!B$657)</f>
        <v>Coin Path</v>
      </c>
      <c r="C658" s="17">
        <f>Github!F$657</f>
        <v>216</v>
      </c>
      <c r="D658" s="17">
        <f>Github!G$657</f>
        <v>96</v>
      </c>
      <c r="E658" s="17">
        <f>Github!F$657+Github!G$657</f>
        <v>312</v>
      </c>
      <c r="F658" s="18">
        <f t="shared" si="1"/>
        <v>2.25</v>
      </c>
      <c r="G658" s="17" t="str">
        <f>Github!H$657</f>
        <v>Algorithms</v>
      </c>
      <c r="H658" s="17" t="b">
        <f>Github!D$657</f>
        <v>1</v>
      </c>
      <c r="I658" s="17" t="str">
        <f>Github!E$657</f>
        <v>Hard</v>
      </c>
      <c r="J658" s="17" t="str">
        <f>ROUND(Github!N$657, 2)&amp;"%"</f>
        <v>0%</v>
      </c>
      <c r="K658" s="17">
        <f>Github!O$657</f>
        <v>31.17941169</v>
      </c>
      <c r="L658" s="17">
        <f>Github!P$657</f>
        <v>12285</v>
      </c>
    </row>
    <row r="659">
      <c r="A659" s="17">
        <f>Github!J$658</f>
        <v>657</v>
      </c>
      <c r="B659" s="34" t="str">
        <f>HYPERLINK(CONCAT("http://leetcode.com/problems/",Github!C$658), Github!B$658)</f>
        <v>Robot Return to Origin</v>
      </c>
      <c r="C659" s="17">
        <f>Github!F$658</f>
        <v>1624</v>
      </c>
      <c r="D659" s="17">
        <f>Github!G$658</f>
        <v>712</v>
      </c>
      <c r="E659" s="17">
        <f>Github!F$658+Github!G$658</f>
        <v>2336</v>
      </c>
      <c r="F659" s="18">
        <f t="shared" si="1"/>
        <v>2.28</v>
      </c>
      <c r="G659" s="17" t="str">
        <f>Github!H$658</f>
        <v>Algorithms</v>
      </c>
      <c r="H659" s="17" t="b">
        <f>Github!D$658</f>
        <v>0</v>
      </c>
      <c r="I659" s="17" t="str">
        <f>Github!E$658</f>
        <v>Easy</v>
      </c>
      <c r="J659" s="17" t="str">
        <f>ROUND(Github!N$658, 2)&amp;"%"</f>
        <v>0%</v>
      </c>
      <c r="K659" s="17">
        <f>Github!O$658</f>
        <v>74.97350907</v>
      </c>
      <c r="L659" s="17">
        <f>Github!P$658</f>
        <v>322638</v>
      </c>
    </row>
    <row r="660">
      <c r="A660" s="17">
        <f>Github!J$659</f>
        <v>658</v>
      </c>
      <c r="B660" s="34" t="str">
        <f>HYPERLINK(CONCAT("http://leetcode.com/problems/",Github!C$659), Github!B$659)</f>
        <v>Find K Closest Elements</v>
      </c>
      <c r="C660" s="17">
        <f>Github!F$659</f>
        <v>3970</v>
      </c>
      <c r="D660" s="17">
        <f>Github!G$659</f>
        <v>407</v>
      </c>
      <c r="E660" s="17">
        <f>Github!F$659+Github!G$659</f>
        <v>4377</v>
      </c>
      <c r="F660" s="18">
        <f t="shared" si="1"/>
        <v>9.75</v>
      </c>
      <c r="G660" s="17" t="str">
        <f>Github!H$659</f>
        <v>Algorithms</v>
      </c>
      <c r="H660" s="17" t="b">
        <f>Github!D$659</f>
        <v>0</v>
      </c>
      <c r="I660" s="17" t="str">
        <f>Github!E$659</f>
        <v>Medium</v>
      </c>
      <c r="J660" s="17" t="str">
        <f>ROUND(Github!N$659, 2)&amp;"%"</f>
        <v>0%</v>
      </c>
      <c r="K660" s="17">
        <f>Github!O$659</f>
        <v>44.32614629</v>
      </c>
      <c r="L660" s="17">
        <f>Github!P$659</f>
        <v>266820</v>
      </c>
    </row>
    <row r="661">
      <c r="A661" s="17">
        <f>Github!J$660</f>
        <v>659</v>
      </c>
      <c r="B661" s="34" t="str">
        <f>HYPERLINK(CONCAT("http://leetcode.com/problems/",Github!C$660), Github!B$660)</f>
        <v>Split Array into Consecutive Subsequences</v>
      </c>
      <c r="C661" s="17">
        <f>Github!F$660</f>
        <v>2049</v>
      </c>
      <c r="D661" s="17">
        <f>Github!G$660</f>
        <v>543</v>
      </c>
      <c r="E661" s="17">
        <f>Github!F$660+Github!G$660</f>
        <v>2592</v>
      </c>
      <c r="F661" s="18">
        <f t="shared" si="1"/>
        <v>3.77</v>
      </c>
      <c r="G661" s="17" t="str">
        <f>Github!H$660</f>
        <v>Algorithms</v>
      </c>
      <c r="H661" s="17" t="b">
        <f>Github!D$660</f>
        <v>0</v>
      </c>
      <c r="I661" s="17" t="str">
        <f>Github!E$660</f>
        <v>Medium</v>
      </c>
      <c r="J661" s="17" t="str">
        <f>ROUND(Github!N$660, 2)&amp;"%"</f>
        <v>0%</v>
      </c>
      <c r="K661" s="17">
        <f>Github!O$660</f>
        <v>45.49924662</v>
      </c>
      <c r="L661" s="17">
        <f>Github!P$660</f>
        <v>67640</v>
      </c>
    </row>
    <row r="662">
      <c r="A662" s="17">
        <f>Github!J$661</f>
        <v>660</v>
      </c>
      <c r="B662" s="34" t="str">
        <f>HYPERLINK(CONCAT("http://leetcode.com/problems/",Github!C$661), Github!B$661)</f>
        <v>Remove 9</v>
      </c>
      <c r="C662" s="17">
        <f>Github!F$661</f>
        <v>133</v>
      </c>
      <c r="D662" s="17">
        <f>Github!G$661</f>
        <v>165</v>
      </c>
      <c r="E662" s="17">
        <f>Github!F$661+Github!G$661</f>
        <v>298</v>
      </c>
      <c r="F662" s="18">
        <f t="shared" si="1"/>
        <v>0.81</v>
      </c>
      <c r="G662" s="17" t="str">
        <f>Github!H$661</f>
        <v>Algorithms</v>
      </c>
      <c r="H662" s="17" t="b">
        <f>Github!D$661</f>
        <v>1</v>
      </c>
      <c r="I662" s="17" t="str">
        <f>Github!E$661</f>
        <v>Hard</v>
      </c>
      <c r="J662" s="17" t="str">
        <f>ROUND(Github!N$661, 2)&amp;"%"</f>
        <v>0%</v>
      </c>
      <c r="K662" s="17">
        <f>Github!O$661</f>
        <v>55.44744591</v>
      </c>
      <c r="L662" s="17">
        <f>Github!P$661</f>
        <v>8662</v>
      </c>
    </row>
    <row r="663">
      <c r="A663" s="17">
        <f>Github!J$662</f>
        <v>661</v>
      </c>
      <c r="B663" s="34" t="str">
        <f>HYPERLINK(CONCAT("http://leetcode.com/problems/",Github!C$662), Github!B$662)</f>
        <v>Image Smoother</v>
      </c>
      <c r="C663" s="17">
        <f>Github!F$662</f>
        <v>375</v>
      </c>
      <c r="D663" s="17">
        <f>Github!G$662</f>
        <v>1560</v>
      </c>
      <c r="E663" s="17">
        <f>Github!F$662+Github!G$662</f>
        <v>1935</v>
      </c>
      <c r="F663" s="18">
        <f t="shared" si="1"/>
        <v>0.24</v>
      </c>
      <c r="G663" s="17" t="str">
        <f>Github!H$662</f>
        <v>Algorithms</v>
      </c>
      <c r="H663" s="17" t="b">
        <f>Github!D$662</f>
        <v>0</v>
      </c>
      <c r="I663" s="17" t="str">
        <f>Github!E$662</f>
        <v>Easy</v>
      </c>
      <c r="J663" s="17" t="str">
        <f>ROUND(Github!N$662, 2)&amp;"%"</f>
        <v>0%</v>
      </c>
      <c r="K663" s="17">
        <f>Github!O$662</f>
        <v>53.95452787</v>
      </c>
      <c r="L663" s="17">
        <f>Github!P$662</f>
        <v>62767</v>
      </c>
    </row>
    <row r="664">
      <c r="A664" s="17">
        <f>Github!J$663</f>
        <v>662</v>
      </c>
      <c r="B664" s="34" t="str">
        <f>HYPERLINK(CONCAT("http://leetcode.com/problems/",Github!C$663), Github!B$663)</f>
        <v>Maximum Width of Binary Tree</v>
      </c>
      <c r="C664" s="17">
        <f>Github!F$663</f>
        <v>4291</v>
      </c>
      <c r="D664" s="17">
        <f>Github!G$663</f>
        <v>693</v>
      </c>
      <c r="E664" s="17">
        <f>Github!F$663+Github!G$663</f>
        <v>4984</v>
      </c>
      <c r="F664" s="18">
        <f t="shared" si="1"/>
        <v>6.19</v>
      </c>
      <c r="G664" s="17" t="str">
        <f>Github!H$663</f>
        <v>Algorithms</v>
      </c>
      <c r="H664" s="17" t="b">
        <f>Github!D$663</f>
        <v>0</v>
      </c>
      <c r="I664" s="17" t="str">
        <f>Github!E$663</f>
        <v>Medium</v>
      </c>
      <c r="J664" s="17" t="str">
        <f>ROUND(Github!N$663, 2)&amp;"%"</f>
        <v>0%</v>
      </c>
      <c r="K664" s="17">
        <f>Github!O$663</f>
        <v>40.15112505</v>
      </c>
      <c r="L664" s="17">
        <f>Github!P$663</f>
        <v>174656</v>
      </c>
    </row>
    <row r="665">
      <c r="A665" s="17">
        <f>Github!J$664</f>
        <v>663</v>
      </c>
      <c r="B665" s="34" t="str">
        <f>HYPERLINK(CONCAT("http://leetcode.com/problems/",Github!C$664), Github!B$664)</f>
        <v>Equal Tree Partition</v>
      </c>
      <c r="C665" s="17">
        <f>Github!F$664</f>
        <v>418</v>
      </c>
      <c r="D665" s="17">
        <f>Github!G$664</f>
        <v>32</v>
      </c>
      <c r="E665" s="17">
        <f>Github!F$664+Github!G$664</f>
        <v>450</v>
      </c>
      <c r="F665" s="18">
        <f t="shared" si="1"/>
        <v>13.06</v>
      </c>
      <c r="G665" s="17" t="str">
        <f>Github!H$664</f>
        <v>Algorithms</v>
      </c>
      <c r="H665" s="17" t="b">
        <f>Github!D$664</f>
        <v>1</v>
      </c>
      <c r="I665" s="17" t="str">
        <f>Github!E$664</f>
        <v>Medium</v>
      </c>
      <c r="J665" s="17" t="str">
        <f>ROUND(Github!N$664, 2)&amp;"%"</f>
        <v>0%</v>
      </c>
      <c r="K665" s="17">
        <f>Github!O$664</f>
        <v>41.13771173</v>
      </c>
      <c r="L665" s="17">
        <f>Github!P$664</f>
        <v>26909</v>
      </c>
    </row>
    <row r="666">
      <c r="A666" s="17">
        <f>Github!J$665</f>
        <v>664</v>
      </c>
      <c r="B666" s="34" t="str">
        <f>HYPERLINK(CONCAT("http://leetcode.com/problems/",Github!C$665), Github!B$665)</f>
        <v>Strange Printer</v>
      </c>
      <c r="C666" s="17">
        <f>Github!F$665</f>
        <v>792</v>
      </c>
      <c r="D666" s="17">
        <f>Github!G$665</f>
        <v>73</v>
      </c>
      <c r="E666" s="17">
        <f>Github!F$665+Github!G$665</f>
        <v>865</v>
      </c>
      <c r="F666" s="18">
        <f t="shared" si="1"/>
        <v>10.85</v>
      </c>
      <c r="G666" s="17" t="str">
        <f>Github!H$665</f>
        <v>Algorithms</v>
      </c>
      <c r="H666" s="17" t="b">
        <f>Github!D$665</f>
        <v>0</v>
      </c>
      <c r="I666" s="17" t="str">
        <f>Github!E$665</f>
        <v>Hard</v>
      </c>
      <c r="J666" s="17" t="str">
        <f>ROUND(Github!N$665, 2)&amp;"%"</f>
        <v>0%</v>
      </c>
      <c r="K666" s="17">
        <f>Github!O$665</f>
        <v>45.40915645</v>
      </c>
      <c r="L666" s="17">
        <f>Github!P$665</f>
        <v>25193</v>
      </c>
    </row>
    <row r="667">
      <c r="A667" s="17">
        <f>Github!J$666</f>
        <v>665</v>
      </c>
      <c r="B667" s="34" t="str">
        <f>HYPERLINK(CONCAT("http://leetcode.com/problems/",Github!C$666), Github!B$666)</f>
        <v>Non-decreasing Array</v>
      </c>
      <c r="C667" s="17">
        <f>Github!F$666</f>
        <v>3531</v>
      </c>
      <c r="D667" s="17">
        <f>Github!G$666</f>
        <v>663</v>
      </c>
      <c r="E667" s="17">
        <f>Github!F$666+Github!G$666</f>
        <v>4194</v>
      </c>
      <c r="F667" s="18">
        <f t="shared" si="1"/>
        <v>5.33</v>
      </c>
      <c r="G667" s="17" t="str">
        <f>Github!H$666</f>
        <v>Algorithms</v>
      </c>
      <c r="H667" s="17" t="b">
        <f>Github!D$666</f>
        <v>0</v>
      </c>
      <c r="I667" s="17" t="str">
        <f>Github!E$666</f>
        <v>Medium</v>
      </c>
      <c r="J667" s="17" t="str">
        <f>ROUND(Github!N$666, 2)&amp;"%"</f>
        <v>0%</v>
      </c>
      <c r="K667" s="17">
        <f>Github!O$666</f>
        <v>21.43715413</v>
      </c>
      <c r="L667" s="17">
        <f>Github!P$666</f>
        <v>169130</v>
      </c>
    </row>
    <row r="668">
      <c r="A668" s="17">
        <f>Github!J$667</f>
        <v>666</v>
      </c>
      <c r="B668" s="34" t="str">
        <f>HYPERLINK(CONCAT("http://leetcode.com/problems/",Github!C$667), Github!B$667)</f>
        <v>Path Sum IV</v>
      </c>
      <c r="C668" s="17">
        <f>Github!F$667</f>
        <v>276</v>
      </c>
      <c r="D668" s="17">
        <f>Github!G$667</f>
        <v>368</v>
      </c>
      <c r="E668" s="17">
        <f>Github!F$667+Github!G$667</f>
        <v>644</v>
      </c>
      <c r="F668" s="18">
        <f t="shared" si="1"/>
        <v>0.75</v>
      </c>
      <c r="G668" s="17" t="str">
        <f>Github!H$667</f>
        <v>Algorithms</v>
      </c>
      <c r="H668" s="17" t="b">
        <f>Github!D$667</f>
        <v>1</v>
      </c>
      <c r="I668" s="17" t="str">
        <f>Github!E$667</f>
        <v>Medium</v>
      </c>
      <c r="J668" s="17" t="str">
        <f>ROUND(Github!N$667, 2)&amp;"%"</f>
        <v>0%</v>
      </c>
      <c r="K668" s="17">
        <f>Github!O$667</f>
        <v>58.44936515</v>
      </c>
      <c r="L668" s="17">
        <f>Github!P$667</f>
        <v>19058</v>
      </c>
    </row>
    <row r="669">
      <c r="A669" s="17">
        <f>Github!J$668</f>
        <v>667</v>
      </c>
      <c r="B669" s="34" t="str">
        <f>HYPERLINK(CONCAT("http://leetcode.com/problems/",Github!C$668), Github!B$668)</f>
        <v>Beautiful Arrangement II</v>
      </c>
      <c r="C669" s="17">
        <f>Github!F$668</f>
        <v>641</v>
      </c>
      <c r="D669" s="17">
        <f>Github!G$668</f>
        <v>950</v>
      </c>
      <c r="E669" s="17">
        <f>Github!F$668+Github!G$668</f>
        <v>1591</v>
      </c>
      <c r="F669" s="18">
        <f t="shared" si="1"/>
        <v>0.67</v>
      </c>
      <c r="G669" s="17" t="str">
        <f>Github!H$668</f>
        <v>Algorithms</v>
      </c>
      <c r="H669" s="17" t="b">
        <f>Github!D$668</f>
        <v>0</v>
      </c>
      <c r="I669" s="17" t="str">
        <f>Github!E$668</f>
        <v>Medium</v>
      </c>
      <c r="J669" s="17" t="str">
        <f>ROUND(Github!N$668, 2)&amp;"%"</f>
        <v>0%</v>
      </c>
      <c r="K669" s="17">
        <f>Github!O$668</f>
        <v>59.27636937</v>
      </c>
      <c r="L669" s="17">
        <f>Github!P$668</f>
        <v>46577</v>
      </c>
    </row>
    <row r="670">
      <c r="A670" s="17">
        <f>Github!J$669</f>
        <v>668</v>
      </c>
      <c r="B670" s="34" t="str">
        <f>HYPERLINK(CONCAT("http://leetcode.com/problems/",Github!C$669), Github!B$669)</f>
        <v>Kth Smallest Number in Multiplication Table</v>
      </c>
      <c r="C670" s="17">
        <f>Github!F$669</f>
        <v>1558</v>
      </c>
      <c r="D670" s="17">
        <f>Github!G$669</f>
        <v>44</v>
      </c>
      <c r="E670" s="17">
        <f>Github!F$669+Github!G$669</f>
        <v>1602</v>
      </c>
      <c r="F670" s="18">
        <f t="shared" si="1"/>
        <v>35.41</v>
      </c>
      <c r="G670" s="17" t="str">
        <f>Github!H$669</f>
        <v>Algorithms</v>
      </c>
      <c r="H670" s="17" t="b">
        <f>Github!D$669</f>
        <v>0</v>
      </c>
      <c r="I670" s="17" t="str">
        <f>Github!E$669</f>
        <v>Hard</v>
      </c>
      <c r="J670" s="17" t="str">
        <f>ROUND(Github!N$669, 2)&amp;"%"</f>
        <v>0%</v>
      </c>
      <c r="K670" s="17">
        <f>Github!O$669</f>
        <v>50.89124537</v>
      </c>
      <c r="L670" s="17">
        <f>Github!P$669</f>
        <v>47080</v>
      </c>
    </row>
    <row r="671">
      <c r="A671" s="17">
        <f>Github!J$670</f>
        <v>669</v>
      </c>
      <c r="B671" s="34" t="str">
        <f>HYPERLINK(CONCAT("http://leetcode.com/problems/",Github!C$670), Github!B$670)</f>
        <v>Trim a Binary Search Tree</v>
      </c>
      <c r="C671" s="17">
        <f>Github!F$670</f>
        <v>3527</v>
      </c>
      <c r="D671" s="17">
        <f>Github!G$670</f>
        <v>216</v>
      </c>
      <c r="E671" s="17">
        <f>Github!F$670+Github!G$670</f>
        <v>3743</v>
      </c>
      <c r="F671" s="18">
        <f t="shared" si="1"/>
        <v>16.33</v>
      </c>
      <c r="G671" s="17" t="str">
        <f>Github!H$670</f>
        <v>Algorithms</v>
      </c>
      <c r="H671" s="17" t="b">
        <f>Github!D$670</f>
        <v>0</v>
      </c>
      <c r="I671" s="17" t="str">
        <f>Github!E$670</f>
        <v>Medium</v>
      </c>
      <c r="J671" s="17" t="str">
        <f>ROUND(Github!N$670, 2)&amp;"%"</f>
        <v>0%</v>
      </c>
      <c r="K671" s="17">
        <f>Github!O$670</f>
        <v>64.55967409</v>
      </c>
      <c r="L671" s="17">
        <f>Github!P$670</f>
        <v>186518</v>
      </c>
    </row>
    <row r="672">
      <c r="A672" s="17">
        <f>Github!J$671</f>
        <v>670</v>
      </c>
      <c r="B672" s="34" t="str">
        <f>HYPERLINK(CONCAT("http://leetcode.com/problems/",Github!C$671), Github!B$671)</f>
        <v>Maximum Swap</v>
      </c>
      <c r="C672" s="17">
        <f>Github!F$671</f>
        <v>2343</v>
      </c>
      <c r="D672" s="17">
        <f>Github!G$671</f>
        <v>137</v>
      </c>
      <c r="E672" s="17">
        <f>Github!F$671+Github!G$671</f>
        <v>2480</v>
      </c>
      <c r="F672" s="18">
        <f t="shared" si="1"/>
        <v>17.1</v>
      </c>
      <c r="G672" s="17" t="str">
        <f>Github!H$671</f>
        <v>Algorithms</v>
      </c>
      <c r="H672" s="17" t="b">
        <f>Github!D$671</f>
        <v>0</v>
      </c>
      <c r="I672" s="17" t="str">
        <f>Github!E$671</f>
        <v>Medium</v>
      </c>
      <c r="J672" s="17" t="str">
        <f>ROUND(Github!N$671, 2)&amp;"%"</f>
        <v>0%</v>
      </c>
      <c r="K672" s="17">
        <f>Github!O$671</f>
        <v>47.35791174</v>
      </c>
      <c r="L672" s="17">
        <f>Github!P$671</f>
        <v>156533</v>
      </c>
    </row>
    <row r="673">
      <c r="A673" s="17">
        <f>Github!J$672</f>
        <v>671</v>
      </c>
      <c r="B673" s="34" t="str">
        <f>HYPERLINK(CONCAT("http://leetcode.com/problems/",Github!C$672), Github!B$672)</f>
        <v>Second Minimum Node In a Binary Tree</v>
      </c>
      <c r="C673" s="17">
        <f>Github!F$672</f>
        <v>1153</v>
      </c>
      <c r="D673" s="17">
        <f>Github!G$672</f>
        <v>1425</v>
      </c>
      <c r="E673" s="17">
        <f>Github!F$672+Github!G$672</f>
        <v>2578</v>
      </c>
      <c r="F673" s="18">
        <f t="shared" si="1"/>
        <v>0.81</v>
      </c>
      <c r="G673" s="17" t="str">
        <f>Github!H$672</f>
        <v>Algorithms</v>
      </c>
      <c r="H673" s="17" t="b">
        <f>Github!D$672</f>
        <v>0</v>
      </c>
      <c r="I673" s="17" t="str">
        <f>Github!E$672</f>
        <v>Easy</v>
      </c>
      <c r="J673" s="17" t="str">
        <f>ROUND(Github!N$672, 2)&amp;"%"</f>
        <v>0%</v>
      </c>
      <c r="K673" s="17">
        <f>Github!O$672</f>
        <v>43.50197425</v>
      </c>
      <c r="L673" s="17">
        <f>Github!P$672</f>
        <v>133196</v>
      </c>
    </row>
    <row r="674">
      <c r="A674" s="17">
        <f>Github!J$673</f>
        <v>672</v>
      </c>
      <c r="B674" s="34" t="str">
        <f>HYPERLINK(CONCAT("http://leetcode.com/problems/",Github!C$673), Github!B$673)</f>
        <v>Bulb Switcher II</v>
      </c>
      <c r="C674" s="17">
        <f>Github!F$673</f>
        <v>23</v>
      </c>
      <c r="D674" s="17">
        <f>Github!G$673</f>
        <v>61</v>
      </c>
      <c r="E674" s="17">
        <f>Github!F$673+Github!G$673</f>
        <v>84</v>
      </c>
      <c r="F674" s="18">
        <f t="shared" si="1"/>
        <v>0.38</v>
      </c>
      <c r="G674" s="17" t="str">
        <f>Github!H$673</f>
        <v>Algorithms</v>
      </c>
      <c r="H674" s="17" t="b">
        <f>Github!D$673</f>
        <v>0</v>
      </c>
      <c r="I674" s="17" t="str">
        <f>Github!E$673</f>
        <v>Medium</v>
      </c>
      <c r="J674" s="17" t="str">
        <f>ROUND(Github!N$673, 2)&amp;"%"</f>
        <v>0%</v>
      </c>
      <c r="K674" s="17">
        <f>Github!O$673</f>
        <v>50.84234193</v>
      </c>
      <c r="L674" s="17">
        <f>Github!P$673</f>
        <v>16508</v>
      </c>
    </row>
    <row r="675">
      <c r="A675" s="17">
        <f>Github!J$674</f>
        <v>673</v>
      </c>
      <c r="B675" s="34" t="str">
        <f>HYPERLINK(CONCAT("http://leetcode.com/problems/",Github!C$674), Github!B$674)</f>
        <v>Number of Longest Increasing Subsequence</v>
      </c>
      <c r="C675" s="17">
        <f>Github!F$674</f>
        <v>3239</v>
      </c>
      <c r="D675" s="17">
        <f>Github!G$674</f>
        <v>161</v>
      </c>
      <c r="E675" s="17">
        <f>Github!F$674+Github!G$674</f>
        <v>3400</v>
      </c>
      <c r="F675" s="18">
        <f t="shared" si="1"/>
        <v>20.12</v>
      </c>
      <c r="G675" s="17" t="str">
        <f>Github!H$674</f>
        <v>Algorithms</v>
      </c>
      <c r="H675" s="17" t="b">
        <f>Github!D$674</f>
        <v>0</v>
      </c>
      <c r="I675" s="17" t="str">
        <f>Github!E$674</f>
        <v>Medium</v>
      </c>
      <c r="J675" s="17" t="str">
        <f>ROUND(Github!N$674, 2)&amp;"%"</f>
        <v>0%</v>
      </c>
      <c r="K675" s="17">
        <f>Github!O$674</f>
        <v>40.56666897</v>
      </c>
      <c r="L675" s="17">
        <f>Github!P$674</f>
        <v>105492</v>
      </c>
    </row>
    <row r="676">
      <c r="A676" s="17">
        <f>Github!J$675</f>
        <v>674</v>
      </c>
      <c r="B676" s="34" t="str">
        <f>HYPERLINK(CONCAT("http://leetcode.com/problems/",Github!C$675), Github!B$675)</f>
        <v>Longest Continuous Increasing Subsequence</v>
      </c>
      <c r="C676" s="17">
        <f>Github!F$675</f>
        <v>1603</v>
      </c>
      <c r="D676" s="17">
        <f>Github!G$675</f>
        <v>160</v>
      </c>
      <c r="E676" s="17">
        <f>Github!F$675+Github!G$675</f>
        <v>1763</v>
      </c>
      <c r="F676" s="18">
        <f t="shared" si="1"/>
        <v>10.02</v>
      </c>
      <c r="G676" s="17" t="str">
        <f>Github!H$675</f>
        <v>Algorithms</v>
      </c>
      <c r="H676" s="17" t="b">
        <f>Github!D$675</f>
        <v>0</v>
      </c>
      <c r="I676" s="17" t="str">
        <f>Github!E$675</f>
        <v>Easy</v>
      </c>
      <c r="J676" s="17" t="str">
        <f>ROUND(Github!N$675, 2)&amp;"%"</f>
        <v>0%</v>
      </c>
      <c r="K676" s="17">
        <f>Github!O$675</f>
        <v>48.17807801</v>
      </c>
      <c r="L676" s="17">
        <f>Github!P$675</f>
        <v>186427</v>
      </c>
    </row>
    <row r="677">
      <c r="A677" s="17">
        <f>Github!J$676</f>
        <v>675</v>
      </c>
      <c r="B677" s="34" t="str">
        <f>HYPERLINK(CONCAT("http://leetcode.com/problems/",Github!C$676), Github!B$676)</f>
        <v>Cut Off Trees for Golf Event</v>
      </c>
      <c r="C677" s="17">
        <f>Github!F$676</f>
        <v>870</v>
      </c>
      <c r="D677" s="17">
        <f>Github!G$676</f>
        <v>499</v>
      </c>
      <c r="E677" s="17">
        <f>Github!F$676+Github!G$676</f>
        <v>1369</v>
      </c>
      <c r="F677" s="18">
        <f t="shared" si="1"/>
        <v>1.74</v>
      </c>
      <c r="G677" s="17" t="str">
        <f>Github!H$676</f>
        <v>Algorithms</v>
      </c>
      <c r="H677" s="17" t="b">
        <f>Github!D$676</f>
        <v>0</v>
      </c>
      <c r="I677" s="17" t="str">
        <f>Github!E$676</f>
        <v>Hard</v>
      </c>
      <c r="J677" s="17" t="str">
        <f>ROUND(Github!N$676, 2)&amp;"%"</f>
        <v>0%</v>
      </c>
      <c r="K677" s="17">
        <f>Github!O$676</f>
        <v>35.48421353</v>
      </c>
      <c r="L677" s="17">
        <f>Github!P$676</f>
        <v>53463</v>
      </c>
    </row>
    <row r="678">
      <c r="A678" s="17">
        <f>Github!J$677</f>
        <v>676</v>
      </c>
      <c r="B678" s="34" t="str">
        <f>HYPERLINK(CONCAT("http://leetcode.com/problems/",Github!C$677), Github!B$677)</f>
        <v>Implement Magic Dictionary</v>
      </c>
      <c r="C678" s="17">
        <f>Github!F$677</f>
        <v>973</v>
      </c>
      <c r="D678" s="17">
        <f>Github!G$677</f>
        <v>178</v>
      </c>
      <c r="E678" s="17">
        <f>Github!F$677+Github!G$677</f>
        <v>1151</v>
      </c>
      <c r="F678" s="18">
        <f t="shared" si="1"/>
        <v>5.47</v>
      </c>
      <c r="G678" s="17" t="str">
        <f>Github!H$677</f>
        <v>Algorithms</v>
      </c>
      <c r="H678" s="17" t="b">
        <f>Github!D$677</f>
        <v>0</v>
      </c>
      <c r="I678" s="17" t="str">
        <f>Github!E$677</f>
        <v>Medium</v>
      </c>
      <c r="J678" s="17" t="str">
        <f>ROUND(Github!N$677, 2)&amp;"%"</f>
        <v>0%</v>
      </c>
      <c r="K678" s="17">
        <f>Github!O$677</f>
        <v>56.46531861</v>
      </c>
      <c r="L678" s="17">
        <f>Github!P$677</f>
        <v>61266</v>
      </c>
    </row>
    <row r="679">
      <c r="A679" s="17">
        <f>Github!J$678</f>
        <v>677</v>
      </c>
      <c r="B679" s="34" t="str">
        <f>HYPERLINK(CONCAT("http://leetcode.com/problems/",Github!C$678), Github!B$678)</f>
        <v>Map Sum Pairs</v>
      </c>
      <c r="C679" s="17">
        <f>Github!F$678</f>
        <v>1177</v>
      </c>
      <c r="D679" s="17">
        <f>Github!G$678</f>
        <v>119</v>
      </c>
      <c r="E679" s="17">
        <f>Github!F$678+Github!G$678</f>
        <v>1296</v>
      </c>
      <c r="F679" s="18">
        <f t="shared" si="1"/>
        <v>9.89</v>
      </c>
      <c r="G679" s="17" t="str">
        <f>Github!H$678</f>
        <v>Algorithms</v>
      </c>
      <c r="H679" s="17" t="b">
        <f>Github!D$678</f>
        <v>0</v>
      </c>
      <c r="I679" s="17" t="str">
        <f>Github!E$678</f>
        <v>Medium</v>
      </c>
      <c r="J679" s="17" t="str">
        <f>ROUND(Github!N$678, 2)&amp;"%"</f>
        <v>0%</v>
      </c>
      <c r="K679" s="17">
        <f>Github!O$678</f>
        <v>57.01561558</v>
      </c>
      <c r="L679" s="17">
        <f>Github!P$678</f>
        <v>85073</v>
      </c>
    </row>
    <row r="680">
      <c r="A680" s="17">
        <f>Github!J$679</f>
        <v>678</v>
      </c>
      <c r="B680" s="34" t="str">
        <f>HYPERLINK(CONCAT("http://leetcode.com/problems/",Github!C$679), Github!B$679)</f>
        <v>Valid Parenthesis String</v>
      </c>
      <c r="C680" s="17">
        <f>Github!F$679</f>
        <v>3194</v>
      </c>
      <c r="D680" s="17">
        <f>Github!G$679</f>
        <v>79</v>
      </c>
      <c r="E680" s="17">
        <f>Github!F$679+Github!G$679</f>
        <v>3273</v>
      </c>
      <c r="F680" s="18">
        <f t="shared" si="1"/>
        <v>40.43</v>
      </c>
      <c r="G680" s="17" t="str">
        <f>Github!H$679</f>
        <v>Algorithms</v>
      </c>
      <c r="H680" s="17" t="b">
        <f>Github!D$679</f>
        <v>0</v>
      </c>
      <c r="I680" s="17" t="str">
        <f>Github!E$679</f>
        <v>Medium</v>
      </c>
      <c r="J680" s="17" t="str">
        <f>ROUND(Github!N$679, 2)&amp;"%"</f>
        <v>0%</v>
      </c>
      <c r="K680" s="17">
        <f>Github!O$679</f>
        <v>33.02754905</v>
      </c>
      <c r="L680" s="17">
        <f>Github!P$679</f>
        <v>162446</v>
      </c>
    </row>
    <row r="681">
      <c r="A681" s="17">
        <f>Github!J$680</f>
        <v>679</v>
      </c>
      <c r="B681" s="34" t="str">
        <f>HYPERLINK(CONCAT("http://leetcode.com/problems/",Github!C$680), Github!B$680)</f>
        <v>24 Game</v>
      </c>
      <c r="C681" s="17">
        <f>Github!F$680</f>
        <v>1149</v>
      </c>
      <c r="D681" s="17">
        <f>Github!G$680</f>
        <v>214</v>
      </c>
      <c r="E681" s="17">
        <f>Github!F$680+Github!G$680</f>
        <v>1363</v>
      </c>
      <c r="F681" s="18">
        <f t="shared" si="1"/>
        <v>5.37</v>
      </c>
      <c r="G681" s="17" t="str">
        <f>Github!H$680</f>
        <v>Algorithms</v>
      </c>
      <c r="H681" s="17" t="b">
        <f>Github!D$680</f>
        <v>0</v>
      </c>
      <c r="I681" s="17" t="str">
        <f>Github!E$680</f>
        <v>Hard</v>
      </c>
      <c r="J681" s="17" t="str">
        <f>ROUND(Github!N$680, 2)&amp;"%"</f>
        <v>0%</v>
      </c>
      <c r="K681" s="17">
        <f>Github!O$680</f>
        <v>48.61015555</v>
      </c>
      <c r="L681" s="17">
        <f>Github!P$680</f>
        <v>61469</v>
      </c>
    </row>
    <row r="682">
      <c r="A682" s="17">
        <f>Github!J$681</f>
        <v>680</v>
      </c>
      <c r="B682" s="34" t="str">
        <f>HYPERLINK(CONCAT("http://leetcode.com/problems/",Github!C$681), Github!B$681)</f>
        <v>Valid Palindrome II</v>
      </c>
      <c r="C682" s="17">
        <f>Github!F$681</f>
        <v>4107</v>
      </c>
      <c r="D682" s="17">
        <f>Github!G$681</f>
        <v>245</v>
      </c>
      <c r="E682" s="17">
        <f>Github!F$681+Github!G$681</f>
        <v>4352</v>
      </c>
      <c r="F682" s="18">
        <f t="shared" si="1"/>
        <v>16.76</v>
      </c>
      <c r="G682" s="17" t="str">
        <f>Github!H$681</f>
        <v>Algorithms</v>
      </c>
      <c r="H682" s="17" t="b">
        <f>Github!D$681</f>
        <v>0</v>
      </c>
      <c r="I682" s="17" t="str">
        <f>Github!E$681</f>
        <v>Easy</v>
      </c>
      <c r="J682" s="17" t="str">
        <f>ROUND(Github!N$681, 2)&amp;"%"</f>
        <v>0%</v>
      </c>
      <c r="K682" s="17">
        <f>Github!O$681</f>
        <v>38.51799486</v>
      </c>
      <c r="L682" s="17">
        <f>Github!P$681</f>
        <v>412446</v>
      </c>
    </row>
    <row r="683">
      <c r="A683" s="17">
        <f>Github!J$682</f>
        <v>681</v>
      </c>
      <c r="B683" s="34" t="str">
        <f>HYPERLINK(CONCAT("http://leetcode.com/problems/",Github!C$682), Github!B$682)</f>
        <v>Next Closest Time</v>
      </c>
      <c r="C683" s="17">
        <f>Github!F$682</f>
        <v>650</v>
      </c>
      <c r="D683" s="17">
        <f>Github!G$682</f>
        <v>950</v>
      </c>
      <c r="E683" s="17">
        <f>Github!F$682+Github!G$682</f>
        <v>1600</v>
      </c>
      <c r="F683" s="18">
        <f t="shared" si="1"/>
        <v>0.68</v>
      </c>
      <c r="G683" s="17" t="str">
        <f>Github!H$682</f>
        <v>Algorithms</v>
      </c>
      <c r="H683" s="17" t="b">
        <f>Github!D$682</f>
        <v>1</v>
      </c>
      <c r="I683" s="17" t="str">
        <f>Github!E$682</f>
        <v>Medium</v>
      </c>
      <c r="J683" s="17" t="str">
        <f>ROUND(Github!N$682, 2)&amp;"%"</f>
        <v>0%</v>
      </c>
      <c r="K683" s="17">
        <f>Github!O$682</f>
        <v>46.46580703</v>
      </c>
      <c r="L683" s="17">
        <f>Github!P$682</f>
        <v>92611</v>
      </c>
    </row>
    <row r="684">
      <c r="A684" s="17">
        <f>Github!J$683</f>
        <v>682</v>
      </c>
      <c r="B684" s="34" t="str">
        <f>HYPERLINK(CONCAT("http://leetcode.com/problems/",Github!C$683), Github!B$683)</f>
        <v>Baseball Game</v>
      </c>
      <c r="C684" s="17">
        <f>Github!F$683</f>
        <v>972</v>
      </c>
      <c r="D684" s="17">
        <f>Github!G$683</f>
        <v>1355</v>
      </c>
      <c r="E684" s="17">
        <f>Github!F$683+Github!G$683</f>
        <v>2327</v>
      </c>
      <c r="F684" s="18">
        <f t="shared" si="1"/>
        <v>0.72</v>
      </c>
      <c r="G684" s="17" t="str">
        <f>Github!H$683</f>
        <v>Algorithms</v>
      </c>
      <c r="H684" s="17" t="b">
        <f>Github!D$683</f>
        <v>0</v>
      </c>
      <c r="I684" s="17" t="str">
        <f>Github!E$683</f>
        <v>Easy</v>
      </c>
      <c r="J684" s="17" t="str">
        <f>ROUND(Github!N$683, 2)&amp;"%"</f>
        <v>0%</v>
      </c>
      <c r="K684" s="17">
        <f>Github!O$683</f>
        <v>69.33014449</v>
      </c>
      <c r="L684" s="17">
        <f>Github!P$683</f>
        <v>140008</v>
      </c>
    </row>
    <row r="685">
      <c r="A685" s="17">
        <f>Github!J$684</f>
        <v>683</v>
      </c>
      <c r="B685" s="34" t="str">
        <f>HYPERLINK(CONCAT("http://leetcode.com/problems/",Github!C$684), Github!B$684)</f>
        <v>K Empty Slots</v>
      </c>
      <c r="C685" s="17">
        <f>Github!F$684</f>
        <v>720</v>
      </c>
      <c r="D685" s="17">
        <f>Github!G$684</f>
        <v>646</v>
      </c>
      <c r="E685" s="17">
        <f>Github!F$684+Github!G$684</f>
        <v>1366</v>
      </c>
      <c r="F685" s="18">
        <f t="shared" si="1"/>
        <v>1.11</v>
      </c>
      <c r="G685" s="17" t="str">
        <f>Github!H$684</f>
        <v>Algorithms</v>
      </c>
      <c r="H685" s="17" t="b">
        <f>Github!D$684</f>
        <v>1</v>
      </c>
      <c r="I685" s="17" t="str">
        <f>Github!E$684</f>
        <v>Hard</v>
      </c>
      <c r="J685" s="17" t="str">
        <f>ROUND(Github!N$684, 2)&amp;"%"</f>
        <v>0%</v>
      </c>
      <c r="K685" s="17">
        <f>Github!O$684</f>
        <v>36.73445126</v>
      </c>
      <c r="L685" s="17">
        <f>Github!P$684</f>
        <v>55620</v>
      </c>
    </row>
    <row r="686">
      <c r="A686" s="17">
        <f>Github!J$685</f>
        <v>684</v>
      </c>
      <c r="B686" s="34" t="str">
        <f>HYPERLINK(CONCAT("http://leetcode.com/problems/",Github!C$685), Github!B$685)</f>
        <v>Redundant Connection</v>
      </c>
      <c r="C686" s="17">
        <f>Github!F$685</f>
        <v>3454</v>
      </c>
      <c r="D686" s="17">
        <f>Github!G$685</f>
        <v>281</v>
      </c>
      <c r="E686" s="17">
        <f>Github!F$685+Github!G$685</f>
        <v>3735</v>
      </c>
      <c r="F686" s="18">
        <f t="shared" si="1"/>
        <v>12.29</v>
      </c>
      <c r="G686" s="17" t="str">
        <f>Github!H$685</f>
        <v>Algorithms</v>
      </c>
      <c r="H686" s="17" t="b">
        <f>Github!D$685</f>
        <v>0</v>
      </c>
      <c r="I686" s="17" t="str">
        <f>Github!E$685</f>
        <v>Medium</v>
      </c>
      <c r="J686" s="17" t="str">
        <f>ROUND(Github!N$685, 2)&amp;"%"</f>
        <v>0%</v>
      </c>
      <c r="K686" s="17">
        <f>Github!O$685</f>
        <v>60.99416884</v>
      </c>
      <c r="L686" s="17">
        <f>Github!P$685</f>
        <v>189013</v>
      </c>
    </row>
    <row r="687">
      <c r="A687" s="17">
        <f>Github!J$686</f>
        <v>685</v>
      </c>
      <c r="B687" s="34" t="str">
        <f>HYPERLINK(CONCAT("http://leetcode.com/problems/",Github!C$686), Github!B$686)</f>
        <v>Redundant Connection II</v>
      </c>
      <c r="C687" s="17">
        <f>Github!F$686</f>
        <v>1498</v>
      </c>
      <c r="D687" s="17">
        <f>Github!G$686</f>
        <v>264</v>
      </c>
      <c r="E687" s="17">
        <f>Github!F$686+Github!G$686</f>
        <v>1762</v>
      </c>
      <c r="F687" s="18">
        <f t="shared" si="1"/>
        <v>5.67</v>
      </c>
      <c r="G687" s="17" t="str">
        <f>Github!H$686</f>
        <v>Algorithms</v>
      </c>
      <c r="H687" s="17" t="b">
        <f>Github!D$686</f>
        <v>0</v>
      </c>
      <c r="I687" s="17" t="str">
        <f>Github!E$686</f>
        <v>Hard</v>
      </c>
      <c r="J687" s="17" t="str">
        <f>ROUND(Github!N$686, 2)&amp;"%"</f>
        <v>0%</v>
      </c>
      <c r="K687" s="17">
        <f>Github!O$686</f>
        <v>33.65035657</v>
      </c>
      <c r="L687" s="17">
        <f>Github!P$686</f>
        <v>50348</v>
      </c>
    </row>
    <row r="688">
      <c r="A688" s="17">
        <f>Github!J$687</f>
        <v>686</v>
      </c>
      <c r="B688" s="34" t="str">
        <f>HYPERLINK(CONCAT("http://leetcode.com/problems/",Github!C$687), Github!B$687)</f>
        <v>Repeated String Match</v>
      </c>
      <c r="C688" s="17">
        <f>Github!F$687</f>
        <v>1353</v>
      </c>
      <c r="D688" s="17">
        <f>Github!G$687</f>
        <v>891</v>
      </c>
      <c r="E688" s="17">
        <f>Github!F$687+Github!G$687</f>
        <v>2244</v>
      </c>
      <c r="F688" s="18">
        <f t="shared" si="1"/>
        <v>1.52</v>
      </c>
      <c r="G688" s="17" t="str">
        <f>Github!H$687</f>
        <v>Algorithms</v>
      </c>
      <c r="H688" s="17" t="b">
        <f>Github!D$687</f>
        <v>0</v>
      </c>
      <c r="I688" s="17" t="str">
        <f>Github!E$687</f>
        <v>Medium</v>
      </c>
      <c r="J688" s="17" t="str">
        <f>ROUND(Github!N$687, 2)&amp;"%"</f>
        <v>0%</v>
      </c>
      <c r="K688" s="17">
        <f>Github!O$687</f>
        <v>33.4796387</v>
      </c>
      <c r="L688" s="17">
        <f>Github!P$687</f>
        <v>118535</v>
      </c>
    </row>
    <row r="689">
      <c r="A689" s="17">
        <f>Github!J$688</f>
        <v>687</v>
      </c>
      <c r="B689" s="34" t="str">
        <f>HYPERLINK(CONCAT("http://leetcode.com/problems/",Github!C$688), Github!B$688)</f>
        <v>Longest Univalue Path</v>
      </c>
      <c r="C689" s="17">
        <f>Github!F$688</f>
        <v>2966</v>
      </c>
      <c r="D689" s="17">
        <f>Github!G$688</f>
        <v>604</v>
      </c>
      <c r="E689" s="17">
        <f>Github!F$688+Github!G$688</f>
        <v>3570</v>
      </c>
      <c r="F689" s="18">
        <f t="shared" si="1"/>
        <v>4.91</v>
      </c>
      <c r="G689" s="17" t="str">
        <f>Github!H$688</f>
        <v>Algorithms</v>
      </c>
      <c r="H689" s="17" t="b">
        <f>Github!D$688</f>
        <v>0</v>
      </c>
      <c r="I689" s="17" t="str">
        <f>Github!E$688</f>
        <v>Medium</v>
      </c>
      <c r="J689" s="17" t="str">
        <f>ROUND(Github!N$688, 2)&amp;"%"</f>
        <v>0%</v>
      </c>
      <c r="K689" s="17">
        <f>Github!O$688</f>
        <v>39.19016363</v>
      </c>
      <c r="L689" s="17">
        <f>Github!P$688</f>
        <v>137503</v>
      </c>
    </row>
    <row r="690">
      <c r="A690" s="17">
        <f>Github!J$689</f>
        <v>688</v>
      </c>
      <c r="B690" s="34" t="str">
        <f>HYPERLINK(CONCAT("http://leetcode.com/problems/",Github!C$689), Github!B$689)</f>
        <v>Knight Probability in Chessboard</v>
      </c>
      <c r="C690" s="17">
        <f>Github!F$689</f>
        <v>1857</v>
      </c>
      <c r="D690" s="17">
        <f>Github!G$689</f>
        <v>285</v>
      </c>
      <c r="E690" s="17">
        <f>Github!F$689+Github!G$689</f>
        <v>2142</v>
      </c>
      <c r="F690" s="18">
        <f t="shared" si="1"/>
        <v>6.52</v>
      </c>
      <c r="G690" s="17" t="str">
        <f>Github!H$689</f>
        <v>Algorithms</v>
      </c>
      <c r="H690" s="17" t="b">
        <f>Github!D$689</f>
        <v>0</v>
      </c>
      <c r="I690" s="17" t="str">
        <f>Github!E$689</f>
        <v>Medium</v>
      </c>
      <c r="J690" s="17" t="str">
        <f>ROUND(Github!N$689, 2)&amp;"%"</f>
        <v>0%</v>
      </c>
      <c r="K690" s="17">
        <f>Github!O$689</f>
        <v>51.48775494</v>
      </c>
      <c r="L690" s="17">
        <f>Github!P$689</f>
        <v>77452</v>
      </c>
    </row>
    <row r="691">
      <c r="A691" s="17">
        <f>Github!J$690</f>
        <v>689</v>
      </c>
      <c r="B691" s="34" t="str">
        <f>HYPERLINK(CONCAT("http://leetcode.com/problems/",Github!C$690), Github!B$690)</f>
        <v>Maximum Sum of 3 Non-Overlapping Subarrays</v>
      </c>
      <c r="C691" s="17">
        <f>Github!F$690</f>
        <v>1572</v>
      </c>
      <c r="D691" s="17">
        <f>Github!G$690</f>
        <v>95</v>
      </c>
      <c r="E691" s="17">
        <f>Github!F$690+Github!G$690</f>
        <v>1667</v>
      </c>
      <c r="F691" s="18">
        <f t="shared" si="1"/>
        <v>16.55</v>
      </c>
      <c r="G691" s="17" t="str">
        <f>Github!H$690</f>
        <v>Algorithms</v>
      </c>
      <c r="H691" s="17" t="b">
        <f>Github!D$690</f>
        <v>0</v>
      </c>
      <c r="I691" s="17" t="str">
        <f>Github!E$690</f>
        <v>Hard</v>
      </c>
      <c r="J691" s="17" t="str">
        <f>ROUND(Github!N$690, 2)&amp;"%"</f>
        <v>0%</v>
      </c>
      <c r="K691" s="17">
        <f>Github!O$690</f>
        <v>48.36139922</v>
      </c>
      <c r="L691" s="17">
        <f>Github!P$690</f>
        <v>61310</v>
      </c>
    </row>
    <row r="692">
      <c r="A692" s="17">
        <f>Github!J$691</f>
        <v>690</v>
      </c>
      <c r="B692" s="34" t="str">
        <f>HYPERLINK(CONCAT("http://leetcode.com/problems/",Github!C$691), Github!B$691)</f>
        <v>Employee Importance</v>
      </c>
      <c r="C692" s="17">
        <f>Github!F$691</f>
        <v>1515</v>
      </c>
      <c r="D692" s="17">
        <f>Github!G$691</f>
        <v>1216</v>
      </c>
      <c r="E692" s="17">
        <f>Github!F$691+Github!G$691</f>
        <v>2731</v>
      </c>
      <c r="F692" s="18">
        <f t="shared" si="1"/>
        <v>1.25</v>
      </c>
      <c r="G692" s="17" t="str">
        <f>Github!H$691</f>
        <v>Algorithms</v>
      </c>
      <c r="H692" s="17" t="b">
        <f>Github!D$691</f>
        <v>0</v>
      </c>
      <c r="I692" s="17" t="str">
        <f>Github!E$691</f>
        <v>Medium</v>
      </c>
      <c r="J692" s="17" t="str">
        <f>ROUND(Github!N$691, 2)&amp;"%"</f>
        <v>0%</v>
      </c>
      <c r="K692" s="17">
        <f>Github!O$691</f>
        <v>63.58450552</v>
      </c>
      <c r="L692" s="17">
        <f>Github!P$691</f>
        <v>168199</v>
      </c>
    </row>
    <row r="693">
      <c r="A693" s="17">
        <f>Github!J$692</f>
        <v>691</v>
      </c>
      <c r="B693" s="34" t="str">
        <f>HYPERLINK(CONCAT("http://leetcode.com/problems/",Github!C$692), Github!B$692)</f>
        <v>Stickers to Spell Word</v>
      </c>
      <c r="C693" s="17">
        <f>Github!F$692</f>
        <v>695</v>
      </c>
      <c r="D693" s="17">
        <f>Github!G$692</f>
        <v>67</v>
      </c>
      <c r="E693" s="17">
        <f>Github!F$692+Github!G$692</f>
        <v>762</v>
      </c>
      <c r="F693" s="18">
        <f t="shared" si="1"/>
        <v>10.37</v>
      </c>
      <c r="G693" s="17" t="str">
        <f>Github!H$692</f>
        <v>Algorithms</v>
      </c>
      <c r="H693" s="17" t="b">
        <f>Github!D$692</f>
        <v>0</v>
      </c>
      <c r="I693" s="17" t="str">
        <f>Github!E$692</f>
        <v>Hard</v>
      </c>
      <c r="J693" s="17" t="str">
        <f>ROUND(Github!N$692, 2)&amp;"%"</f>
        <v>0%</v>
      </c>
      <c r="K693" s="17">
        <f>Github!O$692</f>
        <v>46.73928668</v>
      </c>
      <c r="L693" s="17">
        <f>Github!P$692</f>
        <v>29263</v>
      </c>
    </row>
    <row r="694">
      <c r="A694" s="17">
        <f>Github!J$693</f>
        <v>692</v>
      </c>
      <c r="B694" s="34" t="str">
        <f>HYPERLINK(CONCAT("http://leetcode.com/problems/",Github!C$693), Github!B$693)</f>
        <v>Top K Frequent Words</v>
      </c>
      <c r="C694" s="17">
        <f>Github!F$693</f>
        <v>4173</v>
      </c>
      <c r="D694" s="17">
        <f>Github!G$693</f>
        <v>240</v>
      </c>
      <c r="E694" s="17">
        <f>Github!F$693+Github!G$693</f>
        <v>4413</v>
      </c>
      <c r="F694" s="18">
        <f t="shared" si="1"/>
        <v>17.39</v>
      </c>
      <c r="G694" s="17" t="str">
        <f>Github!H$693</f>
        <v>Algorithms</v>
      </c>
      <c r="H694" s="17" t="b">
        <f>Github!D$693</f>
        <v>0</v>
      </c>
      <c r="I694" s="17" t="str">
        <f>Github!E$693</f>
        <v>Medium</v>
      </c>
      <c r="J694" s="17" t="str">
        <f>ROUND(Github!N$693, 2)&amp;"%"</f>
        <v>0%</v>
      </c>
      <c r="K694" s="17">
        <f>Github!O$693</f>
        <v>54.22262941</v>
      </c>
      <c r="L694" s="17">
        <f>Github!P$693</f>
        <v>360426</v>
      </c>
    </row>
    <row r="695">
      <c r="A695" s="17">
        <f>Github!J$694</f>
        <v>693</v>
      </c>
      <c r="B695" s="34" t="str">
        <f>HYPERLINK(CONCAT("http://leetcode.com/problems/",Github!C$694), Github!B$694)</f>
        <v>Binary Number with Alternating Bits</v>
      </c>
      <c r="C695" s="17">
        <f>Github!F$694</f>
        <v>875</v>
      </c>
      <c r="D695" s="17">
        <f>Github!G$694</f>
        <v>101</v>
      </c>
      <c r="E695" s="17">
        <f>Github!F$694+Github!G$694</f>
        <v>976</v>
      </c>
      <c r="F695" s="18">
        <f t="shared" si="1"/>
        <v>8.66</v>
      </c>
      <c r="G695" s="17" t="str">
        <f>Github!H$694</f>
        <v>Algorithms</v>
      </c>
      <c r="H695" s="17" t="b">
        <f>Github!D$694</f>
        <v>0</v>
      </c>
      <c r="I695" s="17" t="str">
        <f>Github!E$694</f>
        <v>Easy</v>
      </c>
      <c r="J695" s="17" t="str">
        <f>ROUND(Github!N$694, 2)&amp;"%"</f>
        <v>0%</v>
      </c>
      <c r="K695" s="17">
        <f>Github!O$694</f>
        <v>60.72522291</v>
      </c>
      <c r="L695" s="17">
        <f>Github!P$694</f>
        <v>89628</v>
      </c>
    </row>
    <row r="696">
      <c r="A696" s="17">
        <f>Github!J$695</f>
        <v>694</v>
      </c>
      <c r="B696" s="34" t="str">
        <f>HYPERLINK(CONCAT("http://leetcode.com/problems/",Github!C$695), Github!B$695)</f>
        <v>Number of Distinct Islands</v>
      </c>
      <c r="C696" s="17">
        <f>Github!F$695</f>
        <v>1671</v>
      </c>
      <c r="D696" s="17">
        <f>Github!G$695</f>
        <v>95</v>
      </c>
      <c r="E696" s="17">
        <f>Github!F$695+Github!G$695</f>
        <v>1766</v>
      </c>
      <c r="F696" s="18">
        <f t="shared" si="1"/>
        <v>17.59</v>
      </c>
      <c r="G696" s="17" t="str">
        <f>Github!H$695</f>
        <v>Algorithms</v>
      </c>
      <c r="H696" s="17" t="b">
        <f>Github!D$695</f>
        <v>1</v>
      </c>
      <c r="I696" s="17" t="str">
        <f>Github!E$695</f>
        <v>Medium</v>
      </c>
      <c r="J696" s="17" t="str">
        <f>ROUND(Github!N$695, 2)&amp;"%"</f>
        <v>1%</v>
      </c>
      <c r="K696" s="17">
        <f>Github!O$695</f>
        <v>59.51157466</v>
      </c>
      <c r="L696" s="17">
        <f>Github!P$695</f>
        <v>116970</v>
      </c>
    </row>
    <row r="697">
      <c r="A697" s="17">
        <f>Github!J$696</f>
        <v>695</v>
      </c>
      <c r="B697" s="34" t="str">
        <f>HYPERLINK(CONCAT("http://leetcode.com/problems/",Github!C$696), Github!B$696)</f>
        <v>Max Area of Island</v>
      </c>
      <c r="C697" s="17">
        <f>Github!F$696</f>
        <v>5504</v>
      </c>
      <c r="D697" s="17">
        <f>Github!G$696</f>
        <v>142</v>
      </c>
      <c r="E697" s="17">
        <f>Github!F$696+Github!G$696</f>
        <v>5646</v>
      </c>
      <c r="F697" s="18">
        <f t="shared" si="1"/>
        <v>38.76</v>
      </c>
      <c r="G697" s="17" t="str">
        <f>Github!H$696</f>
        <v>Algorithms</v>
      </c>
      <c r="H697" s="17" t="b">
        <f>Github!D$696</f>
        <v>0</v>
      </c>
      <c r="I697" s="17" t="str">
        <f>Github!E$696</f>
        <v>Medium</v>
      </c>
      <c r="J697" s="17" t="str">
        <f>ROUND(Github!N$696, 2)&amp;"%"</f>
        <v>0%</v>
      </c>
      <c r="K697" s="17">
        <f>Github!O$696</f>
        <v>69.17993056</v>
      </c>
      <c r="L697" s="17">
        <f>Github!P$696</f>
        <v>427582</v>
      </c>
    </row>
    <row r="698">
      <c r="A698" s="17">
        <f>Github!J$697</f>
        <v>696</v>
      </c>
      <c r="B698" s="34" t="str">
        <f>HYPERLINK(CONCAT("http://leetcode.com/problems/",Github!C$697), Github!B$697)</f>
        <v>Count Binary Substrings</v>
      </c>
      <c r="C698" s="17">
        <f>Github!F$697</f>
        <v>2678</v>
      </c>
      <c r="D698" s="17">
        <f>Github!G$697</f>
        <v>562</v>
      </c>
      <c r="E698" s="17">
        <f>Github!F$697+Github!G$697</f>
        <v>3240</v>
      </c>
      <c r="F698" s="18">
        <f t="shared" si="1"/>
        <v>4.77</v>
      </c>
      <c r="G698" s="17" t="str">
        <f>Github!H$697</f>
        <v>Algorithms</v>
      </c>
      <c r="H698" s="17" t="b">
        <f>Github!D$697</f>
        <v>0</v>
      </c>
      <c r="I698" s="17" t="str">
        <f>Github!E$697</f>
        <v>Easy</v>
      </c>
      <c r="J698" s="17" t="str">
        <f>ROUND(Github!N$697, 2)&amp;"%"</f>
        <v>0%</v>
      </c>
      <c r="K698" s="17">
        <f>Github!O$697</f>
        <v>64.56229704</v>
      </c>
      <c r="L698" s="17">
        <f>Github!P$697</f>
        <v>138170</v>
      </c>
    </row>
    <row r="699">
      <c r="A699" s="17">
        <f>Github!J$698</f>
        <v>697</v>
      </c>
      <c r="B699" s="34" t="str">
        <f>HYPERLINK(CONCAT("http://leetcode.com/problems/",Github!C$698), Github!B$698)</f>
        <v>Degree of an Array</v>
      </c>
      <c r="C699" s="17">
        <f>Github!F$698</f>
        <v>1894</v>
      </c>
      <c r="D699" s="17">
        <f>Github!G$698</f>
        <v>1246</v>
      </c>
      <c r="E699" s="17">
        <f>Github!F$698+Github!G$698</f>
        <v>3140</v>
      </c>
      <c r="F699" s="18">
        <f t="shared" si="1"/>
        <v>1.52</v>
      </c>
      <c r="G699" s="17" t="str">
        <f>Github!H$698</f>
        <v>Algorithms</v>
      </c>
      <c r="H699" s="17" t="b">
        <f>Github!D$698</f>
        <v>0</v>
      </c>
      <c r="I699" s="17" t="str">
        <f>Github!E$698</f>
        <v>Easy</v>
      </c>
      <c r="J699" s="17" t="str">
        <f>ROUND(Github!N$698, 2)&amp;"%"</f>
        <v>0%</v>
      </c>
      <c r="K699" s="17">
        <f>Github!O$698</f>
        <v>55.57576156</v>
      </c>
      <c r="L699" s="17">
        <f>Github!P$698</f>
        <v>143635</v>
      </c>
    </row>
    <row r="700">
      <c r="A700" s="17">
        <f>Github!J$699</f>
        <v>698</v>
      </c>
      <c r="B700" s="34" t="str">
        <f>HYPERLINK(CONCAT("http://leetcode.com/problems/",Github!C$699), Github!B$699)</f>
        <v>Partition to K Equal Sum Subsets</v>
      </c>
      <c r="C700" s="17">
        <f>Github!F$699</f>
        <v>4513</v>
      </c>
      <c r="D700" s="17">
        <f>Github!G$699</f>
        <v>280</v>
      </c>
      <c r="E700" s="17">
        <f>Github!F$699+Github!G$699</f>
        <v>4793</v>
      </c>
      <c r="F700" s="18">
        <f t="shared" si="1"/>
        <v>16.12</v>
      </c>
      <c r="G700" s="17" t="str">
        <f>Github!H$699</f>
        <v>Algorithms</v>
      </c>
      <c r="H700" s="17" t="b">
        <f>Github!D$699</f>
        <v>0</v>
      </c>
      <c r="I700" s="17" t="str">
        <f>Github!E$699</f>
        <v>Medium</v>
      </c>
      <c r="J700" s="17" t="str">
        <f>ROUND(Github!N$699, 2)&amp;"%"</f>
        <v>0%</v>
      </c>
      <c r="K700" s="17">
        <f>Github!O$699</f>
        <v>44.83264197</v>
      </c>
      <c r="L700" s="17">
        <f>Github!P$699</f>
        <v>188053</v>
      </c>
    </row>
    <row r="701">
      <c r="A701" s="17">
        <f>Github!J$700</f>
        <v>699</v>
      </c>
      <c r="B701" s="34" t="str">
        <f>HYPERLINK(CONCAT("http://leetcode.com/problems/",Github!C$700), Github!B$700)</f>
        <v>Falling Squares</v>
      </c>
      <c r="C701" s="17">
        <f>Github!F$700</f>
        <v>436</v>
      </c>
      <c r="D701" s="17">
        <f>Github!G$700</f>
        <v>68</v>
      </c>
      <c r="E701" s="17">
        <f>Github!F$700+Github!G$700</f>
        <v>504</v>
      </c>
      <c r="F701" s="18">
        <f t="shared" si="1"/>
        <v>6.41</v>
      </c>
      <c r="G701" s="17" t="str">
        <f>Github!H$700</f>
        <v>Algorithms</v>
      </c>
      <c r="H701" s="17" t="b">
        <f>Github!D$700</f>
        <v>0</v>
      </c>
      <c r="I701" s="17" t="str">
        <f>Github!E$700</f>
        <v>Hard</v>
      </c>
      <c r="J701" s="17" t="str">
        <f>ROUND(Github!N$700, 2)&amp;"%"</f>
        <v>0%</v>
      </c>
      <c r="K701" s="17">
        <f>Github!O$700</f>
        <v>43.67739566</v>
      </c>
      <c r="L701" s="17">
        <f>Github!P$700</f>
        <v>19025</v>
      </c>
    </row>
    <row r="702">
      <c r="A702" s="17">
        <f>Github!J$701</f>
        <v>700</v>
      </c>
      <c r="B702" s="34" t="str">
        <f>HYPERLINK(CONCAT("http://leetcode.com/problems/",Github!C$701), Github!B$701)</f>
        <v>Search in a Binary Search Tree</v>
      </c>
      <c r="C702" s="17">
        <f>Github!F$701</f>
        <v>2577</v>
      </c>
      <c r="D702" s="17">
        <f>Github!G$701</f>
        <v>141</v>
      </c>
      <c r="E702" s="17">
        <f>Github!F$701+Github!G$701</f>
        <v>2718</v>
      </c>
      <c r="F702" s="18">
        <f t="shared" si="1"/>
        <v>18.28</v>
      </c>
      <c r="G702" s="17" t="str">
        <f>Github!H$701</f>
        <v>Algorithms</v>
      </c>
      <c r="H702" s="17" t="b">
        <f>Github!D$701</f>
        <v>0</v>
      </c>
      <c r="I702" s="17" t="str">
        <f>Github!E$701</f>
        <v>Easy</v>
      </c>
      <c r="J702" s="17" t="str">
        <f>ROUND(Github!N$701, 2)&amp;"%"</f>
        <v>0%</v>
      </c>
      <c r="K702" s="17">
        <f>Github!O$701</f>
        <v>75.18324062</v>
      </c>
      <c r="L702" s="17">
        <f>Github!P$701</f>
        <v>404238</v>
      </c>
    </row>
    <row r="703">
      <c r="A703" s="17">
        <f>Github!J$702</f>
        <v>701</v>
      </c>
      <c r="B703" s="34" t="str">
        <f>HYPERLINK(CONCAT("http://leetcode.com/problems/",Github!C$702), Github!B$702)</f>
        <v>Insert into a Binary Search Tree</v>
      </c>
      <c r="C703" s="17">
        <f>Github!F$702</f>
        <v>3094</v>
      </c>
      <c r="D703" s="17">
        <f>Github!G$702</f>
        <v>133</v>
      </c>
      <c r="E703" s="17">
        <f>Github!F$702+Github!G$702</f>
        <v>3227</v>
      </c>
      <c r="F703" s="18">
        <f t="shared" si="1"/>
        <v>23.26</v>
      </c>
      <c r="G703" s="17" t="str">
        <f>Github!H$702</f>
        <v>Algorithms</v>
      </c>
      <c r="H703" s="17" t="b">
        <f>Github!D$702</f>
        <v>0</v>
      </c>
      <c r="I703" s="17" t="str">
        <f>Github!E$702</f>
        <v>Medium</v>
      </c>
      <c r="J703" s="17" t="str">
        <f>ROUND(Github!N$702, 2)&amp;"%"</f>
        <v>0%</v>
      </c>
      <c r="K703" s="17">
        <f>Github!O$702</f>
        <v>74.96979739</v>
      </c>
      <c r="L703" s="17">
        <f>Github!P$702</f>
        <v>287311</v>
      </c>
    </row>
    <row r="704">
      <c r="A704" s="17">
        <f>Github!J$703</f>
        <v>702</v>
      </c>
      <c r="B704" s="34" t="str">
        <f>HYPERLINK(CONCAT("http://leetcode.com/problems/",Github!C$703), Github!B$703)</f>
        <v>Search in a Sorted Array of Unknown Size</v>
      </c>
      <c r="C704" s="17">
        <f>Github!F$703</f>
        <v>674</v>
      </c>
      <c r="D704" s="17">
        <f>Github!G$703</f>
        <v>33</v>
      </c>
      <c r="E704" s="17">
        <f>Github!F$703+Github!G$703</f>
        <v>707</v>
      </c>
      <c r="F704" s="18">
        <f t="shared" si="1"/>
        <v>20.42</v>
      </c>
      <c r="G704" s="17" t="str">
        <f>Github!H$703</f>
        <v>Algorithms</v>
      </c>
      <c r="H704" s="17" t="b">
        <f>Github!D$703</f>
        <v>1</v>
      </c>
      <c r="I704" s="17" t="str">
        <f>Github!E$703</f>
        <v>Medium</v>
      </c>
      <c r="J704" s="17" t="str">
        <f>ROUND(Github!N$703, 2)&amp;"%"</f>
        <v>0%</v>
      </c>
      <c r="K704" s="17">
        <f>Github!O$703</f>
        <v>70.56494987</v>
      </c>
      <c r="L704" s="17">
        <f>Github!P$703</f>
        <v>65599</v>
      </c>
    </row>
    <row r="705">
      <c r="A705" s="17">
        <f>Github!J$704</f>
        <v>703</v>
      </c>
      <c r="B705" s="34" t="str">
        <f>HYPERLINK(CONCAT("http://leetcode.com/problems/",Github!C$704), Github!B$704)</f>
        <v>Kth Largest Element in a Stream</v>
      </c>
      <c r="C705" s="17">
        <f>Github!F$704</f>
        <v>1992</v>
      </c>
      <c r="D705" s="17">
        <f>Github!G$704</f>
        <v>1162</v>
      </c>
      <c r="E705" s="17">
        <f>Github!F$704+Github!G$704</f>
        <v>3154</v>
      </c>
      <c r="F705" s="18">
        <f t="shared" si="1"/>
        <v>1.71</v>
      </c>
      <c r="G705" s="17" t="str">
        <f>Github!H$704</f>
        <v>Algorithms</v>
      </c>
      <c r="H705" s="17" t="b">
        <f>Github!D$704</f>
        <v>0</v>
      </c>
      <c r="I705" s="17" t="str">
        <f>Github!E$704</f>
        <v>Easy</v>
      </c>
      <c r="J705" s="17" t="str">
        <f>ROUND(Github!N$704, 2)&amp;"%"</f>
        <v>0%</v>
      </c>
      <c r="K705" s="17">
        <f>Github!O$704</f>
        <v>52.65937119</v>
      </c>
      <c r="L705" s="17">
        <f>Github!P$704</f>
        <v>188774</v>
      </c>
    </row>
    <row r="706">
      <c r="A706" s="17">
        <f>Github!J$705</f>
        <v>704</v>
      </c>
      <c r="B706" s="34" t="str">
        <f>HYPERLINK(CONCAT("http://leetcode.com/problems/",Github!C$705), Github!B$705)</f>
        <v>Binary Search</v>
      </c>
      <c r="C706" s="17">
        <f>Github!F$705</f>
        <v>3695</v>
      </c>
      <c r="D706" s="17">
        <f>Github!G$705</f>
        <v>94</v>
      </c>
      <c r="E706" s="17">
        <f>Github!F$705+Github!G$705</f>
        <v>3789</v>
      </c>
      <c r="F706" s="18">
        <f t="shared" si="1"/>
        <v>39.31</v>
      </c>
      <c r="G706" s="17" t="str">
        <f>Github!H$705</f>
        <v>Algorithms</v>
      </c>
      <c r="H706" s="17" t="b">
        <f>Github!D$705</f>
        <v>0</v>
      </c>
      <c r="I706" s="17" t="str">
        <f>Github!E$705</f>
        <v>Easy</v>
      </c>
      <c r="J706" s="17" t="str">
        <f>ROUND(Github!N$705, 2)&amp;"%"</f>
        <v>0%</v>
      </c>
      <c r="K706" s="17">
        <f>Github!O$705</f>
        <v>54.58183834</v>
      </c>
      <c r="L706" s="17">
        <f>Github!P$705</f>
        <v>693029</v>
      </c>
    </row>
    <row r="707">
      <c r="A707" s="17">
        <f>Github!J$706</f>
        <v>705</v>
      </c>
      <c r="B707" s="34" t="str">
        <f>HYPERLINK(CONCAT("http://leetcode.com/problems/",Github!C$706), Github!B$706)</f>
        <v>Design HashSet</v>
      </c>
      <c r="C707" s="17">
        <f>Github!F$706</f>
        <v>1201</v>
      </c>
      <c r="D707" s="17">
        <f>Github!G$706</f>
        <v>151</v>
      </c>
      <c r="E707" s="17">
        <f>Github!F$706+Github!G$706</f>
        <v>1352</v>
      </c>
      <c r="F707" s="18">
        <f t="shared" si="1"/>
        <v>7.95</v>
      </c>
      <c r="G707" s="17" t="str">
        <f>Github!H$706</f>
        <v>Algorithms</v>
      </c>
      <c r="H707" s="17" t="b">
        <f>Github!D$706</f>
        <v>0</v>
      </c>
      <c r="I707" s="17" t="str">
        <f>Github!E$706</f>
        <v>Easy</v>
      </c>
      <c r="J707" s="17" t="str">
        <f>ROUND(Github!N$706, 2)&amp;"%"</f>
        <v>0%</v>
      </c>
      <c r="K707" s="17">
        <f>Github!O$706</f>
        <v>63.80537478</v>
      </c>
      <c r="L707" s="17">
        <f>Github!P$706</f>
        <v>167548</v>
      </c>
    </row>
    <row r="708">
      <c r="A708" s="17">
        <f>Github!J$707</f>
        <v>706</v>
      </c>
      <c r="B708" s="34" t="str">
        <f>HYPERLINK(CONCAT("http://leetcode.com/problems/",Github!C$707), Github!B$707)</f>
        <v>Design HashMap</v>
      </c>
      <c r="C708" s="17">
        <f>Github!F$707</f>
        <v>2457</v>
      </c>
      <c r="D708" s="17">
        <f>Github!G$707</f>
        <v>262</v>
      </c>
      <c r="E708" s="17">
        <f>Github!F$707+Github!G$707</f>
        <v>2719</v>
      </c>
      <c r="F708" s="18">
        <f t="shared" si="1"/>
        <v>9.38</v>
      </c>
      <c r="G708" s="17" t="str">
        <f>Github!H$707</f>
        <v>Algorithms</v>
      </c>
      <c r="H708" s="17" t="b">
        <f>Github!D$707</f>
        <v>0</v>
      </c>
      <c r="I708" s="17" t="str">
        <f>Github!E$707</f>
        <v>Easy</v>
      </c>
      <c r="J708" s="17" t="str">
        <f>ROUND(Github!N$707, 2)&amp;"%"</f>
        <v>0%</v>
      </c>
      <c r="K708" s="17">
        <f>Github!O$707</f>
        <v>63.77553558</v>
      </c>
      <c r="L708" s="17">
        <f>Github!P$707</f>
        <v>269318</v>
      </c>
    </row>
    <row r="709">
      <c r="A709" s="17">
        <f>Github!J$708</f>
        <v>707</v>
      </c>
      <c r="B709" s="34" t="str">
        <f>HYPERLINK(CONCAT("http://leetcode.com/problems/",Github!C$708), Github!B$708)</f>
        <v>Design Linked List</v>
      </c>
      <c r="C709" s="17">
        <f>Github!F$708</f>
        <v>1355</v>
      </c>
      <c r="D709" s="17">
        <f>Github!G$708</f>
        <v>1132</v>
      </c>
      <c r="E709" s="17">
        <f>Github!F$708+Github!G$708</f>
        <v>2487</v>
      </c>
      <c r="F709" s="18">
        <f t="shared" si="1"/>
        <v>1.2</v>
      </c>
      <c r="G709" s="17" t="str">
        <f>Github!H$708</f>
        <v>Algorithms</v>
      </c>
      <c r="H709" s="17" t="b">
        <f>Github!D$708</f>
        <v>0</v>
      </c>
      <c r="I709" s="17" t="str">
        <f>Github!E$708</f>
        <v>Medium</v>
      </c>
      <c r="J709" s="17" t="str">
        <f>ROUND(Github!N$708, 2)&amp;"%"</f>
        <v>0%</v>
      </c>
      <c r="K709" s="17">
        <f>Github!O$708</f>
        <v>26.86017517</v>
      </c>
      <c r="L709" s="17">
        <f>Github!P$708</f>
        <v>174828</v>
      </c>
    </row>
    <row r="710">
      <c r="A710" s="17">
        <f>Github!J$709</f>
        <v>708</v>
      </c>
      <c r="B710" s="34" t="str">
        <f>HYPERLINK(CONCAT("http://leetcode.com/problems/",Github!C$709), Github!B$709)</f>
        <v>Insert into a Sorted Circular Linked List</v>
      </c>
      <c r="C710" s="17">
        <f>Github!F$709</f>
        <v>867</v>
      </c>
      <c r="D710" s="17">
        <f>Github!G$709</f>
        <v>580</v>
      </c>
      <c r="E710" s="17">
        <f>Github!F$709+Github!G$709</f>
        <v>1447</v>
      </c>
      <c r="F710" s="18">
        <f t="shared" si="1"/>
        <v>1.49</v>
      </c>
      <c r="G710" s="17" t="str">
        <f>Github!H$709</f>
        <v>Algorithms</v>
      </c>
      <c r="H710" s="17" t="b">
        <f>Github!D$709</f>
        <v>1</v>
      </c>
      <c r="I710" s="17" t="str">
        <f>Github!E$709</f>
        <v>Medium</v>
      </c>
      <c r="J710" s="17" t="str">
        <f>ROUND(Github!N$709, 2)&amp;"%"</f>
        <v>0%</v>
      </c>
      <c r="K710" s="17">
        <f>Github!O$709</f>
        <v>34.17964962</v>
      </c>
      <c r="L710" s="17">
        <f>Github!P$709</f>
        <v>103964</v>
      </c>
    </row>
    <row r="711">
      <c r="A711" s="17">
        <f>Github!J$710</f>
        <v>709</v>
      </c>
      <c r="B711" s="34" t="str">
        <f>HYPERLINK(CONCAT("http://leetcode.com/problems/",Github!C$710), Github!B$710)</f>
        <v>To Lower Case</v>
      </c>
      <c r="C711" s="17">
        <f>Github!F$710</f>
        <v>1010</v>
      </c>
      <c r="D711" s="17">
        <f>Github!G$710</f>
        <v>2262</v>
      </c>
      <c r="E711" s="17">
        <f>Github!F$710+Github!G$710</f>
        <v>3272</v>
      </c>
      <c r="F711" s="18">
        <f t="shared" si="1"/>
        <v>0.45</v>
      </c>
      <c r="G711" s="17" t="str">
        <f>Github!H$710</f>
        <v>Algorithms</v>
      </c>
      <c r="H711" s="17" t="b">
        <f>Github!D$710</f>
        <v>0</v>
      </c>
      <c r="I711" s="17" t="str">
        <f>Github!E$710</f>
        <v>Easy</v>
      </c>
      <c r="J711" s="17" t="str">
        <f>ROUND(Github!N$710, 2)&amp;"%"</f>
        <v>0%</v>
      </c>
      <c r="K711" s="17">
        <f>Github!O$710</f>
        <v>81.15645331</v>
      </c>
      <c r="L711" s="17">
        <f>Github!P$710</f>
        <v>327443</v>
      </c>
    </row>
    <row r="712">
      <c r="A712" s="17">
        <f>Github!J$711</f>
        <v>710</v>
      </c>
      <c r="B712" s="34" t="str">
        <f>HYPERLINK(CONCAT("http://leetcode.com/problems/",Github!C$711), Github!B$711)</f>
        <v>Random Pick with Blacklist</v>
      </c>
      <c r="C712" s="17">
        <f>Github!F$711</f>
        <v>583</v>
      </c>
      <c r="D712" s="17">
        <f>Github!G$711</f>
        <v>89</v>
      </c>
      <c r="E712" s="17">
        <f>Github!F$711+Github!G$711</f>
        <v>672</v>
      </c>
      <c r="F712" s="18">
        <f t="shared" si="1"/>
        <v>6.55</v>
      </c>
      <c r="G712" s="17" t="str">
        <f>Github!H$711</f>
        <v>Algorithms</v>
      </c>
      <c r="H712" s="17" t="b">
        <f>Github!D$711</f>
        <v>0</v>
      </c>
      <c r="I712" s="17" t="str">
        <f>Github!E$711</f>
        <v>Hard</v>
      </c>
      <c r="J712" s="17" t="str">
        <f>ROUND(Github!N$711, 2)&amp;"%"</f>
        <v>0%</v>
      </c>
      <c r="K712" s="17">
        <f>Github!O$711</f>
        <v>33.26144471</v>
      </c>
      <c r="L712" s="17">
        <f>Github!P$711</f>
        <v>26526</v>
      </c>
    </row>
    <row r="713">
      <c r="A713" s="17">
        <f>Github!J$712</f>
        <v>711</v>
      </c>
      <c r="B713" s="34" t="str">
        <f>HYPERLINK(CONCAT("http://leetcode.com/problems/",Github!C$712), Github!B$712)</f>
        <v>Number of Distinct Islands II</v>
      </c>
      <c r="C713" s="17">
        <f>Github!F$712</f>
        <v>208</v>
      </c>
      <c r="D713" s="17">
        <f>Github!G$712</f>
        <v>214</v>
      </c>
      <c r="E713" s="17">
        <f>Github!F$712+Github!G$712</f>
        <v>422</v>
      </c>
      <c r="F713" s="18">
        <f t="shared" si="1"/>
        <v>0.97</v>
      </c>
      <c r="G713" s="17" t="str">
        <f>Github!H$712</f>
        <v>Algorithms</v>
      </c>
      <c r="H713" s="17" t="b">
        <f>Github!D$712</f>
        <v>1</v>
      </c>
      <c r="I713" s="17" t="str">
        <f>Github!E$712</f>
        <v>Hard</v>
      </c>
      <c r="J713" s="17" t="str">
        <f>ROUND(Github!N$712, 2)&amp;"%"</f>
        <v>0%</v>
      </c>
      <c r="K713" s="17">
        <f>Github!O$712</f>
        <v>50.87752525</v>
      </c>
      <c r="L713" s="17">
        <f>Github!P$712</f>
        <v>8059</v>
      </c>
    </row>
    <row r="714">
      <c r="A714" s="17">
        <f>Github!J$713</f>
        <v>712</v>
      </c>
      <c r="B714" s="34" t="str">
        <f>HYPERLINK(CONCAT("http://leetcode.com/problems/",Github!C$713), Github!B$713)</f>
        <v>Minimum ASCII Delete Sum for Two Strings</v>
      </c>
      <c r="C714" s="17">
        <f>Github!F$713</f>
        <v>1827</v>
      </c>
      <c r="D714" s="17">
        <f>Github!G$713</f>
        <v>61</v>
      </c>
      <c r="E714" s="17">
        <f>Github!F$713+Github!G$713</f>
        <v>1888</v>
      </c>
      <c r="F714" s="18">
        <f t="shared" si="1"/>
        <v>29.95</v>
      </c>
      <c r="G714" s="17" t="str">
        <f>Github!H$713</f>
        <v>Algorithms</v>
      </c>
      <c r="H714" s="17" t="b">
        <f>Github!D$713</f>
        <v>0</v>
      </c>
      <c r="I714" s="17" t="str">
        <f>Github!E$713</f>
        <v>Medium</v>
      </c>
      <c r="J714" s="17" t="str">
        <f>ROUND(Github!N$713, 2)&amp;"%"</f>
        <v>0%</v>
      </c>
      <c r="K714" s="17">
        <f>Github!O$713</f>
        <v>61.35929705</v>
      </c>
      <c r="L714" s="17">
        <f>Github!P$713</f>
        <v>59775</v>
      </c>
    </row>
    <row r="715">
      <c r="A715" s="17">
        <f>Github!J$714</f>
        <v>713</v>
      </c>
      <c r="B715" s="34" t="str">
        <f>HYPERLINK(CONCAT("http://leetcode.com/problems/",Github!C$714), Github!B$714)</f>
        <v>Subarray Product Less Than K</v>
      </c>
      <c r="C715" s="17">
        <f>Github!F$714</f>
        <v>3667</v>
      </c>
      <c r="D715" s="17">
        <f>Github!G$714</f>
        <v>127</v>
      </c>
      <c r="E715" s="17">
        <f>Github!F$714+Github!G$714</f>
        <v>3794</v>
      </c>
      <c r="F715" s="18">
        <f t="shared" si="1"/>
        <v>28.87</v>
      </c>
      <c r="G715" s="17" t="str">
        <f>Github!H$714</f>
        <v>Algorithms</v>
      </c>
      <c r="H715" s="17" t="b">
        <f>Github!D$714</f>
        <v>0</v>
      </c>
      <c r="I715" s="17" t="str">
        <f>Github!E$714</f>
        <v>Medium</v>
      </c>
      <c r="J715" s="17" t="str">
        <f>ROUND(Github!N$714, 2)&amp;"%"</f>
        <v>0%</v>
      </c>
      <c r="K715" s="17">
        <f>Github!O$714</f>
        <v>43.30705093</v>
      </c>
      <c r="L715" s="17">
        <f>Github!P$714</f>
        <v>152907</v>
      </c>
    </row>
    <row r="716">
      <c r="A716" s="17">
        <f>Github!J$715</f>
        <v>714</v>
      </c>
      <c r="B716" s="34" t="str">
        <f>HYPERLINK(CONCAT("http://leetcode.com/problems/",Github!C$715), Github!B$715)</f>
        <v>Best Time to Buy and Sell Stock with Transaction Fee</v>
      </c>
      <c r="C716" s="17">
        <f>Github!F$715</f>
        <v>3692</v>
      </c>
      <c r="D716" s="17">
        <f>Github!G$715</f>
        <v>98</v>
      </c>
      <c r="E716" s="17">
        <f>Github!F$715+Github!G$715</f>
        <v>3790</v>
      </c>
      <c r="F716" s="18">
        <f t="shared" si="1"/>
        <v>37.67</v>
      </c>
      <c r="G716" s="17" t="str">
        <f>Github!H$715</f>
        <v>Algorithms</v>
      </c>
      <c r="H716" s="17" t="b">
        <f>Github!D$715</f>
        <v>0</v>
      </c>
      <c r="I716" s="17" t="str">
        <f>Github!E$715</f>
        <v>Medium</v>
      </c>
      <c r="J716" s="17" t="str">
        <f>ROUND(Github!N$715, 2)&amp;"%"</f>
        <v>0%</v>
      </c>
      <c r="K716" s="17">
        <f>Github!O$715</f>
        <v>61.66155847</v>
      </c>
      <c r="L716" s="17">
        <f>Github!P$715</f>
        <v>155515</v>
      </c>
    </row>
    <row r="717">
      <c r="A717" s="17">
        <f>Github!J$716</f>
        <v>715</v>
      </c>
      <c r="B717" s="34" t="str">
        <f>HYPERLINK(CONCAT("http://leetcode.com/problems/",Github!C$716), Github!B$716)</f>
        <v>Range Module</v>
      </c>
      <c r="C717" s="17">
        <f>Github!F$716</f>
        <v>880</v>
      </c>
      <c r="D717" s="17">
        <f>Github!G$716</f>
        <v>68</v>
      </c>
      <c r="E717" s="17">
        <f>Github!F$716+Github!G$716</f>
        <v>948</v>
      </c>
      <c r="F717" s="18">
        <f t="shared" si="1"/>
        <v>12.94</v>
      </c>
      <c r="G717" s="17" t="str">
        <f>Github!H$716</f>
        <v>Algorithms</v>
      </c>
      <c r="H717" s="17" t="b">
        <f>Github!D$716</f>
        <v>0</v>
      </c>
      <c r="I717" s="17" t="str">
        <f>Github!E$716</f>
        <v>Hard</v>
      </c>
      <c r="J717" s="17" t="str">
        <f>ROUND(Github!N$716, 2)&amp;"%"</f>
        <v>0%</v>
      </c>
      <c r="K717" s="17">
        <f>Github!O$716</f>
        <v>43.35825727</v>
      </c>
      <c r="L717" s="17">
        <f>Github!P$716</f>
        <v>41519</v>
      </c>
    </row>
    <row r="718">
      <c r="A718" s="17">
        <f>Github!J$717</f>
        <v>716</v>
      </c>
      <c r="B718" s="34" t="str">
        <f>HYPERLINK(CONCAT("http://leetcode.com/problems/",Github!C$717), Github!B$717)</f>
        <v>Max Stack</v>
      </c>
      <c r="C718" s="17">
        <f>Github!F$717</f>
        <v>1415</v>
      </c>
      <c r="D718" s="17">
        <f>Github!G$717</f>
        <v>410</v>
      </c>
      <c r="E718" s="17">
        <f>Github!F$717+Github!G$717</f>
        <v>1825</v>
      </c>
      <c r="F718" s="18">
        <f t="shared" si="1"/>
        <v>3.45</v>
      </c>
      <c r="G718" s="17" t="str">
        <f>Github!H$717</f>
        <v>Algorithms</v>
      </c>
      <c r="H718" s="17" t="b">
        <f>Github!D$717</f>
        <v>1</v>
      </c>
      <c r="I718" s="17" t="str">
        <f>Github!E$717</f>
        <v>Easy</v>
      </c>
      <c r="J718" s="17" t="str">
        <f>ROUND(Github!N$717, 2)&amp;"%"</f>
        <v>0%</v>
      </c>
      <c r="K718" s="17">
        <f>Github!O$717</f>
        <v>44.9306322</v>
      </c>
      <c r="L718" s="17">
        <f>Github!P$717</f>
        <v>113575</v>
      </c>
    </row>
    <row r="719">
      <c r="A719" s="17">
        <f>Github!J$718</f>
        <v>717</v>
      </c>
      <c r="B719" s="34" t="str">
        <f>HYPERLINK(CONCAT("http://leetcode.com/problems/",Github!C$718), Github!B$718)</f>
        <v>1-bit and 2-bit Characters</v>
      </c>
      <c r="C719" s="17">
        <f>Github!F$718</f>
        <v>657</v>
      </c>
      <c r="D719" s="17">
        <f>Github!G$718</f>
        <v>1693</v>
      </c>
      <c r="E719" s="17">
        <f>Github!F$718+Github!G$718</f>
        <v>2350</v>
      </c>
      <c r="F719" s="18">
        <f t="shared" si="1"/>
        <v>0.39</v>
      </c>
      <c r="G719" s="17" t="str">
        <f>Github!H$718</f>
        <v>Algorithms</v>
      </c>
      <c r="H719" s="17" t="b">
        <f>Github!D$718</f>
        <v>0</v>
      </c>
      <c r="I719" s="17" t="str">
        <f>Github!E$718</f>
        <v>Easy</v>
      </c>
      <c r="J719" s="17" t="str">
        <f>ROUND(Github!N$718, 2)&amp;"%"</f>
        <v>0%</v>
      </c>
      <c r="K719" s="17">
        <f>Github!O$718</f>
        <v>46.23774465</v>
      </c>
      <c r="L719" s="17">
        <f>Github!P$718</f>
        <v>101490</v>
      </c>
    </row>
    <row r="720">
      <c r="A720" s="17">
        <f>Github!J$719</f>
        <v>718</v>
      </c>
      <c r="B720" s="34" t="str">
        <f>HYPERLINK(CONCAT("http://leetcode.com/problems/",Github!C$719), Github!B$719)</f>
        <v>Maximum Length of Repeated Subarray</v>
      </c>
      <c r="C720" s="17">
        <f>Github!F$719</f>
        <v>3593</v>
      </c>
      <c r="D720" s="17">
        <f>Github!G$719</f>
        <v>87</v>
      </c>
      <c r="E720" s="17">
        <f>Github!F$719+Github!G$719</f>
        <v>3680</v>
      </c>
      <c r="F720" s="18">
        <f t="shared" si="1"/>
        <v>41.3</v>
      </c>
      <c r="G720" s="17" t="str">
        <f>Github!H$719</f>
        <v>Algorithms</v>
      </c>
      <c r="H720" s="17" t="b">
        <f>Github!D$719</f>
        <v>0</v>
      </c>
      <c r="I720" s="17" t="str">
        <f>Github!E$719</f>
        <v>Medium</v>
      </c>
      <c r="J720" s="17" t="str">
        <f>ROUND(Github!N$719, 2)&amp;"%"</f>
        <v>0%</v>
      </c>
      <c r="K720" s="17">
        <f>Github!O$719</f>
        <v>51.34437249</v>
      </c>
      <c r="L720" s="17">
        <f>Github!P$719</f>
        <v>162851</v>
      </c>
    </row>
    <row r="721">
      <c r="A721" s="17">
        <f>Github!J$720</f>
        <v>719</v>
      </c>
      <c r="B721" s="34" t="str">
        <f>HYPERLINK(CONCAT("http://leetcode.com/problems/",Github!C$720), Github!B$720)</f>
        <v>Find K-th Smallest Pair Distance</v>
      </c>
      <c r="C721" s="17">
        <f>Github!F$720</f>
        <v>1876</v>
      </c>
      <c r="D721" s="17">
        <f>Github!G$720</f>
        <v>61</v>
      </c>
      <c r="E721" s="17">
        <f>Github!F$720+Github!G$720</f>
        <v>1937</v>
      </c>
      <c r="F721" s="18">
        <f t="shared" si="1"/>
        <v>30.75</v>
      </c>
      <c r="G721" s="17" t="str">
        <f>Github!H$720</f>
        <v>Algorithms</v>
      </c>
      <c r="H721" s="17" t="b">
        <f>Github!D$720</f>
        <v>0</v>
      </c>
      <c r="I721" s="17" t="str">
        <f>Github!E$720</f>
        <v>Hard</v>
      </c>
      <c r="J721" s="17" t="str">
        <f>ROUND(Github!N$720, 2)&amp;"%"</f>
        <v>0%</v>
      </c>
      <c r="K721" s="17">
        <f>Github!O$720</f>
        <v>34.77043501</v>
      </c>
      <c r="L721" s="17">
        <f>Github!P$720</f>
        <v>56502</v>
      </c>
    </row>
    <row r="722">
      <c r="A722" s="17">
        <f>Github!J$721</f>
        <v>720</v>
      </c>
      <c r="B722" s="34" t="str">
        <f>HYPERLINK(CONCAT("http://leetcode.com/problems/",Github!C$721), Github!B$721)</f>
        <v>Longest Word in Dictionary</v>
      </c>
      <c r="C722" s="17">
        <f>Github!F$721</f>
        <v>1270</v>
      </c>
      <c r="D722" s="17">
        <f>Github!G$721</f>
        <v>1270</v>
      </c>
      <c r="E722" s="17">
        <f>Github!F$721+Github!G$721</f>
        <v>2540</v>
      </c>
      <c r="F722" s="18">
        <f t="shared" si="1"/>
        <v>1</v>
      </c>
      <c r="G722" s="17" t="str">
        <f>Github!H$721</f>
        <v>Algorithms</v>
      </c>
      <c r="H722" s="17" t="b">
        <f>Github!D$721</f>
        <v>0</v>
      </c>
      <c r="I722" s="17" t="str">
        <f>Github!E$721</f>
        <v>Medium</v>
      </c>
      <c r="J722" s="17" t="str">
        <f>ROUND(Github!N$721, 2)&amp;"%"</f>
        <v>0%</v>
      </c>
      <c r="K722" s="17">
        <f>Github!O$721</f>
        <v>50.82809663</v>
      </c>
      <c r="L722" s="17">
        <f>Github!P$721</f>
        <v>109182</v>
      </c>
    </row>
    <row r="723">
      <c r="A723" s="17">
        <f>Github!J$722</f>
        <v>721</v>
      </c>
      <c r="B723" s="34" t="str">
        <f>HYPERLINK(CONCAT("http://leetcode.com/problems/",Github!C$722), Github!B$722)</f>
        <v>Accounts Merge</v>
      </c>
      <c r="C723" s="17">
        <f>Github!F$722</f>
        <v>4002</v>
      </c>
      <c r="D723" s="17">
        <f>Github!G$722</f>
        <v>719</v>
      </c>
      <c r="E723" s="17">
        <f>Github!F$722+Github!G$722</f>
        <v>4721</v>
      </c>
      <c r="F723" s="18">
        <f t="shared" si="1"/>
        <v>5.57</v>
      </c>
      <c r="G723" s="17" t="str">
        <f>Github!H$722</f>
        <v>Algorithms</v>
      </c>
      <c r="H723" s="17" t="b">
        <f>Github!D$722</f>
        <v>0</v>
      </c>
      <c r="I723" s="17" t="str">
        <f>Github!E$722</f>
        <v>Medium</v>
      </c>
      <c r="J723" s="17" t="str">
        <f>ROUND(Github!N$722, 2)&amp;"%"</f>
        <v>0%</v>
      </c>
      <c r="K723" s="17">
        <f>Github!O$722</f>
        <v>55.56496362</v>
      </c>
      <c r="L723" s="17">
        <f>Github!P$722</f>
        <v>233615</v>
      </c>
    </row>
    <row r="724">
      <c r="A724" s="17">
        <f>Github!J$723</f>
        <v>722</v>
      </c>
      <c r="B724" s="34" t="str">
        <f>HYPERLINK(CONCAT("http://leetcode.com/problems/",Github!C$723), Github!B$723)</f>
        <v>Remove Comments</v>
      </c>
      <c r="C724" s="17">
        <f>Github!F$723</f>
        <v>546</v>
      </c>
      <c r="D724" s="17">
        <f>Github!G$723</f>
        <v>1468</v>
      </c>
      <c r="E724" s="17">
        <f>Github!F$723+Github!G$723</f>
        <v>2014</v>
      </c>
      <c r="F724" s="18">
        <f t="shared" si="1"/>
        <v>0.37</v>
      </c>
      <c r="G724" s="17" t="str">
        <f>Github!H$723</f>
        <v>Algorithms</v>
      </c>
      <c r="H724" s="17" t="b">
        <f>Github!D$723</f>
        <v>0</v>
      </c>
      <c r="I724" s="17" t="str">
        <f>Github!E$723</f>
        <v>Medium</v>
      </c>
      <c r="J724" s="17" t="str">
        <f>ROUND(Github!N$723, 2)&amp;"%"</f>
        <v>0%</v>
      </c>
      <c r="K724" s="17">
        <f>Github!O$723</f>
        <v>37.28093241</v>
      </c>
      <c r="L724" s="17">
        <f>Github!P$723</f>
        <v>52457</v>
      </c>
    </row>
    <row r="725">
      <c r="A725" s="17">
        <f>Github!J$724</f>
        <v>723</v>
      </c>
      <c r="B725" s="34" t="str">
        <f>HYPERLINK(CONCAT("http://leetcode.com/problems/",Github!C$724), Github!B$724)</f>
        <v>Candy Crush</v>
      </c>
      <c r="C725" s="17">
        <f>Github!F$724</f>
        <v>735</v>
      </c>
      <c r="D725" s="17">
        <f>Github!G$724</f>
        <v>325</v>
      </c>
      <c r="E725" s="17">
        <f>Github!F$724+Github!G$724</f>
        <v>1060</v>
      </c>
      <c r="F725" s="18">
        <f t="shared" si="1"/>
        <v>2.26</v>
      </c>
      <c r="G725" s="17" t="str">
        <f>Github!H$724</f>
        <v>Algorithms</v>
      </c>
      <c r="H725" s="17" t="b">
        <f>Github!D$724</f>
        <v>1</v>
      </c>
      <c r="I725" s="17" t="str">
        <f>Github!E$724</f>
        <v>Medium</v>
      </c>
      <c r="J725" s="17" t="str">
        <f>ROUND(Github!N$724, 2)&amp;"%"</f>
        <v>0%</v>
      </c>
      <c r="K725" s="17">
        <f>Github!O$724</f>
        <v>74.93999564</v>
      </c>
      <c r="L725" s="17">
        <f>Github!P$724</f>
        <v>48083</v>
      </c>
    </row>
    <row r="726">
      <c r="A726" s="17">
        <f>Github!J$725</f>
        <v>724</v>
      </c>
      <c r="B726" s="34" t="str">
        <f>HYPERLINK(CONCAT("http://leetcode.com/problems/",Github!C$725), Github!B$725)</f>
        <v>Find Pivot Index</v>
      </c>
      <c r="C726" s="17">
        <f>Github!F$725</f>
        <v>2924</v>
      </c>
      <c r="D726" s="17">
        <f>Github!G$725</f>
        <v>361</v>
      </c>
      <c r="E726" s="17">
        <f>Github!F$725+Github!G$725</f>
        <v>3285</v>
      </c>
      <c r="F726" s="18">
        <f t="shared" si="1"/>
        <v>8.1</v>
      </c>
      <c r="G726" s="17" t="str">
        <f>Github!H$725</f>
        <v>Algorithms</v>
      </c>
      <c r="H726" s="17" t="b">
        <f>Github!D$725</f>
        <v>0</v>
      </c>
      <c r="I726" s="17" t="str">
        <f>Github!E$725</f>
        <v>Easy</v>
      </c>
      <c r="J726" s="17" t="str">
        <f>ROUND(Github!N$725, 2)&amp;"%"</f>
        <v>0%</v>
      </c>
      <c r="K726" s="17">
        <f>Github!O$725</f>
        <v>51.05372047</v>
      </c>
      <c r="L726" s="17">
        <f>Github!P$725</f>
        <v>288716</v>
      </c>
    </row>
    <row r="727">
      <c r="A727" s="17">
        <f>Github!J$726</f>
        <v>725</v>
      </c>
      <c r="B727" s="34" t="str">
        <f>HYPERLINK(CONCAT("http://leetcode.com/problems/",Github!C$726), Github!B$726)</f>
        <v>Split Linked List in Parts</v>
      </c>
      <c r="C727" s="17">
        <f>Github!F$726</f>
        <v>1725</v>
      </c>
      <c r="D727" s="17">
        <f>Github!G$726</f>
        <v>191</v>
      </c>
      <c r="E727" s="17">
        <f>Github!F$726+Github!G$726</f>
        <v>1916</v>
      </c>
      <c r="F727" s="18">
        <f t="shared" si="1"/>
        <v>9.03</v>
      </c>
      <c r="G727" s="17" t="str">
        <f>Github!H$726</f>
        <v>Algorithms</v>
      </c>
      <c r="H727" s="17" t="b">
        <f>Github!D$726</f>
        <v>0</v>
      </c>
      <c r="I727" s="17" t="str">
        <f>Github!E$726</f>
        <v>Medium</v>
      </c>
      <c r="J727" s="17" t="str">
        <f>ROUND(Github!N$726, 2)&amp;"%"</f>
        <v>0%</v>
      </c>
      <c r="K727" s="17">
        <f>Github!O$726</f>
        <v>56.6844173</v>
      </c>
      <c r="L727" s="17">
        <f>Github!P$726</f>
        <v>93351</v>
      </c>
    </row>
    <row r="728">
      <c r="A728" s="17">
        <f>Github!J$727</f>
        <v>726</v>
      </c>
      <c r="B728" s="34" t="str">
        <f>HYPERLINK(CONCAT("http://leetcode.com/problems/",Github!C$727), Github!B$727)</f>
        <v>Number of Atoms</v>
      </c>
      <c r="C728" s="17">
        <f>Github!F$727</f>
        <v>889</v>
      </c>
      <c r="D728" s="17">
        <f>Github!G$727</f>
        <v>221</v>
      </c>
      <c r="E728" s="17">
        <f>Github!F$727+Github!G$727</f>
        <v>1110</v>
      </c>
      <c r="F728" s="18">
        <f t="shared" si="1"/>
        <v>4.02</v>
      </c>
      <c r="G728" s="17" t="str">
        <f>Github!H$727</f>
        <v>Algorithms</v>
      </c>
      <c r="H728" s="17" t="b">
        <f>Github!D$727</f>
        <v>0</v>
      </c>
      <c r="I728" s="17" t="str">
        <f>Github!E$727</f>
        <v>Hard</v>
      </c>
      <c r="J728" s="17" t="str">
        <f>ROUND(Github!N$727, 2)&amp;"%"</f>
        <v>0%</v>
      </c>
      <c r="K728" s="17">
        <f>Github!O$727</f>
        <v>51.71971192</v>
      </c>
      <c r="L728" s="17">
        <f>Github!P$727</f>
        <v>43518</v>
      </c>
    </row>
    <row r="729">
      <c r="A729" s="17">
        <f>Github!J$728</f>
        <v>727</v>
      </c>
      <c r="B729" s="34" t="str">
        <f>HYPERLINK(CONCAT("http://leetcode.com/problems/",Github!C$728), Github!B$728)</f>
        <v>Minimum Window Subsequence</v>
      </c>
      <c r="C729" s="17">
        <f>Github!F$728</f>
        <v>1196</v>
      </c>
      <c r="D729" s="17">
        <f>Github!G$728</f>
        <v>71</v>
      </c>
      <c r="E729" s="17">
        <f>Github!F$728+Github!G$728</f>
        <v>1267</v>
      </c>
      <c r="F729" s="18">
        <f t="shared" si="1"/>
        <v>16.85</v>
      </c>
      <c r="G729" s="17" t="str">
        <f>Github!H$728</f>
        <v>Algorithms</v>
      </c>
      <c r="H729" s="17" t="b">
        <f>Github!D$728</f>
        <v>1</v>
      </c>
      <c r="I729" s="17" t="str">
        <f>Github!E$728</f>
        <v>Hard</v>
      </c>
      <c r="J729" s="17" t="str">
        <f>ROUND(Github!N$728, 2)&amp;"%"</f>
        <v>0%</v>
      </c>
      <c r="K729" s="17">
        <f>Github!O$728</f>
        <v>42.87840649</v>
      </c>
      <c r="L729" s="17">
        <f>Github!P$728</f>
        <v>74611</v>
      </c>
    </row>
    <row r="730">
      <c r="A730" s="17">
        <f>Github!J$729</f>
        <v>728</v>
      </c>
      <c r="B730" s="34" t="str">
        <f>HYPERLINK(CONCAT("http://leetcode.com/problems/",Github!C$729), Github!B$729)</f>
        <v>Self Dividing Numbers</v>
      </c>
      <c r="C730" s="17">
        <f>Github!F$729</f>
        <v>1100</v>
      </c>
      <c r="D730" s="17">
        <f>Github!G$729</f>
        <v>347</v>
      </c>
      <c r="E730" s="17">
        <f>Github!F$729+Github!G$729</f>
        <v>1447</v>
      </c>
      <c r="F730" s="18">
        <f t="shared" si="1"/>
        <v>3.17</v>
      </c>
      <c r="G730" s="17" t="str">
        <f>Github!H$729</f>
        <v>Algorithms</v>
      </c>
      <c r="H730" s="17" t="b">
        <f>Github!D$729</f>
        <v>0</v>
      </c>
      <c r="I730" s="17" t="str">
        <f>Github!E$729</f>
        <v>Easy</v>
      </c>
      <c r="J730" s="17" t="str">
        <f>ROUND(Github!N$729, 2)&amp;"%"</f>
        <v>0%</v>
      </c>
      <c r="K730" s="17">
        <f>Github!O$729</f>
        <v>76.78664697</v>
      </c>
      <c r="L730" s="17">
        <f>Github!P$729</f>
        <v>172009</v>
      </c>
    </row>
    <row r="731">
      <c r="A731" s="17">
        <f>Github!J$730</f>
        <v>729</v>
      </c>
      <c r="B731" s="34" t="str">
        <f>HYPERLINK(CONCAT("http://leetcode.com/problems/",Github!C$730), Github!B$730)</f>
        <v>My Calendar I</v>
      </c>
      <c r="C731" s="17">
        <f>Github!F$730</f>
        <v>1826</v>
      </c>
      <c r="D731" s="17">
        <f>Github!G$730</f>
        <v>56</v>
      </c>
      <c r="E731" s="17">
        <f>Github!F$730+Github!G$730</f>
        <v>1882</v>
      </c>
      <c r="F731" s="18">
        <f t="shared" si="1"/>
        <v>32.61</v>
      </c>
      <c r="G731" s="17" t="str">
        <f>Github!H$730</f>
        <v>Algorithms</v>
      </c>
      <c r="H731" s="17" t="b">
        <f>Github!D$730</f>
        <v>0</v>
      </c>
      <c r="I731" s="17" t="str">
        <f>Github!E$730</f>
        <v>Medium</v>
      </c>
      <c r="J731" s="17" t="str">
        <f>ROUND(Github!N$730, 2)&amp;"%"</f>
        <v>0%</v>
      </c>
      <c r="K731" s="17">
        <f>Github!O$730</f>
        <v>55.00603888</v>
      </c>
      <c r="L731" s="17">
        <f>Github!P$730</f>
        <v>141184</v>
      </c>
    </row>
    <row r="732">
      <c r="A732" s="17">
        <f>Github!J$731</f>
        <v>730</v>
      </c>
      <c r="B732" s="34" t="str">
        <f>HYPERLINK(CONCAT("http://leetcode.com/problems/",Github!C$731), Github!B$731)</f>
        <v>Count Different Palindromic Subsequences</v>
      </c>
      <c r="C732" s="17">
        <f>Github!F$731</f>
        <v>1232</v>
      </c>
      <c r="D732" s="17">
        <f>Github!G$731</f>
        <v>67</v>
      </c>
      <c r="E732" s="17">
        <f>Github!F$731+Github!G$731</f>
        <v>1299</v>
      </c>
      <c r="F732" s="18">
        <f t="shared" si="1"/>
        <v>18.39</v>
      </c>
      <c r="G732" s="17" t="str">
        <f>Github!H$731</f>
        <v>Algorithms</v>
      </c>
      <c r="H732" s="17" t="b">
        <f>Github!D$731</f>
        <v>0</v>
      </c>
      <c r="I732" s="17" t="str">
        <f>Github!E$731</f>
        <v>Hard</v>
      </c>
      <c r="J732" s="17" t="str">
        <f>ROUND(Github!N$731, 2)&amp;"%"</f>
        <v>0%</v>
      </c>
      <c r="K732" s="17">
        <f>Github!O$731</f>
        <v>44.09696679</v>
      </c>
      <c r="L732" s="17">
        <f>Github!P$731</f>
        <v>25776</v>
      </c>
    </row>
    <row r="733">
      <c r="A733" s="17">
        <f>Github!J$732</f>
        <v>731</v>
      </c>
      <c r="B733" s="34" t="str">
        <f>HYPERLINK(CONCAT("http://leetcode.com/problems/",Github!C$732), Github!B$732)</f>
        <v>My Calendar II</v>
      </c>
      <c r="C733" s="17">
        <f>Github!F$732</f>
        <v>1095</v>
      </c>
      <c r="D733" s="17">
        <f>Github!G$732</f>
        <v>122</v>
      </c>
      <c r="E733" s="17">
        <f>Github!F$732+Github!G$732</f>
        <v>1217</v>
      </c>
      <c r="F733" s="18">
        <f t="shared" si="1"/>
        <v>8.98</v>
      </c>
      <c r="G733" s="17" t="str">
        <f>Github!H$732</f>
        <v>Algorithms</v>
      </c>
      <c r="H733" s="17" t="b">
        <f>Github!D$732</f>
        <v>0</v>
      </c>
      <c r="I733" s="17" t="str">
        <f>Github!E$732</f>
        <v>Medium</v>
      </c>
      <c r="J733" s="17" t="str">
        <f>ROUND(Github!N$732, 2)&amp;"%"</f>
        <v>0%</v>
      </c>
      <c r="K733" s="17">
        <f>Github!O$732</f>
        <v>53.14456193</v>
      </c>
      <c r="L733" s="17">
        <f>Github!P$732</f>
        <v>70719</v>
      </c>
    </row>
    <row r="734">
      <c r="A734" s="17">
        <f>Github!J$733</f>
        <v>732</v>
      </c>
      <c r="B734" s="34" t="str">
        <f>HYPERLINK(CONCAT("http://leetcode.com/problems/",Github!C$733), Github!B$733)</f>
        <v>My Calendar III</v>
      </c>
      <c r="C734" s="17">
        <f>Github!F$733</f>
        <v>687</v>
      </c>
      <c r="D734" s="17">
        <f>Github!G$733</f>
        <v>142</v>
      </c>
      <c r="E734" s="17">
        <f>Github!F$733+Github!G$733</f>
        <v>829</v>
      </c>
      <c r="F734" s="18">
        <f t="shared" si="1"/>
        <v>4.84</v>
      </c>
      <c r="G734" s="17" t="str">
        <f>Github!H$733</f>
        <v>Algorithms</v>
      </c>
      <c r="H734" s="17" t="b">
        <f>Github!D$733</f>
        <v>0</v>
      </c>
      <c r="I734" s="17" t="str">
        <f>Github!E$733</f>
        <v>Hard</v>
      </c>
      <c r="J734" s="17" t="str">
        <f>ROUND(Github!N$733, 2)&amp;"%"</f>
        <v>0%</v>
      </c>
      <c r="K734" s="17">
        <f>Github!O$733</f>
        <v>66.22719087</v>
      </c>
      <c r="L734" s="17">
        <f>Github!P$733</f>
        <v>38979</v>
      </c>
    </row>
    <row r="735">
      <c r="A735" s="17">
        <f>Github!J$734</f>
        <v>733</v>
      </c>
      <c r="B735" s="34" t="str">
        <f>HYPERLINK(CONCAT("http://leetcode.com/problems/",Github!C$734), Github!B$734)</f>
        <v>Flood Fill</v>
      </c>
      <c r="C735" s="17">
        <f>Github!F$734</f>
        <v>3671</v>
      </c>
      <c r="D735" s="17">
        <f>Github!G$734</f>
        <v>352</v>
      </c>
      <c r="E735" s="17">
        <f>Github!F$734+Github!G$734</f>
        <v>4023</v>
      </c>
      <c r="F735" s="18">
        <f t="shared" si="1"/>
        <v>10.43</v>
      </c>
      <c r="G735" s="17" t="str">
        <f>Github!H$734</f>
        <v>Algorithms</v>
      </c>
      <c r="H735" s="17" t="b">
        <f>Github!D$734</f>
        <v>0</v>
      </c>
      <c r="I735" s="17" t="str">
        <f>Github!E$734</f>
        <v>Easy</v>
      </c>
      <c r="J735" s="17" t="str">
        <f>ROUND(Github!N$734, 2)&amp;"%"</f>
        <v>0%</v>
      </c>
      <c r="K735" s="17">
        <f>Github!O$734</f>
        <v>57.85983576</v>
      </c>
      <c r="L735" s="17">
        <f>Github!P$734</f>
        <v>366010</v>
      </c>
    </row>
    <row r="736">
      <c r="A736" s="17">
        <f>Github!J$735</f>
        <v>734</v>
      </c>
      <c r="B736" s="34" t="str">
        <f>HYPERLINK(CONCAT("http://leetcode.com/problems/",Github!C$735), Github!B$735)</f>
        <v>Sentence Similarity</v>
      </c>
      <c r="C736" s="17">
        <f>Github!F$735</f>
        <v>275</v>
      </c>
      <c r="D736" s="17">
        <f>Github!G$735</f>
        <v>437</v>
      </c>
      <c r="E736" s="17">
        <f>Github!F$735+Github!G$735</f>
        <v>712</v>
      </c>
      <c r="F736" s="18">
        <f t="shared" si="1"/>
        <v>0.63</v>
      </c>
      <c r="G736" s="17" t="str">
        <f>Github!H$735</f>
        <v>Algorithms</v>
      </c>
      <c r="H736" s="17" t="b">
        <f>Github!D$735</f>
        <v>1</v>
      </c>
      <c r="I736" s="17" t="str">
        <f>Github!E$735</f>
        <v>Easy</v>
      </c>
      <c r="J736" s="17" t="str">
        <f>ROUND(Github!N$735, 2)&amp;"%"</f>
        <v>0%</v>
      </c>
      <c r="K736" s="17">
        <f>Github!O$735</f>
        <v>42.93534367</v>
      </c>
      <c r="L736" s="17">
        <f>Github!P$735</f>
        <v>49491</v>
      </c>
    </row>
    <row r="737">
      <c r="A737" s="17">
        <f>Github!J$736</f>
        <v>735</v>
      </c>
      <c r="B737" s="34" t="str">
        <f>HYPERLINK(CONCAT("http://leetcode.com/problems/",Github!C$736), Github!B$736)</f>
        <v>Asteroid Collision</v>
      </c>
      <c r="C737" s="17">
        <f>Github!F$736</f>
        <v>3271</v>
      </c>
      <c r="D737" s="17">
        <f>Github!G$736</f>
        <v>260</v>
      </c>
      <c r="E737" s="17">
        <f>Github!F$736+Github!G$736</f>
        <v>3531</v>
      </c>
      <c r="F737" s="18">
        <f t="shared" si="1"/>
        <v>12.58</v>
      </c>
      <c r="G737" s="17" t="str">
        <f>Github!H$736</f>
        <v>Algorithms</v>
      </c>
      <c r="H737" s="17" t="b">
        <f>Github!D$736</f>
        <v>0</v>
      </c>
      <c r="I737" s="17" t="str">
        <f>Github!E$736</f>
        <v>Medium</v>
      </c>
      <c r="J737" s="17" t="str">
        <f>ROUND(Github!N$736, 2)&amp;"%"</f>
        <v>0%</v>
      </c>
      <c r="K737" s="17">
        <f>Github!O$736</f>
        <v>44.38372755</v>
      </c>
      <c r="L737" s="17">
        <f>Github!P$736</f>
        <v>185423</v>
      </c>
    </row>
    <row r="738">
      <c r="A738" s="17">
        <f>Github!J$737</f>
        <v>736</v>
      </c>
      <c r="B738" s="34" t="str">
        <f>HYPERLINK(CONCAT("http://leetcode.com/problems/",Github!C$737), Github!B$737)</f>
        <v>Parse Lisp Expression</v>
      </c>
      <c r="C738" s="17">
        <f>Github!F$737</f>
        <v>380</v>
      </c>
      <c r="D738" s="17">
        <f>Github!G$737</f>
        <v>297</v>
      </c>
      <c r="E738" s="17">
        <f>Github!F$737+Github!G$737</f>
        <v>677</v>
      </c>
      <c r="F738" s="18">
        <f t="shared" si="1"/>
        <v>1.28</v>
      </c>
      <c r="G738" s="17" t="str">
        <f>Github!H$737</f>
        <v>Algorithms</v>
      </c>
      <c r="H738" s="17" t="b">
        <f>Github!D$737</f>
        <v>0</v>
      </c>
      <c r="I738" s="17" t="str">
        <f>Github!E$737</f>
        <v>Hard</v>
      </c>
      <c r="J738" s="17" t="str">
        <f>ROUND(Github!N$737, 2)&amp;"%"</f>
        <v>0%</v>
      </c>
      <c r="K738" s="17">
        <f>Github!O$737</f>
        <v>51.19842276</v>
      </c>
      <c r="L738" s="17">
        <f>Github!P$737</f>
        <v>18178</v>
      </c>
    </row>
    <row r="739">
      <c r="A739" s="17">
        <f>Github!J$738</f>
        <v>737</v>
      </c>
      <c r="B739" s="34" t="str">
        <f>HYPERLINK(CONCAT("http://leetcode.com/problems/",Github!C$738), Github!B$738)</f>
        <v>Sentence Similarity II</v>
      </c>
      <c r="C739" s="17">
        <f>Github!F$738</f>
        <v>689</v>
      </c>
      <c r="D739" s="17">
        <f>Github!G$738</f>
        <v>41</v>
      </c>
      <c r="E739" s="17">
        <f>Github!F$738+Github!G$738</f>
        <v>730</v>
      </c>
      <c r="F739" s="18">
        <f t="shared" si="1"/>
        <v>16.8</v>
      </c>
      <c r="G739" s="17" t="str">
        <f>Github!H$738</f>
        <v>Algorithms</v>
      </c>
      <c r="H739" s="17" t="b">
        <f>Github!D$738</f>
        <v>1</v>
      </c>
      <c r="I739" s="17" t="str">
        <f>Github!E$738</f>
        <v>Medium</v>
      </c>
      <c r="J739" s="17" t="str">
        <f>ROUND(Github!N$738, 2)&amp;"%"</f>
        <v>0%</v>
      </c>
      <c r="K739" s="17">
        <f>Github!O$738</f>
        <v>47.89480276</v>
      </c>
      <c r="L739" s="17">
        <f>Github!P$738</f>
        <v>57364</v>
      </c>
    </row>
    <row r="740">
      <c r="A740" s="17">
        <f>Github!J$739</f>
        <v>738</v>
      </c>
      <c r="B740" s="34" t="str">
        <f>HYPERLINK(CONCAT("http://leetcode.com/problems/",Github!C$739), Github!B$739)</f>
        <v>Monotone Increasing Digits</v>
      </c>
      <c r="C740" s="17">
        <f>Github!F$739</f>
        <v>881</v>
      </c>
      <c r="D740" s="17">
        <f>Github!G$739</f>
        <v>86</v>
      </c>
      <c r="E740" s="17">
        <f>Github!F$739+Github!G$739</f>
        <v>967</v>
      </c>
      <c r="F740" s="18">
        <f t="shared" si="1"/>
        <v>10.24</v>
      </c>
      <c r="G740" s="17" t="str">
        <f>Github!H$739</f>
        <v>Algorithms</v>
      </c>
      <c r="H740" s="17" t="b">
        <f>Github!D$739</f>
        <v>0</v>
      </c>
      <c r="I740" s="17" t="str">
        <f>Github!E$739</f>
        <v>Medium</v>
      </c>
      <c r="J740" s="17" t="str">
        <f>ROUND(Github!N$739, 2)&amp;"%"</f>
        <v>0%</v>
      </c>
      <c r="K740" s="17">
        <f>Github!O$739</f>
        <v>46.74494972</v>
      </c>
      <c r="L740" s="17">
        <f>Github!P$739</f>
        <v>36584</v>
      </c>
    </row>
    <row r="741">
      <c r="A741" s="17">
        <f>Github!J$740</f>
        <v>739</v>
      </c>
      <c r="B741" s="34" t="str">
        <f>HYPERLINK(CONCAT("http://leetcode.com/problems/",Github!C$740), Github!B$740)</f>
        <v>Daily Temperatures</v>
      </c>
      <c r="C741" s="17">
        <f>Github!F$740</f>
        <v>6550</v>
      </c>
      <c r="D741" s="17">
        <f>Github!G$740</f>
        <v>152</v>
      </c>
      <c r="E741" s="17">
        <f>Github!F$740+Github!G$740</f>
        <v>6702</v>
      </c>
      <c r="F741" s="18">
        <f t="shared" si="1"/>
        <v>43.09</v>
      </c>
      <c r="G741" s="17" t="str">
        <f>Github!H$740</f>
        <v>Algorithms</v>
      </c>
      <c r="H741" s="17" t="b">
        <f>Github!D$740</f>
        <v>0</v>
      </c>
      <c r="I741" s="17" t="str">
        <f>Github!E$740</f>
        <v>Medium</v>
      </c>
      <c r="J741" s="17" t="str">
        <f>ROUND(Github!N$740, 2)&amp;"%"</f>
        <v>0%</v>
      </c>
      <c r="K741" s="17">
        <f>Github!O$740</f>
        <v>66.89836231</v>
      </c>
      <c r="L741" s="17">
        <f>Github!P$740</f>
        <v>360815</v>
      </c>
    </row>
    <row r="742">
      <c r="A742" s="17">
        <f>Github!J$741</f>
        <v>740</v>
      </c>
      <c r="B742" s="34" t="str">
        <f>HYPERLINK(CONCAT("http://leetcode.com/problems/",Github!C$741), Github!B$741)</f>
        <v>Delete and Earn</v>
      </c>
      <c r="C742" s="17">
        <f>Github!F$741</f>
        <v>4388</v>
      </c>
      <c r="D742" s="17">
        <f>Github!G$741</f>
        <v>248</v>
      </c>
      <c r="E742" s="17">
        <f>Github!F$741+Github!G$741</f>
        <v>4636</v>
      </c>
      <c r="F742" s="18">
        <f t="shared" si="1"/>
        <v>17.69</v>
      </c>
      <c r="G742" s="17" t="str">
        <f>Github!H$741</f>
        <v>Algorithms</v>
      </c>
      <c r="H742" s="17" t="b">
        <f>Github!D$741</f>
        <v>0</v>
      </c>
      <c r="I742" s="17" t="str">
        <f>Github!E$741</f>
        <v>Medium</v>
      </c>
      <c r="J742" s="17" t="str">
        <f>ROUND(Github!N$741, 2)&amp;"%"</f>
        <v>0%</v>
      </c>
      <c r="K742" s="17">
        <f>Github!O$741</f>
        <v>57.04422376</v>
      </c>
      <c r="L742" s="17">
        <f>Github!P$741</f>
        <v>164738</v>
      </c>
    </row>
    <row r="743">
      <c r="A743" s="17">
        <f>Github!J$742</f>
        <v>741</v>
      </c>
      <c r="B743" s="34" t="str">
        <f>HYPERLINK(CONCAT("http://leetcode.com/problems/",Github!C$742), Github!B$742)</f>
        <v>Cherry Pickup</v>
      </c>
      <c r="C743" s="17">
        <f>Github!F$742</f>
        <v>2484</v>
      </c>
      <c r="D743" s="17">
        <f>Github!G$742</f>
        <v>117</v>
      </c>
      <c r="E743" s="17">
        <f>Github!F$742+Github!G$742</f>
        <v>2601</v>
      </c>
      <c r="F743" s="18">
        <f t="shared" si="1"/>
        <v>21.23</v>
      </c>
      <c r="G743" s="17" t="str">
        <f>Github!H$742</f>
        <v>Algorithms</v>
      </c>
      <c r="H743" s="17" t="b">
        <f>Github!D$742</f>
        <v>0</v>
      </c>
      <c r="I743" s="17" t="str">
        <f>Github!E$742</f>
        <v>Hard</v>
      </c>
      <c r="J743" s="17" t="str">
        <f>ROUND(Github!N$742, 2)&amp;"%"</f>
        <v>0%</v>
      </c>
      <c r="K743" s="17">
        <f>Github!O$742</f>
        <v>36.14292161</v>
      </c>
      <c r="L743" s="17">
        <f>Github!P$742</f>
        <v>51255</v>
      </c>
    </row>
    <row r="744">
      <c r="A744" s="17">
        <f>Github!J$743</f>
        <v>742</v>
      </c>
      <c r="B744" s="34" t="str">
        <f>HYPERLINK(CONCAT("http://leetcode.com/problems/",Github!C$743), Github!B$743)</f>
        <v>Closest Leaf in a Binary Tree</v>
      </c>
      <c r="C744" s="17">
        <f>Github!F$743</f>
        <v>732</v>
      </c>
      <c r="D744" s="17">
        <f>Github!G$743</f>
        <v>146</v>
      </c>
      <c r="E744" s="17">
        <f>Github!F$743+Github!G$743</f>
        <v>878</v>
      </c>
      <c r="F744" s="18">
        <f t="shared" si="1"/>
        <v>5.01</v>
      </c>
      <c r="G744" s="17" t="str">
        <f>Github!H$743</f>
        <v>Algorithms</v>
      </c>
      <c r="H744" s="17" t="b">
        <f>Github!D$743</f>
        <v>1</v>
      </c>
      <c r="I744" s="17" t="str">
        <f>Github!E$743</f>
        <v>Medium</v>
      </c>
      <c r="J744" s="17" t="str">
        <f>ROUND(Github!N$743, 2)&amp;"%"</f>
        <v>0%</v>
      </c>
      <c r="K744" s="17">
        <f>Github!O$743</f>
        <v>45.46547365</v>
      </c>
      <c r="L744" s="17">
        <f>Github!P$743</f>
        <v>36687</v>
      </c>
    </row>
    <row r="745">
      <c r="A745" s="17">
        <f>Github!J$744</f>
        <v>743</v>
      </c>
      <c r="B745" s="34" t="str">
        <f>HYPERLINK(CONCAT("http://leetcode.com/problems/",Github!C$744), Github!B$744)</f>
        <v>Network Delay Time</v>
      </c>
      <c r="C745" s="17">
        <f>Github!F$744</f>
        <v>3778</v>
      </c>
      <c r="D745" s="17">
        <f>Github!G$744</f>
        <v>274</v>
      </c>
      <c r="E745" s="17">
        <f>Github!F$744+Github!G$744</f>
        <v>4052</v>
      </c>
      <c r="F745" s="18">
        <f t="shared" si="1"/>
        <v>13.79</v>
      </c>
      <c r="G745" s="17" t="str">
        <f>Github!H$744</f>
        <v>Algorithms</v>
      </c>
      <c r="H745" s="17" t="b">
        <f>Github!D$744</f>
        <v>0</v>
      </c>
      <c r="I745" s="17" t="str">
        <f>Github!E$744</f>
        <v>Medium</v>
      </c>
      <c r="J745" s="17" t="str">
        <f>ROUND(Github!N$744, 2)&amp;"%"</f>
        <v>0%</v>
      </c>
      <c r="K745" s="17">
        <f>Github!O$744</f>
        <v>48.15093996</v>
      </c>
      <c r="L745" s="17">
        <f>Github!P$744</f>
        <v>222292</v>
      </c>
    </row>
    <row r="746">
      <c r="A746" s="17">
        <f>Github!J$745</f>
        <v>744</v>
      </c>
      <c r="B746" s="34" t="str">
        <f>HYPERLINK(CONCAT("http://leetcode.com/problems/",Github!C$745), Github!B$745)</f>
        <v>Find Smallest Letter Greater Than Target</v>
      </c>
      <c r="C746" s="17">
        <f>Github!F$745</f>
        <v>1400</v>
      </c>
      <c r="D746" s="17">
        <f>Github!G$745</f>
        <v>1297</v>
      </c>
      <c r="E746" s="17">
        <f>Github!F$745+Github!G$745</f>
        <v>2697</v>
      </c>
      <c r="F746" s="18">
        <f t="shared" si="1"/>
        <v>1.08</v>
      </c>
      <c r="G746" s="17" t="str">
        <f>Github!H$745</f>
        <v>Algorithms</v>
      </c>
      <c r="H746" s="17" t="b">
        <f>Github!D$745</f>
        <v>0</v>
      </c>
      <c r="I746" s="17" t="str">
        <f>Github!E$745</f>
        <v>Easy</v>
      </c>
      <c r="J746" s="17" t="str">
        <f>ROUND(Github!N$745, 2)&amp;"%"</f>
        <v>0%</v>
      </c>
      <c r="K746" s="17">
        <f>Github!O$745</f>
        <v>45.36262259</v>
      </c>
      <c r="L746" s="17">
        <f>Github!P$745</f>
        <v>170113</v>
      </c>
    </row>
    <row r="747">
      <c r="A747" s="17">
        <f>Github!J$746</f>
        <v>745</v>
      </c>
      <c r="B747" s="34" t="str">
        <f>HYPERLINK(CONCAT("http://leetcode.com/problems/",Github!C$746), Github!B$746)</f>
        <v>Prefix and Suffix Search</v>
      </c>
      <c r="C747" s="17">
        <f>Github!F$746</f>
        <v>1005</v>
      </c>
      <c r="D747" s="17">
        <f>Github!G$746</f>
        <v>325</v>
      </c>
      <c r="E747" s="17">
        <f>Github!F$746+Github!G$746</f>
        <v>1330</v>
      </c>
      <c r="F747" s="18">
        <f t="shared" si="1"/>
        <v>3.09</v>
      </c>
      <c r="G747" s="17" t="str">
        <f>Github!H$746</f>
        <v>Algorithms</v>
      </c>
      <c r="H747" s="17" t="b">
        <f>Github!D$746</f>
        <v>0</v>
      </c>
      <c r="I747" s="17" t="str">
        <f>Github!E$746</f>
        <v>Hard</v>
      </c>
      <c r="J747" s="17" t="str">
        <f>ROUND(Github!N$746, 2)&amp;"%"</f>
        <v>0%</v>
      </c>
      <c r="K747" s="17">
        <f>Github!O$746</f>
        <v>36.38549718</v>
      </c>
      <c r="L747" s="17">
        <f>Github!P$746</f>
        <v>48722</v>
      </c>
    </row>
    <row r="748">
      <c r="A748" s="17">
        <f>Github!J$747</f>
        <v>746</v>
      </c>
      <c r="B748" s="34" t="str">
        <f>HYPERLINK(CONCAT("http://leetcode.com/problems/",Github!C$747), Github!B$747)</f>
        <v>Min Cost Climbing Stairs</v>
      </c>
      <c r="C748" s="17">
        <f>Github!F$747</f>
        <v>5493</v>
      </c>
      <c r="D748" s="17">
        <f>Github!G$747</f>
        <v>961</v>
      </c>
      <c r="E748" s="17">
        <f>Github!F$747+Github!G$747</f>
        <v>6454</v>
      </c>
      <c r="F748" s="18">
        <f t="shared" si="1"/>
        <v>5.72</v>
      </c>
      <c r="G748" s="17" t="str">
        <f>Github!H$747</f>
        <v>Algorithms</v>
      </c>
      <c r="H748" s="17" t="b">
        <f>Github!D$747</f>
        <v>0</v>
      </c>
      <c r="I748" s="17" t="str">
        <f>Github!E$747</f>
        <v>Easy</v>
      </c>
      <c r="J748" s="17" t="str">
        <f>ROUND(Github!N$747, 2)&amp;"%"</f>
        <v>0%</v>
      </c>
      <c r="K748" s="17">
        <f>Github!O$747</f>
        <v>58.17272134</v>
      </c>
      <c r="L748" s="17">
        <f>Github!P$747</f>
        <v>427861</v>
      </c>
    </row>
    <row r="749">
      <c r="A749" s="17">
        <f>Github!J$748</f>
        <v>747</v>
      </c>
      <c r="B749" s="34" t="str">
        <f>HYPERLINK(CONCAT("http://leetcode.com/problems/",Github!C$748), Github!B$748)</f>
        <v>Largest Number At Least Twice of Others</v>
      </c>
      <c r="C749" s="17">
        <f>Github!F$748</f>
        <v>637</v>
      </c>
      <c r="D749" s="17">
        <f>Github!G$748</f>
        <v>745</v>
      </c>
      <c r="E749" s="17">
        <f>Github!F$748+Github!G$748</f>
        <v>1382</v>
      </c>
      <c r="F749" s="18">
        <f t="shared" si="1"/>
        <v>0.86</v>
      </c>
      <c r="G749" s="17" t="str">
        <f>Github!H$748</f>
        <v>Algorithms</v>
      </c>
      <c r="H749" s="17" t="b">
        <f>Github!D$748</f>
        <v>0</v>
      </c>
      <c r="I749" s="17" t="str">
        <f>Github!E$748</f>
        <v>Easy</v>
      </c>
      <c r="J749" s="17" t="str">
        <f>ROUND(Github!N$748, 2)&amp;"%"</f>
        <v>0%</v>
      </c>
      <c r="K749" s="17">
        <f>Github!O$748</f>
        <v>44.98982043</v>
      </c>
      <c r="L749" s="17">
        <f>Github!P$748</f>
        <v>150045</v>
      </c>
    </row>
    <row r="750">
      <c r="A750" s="17">
        <f>Github!J$749</f>
        <v>748</v>
      </c>
      <c r="B750" s="34" t="str">
        <f>HYPERLINK(CONCAT("http://leetcode.com/problems/",Github!C$749), Github!B$749)</f>
        <v>Shortest Completing Word</v>
      </c>
      <c r="C750" s="17">
        <f>Github!F$749</f>
        <v>295</v>
      </c>
      <c r="D750" s="17">
        <f>Github!G$749</f>
        <v>836</v>
      </c>
      <c r="E750" s="17">
        <f>Github!F$749+Github!G$749</f>
        <v>1131</v>
      </c>
      <c r="F750" s="18">
        <f t="shared" si="1"/>
        <v>0.35</v>
      </c>
      <c r="G750" s="17" t="str">
        <f>Github!H$749</f>
        <v>Algorithms</v>
      </c>
      <c r="H750" s="17" t="b">
        <f>Github!D$749</f>
        <v>0</v>
      </c>
      <c r="I750" s="17" t="str">
        <f>Github!E$749</f>
        <v>Easy</v>
      </c>
      <c r="J750" s="17" t="str">
        <f>ROUND(Github!N$749, 2)&amp;"%"</f>
        <v>0%</v>
      </c>
      <c r="K750" s="17">
        <f>Github!O$749</f>
        <v>58.75517564</v>
      </c>
      <c r="L750" s="17">
        <f>Github!P$749</f>
        <v>48389</v>
      </c>
    </row>
    <row r="751">
      <c r="A751" s="17">
        <f>Github!J$750</f>
        <v>749</v>
      </c>
      <c r="B751" s="34" t="str">
        <f>HYPERLINK(CONCAT("http://leetcode.com/problems/",Github!C$750), Github!B$750)</f>
        <v>Contain Virus</v>
      </c>
      <c r="C751" s="17">
        <f>Github!F$750</f>
        <v>219</v>
      </c>
      <c r="D751" s="17">
        <f>Github!G$750</f>
        <v>362</v>
      </c>
      <c r="E751" s="17">
        <f>Github!F$750+Github!G$750</f>
        <v>581</v>
      </c>
      <c r="F751" s="18">
        <f t="shared" si="1"/>
        <v>0.6</v>
      </c>
      <c r="G751" s="17" t="str">
        <f>Github!H$750</f>
        <v>Algorithms</v>
      </c>
      <c r="H751" s="17" t="b">
        <f>Github!D$750</f>
        <v>0</v>
      </c>
      <c r="I751" s="17" t="str">
        <f>Github!E$750</f>
        <v>Hard</v>
      </c>
      <c r="J751" s="17" t="str">
        <f>ROUND(Github!N$750, 2)&amp;"%"</f>
        <v>0%</v>
      </c>
      <c r="K751" s="17">
        <f>Github!O$750</f>
        <v>49.86922406</v>
      </c>
      <c r="L751" s="17">
        <f>Github!P$750</f>
        <v>8008</v>
      </c>
    </row>
    <row r="752">
      <c r="A752" s="17">
        <f>Github!J$751</f>
        <v>750</v>
      </c>
      <c r="B752" s="34" t="str">
        <f>HYPERLINK(CONCAT("http://leetcode.com/problems/",Github!C$751), Github!B$751)</f>
        <v>Number Of Corner Rectangles</v>
      </c>
      <c r="C752" s="17">
        <f>Github!F$751</f>
        <v>565</v>
      </c>
      <c r="D752" s="17">
        <f>Github!G$751</f>
        <v>85</v>
      </c>
      <c r="E752" s="17">
        <f>Github!F$751+Github!G$751</f>
        <v>650</v>
      </c>
      <c r="F752" s="18">
        <f t="shared" si="1"/>
        <v>6.65</v>
      </c>
      <c r="G752" s="17" t="str">
        <f>Github!H$751</f>
        <v>Algorithms</v>
      </c>
      <c r="H752" s="17" t="b">
        <f>Github!D$751</f>
        <v>1</v>
      </c>
      <c r="I752" s="17" t="str">
        <f>Github!E$751</f>
        <v>Medium</v>
      </c>
      <c r="J752" s="17" t="str">
        <f>ROUND(Github!N$751, 2)&amp;"%"</f>
        <v>0%</v>
      </c>
      <c r="K752" s="17">
        <f>Github!O$751</f>
        <v>67.52177567</v>
      </c>
      <c r="L752" s="17">
        <f>Github!P$751</f>
        <v>35349</v>
      </c>
    </row>
    <row r="753">
      <c r="A753" s="17">
        <f>Github!J$752</f>
        <v>751</v>
      </c>
      <c r="B753" s="34" t="str">
        <f>HYPERLINK(CONCAT("http://leetcode.com/problems/",Github!C$752), Github!B$752)</f>
        <v>IP to CIDR</v>
      </c>
      <c r="C753" s="17">
        <f>Github!F$752</f>
        <v>24</v>
      </c>
      <c r="D753" s="17">
        <f>Github!G$752</f>
        <v>69</v>
      </c>
      <c r="E753" s="17">
        <f>Github!F$752+Github!G$752</f>
        <v>93</v>
      </c>
      <c r="F753" s="18">
        <f t="shared" si="1"/>
        <v>0.35</v>
      </c>
      <c r="G753" s="17" t="str">
        <f>Github!H$752</f>
        <v>Algorithms</v>
      </c>
      <c r="H753" s="17" t="b">
        <f>Github!D$752</f>
        <v>1</v>
      </c>
      <c r="I753" s="17" t="str">
        <f>Github!E$752</f>
        <v>Medium</v>
      </c>
      <c r="J753" s="17" t="str">
        <f>ROUND(Github!N$752, 2)&amp;"%"</f>
        <v>0%</v>
      </c>
      <c r="K753" s="17">
        <f>Github!O$752</f>
        <v>55.14828526</v>
      </c>
      <c r="L753" s="17">
        <f>Github!P$752</f>
        <v>13556</v>
      </c>
    </row>
    <row r="754">
      <c r="A754" s="17">
        <f>Github!J$753</f>
        <v>752</v>
      </c>
      <c r="B754" s="34" t="str">
        <f>HYPERLINK(CONCAT("http://leetcode.com/problems/",Github!C$753), Github!B$753)</f>
        <v>Open the Lock</v>
      </c>
      <c r="C754" s="17">
        <f>Github!F$753</f>
        <v>2641</v>
      </c>
      <c r="D754" s="17">
        <f>Github!G$753</f>
        <v>88</v>
      </c>
      <c r="E754" s="17">
        <f>Github!F$753+Github!G$753</f>
        <v>2729</v>
      </c>
      <c r="F754" s="18">
        <f t="shared" si="1"/>
        <v>30.01</v>
      </c>
      <c r="G754" s="17" t="str">
        <f>Github!H$753</f>
        <v>Algorithms</v>
      </c>
      <c r="H754" s="17" t="b">
        <f>Github!D$753</f>
        <v>0</v>
      </c>
      <c r="I754" s="17" t="str">
        <f>Github!E$753</f>
        <v>Medium</v>
      </c>
      <c r="J754" s="17" t="str">
        <f>ROUND(Github!N$753, 2)&amp;"%"</f>
        <v>0%</v>
      </c>
      <c r="K754" s="17">
        <f>Github!O$753</f>
        <v>55.23409094</v>
      </c>
      <c r="L754" s="17">
        <f>Github!P$753</f>
        <v>152515</v>
      </c>
    </row>
    <row r="755">
      <c r="A755" s="17">
        <f>Github!J$754</f>
        <v>753</v>
      </c>
      <c r="B755" s="34" t="str">
        <f>HYPERLINK(CONCAT("http://leetcode.com/problems/",Github!C$754), Github!B$754)</f>
        <v>Cracking the Safe</v>
      </c>
      <c r="C755" s="17">
        <f>Github!F$754</f>
        <v>175</v>
      </c>
      <c r="D755" s="17">
        <f>Github!G$754</f>
        <v>27</v>
      </c>
      <c r="E755" s="17">
        <f>Github!F$754+Github!G$754</f>
        <v>202</v>
      </c>
      <c r="F755" s="18">
        <f t="shared" si="1"/>
        <v>6.48</v>
      </c>
      <c r="G755" s="17" t="str">
        <f>Github!H$754</f>
        <v>Algorithms</v>
      </c>
      <c r="H755" s="17" t="b">
        <f>Github!D$754</f>
        <v>0</v>
      </c>
      <c r="I755" s="17" t="str">
        <f>Github!E$754</f>
        <v>Hard</v>
      </c>
      <c r="J755" s="17" t="str">
        <f>ROUND(Github!N$754, 2)&amp;"%"</f>
        <v>0%</v>
      </c>
      <c r="K755" s="17">
        <f>Github!O$754</f>
        <v>54.44472792</v>
      </c>
      <c r="L755" s="17">
        <f>Github!P$754</f>
        <v>44814</v>
      </c>
    </row>
    <row r="756">
      <c r="A756" s="17">
        <f>Github!J$755</f>
        <v>754</v>
      </c>
      <c r="B756" s="34" t="str">
        <f>HYPERLINK(CONCAT("http://leetcode.com/problems/",Github!C$755), Github!B$755)</f>
        <v>Reach a Number</v>
      </c>
      <c r="C756" s="17">
        <f>Github!F$755</f>
        <v>1053</v>
      </c>
      <c r="D756" s="17">
        <f>Github!G$755</f>
        <v>649</v>
      </c>
      <c r="E756" s="17">
        <f>Github!F$755+Github!G$755</f>
        <v>1702</v>
      </c>
      <c r="F756" s="18">
        <f t="shared" si="1"/>
        <v>1.62</v>
      </c>
      <c r="G756" s="17" t="str">
        <f>Github!H$755</f>
        <v>Algorithms</v>
      </c>
      <c r="H756" s="17" t="b">
        <f>Github!D$755</f>
        <v>0</v>
      </c>
      <c r="I756" s="17" t="str">
        <f>Github!E$755</f>
        <v>Medium</v>
      </c>
      <c r="J756" s="17" t="str">
        <f>ROUND(Github!N$755, 2)&amp;"%"</f>
        <v>0%</v>
      </c>
      <c r="K756" s="17">
        <f>Github!O$755</f>
        <v>41.73520651</v>
      </c>
      <c r="L756" s="17">
        <f>Github!P$755</f>
        <v>37550</v>
      </c>
    </row>
    <row r="757">
      <c r="A757" s="17">
        <f>Github!J$756</f>
        <v>755</v>
      </c>
      <c r="B757" s="34" t="str">
        <f>HYPERLINK(CONCAT("http://leetcode.com/problems/",Github!C$756), Github!B$756)</f>
        <v>Pour Water</v>
      </c>
      <c r="C757" s="17">
        <f>Github!F$756</f>
        <v>253</v>
      </c>
      <c r="D757" s="17">
        <f>Github!G$756</f>
        <v>590</v>
      </c>
      <c r="E757" s="17">
        <f>Github!F$756+Github!G$756</f>
        <v>843</v>
      </c>
      <c r="F757" s="18">
        <f t="shared" si="1"/>
        <v>0.43</v>
      </c>
      <c r="G757" s="17" t="str">
        <f>Github!H$756</f>
        <v>Algorithms</v>
      </c>
      <c r="H757" s="17" t="b">
        <f>Github!D$756</f>
        <v>1</v>
      </c>
      <c r="I757" s="17" t="str">
        <f>Github!E$756</f>
        <v>Medium</v>
      </c>
      <c r="J757" s="17" t="str">
        <f>ROUND(Github!N$756, 2)&amp;"%"</f>
        <v>0%</v>
      </c>
      <c r="K757" s="17">
        <f>Github!O$756</f>
        <v>45.39531717</v>
      </c>
      <c r="L757" s="17">
        <f>Github!P$756</f>
        <v>29334</v>
      </c>
    </row>
    <row r="758">
      <c r="A758" s="17">
        <f>Github!J$757</f>
        <v>756</v>
      </c>
      <c r="B758" s="34" t="str">
        <f>HYPERLINK(CONCAT("http://leetcode.com/problems/",Github!C$757), Github!B$757)</f>
        <v>Pyramid Transition Matrix</v>
      </c>
      <c r="C758" s="17">
        <f>Github!F$757</f>
        <v>443</v>
      </c>
      <c r="D758" s="17">
        <f>Github!G$757</f>
        <v>421</v>
      </c>
      <c r="E758" s="17">
        <f>Github!F$757+Github!G$757</f>
        <v>864</v>
      </c>
      <c r="F758" s="18">
        <f t="shared" si="1"/>
        <v>1.05</v>
      </c>
      <c r="G758" s="17" t="str">
        <f>Github!H$757</f>
        <v>Algorithms</v>
      </c>
      <c r="H758" s="17" t="b">
        <f>Github!D$757</f>
        <v>0</v>
      </c>
      <c r="I758" s="17" t="str">
        <f>Github!E$757</f>
        <v>Medium</v>
      </c>
      <c r="J758" s="17" t="str">
        <f>ROUND(Github!N$757, 2)&amp;"%"</f>
        <v>0%</v>
      </c>
      <c r="K758" s="17">
        <f>Github!O$757</f>
        <v>54.74891164</v>
      </c>
      <c r="L758" s="17">
        <f>Github!P$757</f>
        <v>26787</v>
      </c>
    </row>
    <row r="759">
      <c r="A759" s="17">
        <f>Github!J$758</f>
        <v>757</v>
      </c>
      <c r="B759" s="34" t="str">
        <f>HYPERLINK(CONCAT("http://leetcode.com/problems/",Github!C$758), Github!B$758)</f>
        <v>Set Intersection Size At Least Two</v>
      </c>
      <c r="C759" s="17">
        <f>Github!F$758</f>
        <v>432</v>
      </c>
      <c r="D759" s="17">
        <f>Github!G$758</f>
        <v>57</v>
      </c>
      <c r="E759" s="17">
        <f>Github!F$758+Github!G$758</f>
        <v>489</v>
      </c>
      <c r="F759" s="18">
        <f t="shared" si="1"/>
        <v>7.58</v>
      </c>
      <c r="G759" s="17" t="str">
        <f>Github!H$758</f>
        <v>Algorithms</v>
      </c>
      <c r="H759" s="17" t="b">
        <f>Github!D$758</f>
        <v>0</v>
      </c>
      <c r="I759" s="17" t="str">
        <f>Github!E$758</f>
        <v>Hard</v>
      </c>
      <c r="J759" s="17" t="str">
        <f>ROUND(Github!N$758, 2)&amp;"%"</f>
        <v>0%</v>
      </c>
      <c r="K759" s="17">
        <f>Github!O$758</f>
        <v>43.01843972</v>
      </c>
      <c r="L759" s="17">
        <f>Github!P$758</f>
        <v>15164</v>
      </c>
    </row>
    <row r="760">
      <c r="A760" s="17">
        <f>Github!J$759</f>
        <v>758</v>
      </c>
      <c r="B760" s="34" t="str">
        <f>HYPERLINK(CONCAT("http://leetcode.com/problems/",Github!C$759), Github!B$759)</f>
        <v>Bold Words in String</v>
      </c>
      <c r="C760" s="17">
        <f>Github!F$759</f>
        <v>231</v>
      </c>
      <c r="D760" s="17">
        <f>Github!G$759</f>
        <v>114</v>
      </c>
      <c r="E760" s="17">
        <f>Github!F$759+Github!G$759</f>
        <v>345</v>
      </c>
      <c r="F760" s="18">
        <f t="shared" si="1"/>
        <v>2.03</v>
      </c>
      <c r="G760" s="17" t="str">
        <f>Github!H$759</f>
        <v>Algorithms</v>
      </c>
      <c r="H760" s="17" t="b">
        <f>Github!D$759</f>
        <v>1</v>
      </c>
      <c r="I760" s="17" t="str">
        <f>Github!E$759</f>
        <v>Medium</v>
      </c>
      <c r="J760" s="17" t="str">
        <f>ROUND(Github!N$759, 2)&amp;"%"</f>
        <v>0%</v>
      </c>
      <c r="K760" s="17">
        <f>Github!O$759</f>
        <v>50.00308471</v>
      </c>
      <c r="L760" s="17">
        <f>Github!P$759</f>
        <v>16210</v>
      </c>
    </row>
    <row r="761">
      <c r="A761" s="17">
        <f>Github!J$760</f>
        <v>759</v>
      </c>
      <c r="B761" s="34" t="str">
        <f>HYPERLINK(CONCAT("http://leetcode.com/problems/",Github!C$760), Github!B$760)</f>
        <v>Employee Free Time</v>
      </c>
      <c r="C761" s="17">
        <f>Github!F$760</f>
        <v>1319</v>
      </c>
      <c r="D761" s="17">
        <f>Github!G$760</f>
        <v>84</v>
      </c>
      <c r="E761" s="17">
        <f>Github!F$760+Github!G$760</f>
        <v>1403</v>
      </c>
      <c r="F761" s="18">
        <f t="shared" si="1"/>
        <v>15.7</v>
      </c>
      <c r="G761" s="17" t="str">
        <f>Github!H$760</f>
        <v>Algorithms</v>
      </c>
      <c r="H761" s="17" t="b">
        <f>Github!D$760</f>
        <v>1</v>
      </c>
      <c r="I761" s="17" t="str">
        <f>Github!E$760</f>
        <v>Hard</v>
      </c>
      <c r="J761" s="17" t="str">
        <f>ROUND(Github!N$760, 2)&amp;"%"</f>
        <v>0%</v>
      </c>
      <c r="K761" s="17">
        <f>Github!O$760</f>
        <v>70.86765188</v>
      </c>
      <c r="L761" s="17">
        <f>Github!P$760</f>
        <v>101615</v>
      </c>
    </row>
    <row r="762">
      <c r="A762" s="17">
        <f>Github!J$761</f>
        <v>760</v>
      </c>
      <c r="B762" s="34" t="str">
        <f>HYPERLINK(CONCAT("http://leetcode.com/problems/",Github!C$761), Github!B$761)</f>
        <v>Find Anagram Mappings</v>
      </c>
      <c r="C762" s="17">
        <f>Github!F$761</f>
        <v>478</v>
      </c>
      <c r="D762" s="17">
        <f>Github!G$761</f>
        <v>193</v>
      </c>
      <c r="E762" s="17">
        <f>Github!F$761+Github!G$761</f>
        <v>671</v>
      </c>
      <c r="F762" s="18">
        <f t="shared" si="1"/>
        <v>2.48</v>
      </c>
      <c r="G762" s="17" t="str">
        <f>Github!H$761</f>
        <v>Algorithms</v>
      </c>
      <c r="H762" s="17" t="b">
        <f>Github!D$761</f>
        <v>1</v>
      </c>
      <c r="I762" s="17" t="str">
        <f>Github!E$761</f>
        <v>Easy</v>
      </c>
      <c r="J762" s="17" t="str">
        <f>ROUND(Github!N$761, 2)&amp;"%"</f>
        <v>0%</v>
      </c>
      <c r="K762" s="17">
        <f>Github!O$761</f>
        <v>82.61411047</v>
      </c>
      <c r="L762" s="17">
        <f>Github!P$761</f>
        <v>79602</v>
      </c>
    </row>
    <row r="763">
      <c r="A763" s="17">
        <f>Github!J$762</f>
        <v>761</v>
      </c>
      <c r="B763" s="34" t="str">
        <f>HYPERLINK(CONCAT("http://leetcode.com/problems/",Github!C$762), Github!B$762)</f>
        <v>Special Binary String</v>
      </c>
      <c r="C763" s="17">
        <f>Github!F$762</f>
        <v>519</v>
      </c>
      <c r="D763" s="17">
        <f>Github!G$762</f>
        <v>167</v>
      </c>
      <c r="E763" s="17">
        <f>Github!F$762+Github!G$762</f>
        <v>686</v>
      </c>
      <c r="F763" s="18">
        <f t="shared" si="1"/>
        <v>3.11</v>
      </c>
      <c r="G763" s="17" t="str">
        <f>Github!H$762</f>
        <v>Algorithms</v>
      </c>
      <c r="H763" s="17" t="b">
        <f>Github!D$762</f>
        <v>0</v>
      </c>
      <c r="I763" s="17" t="str">
        <f>Github!E$762</f>
        <v>Hard</v>
      </c>
      <c r="J763" s="17" t="str">
        <f>ROUND(Github!N$762, 2)&amp;"%"</f>
        <v>0%</v>
      </c>
      <c r="K763" s="17">
        <f>Github!O$762</f>
        <v>59.78369992</v>
      </c>
      <c r="L763" s="17">
        <f>Github!P$762</f>
        <v>13101</v>
      </c>
    </row>
    <row r="764">
      <c r="A764" s="17">
        <f>Github!J$763</f>
        <v>762</v>
      </c>
      <c r="B764" s="34" t="str">
        <f>HYPERLINK(CONCAT("http://leetcode.com/problems/",Github!C$763), Github!B$763)</f>
        <v>Prime Number of Set Bits in Binary Representation</v>
      </c>
      <c r="C764" s="17">
        <f>Github!F$763</f>
        <v>444</v>
      </c>
      <c r="D764" s="17">
        <f>Github!G$763</f>
        <v>450</v>
      </c>
      <c r="E764" s="17">
        <f>Github!F$763+Github!G$763</f>
        <v>894</v>
      </c>
      <c r="F764" s="18">
        <f t="shared" si="1"/>
        <v>0.99</v>
      </c>
      <c r="G764" s="17" t="str">
        <f>Github!H$763</f>
        <v>Algorithms</v>
      </c>
      <c r="H764" s="17" t="b">
        <f>Github!D$763</f>
        <v>0</v>
      </c>
      <c r="I764" s="17" t="str">
        <f>Github!E$763</f>
        <v>Easy</v>
      </c>
      <c r="J764" s="17" t="str">
        <f>ROUND(Github!N$763, 2)&amp;"%"</f>
        <v>0%</v>
      </c>
      <c r="K764" s="17">
        <f>Github!O$763</f>
        <v>66.47563613</v>
      </c>
      <c r="L764" s="17">
        <f>Github!P$763</f>
        <v>66695</v>
      </c>
    </row>
    <row r="765">
      <c r="A765" s="17">
        <f>Github!J$764</f>
        <v>763</v>
      </c>
      <c r="B765" s="34" t="str">
        <f>HYPERLINK(CONCAT("http://leetcode.com/problems/",Github!C$764), Github!B$764)</f>
        <v>Partition Labels</v>
      </c>
      <c r="C765" s="17">
        <f>Github!F$764</f>
        <v>6483</v>
      </c>
      <c r="D765" s="17">
        <f>Github!G$764</f>
        <v>254</v>
      </c>
      <c r="E765" s="17">
        <f>Github!F$764+Github!G$764</f>
        <v>6737</v>
      </c>
      <c r="F765" s="18">
        <f t="shared" si="1"/>
        <v>25.52</v>
      </c>
      <c r="G765" s="17" t="str">
        <f>Github!H$764</f>
        <v>Algorithms</v>
      </c>
      <c r="H765" s="17" t="b">
        <f>Github!D$764</f>
        <v>0</v>
      </c>
      <c r="I765" s="17" t="str">
        <f>Github!E$764</f>
        <v>Medium</v>
      </c>
      <c r="J765" s="17" t="str">
        <f>ROUND(Github!N$764, 2)&amp;"%"</f>
        <v>0%</v>
      </c>
      <c r="K765" s="17">
        <f>Github!O$764</f>
        <v>78.69942975</v>
      </c>
      <c r="L765" s="17">
        <f>Github!P$764</f>
        <v>333145</v>
      </c>
    </row>
    <row r="766">
      <c r="A766" s="17">
        <f>Github!J$765</f>
        <v>764</v>
      </c>
      <c r="B766" s="34" t="str">
        <f>HYPERLINK(CONCAT("http://leetcode.com/problems/",Github!C$765), Github!B$765)</f>
        <v>Largest Plus Sign</v>
      </c>
      <c r="C766" s="17">
        <f>Github!F$765</f>
        <v>1078</v>
      </c>
      <c r="D766" s="17">
        <f>Github!G$765</f>
        <v>187</v>
      </c>
      <c r="E766" s="17">
        <f>Github!F$765+Github!G$765</f>
        <v>1265</v>
      </c>
      <c r="F766" s="18">
        <f t="shared" si="1"/>
        <v>5.76</v>
      </c>
      <c r="G766" s="17" t="str">
        <f>Github!H$765</f>
        <v>Algorithms</v>
      </c>
      <c r="H766" s="17" t="b">
        <f>Github!D$765</f>
        <v>0</v>
      </c>
      <c r="I766" s="17" t="str">
        <f>Github!E$765</f>
        <v>Medium</v>
      </c>
      <c r="J766" s="17" t="str">
        <f>ROUND(Github!N$765, 2)&amp;"%"</f>
        <v>0%</v>
      </c>
      <c r="K766" s="17">
        <f>Github!O$765</f>
        <v>48.55903221</v>
      </c>
      <c r="L766" s="17">
        <f>Github!P$765</f>
        <v>47566</v>
      </c>
    </row>
    <row r="767">
      <c r="A767" s="17">
        <f>Github!J$766</f>
        <v>765</v>
      </c>
      <c r="B767" s="34" t="str">
        <f>HYPERLINK(CONCAT("http://leetcode.com/problems/",Github!C$766), Github!B$766)</f>
        <v>Couples Holding Hands</v>
      </c>
      <c r="C767" s="17">
        <f>Github!F$766</f>
        <v>1531</v>
      </c>
      <c r="D767" s="17">
        <f>Github!G$766</f>
        <v>83</v>
      </c>
      <c r="E767" s="17">
        <f>Github!F$766+Github!G$766</f>
        <v>1614</v>
      </c>
      <c r="F767" s="18">
        <f t="shared" si="1"/>
        <v>18.45</v>
      </c>
      <c r="G767" s="17" t="str">
        <f>Github!H$766</f>
        <v>Algorithms</v>
      </c>
      <c r="H767" s="17" t="b">
        <f>Github!D$766</f>
        <v>0</v>
      </c>
      <c r="I767" s="17" t="str">
        <f>Github!E$766</f>
        <v>Hard</v>
      </c>
      <c r="J767" s="17" t="str">
        <f>ROUND(Github!N$766, 2)&amp;"%"</f>
        <v>0%</v>
      </c>
      <c r="K767" s="17">
        <f>Github!O$766</f>
        <v>56.34264462</v>
      </c>
      <c r="L767" s="17">
        <f>Github!P$766</f>
        <v>42114</v>
      </c>
    </row>
    <row r="768">
      <c r="A768" s="17">
        <f>Github!J$767</f>
        <v>766</v>
      </c>
      <c r="B768" s="34" t="str">
        <f>HYPERLINK(CONCAT("http://leetcode.com/problems/",Github!C$767), Github!B$767)</f>
        <v>Toeplitz Matrix</v>
      </c>
      <c r="C768" s="17">
        <f>Github!F$767</f>
        <v>1860</v>
      </c>
      <c r="D768" s="17">
        <f>Github!G$767</f>
        <v>117</v>
      </c>
      <c r="E768" s="17">
        <f>Github!F$767+Github!G$767</f>
        <v>1977</v>
      </c>
      <c r="F768" s="18">
        <f t="shared" si="1"/>
        <v>15.9</v>
      </c>
      <c r="G768" s="17" t="str">
        <f>Github!H$767</f>
        <v>Algorithms</v>
      </c>
      <c r="H768" s="17" t="b">
        <f>Github!D$767</f>
        <v>0</v>
      </c>
      <c r="I768" s="17" t="str">
        <f>Github!E$767</f>
        <v>Easy</v>
      </c>
      <c r="J768" s="17" t="str">
        <f>ROUND(Github!N$767, 2)&amp;"%"</f>
        <v>0%</v>
      </c>
      <c r="K768" s="17">
        <f>Github!O$767</f>
        <v>67.6914673</v>
      </c>
      <c r="L768" s="17">
        <f>Github!P$767</f>
        <v>175964</v>
      </c>
    </row>
    <row r="769">
      <c r="A769" s="17">
        <f>Github!J$768</f>
        <v>767</v>
      </c>
      <c r="B769" s="34" t="str">
        <f>HYPERLINK(CONCAT("http://leetcode.com/problems/",Github!C$768), Github!B$768)</f>
        <v>Reorganize String</v>
      </c>
      <c r="C769" s="17">
        <f>Github!F$768</f>
        <v>4365</v>
      </c>
      <c r="D769" s="17">
        <f>Github!G$768</f>
        <v>170</v>
      </c>
      <c r="E769" s="17">
        <f>Github!F$768+Github!G$768</f>
        <v>4535</v>
      </c>
      <c r="F769" s="18">
        <f t="shared" si="1"/>
        <v>25.68</v>
      </c>
      <c r="G769" s="17" t="str">
        <f>Github!H$768</f>
        <v>Algorithms</v>
      </c>
      <c r="H769" s="17" t="b">
        <f>Github!D$768</f>
        <v>0</v>
      </c>
      <c r="I769" s="17" t="str">
        <f>Github!E$768</f>
        <v>Medium</v>
      </c>
      <c r="J769" s="17" t="str">
        <f>ROUND(Github!N$768, 2)&amp;"%"</f>
        <v>0%</v>
      </c>
      <c r="K769" s="17">
        <f>Github!O$768</f>
        <v>51.82664523</v>
      </c>
      <c r="L769" s="17">
        <f>Github!P$768</f>
        <v>198901</v>
      </c>
    </row>
    <row r="770">
      <c r="A770" s="17">
        <f>Github!J$769</f>
        <v>768</v>
      </c>
      <c r="B770" s="34" t="str">
        <f>HYPERLINK(CONCAT("http://leetcode.com/problems/",Github!C$769), Github!B$769)</f>
        <v>Max Chunks To Make Sorted II</v>
      </c>
      <c r="C770" s="17">
        <f>Github!F$769</f>
        <v>1075</v>
      </c>
      <c r="D770" s="17">
        <f>Github!G$769</f>
        <v>31</v>
      </c>
      <c r="E770" s="17">
        <f>Github!F$769+Github!G$769</f>
        <v>1106</v>
      </c>
      <c r="F770" s="18">
        <f t="shared" si="1"/>
        <v>34.68</v>
      </c>
      <c r="G770" s="17" t="str">
        <f>Github!H$769</f>
        <v>Algorithms</v>
      </c>
      <c r="H770" s="17" t="b">
        <f>Github!D$769</f>
        <v>0</v>
      </c>
      <c r="I770" s="17" t="str">
        <f>Github!E$769</f>
        <v>Hard</v>
      </c>
      <c r="J770" s="17" t="str">
        <f>ROUND(Github!N$769, 2)&amp;"%"</f>
        <v>0%</v>
      </c>
      <c r="K770" s="17">
        <f>Github!O$769</f>
        <v>51.82635964</v>
      </c>
      <c r="L770" s="17">
        <f>Github!P$769</f>
        <v>39000</v>
      </c>
    </row>
    <row r="771">
      <c r="A771" s="17">
        <f>Github!J$770</f>
        <v>769</v>
      </c>
      <c r="B771" s="34" t="str">
        <f>HYPERLINK(CONCAT("http://leetcode.com/problems/",Github!C$770), Github!B$770)</f>
        <v>Max Chunks To Make Sorted</v>
      </c>
      <c r="C771" s="17">
        <f>Github!F$770</f>
        <v>1739</v>
      </c>
      <c r="D771" s="17">
        <f>Github!G$770</f>
        <v>178</v>
      </c>
      <c r="E771" s="17">
        <f>Github!F$770+Github!G$770</f>
        <v>1917</v>
      </c>
      <c r="F771" s="18">
        <f t="shared" si="1"/>
        <v>9.77</v>
      </c>
      <c r="G771" s="17" t="str">
        <f>Github!H$770</f>
        <v>Algorithms</v>
      </c>
      <c r="H771" s="17" t="b">
        <f>Github!D$770</f>
        <v>0</v>
      </c>
      <c r="I771" s="17" t="str">
        <f>Github!E$770</f>
        <v>Medium</v>
      </c>
      <c r="J771" s="17" t="str">
        <f>ROUND(Github!N$770, 2)&amp;"%"</f>
        <v>0%</v>
      </c>
      <c r="K771" s="17">
        <f>Github!O$770</f>
        <v>57.53332265</v>
      </c>
      <c r="L771" s="17">
        <f>Github!P$770</f>
        <v>68242</v>
      </c>
    </row>
    <row r="772">
      <c r="A772" s="17">
        <f>Github!J$771</f>
        <v>770</v>
      </c>
      <c r="B772" s="34" t="str">
        <f>HYPERLINK(CONCAT("http://leetcode.com/problems/",Github!C$771), Github!B$771)</f>
        <v>Basic Calculator IV</v>
      </c>
      <c r="C772" s="17">
        <f>Github!F$771</f>
        <v>111</v>
      </c>
      <c r="D772" s="17">
        <f>Github!G$771</f>
        <v>1155</v>
      </c>
      <c r="E772" s="17">
        <f>Github!F$771+Github!G$771</f>
        <v>1266</v>
      </c>
      <c r="F772" s="18">
        <f t="shared" si="1"/>
        <v>0.1</v>
      </c>
      <c r="G772" s="17" t="str">
        <f>Github!H$771</f>
        <v>Algorithms</v>
      </c>
      <c r="H772" s="17" t="b">
        <f>Github!D$771</f>
        <v>0</v>
      </c>
      <c r="I772" s="17" t="str">
        <f>Github!E$771</f>
        <v>Hard</v>
      </c>
      <c r="J772" s="17" t="str">
        <f>ROUND(Github!N$771, 2)&amp;"%"</f>
        <v>0%</v>
      </c>
      <c r="K772" s="17">
        <f>Github!O$771</f>
        <v>55.5368775</v>
      </c>
      <c r="L772" s="17">
        <f>Github!P$771</f>
        <v>7929</v>
      </c>
    </row>
    <row r="773">
      <c r="A773" s="17">
        <f>Github!J$772</f>
        <v>771</v>
      </c>
      <c r="B773" s="34" t="str">
        <f>HYPERLINK(CONCAT("http://leetcode.com/problems/",Github!C$772), Github!B$772)</f>
        <v>Jewels and Stones</v>
      </c>
      <c r="C773" s="17">
        <f>Github!F$772</f>
        <v>3377</v>
      </c>
      <c r="D773" s="17">
        <f>Github!G$772</f>
        <v>482</v>
      </c>
      <c r="E773" s="17">
        <f>Github!F$772+Github!G$772</f>
        <v>3859</v>
      </c>
      <c r="F773" s="18">
        <f t="shared" si="1"/>
        <v>7.01</v>
      </c>
      <c r="G773" s="17" t="str">
        <f>Github!H$772</f>
        <v>Algorithms</v>
      </c>
      <c r="H773" s="17" t="b">
        <f>Github!D$772</f>
        <v>0</v>
      </c>
      <c r="I773" s="17" t="str">
        <f>Github!E$772</f>
        <v>Easy</v>
      </c>
      <c r="J773" s="17" t="str">
        <f>ROUND(Github!N$772, 2)&amp;"%"</f>
        <v>0%</v>
      </c>
      <c r="K773" s="17">
        <f>Github!O$772</f>
        <v>87.63393907</v>
      </c>
      <c r="L773" s="17">
        <f>Github!P$772</f>
        <v>719457</v>
      </c>
    </row>
    <row r="774">
      <c r="A774" s="17">
        <f>Github!J$773</f>
        <v>772</v>
      </c>
      <c r="B774" s="34" t="str">
        <f>HYPERLINK(CONCAT("http://leetcode.com/problems/",Github!C$773), Github!B$773)</f>
        <v>Basic Calculator III</v>
      </c>
      <c r="C774" s="17">
        <f>Github!F$773</f>
        <v>810</v>
      </c>
      <c r="D774" s="17">
        <f>Github!G$773</f>
        <v>242</v>
      </c>
      <c r="E774" s="17">
        <f>Github!F$773+Github!G$773</f>
        <v>1052</v>
      </c>
      <c r="F774" s="18">
        <f t="shared" si="1"/>
        <v>3.35</v>
      </c>
      <c r="G774" s="17" t="str">
        <f>Github!H$773</f>
        <v>Algorithms</v>
      </c>
      <c r="H774" s="17" t="b">
        <f>Github!D$773</f>
        <v>1</v>
      </c>
      <c r="I774" s="17" t="str">
        <f>Github!E$773</f>
        <v>Hard</v>
      </c>
      <c r="J774" s="17" t="str">
        <f>ROUND(Github!N$773, 2)&amp;"%"</f>
        <v>0%</v>
      </c>
      <c r="K774" s="17">
        <f>Github!O$773</f>
        <v>47.15616536</v>
      </c>
      <c r="L774" s="17">
        <f>Github!P$773</f>
        <v>79218</v>
      </c>
    </row>
    <row r="775">
      <c r="A775" s="17">
        <f>Github!J$774</f>
        <v>773</v>
      </c>
      <c r="B775" s="34" t="str">
        <f>HYPERLINK(CONCAT("http://leetcode.com/problems/",Github!C$774), Github!B$774)</f>
        <v>Sliding Puzzle</v>
      </c>
      <c r="C775" s="17">
        <f>Github!F$774</f>
        <v>1413</v>
      </c>
      <c r="D775" s="17">
        <f>Github!G$774</f>
        <v>36</v>
      </c>
      <c r="E775" s="17">
        <f>Github!F$774+Github!G$774</f>
        <v>1449</v>
      </c>
      <c r="F775" s="18">
        <f t="shared" si="1"/>
        <v>39.25</v>
      </c>
      <c r="G775" s="17" t="str">
        <f>Github!H$774</f>
        <v>Algorithms</v>
      </c>
      <c r="H775" s="17" t="b">
        <f>Github!D$774</f>
        <v>0</v>
      </c>
      <c r="I775" s="17" t="str">
        <f>Github!E$774</f>
        <v>Hard</v>
      </c>
      <c r="J775" s="17" t="str">
        <f>ROUND(Github!N$774, 2)&amp;"%"</f>
        <v>0%</v>
      </c>
      <c r="K775" s="17">
        <f>Github!O$774</f>
        <v>62.9699816</v>
      </c>
      <c r="L775" s="17">
        <f>Github!P$774</f>
        <v>68782</v>
      </c>
    </row>
    <row r="776">
      <c r="A776" s="17">
        <f>Github!J$775</f>
        <v>774</v>
      </c>
      <c r="B776" s="34" t="str">
        <f>HYPERLINK(CONCAT("http://leetcode.com/problems/",Github!C$775), Github!B$775)</f>
        <v>Minimize Max Distance to Gas Station</v>
      </c>
      <c r="C776" s="17">
        <f>Github!F$775</f>
        <v>572</v>
      </c>
      <c r="D776" s="17">
        <f>Github!G$775</f>
        <v>82</v>
      </c>
      <c r="E776" s="17">
        <f>Github!F$775+Github!G$775</f>
        <v>654</v>
      </c>
      <c r="F776" s="18">
        <f t="shared" si="1"/>
        <v>6.98</v>
      </c>
      <c r="G776" s="17" t="str">
        <f>Github!H$775</f>
        <v>Algorithms</v>
      </c>
      <c r="H776" s="17" t="b">
        <f>Github!D$775</f>
        <v>1</v>
      </c>
      <c r="I776" s="17" t="str">
        <f>Github!E$775</f>
        <v>Hard</v>
      </c>
      <c r="J776" s="17" t="str">
        <f>ROUND(Github!N$775, 2)&amp;"%"</f>
        <v>0%</v>
      </c>
      <c r="K776" s="17">
        <f>Github!O$775</f>
        <v>50.21755258</v>
      </c>
      <c r="L776" s="17">
        <f>Github!P$775</f>
        <v>25045</v>
      </c>
    </row>
    <row r="777">
      <c r="A777" s="17">
        <f>Github!J$776</f>
        <v>775</v>
      </c>
      <c r="B777" s="34" t="str">
        <f>HYPERLINK(CONCAT("http://leetcode.com/problems/",Github!C$776), Github!B$776)</f>
        <v>Global and Local Inversions</v>
      </c>
      <c r="C777" s="17">
        <f>Github!F$776</f>
        <v>1149</v>
      </c>
      <c r="D777" s="17">
        <f>Github!G$776</f>
        <v>298</v>
      </c>
      <c r="E777" s="17">
        <f>Github!F$776+Github!G$776</f>
        <v>1447</v>
      </c>
      <c r="F777" s="18">
        <f t="shared" si="1"/>
        <v>3.86</v>
      </c>
      <c r="G777" s="17" t="str">
        <f>Github!H$776</f>
        <v>Algorithms</v>
      </c>
      <c r="H777" s="17" t="b">
        <f>Github!D$776</f>
        <v>0</v>
      </c>
      <c r="I777" s="17" t="str">
        <f>Github!E$776</f>
        <v>Medium</v>
      </c>
      <c r="J777" s="17" t="str">
        <f>ROUND(Github!N$776, 2)&amp;"%"</f>
        <v>0%</v>
      </c>
      <c r="K777" s="17">
        <f>Github!O$776</f>
        <v>45.36421684</v>
      </c>
      <c r="L777" s="17">
        <f>Github!P$776</f>
        <v>55700</v>
      </c>
    </row>
    <row r="778">
      <c r="A778" s="17">
        <f>Github!J$777</f>
        <v>776</v>
      </c>
      <c r="B778" s="34" t="str">
        <f>HYPERLINK(CONCAT("http://leetcode.com/problems/",Github!C$777), Github!B$777)</f>
        <v>Split BST</v>
      </c>
      <c r="C778" s="17">
        <f>Github!F$777</f>
        <v>875</v>
      </c>
      <c r="D778" s="17">
        <f>Github!G$777</f>
        <v>87</v>
      </c>
      <c r="E778" s="17">
        <f>Github!F$777+Github!G$777</f>
        <v>962</v>
      </c>
      <c r="F778" s="18">
        <f t="shared" si="1"/>
        <v>10.06</v>
      </c>
      <c r="G778" s="17" t="str">
        <f>Github!H$777</f>
        <v>Algorithms</v>
      </c>
      <c r="H778" s="17" t="b">
        <f>Github!D$777</f>
        <v>1</v>
      </c>
      <c r="I778" s="17" t="str">
        <f>Github!E$777</f>
        <v>Medium</v>
      </c>
      <c r="J778" s="17" t="str">
        <f>ROUND(Github!N$777, 2)&amp;"%"</f>
        <v>0%</v>
      </c>
      <c r="K778" s="17">
        <f>Github!O$777</f>
        <v>58.17114205</v>
      </c>
      <c r="L778" s="17">
        <f>Github!P$777</f>
        <v>26451</v>
      </c>
    </row>
    <row r="779">
      <c r="A779" s="17">
        <f>Github!J$778</f>
        <v>777</v>
      </c>
      <c r="B779" s="34" t="str">
        <f>HYPERLINK(CONCAT("http://leetcode.com/problems/",Github!C$778), Github!B$778)</f>
        <v>Swap Adjacent in LR String</v>
      </c>
      <c r="C779" s="17">
        <f>Github!F$778</f>
        <v>746</v>
      </c>
      <c r="D779" s="17">
        <f>Github!G$778</f>
        <v>650</v>
      </c>
      <c r="E779" s="17">
        <f>Github!F$778+Github!G$778</f>
        <v>1396</v>
      </c>
      <c r="F779" s="18">
        <f t="shared" si="1"/>
        <v>1.15</v>
      </c>
      <c r="G779" s="17" t="str">
        <f>Github!H$778</f>
        <v>Algorithms</v>
      </c>
      <c r="H779" s="17" t="b">
        <f>Github!D$778</f>
        <v>0</v>
      </c>
      <c r="I779" s="17" t="str">
        <f>Github!E$778</f>
        <v>Medium</v>
      </c>
      <c r="J779" s="17" t="str">
        <f>ROUND(Github!N$778, 2)&amp;"%"</f>
        <v>0%</v>
      </c>
      <c r="K779" s="17">
        <f>Github!O$778</f>
        <v>36.22161156</v>
      </c>
      <c r="L779" s="17">
        <f>Github!P$778</f>
        <v>49825</v>
      </c>
    </row>
    <row r="780">
      <c r="A780" s="17">
        <f>Github!J$779</f>
        <v>778</v>
      </c>
      <c r="B780" s="34" t="str">
        <f>HYPERLINK(CONCAT("http://leetcode.com/problems/",Github!C$779), Github!B$779)</f>
        <v>Swim in Rising Water</v>
      </c>
      <c r="C780" s="17">
        <f>Github!F$779</f>
        <v>1785</v>
      </c>
      <c r="D780" s="17">
        <f>Github!G$779</f>
        <v>127</v>
      </c>
      <c r="E780" s="17">
        <f>Github!F$779+Github!G$779</f>
        <v>1912</v>
      </c>
      <c r="F780" s="18">
        <f t="shared" si="1"/>
        <v>14.06</v>
      </c>
      <c r="G780" s="17" t="str">
        <f>Github!H$779</f>
        <v>Algorithms</v>
      </c>
      <c r="H780" s="17" t="b">
        <f>Github!D$779</f>
        <v>0</v>
      </c>
      <c r="I780" s="17" t="str">
        <f>Github!E$779</f>
        <v>Hard</v>
      </c>
      <c r="J780" s="17" t="str">
        <f>ROUND(Github!N$779, 2)&amp;"%"</f>
        <v>0%</v>
      </c>
      <c r="K780" s="17">
        <f>Github!O$779</f>
        <v>58.4445889</v>
      </c>
      <c r="L780" s="17">
        <f>Github!P$779</f>
        <v>70127</v>
      </c>
    </row>
    <row r="781">
      <c r="A781" s="17">
        <f>Github!J$780</f>
        <v>779</v>
      </c>
      <c r="B781" s="34" t="str">
        <f>HYPERLINK(CONCAT("http://leetcode.com/problems/",Github!C$780), Github!B$780)</f>
        <v>K-th Symbol in Grammar</v>
      </c>
      <c r="C781" s="17">
        <f>Github!F$780</f>
        <v>1588</v>
      </c>
      <c r="D781" s="17">
        <f>Github!G$780</f>
        <v>243</v>
      </c>
      <c r="E781" s="17">
        <f>Github!F$780+Github!G$780</f>
        <v>1831</v>
      </c>
      <c r="F781" s="18">
        <f t="shared" si="1"/>
        <v>6.53</v>
      </c>
      <c r="G781" s="17" t="str">
        <f>Github!H$780</f>
        <v>Algorithms</v>
      </c>
      <c r="H781" s="17" t="b">
        <f>Github!D$780</f>
        <v>0</v>
      </c>
      <c r="I781" s="17" t="str">
        <f>Github!E$780</f>
        <v>Medium</v>
      </c>
      <c r="J781" s="17" t="str">
        <f>ROUND(Github!N$780, 2)&amp;"%"</f>
        <v>0%</v>
      </c>
      <c r="K781" s="17">
        <f>Github!O$780</f>
        <v>39.8080618</v>
      </c>
      <c r="L781" s="17">
        <f>Github!P$780</f>
        <v>80179</v>
      </c>
    </row>
    <row r="782">
      <c r="A782" s="17">
        <f>Github!J$781</f>
        <v>780</v>
      </c>
      <c r="B782" s="34" t="str">
        <f>HYPERLINK(CONCAT("http://leetcode.com/problems/",Github!C$781), Github!B$781)</f>
        <v>Reaching Points</v>
      </c>
      <c r="C782" s="17">
        <f>Github!F$781</f>
        <v>910</v>
      </c>
      <c r="D782" s="17">
        <f>Github!G$781</f>
        <v>155</v>
      </c>
      <c r="E782" s="17">
        <f>Github!F$781+Github!G$781</f>
        <v>1065</v>
      </c>
      <c r="F782" s="18">
        <f t="shared" si="1"/>
        <v>5.87</v>
      </c>
      <c r="G782" s="17" t="str">
        <f>Github!H$781</f>
        <v>Algorithms</v>
      </c>
      <c r="H782" s="17" t="b">
        <f>Github!D$781</f>
        <v>0</v>
      </c>
      <c r="I782" s="17" t="str">
        <f>Github!E$781</f>
        <v>Hard</v>
      </c>
      <c r="J782" s="17" t="str">
        <f>ROUND(Github!N$781, 2)&amp;"%"</f>
        <v>0%</v>
      </c>
      <c r="K782" s="17">
        <f>Github!O$781</f>
        <v>31.47012702</v>
      </c>
      <c r="L782" s="17">
        <f>Github!P$781</f>
        <v>40137</v>
      </c>
    </row>
    <row r="783">
      <c r="A783" s="17">
        <f>Github!J$782</f>
        <v>781</v>
      </c>
      <c r="B783" s="34" t="str">
        <f>HYPERLINK(CONCAT("http://leetcode.com/problems/",Github!C$782), Github!B$782)</f>
        <v>Rabbits in Forest</v>
      </c>
      <c r="C783" s="17">
        <f>Github!F$782</f>
        <v>661</v>
      </c>
      <c r="D783" s="17">
        <f>Github!G$782</f>
        <v>476</v>
      </c>
      <c r="E783" s="17">
        <f>Github!F$782+Github!G$782</f>
        <v>1137</v>
      </c>
      <c r="F783" s="18">
        <f t="shared" si="1"/>
        <v>1.39</v>
      </c>
      <c r="G783" s="17" t="str">
        <f>Github!H$782</f>
        <v>Algorithms</v>
      </c>
      <c r="H783" s="17" t="b">
        <f>Github!D$782</f>
        <v>0</v>
      </c>
      <c r="I783" s="17" t="str">
        <f>Github!E$782</f>
        <v>Medium</v>
      </c>
      <c r="J783" s="17" t="str">
        <f>ROUND(Github!N$782, 2)&amp;"%"</f>
        <v>0%</v>
      </c>
      <c r="K783" s="17">
        <f>Github!O$782</f>
        <v>55.70225794</v>
      </c>
      <c r="L783" s="17">
        <f>Github!P$782</f>
        <v>34932</v>
      </c>
    </row>
    <row r="784">
      <c r="A784" s="17">
        <f>Github!J$783</f>
        <v>782</v>
      </c>
      <c r="B784" s="34" t="str">
        <f>HYPERLINK(CONCAT("http://leetcode.com/problems/",Github!C$783), Github!B$783)</f>
        <v>Transform to Chessboard</v>
      </c>
      <c r="C784" s="17">
        <f>Github!F$783</f>
        <v>284</v>
      </c>
      <c r="D784" s="17">
        <f>Github!G$783</f>
        <v>282</v>
      </c>
      <c r="E784" s="17">
        <f>Github!F$783+Github!G$783</f>
        <v>566</v>
      </c>
      <c r="F784" s="18">
        <f t="shared" si="1"/>
        <v>1.01</v>
      </c>
      <c r="G784" s="17" t="str">
        <f>Github!H$783</f>
        <v>Algorithms</v>
      </c>
      <c r="H784" s="17" t="b">
        <f>Github!D$783</f>
        <v>0</v>
      </c>
      <c r="I784" s="17" t="str">
        <f>Github!E$783</f>
        <v>Hard</v>
      </c>
      <c r="J784" s="17" t="str">
        <f>ROUND(Github!N$783, 2)&amp;"%"</f>
        <v>0%</v>
      </c>
      <c r="K784" s="17">
        <f>Github!O$783</f>
        <v>52.05258545</v>
      </c>
      <c r="L784" s="17">
        <f>Github!P$783</f>
        <v>14848</v>
      </c>
    </row>
    <row r="785">
      <c r="A785" s="17">
        <f>Github!J$784</f>
        <v>783</v>
      </c>
      <c r="B785" s="34" t="str">
        <f>HYPERLINK(CONCAT("http://leetcode.com/problems/",Github!C$784), Github!B$784)</f>
        <v>Minimum Distance Between BST Nodes</v>
      </c>
      <c r="C785" s="17">
        <f>Github!F$784</f>
        <v>1531</v>
      </c>
      <c r="D785" s="17">
        <f>Github!G$784</f>
        <v>308</v>
      </c>
      <c r="E785" s="17">
        <f>Github!F$784+Github!G$784</f>
        <v>1839</v>
      </c>
      <c r="F785" s="18">
        <f t="shared" si="1"/>
        <v>4.97</v>
      </c>
      <c r="G785" s="17" t="str">
        <f>Github!H$784</f>
        <v>Algorithms</v>
      </c>
      <c r="H785" s="17" t="b">
        <f>Github!D$784</f>
        <v>0</v>
      </c>
      <c r="I785" s="17" t="str">
        <f>Github!E$784</f>
        <v>Easy</v>
      </c>
      <c r="J785" s="17" t="str">
        <f>ROUND(Github!N$784, 2)&amp;"%"</f>
        <v>0%</v>
      </c>
      <c r="K785" s="17">
        <f>Github!O$784</f>
        <v>55.88482991</v>
      </c>
      <c r="L785" s="17">
        <f>Github!P$784</f>
        <v>116126</v>
      </c>
    </row>
    <row r="786">
      <c r="A786" s="17">
        <f>Github!J$785</f>
        <v>784</v>
      </c>
      <c r="B786" s="34" t="str">
        <f>HYPERLINK(CONCAT("http://leetcode.com/problems/",Github!C$785), Github!B$785)</f>
        <v>Letter Case Permutation</v>
      </c>
      <c r="C786" s="17">
        <f>Github!F$785</f>
        <v>3117</v>
      </c>
      <c r="D786" s="17">
        <f>Github!G$785</f>
        <v>141</v>
      </c>
      <c r="E786" s="17">
        <f>Github!F$785+Github!G$785</f>
        <v>3258</v>
      </c>
      <c r="F786" s="18">
        <f t="shared" si="1"/>
        <v>22.11</v>
      </c>
      <c r="G786" s="17" t="str">
        <f>Github!H$785</f>
        <v>Algorithms</v>
      </c>
      <c r="H786" s="17" t="b">
        <f>Github!D$785</f>
        <v>0</v>
      </c>
      <c r="I786" s="17" t="str">
        <f>Github!E$785</f>
        <v>Medium</v>
      </c>
      <c r="J786" s="17" t="str">
        <f>ROUND(Github!N$785, 2)&amp;"%"</f>
        <v>0%</v>
      </c>
      <c r="K786" s="17">
        <f>Github!O$785</f>
        <v>71.91823583</v>
      </c>
      <c r="L786" s="17">
        <f>Github!P$785</f>
        <v>200436</v>
      </c>
    </row>
    <row r="787">
      <c r="A787" s="17">
        <f>Github!J$786</f>
        <v>785</v>
      </c>
      <c r="B787" s="34" t="str">
        <f>HYPERLINK(CONCAT("http://leetcode.com/problems/",Github!C$786), Github!B$786)</f>
        <v>Is Graph Bipartite?</v>
      </c>
      <c r="C787" s="17">
        <f>Github!F$786</f>
        <v>3894</v>
      </c>
      <c r="D787" s="17">
        <f>Github!G$786</f>
        <v>255</v>
      </c>
      <c r="E787" s="17">
        <f>Github!F$786+Github!G$786</f>
        <v>4149</v>
      </c>
      <c r="F787" s="18">
        <f t="shared" si="1"/>
        <v>15.27</v>
      </c>
      <c r="G787" s="17" t="str">
        <f>Github!H$786</f>
        <v>Algorithms</v>
      </c>
      <c r="H787" s="17" t="b">
        <f>Github!D$786</f>
        <v>0</v>
      </c>
      <c r="I787" s="17" t="str">
        <f>Github!E$786</f>
        <v>Medium</v>
      </c>
      <c r="J787" s="17" t="str">
        <f>ROUND(Github!N$786, 2)&amp;"%"</f>
        <v>0%</v>
      </c>
      <c r="K787" s="17">
        <f>Github!O$786</f>
        <v>50.15391451</v>
      </c>
      <c r="L787" s="17">
        <f>Github!P$786</f>
        <v>266386</v>
      </c>
    </row>
    <row r="788">
      <c r="A788" s="17">
        <f>Github!J$787</f>
        <v>786</v>
      </c>
      <c r="B788" s="34" t="str">
        <f>HYPERLINK(CONCAT("http://leetcode.com/problems/",Github!C$787), Github!B$787)</f>
        <v>K-th Smallest Prime Fraction</v>
      </c>
      <c r="C788" s="17">
        <f>Github!F$787</f>
        <v>721</v>
      </c>
      <c r="D788" s="17">
        <f>Github!G$787</f>
        <v>36</v>
      </c>
      <c r="E788" s="17">
        <f>Github!F$787+Github!G$787</f>
        <v>757</v>
      </c>
      <c r="F788" s="18">
        <f t="shared" si="1"/>
        <v>20.03</v>
      </c>
      <c r="G788" s="17" t="str">
        <f>Github!H$787</f>
        <v>Algorithms</v>
      </c>
      <c r="H788" s="17" t="b">
        <f>Github!D$787</f>
        <v>0</v>
      </c>
      <c r="I788" s="17" t="str">
        <f>Github!E$787</f>
        <v>Hard</v>
      </c>
      <c r="J788" s="17" t="str">
        <f>ROUND(Github!N$787, 2)&amp;"%"</f>
        <v>0%</v>
      </c>
      <c r="K788" s="17">
        <f>Github!O$787</f>
        <v>48.0823823</v>
      </c>
      <c r="L788" s="17">
        <f>Github!P$787</f>
        <v>25237</v>
      </c>
    </row>
    <row r="789">
      <c r="A789" s="17">
        <f>Github!J$788</f>
        <v>787</v>
      </c>
      <c r="B789" s="34" t="str">
        <f>HYPERLINK(CONCAT("http://leetcode.com/problems/",Github!C$788), Github!B$788)</f>
        <v>Cheapest Flights Within K Stops</v>
      </c>
      <c r="C789" s="17">
        <f>Github!F$788</f>
        <v>4593</v>
      </c>
      <c r="D789" s="17">
        <f>Github!G$788</f>
        <v>193</v>
      </c>
      <c r="E789" s="17">
        <f>Github!F$788+Github!G$788</f>
        <v>4786</v>
      </c>
      <c r="F789" s="18">
        <f t="shared" si="1"/>
        <v>23.8</v>
      </c>
      <c r="G789" s="17" t="str">
        <f>Github!H$788</f>
        <v>Algorithms</v>
      </c>
      <c r="H789" s="17" t="b">
        <f>Github!D$788</f>
        <v>0</v>
      </c>
      <c r="I789" s="17" t="str">
        <f>Github!E$788</f>
        <v>Medium</v>
      </c>
      <c r="J789" s="17" t="str">
        <f>ROUND(Github!N$788, 2)&amp;"%"</f>
        <v>0%</v>
      </c>
      <c r="K789" s="17">
        <f>Github!O$788</f>
        <v>36.19206497</v>
      </c>
      <c r="L789" s="17">
        <f>Github!P$788</f>
        <v>218897</v>
      </c>
    </row>
    <row r="790">
      <c r="A790" s="17">
        <f>Github!J$789</f>
        <v>788</v>
      </c>
      <c r="B790" s="34" t="str">
        <f>HYPERLINK(CONCAT("http://leetcode.com/problems/",Github!C$789), Github!B$789)</f>
        <v>Rotated Digits</v>
      </c>
      <c r="C790" s="17">
        <f>Github!F$789</f>
        <v>561</v>
      </c>
      <c r="D790" s="17">
        <f>Github!G$789</f>
        <v>1702</v>
      </c>
      <c r="E790" s="17">
        <f>Github!F$789+Github!G$789</f>
        <v>2263</v>
      </c>
      <c r="F790" s="18">
        <f t="shared" si="1"/>
        <v>0.33</v>
      </c>
      <c r="G790" s="17" t="str">
        <f>Github!H$789</f>
        <v>Algorithms</v>
      </c>
      <c r="H790" s="17" t="b">
        <f>Github!D$789</f>
        <v>0</v>
      </c>
      <c r="I790" s="17" t="str">
        <f>Github!E$789</f>
        <v>Medium</v>
      </c>
      <c r="J790" s="17" t="str">
        <f>ROUND(Github!N$789, 2)&amp;"%"</f>
        <v>0%</v>
      </c>
      <c r="K790" s="17">
        <f>Github!O$789</f>
        <v>57.26606862</v>
      </c>
      <c r="L790" s="17">
        <f>Github!P$789</f>
        <v>82797</v>
      </c>
    </row>
    <row r="791">
      <c r="A791" s="17">
        <f>Github!J$790</f>
        <v>789</v>
      </c>
      <c r="B791" s="34" t="str">
        <f>HYPERLINK(CONCAT("http://leetcode.com/problems/",Github!C$790), Github!B$790)</f>
        <v>Escape The Ghosts</v>
      </c>
      <c r="C791" s="17">
        <f>Github!F$790</f>
        <v>82</v>
      </c>
      <c r="D791" s="17">
        <f>Github!G$790</f>
        <v>13</v>
      </c>
      <c r="E791" s="17">
        <f>Github!F$790+Github!G$790</f>
        <v>95</v>
      </c>
      <c r="F791" s="18">
        <f t="shared" si="1"/>
        <v>6.31</v>
      </c>
      <c r="G791" s="17" t="str">
        <f>Github!H$790</f>
        <v>Algorithms</v>
      </c>
      <c r="H791" s="17" t="b">
        <f>Github!D$790</f>
        <v>0</v>
      </c>
      <c r="I791" s="17" t="str">
        <f>Github!E$790</f>
        <v>Medium</v>
      </c>
      <c r="J791" s="17" t="str">
        <f>ROUND(Github!N$790, 2)&amp;"%"</f>
        <v>0%</v>
      </c>
      <c r="K791" s="17">
        <f>Github!O$790</f>
        <v>60.0542923</v>
      </c>
      <c r="L791" s="17">
        <f>Github!P$790</f>
        <v>20574</v>
      </c>
    </row>
    <row r="792">
      <c r="A792" s="17">
        <f>Github!J$791</f>
        <v>790</v>
      </c>
      <c r="B792" s="34" t="str">
        <f>HYPERLINK(CONCAT("http://leetcode.com/problems/",Github!C$791), Github!B$791)</f>
        <v>Domino and Tromino Tiling</v>
      </c>
      <c r="C792" s="17">
        <f>Github!F$791</f>
        <v>1417</v>
      </c>
      <c r="D792" s="17">
        <f>Github!G$791</f>
        <v>556</v>
      </c>
      <c r="E792" s="17">
        <f>Github!F$791+Github!G$791</f>
        <v>1973</v>
      </c>
      <c r="F792" s="18">
        <f t="shared" si="1"/>
        <v>2.55</v>
      </c>
      <c r="G792" s="17" t="str">
        <f>Github!H$791</f>
        <v>Algorithms</v>
      </c>
      <c r="H792" s="17" t="b">
        <f>Github!D$791</f>
        <v>0</v>
      </c>
      <c r="I792" s="17" t="str">
        <f>Github!E$791</f>
        <v>Medium</v>
      </c>
      <c r="J792" s="17" t="str">
        <f>ROUND(Github!N$791, 2)&amp;"%"</f>
        <v>0%</v>
      </c>
      <c r="K792" s="17">
        <f>Github!O$791</f>
        <v>47.68940854</v>
      </c>
      <c r="L792" s="17">
        <f>Github!P$791</f>
        <v>44540</v>
      </c>
    </row>
    <row r="793">
      <c r="A793" s="17">
        <f>Github!J$792</f>
        <v>791</v>
      </c>
      <c r="B793" s="34" t="str">
        <f>HYPERLINK(CONCAT("http://leetcode.com/problems/",Github!C$792), Github!B$792)</f>
        <v>Custom Sort String</v>
      </c>
      <c r="C793" s="17">
        <f>Github!F$792</f>
        <v>1884</v>
      </c>
      <c r="D793" s="17">
        <f>Github!G$792</f>
        <v>274</v>
      </c>
      <c r="E793" s="17">
        <f>Github!F$792+Github!G$792</f>
        <v>2158</v>
      </c>
      <c r="F793" s="18">
        <f t="shared" si="1"/>
        <v>6.88</v>
      </c>
      <c r="G793" s="17" t="str">
        <f>Github!H$792</f>
        <v>Algorithms</v>
      </c>
      <c r="H793" s="17" t="b">
        <f>Github!D$792</f>
        <v>0</v>
      </c>
      <c r="I793" s="17" t="str">
        <f>Github!E$792</f>
        <v>Medium</v>
      </c>
      <c r="J793" s="17" t="str">
        <f>ROUND(Github!N$792, 2)&amp;"%"</f>
        <v>0%</v>
      </c>
      <c r="K793" s="17">
        <f>Github!O$792</f>
        <v>68.77843617</v>
      </c>
      <c r="L793" s="17">
        <f>Github!P$792</f>
        <v>165981</v>
      </c>
    </row>
    <row r="794">
      <c r="A794" s="17">
        <f>Github!J$793</f>
        <v>792</v>
      </c>
      <c r="B794" s="34" t="str">
        <f>HYPERLINK(CONCAT("http://leetcode.com/problems/",Github!C$793), Github!B$793)</f>
        <v>Number of Matching Subsequences</v>
      </c>
      <c r="C794" s="17">
        <f>Github!F$793</f>
        <v>2793</v>
      </c>
      <c r="D794" s="17">
        <f>Github!G$793</f>
        <v>142</v>
      </c>
      <c r="E794" s="17">
        <f>Github!F$793+Github!G$793</f>
        <v>2935</v>
      </c>
      <c r="F794" s="18">
        <f t="shared" si="1"/>
        <v>19.67</v>
      </c>
      <c r="G794" s="17" t="str">
        <f>Github!H$793</f>
        <v>Algorithms</v>
      </c>
      <c r="H794" s="17" t="b">
        <f>Github!D$793</f>
        <v>0</v>
      </c>
      <c r="I794" s="17" t="str">
        <f>Github!E$793</f>
        <v>Medium</v>
      </c>
      <c r="J794" s="17" t="str">
        <f>ROUND(Github!N$793, 2)&amp;"%"</f>
        <v>0%</v>
      </c>
      <c r="K794" s="17">
        <f>Github!O$793</f>
        <v>50.33483964</v>
      </c>
      <c r="L794" s="17">
        <f>Github!P$793</f>
        <v>123415</v>
      </c>
    </row>
    <row r="795">
      <c r="A795" s="17">
        <f>Github!J$794</f>
        <v>793</v>
      </c>
      <c r="B795" s="34" t="str">
        <f>HYPERLINK(CONCAT("http://leetcode.com/problems/",Github!C$794), Github!B$794)</f>
        <v>Preimage Size of Factorial Zeroes Function</v>
      </c>
      <c r="C795" s="17">
        <f>Github!F$794</f>
        <v>289</v>
      </c>
      <c r="D795" s="17">
        <f>Github!G$794</f>
        <v>68</v>
      </c>
      <c r="E795" s="17">
        <f>Github!F$794+Github!G$794</f>
        <v>357</v>
      </c>
      <c r="F795" s="18">
        <f t="shared" si="1"/>
        <v>4.25</v>
      </c>
      <c r="G795" s="17" t="str">
        <f>Github!H$794</f>
        <v>Algorithms</v>
      </c>
      <c r="H795" s="17" t="b">
        <f>Github!D$794</f>
        <v>0</v>
      </c>
      <c r="I795" s="17" t="str">
        <f>Github!E$794</f>
        <v>Hard</v>
      </c>
      <c r="J795" s="17" t="str">
        <f>ROUND(Github!N$794, 2)&amp;"%"</f>
        <v>0%</v>
      </c>
      <c r="K795" s="17">
        <f>Github!O$794</f>
        <v>41.5403552</v>
      </c>
      <c r="L795" s="17">
        <f>Github!P$794</f>
        <v>11812</v>
      </c>
    </row>
    <row r="796">
      <c r="A796" s="17">
        <f>Github!J$795</f>
        <v>794</v>
      </c>
      <c r="B796" s="34" t="str">
        <f>HYPERLINK(CONCAT("http://leetcode.com/problems/",Github!C$795), Github!B$795)</f>
        <v>Valid Tic-Tac-Toe State</v>
      </c>
      <c r="C796" s="17">
        <f>Github!F$795</f>
        <v>388</v>
      </c>
      <c r="D796" s="17">
        <f>Github!G$795</f>
        <v>934</v>
      </c>
      <c r="E796" s="17">
        <f>Github!F$795+Github!G$795</f>
        <v>1322</v>
      </c>
      <c r="F796" s="18">
        <f t="shared" si="1"/>
        <v>0.42</v>
      </c>
      <c r="G796" s="17" t="str">
        <f>Github!H$795</f>
        <v>Algorithms</v>
      </c>
      <c r="H796" s="17" t="b">
        <f>Github!D$795</f>
        <v>0</v>
      </c>
      <c r="I796" s="17" t="str">
        <f>Github!E$795</f>
        <v>Medium</v>
      </c>
      <c r="J796" s="17" t="str">
        <f>ROUND(Github!N$795, 2)&amp;"%"</f>
        <v>0%</v>
      </c>
      <c r="K796" s="17">
        <f>Github!O$795</f>
        <v>35.13205684</v>
      </c>
      <c r="L796" s="17">
        <f>Github!P$795</f>
        <v>44106</v>
      </c>
    </row>
    <row r="797">
      <c r="A797" s="17">
        <f>Github!J$796</f>
        <v>795</v>
      </c>
      <c r="B797" s="34" t="str">
        <f>HYPERLINK(CONCAT("http://leetcode.com/problems/",Github!C$796), Github!B$796)</f>
        <v>Number of Subarrays with Bounded Maximum</v>
      </c>
      <c r="C797" s="17">
        <f>Github!F$796</f>
        <v>1553</v>
      </c>
      <c r="D797" s="17">
        <f>Github!G$796</f>
        <v>89</v>
      </c>
      <c r="E797" s="17">
        <f>Github!F$796+Github!G$796</f>
        <v>1642</v>
      </c>
      <c r="F797" s="18">
        <f t="shared" si="1"/>
        <v>17.45</v>
      </c>
      <c r="G797" s="17" t="str">
        <f>Github!H$796</f>
        <v>Algorithms</v>
      </c>
      <c r="H797" s="17" t="b">
        <f>Github!D$796</f>
        <v>0</v>
      </c>
      <c r="I797" s="17" t="str">
        <f>Github!E$796</f>
        <v>Medium</v>
      </c>
      <c r="J797" s="17" t="str">
        <f>ROUND(Github!N$796, 2)&amp;"%"</f>
        <v>0%</v>
      </c>
      <c r="K797" s="17">
        <f>Github!O$796</f>
        <v>52.33060389</v>
      </c>
      <c r="L797" s="17">
        <f>Github!P$796</f>
        <v>51127</v>
      </c>
    </row>
    <row r="798">
      <c r="A798" s="17">
        <f>Github!J$797</f>
        <v>796</v>
      </c>
      <c r="B798" s="34" t="str">
        <f>HYPERLINK(CONCAT("http://leetcode.com/problems/",Github!C$797), Github!B$797)</f>
        <v>Rotate String</v>
      </c>
      <c r="C798" s="17">
        <f>Github!F$797</f>
        <v>1715</v>
      </c>
      <c r="D798" s="17">
        <f>Github!G$797</f>
        <v>82</v>
      </c>
      <c r="E798" s="17">
        <f>Github!F$797+Github!G$797</f>
        <v>1797</v>
      </c>
      <c r="F798" s="18">
        <f t="shared" si="1"/>
        <v>20.91</v>
      </c>
      <c r="G798" s="17" t="str">
        <f>Github!H$797</f>
        <v>Algorithms</v>
      </c>
      <c r="H798" s="17" t="b">
        <f>Github!D$797</f>
        <v>0</v>
      </c>
      <c r="I798" s="17" t="str">
        <f>Github!E$797</f>
        <v>Easy</v>
      </c>
      <c r="J798" s="17" t="str">
        <f>ROUND(Github!N$797, 2)&amp;"%"</f>
        <v>0%</v>
      </c>
      <c r="K798" s="17">
        <f>Github!O$797</f>
        <v>51.68811602</v>
      </c>
      <c r="L798" s="17">
        <f>Github!P$797</f>
        <v>139285</v>
      </c>
    </row>
    <row r="799">
      <c r="A799" s="17">
        <f>Github!J$798</f>
        <v>797</v>
      </c>
      <c r="B799" s="34" t="str">
        <f>HYPERLINK(CONCAT("http://leetcode.com/problems/",Github!C$798), Github!B$798)</f>
        <v>All Paths From Source to Target</v>
      </c>
      <c r="C799" s="17">
        <f>Github!F$798</f>
        <v>3810</v>
      </c>
      <c r="D799" s="17">
        <f>Github!G$798</f>
        <v>113</v>
      </c>
      <c r="E799" s="17">
        <f>Github!F$798+Github!G$798</f>
        <v>3923</v>
      </c>
      <c r="F799" s="18">
        <f t="shared" si="1"/>
        <v>33.72</v>
      </c>
      <c r="G799" s="17" t="str">
        <f>Github!H$798</f>
        <v>Algorithms</v>
      </c>
      <c r="H799" s="17" t="b">
        <f>Github!D$798</f>
        <v>0</v>
      </c>
      <c r="I799" s="17" t="str">
        <f>Github!E$798</f>
        <v>Medium</v>
      </c>
      <c r="J799" s="17" t="str">
        <f>ROUND(Github!N$798, 2)&amp;"%"</f>
        <v>0%</v>
      </c>
      <c r="K799" s="17">
        <f>Github!O$798</f>
        <v>80.74245212</v>
      </c>
      <c r="L799" s="17">
        <f>Github!P$798</f>
        <v>257563</v>
      </c>
    </row>
    <row r="800">
      <c r="A800" s="17">
        <f>Github!J$799</f>
        <v>798</v>
      </c>
      <c r="B800" s="34" t="str">
        <f>HYPERLINK(CONCAT("http://leetcode.com/problems/",Github!C$799), Github!B$799)</f>
        <v>Smallest Rotation with Highest Score</v>
      </c>
      <c r="C800" s="17">
        <f>Github!F$799</f>
        <v>342</v>
      </c>
      <c r="D800" s="17">
        <f>Github!G$799</f>
        <v>21</v>
      </c>
      <c r="E800" s="17">
        <f>Github!F$799+Github!G$799</f>
        <v>363</v>
      </c>
      <c r="F800" s="18">
        <f t="shared" si="1"/>
        <v>16.29</v>
      </c>
      <c r="G800" s="17" t="str">
        <f>Github!H$799</f>
        <v>Algorithms</v>
      </c>
      <c r="H800" s="17" t="b">
        <f>Github!D$799</f>
        <v>0</v>
      </c>
      <c r="I800" s="17" t="str">
        <f>Github!E$799</f>
        <v>Hard</v>
      </c>
      <c r="J800" s="17" t="str">
        <f>ROUND(Github!N$799, 2)&amp;"%"</f>
        <v>0%</v>
      </c>
      <c r="K800" s="17">
        <f>Github!O$799</f>
        <v>47.19968885</v>
      </c>
      <c r="L800" s="17">
        <f>Github!P$799</f>
        <v>8495</v>
      </c>
    </row>
    <row r="801">
      <c r="A801" s="17">
        <f>Github!J$800</f>
        <v>799</v>
      </c>
      <c r="B801" s="34" t="str">
        <f>HYPERLINK(CONCAT("http://leetcode.com/problems/",Github!C$800), Github!B$800)</f>
        <v>Champagne Tower</v>
      </c>
      <c r="C801" s="17">
        <f>Github!F$800</f>
        <v>2236</v>
      </c>
      <c r="D801" s="17">
        <f>Github!G$800</f>
        <v>127</v>
      </c>
      <c r="E801" s="17">
        <f>Github!F$800+Github!G$800</f>
        <v>2363</v>
      </c>
      <c r="F801" s="18">
        <f t="shared" si="1"/>
        <v>17.61</v>
      </c>
      <c r="G801" s="17" t="str">
        <f>Github!H$800</f>
        <v>Algorithms</v>
      </c>
      <c r="H801" s="17" t="b">
        <f>Github!D$800</f>
        <v>0</v>
      </c>
      <c r="I801" s="17" t="str">
        <f>Github!E$800</f>
        <v>Medium</v>
      </c>
      <c r="J801" s="17" t="str">
        <f>ROUND(Github!N$800, 2)&amp;"%"</f>
        <v>0%</v>
      </c>
      <c r="K801" s="17">
        <f>Github!O$800</f>
        <v>51.04698099</v>
      </c>
      <c r="L801" s="17">
        <f>Github!P$800</f>
        <v>72832</v>
      </c>
    </row>
    <row r="802">
      <c r="A802" s="17">
        <f>Github!J$801</f>
        <v>800</v>
      </c>
      <c r="B802" s="34" t="str">
        <f>HYPERLINK(CONCAT("http://leetcode.com/problems/",Github!C$801), Github!B$801)</f>
        <v>Similar RGB Color</v>
      </c>
      <c r="C802" s="17">
        <f>Github!F$801</f>
        <v>79</v>
      </c>
      <c r="D802" s="17">
        <f>Github!G$801</f>
        <v>483</v>
      </c>
      <c r="E802" s="17">
        <f>Github!F$801+Github!G$801</f>
        <v>562</v>
      </c>
      <c r="F802" s="18">
        <f t="shared" si="1"/>
        <v>0.16</v>
      </c>
      <c r="G802" s="17" t="str">
        <f>Github!H$801</f>
        <v>Algorithms</v>
      </c>
      <c r="H802" s="17" t="b">
        <f>Github!D$801</f>
        <v>1</v>
      </c>
      <c r="I802" s="17" t="str">
        <f>Github!E$801</f>
        <v>Easy</v>
      </c>
      <c r="J802" s="17" t="str">
        <f>ROUND(Github!N$801, 2)&amp;"%"</f>
        <v>0%</v>
      </c>
      <c r="K802" s="17">
        <f>Github!O$801</f>
        <v>63.65032245</v>
      </c>
      <c r="L802" s="17">
        <f>Github!P$801</f>
        <v>12436</v>
      </c>
    </row>
    <row r="803">
      <c r="A803" s="17">
        <f>Github!J$802</f>
        <v>801</v>
      </c>
      <c r="B803" s="34" t="str">
        <f>HYPERLINK(CONCAT("http://leetcode.com/problems/",Github!C$802), Github!B$802)</f>
        <v>Minimum Swaps To Make Sequences Increasing</v>
      </c>
      <c r="C803" s="17">
        <f>Github!F$802</f>
        <v>1942</v>
      </c>
      <c r="D803" s="17">
        <f>Github!G$802</f>
        <v>123</v>
      </c>
      <c r="E803" s="17">
        <f>Github!F$802+Github!G$802</f>
        <v>2065</v>
      </c>
      <c r="F803" s="18">
        <f t="shared" si="1"/>
        <v>15.79</v>
      </c>
      <c r="G803" s="17" t="str">
        <f>Github!H$802</f>
        <v>Algorithms</v>
      </c>
      <c r="H803" s="17" t="b">
        <f>Github!D$802</f>
        <v>0</v>
      </c>
      <c r="I803" s="17" t="str">
        <f>Github!E$802</f>
        <v>Hard</v>
      </c>
      <c r="J803" s="17" t="str">
        <f>ROUND(Github!N$802, 2)&amp;"%"</f>
        <v>0%</v>
      </c>
      <c r="K803" s="17">
        <f>Github!O$802</f>
        <v>39.20934575</v>
      </c>
      <c r="L803" s="17">
        <f>Github!P$802</f>
        <v>51654</v>
      </c>
    </row>
    <row r="804">
      <c r="A804" s="17">
        <f>Github!J$803</f>
        <v>802</v>
      </c>
      <c r="B804" s="34" t="str">
        <f>HYPERLINK(CONCAT("http://leetcode.com/problems/",Github!C$803), Github!B$803)</f>
        <v>Find Eventual Safe States</v>
      </c>
      <c r="C804" s="17">
        <f>Github!F$803</f>
        <v>1847</v>
      </c>
      <c r="D804" s="17">
        <f>Github!G$803</f>
        <v>305</v>
      </c>
      <c r="E804" s="17">
        <f>Github!F$803+Github!G$803</f>
        <v>2152</v>
      </c>
      <c r="F804" s="18">
        <f t="shared" si="1"/>
        <v>6.06</v>
      </c>
      <c r="G804" s="17" t="str">
        <f>Github!H$803</f>
        <v>Algorithms</v>
      </c>
      <c r="H804" s="17" t="b">
        <f>Github!D$803</f>
        <v>0</v>
      </c>
      <c r="I804" s="17" t="str">
        <f>Github!E$803</f>
        <v>Medium</v>
      </c>
      <c r="J804" s="17" t="str">
        <f>ROUND(Github!N$803, 2)&amp;"%"</f>
        <v>0%</v>
      </c>
      <c r="K804" s="17">
        <f>Github!O$803</f>
        <v>52.06353104</v>
      </c>
      <c r="L804" s="17">
        <f>Github!P$803</f>
        <v>72081</v>
      </c>
    </row>
    <row r="805">
      <c r="A805" s="17">
        <f>Github!J$804</f>
        <v>803</v>
      </c>
      <c r="B805" s="34" t="str">
        <f>HYPERLINK(CONCAT("http://leetcode.com/problems/",Github!C$804), Github!B$804)</f>
        <v>Bricks Falling When Hit</v>
      </c>
      <c r="C805" s="17">
        <f>Github!F$804</f>
        <v>771</v>
      </c>
      <c r="D805" s="17">
        <f>Github!G$804</f>
        <v>168</v>
      </c>
      <c r="E805" s="17">
        <f>Github!F$804+Github!G$804</f>
        <v>939</v>
      </c>
      <c r="F805" s="18">
        <f t="shared" si="1"/>
        <v>4.59</v>
      </c>
      <c r="G805" s="17" t="str">
        <f>Github!H$804</f>
        <v>Algorithms</v>
      </c>
      <c r="H805" s="17" t="b">
        <f>Github!D$804</f>
        <v>0</v>
      </c>
      <c r="I805" s="17" t="str">
        <f>Github!E$804</f>
        <v>Hard</v>
      </c>
      <c r="J805" s="17" t="str">
        <f>ROUND(Github!N$804, 2)&amp;"%"</f>
        <v>0%</v>
      </c>
      <c r="K805" s="17">
        <f>Github!O$804</f>
        <v>33.64344773</v>
      </c>
      <c r="L805" s="17">
        <f>Github!P$804</f>
        <v>24048</v>
      </c>
    </row>
    <row r="806">
      <c r="A806" s="17">
        <f>Github!J$805</f>
        <v>804</v>
      </c>
      <c r="B806" s="34" t="str">
        <f>HYPERLINK(CONCAT("http://leetcode.com/problems/",Github!C$805), Github!B$805)</f>
        <v>Unique Morse Code Words</v>
      </c>
      <c r="C806" s="17">
        <f>Github!F$805</f>
        <v>1172</v>
      </c>
      <c r="D806" s="17">
        <f>Github!G$805</f>
        <v>1003</v>
      </c>
      <c r="E806" s="17">
        <f>Github!F$805+Github!G$805</f>
        <v>2175</v>
      </c>
      <c r="F806" s="18">
        <f t="shared" si="1"/>
        <v>1.17</v>
      </c>
      <c r="G806" s="17" t="str">
        <f>Github!H$805</f>
        <v>Algorithms</v>
      </c>
      <c r="H806" s="17" t="b">
        <f>Github!D$805</f>
        <v>0</v>
      </c>
      <c r="I806" s="17" t="str">
        <f>Github!E$805</f>
        <v>Easy</v>
      </c>
      <c r="J806" s="17" t="str">
        <f>ROUND(Github!N$805, 2)&amp;"%"</f>
        <v>0%</v>
      </c>
      <c r="K806" s="17">
        <f>Github!O$805</f>
        <v>79.85911019</v>
      </c>
      <c r="L806" s="17">
        <f>Github!P$805</f>
        <v>211197</v>
      </c>
    </row>
    <row r="807">
      <c r="A807" s="17">
        <f>Github!J$806</f>
        <v>805</v>
      </c>
      <c r="B807" s="34" t="str">
        <f>HYPERLINK(CONCAT("http://leetcode.com/problems/",Github!C$806), Github!B$806)</f>
        <v>Split Array With Same Average</v>
      </c>
      <c r="C807" s="17">
        <f>Github!F$806</f>
        <v>784</v>
      </c>
      <c r="D807" s="17">
        <f>Github!G$806</f>
        <v>113</v>
      </c>
      <c r="E807" s="17">
        <f>Github!F$806+Github!G$806</f>
        <v>897</v>
      </c>
      <c r="F807" s="18">
        <f t="shared" si="1"/>
        <v>6.94</v>
      </c>
      <c r="G807" s="17" t="str">
        <f>Github!H$806</f>
        <v>Algorithms</v>
      </c>
      <c r="H807" s="17" t="b">
        <f>Github!D$806</f>
        <v>0</v>
      </c>
      <c r="I807" s="17" t="str">
        <f>Github!E$806</f>
        <v>Hard</v>
      </c>
      <c r="J807" s="17" t="str">
        <f>ROUND(Github!N$806, 2)&amp;"%"</f>
        <v>0%</v>
      </c>
      <c r="K807" s="17">
        <f>Github!O$806</f>
        <v>26.54775296</v>
      </c>
      <c r="L807" s="17">
        <f>Github!P$806</f>
        <v>24781</v>
      </c>
    </row>
    <row r="808">
      <c r="A808" s="17">
        <f>Github!J$807</f>
        <v>806</v>
      </c>
      <c r="B808" s="34" t="str">
        <f>HYPERLINK(CONCAT("http://leetcode.com/problems/",Github!C$807), Github!B$807)</f>
        <v>Number of Lines To Write String</v>
      </c>
      <c r="C808" s="17">
        <f>Github!F$807</f>
        <v>365</v>
      </c>
      <c r="D808" s="17">
        <f>Github!G$807</f>
        <v>1103</v>
      </c>
      <c r="E808" s="17">
        <f>Github!F$807+Github!G$807</f>
        <v>1468</v>
      </c>
      <c r="F808" s="18">
        <f t="shared" si="1"/>
        <v>0.33</v>
      </c>
      <c r="G808" s="17" t="str">
        <f>Github!H$807</f>
        <v>Algorithms</v>
      </c>
      <c r="H808" s="17" t="b">
        <f>Github!D$807</f>
        <v>0</v>
      </c>
      <c r="I808" s="17" t="str">
        <f>Github!E$807</f>
        <v>Easy</v>
      </c>
      <c r="J808" s="17" t="str">
        <f>ROUND(Github!N$807, 2)&amp;"%"</f>
        <v>0%</v>
      </c>
      <c r="K808" s="17">
        <f>Github!O$807</f>
        <v>65.96916716</v>
      </c>
      <c r="L808" s="17">
        <f>Github!P$807</f>
        <v>52334</v>
      </c>
    </row>
    <row r="809">
      <c r="A809" s="17">
        <f>Github!J$808</f>
        <v>807</v>
      </c>
      <c r="B809" s="34" t="str">
        <f>HYPERLINK(CONCAT("http://leetcode.com/problems/",Github!C$808), Github!B$808)</f>
        <v>Max Increase to Keep City Skyline</v>
      </c>
      <c r="C809" s="17">
        <f>Github!F$808</f>
        <v>1634</v>
      </c>
      <c r="D809" s="17">
        <f>Github!G$808</f>
        <v>407</v>
      </c>
      <c r="E809" s="17">
        <f>Github!F$808+Github!G$808</f>
        <v>2041</v>
      </c>
      <c r="F809" s="18">
        <f t="shared" si="1"/>
        <v>4.01</v>
      </c>
      <c r="G809" s="17" t="str">
        <f>Github!H$808</f>
        <v>Algorithms</v>
      </c>
      <c r="H809" s="17" t="b">
        <f>Github!D$808</f>
        <v>0</v>
      </c>
      <c r="I809" s="17" t="str">
        <f>Github!E$808</f>
        <v>Medium</v>
      </c>
      <c r="J809" s="17" t="str">
        <f>ROUND(Github!N$808, 2)&amp;"%"</f>
        <v>0%</v>
      </c>
      <c r="K809" s="17">
        <f>Github!O$808</f>
        <v>85.4009994</v>
      </c>
      <c r="L809" s="17">
        <f>Github!P$808</f>
        <v>120488</v>
      </c>
    </row>
    <row r="810">
      <c r="A810" s="17">
        <f>Github!J$809</f>
        <v>808</v>
      </c>
      <c r="B810" s="34" t="str">
        <f>HYPERLINK(CONCAT("http://leetcode.com/problems/",Github!C$809), Github!B$809)</f>
        <v>Soup Servings</v>
      </c>
      <c r="C810" s="17">
        <f>Github!F$809</f>
        <v>248</v>
      </c>
      <c r="D810" s="17">
        <f>Github!G$809</f>
        <v>735</v>
      </c>
      <c r="E810" s="17">
        <f>Github!F$809+Github!G$809</f>
        <v>983</v>
      </c>
      <c r="F810" s="18">
        <f t="shared" si="1"/>
        <v>0.34</v>
      </c>
      <c r="G810" s="17" t="str">
        <f>Github!H$809</f>
        <v>Algorithms</v>
      </c>
      <c r="H810" s="17" t="b">
        <f>Github!D$809</f>
        <v>0</v>
      </c>
      <c r="I810" s="17" t="str">
        <f>Github!E$809</f>
        <v>Medium</v>
      </c>
      <c r="J810" s="17" t="str">
        <f>ROUND(Github!N$809, 2)&amp;"%"</f>
        <v>0%</v>
      </c>
      <c r="K810" s="17">
        <f>Github!O$809</f>
        <v>42.23545983</v>
      </c>
      <c r="L810" s="17">
        <f>Github!P$809</f>
        <v>14393</v>
      </c>
    </row>
    <row r="811">
      <c r="A811" s="17">
        <f>Github!J$810</f>
        <v>809</v>
      </c>
      <c r="B811" s="34" t="str">
        <f>HYPERLINK(CONCAT("http://leetcode.com/problems/",Github!C$810), Github!B$810)</f>
        <v>Expressive Words</v>
      </c>
      <c r="C811" s="17">
        <f>Github!F$810</f>
        <v>685</v>
      </c>
      <c r="D811" s="17">
        <f>Github!G$810</f>
        <v>1591</v>
      </c>
      <c r="E811" s="17">
        <f>Github!F$810+Github!G$810</f>
        <v>2276</v>
      </c>
      <c r="F811" s="18">
        <f t="shared" si="1"/>
        <v>0.43</v>
      </c>
      <c r="G811" s="17" t="str">
        <f>Github!H$810</f>
        <v>Algorithms</v>
      </c>
      <c r="H811" s="17" t="b">
        <f>Github!D$810</f>
        <v>0</v>
      </c>
      <c r="I811" s="17" t="str">
        <f>Github!E$810</f>
        <v>Medium</v>
      </c>
      <c r="J811" s="17" t="str">
        <f>ROUND(Github!N$810, 2)&amp;"%"</f>
        <v>0%</v>
      </c>
      <c r="K811" s="17">
        <f>Github!O$810</f>
        <v>46.33874738</v>
      </c>
      <c r="L811" s="17">
        <f>Github!P$810</f>
        <v>92380</v>
      </c>
    </row>
    <row r="812">
      <c r="A812" s="17">
        <f>Github!J$811</f>
        <v>810</v>
      </c>
      <c r="B812" s="34" t="str">
        <f>HYPERLINK(CONCAT("http://leetcode.com/problems/",Github!C$811), Github!B$811)</f>
        <v>Chalkboard XOR Game</v>
      </c>
      <c r="C812" s="17">
        <f>Github!F$811</f>
        <v>121</v>
      </c>
      <c r="D812" s="17">
        <f>Github!G$811</f>
        <v>232</v>
      </c>
      <c r="E812" s="17">
        <f>Github!F$811+Github!G$811</f>
        <v>353</v>
      </c>
      <c r="F812" s="18">
        <f t="shared" si="1"/>
        <v>0.52</v>
      </c>
      <c r="G812" s="17" t="str">
        <f>Github!H$811</f>
        <v>Algorithms</v>
      </c>
      <c r="H812" s="17" t="b">
        <f>Github!D$811</f>
        <v>0</v>
      </c>
      <c r="I812" s="17" t="str">
        <f>Github!E$811</f>
        <v>Hard</v>
      </c>
      <c r="J812" s="17" t="str">
        <f>ROUND(Github!N$811, 2)&amp;"%"</f>
        <v>0%</v>
      </c>
      <c r="K812" s="17">
        <f>Github!O$811</f>
        <v>52.94612087</v>
      </c>
      <c r="L812" s="17">
        <f>Github!P$811</f>
        <v>6299</v>
      </c>
    </row>
    <row r="813">
      <c r="A813" s="17">
        <f>Github!J$812</f>
        <v>811</v>
      </c>
      <c r="B813" s="34" t="str">
        <f>HYPERLINK(CONCAT("http://leetcode.com/problems/",Github!C$812), Github!B$812)</f>
        <v>Subdomain Visit Count</v>
      </c>
      <c r="C813" s="17">
        <f>Github!F$812</f>
        <v>1009</v>
      </c>
      <c r="D813" s="17">
        <f>Github!G$812</f>
        <v>1091</v>
      </c>
      <c r="E813" s="17">
        <f>Github!F$812+Github!G$812</f>
        <v>2100</v>
      </c>
      <c r="F813" s="18">
        <f t="shared" si="1"/>
        <v>0.92</v>
      </c>
      <c r="G813" s="17" t="str">
        <f>Github!H$812</f>
        <v>Algorithms</v>
      </c>
      <c r="H813" s="17" t="b">
        <f>Github!D$812</f>
        <v>0</v>
      </c>
      <c r="I813" s="17" t="str">
        <f>Github!E$812</f>
        <v>Medium</v>
      </c>
      <c r="J813" s="17" t="str">
        <f>ROUND(Github!N$812, 2)&amp;"%"</f>
        <v>0%</v>
      </c>
      <c r="K813" s="17">
        <f>Github!O$812</f>
        <v>73.96026585</v>
      </c>
      <c r="L813" s="17">
        <f>Github!P$812</f>
        <v>164247</v>
      </c>
    </row>
    <row r="814">
      <c r="A814" s="17">
        <f>Github!J$813</f>
        <v>812</v>
      </c>
      <c r="B814" s="34" t="str">
        <f>HYPERLINK(CONCAT("http://leetcode.com/problems/",Github!C$813), Github!B$813)</f>
        <v>Largest Triangle Area</v>
      </c>
      <c r="C814" s="17">
        <f>Github!F$813</f>
        <v>321</v>
      </c>
      <c r="D814" s="17">
        <f>Github!G$813</f>
        <v>1305</v>
      </c>
      <c r="E814" s="17">
        <f>Github!F$813+Github!G$813</f>
        <v>1626</v>
      </c>
      <c r="F814" s="18">
        <f t="shared" si="1"/>
        <v>0.25</v>
      </c>
      <c r="G814" s="17" t="str">
        <f>Github!H$813</f>
        <v>Algorithms</v>
      </c>
      <c r="H814" s="17" t="b">
        <f>Github!D$813</f>
        <v>0</v>
      </c>
      <c r="I814" s="17" t="str">
        <f>Github!E$813</f>
        <v>Easy</v>
      </c>
      <c r="J814" s="17" t="str">
        <f>ROUND(Github!N$813, 2)&amp;"%"</f>
        <v>0%</v>
      </c>
      <c r="K814" s="17">
        <f>Github!O$813</f>
        <v>59.51378796</v>
      </c>
      <c r="L814" s="17">
        <f>Github!P$813</f>
        <v>31531</v>
      </c>
    </row>
    <row r="815">
      <c r="A815" s="17">
        <f>Github!J$814</f>
        <v>813</v>
      </c>
      <c r="B815" s="34" t="str">
        <f>HYPERLINK(CONCAT("http://leetcode.com/problems/",Github!C$814), Github!B$814)</f>
        <v>Largest Sum of Averages</v>
      </c>
      <c r="C815" s="17">
        <f>Github!F$814</f>
        <v>1515</v>
      </c>
      <c r="D815" s="17">
        <f>Github!G$814</f>
        <v>75</v>
      </c>
      <c r="E815" s="17">
        <f>Github!F$814+Github!G$814</f>
        <v>1590</v>
      </c>
      <c r="F815" s="18">
        <f t="shared" si="1"/>
        <v>20.2</v>
      </c>
      <c r="G815" s="17" t="str">
        <f>Github!H$814</f>
        <v>Algorithms</v>
      </c>
      <c r="H815" s="17" t="b">
        <f>Github!D$814</f>
        <v>0</v>
      </c>
      <c r="I815" s="17" t="str">
        <f>Github!E$814</f>
        <v>Medium</v>
      </c>
      <c r="J815" s="17" t="str">
        <f>ROUND(Github!N$814, 2)&amp;"%"</f>
        <v>0%</v>
      </c>
      <c r="K815" s="17">
        <f>Github!O$814</f>
        <v>52.24614387</v>
      </c>
      <c r="L815" s="17">
        <f>Github!P$814</f>
        <v>38682</v>
      </c>
    </row>
    <row r="816">
      <c r="A816" s="17">
        <f>Github!J$815</f>
        <v>814</v>
      </c>
      <c r="B816" s="34" t="str">
        <f>HYPERLINK(CONCAT("http://leetcode.com/problems/",Github!C$815), Github!B$815)</f>
        <v>Binary Tree Pruning</v>
      </c>
      <c r="C816" s="17">
        <f>Github!F$815</f>
        <v>2313</v>
      </c>
      <c r="D816" s="17">
        <f>Github!G$815</f>
        <v>66</v>
      </c>
      <c r="E816" s="17">
        <f>Github!F$815+Github!G$815</f>
        <v>2379</v>
      </c>
      <c r="F816" s="18">
        <f t="shared" si="1"/>
        <v>35.05</v>
      </c>
      <c r="G816" s="17" t="str">
        <f>Github!H$815</f>
        <v>Algorithms</v>
      </c>
      <c r="H816" s="17" t="b">
        <f>Github!D$815</f>
        <v>0</v>
      </c>
      <c r="I816" s="17" t="str">
        <f>Github!E$815</f>
        <v>Medium</v>
      </c>
      <c r="J816" s="17" t="str">
        <f>ROUND(Github!N$815, 2)&amp;"%"</f>
        <v>0%</v>
      </c>
      <c r="K816" s="17">
        <f>Github!O$815</f>
        <v>71.03318638</v>
      </c>
      <c r="L816" s="17">
        <f>Github!P$815</f>
        <v>136794</v>
      </c>
    </row>
    <row r="817">
      <c r="A817" s="17">
        <f>Github!J$816</f>
        <v>815</v>
      </c>
      <c r="B817" s="34" t="str">
        <f>HYPERLINK(CONCAT("http://leetcode.com/problems/",Github!C$816), Github!B$816)</f>
        <v>Bus Routes</v>
      </c>
      <c r="C817" s="17">
        <f>Github!F$816</f>
        <v>1863</v>
      </c>
      <c r="D817" s="17">
        <f>Github!G$816</f>
        <v>49</v>
      </c>
      <c r="E817" s="17">
        <f>Github!F$816+Github!G$816</f>
        <v>1912</v>
      </c>
      <c r="F817" s="18">
        <f t="shared" si="1"/>
        <v>38.02</v>
      </c>
      <c r="G817" s="17" t="str">
        <f>Github!H$816</f>
        <v>Algorithms</v>
      </c>
      <c r="H817" s="17" t="b">
        <f>Github!D$816</f>
        <v>0</v>
      </c>
      <c r="I817" s="17" t="str">
        <f>Github!E$816</f>
        <v>Hard</v>
      </c>
      <c r="J817" s="17" t="str">
        <f>ROUND(Github!N$816, 2)&amp;"%"</f>
        <v>0%</v>
      </c>
      <c r="K817" s="17">
        <f>Github!O$816</f>
        <v>45.06848451</v>
      </c>
      <c r="L817" s="17">
        <f>Github!P$816</f>
        <v>78606</v>
      </c>
    </row>
    <row r="818">
      <c r="A818" s="17">
        <f>Github!J$817</f>
        <v>816</v>
      </c>
      <c r="B818" s="34" t="str">
        <f>HYPERLINK(CONCAT("http://leetcode.com/problems/",Github!C$817), Github!B$817)</f>
        <v>Ambiguous Coordinates</v>
      </c>
      <c r="C818" s="17">
        <f>Github!F$817</f>
        <v>248</v>
      </c>
      <c r="D818" s="17">
        <f>Github!G$817</f>
        <v>583</v>
      </c>
      <c r="E818" s="17">
        <f>Github!F$817+Github!G$817</f>
        <v>831</v>
      </c>
      <c r="F818" s="18">
        <f t="shared" si="1"/>
        <v>0.43</v>
      </c>
      <c r="G818" s="17" t="str">
        <f>Github!H$817</f>
        <v>Algorithms</v>
      </c>
      <c r="H818" s="17" t="b">
        <f>Github!D$817</f>
        <v>0</v>
      </c>
      <c r="I818" s="17" t="str">
        <f>Github!E$817</f>
        <v>Medium</v>
      </c>
      <c r="J818" s="17" t="str">
        <f>ROUND(Github!N$817, 2)&amp;"%"</f>
        <v>0%</v>
      </c>
      <c r="K818" s="17">
        <f>Github!O$817</f>
        <v>55.92552414</v>
      </c>
      <c r="L818" s="17">
        <f>Github!P$817</f>
        <v>25260</v>
      </c>
    </row>
    <row r="819">
      <c r="A819" s="17">
        <f>Github!J$818</f>
        <v>817</v>
      </c>
      <c r="B819" s="34" t="str">
        <f>HYPERLINK(CONCAT("http://leetcode.com/problems/",Github!C$818), Github!B$818)</f>
        <v>Linked List Components</v>
      </c>
      <c r="C819" s="17">
        <f>Github!F$818</f>
        <v>675</v>
      </c>
      <c r="D819" s="17">
        <f>Github!G$818</f>
        <v>1709</v>
      </c>
      <c r="E819" s="17">
        <f>Github!F$818+Github!G$818</f>
        <v>2384</v>
      </c>
      <c r="F819" s="18">
        <f t="shared" si="1"/>
        <v>0.39</v>
      </c>
      <c r="G819" s="17" t="str">
        <f>Github!H$818</f>
        <v>Algorithms</v>
      </c>
      <c r="H819" s="17" t="b">
        <f>Github!D$818</f>
        <v>0</v>
      </c>
      <c r="I819" s="17" t="str">
        <f>Github!E$818</f>
        <v>Medium</v>
      </c>
      <c r="J819" s="17" t="str">
        <f>ROUND(Github!N$818, 2)&amp;"%"</f>
        <v>0%</v>
      </c>
      <c r="K819" s="17">
        <f>Github!O$818</f>
        <v>58.00852248</v>
      </c>
      <c r="L819" s="17">
        <f>Github!P$818</f>
        <v>66704</v>
      </c>
    </row>
    <row r="820">
      <c r="A820" s="17">
        <f>Github!J$819</f>
        <v>818</v>
      </c>
      <c r="B820" s="34" t="str">
        <f>HYPERLINK(CONCAT("http://leetcode.com/problems/",Github!C$819), Github!B$819)</f>
        <v>Race Car</v>
      </c>
      <c r="C820" s="17">
        <f>Github!F$819</f>
        <v>851</v>
      </c>
      <c r="D820" s="17">
        <f>Github!G$819</f>
        <v>87</v>
      </c>
      <c r="E820" s="17">
        <f>Github!F$819+Github!G$819</f>
        <v>938</v>
      </c>
      <c r="F820" s="18">
        <f t="shared" si="1"/>
        <v>9.78</v>
      </c>
      <c r="G820" s="17" t="str">
        <f>Github!H$819</f>
        <v>Algorithms</v>
      </c>
      <c r="H820" s="17" t="b">
        <f>Github!D$819</f>
        <v>0</v>
      </c>
      <c r="I820" s="17" t="str">
        <f>Github!E$819</f>
        <v>Hard</v>
      </c>
      <c r="J820" s="17" t="str">
        <f>ROUND(Github!N$819, 2)&amp;"%"</f>
        <v>0%</v>
      </c>
      <c r="K820" s="17">
        <f>Github!O$819</f>
        <v>42.03953127</v>
      </c>
      <c r="L820" s="17">
        <f>Github!P$819</f>
        <v>32180</v>
      </c>
    </row>
    <row r="821">
      <c r="A821" s="17">
        <f>Github!J$820</f>
        <v>819</v>
      </c>
      <c r="B821" s="34" t="str">
        <f>HYPERLINK(CONCAT("http://leetcode.com/problems/",Github!C$820), Github!B$820)</f>
        <v>Most Common Word</v>
      </c>
      <c r="C821" s="17">
        <f>Github!F$820</f>
        <v>1224</v>
      </c>
      <c r="D821" s="17">
        <f>Github!G$820</f>
        <v>2498</v>
      </c>
      <c r="E821" s="17">
        <f>Github!F$820+Github!G$820</f>
        <v>3722</v>
      </c>
      <c r="F821" s="18">
        <f t="shared" si="1"/>
        <v>0.49</v>
      </c>
      <c r="G821" s="17" t="str">
        <f>Github!H$820</f>
        <v>Algorithms</v>
      </c>
      <c r="H821" s="17" t="b">
        <f>Github!D$820</f>
        <v>0</v>
      </c>
      <c r="I821" s="17" t="str">
        <f>Github!E$820</f>
        <v>Easy</v>
      </c>
      <c r="J821" s="17" t="str">
        <f>ROUND(Github!N$820, 2)&amp;"%"</f>
        <v>0%</v>
      </c>
      <c r="K821" s="17">
        <f>Github!O$820</f>
        <v>45.26272635</v>
      </c>
      <c r="L821" s="17">
        <f>Github!P$820</f>
        <v>278224</v>
      </c>
    </row>
    <row r="822">
      <c r="A822" s="17">
        <f>Github!J$821</f>
        <v>820</v>
      </c>
      <c r="B822" s="34" t="str">
        <f>HYPERLINK(CONCAT("http://leetcode.com/problems/",Github!C$821), Github!B$821)</f>
        <v>Short Encoding of Words</v>
      </c>
      <c r="C822" s="17">
        <f>Github!F$821</f>
        <v>685</v>
      </c>
      <c r="D822" s="17">
        <f>Github!G$821</f>
        <v>257</v>
      </c>
      <c r="E822" s="17">
        <f>Github!F$821+Github!G$821</f>
        <v>942</v>
      </c>
      <c r="F822" s="18">
        <f t="shared" si="1"/>
        <v>2.67</v>
      </c>
      <c r="G822" s="17" t="str">
        <f>Github!H$821</f>
        <v>Algorithms</v>
      </c>
      <c r="H822" s="17" t="b">
        <f>Github!D$821</f>
        <v>0</v>
      </c>
      <c r="I822" s="17" t="str">
        <f>Github!E$821</f>
        <v>Medium</v>
      </c>
      <c r="J822" s="17" t="str">
        <f>ROUND(Github!N$821, 2)&amp;"%"</f>
        <v>0%</v>
      </c>
      <c r="K822" s="17">
        <f>Github!O$821</f>
        <v>55.142638</v>
      </c>
      <c r="L822" s="17">
        <f>Github!P$821</f>
        <v>44574</v>
      </c>
    </row>
    <row r="823">
      <c r="A823" s="17">
        <f>Github!J$822</f>
        <v>821</v>
      </c>
      <c r="B823" s="34" t="str">
        <f>HYPERLINK(CONCAT("http://leetcode.com/problems/",Github!C$822), Github!B$822)</f>
        <v>Shortest Distance to a Character</v>
      </c>
      <c r="C823" s="17">
        <f>Github!F$822</f>
        <v>2107</v>
      </c>
      <c r="D823" s="17">
        <f>Github!G$822</f>
        <v>120</v>
      </c>
      <c r="E823" s="17">
        <f>Github!F$822+Github!G$822</f>
        <v>2227</v>
      </c>
      <c r="F823" s="18">
        <f t="shared" si="1"/>
        <v>17.56</v>
      </c>
      <c r="G823" s="17" t="str">
        <f>Github!H$822</f>
        <v>Algorithms</v>
      </c>
      <c r="H823" s="17" t="b">
        <f>Github!D$822</f>
        <v>0</v>
      </c>
      <c r="I823" s="17" t="str">
        <f>Github!E$822</f>
        <v>Easy</v>
      </c>
      <c r="J823" s="17" t="str">
        <f>ROUND(Github!N$822, 2)&amp;"%"</f>
        <v>0%</v>
      </c>
      <c r="K823" s="17">
        <f>Github!O$822</f>
        <v>70.90758255</v>
      </c>
      <c r="L823" s="17">
        <f>Github!P$822</f>
        <v>128208</v>
      </c>
    </row>
    <row r="824">
      <c r="A824" s="17">
        <f>Github!J$823</f>
        <v>822</v>
      </c>
      <c r="B824" s="34" t="str">
        <f>HYPERLINK(CONCAT("http://leetcode.com/problems/",Github!C$823), Github!B$823)</f>
        <v>Card Flipping Game</v>
      </c>
      <c r="C824" s="17">
        <f>Github!F$823</f>
        <v>107</v>
      </c>
      <c r="D824" s="17">
        <f>Github!G$823</f>
        <v>619</v>
      </c>
      <c r="E824" s="17">
        <f>Github!F$823+Github!G$823</f>
        <v>726</v>
      </c>
      <c r="F824" s="18">
        <f t="shared" si="1"/>
        <v>0.17</v>
      </c>
      <c r="G824" s="17" t="str">
        <f>Github!H$823</f>
        <v>Algorithms</v>
      </c>
      <c r="H824" s="17" t="b">
        <f>Github!D$823</f>
        <v>0</v>
      </c>
      <c r="I824" s="17" t="str">
        <f>Github!E$823</f>
        <v>Medium</v>
      </c>
      <c r="J824" s="17" t="str">
        <f>ROUND(Github!N$823, 2)&amp;"%"</f>
        <v>0%</v>
      </c>
      <c r="K824" s="17">
        <f>Github!O$823</f>
        <v>44.62144389</v>
      </c>
      <c r="L824" s="17">
        <f>Github!P$823</f>
        <v>12689</v>
      </c>
    </row>
    <row r="825">
      <c r="A825" s="17">
        <f>Github!J$824</f>
        <v>823</v>
      </c>
      <c r="B825" s="34" t="str">
        <f>HYPERLINK(CONCAT("http://leetcode.com/problems/",Github!C$824), Github!B$824)</f>
        <v>Binary Trees With Factors</v>
      </c>
      <c r="C825" s="17">
        <f>Github!F$824</f>
        <v>814</v>
      </c>
      <c r="D825" s="17">
        <f>Github!G$824</f>
        <v>101</v>
      </c>
      <c r="E825" s="17">
        <f>Github!F$824+Github!G$824</f>
        <v>915</v>
      </c>
      <c r="F825" s="18">
        <f t="shared" si="1"/>
        <v>8.06</v>
      </c>
      <c r="G825" s="17" t="str">
        <f>Github!H$824</f>
        <v>Algorithms</v>
      </c>
      <c r="H825" s="17" t="b">
        <f>Github!D$824</f>
        <v>0</v>
      </c>
      <c r="I825" s="17" t="str">
        <f>Github!E$824</f>
        <v>Medium</v>
      </c>
      <c r="J825" s="17" t="str">
        <f>ROUND(Github!N$824, 2)&amp;"%"</f>
        <v>0%</v>
      </c>
      <c r="K825" s="17">
        <f>Github!O$824</f>
        <v>43.65251823</v>
      </c>
      <c r="L825" s="17">
        <f>Github!P$824</f>
        <v>36159</v>
      </c>
    </row>
    <row r="826">
      <c r="A826" s="17">
        <f>Github!J$825</f>
        <v>824</v>
      </c>
      <c r="B826" s="34" t="str">
        <f>HYPERLINK(CONCAT("http://leetcode.com/problems/",Github!C$825), Github!B$825)</f>
        <v>Goat Latin</v>
      </c>
      <c r="C826" s="17">
        <f>Github!F$825</f>
        <v>662</v>
      </c>
      <c r="D826" s="17">
        <f>Github!G$825</f>
        <v>1074</v>
      </c>
      <c r="E826" s="17">
        <f>Github!F$825+Github!G$825</f>
        <v>1736</v>
      </c>
      <c r="F826" s="18">
        <f t="shared" si="1"/>
        <v>0.62</v>
      </c>
      <c r="G826" s="17" t="str">
        <f>Github!H$825</f>
        <v>Algorithms</v>
      </c>
      <c r="H826" s="17" t="b">
        <f>Github!D$825</f>
        <v>0</v>
      </c>
      <c r="I826" s="17" t="str">
        <f>Github!E$825</f>
        <v>Easy</v>
      </c>
      <c r="J826" s="17" t="str">
        <f>ROUND(Github!N$825, 2)&amp;"%"</f>
        <v>0%</v>
      </c>
      <c r="K826" s="17">
        <f>Github!O$825</f>
        <v>67.50730462</v>
      </c>
      <c r="L826" s="17">
        <f>Github!P$825</f>
        <v>139087</v>
      </c>
    </row>
    <row r="827">
      <c r="A827" s="17">
        <f>Github!J$826</f>
        <v>825</v>
      </c>
      <c r="B827" s="34" t="str">
        <f>HYPERLINK(CONCAT("http://leetcode.com/problems/",Github!C$826), Github!B$826)</f>
        <v>Friends Of Appropriate Ages</v>
      </c>
      <c r="C827" s="17">
        <f>Github!F$826</f>
        <v>525</v>
      </c>
      <c r="D827" s="17">
        <f>Github!G$826</f>
        <v>1010</v>
      </c>
      <c r="E827" s="17">
        <f>Github!F$826+Github!G$826</f>
        <v>1535</v>
      </c>
      <c r="F827" s="18">
        <f t="shared" si="1"/>
        <v>0.52</v>
      </c>
      <c r="G827" s="17" t="str">
        <f>Github!H$826</f>
        <v>Algorithms</v>
      </c>
      <c r="H827" s="17" t="b">
        <f>Github!D$826</f>
        <v>0</v>
      </c>
      <c r="I827" s="17" t="str">
        <f>Github!E$826</f>
        <v>Medium</v>
      </c>
      <c r="J827" s="17" t="str">
        <f>ROUND(Github!N$826, 2)&amp;"%"</f>
        <v>0%</v>
      </c>
      <c r="K827" s="17">
        <f>Github!O$826</f>
        <v>45.71466973</v>
      </c>
      <c r="L827" s="17">
        <f>Github!P$826</f>
        <v>61220</v>
      </c>
    </row>
    <row r="828">
      <c r="A828" s="17">
        <f>Github!J$827</f>
        <v>826</v>
      </c>
      <c r="B828" s="34" t="str">
        <f>HYPERLINK(CONCAT("http://leetcode.com/problems/",Github!C$827), Github!B$827)</f>
        <v>Most Profit Assigning Work</v>
      </c>
      <c r="C828" s="17">
        <f>Github!F$827</f>
        <v>791</v>
      </c>
      <c r="D828" s="17">
        <f>Github!G$827</f>
        <v>96</v>
      </c>
      <c r="E828" s="17">
        <f>Github!F$827+Github!G$827</f>
        <v>887</v>
      </c>
      <c r="F828" s="18">
        <f t="shared" si="1"/>
        <v>8.24</v>
      </c>
      <c r="G828" s="17" t="str">
        <f>Github!H$827</f>
        <v>Algorithms</v>
      </c>
      <c r="H828" s="17" t="b">
        <f>Github!D$827</f>
        <v>0</v>
      </c>
      <c r="I828" s="17" t="str">
        <f>Github!E$827</f>
        <v>Medium</v>
      </c>
      <c r="J828" s="17" t="str">
        <f>ROUND(Github!N$827, 2)&amp;"%"</f>
        <v>0%</v>
      </c>
      <c r="K828" s="17">
        <f>Github!O$827</f>
        <v>41.25492574</v>
      </c>
      <c r="L828" s="17">
        <f>Github!P$827</f>
        <v>34025</v>
      </c>
    </row>
    <row r="829">
      <c r="A829" s="17">
        <f>Github!J$828</f>
        <v>827</v>
      </c>
      <c r="B829" s="34" t="str">
        <f>HYPERLINK(CONCAT("http://leetcode.com/problems/",Github!C$828), Github!B$828)</f>
        <v>Making A Large Island</v>
      </c>
      <c r="C829" s="17">
        <f>Github!F$828</f>
        <v>2131</v>
      </c>
      <c r="D829" s="17">
        <f>Github!G$828</f>
        <v>47</v>
      </c>
      <c r="E829" s="17">
        <f>Github!F$828+Github!G$828</f>
        <v>2178</v>
      </c>
      <c r="F829" s="18">
        <f t="shared" si="1"/>
        <v>45.34</v>
      </c>
      <c r="G829" s="17" t="str">
        <f>Github!H$828</f>
        <v>Algorithms</v>
      </c>
      <c r="H829" s="17" t="b">
        <f>Github!D$828</f>
        <v>0</v>
      </c>
      <c r="I829" s="17" t="str">
        <f>Github!E$828</f>
        <v>Hard</v>
      </c>
      <c r="J829" s="17" t="str">
        <f>ROUND(Github!N$828, 2)&amp;"%"</f>
        <v>0%</v>
      </c>
      <c r="K829" s="17">
        <f>Github!O$828</f>
        <v>44.69020814</v>
      </c>
      <c r="L829" s="17">
        <f>Github!P$828</f>
        <v>99989</v>
      </c>
    </row>
    <row r="830">
      <c r="A830" s="17">
        <f>Github!J$829</f>
        <v>828</v>
      </c>
      <c r="B830" s="34" t="str">
        <f>HYPERLINK(CONCAT("http://leetcode.com/problems/",Github!C$829), Github!B$829)</f>
        <v>Count Unique Characters of All Substrings of a Given String</v>
      </c>
      <c r="C830" s="17">
        <f>Github!F$829</f>
        <v>1147</v>
      </c>
      <c r="D830" s="17">
        <f>Github!G$829</f>
        <v>147</v>
      </c>
      <c r="E830" s="17">
        <f>Github!F$829+Github!G$829</f>
        <v>1294</v>
      </c>
      <c r="F830" s="18">
        <f t="shared" si="1"/>
        <v>7.8</v>
      </c>
      <c r="G830" s="17" t="str">
        <f>Github!H$829</f>
        <v>Algorithms</v>
      </c>
      <c r="H830" s="17" t="b">
        <f>Github!D$829</f>
        <v>0</v>
      </c>
      <c r="I830" s="17" t="str">
        <f>Github!E$829</f>
        <v>Hard</v>
      </c>
      <c r="J830" s="17" t="str">
        <f>ROUND(Github!N$829, 2)&amp;"%"</f>
        <v>0%</v>
      </c>
      <c r="K830" s="17">
        <f>Github!O$829</f>
        <v>49.34299363</v>
      </c>
      <c r="L830" s="17">
        <f>Github!P$829</f>
        <v>33979</v>
      </c>
    </row>
    <row r="831">
      <c r="A831" s="17">
        <f>Github!J$830</f>
        <v>829</v>
      </c>
      <c r="B831" s="34" t="str">
        <f>HYPERLINK(CONCAT("http://leetcode.com/problems/",Github!C$830), Github!B$830)</f>
        <v>Consecutive Numbers Sum</v>
      </c>
      <c r="C831" s="17">
        <f>Github!F$830</f>
        <v>972</v>
      </c>
      <c r="D831" s="17">
        <f>Github!G$830</f>
        <v>1171</v>
      </c>
      <c r="E831" s="17">
        <f>Github!F$830+Github!G$830</f>
        <v>2143</v>
      </c>
      <c r="F831" s="18">
        <f t="shared" si="1"/>
        <v>0.83</v>
      </c>
      <c r="G831" s="17" t="str">
        <f>Github!H$830</f>
        <v>Algorithms</v>
      </c>
      <c r="H831" s="17" t="b">
        <f>Github!D$830</f>
        <v>0</v>
      </c>
      <c r="I831" s="17" t="str">
        <f>Github!E$830</f>
        <v>Hard</v>
      </c>
      <c r="J831" s="17" t="str">
        <f>ROUND(Github!N$830, 2)&amp;"%"</f>
        <v>0%</v>
      </c>
      <c r="K831" s="17">
        <f>Github!O$830</f>
        <v>40.8930008</v>
      </c>
      <c r="L831" s="17">
        <f>Github!P$830</f>
        <v>66079</v>
      </c>
    </row>
    <row r="832">
      <c r="A832" s="17">
        <f>Github!J$831</f>
        <v>830</v>
      </c>
      <c r="B832" s="34" t="str">
        <f>HYPERLINK(CONCAT("http://leetcode.com/problems/",Github!C$831), Github!B$831)</f>
        <v>Positions of Large Groups</v>
      </c>
      <c r="C832" s="17">
        <f>Github!F$831</f>
        <v>606</v>
      </c>
      <c r="D832" s="17">
        <f>Github!G$831</f>
        <v>111</v>
      </c>
      <c r="E832" s="17">
        <f>Github!F$831+Github!G$831</f>
        <v>717</v>
      </c>
      <c r="F832" s="18">
        <f t="shared" si="1"/>
        <v>5.46</v>
      </c>
      <c r="G832" s="17" t="str">
        <f>Github!H$831</f>
        <v>Algorithms</v>
      </c>
      <c r="H832" s="17" t="b">
        <f>Github!D$831</f>
        <v>0</v>
      </c>
      <c r="I832" s="17" t="str">
        <f>Github!E$831</f>
        <v>Easy</v>
      </c>
      <c r="J832" s="17" t="str">
        <f>ROUND(Github!N$831, 2)&amp;"%"</f>
        <v>0%</v>
      </c>
      <c r="K832" s="17">
        <f>Github!O$831</f>
        <v>51.31360578</v>
      </c>
      <c r="L832" s="17">
        <f>Github!P$831</f>
        <v>69258</v>
      </c>
    </row>
    <row r="833">
      <c r="A833" s="17">
        <f>Github!J$832</f>
        <v>831</v>
      </c>
      <c r="B833" s="34" t="str">
        <f>HYPERLINK(CONCAT("http://leetcode.com/problems/",Github!C$832), Github!B$832)</f>
        <v>Masking Personal Information</v>
      </c>
      <c r="C833" s="17">
        <f>Github!F$832</f>
        <v>115</v>
      </c>
      <c r="D833" s="17">
        <f>Github!G$832</f>
        <v>396</v>
      </c>
      <c r="E833" s="17">
        <f>Github!F$832+Github!G$832</f>
        <v>511</v>
      </c>
      <c r="F833" s="18">
        <f t="shared" si="1"/>
        <v>0.29</v>
      </c>
      <c r="G833" s="17" t="str">
        <f>Github!H$832</f>
        <v>Algorithms</v>
      </c>
      <c r="H833" s="17" t="b">
        <f>Github!D$832</f>
        <v>0</v>
      </c>
      <c r="I833" s="17" t="str">
        <f>Github!E$832</f>
        <v>Medium</v>
      </c>
      <c r="J833" s="17" t="str">
        <f>ROUND(Github!N$832, 2)&amp;"%"</f>
        <v>0%</v>
      </c>
      <c r="K833" s="17">
        <f>Github!O$832</f>
        <v>45.85236914</v>
      </c>
      <c r="L833" s="17">
        <f>Github!P$832</f>
        <v>14051</v>
      </c>
    </row>
    <row r="834">
      <c r="A834" s="17">
        <f>Github!J$833</f>
        <v>832</v>
      </c>
      <c r="B834" s="34" t="str">
        <f>HYPERLINK(CONCAT("http://leetcode.com/problems/",Github!C$833), Github!B$833)</f>
        <v>Flipping an Image</v>
      </c>
      <c r="C834" s="17">
        <f>Github!F$833</f>
        <v>1982</v>
      </c>
      <c r="D834" s="17">
        <f>Github!G$833</f>
        <v>198</v>
      </c>
      <c r="E834" s="17">
        <f>Github!F$833+Github!G$833</f>
        <v>2180</v>
      </c>
      <c r="F834" s="18">
        <f t="shared" si="1"/>
        <v>10.01</v>
      </c>
      <c r="G834" s="17" t="str">
        <f>Github!H$833</f>
        <v>Algorithms</v>
      </c>
      <c r="H834" s="17" t="b">
        <f>Github!D$833</f>
        <v>0</v>
      </c>
      <c r="I834" s="17" t="str">
        <f>Github!E$833</f>
        <v>Easy</v>
      </c>
      <c r="J834" s="17" t="str">
        <f>ROUND(Github!N$833, 2)&amp;"%"</f>
        <v>0%</v>
      </c>
      <c r="K834" s="17">
        <f>Github!O$833</f>
        <v>79.52438589</v>
      </c>
      <c r="L834" s="17">
        <f>Github!P$833</f>
        <v>285147</v>
      </c>
    </row>
    <row r="835">
      <c r="A835" s="17">
        <f>Github!J$834</f>
        <v>833</v>
      </c>
      <c r="B835" s="34" t="str">
        <f>HYPERLINK(CONCAT("http://leetcode.com/problems/",Github!C$834), Github!B$834)</f>
        <v>Find And Replace in String</v>
      </c>
      <c r="C835" s="17">
        <f>Github!F$834</f>
        <v>770</v>
      </c>
      <c r="D835" s="17">
        <f>Github!G$834</f>
        <v>747</v>
      </c>
      <c r="E835" s="17">
        <f>Github!F$834+Github!G$834</f>
        <v>1517</v>
      </c>
      <c r="F835" s="18">
        <f t="shared" si="1"/>
        <v>1.03</v>
      </c>
      <c r="G835" s="17" t="str">
        <f>Github!H$834</f>
        <v>Algorithms</v>
      </c>
      <c r="H835" s="17" t="b">
        <f>Github!D$834</f>
        <v>0</v>
      </c>
      <c r="I835" s="17" t="str">
        <f>Github!E$834</f>
        <v>Medium</v>
      </c>
      <c r="J835" s="17" t="str">
        <f>ROUND(Github!N$834, 2)&amp;"%"</f>
        <v>0%</v>
      </c>
      <c r="K835" s="17">
        <f>Github!O$834</f>
        <v>54.303425</v>
      </c>
      <c r="L835" s="17">
        <f>Github!P$834</f>
        <v>100391</v>
      </c>
    </row>
    <row r="836">
      <c r="A836" s="17">
        <f>Github!J$835</f>
        <v>834</v>
      </c>
      <c r="B836" s="34" t="str">
        <f>HYPERLINK(CONCAT("http://leetcode.com/problems/",Github!C$835), Github!B$835)</f>
        <v>Sum of Distances in Tree</v>
      </c>
      <c r="C836" s="17">
        <f>Github!F$835</f>
        <v>2413</v>
      </c>
      <c r="D836" s="17">
        <f>Github!G$835</f>
        <v>57</v>
      </c>
      <c r="E836" s="17">
        <f>Github!F$835+Github!G$835</f>
        <v>2470</v>
      </c>
      <c r="F836" s="18">
        <f t="shared" si="1"/>
        <v>42.33</v>
      </c>
      <c r="G836" s="17" t="str">
        <f>Github!H$835</f>
        <v>Algorithms</v>
      </c>
      <c r="H836" s="17" t="b">
        <f>Github!D$835</f>
        <v>0</v>
      </c>
      <c r="I836" s="17" t="str">
        <f>Github!E$835</f>
        <v>Hard</v>
      </c>
      <c r="J836" s="17" t="str">
        <f>ROUND(Github!N$835, 2)&amp;"%"</f>
        <v>0%</v>
      </c>
      <c r="K836" s="17">
        <f>Github!O$835</f>
        <v>52.7500231</v>
      </c>
      <c r="L836" s="17">
        <f>Github!P$835</f>
        <v>39965</v>
      </c>
    </row>
    <row r="837">
      <c r="A837" s="17">
        <f>Github!J$836</f>
        <v>835</v>
      </c>
      <c r="B837" s="34" t="str">
        <f>HYPERLINK(CONCAT("http://leetcode.com/problems/",Github!C$836), Github!B$836)</f>
        <v>Image Overlap</v>
      </c>
      <c r="C837" s="17">
        <f>Github!F$836</f>
        <v>90</v>
      </c>
      <c r="D837" s="17">
        <f>Github!G$836</f>
        <v>25</v>
      </c>
      <c r="E837" s="17">
        <f>Github!F$836+Github!G$836</f>
        <v>115</v>
      </c>
      <c r="F837" s="18">
        <f t="shared" si="1"/>
        <v>3.6</v>
      </c>
      <c r="G837" s="17" t="str">
        <f>Github!H$836</f>
        <v>Algorithms</v>
      </c>
      <c r="H837" s="17" t="b">
        <f>Github!D$836</f>
        <v>0</v>
      </c>
      <c r="I837" s="17" t="str">
        <f>Github!E$836</f>
        <v>Medium</v>
      </c>
      <c r="J837" s="17" t="str">
        <f>ROUND(Github!N$836, 2)&amp;"%"</f>
        <v>0%</v>
      </c>
      <c r="K837" s="17">
        <f>Github!O$836</f>
        <v>61.28046391</v>
      </c>
      <c r="L837" s="17">
        <f>Github!P$836</f>
        <v>46920</v>
      </c>
    </row>
    <row r="838">
      <c r="A838" s="17">
        <f>Github!J$837</f>
        <v>836</v>
      </c>
      <c r="B838" s="34" t="str">
        <f>HYPERLINK(CONCAT("http://leetcode.com/problems/",Github!C$837), Github!B$837)</f>
        <v>Rectangle Overlap</v>
      </c>
      <c r="C838" s="17">
        <f>Github!F$837</f>
        <v>1355</v>
      </c>
      <c r="D838" s="17">
        <f>Github!G$837</f>
        <v>375</v>
      </c>
      <c r="E838" s="17">
        <f>Github!F$837+Github!G$837</f>
        <v>1730</v>
      </c>
      <c r="F838" s="18">
        <f t="shared" si="1"/>
        <v>3.61</v>
      </c>
      <c r="G838" s="17" t="str">
        <f>Github!H$837</f>
        <v>Algorithms</v>
      </c>
      <c r="H838" s="17" t="b">
        <f>Github!D$837</f>
        <v>0</v>
      </c>
      <c r="I838" s="17" t="str">
        <f>Github!E$837</f>
        <v>Easy</v>
      </c>
      <c r="J838" s="17" t="str">
        <f>ROUND(Github!N$837, 2)&amp;"%"</f>
        <v>0%</v>
      </c>
      <c r="K838" s="17">
        <f>Github!O$837</f>
        <v>43.15001541</v>
      </c>
      <c r="L838" s="17">
        <f>Github!P$837</f>
        <v>97998</v>
      </c>
    </row>
    <row r="839">
      <c r="A839" s="17">
        <f>Github!J$838</f>
        <v>837</v>
      </c>
      <c r="B839" s="34" t="str">
        <f>HYPERLINK(CONCAT("http://leetcode.com/problems/",Github!C$838), Github!B$838)</f>
        <v>New 21 Game</v>
      </c>
      <c r="C839" s="17">
        <f>Github!F$838</f>
        <v>926</v>
      </c>
      <c r="D839" s="17">
        <f>Github!G$838</f>
        <v>613</v>
      </c>
      <c r="E839" s="17">
        <f>Github!F$838+Github!G$838</f>
        <v>1539</v>
      </c>
      <c r="F839" s="18">
        <f t="shared" si="1"/>
        <v>1.51</v>
      </c>
      <c r="G839" s="17" t="str">
        <f>Github!H$838</f>
        <v>Algorithms</v>
      </c>
      <c r="H839" s="17" t="b">
        <f>Github!D$838</f>
        <v>0</v>
      </c>
      <c r="I839" s="17" t="str">
        <f>Github!E$838</f>
        <v>Medium</v>
      </c>
      <c r="J839" s="17" t="str">
        <f>ROUND(Github!N$838, 2)&amp;"%"</f>
        <v>0%</v>
      </c>
      <c r="K839" s="17">
        <f>Github!O$838</f>
        <v>36.02918569</v>
      </c>
      <c r="L839" s="17">
        <f>Github!P$838</f>
        <v>30467</v>
      </c>
    </row>
    <row r="840">
      <c r="A840" s="17">
        <f>Github!J$839</f>
        <v>838</v>
      </c>
      <c r="B840" s="34" t="str">
        <f>HYPERLINK(CONCAT("http://leetcode.com/problems/",Github!C$839), Github!B$839)</f>
        <v>Push Dominoes</v>
      </c>
      <c r="C840" s="17">
        <f>Github!F$839</f>
        <v>1572</v>
      </c>
      <c r="D840" s="17">
        <f>Github!G$839</f>
        <v>105</v>
      </c>
      <c r="E840" s="17">
        <f>Github!F$839+Github!G$839</f>
        <v>1677</v>
      </c>
      <c r="F840" s="18">
        <f t="shared" si="1"/>
        <v>14.97</v>
      </c>
      <c r="G840" s="17" t="str">
        <f>Github!H$839</f>
        <v>Algorithms</v>
      </c>
      <c r="H840" s="17" t="b">
        <f>Github!D$839</f>
        <v>0</v>
      </c>
      <c r="I840" s="17" t="str">
        <f>Github!E$839</f>
        <v>Medium</v>
      </c>
      <c r="J840" s="17" t="str">
        <f>ROUND(Github!N$839, 2)&amp;"%"</f>
        <v>0%</v>
      </c>
      <c r="K840" s="17">
        <f>Github!O$839</f>
        <v>52.19848662</v>
      </c>
      <c r="L840" s="17">
        <f>Github!P$839</f>
        <v>56152</v>
      </c>
    </row>
    <row r="841">
      <c r="A841" s="17">
        <f>Github!J$840</f>
        <v>839</v>
      </c>
      <c r="B841" s="34" t="str">
        <f>HYPERLINK(CONCAT("http://leetcode.com/problems/",Github!C$840), Github!B$840)</f>
        <v>Similar String Groups</v>
      </c>
      <c r="C841" s="17">
        <f>Github!F$840</f>
        <v>748</v>
      </c>
      <c r="D841" s="17">
        <f>Github!G$840</f>
        <v>165</v>
      </c>
      <c r="E841" s="17">
        <f>Github!F$840+Github!G$840</f>
        <v>913</v>
      </c>
      <c r="F841" s="18">
        <f t="shared" si="1"/>
        <v>4.53</v>
      </c>
      <c r="G841" s="17" t="str">
        <f>Github!H$840</f>
        <v>Algorithms</v>
      </c>
      <c r="H841" s="17" t="b">
        <f>Github!D$840</f>
        <v>0</v>
      </c>
      <c r="I841" s="17" t="str">
        <f>Github!E$840</f>
        <v>Hard</v>
      </c>
      <c r="J841" s="17" t="str">
        <f>ROUND(Github!N$840, 2)&amp;"%"</f>
        <v>0%</v>
      </c>
      <c r="K841" s="17">
        <f>Github!O$840</f>
        <v>45.04638941</v>
      </c>
      <c r="L841" s="17">
        <f>Github!P$840</f>
        <v>48601</v>
      </c>
    </row>
    <row r="842">
      <c r="A842" s="17">
        <f>Github!J$841</f>
        <v>840</v>
      </c>
      <c r="B842" s="34" t="str">
        <f>HYPERLINK(CONCAT("http://leetcode.com/problems/",Github!C$841), Github!B$841)</f>
        <v>Magic Squares In Grid</v>
      </c>
      <c r="C842" s="17">
        <f>Github!F$841</f>
        <v>242</v>
      </c>
      <c r="D842" s="17">
        <f>Github!G$841</f>
        <v>1439</v>
      </c>
      <c r="E842" s="17">
        <f>Github!F$841+Github!G$841</f>
        <v>1681</v>
      </c>
      <c r="F842" s="18">
        <f t="shared" si="1"/>
        <v>0.17</v>
      </c>
      <c r="G842" s="17" t="str">
        <f>Github!H$841</f>
        <v>Algorithms</v>
      </c>
      <c r="H842" s="17" t="b">
        <f>Github!D$841</f>
        <v>0</v>
      </c>
      <c r="I842" s="17" t="str">
        <f>Github!E$841</f>
        <v>Medium</v>
      </c>
      <c r="J842" s="17" t="str">
        <f>ROUND(Github!N$841, 2)&amp;"%"</f>
        <v>0%</v>
      </c>
      <c r="K842" s="17">
        <f>Github!O$841</f>
        <v>38.31963492</v>
      </c>
      <c r="L842" s="17">
        <f>Github!P$841</f>
        <v>31657</v>
      </c>
    </row>
    <row r="843">
      <c r="A843" s="17">
        <f>Github!J$842</f>
        <v>841</v>
      </c>
      <c r="B843" s="34" t="str">
        <f>HYPERLINK(CONCAT("http://leetcode.com/problems/",Github!C$842), Github!B$842)</f>
        <v>Keys and Rooms</v>
      </c>
      <c r="C843" s="17">
        <f>Github!F$842</f>
        <v>2817</v>
      </c>
      <c r="D843" s="17">
        <f>Github!G$842</f>
        <v>165</v>
      </c>
      <c r="E843" s="17">
        <f>Github!F$842+Github!G$842</f>
        <v>2982</v>
      </c>
      <c r="F843" s="18">
        <f t="shared" si="1"/>
        <v>17.07</v>
      </c>
      <c r="G843" s="17" t="str">
        <f>Github!H$842</f>
        <v>Algorithms</v>
      </c>
      <c r="H843" s="17" t="b">
        <f>Github!D$842</f>
        <v>0</v>
      </c>
      <c r="I843" s="17" t="str">
        <f>Github!E$842</f>
        <v>Medium</v>
      </c>
      <c r="J843" s="17" t="str">
        <f>ROUND(Github!N$842, 2)&amp;"%"</f>
        <v>0%</v>
      </c>
      <c r="K843" s="17">
        <f>Github!O$842</f>
        <v>68.53292902</v>
      </c>
      <c r="L843" s="17">
        <f>Github!P$842</f>
        <v>180806</v>
      </c>
    </row>
    <row r="844">
      <c r="A844" s="17">
        <f>Github!J$843</f>
        <v>842</v>
      </c>
      <c r="B844" s="34" t="str">
        <f>HYPERLINK(CONCAT("http://leetcode.com/problems/",Github!C$843), Github!B$843)</f>
        <v>Split Array into Fibonacci Sequence</v>
      </c>
      <c r="C844" s="17">
        <f>Github!F$843</f>
        <v>808</v>
      </c>
      <c r="D844" s="17">
        <f>Github!G$843</f>
        <v>246</v>
      </c>
      <c r="E844" s="17">
        <f>Github!F$843+Github!G$843</f>
        <v>1054</v>
      </c>
      <c r="F844" s="18">
        <f t="shared" si="1"/>
        <v>3.28</v>
      </c>
      <c r="G844" s="17" t="str">
        <f>Github!H$843</f>
        <v>Algorithms</v>
      </c>
      <c r="H844" s="17" t="b">
        <f>Github!D$843</f>
        <v>0</v>
      </c>
      <c r="I844" s="17" t="str">
        <f>Github!E$843</f>
        <v>Medium</v>
      </c>
      <c r="J844" s="17" t="str">
        <f>ROUND(Github!N$843, 2)&amp;"%"</f>
        <v>0%</v>
      </c>
      <c r="K844" s="17">
        <f>Github!O$843</f>
        <v>37.68033768</v>
      </c>
      <c r="L844" s="17">
        <f>Github!P$843</f>
        <v>29904</v>
      </c>
    </row>
    <row r="845">
      <c r="A845" s="17">
        <f>Github!J$844</f>
        <v>843</v>
      </c>
      <c r="B845" s="34" t="str">
        <f>HYPERLINK(CONCAT("http://leetcode.com/problems/",Github!C$844), Github!B$844)</f>
        <v>Guess the Word</v>
      </c>
      <c r="C845" s="17">
        <f>Github!F$844</f>
        <v>1166</v>
      </c>
      <c r="D845" s="17">
        <f>Github!G$844</f>
        <v>1291</v>
      </c>
      <c r="E845" s="17">
        <f>Github!F$844+Github!G$844</f>
        <v>2457</v>
      </c>
      <c r="F845" s="18">
        <f t="shared" si="1"/>
        <v>0.9</v>
      </c>
      <c r="G845" s="17" t="str">
        <f>Github!H$844</f>
        <v>Algorithms</v>
      </c>
      <c r="H845" s="17" t="b">
        <f>Github!D$844</f>
        <v>0</v>
      </c>
      <c r="I845" s="17" t="str">
        <f>Github!E$844</f>
        <v>Hard</v>
      </c>
      <c r="J845" s="17" t="str">
        <f>ROUND(Github!N$844, 2)&amp;"%"</f>
        <v>0%</v>
      </c>
      <c r="K845" s="17">
        <f>Github!O$844</f>
        <v>43.20261668</v>
      </c>
      <c r="L845" s="17">
        <f>Github!P$844</f>
        <v>110422</v>
      </c>
    </row>
    <row r="846">
      <c r="A846" s="17">
        <f>Github!J$845</f>
        <v>844</v>
      </c>
      <c r="B846" s="34" t="str">
        <f>HYPERLINK(CONCAT("http://leetcode.com/problems/",Github!C$845), Github!B$845)</f>
        <v>Backspace String Compare</v>
      </c>
      <c r="C846" s="17">
        <f>Github!F$845</f>
        <v>3662</v>
      </c>
      <c r="D846" s="17">
        <f>Github!G$845</f>
        <v>172</v>
      </c>
      <c r="E846" s="17">
        <f>Github!F$845+Github!G$845</f>
        <v>3834</v>
      </c>
      <c r="F846" s="18">
        <f t="shared" si="1"/>
        <v>21.29</v>
      </c>
      <c r="G846" s="17" t="str">
        <f>Github!H$845</f>
        <v>Algorithms</v>
      </c>
      <c r="H846" s="17" t="b">
        <f>Github!D$845</f>
        <v>0</v>
      </c>
      <c r="I846" s="17" t="str">
        <f>Github!E$845</f>
        <v>Easy</v>
      </c>
      <c r="J846" s="17" t="str">
        <f>ROUND(Github!N$845, 2)&amp;"%"</f>
        <v>0%</v>
      </c>
      <c r="K846" s="17">
        <f>Github!O$845</f>
        <v>47.34161899</v>
      </c>
      <c r="L846" s="17">
        <f>Github!P$845</f>
        <v>392028</v>
      </c>
    </row>
    <row r="847">
      <c r="A847" s="17">
        <f>Github!J$846</f>
        <v>845</v>
      </c>
      <c r="B847" s="34" t="str">
        <f>HYPERLINK(CONCAT("http://leetcode.com/problems/",Github!C$846), Github!B$846)</f>
        <v>Longest Mountain in Array</v>
      </c>
      <c r="C847" s="17">
        <f>Github!F$846</f>
        <v>1790</v>
      </c>
      <c r="D847" s="17">
        <f>Github!G$846</f>
        <v>55</v>
      </c>
      <c r="E847" s="17">
        <f>Github!F$846+Github!G$846</f>
        <v>1845</v>
      </c>
      <c r="F847" s="18">
        <f t="shared" si="1"/>
        <v>32.55</v>
      </c>
      <c r="G847" s="17" t="str">
        <f>Github!H$846</f>
        <v>Algorithms</v>
      </c>
      <c r="H847" s="17" t="b">
        <f>Github!D$846</f>
        <v>0</v>
      </c>
      <c r="I847" s="17" t="str">
        <f>Github!E$846</f>
        <v>Medium</v>
      </c>
      <c r="J847" s="17" t="str">
        <f>ROUND(Github!N$846, 2)&amp;"%"</f>
        <v>0%</v>
      </c>
      <c r="K847" s="17">
        <f>Github!O$846</f>
        <v>39.71374028</v>
      </c>
      <c r="L847" s="17">
        <f>Github!P$846</f>
        <v>86958</v>
      </c>
    </row>
    <row r="848">
      <c r="A848" s="17">
        <f>Github!J$847</f>
        <v>846</v>
      </c>
      <c r="B848" s="34" t="str">
        <f>HYPERLINK(CONCAT("http://leetcode.com/problems/",Github!C$847), Github!B$847)</f>
        <v>Hand of Straights</v>
      </c>
      <c r="C848" s="17">
        <f>Github!F$847</f>
        <v>1281</v>
      </c>
      <c r="D848" s="17">
        <f>Github!G$847</f>
        <v>107</v>
      </c>
      <c r="E848" s="17">
        <f>Github!F$847+Github!G$847</f>
        <v>1388</v>
      </c>
      <c r="F848" s="18">
        <f t="shared" si="1"/>
        <v>11.97</v>
      </c>
      <c r="G848" s="17" t="str">
        <f>Github!H$847</f>
        <v>Algorithms</v>
      </c>
      <c r="H848" s="17" t="b">
        <f>Github!D$847</f>
        <v>0</v>
      </c>
      <c r="I848" s="17" t="str">
        <f>Github!E$847</f>
        <v>Medium</v>
      </c>
      <c r="J848" s="17" t="str">
        <f>ROUND(Github!N$847, 2)&amp;"%"</f>
        <v>0%</v>
      </c>
      <c r="K848" s="17">
        <f>Github!O$847</f>
        <v>56.12583552</v>
      </c>
      <c r="L848" s="17">
        <f>Github!P$847</f>
        <v>84388</v>
      </c>
    </row>
    <row r="849">
      <c r="A849" s="17">
        <f>Github!J$848</f>
        <v>847</v>
      </c>
      <c r="B849" s="34" t="str">
        <f>HYPERLINK(CONCAT("http://leetcode.com/problems/",Github!C$848), Github!B$848)</f>
        <v>Shortest Path Visiting All Nodes</v>
      </c>
      <c r="C849" s="17">
        <f>Github!F$848</f>
        <v>2273</v>
      </c>
      <c r="D849" s="17">
        <f>Github!G$848</f>
        <v>117</v>
      </c>
      <c r="E849" s="17">
        <f>Github!F$848+Github!G$848</f>
        <v>2390</v>
      </c>
      <c r="F849" s="18">
        <f t="shared" si="1"/>
        <v>19.43</v>
      </c>
      <c r="G849" s="17" t="str">
        <f>Github!H$848</f>
        <v>Algorithms</v>
      </c>
      <c r="H849" s="17" t="b">
        <f>Github!D$848</f>
        <v>0</v>
      </c>
      <c r="I849" s="17" t="str">
        <f>Github!E$848</f>
        <v>Hard</v>
      </c>
      <c r="J849" s="17" t="str">
        <f>ROUND(Github!N$848, 2)&amp;"%"</f>
        <v>0%</v>
      </c>
      <c r="K849" s="17">
        <f>Github!O$848</f>
        <v>60.98631968</v>
      </c>
      <c r="L849" s="17">
        <f>Github!P$848</f>
        <v>52914</v>
      </c>
    </row>
    <row r="850">
      <c r="A850" s="17">
        <f>Github!J$849</f>
        <v>848</v>
      </c>
      <c r="B850" s="34" t="str">
        <f>HYPERLINK(CONCAT("http://leetcode.com/problems/",Github!C$849), Github!B$849)</f>
        <v>Shifting Letters</v>
      </c>
      <c r="C850" s="17">
        <f>Github!F$849</f>
        <v>833</v>
      </c>
      <c r="D850" s="17">
        <f>Github!G$849</f>
        <v>96</v>
      </c>
      <c r="E850" s="17">
        <f>Github!F$849+Github!G$849</f>
        <v>929</v>
      </c>
      <c r="F850" s="18">
        <f t="shared" si="1"/>
        <v>8.68</v>
      </c>
      <c r="G850" s="17" t="str">
        <f>Github!H$849</f>
        <v>Algorithms</v>
      </c>
      <c r="H850" s="17" t="b">
        <f>Github!D$849</f>
        <v>0</v>
      </c>
      <c r="I850" s="17" t="str">
        <f>Github!E$849</f>
        <v>Medium</v>
      </c>
      <c r="J850" s="17" t="str">
        <f>ROUND(Github!N$849, 2)&amp;"%"</f>
        <v>0%</v>
      </c>
      <c r="K850" s="17">
        <f>Github!O$849</f>
        <v>45.47389056</v>
      </c>
      <c r="L850" s="17">
        <f>Github!P$849</f>
        <v>70520</v>
      </c>
    </row>
    <row r="851">
      <c r="A851" s="17">
        <f>Github!J$850</f>
        <v>849</v>
      </c>
      <c r="B851" s="34" t="str">
        <f>HYPERLINK(CONCAT("http://leetcode.com/problems/",Github!C$850), Github!B$850)</f>
        <v>Maximize Distance to Closest Person</v>
      </c>
      <c r="C851" s="17">
        <f>Github!F$850</f>
        <v>2515</v>
      </c>
      <c r="D851" s="17">
        <f>Github!G$850</f>
        <v>162</v>
      </c>
      <c r="E851" s="17">
        <f>Github!F$850+Github!G$850</f>
        <v>2677</v>
      </c>
      <c r="F851" s="18">
        <f t="shared" si="1"/>
        <v>15.52</v>
      </c>
      <c r="G851" s="17" t="str">
        <f>Github!H$850</f>
        <v>Algorithms</v>
      </c>
      <c r="H851" s="17" t="b">
        <f>Github!D$850</f>
        <v>0</v>
      </c>
      <c r="I851" s="17" t="str">
        <f>Github!E$850</f>
        <v>Medium</v>
      </c>
      <c r="J851" s="17" t="str">
        <f>ROUND(Github!N$850, 2)&amp;"%"</f>
        <v>0%</v>
      </c>
      <c r="K851" s="17">
        <f>Github!O$850</f>
        <v>47.42882091</v>
      </c>
      <c r="L851" s="17">
        <f>Github!P$850</f>
        <v>167297</v>
      </c>
    </row>
    <row r="852">
      <c r="A852" s="17">
        <f>Github!J$851</f>
        <v>850</v>
      </c>
      <c r="B852" s="34" t="str">
        <f>HYPERLINK(CONCAT("http://leetcode.com/problems/",Github!C$851), Github!B$851)</f>
        <v>Rectangle Area II</v>
      </c>
      <c r="C852" s="17">
        <f>Github!F$851</f>
        <v>763</v>
      </c>
      <c r="D852" s="17">
        <f>Github!G$851</f>
        <v>50</v>
      </c>
      <c r="E852" s="17">
        <f>Github!F$851+Github!G$851</f>
        <v>813</v>
      </c>
      <c r="F852" s="18">
        <f t="shared" si="1"/>
        <v>15.26</v>
      </c>
      <c r="G852" s="17" t="str">
        <f>Github!H$851</f>
        <v>Algorithms</v>
      </c>
      <c r="H852" s="17" t="b">
        <f>Github!D$851</f>
        <v>0</v>
      </c>
      <c r="I852" s="17" t="str">
        <f>Github!E$851</f>
        <v>Hard</v>
      </c>
      <c r="J852" s="17" t="str">
        <f>ROUND(Github!N$851, 2)&amp;"%"</f>
        <v>0%</v>
      </c>
      <c r="K852" s="17">
        <f>Github!O$851</f>
        <v>53.2558698</v>
      </c>
      <c r="L852" s="17">
        <f>Github!P$851</f>
        <v>28829</v>
      </c>
    </row>
    <row r="853">
      <c r="A853" s="17">
        <f>Github!J$852</f>
        <v>851</v>
      </c>
      <c r="B853" s="34" t="str">
        <f>HYPERLINK(CONCAT("http://leetcode.com/problems/",Github!C$852), Github!B$852)</f>
        <v>Loud and Rich</v>
      </c>
      <c r="C853" s="17">
        <f>Github!F$852</f>
        <v>580</v>
      </c>
      <c r="D853" s="17">
        <f>Github!G$852</f>
        <v>531</v>
      </c>
      <c r="E853" s="17">
        <f>Github!F$852+Github!G$852</f>
        <v>1111</v>
      </c>
      <c r="F853" s="18">
        <f t="shared" si="1"/>
        <v>1.09</v>
      </c>
      <c r="G853" s="17" t="str">
        <f>Github!H$852</f>
        <v>Algorithms</v>
      </c>
      <c r="H853" s="17" t="b">
        <f>Github!D$852</f>
        <v>0</v>
      </c>
      <c r="I853" s="17" t="str">
        <f>Github!E$852</f>
        <v>Medium</v>
      </c>
      <c r="J853" s="17" t="str">
        <f>ROUND(Github!N$852, 2)&amp;"%"</f>
        <v>0%</v>
      </c>
      <c r="K853" s="17">
        <f>Github!O$852</f>
        <v>56.23389941</v>
      </c>
      <c r="L853" s="17">
        <f>Github!P$852</f>
        <v>22484</v>
      </c>
    </row>
    <row r="854">
      <c r="A854" s="17">
        <f>Github!J$853</f>
        <v>852</v>
      </c>
      <c r="B854" s="34" t="str">
        <f>HYPERLINK(CONCAT("http://leetcode.com/problems/",Github!C$853), Github!B$853)</f>
        <v>Peak Index in a Mountain Array</v>
      </c>
      <c r="C854" s="17">
        <f>Github!F$853</f>
        <v>2240</v>
      </c>
      <c r="D854" s="17">
        <f>Github!G$853</f>
        <v>1592</v>
      </c>
      <c r="E854" s="17">
        <f>Github!F$853+Github!G$853</f>
        <v>3832</v>
      </c>
      <c r="F854" s="18">
        <f t="shared" si="1"/>
        <v>1.41</v>
      </c>
      <c r="G854" s="17" t="str">
        <f>Github!H$853</f>
        <v>Algorithms</v>
      </c>
      <c r="H854" s="17" t="b">
        <f>Github!D$853</f>
        <v>0</v>
      </c>
      <c r="I854" s="17" t="str">
        <f>Github!E$853</f>
        <v>Easy</v>
      </c>
      <c r="J854" s="17" t="str">
        <f>ROUND(Github!N$853, 2)&amp;"%"</f>
        <v>0%</v>
      </c>
      <c r="K854" s="17">
        <f>Github!O$853</f>
        <v>70.92336872</v>
      </c>
      <c r="L854" s="17">
        <f>Github!P$853</f>
        <v>333163</v>
      </c>
    </row>
    <row r="855">
      <c r="A855" s="17">
        <f>Github!J$854</f>
        <v>853</v>
      </c>
      <c r="B855" s="34" t="str">
        <f>HYPERLINK(CONCAT("http://leetcode.com/problems/",Github!C$854), Github!B$854)</f>
        <v>Car Fleet</v>
      </c>
      <c r="C855" s="17">
        <f>Github!F$854</f>
        <v>1253</v>
      </c>
      <c r="D855" s="17">
        <f>Github!G$854</f>
        <v>388</v>
      </c>
      <c r="E855" s="17">
        <f>Github!F$854+Github!G$854</f>
        <v>1641</v>
      </c>
      <c r="F855" s="18">
        <f t="shared" si="1"/>
        <v>3.23</v>
      </c>
      <c r="G855" s="17" t="str">
        <f>Github!H$854</f>
        <v>Algorithms</v>
      </c>
      <c r="H855" s="17" t="b">
        <f>Github!D$854</f>
        <v>0</v>
      </c>
      <c r="I855" s="17" t="str">
        <f>Github!E$854</f>
        <v>Medium</v>
      </c>
      <c r="J855" s="17" t="str">
        <f>ROUND(Github!N$854, 2)&amp;"%"</f>
        <v>0%</v>
      </c>
      <c r="K855" s="17">
        <f>Github!O$854</f>
        <v>47.8007049</v>
      </c>
      <c r="L855" s="17">
        <f>Github!P$854</f>
        <v>74591</v>
      </c>
    </row>
    <row r="856">
      <c r="A856" s="17">
        <f>Github!J$855</f>
        <v>854</v>
      </c>
      <c r="B856" s="34" t="str">
        <f>HYPERLINK(CONCAT("http://leetcode.com/problems/",Github!C$855), Github!B$855)</f>
        <v>K-Similar Strings</v>
      </c>
      <c r="C856" s="17">
        <f>Github!F$855</f>
        <v>785</v>
      </c>
      <c r="D856" s="17">
        <f>Github!G$855</f>
        <v>47</v>
      </c>
      <c r="E856" s="17">
        <f>Github!F$855+Github!G$855</f>
        <v>832</v>
      </c>
      <c r="F856" s="18">
        <f t="shared" si="1"/>
        <v>16.7</v>
      </c>
      <c r="G856" s="17" t="str">
        <f>Github!H$855</f>
        <v>Algorithms</v>
      </c>
      <c r="H856" s="17" t="b">
        <f>Github!D$855</f>
        <v>0</v>
      </c>
      <c r="I856" s="17" t="str">
        <f>Github!E$855</f>
        <v>Hard</v>
      </c>
      <c r="J856" s="17" t="str">
        <f>ROUND(Github!N$855, 2)&amp;"%"</f>
        <v>0%</v>
      </c>
      <c r="K856" s="17">
        <f>Github!O$855</f>
        <v>39.18836992</v>
      </c>
      <c r="L856" s="17">
        <f>Github!P$855</f>
        <v>31027</v>
      </c>
    </row>
    <row r="857">
      <c r="A857" s="17">
        <f>Github!J$856</f>
        <v>855</v>
      </c>
      <c r="B857" s="34" t="str">
        <f>HYPERLINK(CONCAT("http://leetcode.com/problems/",Github!C$856), Github!B$856)</f>
        <v>Exam Room</v>
      </c>
      <c r="C857" s="17">
        <f>Github!F$856</f>
        <v>943</v>
      </c>
      <c r="D857" s="17">
        <f>Github!G$856</f>
        <v>368</v>
      </c>
      <c r="E857" s="17">
        <f>Github!F$856+Github!G$856</f>
        <v>1311</v>
      </c>
      <c r="F857" s="18">
        <f t="shared" si="1"/>
        <v>2.56</v>
      </c>
      <c r="G857" s="17" t="str">
        <f>Github!H$856</f>
        <v>Algorithms</v>
      </c>
      <c r="H857" s="17" t="b">
        <f>Github!D$856</f>
        <v>0</v>
      </c>
      <c r="I857" s="17" t="str">
        <f>Github!E$856</f>
        <v>Medium</v>
      </c>
      <c r="J857" s="17" t="str">
        <f>ROUND(Github!N$856, 2)&amp;"%"</f>
        <v>0%</v>
      </c>
      <c r="K857" s="17">
        <f>Github!O$856</f>
        <v>43.57638392</v>
      </c>
      <c r="L857" s="17">
        <f>Github!P$856</f>
        <v>45665</v>
      </c>
    </row>
    <row r="858">
      <c r="A858" s="17">
        <f>Github!J$857</f>
        <v>856</v>
      </c>
      <c r="B858" s="34" t="str">
        <f>HYPERLINK(CONCAT("http://leetcode.com/problems/",Github!C$857), Github!B$857)</f>
        <v>Score of Parentheses</v>
      </c>
      <c r="C858" s="17">
        <f>Github!F$857</f>
        <v>3046</v>
      </c>
      <c r="D858" s="17">
        <f>Github!G$857</f>
        <v>88</v>
      </c>
      <c r="E858" s="17">
        <f>Github!F$857+Github!G$857</f>
        <v>3134</v>
      </c>
      <c r="F858" s="18">
        <f t="shared" si="1"/>
        <v>34.61</v>
      </c>
      <c r="G858" s="17" t="str">
        <f>Github!H$857</f>
        <v>Algorithms</v>
      </c>
      <c r="H858" s="17" t="b">
        <f>Github!D$857</f>
        <v>0</v>
      </c>
      <c r="I858" s="17" t="str">
        <f>Github!E$857</f>
        <v>Medium</v>
      </c>
      <c r="J858" s="17" t="str">
        <f>ROUND(Github!N$857, 2)&amp;"%"</f>
        <v>0%</v>
      </c>
      <c r="K858" s="17">
        <f>Github!O$857</f>
        <v>65.39264857</v>
      </c>
      <c r="L858" s="17">
        <f>Github!P$857</f>
        <v>95175</v>
      </c>
    </row>
    <row r="859">
      <c r="A859" s="17">
        <f>Github!J$858</f>
        <v>857</v>
      </c>
      <c r="B859" s="34" t="str">
        <f>HYPERLINK(CONCAT("http://leetcode.com/problems/",Github!C$858), Github!B$858)</f>
        <v>Minimum Cost to Hire K Workers</v>
      </c>
      <c r="C859" s="17">
        <f>Github!F$858</f>
        <v>1564</v>
      </c>
      <c r="D859" s="17">
        <f>Github!G$858</f>
        <v>187</v>
      </c>
      <c r="E859" s="17">
        <f>Github!F$858+Github!G$858</f>
        <v>1751</v>
      </c>
      <c r="F859" s="18">
        <f t="shared" si="1"/>
        <v>8.36</v>
      </c>
      <c r="G859" s="17" t="str">
        <f>Github!H$858</f>
        <v>Algorithms</v>
      </c>
      <c r="H859" s="17" t="b">
        <f>Github!D$858</f>
        <v>0</v>
      </c>
      <c r="I859" s="17" t="str">
        <f>Github!E$858</f>
        <v>Hard</v>
      </c>
      <c r="J859" s="17" t="str">
        <f>ROUND(Github!N$858, 2)&amp;"%"</f>
        <v>0%</v>
      </c>
      <c r="K859" s="17">
        <f>Github!O$858</f>
        <v>51.54258072</v>
      </c>
      <c r="L859" s="17">
        <f>Github!P$858</f>
        <v>48800</v>
      </c>
    </row>
    <row r="860">
      <c r="A860" s="17">
        <f>Github!J$859</f>
        <v>858</v>
      </c>
      <c r="B860" s="34" t="str">
        <f>HYPERLINK(CONCAT("http://leetcode.com/problems/",Github!C$859), Github!B$859)</f>
        <v>Mirror Reflection</v>
      </c>
      <c r="C860" s="17">
        <f>Github!F$859</f>
        <v>361</v>
      </c>
      <c r="D860" s="17">
        <f>Github!G$859</f>
        <v>706</v>
      </c>
      <c r="E860" s="17">
        <f>Github!F$859+Github!G$859</f>
        <v>1067</v>
      </c>
      <c r="F860" s="18">
        <f t="shared" si="1"/>
        <v>0.51</v>
      </c>
      <c r="G860" s="17" t="str">
        <f>Github!H$859</f>
        <v>Algorithms</v>
      </c>
      <c r="H860" s="17" t="b">
        <f>Github!D$859</f>
        <v>0</v>
      </c>
      <c r="I860" s="17" t="str">
        <f>Github!E$859</f>
        <v>Medium</v>
      </c>
      <c r="J860" s="17" t="str">
        <f>ROUND(Github!N$859, 2)&amp;"%"</f>
        <v>0%</v>
      </c>
      <c r="K860" s="17">
        <f>Github!O$859</f>
        <v>59.55158794</v>
      </c>
      <c r="L860" s="17">
        <f>Github!P$859</f>
        <v>26083</v>
      </c>
    </row>
    <row r="861">
      <c r="A861" s="17">
        <f>Github!J$860</f>
        <v>859</v>
      </c>
      <c r="B861" s="34" t="str">
        <f>HYPERLINK(CONCAT("http://leetcode.com/problems/",Github!C$860), Github!B$860)</f>
        <v>Buddy Strings</v>
      </c>
      <c r="C861" s="17">
        <f>Github!F$860</f>
        <v>1338</v>
      </c>
      <c r="D861" s="17">
        <f>Github!G$860</f>
        <v>861</v>
      </c>
      <c r="E861" s="17">
        <f>Github!F$860+Github!G$860</f>
        <v>2199</v>
      </c>
      <c r="F861" s="18">
        <f t="shared" si="1"/>
        <v>1.55</v>
      </c>
      <c r="G861" s="17" t="str">
        <f>Github!H$860</f>
        <v>Algorithms</v>
      </c>
      <c r="H861" s="17" t="b">
        <f>Github!D$860</f>
        <v>0</v>
      </c>
      <c r="I861" s="17" t="str">
        <f>Github!E$860</f>
        <v>Easy</v>
      </c>
      <c r="J861" s="17" t="str">
        <f>ROUND(Github!N$860, 2)&amp;"%"</f>
        <v>0%</v>
      </c>
      <c r="K861" s="17">
        <f>Github!O$860</f>
        <v>28.75763564</v>
      </c>
      <c r="L861" s="17">
        <f>Github!P$860</f>
        <v>114681</v>
      </c>
    </row>
    <row r="862">
      <c r="A862" s="17">
        <f>Github!J$861</f>
        <v>860</v>
      </c>
      <c r="B862" s="34" t="str">
        <f>HYPERLINK(CONCAT("http://leetcode.com/problems/",Github!C$861), Github!B$861)</f>
        <v>Lemonade Change</v>
      </c>
      <c r="C862" s="17">
        <f>Github!F$861</f>
        <v>1147</v>
      </c>
      <c r="D862" s="17">
        <f>Github!G$861</f>
        <v>119</v>
      </c>
      <c r="E862" s="17">
        <f>Github!F$861+Github!G$861</f>
        <v>1266</v>
      </c>
      <c r="F862" s="18">
        <f t="shared" si="1"/>
        <v>9.64</v>
      </c>
      <c r="G862" s="17" t="str">
        <f>Github!H$861</f>
        <v>Algorithms</v>
      </c>
      <c r="H862" s="17" t="b">
        <f>Github!D$861</f>
        <v>0</v>
      </c>
      <c r="I862" s="17" t="str">
        <f>Github!E$861</f>
        <v>Easy</v>
      </c>
      <c r="J862" s="17" t="str">
        <f>ROUND(Github!N$861, 2)&amp;"%"</f>
        <v>0%</v>
      </c>
      <c r="K862" s="17">
        <f>Github!O$861</f>
        <v>52.32320581</v>
      </c>
      <c r="L862" s="17">
        <f>Github!P$861</f>
        <v>91687</v>
      </c>
    </row>
    <row r="863">
      <c r="A863" s="17">
        <f>Github!J$862</f>
        <v>861</v>
      </c>
      <c r="B863" s="34" t="str">
        <f>HYPERLINK(CONCAT("http://leetcode.com/problems/",Github!C$862), Github!B$862)</f>
        <v>Score After Flipping Matrix</v>
      </c>
      <c r="C863" s="17">
        <f>Github!F$862</f>
        <v>989</v>
      </c>
      <c r="D863" s="17">
        <f>Github!G$862</f>
        <v>161</v>
      </c>
      <c r="E863" s="17">
        <f>Github!F$862+Github!G$862</f>
        <v>1150</v>
      </c>
      <c r="F863" s="18">
        <f t="shared" si="1"/>
        <v>6.14</v>
      </c>
      <c r="G863" s="17" t="str">
        <f>Github!H$862</f>
        <v>Algorithms</v>
      </c>
      <c r="H863" s="17" t="b">
        <f>Github!D$862</f>
        <v>0</v>
      </c>
      <c r="I863" s="17" t="str">
        <f>Github!E$862</f>
        <v>Medium</v>
      </c>
      <c r="J863" s="17" t="str">
        <f>ROUND(Github!N$862, 2)&amp;"%"</f>
        <v>0%</v>
      </c>
      <c r="K863" s="17">
        <f>Github!O$862</f>
        <v>74.70851818</v>
      </c>
      <c r="L863" s="17">
        <f>Github!P$862</f>
        <v>33512</v>
      </c>
    </row>
    <row r="864">
      <c r="A864" s="17">
        <f>Github!J$863</f>
        <v>862</v>
      </c>
      <c r="B864" s="34" t="str">
        <f>HYPERLINK(CONCAT("http://leetcode.com/problems/",Github!C$863), Github!B$863)</f>
        <v>Shortest Subarray with Sum at Least K</v>
      </c>
      <c r="C864" s="17">
        <f>Github!F$863</f>
        <v>2716</v>
      </c>
      <c r="D864" s="17">
        <f>Github!G$863</f>
        <v>69</v>
      </c>
      <c r="E864" s="17">
        <f>Github!F$863+Github!G$863</f>
        <v>2785</v>
      </c>
      <c r="F864" s="18">
        <f t="shared" si="1"/>
        <v>39.36</v>
      </c>
      <c r="G864" s="17" t="str">
        <f>Github!H$863</f>
        <v>Algorithms</v>
      </c>
      <c r="H864" s="17" t="b">
        <f>Github!D$863</f>
        <v>0</v>
      </c>
      <c r="I864" s="17" t="str">
        <f>Github!E$863</f>
        <v>Hard</v>
      </c>
      <c r="J864" s="17" t="str">
        <f>ROUND(Github!N$863, 2)&amp;"%"</f>
        <v>0%</v>
      </c>
      <c r="K864" s="17">
        <f>Github!O$863</f>
        <v>26.13538587</v>
      </c>
      <c r="L864" s="17">
        <f>Github!P$863</f>
        <v>66823</v>
      </c>
    </row>
    <row r="865">
      <c r="A865" s="17">
        <f>Github!J$864</f>
        <v>863</v>
      </c>
      <c r="B865" s="34" t="str">
        <f>HYPERLINK(CONCAT("http://leetcode.com/problems/",Github!C$864), Github!B$864)</f>
        <v>All Nodes Distance K in Binary Tree</v>
      </c>
      <c r="C865" s="17">
        <f>Github!F$864</f>
        <v>5808</v>
      </c>
      <c r="D865" s="17">
        <f>Github!G$864</f>
        <v>122</v>
      </c>
      <c r="E865" s="17">
        <f>Github!F$864+Github!G$864</f>
        <v>5930</v>
      </c>
      <c r="F865" s="18">
        <f t="shared" si="1"/>
        <v>47.61</v>
      </c>
      <c r="G865" s="17" t="str">
        <f>Github!H$864</f>
        <v>Algorithms</v>
      </c>
      <c r="H865" s="17" t="b">
        <f>Github!D$864</f>
        <v>0</v>
      </c>
      <c r="I865" s="17" t="str">
        <f>Github!E$864</f>
        <v>Medium</v>
      </c>
      <c r="J865" s="17" t="str">
        <f>ROUND(Github!N$864, 2)&amp;"%"</f>
        <v>0%</v>
      </c>
      <c r="K865" s="17">
        <f>Github!O$864</f>
        <v>60.77404123</v>
      </c>
      <c r="L865" s="17">
        <f>Github!P$864</f>
        <v>216230</v>
      </c>
    </row>
    <row r="866">
      <c r="A866" s="17">
        <f>Github!J$865</f>
        <v>864</v>
      </c>
      <c r="B866" s="34" t="str">
        <f>HYPERLINK(CONCAT("http://leetcode.com/problems/",Github!C$865), Github!B$865)</f>
        <v>Shortest Path to Get All Keys</v>
      </c>
      <c r="C866" s="17">
        <f>Github!F$865</f>
        <v>742</v>
      </c>
      <c r="D866" s="17">
        <f>Github!G$865</f>
        <v>25</v>
      </c>
      <c r="E866" s="17">
        <f>Github!F$865+Github!G$865</f>
        <v>767</v>
      </c>
      <c r="F866" s="18">
        <f t="shared" si="1"/>
        <v>29.68</v>
      </c>
      <c r="G866" s="17" t="str">
        <f>Github!H$865</f>
        <v>Algorithms</v>
      </c>
      <c r="H866" s="17" t="b">
        <f>Github!D$865</f>
        <v>0</v>
      </c>
      <c r="I866" s="17" t="str">
        <f>Github!E$865</f>
        <v>Hard</v>
      </c>
      <c r="J866" s="17" t="str">
        <f>ROUND(Github!N$865, 2)&amp;"%"</f>
        <v>0%</v>
      </c>
      <c r="K866" s="17">
        <f>Github!O$865</f>
        <v>44.28214682</v>
      </c>
      <c r="L866" s="17">
        <f>Github!P$865</f>
        <v>22343</v>
      </c>
    </row>
    <row r="867">
      <c r="A867" s="17">
        <f>Github!J$866</f>
        <v>865</v>
      </c>
      <c r="B867" s="34" t="str">
        <f>HYPERLINK(CONCAT("http://leetcode.com/problems/",Github!C$866), Github!B$866)</f>
        <v>Smallest Subtree with all the Deepest Nodes</v>
      </c>
      <c r="C867" s="17">
        <f>Github!F$866</f>
        <v>1851</v>
      </c>
      <c r="D867" s="17">
        <f>Github!G$866</f>
        <v>321</v>
      </c>
      <c r="E867" s="17">
        <f>Github!F$866+Github!G$866</f>
        <v>2172</v>
      </c>
      <c r="F867" s="18">
        <f t="shared" si="1"/>
        <v>5.77</v>
      </c>
      <c r="G867" s="17" t="str">
        <f>Github!H$866</f>
        <v>Algorithms</v>
      </c>
      <c r="H867" s="17" t="b">
        <f>Github!D$866</f>
        <v>0</v>
      </c>
      <c r="I867" s="17" t="str">
        <f>Github!E$866</f>
        <v>Medium</v>
      </c>
      <c r="J867" s="17" t="str">
        <f>ROUND(Github!N$866, 2)&amp;"%"</f>
        <v>0%</v>
      </c>
      <c r="K867" s="17">
        <f>Github!O$866</f>
        <v>67.60619266</v>
      </c>
      <c r="L867" s="17">
        <f>Github!P$866</f>
        <v>98819</v>
      </c>
    </row>
    <row r="868">
      <c r="A868" s="17">
        <f>Github!J$867</f>
        <v>866</v>
      </c>
      <c r="B868" s="34" t="str">
        <f>HYPERLINK(CONCAT("http://leetcode.com/problems/",Github!C$867), Github!B$867)</f>
        <v>Prime Palindrome</v>
      </c>
      <c r="C868" s="17">
        <f>Github!F$867</f>
        <v>307</v>
      </c>
      <c r="D868" s="17">
        <f>Github!G$867</f>
        <v>701</v>
      </c>
      <c r="E868" s="17">
        <f>Github!F$867+Github!G$867</f>
        <v>1008</v>
      </c>
      <c r="F868" s="18">
        <f t="shared" si="1"/>
        <v>0.44</v>
      </c>
      <c r="G868" s="17" t="str">
        <f>Github!H$867</f>
        <v>Algorithms</v>
      </c>
      <c r="H868" s="17" t="b">
        <f>Github!D$867</f>
        <v>0</v>
      </c>
      <c r="I868" s="17" t="str">
        <f>Github!E$867</f>
        <v>Medium</v>
      </c>
      <c r="J868" s="17" t="str">
        <f>ROUND(Github!N$867, 2)&amp;"%"</f>
        <v>0%</v>
      </c>
      <c r="K868" s="17">
        <f>Github!O$867</f>
        <v>25.5329923</v>
      </c>
      <c r="L868" s="17">
        <f>Github!P$867</f>
        <v>24707</v>
      </c>
    </row>
    <row r="869">
      <c r="A869" s="17">
        <f>Github!J$868</f>
        <v>867</v>
      </c>
      <c r="B869" s="34" t="str">
        <f>HYPERLINK(CONCAT("http://leetcode.com/problems/",Github!C$868), Github!B$868)</f>
        <v>Transpose Matrix</v>
      </c>
      <c r="C869" s="17">
        <f>Github!F$868</f>
        <v>1083</v>
      </c>
      <c r="D869" s="17">
        <f>Github!G$868</f>
        <v>367</v>
      </c>
      <c r="E869" s="17">
        <f>Github!F$868+Github!G$868</f>
        <v>1450</v>
      </c>
      <c r="F869" s="18">
        <f t="shared" si="1"/>
        <v>2.95</v>
      </c>
      <c r="G869" s="17" t="str">
        <f>Github!H$868</f>
        <v>Algorithms</v>
      </c>
      <c r="H869" s="17" t="b">
        <f>Github!D$868</f>
        <v>0</v>
      </c>
      <c r="I869" s="17" t="str">
        <f>Github!E$868</f>
        <v>Easy</v>
      </c>
      <c r="J869" s="17" t="str">
        <f>ROUND(Github!N$868, 2)&amp;"%"</f>
        <v>0%</v>
      </c>
      <c r="K869" s="17">
        <f>Github!O$868</f>
        <v>61.15543117</v>
      </c>
      <c r="L869" s="17">
        <f>Github!P$868</f>
        <v>127177</v>
      </c>
    </row>
    <row r="870">
      <c r="A870" s="17">
        <f>Github!J$869</f>
        <v>868</v>
      </c>
      <c r="B870" s="34" t="str">
        <f>HYPERLINK(CONCAT("http://leetcode.com/problems/",Github!C$869), Github!B$869)</f>
        <v>Binary Gap</v>
      </c>
      <c r="C870" s="17">
        <f>Github!F$869</f>
        <v>412</v>
      </c>
      <c r="D870" s="17">
        <f>Github!G$869</f>
        <v>588</v>
      </c>
      <c r="E870" s="17">
        <f>Github!F$869+Github!G$869</f>
        <v>1000</v>
      </c>
      <c r="F870" s="18">
        <f t="shared" si="1"/>
        <v>0.7</v>
      </c>
      <c r="G870" s="17" t="str">
        <f>Github!H$869</f>
        <v>Algorithms</v>
      </c>
      <c r="H870" s="17" t="b">
        <f>Github!D$869</f>
        <v>0</v>
      </c>
      <c r="I870" s="17" t="str">
        <f>Github!E$869</f>
        <v>Easy</v>
      </c>
      <c r="J870" s="17" t="str">
        <f>ROUND(Github!N$869, 2)&amp;"%"</f>
        <v>0%</v>
      </c>
      <c r="K870" s="17">
        <f>Github!O$869</f>
        <v>61.69416106</v>
      </c>
      <c r="L870" s="17">
        <f>Github!P$869</f>
        <v>56845</v>
      </c>
    </row>
    <row r="871">
      <c r="A871" s="17">
        <f>Github!J$870</f>
        <v>869</v>
      </c>
      <c r="B871" s="34" t="str">
        <f>HYPERLINK(CONCAT("http://leetcode.com/problems/",Github!C$870), Github!B$870)</f>
        <v>Reordered Power of 2</v>
      </c>
      <c r="C871" s="17">
        <f>Github!F$870</f>
        <v>561</v>
      </c>
      <c r="D871" s="17">
        <f>Github!G$870</f>
        <v>166</v>
      </c>
      <c r="E871" s="17">
        <f>Github!F$870+Github!G$870</f>
        <v>727</v>
      </c>
      <c r="F871" s="18">
        <f t="shared" si="1"/>
        <v>3.38</v>
      </c>
      <c r="G871" s="17" t="str">
        <f>Github!H$870</f>
        <v>Algorithms</v>
      </c>
      <c r="H871" s="17" t="b">
        <f>Github!D$870</f>
        <v>0</v>
      </c>
      <c r="I871" s="17" t="str">
        <f>Github!E$870</f>
        <v>Medium</v>
      </c>
      <c r="J871" s="17" t="str">
        <f>ROUND(Github!N$870, 2)&amp;"%"</f>
        <v>0%</v>
      </c>
      <c r="K871" s="17">
        <f>Github!O$870</f>
        <v>61.30599848</v>
      </c>
      <c r="L871" s="17">
        <f>Github!P$870</f>
        <v>40370</v>
      </c>
    </row>
    <row r="872">
      <c r="A872" s="17">
        <f>Github!J$871</f>
        <v>870</v>
      </c>
      <c r="B872" s="34" t="str">
        <f>HYPERLINK(CONCAT("http://leetcode.com/problems/",Github!C$871), Github!B$871)</f>
        <v>Advantage Shuffle</v>
      </c>
      <c r="C872" s="17">
        <f>Github!F$871</f>
        <v>1199</v>
      </c>
      <c r="D872" s="17">
        <f>Github!G$871</f>
        <v>75</v>
      </c>
      <c r="E872" s="17">
        <f>Github!F$871+Github!G$871</f>
        <v>1274</v>
      </c>
      <c r="F872" s="18">
        <f t="shared" si="1"/>
        <v>15.99</v>
      </c>
      <c r="G872" s="17" t="str">
        <f>Github!H$871</f>
        <v>Algorithms</v>
      </c>
      <c r="H872" s="17" t="b">
        <f>Github!D$871</f>
        <v>0</v>
      </c>
      <c r="I872" s="17" t="str">
        <f>Github!E$871</f>
        <v>Medium</v>
      </c>
      <c r="J872" s="17" t="str">
        <f>ROUND(Github!N$871, 2)&amp;"%"</f>
        <v>0%</v>
      </c>
      <c r="K872" s="17">
        <f>Github!O$871</f>
        <v>51.17323177</v>
      </c>
      <c r="L872" s="17">
        <f>Github!P$871</f>
        <v>51861</v>
      </c>
    </row>
    <row r="873">
      <c r="A873" s="17">
        <f>Github!J$872</f>
        <v>871</v>
      </c>
      <c r="B873" s="34" t="str">
        <f>HYPERLINK(CONCAT("http://leetcode.com/problems/",Github!C$872), Github!B$872)</f>
        <v>Minimum Number of Refueling Stops</v>
      </c>
      <c r="C873" s="17">
        <f>Github!F$872</f>
        <v>2357</v>
      </c>
      <c r="D873" s="17">
        <f>Github!G$872</f>
        <v>47</v>
      </c>
      <c r="E873" s="17">
        <f>Github!F$872+Github!G$872</f>
        <v>2404</v>
      </c>
      <c r="F873" s="18">
        <f t="shared" si="1"/>
        <v>50.15</v>
      </c>
      <c r="G873" s="17" t="str">
        <f>Github!H$872</f>
        <v>Algorithms</v>
      </c>
      <c r="H873" s="17" t="b">
        <f>Github!D$872</f>
        <v>0</v>
      </c>
      <c r="I873" s="17" t="str">
        <f>Github!E$872</f>
        <v>Hard</v>
      </c>
      <c r="J873" s="17" t="str">
        <f>ROUND(Github!N$872, 2)&amp;"%"</f>
        <v>0%</v>
      </c>
      <c r="K873" s="17">
        <f>Github!O$872</f>
        <v>35.5766267</v>
      </c>
      <c r="L873" s="17">
        <f>Github!P$872</f>
        <v>68098</v>
      </c>
    </row>
    <row r="874">
      <c r="A874" s="17">
        <f>Github!J$873</f>
        <v>872</v>
      </c>
      <c r="B874" s="34" t="str">
        <f>HYPERLINK(CONCAT("http://leetcode.com/problems/",Github!C$873), Github!B$873)</f>
        <v>Leaf-Similar Trees</v>
      </c>
      <c r="C874" s="17">
        <f>Github!F$873</f>
        <v>1598</v>
      </c>
      <c r="D874" s="17">
        <f>Github!G$873</f>
        <v>55</v>
      </c>
      <c r="E874" s="17">
        <f>Github!F$873+Github!G$873</f>
        <v>1653</v>
      </c>
      <c r="F874" s="18">
        <f t="shared" si="1"/>
        <v>29.05</v>
      </c>
      <c r="G874" s="17" t="str">
        <f>Github!H$873</f>
        <v>Algorithms</v>
      </c>
      <c r="H874" s="17" t="b">
        <f>Github!D$873</f>
        <v>0</v>
      </c>
      <c r="I874" s="17" t="str">
        <f>Github!E$873</f>
        <v>Easy</v>
      </c>
      <c r="J874" s="17" t="str">
        <f>ROUND(Github!N$873, 2)&amp;"%"</f>
        <v>0%</v>
      </c>
      <c r="K874" s="17">
        <f>Github!O$873</f>
        <v>64.92112971</v>
      </c>
      <c r="L874" s="17">
        <f>Github!P$873</f>
        <v>158698</v>
      </c>
    </row>
    <row r="875">
      <c r="A875" s="17">
        <f>Github!J$874</f>
        <v>873</v>
      </c>
      <c r="B875" s="34" t="str">
        <f>HYPERLINK(CONCAT("http://leetcode.com/problems/",Github!C$874), Github!B$874)</f>
        <v>Length of Longest Fibonacci Subsequence</v>
      </c>
      <c r="C875" s="17">
        <f>Github!F$874</f>
        <v>1367</v>
      </c>
      <c r="D875" s="17">
        <f>Github!G$874</f>
        <v>50</v>
      </c>
      <c r="E875" s="17">
        <f>Github!F$874+Github!G$874</f>
        <v>1417</v>
      </c>
      <c r="F875" s="18">
        <f t="shared" si="1"/>
        <v>27.34</v>
      </c>
      <c r="G875" s="17" t="str">
        <f>Github!H$874</f>
        <v>Algorithms</v>
      </c>
      <c r="H875" s="17" t="b">
        <f>Github!D$874</f>
        <v>0</v>
      </c>
      <c r="I875" s="17" t="str">
        <f>Github!E$874</f>
        <v>Medium</v>
      </c>
      <c r="J875" s="17" t="str">
        <f>ROUND(Github!N$874, 2)&amp;"%"</f>
        <v>0%</v>
      </c>
      <c r="K875" s="17">
        <f>Github!O$874</f>
        <v>48.57127959</v>
      </c>
      <c r="L875" s="17">
        <f>Github!P$874</f>
        <v>46575</v>
      </c>
    </row>
    <row r="876">
      <c r="A876" s="17">
        <f>Github!J$875</f>
        <v>874</v>
      </c>
      <c r="B876" s="34" t="str">
        <f>HYPERLINK(CONCAT("http://leetcode.com/problems/",Github!C$875), Github!B$875)</f>
        <v>Walking Robot Simulation</v>
      </c>
      <c r="C876" s="17">
        <f>Github!F$875</f>
        <v>58</v>
      </c>
      <c r="D876" s="17">
        <f>Github!G$875</f>
        <v>10</v>
      </c>
      <c r="E876" s="17">
        <f>Github!F$875+Github!G$875</f>
        <v>68</v>
      </c>
      <c r="F876" s="18">
        <f t="shared" si="1"/>
        <v>5.8</v>
      </c>
      <c r="G876" s="17" t="str">
        <f>Github!H$875</f>
        <v>Algorithms</v>
      </c>
      <c r="H876" s="17" t="b">
        <f>Github!D$875</f>
        <v>0</v>
      </c>
      <c r="I876" s="17" t="str">
        <f>Github!E$875</f>
        <v>Medium</v>
      </c>
      <c r="J876" s="17" t="str">
        <f>ROUND(Github!N$875, 2)&amp;"%"</f>
        <v>0%</v>
      </c>
      <c r="K876" s="17">
        <f>Github!O$875</f>
        <v>37.64850073</v>
      </c>
      <c r="L876" s="17">
        <f>Github!P$875</f>
        <v>31025</v>
      </c>
    </row>
    <row r="877">
      <c r="A877" s="17">
        <f>Github!J$876</f>
        <v>875</v>
      </c>
      <c r="B877" s="34" t="str">
        <f>HYPERLINK(CONCAT("http://leetcode.com/problems/",Github!C$876), Github!B$876)</f>
        <v>Koko Eating Bananas</v>
      </c>
      <c r="C877" s="17">
        <f>Github!F$876</f>
        <v>3803</v>
      </c>
      <c r="D877" s="17">
        <f>Github!G$876</f>
        <v>170</v>
      </c>
      <c r="E877" s="17">
        <f>Github!F$876+Github!G$876</f>
        <v>3973</v>
      </c>
      <c r="F877" s="18">
        <f t="shared" si="1"/>
        <v>22.37</v>
      </c>
      <c r="G877" s="17" t="str">
        <f>Github!H$876</f>
        <v>Algorithms</v>
      </c>
      <c r="H877" s="17" t="b">
        <f>Github!D$876</f>
        <v>0</v>
      </c>
      <c r="I877" s="17" t="str">
        <f>Github!E$876</f>
        <v>Medium</v>
      </c>
      <c r="J877" s="17" t="str">
        <f>ROUND(Github!N$876, 2)&amp;"%"</f>
        <v>0%</v>
      </c>
      <c r="K877" s="17">
        <f>Github!O$876</f>
        <v>54.59246095</v>
      </c>
      <c r="L877" s="17">
        <f>Github!P$876</f>
        <v>159741</v>
      </c>
    </row>
    <row r="878">
      <c r="A878" s="17">
        <f>Github!J$877</f>
        <v>876</v>
      </c>
      <c r="B878" s="34" t="str">
        <f>HYPERLINK(CONCAT("http://leetcode.com/problems/",Github!C$877), Github!B$877)</f>
        <v>Middle of the Linked List</v>
      </c>
      <c r="C878" s="17">
        <f>Github!F$877</f>
        <v>4844</v>
      </c>
      <c r="D878" s="17">
        <f>Github!G$877</f>
        <v>120</v>
      </c>
      <c r="E878" s="17">
        <f>Github!F$877+Github!G$877</f>
        <v>4964</v>
      </c>
      <c r="F878" s="18">
        <f t="shared" si="1"/>
        <v>40.37</v>
      </c>
      <c r="G878" s="17" t="str">
        <f>Github!H$877</f>
        <v>Algorithms</v>
      </c>
      <c r="H878" s="17" t="b">
        <f>Github!D$877</f>
        <v>0</v>
      </c>
      <c r="I878" s="17" t="str">
        <f>Github!E$877</f>
        <v>Easy</v>
      </c>
      <c r="J878" s="17" t="str">
        <f>ROUND(Github!N$877, 2)&amp;"%"</f>
        <v>0%</v>
      </c>
      <c r="K878" s="17">
        <f>Github!O$877</f>
        <v>72.32417869</v>
      </c>
      <c r="L878" s="17">
        <f>Github!P$877</f>
        <v>584640</v>
      </c>
    </row>
    <row r="879">
      <c r="A879" s="17">
        <f>Github!J$878</f>
        <v>877</v>
      </c>
      <c r="B879" s="34" t="str">
        <f>HYPERLINK(CONCAT("http://leetcode.com/problems/",Github!C$878), Github!B$878)</f>
        <v>Stone Game</v>
      </c>
      <c r="C879" s="17">
        <f>Github!F$878</f>
        <v>1899</v>
      </c>
      <c r="D879" s="17">
        <f>Github!G$878</f>
        <v>1958</v>
      </c>
      <c r="E879" s="17">
        <f>Github!F$878+Github!G$878</f>
        <v>3857</v>
      </c>
      <c r="F879" s="18">
        <f t="shared" si="1"/>
        <v>0.97</v>
      </c>
      <c r="G879" s="17" t="str">
        <f>Github!H$878</f>
        <v>Algorithms</v>
      </c>
      <c r="H879" s="17" t="b">
        <f>Github!D$878</f>
        <v>0</v>
      </c>
      <c r="I879" s="17" t="str">
        <f>Github!E$878</f>
        <v>Medium</v>
      </c>
      <c r="J879" s="17" t="str">
        <f>ROUND(Github!N$878, 2)&amp;"%"</f>
        <v>0%</v>
      </c>
      <c r="K879" s="17">
        <f>Github!O$878</f>
        <v>69.0478601</v>
      </c>
      <c r="L879" s="17">
        <f>Github!P$878</f>
        <v>150039</v>
      </c>
    </row>
    <row r="880">
      <c r="A880" s="17">
        <f>Github!J$879</f>
        <v>878</v>
      </c>
      <c r="B880" s="34" t="str">
        <f>HYPERLINK(CONCAT("http://leetcode.com/problems/",Github!C$879), Github!B$879)</f>
        <v>Nth Magical Number</v>
      </c>
      <c r="C880" s="17">
        <f>Github!F$879</f>
        <v>937</v>
      </c>
      <c r="D880" s="17">
        <f>Github!G$879</f>
        <v>131</v>
      </c>
      <c r="E880" s="17">
        <f>Github!F$879+Github!G$879</f>
        <v>1068</v>
      </c>
      <c r="F880" s="18">
        <f t="shared" si="1"/>
        <v>7.15</v>
      </c>
      <c r="G880" s="17" t="str">
        <f>Github!H$879</f>
        <v>Algorithms</v>
      </c>
      <c r="H880" s="17" t="b">
        <f>Github!D$879</f>
        <v>0</v>
      </c>
      <c r="I880" s="17" t="str">
        <f>Github!E$879</f>
        <v>Hard</v>
      </c>
      <c r="J880" s="17" t="str">
        <f>ROUND(Github!N$879, 2)&amp;"%"</f>
        <v>0%</v>
      </c>
      <c r="K880" s="17">
        <f>Github!O$879</f>
        <v>35.80471753</v>
      </c>
      <c r="L880" s="17">
        <f>Github!P$879</f>
        <v>28507</v>
      </c>
    </row>
    <row r="881">
      <c r="A881" s="17">
        <f>Github!J$880</f>
        <v>879</v>
      </c>
      <c r="B881" s="34" t="str">
        <f>HYPERLINK(CONCAT("http://leetcode.com/problems/",Github!C$880), Github!B$880)</f>
        <v>Profitable Schemes</v>
      </c>
      <c r="C881" s="17">
        <f>Github!F$880</f>
        <v>424</v>
      </c>
      <c r="D881" s="17">
        <f>Github!G$880</f>
        <v>37</v>
      </c>
      <c r="E881" s="17">
        <f>Github!F$880+Github!G$880</f>
        <v>461</v>
      </c>
      <c r="F881" s="18">
        <f t="shared" si="1"/>
        <v>11.46</v>
      </c>
      <c r="G881" s="17" t="str">
        <f>Github!H$880</f>
        <v>Algorithms</v>
      </c>
      <c r="H881" s="17" t="b">
        <f>Github!D$880</f>
        <v>0</v>
      </c>
      <c r="I881" s="17" t="str">
        <f>Github!E$880</f>
        <v>Hard</v>
      </c>
      <c r="J881" s="17" t="str">
        <f>ROUND(Github!N$880, 2)&amp;"%"</f>
        <v>0%</v>
      </c>
      <c r="K881" s="17">
        <f>Github!O$880</f>
        <v>40.66939698</v>
      </c>
      <c r="L881" s="17">
        <f>Github!P$880</f>
        <v>14399</v>
      </c>
    </row>
    <row r="882">
      <c r="A882" s="17">
        <f>Github!J$881</f>
        <v>880</v>
      </c>
      <c r="B882" s="34" t="str">
        <f>HYPERLINK(CONCAT("http://leetcode.com/problems/",Github!C$881), Github!B$881)</f>
        <v>Decoded String at Index</v>
      </c>
      <c r="C882" s="17">
        <f>Github!F$881</f>
        <v>1122</v>
      </c>
      <c r="D882" s="17">
        <f>Github!G$881</f>
        <v>183</v>
      </c>
      <c r="E882" s="17">
        <f>Github!F$881+Github!G$881</f>
        <v>1305</v>
      </c>
      <c r="F882" s="18">
        <f t="shared" si="1"/>
        <v>6.13</v>
      </c>
      <c r="G882" s="17" t="str">
        <f>Github!H$881</f>
        <v>Algorithms</v>
      </c>
      <c r="H882" s="17" t="b">
        <f>Github!D$881</f>
        <v>0</v>
      </c>
      <c r="I882" s="17" t="str">
        <f>Github!E$881</f>
        <v>Medium</v>
      </c>
      <c r="J882" s="17" t="str">
        <f>ROUND(Github!N$881, 2)&amp;"%"</f>
        <v>0%</v>
      </c>
      <c r="K882" s="17">
        <f>Github!O$881</f>
        <v>28.29004646</v>
      </c>
      <c r="L882" s="17">
        <f>Github!P$881</f>
        <v>32819</v>
      </c>
    </row>
    <row r="883">
      <c r="A883" s="17">
        <f>Github!J$882</f>
        <v>881</v>
      </c>
      <c r="B883" s="34" t="str">
        <f>HYPERLINK(CONCAT("http://leetcode.com/problems/",Github!C$882), Github!B$882)</f>
        <v>Boats to Save People</v>
      </c>
      <c r="C883" s="17">
        <f>Github!F$882</f>
        <v>1794</v>
      </c>
      <c r="D883" s="17">
        <f>Github!G$882</f>
        <v>53</v>
      </c>
      <c r="E883" s="17">
        <f>Github!F$882+Github!G$882</f>
        <v>1847</v>
      </c>
      <c r="F883" s="18">
        <f t="shared" si="1"/>
        <v>33.85</v>
      </c>
      <c r="G883" s="17" t="str">
        <f>Github!H$882</f>
        <v>Algorithms</v>
      </c>
      <c r="H883" s="17" t="b">
        <f>Github!D$882</f>
        <v>0</v>
      </c>
      <c r="I883" s="17" t="str">
        <f>Github!E$882</f>
        <v>Medium</v>
      </c>
      <c r="J883" s="17" t="str">
        <f>ROUND(Github!N$882, 2)&amp;"%"</f>
        <v>0%</v>
      </c>
      <c r="K883" s="17">
        <f>Github!O$882</f>
        <v>49.91901971</v>
      </c>
      <c r="L883" s="17">
        <f>Github!P$882</f>
        <v>93698</v>
      </c>
    </row>
    <row r="884">
      <c r="A884" s="17">
        <f>Github!J$883</f>
        <v>882</v>
      </c>
      <c r="B884" s="34" t="str">
        <f>HYPERLINK(CONCAT("http://leetcode.com/problems/",Github!C$883), Github!B$883)</f>
        <v>Reachable Nodes In Subdivided Graph</v>
      </c>
      <c r="C884" s="17">
        <f>Github!F$883</f>
        <v>502</v>
      </c>
      <c r="D884" s="17">
        <f>Github!G$883</f>
        <v>197</v>
      </c>
      <c r="E884" s="17">
        <f>Github!F$883+Github!G$883</f>
        <v>699</v>
      </c>
      <c r="F884" s="18">
        <f t="shared" si="1"/>
        <v>2.55</v>
      </c>
      <c r="G884" s="17" t="str">
        <f>Github!H$883</f>
        <v>Algorithms</v>
      </c>
      <c r="H884" s="17" t="b">
        <f>Github!D$883</f>
        <v>0</v>
      </c>
      <c r="I884" s="17" t="str">
        <f>Github!E$883</f>
        <v>Hard</v>
      </c>
      <c r="J884" s="17" t="str">
        <f>ROUND(Github!N$883, 2)&amp;"%"</f>
        <v>0%</v>
      </c>
      <c r="K884" s="17">
        <f>Github!O$883</f>
        <v>49.67942194</v>
      </c>
      <c r="L884" s="17">
        <f>Github!P$883</f>
        <v>19526</v>
      </c>
    </row>
    <row r="885">
      <c r="A885" s="17">
        <f>Github!J$884</f>
        <v>883</v>
      </c>
      <c r="B885" s="34" t="str">
        <f>HYPERLINK(CONCAT("http://leetcode.com/problems/",Github!C$884), Github!B$884)</f>
        <v>Projection Area of 3D Shapes</v>
      </c>
      <c r="C885" s="17">
        <f>Github!F$884</f>
        <v>383</v>
      </c>
      <c r="D885" s="17">
        <f>Github!G$884</f>
        <v>1122</v>
      </c>
      <c r="E885" s="17">
        <f>Github!F$884+Github!G$884</f>
        <v>1505</v>
      </c>
      <c r="F885" s="18">
        <f t="shared" si="1"/>
        <v>0.34</v>
      </c>
      <c r="G885" s="17" t="str">
        <f>Github!H$884</f>
        <v>Algorithms</v>
      </c>
      <c r="H885" s="17" t="b">
        <f>Github!D$884</f>
        <v>0</v>
      </c>
      <c r="I885" s="17" t="str">
        <f>Github!E$884</f>
        <v>Easy</v>
      </c>
      <c r="J885" s="17" t="str">
        <f>ROUND(Github!N$884, 2)&amp;"%"</f>
        <v>0%</v>
      </c>
      <c r="K885" s="17">
        <f>Github!O$884</f>
        <v>69.87273661</v>
      </c>
      <c r="L885" s="17">
        <f>Github!P$884</f>
        <v>39476</v>
      </c>
    </row>
    <row r="886">
      <c r="A886" s="17">
        <f>Github!J$885</f>
        <v>884</v>
      </c>
      <c r="B886" s="34" t="str">
        <f>HYPERLINK(CONCAT("http://leetcode.com/problems/",Github!C$885), Github!B$885)</f>
        <v>Uncommon Words from Two Sentences</v>
      </c>
      <c r="C886" s="17">
        <f>Github!F$885</f>
        <v>865</v>
      </c>
      <c r="D886" s="17">
        <f>Github!G$885</f>
        <v>133</v>
      </c>
      <c r="E886" s="17">
        <f>Github!F$885+Github!G$885</f>
        <v>998</v>
      </c>
      <c r="F886" s="18">
        <f t="shared" si="1"/>
        <v>6.5</v>
      </c>
      <c r="G886" s="17" t="str">
        <f>Github!H$885</f>
        <v>Algorithms</v>
      </c>
      <c r="H886" s="17" t="b">
        <f>Github!D$885</f>
        <v>0</v>
      </c>
      <c r="I886" s="17" t="str">
        <f>Github!E$885</f>
        <v>Easy</v>
      </c>
      <c r="J886" s="17" t="str">
        <f>ROUND(Github!N$885, 2)&amp;"%"</f>
        <v>0%</v>
      </c>
      <c r="K886" s="17">
        <f>Github!O$885</f>
        <v>65.4200478</v>
      </c>
      <c r="L886" s="17">
        <f>Github!P$885</f>
        <v>94161</v>
      </c>
    </row>
    <row r="887">
      <c r="A887" s="17">
        <f>Github!J$886</f>
        <v>885</v>
      </c>
      <c r="B887" s="34" t="str">
        <f>HYPERLINK(CONCAT("http://leetcode.com/problems/",Github!C$886), Github!B$886)</f>
        <v>Spiral Matrix III</v>
      </c>
      <c r="C887" s="17">
        <f>Github!F$886</f>
        <v>480</v>
      </c>
      <c r="D887" s="17">
        <f>Github!G$886</f>
        <v>515</v>
      </c>
      <c r="E887" s="17">
        <f>Github!F$886+Github!G$886</f>
        <v>995</v>
      </c>
      <c r="F887" s="18">
        <f t="shared" si="1"/>
        <v>0.93</v>
      </c>
      <c r="G887" s="17" t="str">
        <f>Github!H$886</f>
        <v>Algorithms</v>
      </c>
      <c r="H887" s="17" t="b">
        <f>Github!D$886</f>
        <v>0</v>
      </c>
      <c r="I887" s="17" t="str">
        <f>Github!E$886</f>
        <v>Medium</v>
      </c>
      <c r="J887" s="17" t="str">
        <f>ROUND(Github!N$886, 2)&amp;"%"</f>
        <v>0%</v>
      </c>
      <c r="K887" s="17">
        <f>Github!O$886</f>
        <v>72.21330048</v>
      </c>
      <c r="L887" s="17">
        <f>Github!P$886</f>
        <v>32825</v>
      </c>
    </row>
    <row r="888">
      <c r="A888" s="17">
        <f>Github!J$887</f>
        <v>886</v>
      </c>
      <c r="B888" s="34" t="str">
        <f>HYPERLINK(CONCAT("http://leetcode.com/problems/",Github!C$887), Github!B$887)</f>
        <v>Possible Bipartition</v>
      </c>
      <c r="C888" s="17">
        <f>Github!F$887</f>
        <v>2128</v>
      </c>
      <c r="D888" s="17">
        <f>Github!G$887</f>
        <v>51</v>
      </c>
      <c r="E888" s="17">
        <f>Github!F$887+Github!G$887</f>
        <v>2179</v>
      </c>
      <c r="F888" s="18">
        <f t="shared" si="1"/>
        <v>41.73</v>
      </c>
      <c r="G888" s="17" t="str">
        <f>Github!H$887</f>
        <v>Algorithms</v>
      </c>
      <c r="H888" s="17" t="b">
        <f>Github!D$887</f>
        <v>0</v>
      </c>
      <c r="I888" s="17" t="str">
        <f>Github!E$887</f>
        <v>Medium</v>
      </c>
      <c r="J888" s="17" t="str">
        <f>ROUND(Github!N$887, 2)&amp;"%"</f>
        <v>0%</v>
      </c>
      <c r="K888" s="17">
        <f>Github!O$887</f>
        <v>46.92193347</v>
      </c>
      <c r="L888" s="17">
        <f>Github!P$887</f>
        <v>100693</v>
      </c>
    </row>
    <row r="889">
      <c r="A889" s="17">
        <f>Github!J$888</f>
        <v>887</v>
      </c>
      <c r="B889" s="34" t="str">
        <f>HYPERLINK(CONCAT("http://leetcode.com/problems/",Github!C$888), Github!B$888)</f>
        <v>Super Egg Drop</v>
      </c>
      <c r="C889" s="17">
        <f>Github!F$888</f>
        <v>2256</v>
      </c>
      <c r="D889" s="17">
        <f>Github!G$888</f>
        <v>121</v>
      </c>
      <c r="E889" s="17">
        <f>Github!F$888+Github!G$888</f>
        <v>2377</v>
      </c>
      <c r="F889" s="18">
        <f t="shared" si="1"/>
        <v>18.64</v>
      </c>
      <c r="G889" s="17" t="str">
        <f>Github!H$888</f>
        <v>Algorithms</v>
      </c>
      <c r="H889" s="17" t="b">
        <f>Github!D$888</f>
        <v>0</v>
      </c>
      <c r="I889" s="17" t="str">
        <f>Github!E$888</f>
        <v>Hard</v>
      </c>
      <c r="J889" s="17" t="str">
        <f>ROUND(Github!N$888, 2)&amp;"%"</f>
        <v>0%</v>
      </c>
      <c r="K889" s="17">
        <f>Github!O$888</f>
        <v>27.14761598</v>
      </c>
      <c r="L889" s="17">
        <f>Github!P$888</f>
        <v>43437</v>
      </c>
    </row>
    <row r="890">
      <c r="A890" s="17">
        <f>Github!J$889</f>
        <v>888</v>
      </c>
      <c r="B890" s="34" t="str">
        <f>HYPERLINK(CONCAT("http://leetcode.com/problems/",Github!C$889), Github!B$889)</f>
        <v>Fair Candy Swap</v>
      </c>
      <c r="C890" s="17">
        <f>Github!F$889</f>
        <v>1191</v>
      </c>
      <c r="D890" s="17">
        <f>Github!G$889</f>
        <v>220</v>
      </c>
      <c r="E890" s="17">
        <f>Github!F$889+Github!G$889</f>
        <v>1411</v>
      </c>
      <c r="F890" s="18">
        <f t="shared" si="1"/>
        <v>5.41</v>
      </c>
      <c r="G890" s="17" t="str">
        <f>Github!H$889</f>
        <v>Algorithms</v>
      </c>
      <c r="H890" s="17" t="b">
        <f>Github!D$889</f>
        <v>0</v>
      </c>
      <c r="I890" s="17" t="str">
        <f>Github!E$889</f>
        <v>Easy</v>
      </c>
      <c r="J890" s="17" t="str">
        <f>ROUND(Github!N$889, 2)&amp;"%"</f>
        <v>0%</v>
      </c>
      <c r="K890" s="17">
        <f>Github!O$889</f>
        <v>60.37585273</v>
      </c>
      <c r="L890" s="17">
        <f>Github!P$889</f>
        <v>78680</v>
      </c>
    </row>
    <row r="891">
      <c r="A891" s="17">
        <f>Github!J$890</f>
        <v>889</v>
      </c>
      <c r="B891" s="34" t="str">
        <f>HYPERLINK(CONCAT("http://leetcode.com/problems/",Github!C$890), Github!B$890)</f>
        <v>Construct Binary Tree from Preorder and Postorder Traversal</v>
      </c>
      <c r="C891" s="17">
        <f>Github!F$890</f>
        <v>1780</v>
      </c>
      <c r="D891" s="17">
        <f>Github!G$890</f>
        <v>82</v>
      </c>
      <c r="E891" s="17">
        <f>Github!F$890+Github!G$890</f>
        <v>1862</v>
      </c>
      <c r="F891" s="18">
        <f t="shared" si="1"/>
        <v>21.71</v>
      </c>
      <c r="G891" s="17" t="str">
        <f>Github!H$890</f>
        <v>Algorithms</v>
      </c>
      <c r="H891" s="17" t="b">
        <f>Github!D$890</f>
        <v>0</v>
      </c>
      <c r="I891" s="17" t="str">
        <f>Github!E$890</f>
        <v>Medium</v>
      </c>
      <c r="J891" s="17" t="str">
        <f>ROUND(Github!N$890, 2)&amp;"%"</f>
        <v>0%</v>
      </c>
      <c r="K891" s="17">
        <f>Github!O$890</f>
        <v>69.75277523</v>
      </c>
      <c r="L891" s="17">
        <f>Github!P$890</f>
        <v>67799</v>
      </c>
    </row>
    <row r="892">
      <c r="A892" s="17">
        <f>Github!J$891</f>
        <v>890</v>
      </c>
      <c r="B892" s="34" t="str">
        <f>HYPERLINK(CONCAT("http://leetcode.com/problems/",Github!C$891), Github!B$891)</f>
        <v>Find and Replace Pattern</v>
      </c>
      <c r="C892" s="17">
        <f>Github!F$891</f>
        <v>1739</v>
      </c>
      <c r="D892" s="17">
        <f>Github!G$891</f>
        <v>115</v>
      </c>
      <c r="E892" s="17">
        <f>Github!F$891+Github!G$891</f>
        <v>1854</v>
      </c>
      <c r="F892" s="18">
        <f t="shared" si="1"/>
        <v>15.12</v>
      </c>
      <c r="G892" s="17" t="str">
        <f>Github!H$891</f>
        <v>Algorithms</v>
      </c>
      <c r="H892" s="17" t="b">
        <f>Github!D$891</f>
        <v>0</v>
      </c>
      <c r="I892" s="17" t="str">
        <f>Github!E$891</f>
        <v>Medium</v>
      </c>
      <c r="J892" s="17" t="str">
        <f>ROUND(Github!N$891, 2)&amp;"%"</f>
        <v>0%</v>
      </c>
      <c r="K892" s="17">
        <f>Github!O$891</f>
        <v>75.58579106</v>
      </c>
      <c r="L892" s="17">
        <f>Github!P$891</f>
        <v>95771</v>
      </c>
    </row>
    <row r="893">
      <c r="A893" s="17">
        <f>Github!J$892</f>
        <v>891</v>
      </c>
      <c r="B893" s="34" t="str">
        <f>HYPERLINK(CONCAT("http://leetcode.com/problems/",Github!C$892), Github!B$892)</f>
        <v>Sum of Subsequence Widths</v>
      </c>
      <c r="C893" s="17">
        <f>Github!F$892</f>
        <v>475</v>
      </c>
      <c r="D893" s="17">
        <f>Github!G$892</f>
        <v>137</v>
      </c>
      <c r="E893" s="17">
        <f>Github!F$892+Github!G$892</f>
        <v>612</v>
      </c>
      <c r="F893" s="18">
        <f t="shared" si="1"/>
        <v>3.47</v>
      </c>
      <c r="G893" s="17" t="str">
        <f>Github!H$892</f>
        <v>Algorithms</v>
      </c>
      <c r="H893" s="17" t="b">
        <f>Github!D$892</f>
        <v>0</v>
      </c>
      <c r="I893" s="17" t="str">
        <f>Github!E$892</f>
        <v>Hard</v>
      </c>
      <c r="J893" s="17" t="str">
        <f>ROUND(Github!N$892, 2)&amp;"%"</f>
        <v>0%</v>
      </c>
      <c r="K893" s="17">
        <f>Github!O$892</f>
        <v>35.14273933</v>
      </c>
      <c r="L893" s="17">
        <f>Github!P$892</f>
        <v>14489</v>
      </c>
    </row>
    <row r="894">
      <c r="A894" s="17">
        <f>Github!J$893</f>
        <v>892</v>
      </c>
      <c r="B894" s="34" t="str">
        <f>HYPERLINK(CONCAT("http://leetcode.com/problems/",Github!C$893), Github!B$893)</f>
        <v>Surface Area of 3D Shapes</v>
      </c>
      <c r="C894" s="17">
        <f>Github!F$893</f>
        <v>393</v>
      </c>
      <c r="D894" s="17">
        <f>Github!G$893</f>
        <v>555</v>
      </c>
      <c r="E894" s="17">
        <f>Github!F$893+Github!G$893</f>
        <v>948</v>
      </c>
      <c r="F894" s="18">
        <f t="shared" si="1"/>
        <v>0.71</v>
      </c>
      <c r="G894" s="17" t="str">
        <f>Github!H$893</f>
        <v>Algorithms</v>
      </c>
      <c r="H894" s="17" t="b">
        <f>Github!D$893</f>
        <v>0</v>
      </c>
      <c r="I894" s="17" t="str">
        <f>Github!E$893</f>
        <v>Easy</v>
      </c>
      <c r="J894" s="17" t="str">
        <f>ROUND(Github!N$893, 2)&amp;"%"</f>
        <v>0%</v>
      </c>
      <c r="K894" s="17">
        <f>Github!O$893</f>
        <v>61.57398157</v>
      </c>
      <c r="L894" s="17">
        <f>Github!P$893</f>
        <v>27736</v>
      </c>
    </row>
    <row r="895">
      <c r="A895" s="17">
        <f>Github!J$894</f>
        <v>893</v>
      </c>
      <c r="B895" s="34" t="str">
        <f>HYPERLINK(CONCAT("http://leetcode.com/problems/",Github!C$894), Github!B$894)</f>
        <v>Groups of Special-Equivalent Strings</v>
      </c>
      <c r="C895" s="17">
        <f>Github!F$894</f>
        <v>423</v>
      </c>
      <c r="D895" s="17">
        <f>Github!G$894</f>
        <v>1379</v>
      </c>
      <c r="E895" s="17">
        <f>Github!F$894+Github!G$894</f>
        <v>1802</v>
      </c>
      <c r="F895" s="18">
        <f t="shared" si="1"/>
        <v>0.31</v>
      </c>
      <c r="G895" s="17" t="str">
        <f>Github!H$894</f>
        <v>Algorithms</v>
      </c>
      <c r="H895" s="17" t="b">
        <f>Github!D$894</f>
        <v>0</v>
      </c>
      <c r="I895" s="17" t="str">
        <f>Github!E$894</f>
        <v>Medium</v>
      </c>
      <c r="J895" s="17" t="str">
        <f>ROUND(Github!N$894, 2)&amp;"%"</f>
        <v>0%</v>
      </c>
      <c r="K895" s="17">
        <f>Github!O$894</f>
        <v>70.43831761</v>
      </c>
      <c r="L895" s="17">
        <f>Github!P$894</f>
        <v>40545</v>
      </c>
    </row>
    <row r="896">
      <c r="A896" s="17">
        <f>Github!J$895</f>
        <v>894</v>
      </c>
      <c r="B896" s="34" t="str">
        <f>HYPERLINK(CONCAT("http://leetcode.com/problems/",Github!C$895), Github!B$895)</f>
        <v>All Possible Full Binary Trees</v>
      </c>
      <c r="C896" s="17">
        <f>Github!F$895</f>
        <v>2434</v>
      </c>
      <c r="D896" s="17">
        <f>Github!G$895</f>
        <v>182</v>
      </c>
      <c r="E896" s="17">
        <f>Github!F$895+Github!G$895</f>
        <v>2616</v>
      </c>
      <c r="F896" s="18">
        <f t="shared" si="1"/>
        <v>13.37</v>
      </c>
      <c r="G896" s="17" t="str">
        <f>Github!H$895</f>
        <v>Algorithms</v>
      </c>
      <c r="H896" s="17" t="b">
        <f>Github!D$895</f>
        <v>0</v>
      </c>
      <c r="I896" s="17" t="str">
        <f>Github!E$895</f>
        <v>Medium</v>
      </c>
      <c r="J896" s="17" t="str">
        <f>ROUND(Github!N$895, 2)&amp;"%"</f>
        <v>0%</v>
      </c>
      <c r="K896" s="17">
        <f>Github!O$895</f>
        <v>79.29043069</v>
      </c>
      <c r="L896" s="17">
        <f>Github!P$895</f>
        <v>79495</v>
      </c>
    </row>
    <row r="897">
      <c r="A897" s="17">
        <f>Github!J$896</f>
        <v>895</v>
      </c>
      <c r="B897" s="34" t="str">
        <f>HYPERLINK(CONCAT("http://leetcode.com/problems/",Github!C$896), Github!B$896)</f>
        <v>Maximum Frequency Stack</v>
      </c>
      <c r="C897" s="17">
        <f>Github!F$896</f>
        <v>2490</v>
      </c>
      <c r="D897" s="17">
        <f>Github!G$896</f>
        <v>42</v>
      </c>
      <c r="E897" s="17">
        <f>Github!F$896+Github!G$896</f>
        <v>2532</v>
      </c>
      <c r="F897" s="18">
        <f t="shared" si="1"/>
        <v>59.29</v>
      </c>
      <c r="G897" s="17" t="str">
        <f>Github!H$896</f>
        <v>Algorithms</v>
      </c>
      <c r="H897" s="17" t="b">
        <f>Github!D$896</f>
        <v>0</v>
      </c>
      <c r="I897" s="17" t="str">
        <f>Github!E$896</f>
        <v>Hard</v>
      </c>
      <c r="J897" s="17" t="str">
        <f>ROUND(Github!N$896, 2)&amp;"%"</f>
        <v>0%</v>
      </c>
      <c r="K897" s="17">
        <f>Github!O$896</f>
        <v>64.8098085</v>
      </c>
      <c r="L897" s="17">
        <f>Github!P$896</f>
        <v>91817</v>
      </c>
    </row>
    <row r="898">
      <c r="A898" s="17">
        <f>Github!J$897</f>
        <v>896</v>
      </c>
      <c r="B898" s="34" t="str">
        <f>HYPERLINK(CONCAT("http://leetcode.com/problems/",Github!C$897), Github!B$897)</f>
        <v>Monotonic Array</v>
      </c>
      <c r="C898" s="17">
        <f>Github!F$897</f>
        <v>1390</v>
      </c>
      <c r="D898" s="17">
        <f>Github!G$897</f>
        <v>53</v>
      </c>
      <c r="E898" s="17">
        <f>Github!F$897+Github!G$897</f>
        <v>1443</v>
      </c>
      <c r="F898" s="18">
        <f t="shared" si="1"/>
        <v>26.23</v>
      </c>
      <c r="G898" s="17" t="str">
        <f>Github!H$897</f>
        <v>Algorithms</v>
      </c>
      <c r="H898" s="17" t="b">
        <f>Github!D$897</f>
        <v>0</v>
      </c>
      <c r="I898" s="17" t="str">
        <f>Github!E$897</f>
        <v>Easy</v>
      </c>
      <c r="J898" s="17" t="str">
        <f>ROUND(Github!N$897, 2)&amp;"%"</f>
        <v>0%</v>
      </c>
      <c r="K898" s="17">
        <f>Github!O$897</f>
        <v>58.45573803</v>
      </c>
      <c r="L898" s="17">
        <f>Github!P$897</f>
        <v>192095</v>
      </c>
    </row>
    <row r="899">
      <c r="A899" s="17">
        <f>Github!J$898</f>
        <v>897</v>
      </c>
      <c r="B899" s="34" t="str">
        <f>HYPERLINK(CONCAT("http://leetcode.com/problems/",Github!C$898), Github!B$898)</f>
        <v>Increasing Order Search Tree</v>
      </c>
      <c r="C899" s="17">
        <f>Github!F$898</f>
        <v>2199</v>
      </c>
      <c r="D899" s="17">
        <f>Github!G$898</f>
        <v>593</v>
      </c>
      <c r="E899" s="17">
        <f>Github!F$898+Github!G$898</f>
        <v>2792</v>
      </c>
      <c r="F899" s="18">
        <f t="shared" si="1"/>
        <v>3.71</v>
      </c>
      <c r="G899" s="17" t="str">
        <f>Github!H$898</f>
        <v>Algorithms</v>
      </c>
      <c r="H899" s="17" t="b">
        <f>Github!D$898</f>
        <v>0</v>
      </c>
      <c r="I899" s="17" t="str">
        <f>Github!E$898</f>
        <v>Easy</v>
      </c>
      <c r="J899" s="17" t="str">
        <f>ROUND(Github!N$898, 2)&amp;"%"</f>
        <v>0%</v>
      </c>
      <c r="K899" s="17">
        <f>Github!O$898</f>
        <v>76.05550401</v>
      </c>
      <c r="L899" s="17">
        <f>Github!P$898</f>
        <v>163113</v>
      </c>
    </row>
    <row r="900">
      <c r="A900" s="17">
        <f>Github!J$899</f>
        <v>898</v>
      </c>
      <c r="B900" s="34" t="str">
        <f>HYPERLINK(CONCAT("http://leetcode.com/problems/",Github!C$899), Github!B$899)</f>
        <v>Bitwise ORs of Subarrays</v>
      </c>
      <c r="C900" s="17">
        <f>Github!F$899</f>
        <v>921</v>
      </c>
      <c r="D900" s="17">
        <f>Github!G$899</f>
        <v>174</v>
      </c>
      <c r="E900" s="17">
        <f>Github!F$899+Github!G$899</f>
        <v>1095</v>
      </c>
      <c r="F900" s="18">
        <f t="shared" si="1"/>
        <v>5.29</v>
      </c>
      <c r="G900" s="17" t="str">
        <f>Github!H$899</f>
        <v>Algorithms</v>
      </c>
      <c r="H900" s="17" t="b">
        <f>Github!D$899</f>
        <v>0</v>
      </c>
      <c r="I900" s="17" t="str">
        <f>Github!E$899</f>
        <v>Medium</v>
      </c>
      <c r="J900" s="17" t="str">
        <f>ROUND(Github!N$899, 2)&amp;"%"</f>
        <v>0%</v>
      </c>
      <c r="K900" s="17">
        <f>Github!O$899</f>
        <v>36.15144197</v>
      </c>
      <c r="L900" s="17">
        <f>Github!P$899</f>
        <v>25447</v>
      </c>
    </row>
    <row r="901">
      <c r="A901" s="17">
        <f>Github!J$900</f>
        <v>899</v>
      </c>
      <c r="B901" s="34" t="str">
        <f>HYPERLINK(CONCAT("http://leetcode.com/problems/",Github!C$900), Github!B$900)</f>
        <v>Orderly Queue</v>
      </c>
      <c r="C901" s="17">
        <f>Github!F$900</f>
        <v>548</v>
      </c>
      <c r="D901" s="17">
        <f>Github!G$900</f>
        <v>354</v>
      </c>
      <c r="E901" s="17">
        <f>Github!F$900+Github!G$900</f>
        <v>902</v>
      </c>
      <c r="F901" s="18">
        <f t="shared" si="1"/>
        <v>1.55</v>
      </c>
      <c r="G901" s="17" t="str">
        <f>Github!H$900</f>
        <v>Algorithms</v>
      </c>
      <c r="H901" s="17" t="b">
        <f>Github!D$900</f>
        <v>0</v>
      </c>
      <c r="I901" s="17" t="str">
        <f>Github!E$900</f>
        <v>Hard</v>
      </c>
      <c r="J901" s="17" t="str">
        <f>ROUND(Github!N$900, 2)&amp;"%"</f>
        <v>0%</v>
      </c>
      <c r="K901" s="17">
        <f>Github!O$900</f>
        <v>58.50333871</v>
      </c>
      <c r="L901" s="17">
        <f>Github!P$900</f>
        <v>25408</v>
      </c>
    </row>
    <row r="902">
      <c r="A902" s="17">
        <f>Github!J$901</f>
        <v>900</v>
      </c>
      <c r="B902" s="34" t="str">
        <f>HYPERLINK(CONCAT("http://leetcode.com/problems/",Github!C$901), Github!B$901)</f>
        <v>RLE Iterator</v>
      </c>
      <c r="C902" s="17">
        <f>Github!F$901</f>
        <v>508</v>
      </c>
      <c r="D902" s="17">
        <f>Github!G$901</f>
        <v>141</v>
      </c>
      <c r="E902" s="17">
        <f>Github!F$901+Github!G$901</f>
        <v>649</v>
      </c>
      <c r="F902" s="18">
        <f t="shared" si="1"/>
        <v>3.6</v>
      </c>
      <c r="G902" s="17" t="str">
        <f>Github!H$901</f>
        <v>Algorithms</v>
      </c>
      <c r="H902" s="17" t="b">
        <f>Github!D$901</f>
        <v>0</v>
      </c>
      <c r="I902" s="17" t="str">
        <f>Github!E$901</f>
        <v>Medium</v>
      </c>
      <c r="J902" s="17" t="str">
        <f>ROUND(Github!N$901, 2)&amp;"%"</f>
        <v>0%</v>
      </c>
      <c r="K902" s="17">
        <f>Github!O$901</f>
        <v>58.48956678</v>
      </c>
      <c r="L902" s="17">
        <f>Github!P$901</f>
        <v>49698</v>
      </c>
    </row>
    <row r="903">
      <c r="A903" s="17">
        <f>Github!J$902</f>
        <v>901</v>
      </c>
      <c r="B903" s="34" t="str">
        <f>HYPERLINK(CONCAT("http://leetcode.com/problems/",Github!C$902), Github!B$902)</f>
        <v>Online Stock Span</v>
      </c>
      <c r="C903" s="17">
        <f>Github!F$902</f>
        <v>2440</v>
      </c>
      <c r="D903" s="17">
        <f>Github!G$902</f>
        <v>200</v>
      </c>
      <c r="E903" s="17">
        <f>Github!F$902+Github!G$902</f>
        <v>2640</v>
      </c>
      <c r="F903" s="18">
        <f t="shared" si="1"/>
        <v>12.2</v>
      </c>
      <c r="G903" s="17" t="str">
        <f>Github!H$902</f>
        <v>Algorithms</v>
      </c>
      <c r="H903" s="17" t="b">
        <f>Github!D$902</f>
        <v>0</v>
      </c>
      <c r="I903" s="17" t="str">
        <f>Github!E$902</f>
        <v>Medium</v>
      </c>
      <c r="J903" s="17" t="str">
        <f>ROUND(Github!N$902, 2)&amp;"%"</f>
        <v>0%</v>
      </c>
      <c r="K903" s="17">
        <f>Github!O$902</f>
        <v>62.94676735</v>
      </c>
      <c r="L903" s="17">
        <f>Github!P$902</f>
        <v>118614</v>
      </c>
    </row>
    <row r="904">
      <c r="A904" s="17">
        <f>Github!J$903</f>
        <v>902</v>
      </c>
      <c r="B904" s="34" t="str">
        <f>HYPERLINK(CONCAT("http://leetcode.com/problems/",Github!C$903), Github!B$903)</f>
        <v>Numbers At Most N Given Digit Set</v>
      </c>
      <c r="C904" s="17">
        <f>Github!F$903</f>
        <v>1032</v>
      </c>
      <c r="D904" s="17">
        <f>Github!G$903</f>
        <v>88</v>
      </c>
      <c r="E904" s="17">
        <f>Github!F$903+Github!G$903</f>
        <v>1120</v>
      </c>
      <c r="F904" s="18">
        <f t="shared" si="1"/>
        <v>11.73</v>
      </c>
      <c r="G904" s="17" t="str">
        <f>Github!H$903</f>
        <v>Algorithms</v>
      </c>
      <c r="H904" s="17" t="b">
        <f>Github!D$903</f>
        <v>0</v>
      </c>
      <c r="I904" s="17" t="str">
        <f>Github!E$903</f>
        <v>Hard</v>
      </c>
      <c r="J904" s="17" t="str">
        <f>ROUND(Github!N$903, 2)&amp;"%"</f>
        <v>0%</v>
      </c>
      <c r="K904" s="17">
        <f>Github!O$903</f>
        <v>40.80342482</v>
      </c>
      <c r="L904" s="17">
        <f>Github!P$903</f>
        <v>34789</v>
      </c>
    </row>
    <row r="905">
      <c r="A905" s="17">
        <f>Github!J$904</f>
        <v>903</v>
      </c>
      <c r="B905" s="34" t="str">
        <f>HYPERLINK(CONCAT("http://leetcode.com/problems/",Github!C$904), Github!B$904)</f>
        <v>Valid Permutations for DI Sequence</v>
      </c>
      <c r="C905" s="17">
        <f>Github!F$904</f>
        <v>437</v>
      </c>
      <c r="D905" s="17">
        <f>Github!G$904</f>
        <v>35</v>
      </c>
      <c r="E905" s="17">
        <f>Github!F$904+Github!G$904</f>
        <v>472</v>
      </c>
      <c r="F905" s="18">
        <f t="shared" si="1"/>
        <v>12.49</v>
      </c>
      <c r="G905" s="17" t="str">
        <f>Github!H$904</f>
        <v>Algorithms</v>
      </c>
      <c r="H905" s="17" t="b">
        <f>Github!D$904</f>
        <v>0</v>
      </c>
      <c r="I905" s="17" t="str">
        <f>Github!E$904</f>
        <v>Hard</v>
      </c>
      <c r="J905" s="17" t="str">
        <f>ROUND(Github!N$904, 2)&amp;"%"</f>
        <v>0%</v>
      </c>
      <c r="K905" s="17">
        <f>Github!O$904</f>
        <v>57.00512038</v>
      </c>
      <c r="L905" s="17">
        <f>Github!P$904</f>
        <v>10465</v>
      </c>
    </row>
    <row r="906">
      <c r="A906" s="17">
        <f>Github!J$905</f>
        <v>904</v>
      </c>
      <c r="B906" s="34" t="str">
        <f>HYPERLINK(CONCAT("http://leetcode.com/problems/",Github!C$905), Github!B$905)</f>
        <v>Fruit Into Baskets</v>
      </c>
      <c r="C906" s="17">
        <f>Github!F$905</f>
        <v>830</v>
      </c>
      <c r="D906" s="17">
        <f>Github!G$905</f>
        <v>56</v>
      </c>
      <c r="E906" s="17">
        <f>Github!F$905+Github!G$905</f>
        <v>886</v>
      </c>
      <c r="F906" s="18">
        <f t="shared" si="1"/>
        <v>14.82</v>
      </c>
      <c r="G906" s="17" t="str">
        <f>Github!H$905</f>
        <v>Algorithms</v>
      </c>
      <c r="H906" s="17" t="b">
        <f>Github!D$905</f>
        <v>0</v>
      </c>
      <c r="I906" s="17" t="str">
        <f>Github!E$905</f>
        <v>Medium</v>
      </c>
      <c r="J906" s="17" t="str">
        <f>ROUND(Github!N$905, 2)&amp;"%"</f>
        <v>0%</v>
      </c>
      <c r="K906" s="17">
        <f>Github!O$905</f>
        <v>42.9026835</v>
      </c>
      <c r="L906" s="17">
        <f>Github!P$905</f>
        <v>189355</v>
      </c>
    </row>
    <row r="907">
      <c r="A907" s="17">
        <f>Github!J$906</f>
        <v>905</v>
      </c>
      <c r="B907" s="34" t="str">
        <f>HYPERLINK(CONCAT("http://leetcode.com/problems/",Github!C$906), Github!B$906)</f>
        <v>Sort Array By Parity</v>
      </c>
      <c r="C907" s="17">
        <f>Github!F$906</f>
        <v>2536</v>
      </c>
      <c r="D907" s="17">
        <f>Github!G$906</f>
        <v>111</v>
      </c>
      <c r="E907" s="17">
        <f>Github!F$906+Github!G$906</f>
        <v>2647</v>
      </c>
      <c r="F907" s="18">
        <f t="shared" si="1"/>
        <v>22.85</v>
      </c>
      <c r="G907" s="17" t="str">
        <f>Github!H$906</f>
        <v>Algorithms</v>
      </c>
      <c r="H907" s="17" t="b">
        <f>Github!D$906</f>
        <v>0</v>
      </c>
      <c r="I907" s="17" t="str">
        <f>Github!E$906</f>
        <v>Easy</v>
      </c>
      <c r="J907" s="17" t="str">
        <f>ROUND(Github!N$906, 2)&amp;"%"</f>
        <v>0%</v>
      </c>
      <c r="K907" s="17">
        <f>Github!O$906</f>
        <v>74.7804091</v>
      </c>
      <c r="L907" s="17">
        <f>Github!P$906</f>
        <v>423633</v>
      </c>
    </row>
    <row r="908">
      <c r="A908" s="17">
        <f>Github!J$907</f>
        <v>906</v>
      </c>
      <c r="B908" s="34" t="str">
        <f>HYPERLINK(CONCAT("http://leetcode.com/problems/",Github!C$907), Github!B$907)</f>
        <v>Super Palindromes</v>
      </c>
      <c r="C908" s="17">
        <f>Github!F$907</f>
        <v>297</v>
      </c>
      <c r="D908" s="17">
        <f>Github!G$907</f>
        <v>374</v>
      </c>
      <c r="E908" s="17">
        <f>Github!F$907+Github!G$907</f>
        <v>671</v>
      </c>
      <c r="F908" s="18">
        <f t="shared" si="1"/>
        <v>0.79</v>
      </c>
      <c r="G908" s="17" t="str">
        <f>Github!H$907</f>
        <v>Algorithms</v>
      </c>
      <c r="H908" s="17" t="b">
        <f>Github!D$907</f>
        <v>0</v>
      </c>
      <c r="I908" s="17" t="str">
        <f>Github!E$907</f>
        <v>Hard</v>
      </c>
      <c r="J908" s="17" t="str">
        <f>ROUND(Github!N$907, 2)&amp;"%"</f>
        <v>0%</v>
      </c>
      <c r="K908" s="17">
        <f>Github!O$907</f>
        <v>39.20399493</v>
      </c>
      <c r="L908" s="17">
        <f>Github!P$907</f>
        <v>21040</v>
      </c>
    </row>
    <row r="909">
      <c r="A909" s="17">
        <f>Github!J$908</f>
        <v>907</v>
      </c>
      <c r="B909" s="34" t="str">
        <f>HYPERLINK(CONCAT("http://leetcode.com/problems/",Github!C$908), Github!B$908)</f>
        <v>Sum of Subarray Minimums</v>
      </c>
      <c r="C909" s="17">
        <f>Github!F$908</f>
        <v>3215</v>
      </c>
      <c r="D909" s="17">
        <f>Github!G$908</f>
        <v>207</v>
      </c>
      <c r="E909" s="17">
        <f>Github!F$908+Github!G$908</f>
        <v>3422</v>
      </c>
      <c r="F909" s="18">
        <f t="shared" si="1"/>
        <v>15.53</v>
      </c>
      <c r="G909" s="17" t="str">
        <f>Github!H$908</f>
        <v>Algorithms</v>
      </c>
      <c r="H909" s="17" t="b">
        <f>Github!D$908</f>
        <v>0</v>
      </c>
      <c r="I909" s="17" t="str">
        <f>Github!E$908</f>
        <v>Medium</v>
      </c>
      <c r="J909" s="17" t="str">
        <f>ROUND(Github!N$908, 2)&amp;"%"</f>
        <v>0%</v>
      </c>
      <c r="K909" s="17">
        <f>Github!O$908</f>
        <v>33.75341604</v>
      </c>
      <c r="L909" s="17">
        <f>Github!P$908</f>
        <v>68671</v>
      </c>
    </row>
    <row r="910">
      <c r="A910" s="17">
        <f>Github!J$909</f>
        <v>908</v>
      </c>
      <c r="B910" s="34" t="str">
        <f>HYPERLINK(CONCAT("http://leetcode.com/problems/",Github!C$909), Github!B$909)</f>
        <v>Smallest Range I</v>
      </c>
      <c r="C910" s="17">
        <f>Github!F$909</f>
        <v>401</v>
      </c>
      <c r="D910" s="17">
        <f>Github!G$909</f>
        <v>1579</v>
      </c>
      <c r="E910" s="17">
        <f>Github!F$909+Github!G$909</f>
        <v>1980</v>
      </c>
      <c r="F910" s="18">
        <f t="shared" si="1"/>
        <v>0.25</v>
      </c>
      <c r="G910" s="17" t="str">
        <f>Github!H$909</f>
        <v>Algorithms</v>
      </c>
      <c r="H910" s="17" t="b">
        <f>Github!D$909</f>
        <v>0</v>
      </c>
      <c r="I910" s="17" t="str">
        <f>Github!E$909</f>
        <v>Easy</v>
      </c>
      <c r="J910" s="17" t="str">
        <f>ROUND(Github!N$909, 2)&amp;"%"</f>
        <v>0%</v>
      </c>
      <c r="K910" s="17">
        <f>Github!O$909</f>
        <v>67.14159424</v>
      </c>
      <c r="L910" s="17">
        <f>Github!P$909</f>
        <v>58481</v>
      </c>
    </row>
    <row r="911">
      <c r="A911" s="17">
        <f>Github!J$910</f>
        <v>909</v>
      </c>
      <c r="B911" s="34" t="str">
        <f>HYPERLINK(CONCAT("http://leetcode.com/problems/",Github!C$910), Github!B$910)</f>
        <v>Snakes and Ladders</v>
      </c>
      <c r="C911" s="17">
        <f>Github!F$910</f>
        <v>554</v>
      </c>
      <c r="D911" s="17">
        <f>Github!G$910</f>
        <v>128</v>
      </c>
      <c r="E911" s="17">
        <f>Github!F$910+Github!G$910</f>
        <v>682</v>
      </c>
      <c r="F911" s="18">
        <f t="shared" si="1"/>
        <v>4.33</v>
      </c>
      <c r="G911" s="17" t="str">
        <f>Github!H$910</f>
        <v>Algorithms</v>
      </c>
      <c r="H911" s="17" t="b">
        <f>Github!D$910</f>
        <v>0</v>
      </c>
      <c r="I911" s="17" t="str">
        <f>Github!E$910</f>
        <v>Medium</v>
      </c>
      <c r="J911" s="17" t="str">
        <f>ROUND(Github!N$910, 2)&amp;"%"</f>
        <v>0%</v>
      </c>
      <c r="K911" s="17">
        <f>Github!O$910</f>
        <v>40.34380937</v>
      </c>
      <c r="L911" s="17">
        <f>Github!P$910</f>
        <v>70499</v>
      </c>
    </row>
    <row r="912">
      <c r="A912" s="17">
        <f>Github!J$911</f>
        <v>910</v>
      </c>
      <c r="B912" s="34" t="str">
        <f>HYPERLINK(CONCAT("http://leetcode.com/problems/",Github!C$911), Github!B$911)</f>
        <v>Smallest Range II</v>
      </c>
      <c r="C912" s="17">
        <f>Github!F$911</f>
        <v>1011</v>
      </c>
      <c r="D912" s="17">
        <f>Github!G$911</f>
        <v>343</v>
      </c>
      <c r="E912" s="17">
        <f>Github!F$911+Github!G$911</f>
        <v>1354</v>
      </c>
      <c r="F912" s="18">
        <f t="shared" si="1"/>
        <v>2.95</v>
      </c>
      <c r="G912" s="17" t="str">
        <f>Github!H$911</f>
        <v>Algorithms</v>
      </c>
      <c r="H912" s="17" t="b">
        <f>Github!D$911</f>
        <v>0</v>
      </c>
      <c r="I912" s="17" t="str">
        <f>Github!E$911</f>
        <v>Medium</v>
      </c>
      <c r="J912" s="17" t="str">
        <f>ROUND(Github!N$911, 2)&amp;"%"</f>
        <v>0%</v>
      </c>
      <c r="K912" s="17">
        <f>Github!O$911</f>
        <v>32.31531118</v>
      </c>
      <c r="L912" s="17">
        <f>Github!P$911</f>
        <v>31648</v>
      </c>
    </row>
    <row r="913">
      <c r="A913" s="17">
        <f>Github!J$912</f>
        <v>911</v>
      </c>
      <c r="B913" s="34" t="str">
        <f>HYPERLINK(CONCAT("http://leetcode.com/problems/",Github!C$912), Github!B$912)</f>
        <v>Online Election</v>
      </c>
      <c r="C913" s="17">
        <f>Github!F$912</f>
        <v>647</v>
      </c>
      <c r="D913" s="17">
        <f>Github!G$912</f>
        <v>493</v>
      </c>
      <c r="E913" s="17">
        <f>Github!F$912+Github!G$912</f>
        <v>1140</v>
      </c>
      <c r="F913" s="18">
        <f t="shared" si="1"/>
        <v>1.31</v>
      </c>
      <c r="G913" s="17" t="str">
        <f>Github!H$912</f>
        <v>Algorithms</v>
      </c>
      <c r="H913" s="17" t="b">
        <f>Github!D$912</f>
        <v>0</v>
      </c>
      <c r="I913" s="17" t="str">
        <f>Github!E$912</f>
        <v>Medium</v>
      </c>
      <c r="J913" s="17" t="str">
        <f>ROUND(Github!N$912, 2)&amp;"%"</f>
        <v>0%</v>
      </c>
      <c r="K913" s="17">
        <f>Github!O$912</f>
        <v>51.56641859</v>
      </c>
      <c r="L913" s="17">
        <f>Github!P$912</f>
        <v>38039</v>
      </c>
    </row>
    <row r="914">
      <c r="A914" s="17">
        <f>Github!J$913</f>
        <v>912</v>
      </c>
      <c r="B914" s="34" t="str">
        <f>HYPERLINK(CONCAT("http://leetcode.com/problems/",Github!C$913), Github!B$913)</f>
        <v>Sort an Array</v>
      </c>
      <c r="C914" s="17">
        <f>Github!F$913</f>
        <v>1889</v>
      </c>
      <c r="D914" s="17">
        <f>Github!G$913</f>
        <v>504</v>
      </c>
      <c r="E914" s="17">
        <f>Github!F$913+Github!G$913</f>
        <v>2393</v>
      </c>
      <c r="F914" s="18">
        <f t="shared" si="1"/>
        <v>3.75</v>
      </c>
      <c r="G914" s="17" t="str">
        <f>Github!H$913</f>
        <v>Algorithms</v>
      </c>
      <c r="H914" s="17" t="b">
        <f>Github!D$913</f>
        <v>0</v>
      </c>
      <c r="I914" s="17" t="str">
        <f>Github!E$913</f>
        <v>Medium</v>
      </c>
      <c r="J914" s="17" t="str">
        <f>ROUND(Github!N$913, 2)&amp;"%"</f>
        <v>0%</v>
      </c>
      <c r="K914" s="17">
        <f>Github!O$913</f>
        <v>61.65843113</v>
      </c>
      <c r="L914" s="17">
        <f>Github!P$913</f>
        <v>243568</v>
      </c>
    </row>
    <row r="915">
      <c r="A915" s="17">
        <f>Github!J$914</f>
        <v>913</v>
      </c>
      <c r="B915" s="34" t="str">
        <f>HYPERLINK(CONCAT("http://leetcode.com/problems/",Github!C$914), Github!B$914)</f>
        <v>Cat and Mouse</v>
      </c>
      <c r="C915" s="17">
        <f>Github!F$914</f>
        <v>604</v>
      </c>
      <c r="D915" s="17">
        <f>Github!G$914</f>
        <v>107</v>
      </c>
      <c r="E915" s="17">
        <f>Github!F$914+Github!G$914</f>
        <v>711</v>
      </c>
      <c r="F915" s="18">
        <f t="shared" si="1"/>
        <v>5.64</v>
      </c>
      <c r="G915" s="17" t="str">
        <f>Github!H$914</f>
        <v>Algorithms</v>
      </c>
      <c r="H915" s="17" t="b">
        <f>Github!D$914</f>
        <v>0</v>
      </c>
      <c r="I915" s="17" t="str">
        <f>Github!E$914</f>
        <v>Hard</v>
      </c>
      <c r="J915" s="17" t="str">
        <f>ROUND(Github!N$914, 2)&amp;"%"</f>
        <v>0%</v>
      </c>
      <c r="K915" s="17">
        <f>Github!O$914</f>
        <v>35.06945313</v>
      </c>
      <c r="L915" s="17">
        <f>Github!P$914</f>
        <v>14012</v>
      </c>
    </row>
    <row r="916">
      <c r="A916" s="17">
        <f>Github!J$915</f>
        <v>914</v>
      </c>
      <c r="B916" s="34" t="str">
        <f>HYPERLINK(CONCAT("http://leetcode.com/problems/",Github!C$915), Github!B$915)</f>
        <v>X of a Kind in a Deck of Cards</v>
      </c>
      <c r="C916" s="17">
        <f>Github!F$915</f>
        <v>1176</v>
      </c>
      <c r="D916" s="17">
        <f>Github!G$915</f>
        <v>287</v>
      </c>
      <c r="E916" s="17">
        <f>Github!F$915+Github!G$915</f>
        <v>1463</v>
      </c>
      <c r="F916" s="18">
        <f t="shared" si="1"/>
        <v>4.1</v>
      </c>
      <c r="G916" s="17" t="str">
        <f>Github!H$915</f>
        <v>Algorithms</v>
      </c>
      <c r="H916" s="17" t="b">
        <f>Github!D$915</f>
        <v>0</v>
      </c>
      <c r="I916" s="17" t="str">
        <f>Github!E$915</f>
        <v>Easy</v>
      </c>
      <c r="J916" s="17" t="str">
        <f>ROUND(Github!N$915, 2)&amp;"%"</f>
        <v>0%</v>
      </c>
      <c r="K916" s="17">
        <f>Github!O$915</f>
        <v>33.15018609</v>
      </c>
      <c r="L916" s="17">
        <f>Github!P$915</f>
        <v>82476</v>
      </c>
    </row>
    <row r="917">
      <c r="A917" s="17">
        <f>Github!J$916</f>
        <v>915</v>
      </c>
      <c r="B917" s="34" t="str">
        <f>HYPERLINK(CONCAT("http://leetcode.com/problems/",Github!C$916), Github!B$916)</f>
        <v>Partition Array into Disjoint Intervals</v>
      </c>
      <c r="C917" s="17">
        <f>Github!F$916</f>
        <v>1140</v>
      </c>
      <c r="D917" s="17">
        <f>Github!G$916</f>
        <v>58</v>
      </c>
      <c r="E917" s="17">
        <f>Github!F$916+Github!G$916</f>
        <v>1198</v>
      </c>
      <c r="F917" s="18">
        <f t="shared" si="1"/>
        <v>19.66</v>
      </c>
      <c r="G917" s="17" t="str">
        <f>Github!H$916</f>
        <v>Algorithms</v>
      </c>
      <c r="H917" s="17" t="b">
        <f>Github!D$916</f>
        <v>0</v>
      </c>
      <c r="I917" s="17" t="str">
        <f>Github!E$916</f>
        <v>Medium</v>
      </c>
      <c r="J917" s="17" t="str">
        <f>ROUND(Github!N$916, 2)&amp;"%"</f>
        <v>0%</v>
      </c>
      <c r="K917" s="17">
        <f>Github!O$916</f>
        <v>48.38275738</v>
      </c>
      <c r="L917" s="17">
        <f>Github!P$916</f>
        <v>64740</v>
      </c>
    </row>
    <row r="918">
      <c r="A918" s="17">
        <f>Github!J$917</f>
        <v>916</v>
      </c>
      <c r="B918" s="34" t="str">
        <f>HYPERLINK(CONCAT("http://leetcode.com/problems/",Github!C$917), Github!B$917)</f>
        <v>Word Subsets</v>
      </c>
      <c r="C918" s="17">
        <f>Github!F$917</f>
        <v>930</v>
      </c>
      <c r="D918" s="17">
        <f>Github!G$917</f>
        <v>124</v>
      </c>
      <c r="E918" s="17">
        <f>Github!F$917+Github!G$917</f>
        <v>1054</v>
      </c>
      <c r="F918" s="18">
        <f t="shared" si="1"/>
        <v>7.5</v>
      </c>
      <c r="G918" s="17" t="str">
        <f>Github!H$917</f>
        <v>Algorithms</v>
      </c>
      <c r="H918" s="17" t="b">
        <f>Github!D$917</f>
        <v>0</v>
      </c>
      <c r="I918" s="17" t="str">
        <f>Github!E$917</f>
        <v>Medium</v>
      </c>
      <c r="J918" s="17" t="str">
        <f>ROUND(Github!N$917, 2)&amp;"%"</f>
        <v>0%</v>
      </c>
      <c r="K918" s="17">
        <f>Github!O$917</f>
        <v>52.71768886</v>
      </c>
      <c r="L918" s="17">
        <f>Github!P$917</f>
        <v>49106</v>
      </c>
    </row>
    <row r="919">
      <c r="A919" s="17">
        <f>Github!J$918</f>
        <v>917</v>
      </c>
      <c r="B919" s="34" t="str">
        <f>HYPERLINK(CONCAT("http://leetcode.com/problems/",Github!C$918), Github!B$918)</f>
        <v>Reverse Only Letters</v>
      </c>
      <c r="C919" s="17">
        <f>Github!F$918</f>
        <v>1383</v>
      </c>
      <c r="D919" s="17">
        <f>Github!G$918</f>
        <v>51</v>
      </c>
      <c r="E919" s="17">
        <f>Github!F$918+Github!G$918</f>
        <v>1434</v>
      </c>
      <c r="F919" s="18">
        <f t="shared" si="1"/>
        <v>27.12</v>
      </c>
      <c r="G919" s="17" t="str">
        <f>Github!H$918</f>
        <v>Algorithms</v>
      </c>
      <c r="H919" s="17" t="b">
        <f>Github!D$918</f>
        <v>0</v>
      </c>
      <c r="I919" s="17" t="str">
        <f>Github!E$918</f>
        <v>Easy</v>
      </c>
      <c r="J919" s="17" t="str">
        <f>ROUND(Github!N$918, 2)&amp;"%"</f>
        <v>0%</v>
      </c>
      <c r="K919" s="17">
        <f>Github!O$918</f>
        <v>60.91916144</v>
      </c>
      <c r="L919" s="17">
        <f>Github!P$918</f>
        <v>129397</v>
      </c>
    </row>
    <row r="920">
      <c r="A920" s="17">
        <f>Github!J$919</f>
        <v>918</v>
      </c>
      <c r="B920" s="34" t="str">
        <f>HYPERLINK(CONCAT("http://leetcode.com/problems/",Github!C$919), Github!B$919)</f>
        <v>Maximum Sum Circular Subarray</v>
      </c>
      <c r="C920" s="17">
        <f>Github!F$919</f>
        <v>2874</v>
      </c>
      <c r="D920" s="17">
        <f>Github!G$919</f>
        <v>132</v>
      </c>
      <c r="E920" s="17">
        <f>Github!F$919+Github!G$919</f>
        <v>3006</v>
      </c>
      <c r="F920" s="18">
        <f t="shared" si="1"/>
        <v>21.77</v>
      </c>
      <c r="G920" s="17" t="str">
        <f>Github!H$919</f>
        <v>Algorithms</v>
      </c>
      <c r="H920" s="17" t="b">
        <f>Github!D$919</f>
        <v>0</v>
      </c>
      <c r="I920" s="17" t="str">
        <f>Github!E$919</f>
        <v>Medium</v>
      </c>
      <c r="J920" s="17" t="str">
        <f>ROUND(Github!N$919, 2)&amp;"%"</f>
        <v>0%</v>
      </c>
      <c r="K920" s="17">
        <f>Github!O$919</f>
        <v>36.82195775</v>
      </c>
      <c r="L920" s="17">
        <f>Github!P$919</f>
        <v>108598</v>
      </c>
    </row>
    <row r="921">
      <c r="A921" s="17">
        <f>Github!J$920</f>
        <v>919</v>
      </c>
      <c r="B921" s="34" t="str">
        <f>HYPERLINK(CONCAT("http://leetcode.com/problems/",Github!C$920), Github!B$920)</f>
        <v>Complete Binary Tree Inserter</v>
      </c>
      <c r="C921" s="17">
        <f>Github!F$920</f>
        <v>728</v>
      </c>
      <c r="D921" s="17">
        <f>Github!G$920</f>
        <v>82</v>
      </c>
      <c r="E921" s="17">
        <f>Github!F$920+Github!G$920</f>
        <v>810</v>
      </c>
      <c r="F921" s="18">
        <f t="shared" si="1"/>
        <v>8.88</v>
      </c>
      <c r="G921" s="17" t="str">
        <f>Github!H$920</f>
        <v>Algorithms</v>
      </c>
      <c r="H921" s="17" t="b">
        <f>Github!D$920</f>
        <v>0</v>
      </c>
      <c r="I921" s="17" t="str">
        <f>Github!E$920</f>
        <v>Medium</v>
      </c>
      <c r="J921" s="17" t="str">
        <f>ROUND(Github!N$920, 2)&amp;"%"</f>
        <v>0%</v>
      </c>
      <c r="K921" s="17">
        <f>Github!O$920</f>
        <v>63.70601443</v>
      </c>
      <c r="L921" s="17">
        <f>Github!P$920</f>
        <v>37168</v>
      </c>
    </row>
    <row r="922">
      <c r="A922" s="17">
        <f>Github!J$921</f>
        <v>920</v>
      </c>
      <c r="B922" s="34" t="str">
        <f>HYPERLINK(CONCAT("http://leetcode.com/problems/",Github!C$921), Github!B$921)</f>
        <v>Number of Music Playlists</v>
      </c>
      <c r="C922" s="17">
        <f>Github!F$921</f>
        <v>687</v>
      </c>
      <c r="D922" s="17">
        <f>Github!G$921</f>
        <v>64</v>
      </c>
      <c r="E922" s="17">
        <f>Github!F$921+Github!G$921</f>
        <v>751</v>
      </c>
      <c r="F922" s="18">
        <f t="shared" si="1"/>
        <v>10.73</v>
      </c>
      <c r="G922" s="17" t="str">
        <f>Github!H$921</f>
        <v>Algorithms</v>
      </c>
      <c r="H922" s="17" t="b">
        <f>Github!D$921</f>
        <v>0</v>
      </c>
      <c r="I922" s="17" t="str">
        <f>Github!E$921</f>
        <v>Hard</v>
      </c>
      <c r="J922" s="17" t="str">
        <f>ROUND(Github!N$921, 2)&amp;"%"</f>
        <v>0%</v>
      </c>
      <c r="K922" s="17">
        <f>Github!O$921</f>
        <v>49.32651464</v>
      </c>
      <c r="L922" s="17">
        <f>Github!P$921</f>
        <v>17651</v>
      </c>
    </row>
    <row r="923">
      <c r="A923" s="17">
        <f>Github!J$922</f>
        <v>921</v>
      </c>
      <c r="B923" s="34" t="str">
        <f>HYPERLINK(CONCAT("http://leetcode.com/problems/",Github!C$922), Github!B$922)</f>
        <v>Minimum Add to Make Parentheses Valid</v>
      </c>
      <c r="C923" s="17">
        <f>Github!F$922</f>
        <v>2296</v>
      </c>
      <c r="D923" s="17">
        <f>Github!G$922</f>
        <v>133</v>
      </c>
      <c r="E923" s="17">
        <f>Github!F$922+Github!G$922</f>
        <v>2429</v>
      </c>
      <c r="F923" s="18">
        <f t="shared" si="1"/>
        <v>17.26</v>
      </c>
      <c r="G923" s="17" t="str">
        <f>Github!H$922</f>
        <v>Algorithms</v>
      </c>
      <c r="H923" s="17" t="b">
        <f>Github!D$922</f>
        <v>0</v>
      </c>
      <c r="I923" s="17" t="str">
        <f>Github!E$922</f>
        <v>Medium</v>
      </c>
      <c r="J923" s="17" t="str">
        <f>ROUND(Github!N$922, 2)&amp;"%"</f>
        <v>0%</v>
      </c>
      <c r="K923" s="17">
        <f>Github!O$922</f>
        <v>77.26769276</v>
      </c>
      <c r="L923" s="17">
        <f>Github!P$922</f>
        <v>188352</v>
      </c>
    </row>
    <row r="924">
      <c r="A924" s="17">
        <f>Github!J$923</f>
        <v>922</v>
      </c>
      <c r="B924" s="34" t="str">
        <f>HYPERLINK(CONCAT("http://leetcode.com/problems/",Github!C$923), Github!B$923)</f>
        <v>Sort Array By Parity II</v>
      </c>
      <c r="C924" s="17">
        <f>Github!F$923</f>
        <v>1661</v>
      </c>
      <c r="D924" s="17">
        <f>Github!G$923</f>
        <v>70</v>
      </c>
      <c r="E924" s="17">
        <f>Github!F$923+Github!G$923</f>
        <v>1731</v>
      </c>
      <c r="F924" s="18">
        <f t="shared" si="1"/>
        <v>23.73</v>
      </c>
      <c r="G924" s="17" t="str">
        <f>Github!H$923</f>
        <v>Algorithms</v>
      </c>
      <c r="H924" s="17" t="b">
        <f>Github!D$923</f>
        <v>0</v>
      </c>
      <c r="I924" s="17" t="str">
        <f>Github!E$923</f>
        <v>Easy</v>
      </c>
      <c r="J924" s="17" t="str">
        <f>ROUND(Github!N$923, 2)&amp;"%"</f>
        <v>1%</v>
      </c>
      <c r="K924" s="17">
        <f>Github!O$923</f>
        <v>70.62523752</v>
      </c>
      <c r="L924" s="17">
        <f>Github!P$923</f>
        <v>178400</v>
      </c>
    </row>
    <row r="925">
      <c r="A925" s="17">
        <f>Github!J$924</f>
        <v>923</v>
      </c>
      <c r="B925" s="34" t="str">
        <f>HYPERLINK(CONCAT("http://leetcode.com/problems/",Github!C$924), Github!B$924)</f>
        <v>3Sum With Multiplicity</v>
      </c>
      <c r="C925" s="17">
        <f>Github!F$924</f>
        <v>887</v>
      </c>
      <c r="D925" s="17">
        <f>Github!G$924</f>
        <v>142</v>
      </c>
      <c r="E925" s="17">
        <f>Github!F$924+Github!G$924</f>
        <v>1029</v>
      </c>
      <c r="F925" s="18">
        <f t="shared" si="1"/>
        <v>6.25</v>
      </c>
      <c r="G925" s="17" t="str">
        <f>Github!H$924</f>
        <v>Algorithms</v>
      </c>
      <c r="H925" s="17" t="b">
        <f>Github!D$924</f>
        <v>0</v>
      </c>
      <c r="I925" s="17" t="str">
        <f>Github!E$924</f>
        <v>Medium</v>
      </c>
      <c r="J925" s="17" t="str">
        <f>ROUND(Github!N$924, 2)&amp;"%"</f>
        <v>0%</v>
      </c>
      <c r="K925" s="17">
        <f>Github!O$924</f>
        <v>41.37562073</v>
      </c>
      <c r="L925" s="17">
        <f>Github!P$924</f>
        <v>45243</v>
      </c>
    </row>
    <row r="926">
      <c r="A926" s="17">
        <f>Github!J$925</f>
        <v>924</v>
      </c>
      <c r="B926" s="34" t="str">
        <f>HYPERLINK(CONCAT("http://leetcode.com/problems/",Github!C$925), Github!B$925)</f>
        <v>Minimize Malware Spread</v>
      </c>
      <c r="C926" s="17">
        <f>Github!F$925</f>
        <v>581</v>
      </c>
      <c r="D926" s="17">
        <f>Github!G$925</f>
        <v>397</v>
      </c>
      <c r="E926" s="17">
        <f>Github!F$925+Github!G$925</f>
        <v>978</v>
      </c>
      <c r="F926" s="18">
        <f t="shared" si="1"/>
        <v>1.46</v>
      </c>
      <c r="G926" s="17" t="str">
        <f>Github!H$925</f>
        <v>Algorithms</v>
      </c>
      <c r="H926" s="17" t="b">
        <f>Github!D$925</f>
        <v>0</v>
      </c>
      <c r="I926" s="17" t="str">
        <f>Github!E$925</f>
        <v>Hard</v>
      </c>
      <c r="J926" s="17" t="str">
        <f>ROUND(Github!N$925, 2)&amp;"%"</f>
        <v>0%</v>
      </c>
      <c r="K926" s="17">
        <f>Github!O$925</f>
        <v>41.88056969</v>
      </c>
      <c r="L926" s="17">
        <f>Github!P$925</f>
        <v>36140</v>
      </c>
    </row>
    <row r="927">
      <c r="A927" s="17">
        <f>Github!J$926</f>
        <v>925</v>
      </c>
      <c r="B927" s="34" t="str">
        <f>HYPERLINK(CONCAT("http://leetcode.com/problems/",Github!C$926), Github!B$926)</f>
        <v>Long Pressed Name</v>
      </c>
      <c r="C927" s="17">
        <f>Github!F$926</f>
        <v>1525</v>
      </c>
      <c r="D927" s="17">
        <f>Github!G$926</f>
        <v>234</v>
      </c>
      <c r="E927" s="17">
        <f>Github!F$926+Github!G$926</f>
        <v>1759</v>
      </c>
      <c r="F927" s="18">
        <f t="shared" si="1"/>
        <v>6.52</v>
      </c>
      <c r="G927" s="17" t="str">
        <f>Github!H$926</f>
        <v>Algorithms</v>
      </c>
      <c r="H927" s="17" t="b">
        <f>Github!D$926</f>
        <v>0</v>
      </c>
      <c r="I927" s="17" t="str">
        <f>Github!E$926</f>
        <v>Easy</v>
      </c>
      <c r="J927" s="17" t="str">
        <f>ROUND(Github!N$926, 2)&amp;"%"</f>
        <v>0%</v>
      </c>
      <c r="K927" s="17">
        <f>Github!O$926</f>
        <v>34.88654052</v>
      </c>
      <c r="L927" s="17">
        <f>Github!P$926</f>
        <v>89200</v>
      </c>
    </row>
    <row r="928">
      <c r="A928" s="17">
        <f>Github!J$927</f>
        <v>926</v>
      </c>
      <c r="B928" s="34" t="str">
        <f>HYPERLINK(CONCAT("http://leetcode.com/problems/",Github!C$927), Github!B$927)</f>
        <v>Flip String to Monotone Increasing</v>
      </c>
      <c r="C928" s="17">
        <f>Github!F$927</f>
        <v>1827</v>
      </c>
      <c r="D928" s="17">
        <f>Github!G$927</f>
        <v>74</v>
      </c>
      <c r="E928" s="17">
        <f>Github!F$927+Github!G$927</f>
        <v>1901</v>
      </c>
      <c r="F928" s="18">
        <f t="shared" si="1"/>
        <v>24.69</v>
      </c>
      <c r="G928" s="17" t="str">
        <f>Github!H$927</f>
        <v>Algorithms</v>
      </c>
      <c r="H928" s="17" t="b">
        <f>Github!D$927</f>
        <v>0</v>
      </c>
      <c r="I928" s="17" t="str">
        <f>Github!E$927</f>
        <v>Medium</v>
      </c>
      <c r="J928" s="17" t="str">
        <f>ROUND(Github!N$927, 2)&amp;"%"</f>
        <v>0%</v>
      </c>
      <c r="K928" s="17">
        <f>Github!O$927</f>
        <v>58.35276947</v>
      </c>
      <c r="L928" s="17">
        <f>Github!P$927</f>
        <v>81557</v>
      </c>
    </row>
    <row r="929">
      <c r="A929" s="17">
        <f>Github!J$928</f>
        <v>927</v>
      </c>
      <c r="B929" s="34" t="str">
        <f>HYPERLINK(CONCAT("http://leetcode.com/problems/",Github!C$928), Github!B$928)</f>
        <v>Three Equal Parts</v>
      </c>
      <c r="C929" s="17">
        <f>Github!F$928</f>
        <v>672</v>
      </c>
      <c r="D929" s="17">
        <f>Github!G$928</f>
        <v>103</v>
      </c>
      <c r="E929" s="17">
        <f>Github!F$928+Github!G$928</f>
        <v>775</v>
      </c>
      <c r="F929" s="18">
        <f t="shared" si="1"/>
        <v>6.52</v>
      </c>
      <c r="G929" s="17" t="str">
        <f>Github!H$928</f>
        <v>Algorithms</v>
      </c>
      <c r="H929" s="17" t="b">
        <f>Github!D$928</f>
        <v>0</v>
      </c>
      <c r="I929" s="17" t="str">
        <f>Github!E$928</f>
        <v>Hard</v>
      </c>
      <c r="J929" s="17" t="str">
        <f>ROUND(Github!N$928, 2)&amp;"%"</f>
        <v>0%</v>
      </c>
      <c r="K929" s="17">
        <f>Github!O$928</f>
        <v>39.2992993</v>
      </c>
      <c r="L929" s="17">
        <f>Github!P$928</f>
        <v>25519</v>
      </c>
    </row>
    <row r="930">
      <c r="A930" s="17">
        <f>Github!J$929</f>
        <v>928</v>
      </c>
      <c r="B930" s="34" t="str">
        <f>HYPERLINK(CONCAT("http://leetcode.com/problems/",Github!C$929), Github!B$929)</f>
        <v>Minimize Malware Spread II</v>
      </c>
      <c r="C930" s="17">
        <f>Github!F$929</f>
        <v>397</v>
      </c>
      <c r="D930" s="17">
        <f>Github!G$929</f>
        <v>67</v>
      </c>
      <c r="E930" s="17">
        <f>Github!F$929+Github!G$929</f>
        <v>464</v>
      </c>
      <c r="F930" s="18">
        <f t="shared" si="1"/>
        <v>5.93</v>
      </c>
      <c r="G930" s="17" t="str">
        <f>Github!H$929</f>
        <v>Algorithms</v>
      </c>
      <c r="H930" s="17" t="b">
        <f>Github!D$929</f>
        <v>0</v>
      </c>
      <c r="I930" s="17" t="str">
        <f>Github!E$929</f>
        <v>Hard</v>
      </c>
      <c r="J930" s="17" t="str">
        <f>ROUND(Github!N$929, 2)&amp;"%"</f>
        <v>0%</v>
      </c>
      <c r="K930" s="17">
        <f>Github!O$929</f>
        <v>42.02269504</v>
      </c>
      <c r="L930" s="17">
        <f>Github!P$929</f>
        <v>14813</v>
      </c>
    </row>
    <row r="931">
      <c r="A931" s="17">
        <f>Github!J$930</f>
        <v>929</v>
      </c>
      <c r="B931" s="34" t="str">
        <f>HYPERLINK(CONCAT("http://leetcode.com/problems/",Github!C$930), Github!B$930)</f>
        <v>Unique Email Addresses</v>
      </c>
      <c r="C931" s="17">
        <f>Github!F$930</f>
        <v>1689</v>
      </c>
      <c r="D931" s="17">
        <f>Github!G$930</f>
        <v>241</v>
      </c>
      <c r="E931" s="17">
        <f>Github!F$930+Github!G$930</f>
        <v>1930</v>
      </c>
      <c r="F931" s="18">
        <f t="shared" si="1"/>
        <v>7.01</v>
      </c>
      <c r="G931" s="17" t="str">
        <f>Github!H$930</f>
        <v>Algorithms</v>
      </c>
      <c r="H931" s="17" t="b">
        <f>Github!D$930</f>
        <v>0</v>
      </c>
      <c r="I931" s="17" t="str">
        <f>Github!E$930</f>
        <v>Easy</v>
      </c>
      <c r="J931" s="17" t="str">
        <f>ROUND(Github!N$930, 2)&amp;"%"</f>
        <v>0%</v>
      </c>
      <c r="K931" s="17">
        <f>Github!O$930</f>
        <v>67.38341262</v>
      </c>
      <c r="L931" s="17">
        <f>Github!P$930</f>
        <v>340795</v>
      </c>
    </row>
    <row r="932">
      <c r="A932" s="17">
        <f>Github!J$931</f>
        <v>930</v>
      </c>
      <c r="B932" s="34" t="str">
        <f>HYPERLINK(CONCAT("http://leetcode.com/problems/",Github!C$931), Github!B$931)</f>
        <v>Binary Subarrays With Sum</v>
      </c>
      <c r="C932" s="17">
        <f>Github!F$931</f>
        <v>1257</v>
      </c>
      <c r="D932" s="17">
        <f>Github!G$931</f>
        <v>44</v>
      </c>
      <c r="E932" s="17">
        <f>Github!F$931+Github!G$931</f>
        <v>1301</v>
      </c>
      <c r="F932" s="18">
        <f t="shared" si="1"/>
        <v>28.57</v>
      </c>
      <c r="G932" s="17" t="str">
        <f>Github!H$931</f>
        <v>Algorithms</v>
      </c>
      <c r="H932" s="17" t="b">
        <f>Github!D$931</f>
        <v>0</v>
      </c>
      <c r="I932" s="17" t="str">
        <f>Github!E$931</f>
        <v>Medium</v>
      </c>
      <c r="J932" s="17" t="str">
        <f>ROUND(Github!N$931, 2)&amp;"%"</f>
        <v>0%</v>
      </c>
      <c r="K932" s="17">
        <f>Github!O$931</f>
        <v>48.4097883</v>
      </c>
      <c r="L932" s="17">
        <f>Github!P$931</f>
        <v>43700</v>
      </c>
    </row>
    <row r="933">
      <c r="A933" s="17">
        <f>Github!J$932</f>
        <v>931</v>
      </c>
      <c r="B933" s="34" t="str">
        <f>HYPERLINK(CONCAT("http://leetcode.com/problems/",Github!C$932), Github!B$932)</f>
        <v>Minimum Falling Path Sum</v>
      </c>
      <c r="C933" s="17">
        <f>Github!F$932</f>
        <v>2080</v>
      </c>
      <c r="D933" s="17">
        <f>Github!G$932</f>
        <v>90</v>
      </c>
      <c r="E933" s="17">
        <f>Github!F$932+Github!G$932</f>
        <v>2170</v>
      </c>
      <c r="F933" s="18">
        <f t="shared" si="1"/>
        <v>23.11</v>
      </c>
      <c r="G933" s="17" t="str">
        <f>Github!H$932</f>
        <v>Algorithms</v>
      </c>
      <c r="H933" s="17" t="b">
        <f>Github!D$932</f>
        <v>0</v>
      </c>
      <c r="I933" s="17" t="str">
        <f>Github!E$932</f>
        <v>Medium</v>
      </c>
      <c r="J933" s="17" t="str">
        <f>ROUND(Github!N$932, 2)&amp;"%"</f>
        <v>0%</v>
      </c>
      <c r="K933" s="17">
        <f>Github!O$932</f>
        <v>67.08342818</v>
      </c>
      <c r="L933" s="17">
        <f>Github!P$932</f>
        <v>114928</v>
      </c>
    </row>
    <row r="934">
      <c r="A934" s="17">
        <f>Github!J$933</f>
        <v>932</v>
      </c>
      <c r="B934" s="34" t="str">
        <f>HYPERLINK(CONCAT("http://leetcode.com/problems/",Github!C$933), Github!B$933)</f>
        <v>Beautiful Array</v>
      </c>
      <c r="C934" s="17">
        <f>Github!F$933</f>
        <v>790</v>
      </c>
      <c r="D934" s="17">
        <f>Github!G$933</f>
        <v>1178</v>
      </c>
      <c r="E934" s="17">
        <f>Github!F$933+Github!G$933</f>
        <v>1968</v>
      </c>
      <c r="F934" s="18">
        <f t="shared" si="1"/>
        <v>0.67</v>
      </c>
      <c r="G934" s="17" t="str">
        <f>Github!H$933</f>
        <v>Algorithms</v>
      </c>
      <c r="H934" s="17" t="b">
        <f>Github!D$933</f>
        <v>0</v>
      </c>
      <c r="I934" s="17" t="str">
        <f>Github!E$933</f>
        <v>Medium</v>
      </c>
      <c r="J934" s="17" t="str">
        <f>ROUND(Github!N$933, 2)&amp;"%"</f>
        <v>0%</v>
      </c>
      <c r="K934" s="17">
        <f>Github!O$933</f>
        <v>64.56387149</v>
      </c>
      <c r="L934" s="17">
        <f>Github!P$933</f>
        <v>35248</v>
      </c>
    </row>
    <row r="935">
      <c r="A935" s="17">
        <f>Github!J$934</f>
        <v>933</v>
      </c>
      <c r="B935" s="34" t="str">
        <f>HYPERLINK(CONCAT("http://leetcode.com/problems/",Github!C$934), Github!B$934)</f>
        <v>Number of Recent Calls</v>
      </c>
      <c r="C935" s="17">
        <f>Github!F$934</f>
        <v>722</v>
      </c>
      <c r="D935" s="17">
        <f>Github!G$934</f>
        <v>2409</v>
      </c>
      <c r="E935" s="17">
        <f>Github!F$934+Github!G$934</f>
        <v>3131</v>
      </c>
      <c r="F935" s="18">
        <f t="shared" si="1"/>
        <v>0.3</v>
      </c>
      <c r="G935" s="17" t="str">
        <f>Github!H$934</f>
        <v>Algorithms</v>
      </c>
      <c r="H935" s="17" t="b">
        <f>Github!D$934</f>
        <v>0</v>
      </c>
      <c r="I935" s="17" t="str">
        <f>Github!E$934</f>
        <v>Easy</v>
      </c>
      <c r="J935" s="17" t="str">
        <f>ROUND(Github!N$934, 2)&amp;"%"</f>
        <v>0%</v>
      </c>
      <c r="K935" s="17">
        <f>Github!O$934</f>
        <v>73.09113605</v>
      </c>
      <c r="L935" s="17">
        <f>Github!P$934</f>
        <v>118279</v>
      </c>
    </row>
    <row r="936">
      <c r="A936" s="17">
        <f>Github!J$935</f>
        <v>934</v>
      </c>
      <c r="B936" s="34" t="str">
        <f>HYPERLINK(CONCAT("http://leetcode.com/problems/",Github!C$935), Github!B$935)</f>
        <v>Shortest Bridge</v>
      </c>
      <c r="C936" s="17">
        <f>Github!F$935</f>
        <v>2286</v>
      </c>
      <c r="D936" s="17">
        <f>Github!G$935</f>
        <v>118</v>
      </c>
      <c r="E936" s="17">
        <f>Github!F$935+Github!G$935</f>
        <v>2404</v>
      </c>
      <c r="F936" s="18">
        <f t="shared" si="1"/>
        <v>19.37</v>
      </c>
      <c r="G936" s="17" t="str">
        <f>Github!H$935</f>
        <v>Algorithms</v>
      </c>
      <c r="H936" s="17" t="b">
        <f>Github!D$935</f>
        <v>0</v>
      </c>
      <c r="I936" s="17" t="str">
        <f>Github!E$935</f>
        <v>Medium</v>
      </c>
      <c r="J936" s="17" t="str">
        <f>ROUND(Github!N$935, 2)&amp;"%"</f>
        <v>0%</v>
      </c>
      <c r="K936" s="17">
        <f>Github!O$935</f>
        <v>52.4294607</v>
      </c>
      <c r="L936" s="17">
        <f>Github!P$935</f>
        <v>83629</v>
      </c>
    </row>
    <row r="937">
      <c r="A937" s="17">
        <f>Github!J$936</f>
        <v>935</v>
      </c>
      <c r="B937" s="34" t="str">
        <f>HYPERLINK(CONCAT("http://leetcode.com/problems/",Github!C$936), Github!B$936)</f>
        <v>Knight Dialer</v>
      </c>
      <c r="C937" s="17">
        <f>Github!F$936</f>
        <v>1364</v>
      </c>
      <c r="D937" s="17">
        <f>Github!G$936</f>
        <v>344</v>
      </c>
      <c r="E937" s="17">
        <f>Github!F$936+Github!G$936</f>
        <v>1708</v>
      </c>
      <c r="F937" s="18">
        <f t="shared" si="1"/>
        <v>3.97</v>
      </c>
      <c r="G937" s="17" t="str">
        <f>Github!H$936</f>
        <v>Algorithms</v>
      </c>
      <c r="H937" s="17" t="b">
        <f>Github!D$936</f>
        <v>0</v>
      </c>
      <c r="I937" s="17" t="str">
        <f>Github!E$936</f>
        <v>Medium</v>
      </c>
      <c r="J937" s="17" t="str">
        <f>ROUND(Github!N$936, 2)&amp;"%"</f>
        <v>0%</v>
      </c>
      <c r="K937" s="17">
        <f>Github!O$936</f>
        <v>48.8001001</v>
      </c>
      <c r="L937" s="17">
        <f>Github!P$936</f>
        <v>74101</v>
      </c>
    </row>
    <row r="938">
      <c r="A938" s="17">
        <f>Github!J$937</f>
        <v>936</v>
      </c>
      <c r="B938" s="34" t="str">
        <f>HYPERLINK(CONCAT("http://leetcode.com/problems/",Github!C$937), Github!B$937)</f>
        <v>Stamping The Sequence</v>
      </c>
      <c r="C938" s="17">
        <f>Github!F$937</f>
        <v>519</v>
      </c>
      <c r="D938" s="17">
        <f>Github!G$937</f>
        <v>123</v>
      </c>
      <c r="E938" s="17">
        <f>Github!F$937+Github!G$937</f>
        <v>642</v>
      </c>
      <c r="F938" s="18">
        <f t="shared" si="1"/>
        <v>4.22</v>
      </c>
      <c r="G938" s="17" t="str">
        <f>Github!H$937</f>
        <v>Algorithms</v>
      </c>
      <c r="H938" s="17" t="b">
        <f>Github!D$937</f>
        <v>0</v>
      </c>
      <c r="I938" s="17" t="str">
        <f>Github!E$937</f>
        <v>Hard</v>
      </c>
      <c r="J938" s="17" t="str">
        <f>ROUND(Github!N$937, 2)&amp;"%"</f>
        <v>0%</v>
      </c>
      <c r="K938" s="17">
        <f>Github!O$937</f>
        <v>53.4959203</v>
      </c>
      <c r="L938" s="17">
        <f>Github!P$937</f>
        <v>23734</v>
      </c>
    </row>
    <row r="939">
      <c r="A939" s="17">
        <f>Github!J$938</f>
        <v>937</v>
      </c>
      <c r="B939" s="34" t="str">
        <f>HYPERLINK(CONCAT("http://leetcode.com/problems/",Github!C$938), Github!B$938)</f>
        <v>Reorder Data in Log Files</v>
      </c>
      <c r="C939" s="17">
        <f>Github!F$938</f>
        <v>1599</v>
      </c>
      <c r="D939" s="17">
        <f>Github!G$938</f>
        <v>3747</v>
      </c>
      <c r="E939" s="17">
        <f>Github!F$938+Github!G$938</f>
        <v>5346</v>
      </c>
      <c r="F939" s="18">
        <f t="shared" si="1"/>
        <v>0.43</v>
      </c>
      <c r="G939" s="17" t="str">
        <f>Github!H$938</f>
        <v>Algorithms</v>
      </c>
      <c r="H939" s="17" t="b">
        <f>Github!D$938</f>
        <v>0</v>
      </c>
      <c r="I939" s="17" t="str">
        <f>Github!E$938</f>
        <v>Easy</v>
      </c>
      <c r="J939" s="17" t="str">
        <f>ROUND(Github!N$938, 2)&amp;"%"</f>
        <v>0%</v>
      </c>
      <c r="K939" s="17">
        <f>Github!O$938</f>
        <v>55.91345641</v>
      </c>
      <c r="L939" s="17">
        <f>Github!P$938</f>
        <v>283285</v>
      </c>
    </row>
    <row r="940">
      <c r="A940" s="17">
        <f>Github!J$939</f>
        <v>938</v>
      </c>
      <c r="B940" s="34" t="str">
        <f>HYPERLINK(CONCAT("http://leetcode.com/problems/",Github!C$939), Github!B$939)</f>
        <v>Range Sum of BST</v>
      </c>
      <c r="C940" s="17">
        <f>Github!F$939</f>
        <v>3878</v>
      </c>
      <c r="D940" s="17">
        <f>Github!G$939</f>
        <v>326</v>
      </c>
      <c r="E940" s="17">
        <f>Github!F$939+Github!G$939</f>
        <v>4204</v>
      </c>
      <c r="F940" s="18">
        <f t="shared" si="1"/>
        <v>11.9</v>
      </c>
      <c r="G940" s="17" t="str">
        <f>Github!H$939</f>
        <v>Algorithms</v>
      </c>
      <c r="H940" s="17" t="b">
        <f>Github!D$939</f>
        <v>0</v>
      </c>
      <c r="I940" s="17" t="str">
        <f>Github!E$939</f>
        <v>Easy</v>
      </c>
      <c r="J940" s="17" t="str">
        <f>ROUND(Github!N$939, 2)&amp;"%"</f>
        <v>1%</v>
      </c>
      <c r="K940" s="17">
        <f>Github!O$939</f>
        <v>84.9297688</v>
      </c>
      <c r="L940" s="17">
        <f>Github!P$939</f>
        <v>577669</v>
      </c>
    </row>
    <row r="941">
      <c r="A941" s="17">
        <f>Github!J$940</f>
        <v>939</v>
      </c>
      <c r="B941" s="34" t="str">
        <f>HYPERLINK(CONCAT("http://leetcode.com/problems/",Github!C$940), Github!B$940)</f>
        <v>Minimum Area Rectangle</v>
      </c>
      <c r="C941" s="17">
        <f>Github!F$940</f>
        <v>1373</v>
      </c>
      <c r="D941" s="17">
        <f>Github!G$940</f>
        <v>217</v>
      </c>
      <c r="E941" s="17">
        <f>Github!F$940+Github!G$940</f>
        <v>1590</v>
      </c>
      <c r="F941" s="18">
        <f t="shared" si="1"/>
        <v>6.33</v>
      </c>
      <c r="G941" s="17" t="str">
        <f>Github!H$940</f>
        <v>Algorithms</v>
      </c>
      <c r="H941" s="17" t="b">
        <f>Github!D$940</f>
        <v>0</v>
      </c>
      <c r="I941" s="17" t="str">
        <f>Github!E$940</f>
        <v>Medium</v>
      </c>
      <c r="J941" s="17" t="str">
        <f>ROUND(Github!N$940, 2)&amp;"%"</f>
        <v>0%</v>
      </c>
      <c r="K941" s="17">
        <f>Github!O$940</f>
        <v>53.42989706</v>
      </c>
      <c r="L941" s="17">
        <f>Github!P$940</f>
        <v>96383</v>
      </c>
    </row>
    <row r="942">
      <c r="A942" s="17">
        <f>Github!J$941</f>
        <v>940</v>
      </c>
      <c r="B942" s="34" t="str">
        <f>HYPERLINK(CONCAT("http://leetcode.com/problems/",Github!C$941), Github!B$941)</f>
        <v>Distinct Subsequences II</v>
      </c>
      <c r="C942" s="17">
        <f>Github!F$941</f>
        <v>1031</v>
      </c>
      <c r="D942" s="17">
        <f>Github!G$941</f>
        <v>27</v>
      </c>
      <c r="E942" s="17">
        <f>Github!F$941+Github!G$941</f>
        <v>1058</v>
      </c>
      <c r="F942" s="18">
        <f t="shared" si="1"/>
        <v>38.19</v>
      </c>
      <c r="G942" s="17" t="str">
        <f>Github!H$941</f>
        <v>Algorithms</v>
      </c>
      <c r="H942" s="17" t="b">
        <f>Github!D$941</f>
        <v>0</v>
      </c>
      <c r="I942" s="17" t="str">
        <f>Github!E$941</f>
        <v>Hard</v>
      </c>
      <c r="J942" s="17" t="str">
        <f>ROUND(Github!N$941, 2)&amp;"%"</f>
        <v>0%</v>
      </c>
      <c r="K942" s="17">
        <f>Github!O$941</f>
        <v>44.1955332</v>
      </c>
      <c r="L942" s="17">
        <f>Github!P$941</f>
        <v>26002</v>
      </c>
    </row>
    <row r="943">
      <c r="A943" s="17">
        <f>Github!J$942</f>
        <v>941</v>
      </c>
      <c r="B943" s="34" t="str">
        <f>HYPERLINK(CONCAT("http://leetcode.com/problems/",Github!C$942), Github!B$942)</f>
        <v>Valid Mountain Array</v>
      </c>
      <c r="C943" s="17">
        <f>Github!F$942</f>
        <v>2054</v>
      </c>
      <c r="D943" s="17">
        <f>Github!G$942</f>
        <v>142</v>
      </c>
      <c r="E943" s="17">
        <f>Github!F$942+Github!G$942</f>
        <v>2196</v>
      </c>
      <c r="F943" s="18">
        <f t="shared" si="1"/>
        <v>14.46</v>
      </c>
      <c r="G943" s="17" t="str">
        <f>Github!H$942</f>
        <v>Algorithms</v>
      </c>
      <c r="H943" s="17" t="b">
        <f>Github!D$942</f>
        <v>0</v>
      </c>
      <c r="I943" s="17" t="str">
        <f>Github!E$942</f>
        <v>Easy</v>
      </c>
      <c r="J943" s="17" t="str">
        <f>ROUND(Github!N$942, 2)&amp;"%"</f>
        <v>0%</v>
      </c>
      <c r="K943" s="17">
        <f>Github!O$942</f>
        <v>33.83671086</v>
      </c>
      <c r="L943" s="17">
        <f>Github!P$942</f>
        <v>279267</v>
      </c>
    </row>
    <row r="944">
      <c r="A944" s="17">
        <f>Github!J$943</f>
        <v>942</v>
      </c>
      <c r="B944" s="34" t="str">
        <f>HYPERLINK(CONCAT("http://leetcode.com/problems/",Github!C$943), Github!B$943)</f>
        <v>DI String Match</v>
      </c>
      <c r="C944" s="17">
        <f>Github!F$943</f>
        <v>1604</v>
      </c>
      <c r="D944" s="17">
        <f>Github!G$943</f>
        <v>632</v>
      </c>
      <c r="E944" s="17">
        <f>Github!F$943+Github!G$943</f>
        <v>2236</v>
      </c>
      <c r="F944" s="18">
        <f t="shared" si="1"/>
        <v>2.54</v>
      </c>
      <c r="G944" s="17" t="str">
        <f>Github!H$943</f>
        <v>Algorithms</v>
      </c>
      <c r="H944" s="17" t="b">
        <f>Github!D$943</f>
        <v>0</v>
      </c>
      <c r="I944" s="17" t="str">
        <f>Github!E$943</f>
        <v>Easy</v>
      </c>
      <c r="J944" s="17" t="str">
        <f>ROUND(Github!N$943, 2)&amp;"%"</f>
        <v>0%</v>
      </c>
      <c r="K944" s="17">
        <f>Github!O$943</f>
        <v>75.62494944</v>
      </c>
      <c r="L944" s="17">
        <f>Github!P$943</f>
        <v>102825</v>
      </c>
    </row>
    <row r="945">
      <c r="A945" s="17">
        <f>Github!J$944</f>
        <v>943</v>
      </c>
      <c r="B945" s="34" t="str">
        <f>HYPERLINK(CONCAT("http://leetcode.com/problems/",Github!C$944), Github!B$944)</f>
        <v>Find the Shortest Superstring</v>
      </c>
      <c r="C945" s="17">
        <f>Github!F$944</f>
        <v>980</v>
      </c>
      <c r="D945" s="17">
        <f>Github!G$944</f>
        <v>125</v>
      </c>
      <c r="E945" s="17">
        <f>Github!F$944+Github!G$944</f>
        <v>1105</v>
      </c>
      <c r="F945" s="18">
        <f t="shared" si="1"/>
        <v>7.84</v>
      </c>
      <c r="G945" s="17" t="str">
        <f>Github!H$944</f>
        <v>Algorithms</v>
      </c>
      <c r="H945" s="17" t="b">
        <f>Github!D$944</f>
        <v>0</v>
      </c>
      <c r="I945" s="17" t="str">
        <f>Github!E$944</f>
        <v>Hard</v>
      </c>
      <c r="J945" s="17" t="str">
        <f>ROUND(Github!N$944, 2)&amp;"%"</f>
        <v>0%</v>
      </c>
      <c r="K945" s="17">
        <f>Github!O$944</f>
        <v>45.38072862</v>
      </c>
      <c r="L945" s="17">
        <f>Github!P$944</f>
        <v>23082</v>
      </c>
    </row>
    <row r="946">
      <c r="A946" s="17">
        <f>Github!J$945</f>
        <v>944</v>
      </c>
      <c r="B946" s="34" t="str">
        <f>HYPERLINK(CONCAT("http://leetcode.com/problems/",Github!C$945), Github!B$945)</f>
        <v>Delete Columns to Make Sorted</v>
      </c>
      <c r="C946" s="17">
        <f>Github!F$945</f>
        <v>338</v>
      </c>
      <c r="D946" s="17">
        <f>Github!G$945</f>
        <v>1991</v>
      </c>
      <c r="E946" s="17">
        <f>Github!F$945+Github!G$945</f>
        <v>2329</v>
      </c>
      <c r="F946" s="18">
        <f t="shared" si="1"/>
        <v>0.17</v>
      </c>
      <c r="G946" s="17" t="str">
        <f>Github!H$945</f>
        <v>Algorithms</v>
      </c>
      <c r="H946" s="17" t="b">
        <f>Github!D$945</f>
        <v>0</v>
      </c>
      <c r="I946" s="17" t="str">
        <f>Github!E$945</f>
        <v>Easy</v>
      </c>
      <c r="J946" s="17" t="str">
        <f>ROUND(Github!N$945, 2)&amp;"%"</f>
        <v>0%</v>
      </c>
      <c r="K946" s="17">
        <f>Github!O$945</f>
        <v>70.04764999</v>
      </c>
      <c r="L946" s="17">
        <f>Github!P$945</f>
        <v>64682</v>
      </c>
    </row>
    <row r="947">
      <c r="A947" s="17">
        <f>Github!J$946</f>
        <v>945</v>
      </c>
      <c r="B947" s="34" t="str">
        <f>HYPERLINK(CONCAT("http://leetcode.com/problems/",Github!C$946), Github!B$946)</f>
        <v>Minimum Increment to Make Array Unique</v>
      </c>
      <c r="C947" s="17">
        <f>Github!F$946</f>
        <v>974</v>
      </c>
      <c r="D947" s="17">
        <f>Github!G$946</f>
        <v>42</v>
      </c>
      <c r="E947" s="17">
        <f>Github!F$946+Github!G$946</f>
        <v>1016</v>
      </c>
      <c r="F947" s="18">
        <f t="shared" si="1"/>
        <v>23.19</v>
      </c>
      <c r="G947" s="17" t="str">
        <f>Github!H$946</f>
        <v>Algorithms</v>
      </c>
      <c r="H947" s="17" t="b">
        <f>Github!D$946</f>
        <v>0</v>
      </c>
      <c r="I947" s="17" t="str">
        <f>Github!E$946</f>
        <v>Medium</v>
      </c>
      <c r="J947" s="17" t="str">
        <f>ROUND(Github!N$946, 2)&amp;"%"</f>
        <v>0%</v>
      </c>
      <c r="K947" s="17">
        <f>Github!O$946</f>
        <v>48.83192359</v>
      </c>
      <c r="L947" s="17">
        <f>Github!P$946</f>
        <v>50918</v>
      </c>
    </row>
    <row r="948">
      <c r="A948" s="17">
        <f>Github!J$947</f>
        <v>946</v>
      </c>
      <c r="B948" s="34" t="str">
        <f>HYPERLINK(CONCAT("http://leetcode.com/problems/",Github!C$947), Github!B$947)</f>
        <v>Validate Stack Sequences</v>
      </c>
      <c r="C948" s="17">
        <f>Github!F$947</f>
        <v>2391</v>
      </c>
      <c r="D948" s="17">
        <f>Github!G$947</f>
        <v>43</v>
      </c>
      <c r="E948" s="17">
        <f>Github!F$947+Github!G$947</f>
        <v>2434</v>
      </c>
      <c r="F948" s="18">
        <f t="shared" si="1"/>
        <v>55.6</v>
      </c>
      <c r="G948" s="17" t="str">
        <f>Github!H$947</f>
        <v>Algorithms</v>
      </c>
      <c r="H948" s="17" t="b">
        <f>Github!D$947</f>
        <v>0</v>
      </c>
      <c r="I948" s="17" t="str">
        <f>Github!E$947</f>
        <v>Medium</v>
      </c>
      <c r="J948" s="17" t="str">
        <f>ROUND(Github!N$947, 2)&amp;"%"</f>
        <v>0%</v>
      </c>
      <c r="K948" s="17">
        <f>Github!O$947</f>
        <v>65.34161553</v>
      </c>
      <c r="L948" s="17">
        <f>Github!P$947</f>
        <v>130326</v>
      </c>
    </row>
    <row r="949">
      <c r="A949" s="17">
        <f>Github!J$948</f>
        <v>947</v>
      </c>
      <c r="B949" s="34" t="str">
        <f>HYPERLINK(CONCAT("http://leetcode.com/problems/",Github!C$948), Github!B$948)</f>
        <v>Most Stones Removed with Same Row or Column</v>
      </c>
      <c r="C949" s="17">
        <f>Github!F$948</f>
        <v>2288</v>
      </c>
      <c r="D949" s="17">
        <f>Github!G$948</f>
        <v>501</v>
      </c>
      <c r="E949" s="17">
        <f>Github!F$948+Github!G$948</f>
        <v>2789</v>
      </c>
      <c r="F949" s="18">
        <f t="shared" si="1"/>
        <v>4.57</v>
      </c>
      <c r="G949" s="17" t="str">
        <f>Github!H$948</f>
        <v>Algorithms</v>
      </c>
      <c r="H949" s="17" t="b">
        <f>Github!D$948</f>
        <v>0</v>
      </c>
      <c r="I949" s="17" t="str">
        <f>Github!E$948</f>
        <v>Medium</v>
      </c>
      <c r="J949" s="17" t="str">
        <f>ROUND(Github!N$948, 2)&amp;"%"</f>
        <v>0%</v>
      </c>
      <c r="K949" s="17">
        <f>Github!O$948</f>
        <v>56.24707588</v>
      </c>
      <c r="L949" s="17">
        <f>Github!P$948</f>
        <v>97380</v>
      </c>
    </row>
    <row r="950">
      <c r="A950" s="17">
        <f>Github!J$949</f>
        <v>948</v>
      </c>
      <c r="B950" s="34" t="str">
        <f>HYPERLINK(CONCAT("http://leetcode.com/problems/",Github!C$949), Github!B$949)</f>
        <v>Bag of Tokens</v>
      </c>
      <c r="C950" s="17">
        <f>Github!F$949</f>
        <v>646</v>
      </c>
      <c r="D950" s="17">
        <f>Github!G$949</f>
        <v>292</v>
      </c>
      <c r="E950" s="17">
        <f>Github!F$949+Github!G$949</f>
        <v>938</v>
      </c>
      <c r="F950" s="18">
        <f t="shared" si="1"/>
        <v>2.21</v>
      </c>
      <c r="G950" s="17" t="str">
        <f>Github!H$949</f>
        <v>Algorithms</v>
      </c>
      <c r="H950" s="17" t="b">
        <f>Github!D$949</f>
        <v>0</v>
      </c>
      <c r="I950" s="17" t="str">
        <f>Github!E$949</f>
        <v>Medium</v>
      </c>
      <c r="J950" s="17" t="str">
        <f>ROUND(Github!N$949, 2)&amp;"%"</f>
        <v>0%</v>
      </c>
      <c r="K950" s="17">
        <f>Github!O$949</f>
        <v>46.16199557</v>
      </c>
      <c r="L950" s="17">
        <f>Github!P$949</f>
        <v>38344</v>
      </c>
    </row>
    <row r="951">
      <c r="A951" s="17">
        <f>Github!J$950</f>
        <v>949</v>
      </c>
      <c r="B951" s="34" t="str">
        <f>HYPERLINK(CONCAT("http://leetcode.com/problems/",Github!C$950), Github!B$950)</f>
        <v>Largest Time for Given Digits</v>
      </c>
      <c r="C951" s="17">
        <f>Github!F$950</f>
        <v>533</v>
      </c>
      <c r="D951" s="17">
        <f>Github!G$950</f>
        <v>892</v>
      </c>
      <c r="E951" s="17">
        <f>Github!F$950+Github!G$950</f>
        <v>1425</v>
      </c>
      <c r="F951" s="18">
        <f t="shared" si="1"/>
        <v>0.6</v>
      </c>
      <c r="G951" s="17" t="str">
        <f>Github!H$950</f>
        <v>Algorithms</v>
      </c>
      <c r="H951" s="17" t="b">
        <f>Github!D$950</f>
        <v>0</v>
      </c>
      <c r="I951" s="17" t="str">
        <f>Github!E$950</f>
        <v>Medium</v>
      </c>
      <c r="J951" s="17" t="str">
        <f>ROUND(Github!N$950, 2)&amp;"%"</f>
        <v>0%</v>
      </c>
      <c r="K951" s="17">
        <f>Github!O$950</f>
        <v>35.49922944</v>
      </c>
      <c r="L951" s="17">
        <f>Github!P$950</f>
        <v>69565</v>
      </c>
    </row>
    <row r="952">
      <c r="A952" s="17">
        <f>Github!J$951</f>
        <v>950</v>
      </c>
      <c r="B952" s="34" t="str">
        <f>HYPERLINK(CONCAT("http://leetcode.com/problems/",Github!C$951), Github!B$951)</f>
        <v>Reveal Cards In Increasing Order</v>
      </c>
      <c r="C952" s="17">
        <f>Github!F$951</f>
        <v>1762</v>
      </c>
      <c r="D952" s="17">
        <f>Github!G$951</f>
        <v>271</v>
      </c>
      <c r="E952" s="17">
        <f>Github!F$951+Github!G$951</f>
        <v>2033</v>
      </c>
      <c r="F952" s="18">
        <f t="shared" si="1"/>
        <v>6.5</v>
      </c>
      <c r="G952" s="17" t="str">
        <f>Github!H$951</f>
        <v>Algorithms</v>
      </c>
      <c r="H952" s="17" t="b">
        <f>Github!D$951</f>
        <v>0</v>
      </c>
      <c r="I952" s="17" t="str">
        <f>Github!E$951</f>
        <v>Medium</v>
      </c>
      <c r="J952" s="17" t="str">
        <f>ROUND(Github!N$951, 2)&amp;"%"</f>
        <v>0%</v>
      </c>
      <c r="K952" s="17">
        <f>Github!O$951</f>
        <v>76.92541562</v>
      </c>
      <c r="L952" s="17">
        <f>Github!P$951</f>
        <v>55664</v>
      </c>
    </row>
    <row r="953">
      <c r="A953" s="17">
        <f>Github!J$952</f>
        <v>951</v>
      </c>
      <c r="B953" s="34" t="str">
        <f>HYPERLINK(CONCAT("http://leetcode.com/problems/",Github!C$952), Github!B$952)</f>
        <v>Flip Equivalent Binary Trees</v>
      </c>
      <c r="C953" s="17">
        <f>Github!F$952</f>
        <v>1541</v>
      </c>
      <c r="D953" s="17">
        <f>Github!G$952</f>
        <v>69</v>
      </c>
      <c r="E953" s="17">
        <f>Github!F$952+Github!G$952</f>
        <v>1610</v>
      </c>
      <c r="F953" s="18">
        <f t="shared" si="1"/>
        <v>22.33</v>
      </c>
      <c r="G953" s="17" t="str">
        <f>Github!H$952</f>
        <v>Algorithms</v>
      </c>
      <c r="H953" s="17" t="b">
        <f>Github!D$952</f>
        <v>0</v>
      </c>
      <c r="I953" s="17" t="str">
        <f>Github!E$952</f>
        <v>Medium</v>
      </c>
      <c r="J953" s="17" t="str">
        <f>ROUND(Github!N$952, 2)&amp;"%"</f>
        <v>0%</v>
      </c>
      <c r="K953" s="17">
        <f>Github!O$952</f>
        <v>66.6133448</v>
      </c>
      <c r="L953" s="17">
        <f>Github!P$952</f>
        <v>105354</v>
      </c>
    </row>
    <row r="954">
      <c r="A954" s="17">
        <f>Github!J$953</f>
        <v>952</v>
      </c>
      <c r="B954" s="34" t="str">
        <f>HYPERLINK(CONCAT("http://leetcode.com/problems/",Github!C$953), Github!B$953)</f>
        <v>Largest Component Size by Common Factor</v>
      </c>
      <c r="C954" s="17">
        <f>Github!F$953</f>
        <v>1218</v>
      </c>
      <c r="D954" s="17">
        <f>Github!G$953</f>
        <v>85</v>
      </c>
      <c r="E954" s="17">
        <f>Github!F$953+Github!G$953</f>
        <v>1303</v>
      </c>
      <c r="F954" s="18">
        <f t="shared" si="1"/>
        <v>14.33</v>
      </c>
      <c r="G954" s="17" t="str">
        <f>Github!H$953</f>
        <v>Algorithms</v>
      </c>
      <c r="H954" s="17" t="b">
        <f>Github!D$953</f>
        <v>0</v>
      </c>
      <c r="I954" s="17" t="str">
        <f>Github!E$953</f>
        <v>Hard</v>
      </c>
      <c r="J954" s="17" t="str">
        <f>ROUND(Github!N$953, 2)&amp;"%"</f>
        <v>0%</v>
      </c>
      <c r="K954" s="17">
        <f>Github!O$953</f>
        <v>40.41168585</v>
      </c>
      <c r="L954" s="17">
        <f>Github!P$953</f>
        <v>43407</v>
      </c>
    </row>
    <row r="955">
      <c r="A955" s="17">
        <f>Github!J$954</f>
        <v>953</v>
      </c>
      <c r="B955" s="34" t="str">
        <f>HYPERLINK(CONCAT("http://leetcode.com/problems/",Github!C$954), Github!B$954)</f>
        <v>Verifying an Alien Dictionary</v>
      </c>
      <c r="C955" s="17">
        <f>Github!F$954</f>
        <v>2621</v>
      </c>
      <c r="D955" s="17">
        <f>Github!G$954</f>
        <v>888</v>
      </c>
      <c r="E955" s="17">
        <f>Github!F$954+Github!G$954</f>
        <v>3509</v>
      </c>
      <c r="F955" s="18">
        <f t="shared" si="1"/>
        <v>2.95</v>
      </c>
      <c r="G955" s="17" t="str">
        <f>Github!H$954</f>
        <v>Algorithms</v>
      </c>
      <c r="H955" s="17" t="b">
        <f>Github!D$954</f>
        <v>0</v>
      </c>
      <c r="I955" s="17" t="str">
        <f>Github!E$954</f>
        <v>Easy</v>
      </c>
      <c r="J955" s="17" t="str">
        <f>ROUND(Github!N$954, 2)&amp;"%"</f>
        <v>0%</v>
      </c>
      <c r="K955" s="17">
        <f>Github!O$954</f>
        <v>52.42135285</v>
      </c>
      <c r="L955" s="17">
        <f>Github!P$954</f>
        <v>334506</v>
      </c>
    </row>
    <row r="956">
      <c r="A956" s="17">
        <f>Github!J$955</f>
        <v>954</v>
      </c>
      <c r="B956" s="34" t="str">
        <f>HYPERLINK(CONCAT("http://leetcode.com/problems/",Github!C$955), Github!B$955)</f>
        <v>Array of Doubled Pairs</v>
      </c>
      <c r="C956" s="17">
        <f>Github!F$955</f>
        <v>1039</v>
      </c>
      <c r="D956" s="17">
        <f>Github!G$955</f>
        <v>123</v>
      </c>
      <c r="E956" s="17">
        <f>Github!F$955+Github!G$955</f>
        <v>1162</v>
      </c>
      <c r="F956" s="18">
        <f t="shared" si="1"/>
        <v>8.45</v>
      </c>
      <c r="G956" s="17" t="str">
        <f>Github!H$955</f>
        <v>Algorithms</v>
      </c>
      <c r="H956" s="17" t="b">
        <f>Github!D$955</f>
        <v>0</v>
      </c>
      <c r="I956" s="17" t="str">
        <f>Github!E$955</f>
        <v>Medium</v>
      </c>
      <c r="J956" s="17" t="str">
        <f>ROUND(Github!N$955, 2)&amp;"%"</f>
        <v>0%</v>
      </c>
      <c r="K956" s="17">
        <f>Github!O$955</f>
        <v>38.49708308</v>
      </c>
      <c r="L956" s="17">
        <f>Github!P$955</f>
        <v>68233</v>
      </c>
    </row>
    <row r="957">
      <c r="A957" s="17">
        <f>Github!J$956</f>
        <v>955</v>
      </c>
      <c r="B957" s="34" t="str">
        <f>HYPERLINK(CONCAT("http://leetcode.com/problems/",Github!C$956), Github!B$956)</f>
        <v>Delete Columns to Make Sorted II</v>
      </c>
      <c r="C957" s="17">
        <f>Github!F$956</f>
        <v>434</v>
      </c>
      <c r="D957" s="17">
        <f>Github!G$956</f>
        <v>69</v>
      </c>
      <c r="E957" s="17">
        <f>Github!F$956+Github!G$956</f>
        <v>503</v>
      </c>
      <c r="F957" s="18">
        <f t="shared" si="1"/>
        <v>6.29</v>
      </c>
      <c r="G957" s="17" t="str">
        <f>Github!H$956</f>
        <v>Algorithms</v>
      </c>
      <c r="H957" s="17" t="b">
        <f>Github!D$956</f>
        <v>0</v>
      </c>
      <c r="I957" s="17" t="str">
        <f>Github!E$956</f>
        <v>Medium</v>
      </c>
      <c r="J957" s="17" t="str">
        <f>ROUND(Github!N$956, 2)&amp;"%"</f>
        <v>0%</v>
      </c>
      <c r="K957" s="17">
        <f>Github!O$956</f>
        <v>34.13465925</v>
      </c>
      <c r="L957" s="17">
        <f>Github!P$956</f>
        <v>14966</v>
      </c>
    </row>
    <row r="958">
      <c r="A958" s="17">
        <f>Github!J$957</f>
        <v>956</v>
      </c>
      <c r="B958" s="34" t="str">
        <f>HYPERLINK(CONCAT("http://leetcode.com/problems/",Github!C$957), Github!B$957)</f>
        <v>Tallest Billboard</v>
      </c>
      <c r="C958" s="17">
        <f>Github!F$957</f>
        <v>628</v>
      </c>
      <c r="D958" s="17">
        <f>Github!G$957</f>
        <v>22</v>
      </c>
      <c r="E958" s="17">
        <f>Github!F$957+Github!G$957</f>
        <v>650</v>
      </c>
      <c r="F958" s="18">
        <f t="shared" si="1"/>
        <v>28.55</v>
      </c>
      <c r="G958" s="17" t="str">
        <f>Github!H$957</f>
        <v>Algorithms</v>
      </c>
      <c r="H958" s="17" t="b">
        <f>Github!D$957</f>
        <v>0</v>
      </c>
      <c r="I958" s="17" t="str">
        <f>Github!E$957</f>
        <v>Hard</v>
      </c>
      <c r="J958" s="17" t="str">
        <f>ROUND(Github!N$957, 2)&amp;"%"</f>
        <v>0%</v>
      </c>
      <c r="K958" s="17">
        <f>Github!O$957</f>
        <v>39.90559762</v>
      </c>
      <c r="L958" s="17">
        <f>Github!P$957</f>
        <v>12597</v>
      </c>
    </row>
    <row r="959">
      <c r="A959" s="17">
        <f>Github!J$958</f>
        <v>957</v>
      </c>
      <c r="B959" s="34" t="str">
        <f>HYPERLINK(CONCAT("http://leetcode.com/problems/",Github!C$958), Github!B$958)</f>
        <v>Prison Cells After N Days</v>
      </c>
      <c r="C959" s="17">
        <f>Github!F$958</f>
        <v>1206</v>
      </c>
      <c r="D959" s="17">
        <f>Github!G$958</f>
        <v>1500</v>
      </c>
      <c r="E959" s="17">
        <f>Github!F$958+Github!G$958</f>
        <v>2706</v>
      </c>
      <c r="F959" s="18">
        <f t="shared" si="1"/>
        <v>0.8</v>
      </c>
      <c r="G959" s="17" t="str">
        <f>Github!H$958</f>
        <v>Algorithms</v>
      </c>
      <c r="H959" s="17" t="b">
        <f>Github!D$958</f>
        <v>0</v>
      </c>
      <c r="I959" s="17" t="str">
        <f>Github!E$958</f>
        <v>Medium</v>
      </c>
      <c r="J959" s="17" t="str">
        <f>ROUND(Github!N$958, 2)&amp;"%"</f>
        <v>0%</v>
      </c>
      <c r="K959" s="17">
        <f>Github!O$958</f>
        <v>39.50808124</v>
      </c>
      <c r="L959" s="17">
        <f>Github!P$958</f>
        <v>138525</v>
      </c>
    </row>
    <row r="960">
      <c r="A960" s="17">
        <f>Github!J$959</f>
        <v>958</v>
      </c>
      <c r="B960" s="34" t="str">
        <f>HYPERLINK(CONCAT("http://leetcode.com/problems/",Github!C$959), Github!B$959)</f>
        <v>Check Completeness of a Binary Tree</v>
      </c>
      <c r="C960" s="17">
        <f>Github!F$959</f>
        <v>1828</v>
      </c>
      <c r="D960" s="17">
        <f>Github!G$959</f>
        <v>27</v>
      </c>
      <c r="E960" s="17">
        <f>Github!F$959+Github!G$959</f>
        <v>1855</v>
      </c>
      <c r="F960" s="18">
        <f t="shared" si="1"/>
        <v>67.7</v>
      </c>
      <c r="G960" s="17" t="str">
        <f>Github!H$959</f>
        <v>Algorithms</v>
      </c>
      <c r="H960" s="17" t="b">
        <f>Github!D$959</f>
        <v>0</v>
      </c>
      <c r="I960" s="17" t="str">
        <f>Github!E$959</f>
        <v>Medium</v>
      </c>
      <c r="J960" s="17" t="str">
        <f>ROUND(Github!N$959, 2)&amp;"%"</f>
        <v>0%</v>
      </c>
      <c r="K960" s="17">
        <f>Github!O$959</f>
        <v>53.51302212</v>
      </c>
      <c r="L960" s="17">
        <f>Github!P$959</f>
        <v>110665</v>
      </c>
    </row>
    <row r="961">
      <c r="A961" s="17">
        <f>Github!J$960</f>
        <v>959</v>
      </c>
      <c r="B961" s="34" t="str">
        <f>HYPERLINK(CONCAT("http://leetcode.com/problems/",Github!C$960), Github!B$960)</f>
        <v>Regions Cut By Slashes</v>
      </c>
      <c r="C961" s="17">
        <f>Github!F$960</f>
        <v>1965</v>
      </c>
      <c r="D961" s="17">
        <f>Github!G$960</f>
        <v>389</v>
      </c>
      <c r="E961" s="17">
        <f>Github!F$960+Github!G$960</f>
        <v>2354</v>
      </c>
      <c r="F961" s="18">
        <f t="shared" si="1"/>
        <v>5.05</v>
      </c>
      <c r="G961" s="17" t="str">
        <f>Github!H$960</f>
        <v>Algorithms</v>
      </c>
      <c r="H961" s="17" t="b">
        <f>Github!D$960</f>
        <v>0</v>
      </c>
      <c r="I961" s="17" t="str">
        <f>Github!E$960</f>
        <v>Medium</v>
      </c>
      <c r="J961" s="17" t="str">
        <f>ROUND(Github!N$960, 2)&amp;"%"</f>
        <v>0%</v>
      </c>
      <c r="K961" s="17">
        <f>Github!O$960</f>
        <v>68.44074038</v>
      </c>
      <c r="L961" s="17">
        <f>Github!P$960</f>
        <v>35312</v>
      </c>
    </row>
    <row r="962">
      <c r="A962" s="17">
        <f>Github!J$961</f>
        <v>960</v>
      </c>
      <c r="B962" s="34" t="str">
        <f>HYPERLINK(CONCAT("http://leetcode.com/problems/",Github!C$961), Github!B$961)</f>
        <v>Delete Columns to Make Sorted III</v>
      </c>
      <c r="C962" s="17">
        <f>Github!F$961</f>
        <v>413</v>
      </c>
      <c r="D962" s="17">
        <f>Github!G$961</f>
        <v>11</v>
      </c>
      <c r="E962" s="17">
        <f>Github!F$961+Github!G$961</f>
        <v>424</v>
      </c>
      <c r="F962" s="18">
        <f t="shared" si="1"/>
        <v>37.55</v>
      </c>
      <c r="G962" s="17" t="str">
        <f>Github!H$961</f>
        <v>Algorithms</v>
      </c>
      <c r="H962" s="17" t="b">
        <f>Github!D$961</f>
        <v>0</v>
      </c>
      <c r="I962" s="17" t="str">
        <f>Github!E$961</f>
        <v>Hard</v>
      </c>
      <c r="J962" s="17" t="str">
        <f>ROUND(Github!N$961, 2)&amp;"%"</f>
        <v>0%</v>
      </c>
      <c r="K962" s="17">
        <f>Github!O$961</f>
        <v>56.44778481</v>
      </c>
      <c r="L962" s="17">
        <f>Github!P$961</f>
        <v>9989</v>
      </c>
    </row>
    <row r="963">
      <c r="A963" s="17">
        <f>Github!J$962</f>
        <v>961</v>
      </c>
      <c r="B963" s="34" t="str">
        <f>HYPERLINK(CONCAT("http://leetcode.com/problems/",Github!C$962), Github!B$962)</f>
        <v>N-Repeated Element in Size 2N Array</v>
      </c>
      <c r="C963" s="17">
        <f>Github!F$962</f>
        <v>857</v>
      </c>
      <c r="D963" s="17">
        <f>Github!G$962</f>
        <v>291</v>
      </c>
      <c r="E963" s="17">
        <f>Github!F$962+Github!G$962</f>
        <v>1148</v>
      </c>
      <c r="F963" s="18">
        <f t="shared" si="1"/>
        <v>2.95</v>
      </c>
      <c r="G963" s="17" t="str">
        <f>Github!H$962</f>
        <v>Algorithms</v>
      </c>
      <c r="H963" s="17" t="b">
        <f>Github!D$962</f>
        <v>0</v>
      </c>
      <c r="I963" s="17" t="str">
        <f>Github!E$962</f>
        <v>Easy</v>
      </c>
      <c r="J963" s="17" t="str">
        <f>ROUND(Github!N$962, 2)&amp;"%"</f>
        <v>0%</v>
      </c>
      <c r="K963" s="17">
        <f>Github!O$962</f>
        <v>75.35858017</v>
      </c>
      <c r="L963" s="17">
        <f>Github!P$962</f>
        <v>172644</v>
      </c>
    </row>
    <row r="964">
      <c r="A964" s="17">
        <f>Github!J$963</f>
        <v>962</v>
      </c>
      <c r="B964" s="34" t="str">
        <f>HYPERLINK(CONCAT("http://leetcode.com/problems/",Github!C$963), Github!B$963)</f>
        <v>Maximum Width Ramp</v>
      </c>
      <c r="C964" s="17">
        <f>Github!F$963</f>
        <v>1084</v>
      </c>
      <c r="D964" s="17">
        <f>Github!G$963</f>
        <v>32</v>
      </c>
      <c r="E964" s="17">
        <f>Github!F$963+Github!G$963</f>
        <v>1116</v>
      </c>
      <c r="F964" s="18">
        <f t="shared" si="1"/>
        <v>33.88</v>
      </c>
      <c r="G964" s="17" t="str">
        <f>Github!H$963</f>
        <v>Algorithms</v>
      </c>
      <c r="H964" s="17" t="b">
        <f>Github!D$963</f>
        <v>0</v>
      </c>
      <c r="I964" s="17" t="str">
        <f>Github!E$963</f>
        <v>Medium</v>
      </c>
      <c r="J964" s="17" t="str">
        <f>ROUND(Github!N$963, 2)&amp;"%"</f>
        <v>0%</v>
      </c>
      <c r="K964" s="17">
        <f>Github!O$963</f>
        <v>47.9847715</v>
      </c>
      <c r="L964" s="17">
        <f>Github!P$963</f>
        <v>32014</v>
      </c>
    </row>
    <row r="965">
      <c r="A965" s="17">
        <f>Github!J$964</f>
        <v>963</v>
      </c>
      <c r="B965" s="34" t="str">
        <f>HYPERLINK(CONCAT("http://leetcode.com/problems/",Github!C$964), Github!B$964)</f>
        <v>Minimum Area Rectangle II</v>
      </c>
      <c r="C965" s="17">
        <f>Github!F$964</f>
        <v>290</v>
      </c>
      <c r="D965" s="17">
        <f>Github!G$964</f>
        <v>388</v>
      </c>
      <c r="E965" s="17">
        <f>Github!F$964+Github!G$964</f>
        <v>678</v>
      </c>
      <c r="F965" s="18">
        <f t="shared" si="1"/>
        <v>0.75</v>
      </c>
      <c r="G965" s="17" t="str">
        <f>Github!H$964</f>
        <v>Algorithms</v>
      </c>
      <c r="H965" s="17" t="b">
        <f>Github!D$964</f>
        <v>0</v>
      </c>
      <c r="I965" s="17" t="str">
        <f>Github!E$964</f>
        <v>Medium</v>
      </c>
      <c r="J965" s="17" t="str">
        <f>ROUND(Github!N$964, 2)&amp;"%"</f>
        <v>0%</v>
      </c>
      <c r="K965" s="17">
        <f>Github!O$964</f>
        <v>54.4561232</v>
      </c>
      <c r="L965" s="17">
        <f>Github!P$964</f>
        <v>22278</v>
      </c>
    </row>
    <row r="966">
      <c r="A966" s="17">
        <f>Github!J$965</f>
        <v>964</v>
      </c>
      <c r="B966" s="34" t="str">
        <f>HYPERLINK(CONCAT("http://leetcode.com/problems/",Github!C$965), Github!B$965)</f>
        <v>Least Operators to Express Number</v>
      </c>
      <c r="C966" s="17">
        <f>Github!F$965</f>
        <v>252</v>
      </c>
      <c r="D966" s="17">
        <f>Github!G$965</f>
        <v>64</v>
      </c>
      <c r="E966" s="17">
        <f>Github!F$965+Github!G$965</f>
        <v>316</v>
      </c>
      <c r="F966" s="18">
        <f t="shared" si="1"/>
        <v>3.94</v>
      </c>
      <c r="G966" s="17" t="str">
        <f>Github!H$965</f>
        <v>Algorithms</v>
      </c>
      <c r="H966" s="17" t="b">
        <f>Github!D$965</f>
        <v>0</v>
      </c>
      <c r="I966" s="17" t="str">
        <f>Github!E$965</f>
        <v>Hard</v>
      </c>
      <c r="J966" s="17" t="str">
        <f>ROUND(Github!N$965, 2)&amp;"%"</f>
        <v>0%</v>
      </c>
      <c r="K966" s="17">
        <f>Github!O$965</f>
        <v>47.00181708</v>
      </c>
      <c r="L966" s="17">
        <f>Github!P$965</f>
        <v>7760</v>
      </c>
    </row>
    <row r="967">
      <c r="A967" s="17">
        <f>Github!J$966</f>
        <v>965</v>
      </c>
      <c r="B967" s="34" t="str">
        <f>HYPERLINK(CONCAT("http://leetcode.com/problems/",Github!C$966), Github!B$966)</f>
        <v>Univalued Binary Tree</v>
      </c>
      <c r="C967" s="17">
        <f>Github!F$966</f>
        <v>1217</v>
      </c>
      <c r="D967" s="17">
        <f>Github!G$966</f>
        <v>56</v>
      </c>
      <c r="E967" s="17">
        <f>Github!F$966+Github!G$966</f>
        <v>1273</v>
      </c>
      <c r="F967" s="18">
        <f t="shared" si="1"/>
        <v>21.73</v>
      </c>
      <c r="G967" s="17" t="str">
        <f>Github!H$966</f>
        <v>Algorithms</v>
      </c>
      <c r="H967" s="17" t="b">
        <f>Github!D$966</f>
        <v>0</v>
      </c>
      <c r="I967" s="17" t="str">
        <f>Github!E$966</f>
        <v>Easy</v>
      </c>
      <c r="J967" s="17" t="str">
        <f>ROUND(Github!N$966, 2)&amp;"%"</f>
        <v>0%</v>
      </c>
      <c r="K967" s="17">
        <f>Github!O$966</f>
        <v>68.83669376</v>
      </c>
      <c r="L967" s="17">
        <f>Github!P$966</f>
        <v>153392</v>
      </c>
    </row>
    <row r="968">
      <c r="A968" s="17">
        <f>Github!J$967</f>
        <v>966</v>
      </c>
      <c r="B968" s="34" t="str">
        <f>HYPERLINK(CONCAT("http://leetcode.com/problems/",Github!C$967), Github!B$967)</f>
        <v>Vowel Spellchecker</v>
      </c>
      <c r="C968" s="17">
        <f>Github!F$967</f>
        <v>338</v>
      </c>
      <c r="D968" s="17">
        <f>Github!G$967</f>
        <v>709</v>
      </c>
      <c r="E968" s="17">
        <f>Github!F$967+Github!G$967</f>
        <v>1047</v>
      </c>
      <c r="F968" s="18">
        <f t="shared" si="1"/>
        <v>0.48</v>
      </c>
      <c r="G968" s="17" t="str">
        <f>Github!H$967</f>
        <v>Algorithms</v>
      </c>
      <c r="H968" s="17" t="b">
        <f>Github!D$967</f>
        <v>0</v>
      </c>
      <c r="I968" s="17" t="str">
        <f>Github!E$967</f>
        <v>Medium</v>
      </c>
      <c r="J968" s="17" t="str">
        <f>ROUND(Github!N$967, 2)&amp;"%"</f>
        <v>0%</v>
      </c>
      <c r="K968" s="17">
        <f>Github!O$967</f>
        <v>51.58819188</v>
      </c>
      <c r="L968" s="17">
        <f>Github!P$967</f>
        <v>34951</v>
      </c>
    </row>
    <row r="969">
      <c r="A969" s="17">
        <f>Github!J$968</f>
        <v>967</v>
      </c>
      <c r="B969" s="34" t="str">
        <f>HYPERLINK(CONCAT("http://leetcode.com/problems/",Github!C$968), Github!B$968)</f>
        <v>Numbers With Same Consecutive Differences</v>
      </c>
      <c r="C969" s="17">
        <f>Github!F$968</f>
        <v>846</v>
      </c>
      <c r="D969" s="17">
        <f>Github!G$968</f>
        <v>130</v>
      </c>
      <c r="E969" s="17">
        <f>Github!F$968+Github!G$968</f>
        <v>976</v>
      </c>
      <c r="F969" s="18">
        <f t="shared" si="1"/>
        <v>6.51</v>
      </c>
      <c r="G969" s="17" t="str">
        <f>Github!H$968</f>
        <v>Algorithms</v>
      </c>
      <c r="H969" s="17" t="b">
        <f>Github!D$968</f>
        <v>0</v>
      </c>
      <c r="I969" s="17" t="str">
        <f>Github!E$968</f>
        <v>Medium</v>
      </c>
      <c r="J969" s="17" t="str">
        <f>ROUND(Github!N$968, 2)&amp;"%"</f>
        <v>0%</v>
      </c>
      <c r="K969" s="17">
        <f>Github!O$968</f>
        <v>47.02516062</v>
      </c>
      <c r="L969" s="17">
        <f>Github!P$968</f>
        <v>48893</v>
      </c>
    </row>
    <row r="970">
      <c r="A970" s="17">
        <f>Github!J$969</f>
        <v>968</v>
      </c>
      <c r="B970" s="34" t="str">
        <f>HYPERLINK(CONCAT("http://leetcode.com/problems/",Github!C$969), Github!B$969)</f>
        <v>Binary Tree Cameras</v>
      </c>
      <c r="C970" s="17">
        <f>Github!F$969</f>
        <v>2527</v>
      </c>
      <c r="D970" s="17">
        <f>Github!G$969</f>
        <v>33</v>
      </c>
      <c r="E970" s="17">
        <f>Github!F$969+Github!G$969</f>
        <v>2560</v>
      </c>
      <c r="F970" s="18">
        <f t="shared" si="1"/>
        <v>76.58</v>
      </c>
      <c r="G970" s="17" t="str">
        <f>Github!H$969</f>
        <v>Algorithms</v>
      </c>
      <c r="H970" s="17" t="b">
        <f>Github!D$969</f>
        <v>0</v>
      </c>
      <c r="I970" s="17" t="str">
        <f>Github!E$969</f>
        <v>Hard</v>
      </c>
      <c r="J970" s="17" t="str">
        <f>ROUND(Github!N$969, 2)&amp;"%"</f>
        <v>0%</v>
      </c>
      <c r="K970" s="17">
        <f>Github!O$969</f>
        <v>41.72009668</v>
      </c>
      <c r="L970" s="17">
        <f>Github!P$969</f>
        <v>61621</v>
      </c>
    </row>
    <row r="971">
      <c r="A971" s="17">
        <f>Github!J$970</f>
        <v>969</v>
      </c>
      <c r="B971" s="34" t="str">
        <f>HYPERLINK(CONCAT("http://leetcode.com/problems/",Github!C$970), Github!B$970)</f>
        <v>Pancake Sorting</v>
      </c>
      <c r="C971" s="17">
        <f>Github!F$970</f>
        <v>1043</v>
      </c>
      <c r="D971" s="17">
        <f>Github!G$970</f>
        <v>1217</v>
      </c>
      <c r="E971" s="17">
        <f>Github!F$970+Github!G$970</f>
        <v>2260</v>
      </c>
      <c r="F971" s="18">
        <f t="shared" si="1"/>
        <v>0.86</v>
      </c>
      <c r="G971" s="17" t="str">
        <f>Github!H$970</f>
        <v>Algorithms</v>
      </c>
      <c r="H971" s="17" t="b">
        <f>Github!D$970</f>
        <v>0</v>
      </c>
      <c r="I971" s="17" t="str">
        <f>Github!E$970</f>
        <v>Medium</v>
      </c>
      <c r="J971" s="17" t="str">
        <f>ROUND(Github!N$970, 2)&amp;"%"</f>
        <v>0%</v>
      </c>
      <c r="K971" s="17">
        <f>Github!O$970</f>
        <v>69.65107158</v>
      </c>
      <c r="L971" s="17">
        <f>Github!P$970</f>
        <v>71920</v>
      </c>
    </row>
    <row r="972">
      <c r="A972" s="17">
        <f>Github!J$971</f>
        <v>970</v>
      </c>
      <c r="B972" s="34" t="str">
        <f>HYPERLINK(CONCAT("http://leetcode.com/problems/",Github!C$971), Github!B$971)</f>
        <v>Powerful Integers</v>
      </c>
      <c r="C972" s="17">
        <f>Github!F$971</f>
        <v>225</v>
      </c>
      <c r="D972" s="17">
        <f>Github!G$971</f>
        <v>60</v>
      </c>
      <c r="E972" s="17">
        <f>Github!F$971+Github!G$971</f>
        <v>285</v>
      </c>
      <c r="F972" s="18">
        <f t="shared" si="1"/>
        <v>3.75</v>
      </c>
      <c r="G972" s="17" t="str">
        <f>Github!H$971</f>
        <v>Algorithms</v>
      </c>
      <c r="H972" s="17" t="b">
        <f>Github!D$971</f>
        <v>0</v>
      </c>
      <c r="I972" s="17" t="str">
        <f>Github!E$971</f>
        <v>Medium</v>
      </c>
      <c r="J972" s="17" t="str">
        <f>ROUND(Github!N$971, 2)&amp;"%"</f>
        <v>0%</v>
      </c>
      <c r="K972" s="17">
        <f>Github!O$971</f>
        <v>43.4855547</v>
      </c>
      <c r="L972" s="17">
        <f>Github!P$971</f>
        <v>45622</v>
      </c>
    </row>
    <row r="973">
      <c r="A973" s="17">
        <f>Github!J$972</f>
        <v>971</v>
      </c>
      <c r="B973" s="34" t="str">
        <f>HYPERLINK(CONCAT("http://leetcode.com/problems/",Github!C$972), Github!B$972)</f>
        <v>Flip Binary Tree To Match Preorder Traversal</v>
      </c>
      <c r="C973" s="17">
        <f>Github!F$972</f>
        <v>684</v>
      </c>
      <c r="D973" s="17">
        <f>Github!G$972</f>
        <v>236</v>
      </c>
      <c r="E973" s="17">
        <f>Github!F$972+Github!G$972</f>
        <v>920</v>
      </c>
      <c r="F973" s="18">
        <f t="shared" si="1"/>
        <v>2.9</v>
      </c>
      <c r="G973" s="17" t="str">
        <f>Github!H$972</f>
        <v>Algorithms</v>
      </c>
      <c r="H973" s="17" t="b">
        <f>Github!D$972</f>
        <v>0</v>
      </c>
      <c r="I973" s="17" t="str">
        <f>Github!E$972</f>
        <v>Medium</v>
      </c>
      <c r="J973" s="17" t="str">
        <f>ROUND(Github!N$972, 2)&amp;"%"</f>
        <v>0%</v>
      </c>
      <c r="K973" s="17">
        <f>Github!O$972</f>
        <v>49.86782093</v>
      </c>
      <c r="L973" s="17">
        <f>Github!P$972</f>
        <v>34332</v>
      </c>
    </row>
    <row r="974">
      <c r="A974" s="17">
        <f>Github!J$973</f>
        <v>972</v>
      </c>
      <c r="B974" s="34" t="str">
        <f>HYPERLINK(CONCAT("http://leetcode.com/problems/",Github!C$973), Github!B$973)</f>
        <v>Equal Rational Numbers</v>
      </c>
      <c r="C974" s="17">
        <f>Github!F$973</f>
        <v>66</v>
      </c>
      <c r="D974" s="17">
        <f>Github!G$973</f>
        <v>182</v>
      </c>
      <c r="E974" s="17">
        <f>Github!F$973+Github!G$973</f>
        <v>248</v>
      </c>
      <c r="F974" s="18">
        <f t="shared" si="1"/>
        <v>0.36</v>
      </c>
      <c r="G974" s="17" t="str">
        <f>Github!H$973</f>
        <v>Algorithms</v>
      </c>
      <c r="H974" s="17" t="b">
        <f>Github!D$973</f>
        <v>0</v>
      </c>
      <c r="I974" s="17" t="str">
        <f>Github!E$973</f>
        <v>Hard</v>
      </c>
      <c r="J974" s="17" t="str">
        <f>ROUND(Github!N$973, 2)&amp;"%"</f>
        <v>0%</v>
      </c>
      <c r="K974" s="17">
        <f>Github!O$973</f>
        <v>42.48930503</v>
      </c>
      <c r="L974" s="17">
        <f>Github!P$973</f>
        <v>5264</v>
      </c>
    </row>
    <row r="975">
      <c r="A975" s="17">
        <f>Github!J$974</f>
        <v>973</v>
      </c>
      <c r="B975" s="34" t="str">
        <f>HYPERLINK(CONCAT("http://leetcode.com/problems/",Github!C$974), Github!B$974)</f>
        <v>K Closest Points to Origin</v>
      </c>
      <c r="C975" s="17">
        <f>Github!F$974</f>
        <v>5097</v>
      </c>
      <c r="D975" s="17">
        <f>Github!G$974</f>
        <v>201</v>
      </c>
      <c r="E975" s="17">
        <f>Github!F$974+Github!G$974</f>
        <v>5298</v>
      </c>
      <c r="F975" s="18">
        <f t="shared" si="1"/>
        <v>25.36</v>
      </c>
      <c r="G975" s="17" t="str">
        <f>Github!H$974</f>
        <v>Algorithms</v>
      </c>
      <c r="H975" s="17" t="b">
        <f>Github!D$974</f>
        <v>0</v>
      </c>
      <c r="I975" s="17" t="str">
        <f>Github!E$974</f>
        <v>Medium</v>
      </c>
      <c r="J975" s="17" t="str">
        <f>ROUND(Github!N$974, 2)&amp;"%"</f>
        <v>0%</v>
      </c>
      <c r="K975" s="17">
        <f>Github!O$974</f>
        <v>66.00320026</v>
      </c>
      <c r="L975" s="17">
        <f>Github!P$974</f>
        <v>706578</v>
      </c>
    </row>
    <row r="976">
      <c r="A976" s="17">
        <f>Github!J$975</f>
        <v>974</v>
      </c>
      <c r="B976" s="34" t="str">
        <f>HYPERLINK(CONCAT("http://leetcode.com/problems/",Github!C$975), Github!B$975)</f>
        <v>Subarray Sums Divisible by K</v>
      </c>
      <c r="C976" s="17">
        <f>Github!F$975</f>
        <v>2618</v>
      </c>
      <c r="D976" s="17">
        <f>Github!G$975</f>
        <v>131</v>
      </c>
      <c r="E976" s="17">
        <f>Github!F$975+Github!G$975</f>
        <v>2749</v>
      </c>
      <c r="F976" s="18">
        <f t="shared" si="1"/>
        <v>19.98</v>
      </c>
      <c r="G976" s="17" t="str">
        <f>Github!H$975</f>
        <v>Algorithms</v>
      </c>
      <c r="H976" s="17" t="b">
        <f>Github!D$975</f>
        <v>0</v>
      </c>
      <c r="I976" s="17" t="str">
        <f>Github!E$975</f>
        <v>Medium</v>
      </c>
      <c r="J976" s="17" t="str">
        <f>ROUND(Github!N$975, 2)&amp;"%"</f>
        <v>0%</v>
      </c>
      <c r="K976" s="17">
        <f>Github!O$975</f>
        <v>53.04537849</v>
      </c>
      <c r="L976" s="17">
        <f>Github!P$975</f>
        <v>89084</v>
      </c>
    </row>
    <row r="977">
      <c r="A977" s="17">
        <f>Github!J$976</f>
        <v>975</v>
      </c>
      <c r="B977" s="34" t="str">
        <f>HYPERLINK(CONCAT("http://leetcode.com/problems/",Github!C$976), Github!B$976)</f>
        <v>Odd Even Jump</v>
      </c>
      <c r="C977" s="17">
        <f>Github!F$976</f>
        <v>1277</v>
      </c>
      <c r="D977" s="17">
        <f>Github!G$976</f>
        <v>359</v>
      </c>
      <c r="E977" s="17">
        <f>Github!F$976+Github!G$976</f>
        <v>1636</v>
      </c>
      <c r="F977" s="18">
        <f t="shared" si="1"/>
        <v>3.56</v>
      </c>
      <c r="G977" s="17" t="str">
        <f>Github!H$976</f>
        <v>Algorithms</v>
      </c>
      <c r="H977" s="17" t="b">
        <f>Github!D$976</f>
        <v>0</v>
      </c>
      <c r="I977" s="17" t="str">
        <f>Github!E$976</f>
        <v>Hard</v>
      </c>
      <c r="J977" s="17" t="str">
        <f>ROUND(Github!N$976, 2)&amp;"%"</f>
        <v>0%</v>
      </c>
      <c r="K977" s="17">
        <f>Github!O$976</f>
        <v>39.03901576</v>
      </c>
      <c r="L977" s="17">
        <f>Github!P$976</f>
        <v>55403</v>
      </c>
    </row>
    <row r="978">
      <c r="A978" s="17">
        <f>Github!J$977</f>
        <v>976</v>
      </c>
      <c r="B978" s="34" t="str">
        <f>HYPERLINK(CONCAT("http://leetcode.com/problems/",Github!C$977), Github!B$977)</f>
        <v>Largest Perimeter Triangle</v>
      </c>
      <c r="C978" s="17">
        <f>Github!F$977</f>
        <v>959</v>
      </c>
      <c r="D978" s="17">
        <f>Github!G$977</f>
        <v>91</v>
      </c>
      <c r="E978" s="17">
        <f>Github!F$977+Github!G$977</f>
        <v>1050</v>
      </c>
      <c r="F978" s="18">
        <f t="shared" si="1"/>
        <v>10.54</v>
      </c>
      <c r="G978" s="17" t="str">
        <f>Github!H$977</f>
        <v>Algorithms</v>
      </c>
      <c r="H978" s="17" t="b">
        <f>Github!D$977</f>
        <v>0</v>
      </c>
      <c r="I978" s="17" t="str">
        <f>Github!E$977</f>
        <v>Easy</v>
      </c>
      <c r="J978" s="17" t="str">
        <f>ROUND(Github!N$977, 2)&amp;"%"</f>
        <v>0%</v>
      </c>
      <c r="K978" s="17">
        <f>Github!O$977</f>
        <v>58.34897304</v>
      </c>
      <c r="L978" s="17">
        <f>Github!P$977</f>
        <v>66526</v>
      </c>
    </row>
    <row r="979">
      <c r="A979" s="17">
        <f>Github!J$978</f>
        <v>977</v>
      </c>
      <c r="B979" s="34" t="str">
        <f>HYPERLINK(CONCAT("http://leetcode.com/problems/",Github!C$978), Github!B$978)</f>
        <v>Squares of a Sorted Array</v>
      </c>
      <c r="C979" s="17">
        <f>Github!F$978</f>
        <v>4819</v>
      </c>
      <c r="D979" s="17">
        <f>Github!G$978</f>
        <v>147</v>
      </c>
      <c r="E979" s="17">
        <f>Github!F$978+Github!G$978</f>
        <v>4966</v>
      </c>
      <c r="F979" s="18">
        <f t="shared" si="1"/>
        <v>32.78</v>
      </c>
      <c r="G979" s="17" t="str">
        <f>Github!H$978</f>
        <v>Algorithms</v>
      </c>
      <c r="H979" s="17" t="b">
        <f>Github!D$978</f>
        <v>0</v>
      </c>
      <c r="I979" s="17" t="str">
        <f>Github!E$978</f>
        <v>Easy</v>
      </c>
      <c r="J979" s="17" t="str">
        <f>ROUND(Github!N$978, 2)&amp;"%"</f>
        <v>1%</v>
      </c>
      <c r="K979" s="17">
        <f>Github!O$978</f>
        <v>71.55715334</v>
      </c>
      <c r="L979" s="17">
        <f>Github!P$978</f>
        <v>893484</v>
      </c>
    </row>
    <row r="980">
      <c r="A980" s="17">
        <f>Github!J$979</f>
        <v>978</v>
      </c>
      <c r="B980" s="34" t="str">
        <f>HYPERLINK(CONCAT("http://leetcode.com/problems/",Github!C$979), Github!B$979)</f>
        <v>Longest Turbulent Subarray</v>
      </c>
      <c r="C980" s="17">
        <f>Github!F$979</f>
        <v>1225</v>
      </c>
      <c r="D980" s="17">
        <f>Github!G$979</f>
        <v>163</v>
      </c>
      <c r="E980" s="17">
        <f>Github!F$979+Github!G$979</f>
        <v>1388</v>
      </c>
      <c r="F980" s="18">
        <f t="shared" si="1"/>
        <v>7.52</v>
      </c>
      <c r="G980" s="17" t="str">
        <f>Github!H$979</f>
        <v>Algorithms</v>
      </c>
      <c r="H980" s="17" t="b">
        <f>Github!D$979</f>
        <v>0</v>
      </c>
      <c r="I980" s="17" t="str">
        <f>Github!E$979</f>
        <v>Medium</v>
      </c>
      <c r="J980" s="17" t="str">
        <f>ROUND(Github!N$979, 2)&amp;"%"</f>
        <v>0%</v>
      </c>
      <c r="K980" s="17">
        <f>Github!O$979</f>
        <v>47.5017436</v>
      </c>
      <c r="L980" s="17">
        <f>Github!P$979</f>
        <v>70152</v>
      </c>
    </row>
    <row r="981">
      <c r="A981" s="17">
        <f>Github!J$980</f>
        <v>979</v>
      </c>
      <c r="B981" s="34" t="str">
        <f>HYPERLINK(CONCAT("http://leetcode.com/problems/",Github!C$980), Github!B$980)</f>
        <v>Distribute Coins in Binary Tree</v>
      </c>
      <c r="C981" s="17">
        <f>Github!F$980</f>
        <v>3469</v>
      </c>
      <c r="D981" s="17">
        <f>Github!G$980</f>
        <v>116</v>
      </c>
      <c r="E981" s="17">
        <f>Github!F$980+Github!G$980</f>
        <v>3585</v>
      </c>
      <c r="F981" s="18">
        <f t="shared" si="1"/>
        <v>29.91</v>
      </c>
      <c r="G981" s="17" t="str">
        <f>Github!H$980</f>
        <v>Algorithms</v>
      </c>
      <c r="H981" s="17" t="b">
        <f>Github!D$980</f>
        <v>0</v>
      </c>
      <c r="I981" s="17" t="str">
        <f>Github!E$980</f>
        <v>Medium</v>
      </c>
      <c r="J981" s="17" t="str">
        <f>ROUND(Github!N$980, 2)&amp;"%"</f>
        <v>0%</v>
      </c>
      <c r="K981" s="17">
        <f>Github!O$980</f>
        <v>71.3755441</v>
      </c>
      <c r="L981" s="17">
        <f>Github!P$980</f>
        <v>80183</v>
      </c>
    </row>
    <row r="982">
      <c r="A982" s="17">
        <f>Github!J$981</f>
        <v>980</v>
      </c>
      <c r="B982" s="34" t="str">
        <f>HYPERLINK(CONCAT("http://leetcode.com/problems/",Github!C$981), Github!B$981)</f>
        <v>Unique Paths III</v>
      </c>
      <c r="C982" s="17">
        <f>Github!F$981</f>
        <v>2658</v>
      </c>
      <c r="D982" s="17">
        <f>Github!G$981</f>
        <v>130</v>
      </c>
      <c r="E982" s="17">
        <f>Github!F$981+Github!G$981</f>
        <v>2788</v>
      </c>
      <c r="F982" s="18">
        <f t="shared" si="1"/>
        <v>20.45</v>
      </c>
      <c r="G982" s="17" t="str">
        <f>Github!H$981</f>
        <v>Algorithms</v>
      </c>
      <c r="H982" s="17" t="b">
        <f>Github!D$981</f>
        <v>0</v>
      </c>
      <c r="I982" s="17" t="str">
        <f>Github!E$981</f>
        <v>Hard</v>
      </c>
      <c r="J982" s="17" t="str">
        <f>ROUND(Github!N$981, 2)&amp;"%"</f>
        <v>0%</v>
      </c>
      <c r="K982" s="17">
        <f>Github!O$981</f>
        <v>79.42562052</v>
      </c>
      <c r="L982" s="17">
        <f>Github!P$981</f>
        <v>110430</v>
      </c>
    </row>
    <row r="983">
      <c r="A983" s="17">
        <f>Github!J$982</f>
        <v>981</v>
      </c>
      <c r="B983" s="34" t="str">
        <f>HYPERLINK(CONCAT("http://leetcode.com/problems/",Github!C$982), Github!B$982)</f>
        <v>Time Based Key-Value Store</v>
      </c>
      <c r="C983" s="17">
        <f>Github!F$982</f>
        <v>1947</v>
      </c>
      <c r="D983" s="17">
        <f>Github!G$982</f>
        <v>202</v>
      </c>
      <c r="E983" s="17">
        <f>Github!F$982+Github!G$982</f>
        <v>2149</v>
      </c>
      <c r="F983" s="18">
        <f t="shared" si="1"/>
        <v>9.64</v>
      </c>
      <c r="G983" s="17" t="str">
        <f>Github!H$982</f>
        <v>Algorithms</v>
      </c>
      <c r="H983" s="17" t="b">
        <f>Github!D$982</f>
        <v>0</v>
      </c>
      <c r="I983" s="17" t="str">
        <f>Github!E$982</f>
        <v>Medium</v>
      </c>
      <c r="J983" s="17" t="str">
        <f>ROUND(Github!N$982, 2)&amp;"%"</f>
        <v>0%</v>
      </c>
      <c r="K983" s="17">
        <f>Github!O$982</f>
        <v>52.79547989</v>
      </c>
      <c r="L983" s="17">
        <f>Github!P$982</f>
        <v>169501</v>
      </c>
    </row>
    <row r="984">
      <c r="A984" s="17">
        <f>Github!J$983</f>
        <v>982</v>
      </c>
      <c r="B984" s="34" t="str">
        <f>HYPERLINK(CONCAT("http://leetcode.com/problems/",Github!C$983), Github!B$983)</f>
        <v>Triples with Bitwise AND Equal To Zero</v>
      </c>
      <c r="C984" s="17">
        <f>Github!F$983</f>
        <v>228</v>
      </c>
      <c r="D984" s="17">
        <f>Github!G$983</f>
        <v>180</v>
      </c>
      <c r="E984" s="17">
        <f>Github!F$983+Github!G$983</f>
        <v>408</v>
      </c>
      <c r="F984" s="18">
        <f t="shared" si="1"/>
        <v>1.27</v>
      </c>
      <c r="G984" s="17" t="str">
        <f>Github!H$983</f>
        <v>Algorithms</v>
      </c>
      <c r="H984" s="17" t="b">
        <f>Github!D$983</f>
        <v>0</v>
      </c>
      <c r="I984" s="17" t="str">
        <f>Github!E$983</f>
        <v>Hard</v>
      </c>
      <c r="J984" s="17" t="str">
        <f>ROUND(Github!N$983, 2)&amp;"%"</f>
        <v>0%</v>
      </c>
      <c r="K984" s="17">
        <f>Github!O$983</f>
        <v>57.4212532</v>
      </c>
      <c r="L984" s="17">
        <f>Github!P$983</f>
        <v>11904</v>
      </c>
    </row>
    <row r="985">
      <c r="A985" s="17">
        <f>Github!J$984</f>
        <v>983</v>
      </c>
      <c r="B985" s="34" t="str">
        <f>HYPERLINK(CONCAT("http://leetcode.com/problems/",Github!C$984), Github!B$984)</f>
        <v>Minimum Cost For Tickets</v>
      </c>
      <c r="C985" s="17">
        <f>Github!F$984</f>
        <v>4221</v>
      </c>
      <c r="D985" s="17">
        <f>Github!G$984</f>
        <v>72</v>
      </c>
      <c r="E985" s="17">
        <f>Github!F$984+Github!G$984</f>
        <v>4293</v>
      </c>
      <c r="F985" s="18">
        <f t="shared" si="1"/>
        <v>58.63</v>
      </c>
      <c r="G985" s="17" t="str">
        <f>Github!H$984</f>
        <v>Algorithms</v>
      </c>
      <c r="H985" s="17" t="b">
        <f>Github!D$984</f>
        <v>0</v>
      </c>
      <c r="I985" s="17" t="str">
        <f>Github!E$984</f>
        <v>Medium</v>
      </c>
      <c r="J985" s="17" t="str">
        <f>ROUND(Github!N$984, 2)&amp;"%"</f>
        <v>0%</v>
      </c>
      <c r="K985" s="17">
        <f>Github!O$984</f>
        <v>63.88216162</v>
      </c>
      <c r="L985" s="17">
        <f>Github!P$984</f>
        <v>146130</v>
      </c>
    </row>
    <row r="986">
      <c r="A986" s="17">
        <f>Github!J$985</f>
        <v>984</v>
      </c>
      <c r="B986" s="34" t="str">
        <f>HYPERLINK(CONCAT("http://leetcode.com/problems/",Github!C$985), Github!B$985)</f>
        <v>String Without AAA or BBB</v>
      </c>
      <c r="C986" s="17">
        <f>Github!F$985</f>
        <v>467</v>
      </c>
      <c r="D986" s="17">
        <f>Github!G$985</f>
        <v>327</v>
      </c>
      <c r="E986" s="17">
        <f>Github!F$985+Github!G$985</f>
        <v>794</v>
      </c>
      <c r="F986" s="18">
        <f t="shared" si="1"/>
        <v>1.43</v>
      </c>
      <c r="G986" s="17" t="str">
        <f>Github!H$985</f>
        <v>Algorithms</v>
      </c>
      <c r="H986" s="17" t="b">
        <f>Github!D$985</f>
        <v>0</v>
      </c>
      <c r="I986" s="17" t="str">
        <f>Github!E$985</f>
        <v>Medium</v>
      </c>
      <c r="J986" s="17" t="str">
        <f>ROUND(Github!N$985, 2)&amp;"%"</f>
        <v>0%</v>
      </c>
      <c r="K986" s="17">
        <f>Github!O$985</f>
        <v>41.81537495</v>
      </c>
      <c r="L986" s="17">
        <f>Github!P$985</f>
        <v>31962</v>
      </c>
    </row>
    <row r="987">
      <c r="A987" s="17">
        <f>Github!J$986</f>
        <v>985</v>
      </c>
      <c r="B987" s="34" t="str">
        <f>HYPERLINK(CONCAT("http://leetcode.com/problems/",Github!C$986), Github!B$986)</f>
        <v>Sum of Even Numbers After Queries</v>
      </c>
      <c r="C987" s="17">
        <f>Github!F$986</f>
        <v>653</v>
      </c>
      <c r="D987" s="17">
        <f>Github!G$986</f>
        <v>211</v>
      </c>
      <c r="E987" s="17">
        <f>Github!F$986+Github!G$986</f>
        <v>864</v>
      </c>
      <c r="F987" s="18">
        <f t="shared" si="1"/>
        <v>3.09</v>
      </c>
      <c r="G987" s="17" t="str">
        <f>Github!H$986</f>
        <v>Algorithms</v>
      </c>
      <c r="H987" s="17" t="b">
        <f>Github!D$986</f>
        <v>0</v>
      </c>
      <c r="I987" s="17" t="str">
        <f>Github!E$986</f>
        <v>Medium</v>
      </c>
      <c r="J987" s="17" t="str">
        <f>ROUND(Github!N$986, 2)&amp;"%"</f>
        <v>0%</v>
      </c>
      <c r="K987" s="17">
        <f>Github!O$986</f>
        <v>60.86550191</v>
      </c>
      <c r="L987" s="17">
        <f>Github!P$986</f>
        <v>61871</v>
      </c>
    </row>
    <row r="988">
      <c r="A988" s="17">
        <f>Github!J$987</f>
        <v>986</v>
      </c>
      <c r="B988" s="34" t="str">
        <f>HYPERLINK(CONCAT("http://leetcode.com/problems/",Github!C$987), Github!B$987)</f>
        <v>Interval List Intersections</v>
      </c>
      <c r="C988" s="17">
        <f>Github!F$987</f>
        <v>3970</v>
      </c>
      <c r="D988" s="17">
        <f>Github!G$987</f>
        <v>82</v>
      </c>
      <c r="E988" s="17">
        <f>Github!F$987+Github!G$987</f>
        <v>4052</v>
      </c>
      <c r="F988" s="18">
        <f t="shared" si="1"/>
        <v>48.41</v>
      </c>
      <c r="G988" s="17" t="str">
        <f>Github!H$987</f>
        <v>Algorithms</v>
      </c>
      <c r="H988" s="17" t="b">
        <f>Github!D$987</f>
        <v>0</v>
      </c>
      <c r="I988" s="17" t="str">
        <f>Github!E$987</f>
        <v>Medium</v>
      </c>
      <c r="J988" s="17" t="str">
        <f>ROUND(Github!N$987, 2)&amp;"%"</f>
        <v>0%</v>
      </c>
      <c r="K988" s="17">
        <f>Github!O$987</f>
        <v>70.93969116</v>
      </c>
      <c r="L988" s="17">
        <f>Github!P$987</f>
        <v>283078</v>
      </c>
    </row>
    <row r="989">
      <c r="A989" s="17">
        <f>Github!J$988</f>
        <v>987</v>
      </c>
      <c r="B989" s="34" t="str">
        <f>HYPERLINK(CONCAT("http://leetcode.com/problems/",Github!C$988), Github!B$988)</f>
        <v>Vertical Order Traversal of a Binary Tree</v>
      </c>
      <c r="C989" s="17">
        <f>Github!F$988</f>
        <v>2894</v>
      </c>
      <c r="D989" s="17">
        <f>Github!G$988</f>
        <v>3194</v>
      </c>
      <c r="E989" s="17">
        <f>Github!F$988+Github!G$988</f>
        <v>6088</v>
      </c>
      <c r="F989" s="18">
        <f t="shared" si="1"/>
        <v>0.91</v>
      </c>
      <c r="G989" s="17" t="str">
        <f>Github!H$988</f>
        <v>Algorithms</v>
      </c>
      <c r="H989" s="17" t="b">
        <f>Github!D$988</f>
        <v>0</v>
      </c>
      <c r="I989" s="17" t="str">
        <f>Github!E$988</f>
        <v>Hard</v>
      </c>
      <c r="J989" s="17" t="str">
        <f>ROUND(Github!N$988, 2)&amp;"%"</f>
        <v>1%</v>
      </c>
      <c r="K989" s="17">
        <f>Github!O$988</f>
        <v>41.15216676</v>
      </c>
      <c r="L989" s="17">
        <f>Github!P$988</f>
        <v>205073</v>
      </c>
    </row>
    <row r="990">
      <c r="A990" s="17">
        <f>Github!J$989</f>
        <v>988</v>
      </c>
      <c r="B990" s="34" t="str">
        <f>HYPERLINK(CONCAT("http://leetcode.com/problems/",Github!C$989), Github!B$989)</f>
        <v>Smallest String Starting From Leaf</v>
      </c>
      <c r="C990" s="17">
        <f>Github!F$989</f>
        <v>1017</v>
      </c>
      <c r="D990" s="17">
        <f>Github!G$989</f>
        <v>166</v>
      </c>
      <c r="E990" s="17">
        <f>Github!F$989+Github!G$989</f>
        <v>1183</v>
      </c>
      <c r="F990" s="18">
        <f t="shared" si="1"/>
        <v>6.13</v>
      </c>
      <c r="G990" s="17" t="str">
        <f>Github!H$989</f>
        <v>Algorithms</v>
      </c>
      <c r="H990" s="17" t="b">
        <f>Github!D$989</f>
        <v>0</v>
      </c>
      <c r="I990" s="17" t="str">
        <f>Github!E$989</f>
        <v>Medium</v>
      </c>
      <c r="J990" s="17" t="str">
        <f>ROUND(Github!N$989, 2)&amp;"%"</f>
        <v>0%</v>
      </c>
      <c r="K990" s="17">
        <f>Github!O$989</f>
        <v>48.59439675</v>
      </c>
      <c r="L990" s="17">
        <f>Github!P$989</f>
        <v>50717</v>
      </c>
    </row>
    <row r="991">
      <c r="A991" s="17">
        <f>Github!J$990</f>
        <v>989</v>
      </c>
      <c r="B991" s="34" t="str">
        <f>HYPERLINK(CONCAT("http://leetcode.com/problems/",Github!C$990), Github!B$990)</f>
        <v>Add to Array-Form of Integer</v>
      </c>
      <c r="C991" s="17">
        <f>Github!F$990</f>
        <v>1111</v>
      </c>
      <c r="D991" s="17">
        <f>Github!G$990</f>
        <v>140</v>
      </c>
      <c r="E991" s="17">
        <f>Github!F$990+Github!G$990</f>
        <v>1251</v>
      </c>
      <c r="F991" s="18">
        <f t="shared" si="1"/>
        <v>7.94</v>
      </c>
      <c r="G991" s="17" t="str">
        <f>Github!H$990</f>
        <v>Algorithms</v>
      </c>
      <c r="H991" s="17" t="b">
        <f>Github!D$990</f>
        <v>0</v>
      </c>
      <c r="I991" s="17" t="str">
        <f>Github!E$990</f>
        <v>Easy</v>
      </c>
      <c r="J991" s="17" t="str">
        <f>ROUND(Github!N$990, 2)&amp;"%"</f>
        <v>0%</v>
      </c>
      <c r="K991" s="17">
        <f>Github!O$990</f>
        <v>45.27701605</v>
      </c>
      <c r="L991" s="17">
        <f>Github!P$990</f>
        <v>102039</v>
      </c>
    </row>
    <row r="992">
      <c r="A992" s="17">
        <f>Github!J$991</f>
        <v>990</v>
      </c>
      <c r="B992" s="34" t="str">
        <f>HYPERLINK(CONCAT("http://leetcode.com/problems/",Github!C$991), Github!B$991)</f>
        <v>Satisfiability of Equality Equations</v>
      </c>
      <c r="C992" s="17">
        <f>Github!F$991</f>
        <v>1410</v>
      </c>
      <c r="D992" s="17">
        <f>Github!G$991</f>
        <v>15</v>
      </c>
      <c r="E992" s="17">
        <f>Github!F$991+Github!G$991</f>
        <v>1425</v>
      </c>
      <c r="F992" s="18">
        <f t="shared" si="1"/>
        <v>94</v>
      </c>
      <c r="G992" s="17" t="str">
        <f>Github!H$991</f>
        <v>Algorithms</v>
      </c>
      <c r="H992" s="17" t="b">
        <f>Github!D$991</f>
        <v>0</v>
      </c>
      <c r="I992" s="17" t="str">
        <f>Github!E$991</f>
        <v>Medium</v>
      </c>
      <c r="J992" s="17" t="str">
        <f>ROUND(Github!N$991, 2)&amp;"%"</f>
        <v>0%</v>
      </c>
      <c r="K992" s="17">
        <f>Github!O$991</f>
        <v>49.72165721</v>
      </c>
      <c r="L992" s="17">
        <f>Github!P$991</f>
        <v>46445</v>
      </c>
    </row>
    <row r="993">
      <c r="A993" s="17">
        <f>Github!J$992</f>
        <v>991</v>
      </c>
      <c r="B993" s="34" t="str">
        <f>HYPERLINK(CONCAT("http://leetcode.com/problems/",Github!C$992), Github!B$992)</f>
        <v>Broken Calculator</v>
      </c>
      <c r="C993" s="17">
        <f>Github!F$992</f>
        <v>1072</v>
      </c>
      <c r="D993" s="17">
        <f>Github!G$992</f>
        <v>146</v>
      </c>
      <c r="E993" s="17">
        <f>Github!F$992+Github!G$992</f>
        <v>1218</v>
      </c>
      <c r="F993" s="18">
        <f t="shared" si="1"/>
        <v>7.34</v>
      </c>
      <c r="G993" s="17" t="str">
        <f>Github!H$992</f>
        <v>Algorithms</v>
      </c>
      <c r="H993" s="17" t="b">
        <f>Github!D$992</f>
        <v>0</v>
      </c>
      <c r="I993" s="17" t="str">
        <f>Github!E$992</f>
        <v>Medium</v>
      </c>
      <c r="J993" s="17" t="str">
        <f>ROUND(Github!N$992, 2)&amp;"%"</f>
        <v>0%</v>
      </c>
      <c r="K993" s="17">
        <f>Github!O$992</f>
        <v>50.07057683</v>
      </c>
      <c r="L993" s="17">
        <f>Github!P$992</f>
        <v>47533</v>
      </c>
    </row>
    <row r="994">
      <c r="A994" s="17">
        <f>Github!J$993</f>
        <v>992</v>
      </c>
      <c r="B994" s="34" t="str">
        <f>HYPERLINK(CONCAT("http://leetcode.com/problems/",Github!C$993), Github!B$993)</f>
        <v>Subarrays with K Different Integers</v>
      </c>
      <c r="C994" s="17">
        <f>Github!F$993</f>
        <v>2794</v>
      </c>
      <c r="D994" s="17">
        <f>Github!G$993</f>
        <v>40</v>
      </c>
      <c r="E994" s="17">
        <f>Github!F$993+Github!G$993</f>
        <v>2834</v>
      </c>
      <c r="F994" s="18">
        <f t="shared" si="1"/>
        <v>69.85</v>
      </c>
      <c r="G994" s="17" t="str">
        <f>Github!H$993</f>
        <v>Algorithms</v>
      </c>
      <c r="H994" s="17" t="b">
        <f>Github!D$993</f>
        <v>0</v>
      </c>
      <c r="I994" s="17" t="str">
        <f>Github!E$993</f>
        <v>Hard</v>
      </c>
      <c r="J994" s="17" t="str">
        <f>ROUND(Github!N$993, 2)&amp;"%"</f>
        <v>0%</v>
      </c>
      <c r="K994" s="17">
        <f>Github!O$993</f>
        <v>53.26317838</v>
      </c>
      <c r="L994" s="17">
        <f>Github!P$993</f>
        <v>65698</v>
      </c>
    </row>
    <row r="995">
      <c r="A995" s="17">
        <f>Github!J$994</f>
        <v>993</v>
      </c>
      <c r="B995" s="34" t="str">
        <f>HYPERLINK(CONCAT("http://leetcode.com/problems/",Github!C$994), Github!B$994)</f>
        <v>Cousins in Binary Tree</v>
      </c>
      <c r="C995" s="17">
        <f>Github!F$994</f>
        <v>2605</v>
      </c>
      <c r="D995" s="17">
        <f>Github!G$994</f>
        <v>136</v>
      </c>
      <c r="E995" s="17">
        <f>Github!F$994+Github!G$994</f>
        <v>2741</v>
      </c>
      <c r="F995" s="18">
        <f t="shared" si="1"/>
        <v>19.15</v>
      </c>
      <c r="G995" s="17" t="str">
        <f>Github!H$994</f>
        <v>Algorithms</v>
      </c>
      <c r="H995" s="17" t="b">
        <f>Github!D$994</f>
        <v>0</v>
      </c>
      <c r="I995" s="17" t="str">
        <f>Github!E$994</f>
        <v>Easy</v>
      </c>
      <c r="J995" s="17" t="str">
        <f>ROUND(Github!N$994, 2)&amp;"%"</f>
        <v>0%</v>
      </c>
      <c r="K995" s="17">
        <f>Github!O$994</f>
        <v>53.7609033</v>
      </c>
      <c r="L995" s="17">
        <f>Github!P$994</f>
        <v>200926</v>
      </c>
    </row>
    <row r="996">
      <c r="A996" s="17">
        <f>Github!J$995</f>
        <v>994</v>
      </c>
      <c r="B996" s="34" t="str">
        <f>HYPERLINK(CONCAT("http://leetcode.com/problems/",Github!C$995), Github!B$995)</f>
        <v>Rotting Oranges</v>
      </c>
      <c r="C996" s="17">
        <f>Github!F$995</f>
        <v>6079</v>
      </c>
      <c r="D996" s="17">
        <f>Github!G$995</f>
        <v>265</v>
      </c>
      <c r="E996" s="17">
        <f>Github!F$995+Github!G$995</f>
        <v>6344</v>
      </c>
      <c r="F996" s="18">
        <f t="shared" si="1"/>
        <v>22.94</v>
      </c>
      <c r="G996" s="17" t="str">
        <f>Github!H$995</f>
        <v>Algorithms</v>
      </c>
      <c r="H996" s="17" t="b">
        <f>Github!D$995</f>
        <v>0</v>
      </c>
      <c r="I996" s="17" t="str">
        <f>Github!E$995</f>
        <v>Medium</v>
      </c>
      <c r="J996" s="17" t="str">
        <f>ROUND(Github!N$995, 2)&amp;"%"</f>
        <v>0%</v>
      </c>
      <c r="K996" s="17">
        <f>Github!O$995</f>
        <v>51.57056399</v>
      </c>
      <c r="L996" s="17">
        <f>Github!P$995</f>
        <v>353029</v>
      </c>
    </row>
    <row r="997">
      <c r="A997" s="17">
        <f>Github!J$996</f>
        <v>995</v>
      </c>
      <c r="B997" s="34" t="str">
        <f>HYPERLINK(CONCAT("http://leetcode.com/problems/",Github!C$996), Github!B$996)</f>
        <v>Minimum Number of K Consecutive Bit Flips</v>
      </c>
      <c r="C997" s="17">
        <f>Github!F$996</f>
        <v>763</v>
      </c>
      <c r="D997" s="17">
        <f>Github!G$996</f>
        <v>48</v>
      </c>
      <c r="E997" s="17">
        <f>Github!F$996+Github!G$996</f>
        <v>811</v>
      </c>
      <c r="F997" s="18">
        <f t="shared" si="1"/>
        <v>15.9</v>
      </c>
      <c r="G997" s="17" t="str">
        <f>Github!H$996</f>
        <v>Algorithms</v>
      </c>
      <c r="H997" s="17" t="b">
        <f>Github!D$996</f>
        <v>0</v>
      </c>
      <c r="I997" s="17" t="str">
        <f>Github!E$996</f>
        <v>Hard</v>
      </c>
      <c r="J997" s="17" t="str">
        <f>ROUND(Github!N$996, 2)&amp;"%"</f>
        <v>0%</v>
      </c>
      <c r="K997" s="17">
        <f>Github!O$996</f>
        <v>50.65481567</v>
      </c>
      <c r="L997" s="17">
        <f>Github!P$996</f>
        <v>24676</v>
      </c>
    </row>
    <row r="998">
      <c r="A998" s="17">
        <f>Github!J$997</f>
        <v>996</v>
      </c>
      <c r="B998" s="34" t="str">
        <f>HYPERLINK(CONCAT("http://leetcode.com/problems/",Github!C$997), Github!B$997)</f>
        <v>Number of Squareful Arrays</v>
      </c>
      <c r="C998" s="17">
        <f>Github!F$997</f>
        <v>632</v>
      </c>
      <c r="D998" s="17">
        <f>Github!G$997</f>
        <v>26</v>
      </c>
      <c r="E998" s="17">
        <f>Github!F$997+Github!G$997</f>
        <v>658</v>
      </c>
      <c r="F998" s="18">
        <f t="shared" si="1"/>
        <v>24.31</v>
      </c>
      <c r="G998" s="17" t="str">
        <f>Github!H$997</f>
        <v>Algorithms</v>
      </c>
      <c r="H998" s="17" t="b">
        <f>Github!D$997</f>
        <v>0</v>
      </c>
      <c r="I998" s="17" t="str">
        <f>Github!E$997</f>
        <v>Hard</v>
      </c>
      <c r="J998" s="17" t="str">
        <f>ROUND(Github!N$997, 2)&amp;"%"</f>
        <v>0%</v>
      </c>
      <c r="K998" s="17">
        <f>Github!O$997</f>
        <v>49.08319895</v>
      </c>
      <c r="L998" s="17">
        <f>Github!P$997</f>
        <v>24654</v>
      </c>
    </row>
    <row r="999">
      <c r="A999" s="17">
        <f>Github!J$998</f>
        <v>997</v>
      </c>
      <c r="B999" s="34" t="str">
        <f>HYPERLINK(CONCAT("http://leetcode.com/problems/",Github!C$998), Github!B$998)</f>
        <v>Find the Town Judge</v>
      </c>
      <c r="C999" s="17">
        <f>Github!F$998</f>
        <v>3191</v>
      </c>
      <c r="D999" s="17">
        <f>Github!G$998</f>
        <v>241</v>
      </c>
      <c r="E999" s="17">
        <f>Github!F$998+Github!G$998</f>
        <v>3432</v>
      </c>
      <c r="F999" s="18">
        <f t="shared" si="1"/>
        <v>13.24</v>
      </c>
      <c r="G999" s="17" t="str">
        <f>Github!H$998</f>
        <v>Algorithms</v>
      </c>
      <c r="H999" s="17" t="b">
        <f>Github!D$998</f>
        <v>0</v>
      </c>
      <c r="I999" s="17" t="str">
        <f>Github!E$998</f>
        <v>Easy</v>
      </c>
      <c r="J999" s="17" t="str">
        <f>ROUND(Github!N$998, 2)&amp;"%"</f>
        <v>0%</v>
      </c>
      <c r="K999" s="17">
        <f>Github!O$998</f>
        <v>49.92976272</v>
      </c>
      <c r="L999" s="17">
        <f>Github!P$998</f>
        <v>262311</v>
      </c>
    </row>
    <row r="1000">
      <c r="A1000" s="17">
        <f>Github!J$999</f>
        <v>998</v>
      </c>
      <c r="B1000" s="34" t="str">
        <f>HYPERLINK(CONCAT("http://leetcode.com/problems/",Github!C$999), Github!B$999)</f>
        <v>Maximum Binary Tree II</v>
      </c>
      <c r="C1000" s="17">
        <f>Github!F$999</f>
        <v>340</v>
      </c>
      <c r="D1000" s="17">
        <f>Github!G$999</f>
        <v>635</v>
      </c>
      <c r="E1000" s="17">
        <f>Github!F$999+Github!G$999</f>
        <v>975</v>
      </c>
      <c r="F1000" s="18">
        <f t="shared" si="1"/>
        <v>0.54</v>
      </c>
      <c r="G1000" s="17" t="str">
        <f>Github!H$999</f>
        <v>Algorithms</v>
      </c>
      <c r="H1000" s="17" t="b">
        <f>Github!D$999</f>
        <v>0</v>
      </c>
      <c r="I1000" s="17" t="str">
        <f>Github!E$999</f>
        <v>Medium</v>
      </c>
      <c r="J1000" s="17" t="str">
        <f>ROUND(Github!N$999, 2)&amp;"%"</f>
        <v>0%</v>
      </c>
      <c r="K1000" s="17">
        <f>Github!O$999</f>
        <v>65.426274</v>
      </c>
      <c r="L1000" s="17">
        <f>Github!P$999</f>
        <v>25793</v>
      </c>
    </row>
    <row r="1001">
      <c r="A1001" s="17">
        <f>Github!J$1000</f>
        <v>999</v>
      </c>
      <c r="B1001" s="34" t="str">
        <f>HYPERLINK(CONCAT("http://leetcode.com/problems/",Github!C$1000), Github!B$1000)</f>
        <v>Available Captures for Rook</v>
      </c>
      <c r="C1001" s="17">
        <f>Github!F$1000</f>
        <v>432</v>
      </c>
      <c r="D1001" s="17">
        <f>Github!G$1000</f>
        <v>557</v>
      </c>
      <c r="E1001" s="17">
        <f>Github!F$1000+Github!G$1000</f>
        <v>989</v>
      </c>
      <c r="F1001" s="18">
        <f t="shared" si="1"/>
        <v>0.78</v>
      </c>
      <c r="G1001" s="17" t="str">
        <f>Github!H$1000</f>
        <v>Algorithms</v>
      </c>
      <c r="H1001" s="17" t="b">
        <f>Github!D$1000</f>
        <v>0</v>
      </c>
      <c r="I1001" s="17" t="str">
        <f>Github!E$1000</f>
        <v>Easy</v>
      </c>
      <c r="J1001" s="17" t="str">
        <f>ROUND(Github!N$1000, 2)&amp;"%"</f>
        <v>0%</v>
      </c>
      <c r="K1001" s="17">
        <f>Github!O$1000</f>
        <v>67.85052459</v>
      </c>
      <c r="L1001" s="17">
        <f>Github!P$1000</f>
        <v>48697</v>
      </c>
    </row>
    <row r="1002">
      <c r="A1002" s="17">
        <f>Github!J$1001</f>
        <v>1000</v>
      </c>
      <c r="B1002" s="34" t="str">
        <f>HYPERLINK(CONCAT("http://leetcode.com/problems/",Github!C$1001), Github!B$1001)</f>
        <v>Minimum Cost to Merge Stones</v>
      </c>
      <c r="C1002" s="17">
        <f>Github!F$1001</f>
        <v>1471</v>
      </c>
      <c r="D1002" s="17">
        <f>Github!G$1001</f>
        <v>77</v>
      </c>
      <c r="E1002" s="17">
        <f>Github!F$1001+Github!G$1001</f>
        <v>1548</v>
      </c>
      <c r="F1002" s="18">
        <f t="shared" si="1"/>
        <v>19.1</v>
      </c>
      <c r="G1002" s="17" t="str">
        <f>Github!H$1001</f>
        <v>Algorithms</v>
      </c>
      <c r="H1002" s="17" t="b">
        <f>Github!D$1001</f>
        <v>0</v>
      </c>
      <c r="I1002" s="17" t="str">
        <f>Github!E$1001</f>
        <v>Hard</v>
      </c>
      <c r="J1002" s="17" t="str">
        <f>ROUND(Github!N$1001, 2)&amp;"%"</f>
        <v>0%</v>
      </c>
      <c r="K1002" s="17">
        <f>Github!O$1001</f>
        <v>42.00727182</v>
      </c>
      <c r="L1002" s="17">
        <f>Github!P$1001</f>
        <v>26803</v>
      </c>
    </row>
    <row r="1003">
      <c r="A1003" s="17">
        <f>Github!J$1002</f>
        <v>1001</v>
      </c>
      <c r="B1003" s="34" t="str">
        <f>HYPERLINK(CONCAT("http://leetcode.com/problems/",Github!C$1002), Github!B$1002)</f>
        <v>Grid Illumination</v>
      </c>
      <c r="C1003" s="17">
        <f>Github!F$1002</f>
        <v>384</v>
      </c>
      <c r="D1003" s="17">
        <f>Github!G$1002</f>
        <v>102</v>
      </c>
      <c r="E1003" s="17">
        <f>Github!F$1002+Github!G$1002</f>
        <v>486</v>
      </c>
      <c r="F1003" s="18">
        <f t="shared" si="1"/>
        <v>3.76</v>
      </c>
      <c r="G1003" s="17" t="str">
        <f>Github!H$1002</f>
        <v>Algorithms</v>
      </c>
      <c r="H1003" s="17" t="b">
        <f>Github!D$1002</f>
        <v>0</v>
      </c>
      <c r="I1003" s="17" t="str">
        <f>Github!E$1002</f>
        <v>Hard</v>
      </c>
      <c r="J1003" s="17" t="str">
        <f>ROUND(Github!N$1002, 2)&amp;"%"</f>
        <v>0%</v>
      </c>
      <c r="K1003" s="17">
        <f>Github!O$1002</f>
        <v>36.13925759</v>
      </c>
      <c r="L1003" s="17">
        <f>Github!P$1002</f>
        <v>14730</v>
      </c>
    </row>
    <row r="1004">
      <c r="A1004" s="17">
        <f>Github!J$1003</f>
        <v>1002</v>
      </c>
      <c r="B1004" s="34" t="str">
        <f>HYPERLINK(CONCAT("http://leetcode.com/problems/",Github!C$1003), Github!B$1003)</f>
        <v>Find Common Characters</v>
      </c>
      <c r="C1004" s="17">
        <f>Github!F$1003</f>
        <v>2181</v>
      </c>
      <c r="D1004" s="17">
        <f>Github!G$1003</f>
        <v>180</v>
      </c>
      <c r="E1004" s="17">
        <f>Github!F$1003+Github!G$1003</f>
        <v>2361</v>
      </c>
      <c r="F1004" s="18">
        <f t="shared" si="1"/>
        <v>12.12</v>
      </c>
      <c r="G1004" s="17" t="str">
        <f>Github!H$1003</f>
        <v>Algorithms</v>
      </c>
      <c r="H1004" s="17" t="b">
        <f>Github!D$1003</f>
        <v>0</v>
      </c>
      <c r="I1004" s="17" t="str">
        <f>Github!E$1003</f>
        <v>Easy</v>
      </c>
      <c r="J1004" s="17" t="str">
        <f>ROUND(Github!N$1003, 2)&amp;"%"</f>
        <v>0%</v>
      </c>
      <c r="K1004" s="17">
        <f>Github!O$1003</f>
        <v>68.38506545</v>
      </c>
      <c r="L1004" s="17">
        <f>Github!P$1003</f>
        <v>137919</v>
      </c>
    </row>
    <row r="1005">
      <c r="A1005" s="17">
        <f>Github!J$1004</f>
        <v>1003</v>
      </c>
      <c r="B1005" s="34" t="str">
        <f>HYPERLINK(CONCAT("http://leetcode.com/problems/",Github!C$1004), Github!B$1004)</f>
        <v>Check If Word Is Valid After Substitutions</v>
      </c>
      <c r="C1005" s="17">
        <f>Github!F$1004</f>
        <v>553</v>
      </c>
      <c r="D1005" s="17">
        <f>Github!G$1004</f>
        <v>430</v>
      </c>
      <c r="E1005" s="17">
        <f>Github!F$1004+Github!G$1004</f>
        <v>983</v>
      </c>
      <c r="F1005" s="18">
        <f t="shared" si="1"/>
        <v>1.29</v>
      </c>
      <c r="G1005" s="17" t="str">
        <f>Github!H$1004</f>
        <v>Algorithms</v>
      </c>
      <c r="H1005" s="17" t="b">
        <f>Github!D$1004</f>
        <v>0</v>
      </c>
      <c r="I1005" s="17" t="str">
        <f>Github!E$1004</f>
        <v>Medium</v>
      </c>
      <c r="J1005" s="17" t="str">
        <f>ROUND(Github!N$1004, 2)&amp;"%"</f>
        <v>0%</v>
      </c>
      <c r="K1005" s="17">
        <f>Github!O$1004</f>
        <v>57.67857923</v>
      </c>
      <c r="L1005" s="17">
        <f>Github!P$1004</f>
        <v>39589</v>
      </c>
    </row>
    <row r="1006">
      <c r="A1006" s="17">
        <f>Github!J$1005</f>
        <v>1004</v>
      </c>
      <c r="B1006" s="34" t="str">
        <f>HYPERLINK(CONCAT("http://leetcode.com/problems/",Github!C$1005), Github!B$1005)</f>
        <v>Max Consecutive Ones III</v>
      </c>
      <c r="C1006" s="17">
        <f>Github!F$1005</f>
        <v>4042</v>
      </c>
      <c r="D1006" s="17">
        <f>Github!G$1005</f>
        <v>55</v>
      </c>
      <c r="E1006" s="17">
        <f>Github!F$1005+Github!G$1005</f>
        <v>4097</v>
      </c>
      <c r="F1006" s="18">
        <f t="shared" si="1"/>
        <v>73.49</v>
      </c>
      <c r="G1006" s="17" t="str">
        <f>Github!H$1005</f>
        <v>Algorithms</v>
      </c>
      <c r="H1006" s="17" t="b">
        <f>Github!D$1005</f>
        <v>0</v>
      </c>
      <c r="I1006" s="17" t="str">
        <f>Github!E$1005</f>
        <v>Medium</v>
      </c>
      <c r="J1006" s="17" t="str">
        <f>ROUND(Github!N$1005, 2)&amp;"%"</f>
        <v>0%</v>
      </c>
      <c r="K1006" s="17">
        <f>Github!O$1005</f>
        <v>62.65347596</v>
      </c>
      <c r="L1006" s="17">
        <f>Github!P$1005</f>
        <v>191761</v>
      </c>
    </row>
    <row r="1007">
      <c r="A1007" s="17">
        <f>Github!J$1006</f>
        <v>1005</v>
      </c>
      <c r="B1007" s="34" t="str">
        <f>HYPERLINK(CONCAT("http://leetcode.com/problems/",Github!C$1006), Github!B$1006)</f>
        <v>Maximize Sum Of Array After K Negations</v>
      </c>
      <c r="C1007" s="17">
        <f>Github!F$1006</f>
        <v>910</v>
      </c>
      <c r="D1007" s="17">
        <f>Github!G$1006</f>
        <v>75</v>
      </c>
      <c r="E1007" s="17">
        <f>Github!F$1006+Github!G$1006</f>
        <v>985</v>
      </c>
      <c r="F1007" s="18">
        <f t="shared" si="1"/>
        <v>12.13</v>
      </c>
      <c r="G1007" s="17" t="str">
        <f>Github!H$1006</f>
        <v>Algorithms</v>
      </c>
      <c r="H1007" s="17" t="b">
        <f>Github!D$1006</f>
        <v>0</v>
      </c>
      <c r="I1007" s="17" t="str">
        <f>Github!E$1006</f>
        <v>Easy</v>
      </c>
      <c r="J1007" s="17" t="str">
        <f>ROUND(Github!N$1006, 2)&amp;"%"</f>
        <v>0%</v>
      </c>
      <c r="K1007" s="17">
        <f>Github!O$1006</f>
        <v>51.52477574</v>
      </c>
      <c r="L1007" s="17">
        <f>Github!P$1006</f>
        <v>51752</v>
      </c>
    </row>
    <row r="1008">
      <c r="A1008" s="17">
        <f>Github!J$1007</f>
        <v>1006</v>
      </c>
      <c r="B1008" s="34" t="str">
        <f>HYPERLINK(CONCAT("http://leetcode.com/problems/",Github!C$1007), Github!B$1007)</f>
        <v>Clumsy Factorial</v>
      </c>
      <c r="C1008" s="17">
        <f>Github!F$1007</f>
        <v>178</v>
      </c>
      <c r="D1008" s="17">
        <f>Github!G$1007</f>
        <v>222</v>
      </c>
      <c r="E1008" s="17">
        <f>Github!F$1007+Github!G$1007</f>
        <v>400</v>
      </c>
      <c r="F1008" s="18">
        <f t="shared" si="1"/>
        <v>0.8</v>
      </c>
      <c r="G1008" s="17" t="str">
        <f>Github!H$1007</f>
        <v>Algorithms</v>
      </c>
      <c r="H1008" s="17" t="b">
        <f>Github!D$1007</f>
        <v>0</v>
      </c>
      <c r="I1008" s="17" t="str">
        <f>Github!E$1007</f>
        <v>Medium</v>
      </c>
      <c r="J1008" s="17" t="str">
        <f>ROUND(Github!N$1007, 2)&amp;"%"</f>
        <v>0%</v>
      </c>
      <c r="K1008" s="17">
        <f>Github!O$1007</f>
        <v>54.53754386</v>
      </c>
      <c r="L1008" s="17">
        <f>Github!P$1007</f>
        <v>19429</v>
      </c>
    </row>
    <row r="1009">
      <c r="A1009" s="17">
        <f>Github!J$1008</f>
        <v>1007</v>
      </c>
      <c r="B1009" s="34" t="str">
        <f>HYPERLINK(CONCAT("http://leetcode.com/problems/",Github!C$1008), Github!B$1008)</f>
        <v>Minimum Domino Rotations For Equal Row</v>
      </c>
      <c r="C1009" s="17">
        <f>Github!F$1008</f>
        <v>1614</v>
      </c>
      <c r="D1009" s="17">
        <f>Github!G$1008</f>
        <v>208</v>
      </c>
      <c r="E1009" s="17">
        <f>Github!F$1008+Github!G$1008</f>
        <v>1822</v>
      </c>
      <c r="F1009" s="18">
        <f t="shared" si="1"/>
        <v>7.76</v>
      </c>
      <c r="G1009" s="17" t="str">
        <f>Github!H$1008</f>
        <v>Algorithms</v>
      </c>
      <c r="H1009" s="17" t="b">
        <f>Github!D$1008</f>
        <v>0</v>
      </c>
      <c r="I1009" s="17" t="str">
        <f>Github!E$1008</f>
        <v>Medium</v>
      </c>
      <c r="J1009" s="17" t="str">
        <f>ROUND(Github!N$1008, 2)&amp;"%"</f>
        <v>0%</v>
      </c>
      <c r="K1009" s="17">
        <f>Github!O$1008</f>
        <v>50.74002783</v>
      </c>
      <c r="L1009" s="17">
        <f>Github!P$1008</f>
        <v>140761</v>
      </c>
    </row>
    <row r="1010">
      <c r="A1010" s="17">
        <f>Github!J$1009</f>
        <v>1008</v>
      </c>
      <c r="B1010" s="34" t="str">
        <f>HYPERLINK(CONCAT("http://leetcode.com/problems/",Github!C$1009), Github!B$1009)</f>
        <v>Construct Binary Search Tree from Preorder Traversal</v>
      </c>
      <c r="C1010" s="17">
        <f>Github!F$1009</f>
        <v>3408</v>
      </c>
      <c r="D1010" s="17">
        <f>Github!G$1009</f>
        <v>58</v>
      </c>
      <c r="E1010" s="17">
        <f>Github!F$1009+Github!G$1009</f>
        <v>3466</v>
      </c>
      <c r="F1010" s="18">
        <f t="shared" si="1"/>
        <v>58.76</v>
      </c>
      <c r="G1010" s="17" t="str">
        <f>Github!H$1009</f>
        <v>Algorithms</v>
      </c>
      <c r="H1010" s="17" t="b">
        <f>Github!D$1009</f>
        <v>0</v>
      </c>
      <c r="I1010" s="17" t="str">
        <f>Github!E$1009</f>
        <v>Medium</v>
      </c>
      <c r="J1010" s="17" t="str">
        <f>ROUND(Github!N$1009, 2)&amp;"%"</f>
        <v>0%</v>
      </c>
      <c r="K1010" s="17">
        <f>Github!O$1009</f>
        <v>80.09697125</v>
      </c>
      <c r="L1010" s="17">
        <f>Github!P$1009</f>
        <v>224337</v>
      </c>
    </row>
    <row r="1011">
      <c r="A1011" s="17">
        <f>Github!J$1010</f>
        <v>1009</v>
      </c>
      <c r="B1011" s="34" t="str">
        <f>HYPERLINK(CONCAT("http://leetcode.com/problems/",Github!C$1010), Github!B$1010)</f>
        <v>Complement of Base 10 Integer</v>
      </c>
      <c r="C1011" s="17">
        <f>Github!F$1010</f>
        <v>1265</v>
      </c>
      <c r="D1011" s="17">
        <f>Github!G$1010</f>
        <v>69</v>
      </c>
      <c r="E1011" s="17">
        <f>Github!F$1010+Github!G$1010</f>
        <v>1334</v>
      </c>
      <c r="F1011" s="18">
        <f t="shared" si="1"/>
        <v>18.33</v>
      </c>
      <c r="G1011" s="17" t="str">
        <f>Github!H$1010</f>
        <v>Algorithms</v>
      </c>
      <c r="H1011" s="17" t="b">
        <f>Github!D$1010</f>
        <v>0</v>
      </c>
      <c r="I1011" s="17" t="str">
        <f>Github!E$1010</f>
        <v>Easy</v>
      </c>
      <c r="J1011" s="17" t="str">
        <f>ROUND(Github!N$1010, 2)&amp;"%"</f>
        <v>0%</v>
      </c>
      <c r="K1011" s="17">
        <f>Github!O$1010</f>
        <v>62.33718415</v>
      </c>
      <c r="L1011" s="17">
        <f>Github!P$1010</f>
        <v>121894</v>
      </c>
    </row>
    <row r="1012">
      <c r="A1012" s="17">
        <f>Github!J$1011</f>
        <v>1010</v>
      </c>
      <c r="B1012" s="34" t="str">
        <f>HYPERLINK(CONCAT("http://leetcode.com/problems/",Github!C$1011), Github!B$1011)</f>
        <v>Pairs of Songs With Total Durations Divisible by 60</v>
      </c>
      <c r="C1012" s="17">
        <f>Github!F$1011</f>
        <v>3011</v>
      </c>
      <c r="D1012" s="17">
        <f>Github!G$1011</f>
        <v>116</v>
      </c>
      <c r="E1012" s="17">
        <f>Github!F$1011+Github!G$1011</f>
        <v>3127</v>
      </c>
      <c r="F1012" s="18">
        <f t="shared" si="1"/>
        <v>25.96</v>
      </c>
      <c r="G1012" s="17" t="str">
        <f>Github!H$1011</f>
        <v>Algorithms</v>
      </c>
      <c r="H1012" s="17" t="b">
        <f>Github!D$1011</f>
        <v>0</v>
      </c>
      <c r="I1012" s="17" t="str">
        <f>Github!E$1011</f>
        <v>Medium</v>
      </c>
      <c r="J1012" s="17" t="str">
        <f>ROUND(Github!N$1011, 2)&amp;"%"</f>
        <v>0%</v>
      </c>
      <c r="K1012" s="17">
        <f>Github!O$1011</f>
        <v>53.77177655</v>
      </c>
      <c r="L1012" s="17">
        <f>Github!P$1011</f>
        <v>184020</v>
      </c>
    </row>
    <row r="1013">
      <c r="A1013" s="17">
        <f>Github!J$1012</f>
        <v>1011</v>
      </c>
      <c r="B1013" s="34" t="str">
        <f>HYPERLINK(CONCAT("http://leetcode.com/problems/",Github!C$1012), Github!B$1012)</f>
        <v>Capacity To Ship Packages Within D Days</v>
      </c>
      <c r="C1013" s="17">
        <f>Github!F$1012</f>
        <v>3853</v>
      </c>
      <c r="D1013" s="17">
        <f>Github!G$1012</f>
        <v>92</v>
      </c>
      <c r="E1013" s="17">
        <f>Github!F$1012+Github!G$1012</f>
        <v>3945</v>
      </c>
      <c r="F1013" s="18">
        <f t="shared" si="1"/>
        <v>41.88</v>
      </c>
      <c r="G1013" s="17" t="str">
        <f>Github!H$1012</f>
        <v>Algorithms</v>
      </c>
      <c r="H1013" s="17" t="b">
        <f>Github!D$1012</f>
        <v>0</v>
      </c>
      <c r="I1013" s="17" t="str">
        <f>Github!E$1012</f>
        <v>Medium</v>
      </c>
      <c r="J1013" s="17" t="str">
        <f>ROUND(Github!N$1012, 2)&amp;"%"</f>
        <v>0%</v>
      </c>
      <c r="K1013" s="17">
        <f>Github!O$1012</f>
        <v>63.21295968</v>
      </c>
      <c r="L1013" s="17">
        <f>Github!P$1012</f>
        <v>133641</v>
      </c>
    </row>
    <row r="1014">
      <c r="A1014" s="17">
        <f>Github!J$1013</f>
        <v>1012</v>
      </c>
      <c r="B1014" s="34" t="str">
        <f>HYPERLINK(CONCAT("http://leetcode.com/problems/",Github!C$1013), Github!B$1013)</f>
        <v>Numbers With Repeated Digits</v>
      </c>
      <c r="C1014" s="17">
        <f>Github!F$1013</f>
        <v>381</v>
      </c>
      <c r="D1014" s="17">
        <f>Github!G$1013</f>
        <v>59</v>
      </c>
      <c r="E1014" s="17">
        <f>Github!F$1013+Github!G$1013</f>
        <v>440</v>
      </c>
      <c r="F1014" s="18">
        <f t="shared" si="1"/>
        <v>6.46</v>
      </c>
      <c r="G1014" s="17" t="str">
        <f>Github!H$1013</f>
        <v>Algorithms</v>
      </c>
      <c r="H1014" s="17" t="b">
        <f>Github!D$1013</f>
        <v>0</v>
      </c>
      <c r="I1014" s="17" t="str">
        <f>Github!E$1013</f>
        <v>Hard</v>
      </c>
      <c r="J1014" s="17" t="str">
        <f>ROUND(Github!N$1013, 2)&amp;"%"</f>
        <v>0%</v>
      </c>
      <c r="K1014" s="17">
        <f>Github!O$1013</f>
        <v>38.45548709</v>
      </c>
      <c r="L1014" s="17">
        <f>Github!P$1013</f>
        <v>8799</v>
      </c>
    </row>
    <row r="1015">
      <c r="A1015" s="17">
        <f>Github!J$1014</f>
        <v>1013</v>
      </c>
      <c r="B1015" s="34" t="str">
        <f>HYPERLINK(CONCAT("http://leetcode.com/problems/",Github!C$1014), Github!B$1014)</f>
        <v>Partition Array Into Three Parts With Equal Sum</v>
      </c>
      <c r="C1015" s="17">
        <f>Github!F$1014</f>
        <v>1052</v>
      </c>
      <c r="D1015" s="17">
        <f>Github!G$1014</f>
        <v>115</v>
      </c>
      <c r="E1015" s="17">
        <f>Github!F$1014+Github!G$1014</f>
        <v>1167</v>
      </c>
      <c r="F1015" s="18">
        <f t="shared" si="1"/>
        <v>9.15</v>
      </c>
      <c r="G1015" s="17" t="str">
        <f>Github!H$1014</f>
        <v>Algorithms</v>
      </c>
      <c r="H1015" s="17" t="b">
        <f>Github!D$1014</f>
        <v>0</v>
      </c>
      <c r="I1015" s="17" t="str">
        <f>Github!E$1014</f>
        <v>Easy</v>
      </c>
      <c r="J1015" s="17" t="str">
        <f>ROUND(Github!N$1014, 2)&amp;"%"</f>
        <v>0%</v>
      </c>
      <c r="K1015" s="17">
        <f>Github!O$1014</f>
        <v>44.70410773</v>
      </c>
      <c r="L1015" s="17">
        <f>Github!P$1014</f>
        <v>61346</v>
      </c>
    </row>
    <row r="1016">
      <c r="A1016" s="17">
        <f>Github!J$1015</f>
        <v>1014</v>
      </c>
      <c r="B1016" s="34" t="str">
        <f>HYPERLINK(CONCAT("http://leetcode.com/problems/",Github!C$1015), Github!B$1015)</f>
        <v>Best Sightseeing Pair</v>
      </c>
      <c r="C1016" s="17">
        <f>Github!F$1015</f>
        <v>1461</v>
      </c>
      <c r="D1016" s="17">
        <f>Github!G$1015</f>
        <v>38</v>
      </c>
      <c r="E1016" s="17">
        <f>Github!F$1015+Github!G$1015</f>
        <v>1499</v>
      </c>
      <c r="F1016" s="18">
        <f t="shared" si="1"/>
        <v>38.45</v>
      </c>
      <c r="G1016" s="17" t="str">
        <f>Github!H$1015</f>
        <v>Algorithms</v>
      </c>
      <c r="H1016" s="17" t="b">
        <f>Github!D$1015</f>
        <v>0</v>
      </c>
      <c r="I1016" s="17" t="str">
        <f>Github!E$1015</f>
        <v>Medium</v>
      </c>
      <c r="J1016" s="17" t="str">
        <f>ROUND(Github!N$1015, 2)&amp;"%"</f>
        <v>0%</v>
      </c>
      <c r="K1016" s="17">
        <f>Github!O$1015</f>
        <v>58.22813863</v>
      </c>
      <c r="L1016" s="17">
        <f>Github!P$1015</f>
        <v>50737</v>
      </c>
    </row>
    <row r="1017">
      <c r="A1017" s="17">
        <f>Github!J$1016</f>
        <v>1015</v>
      </c>
      <c r="B1017" s="34" t="str">
        <f>HYPERLINK(CONCAT("http://leetcode.com/problems/",Github!C$1016), Github!B$1016)</f>
        <v>Smallest Integer Divisible by K</v>
      </c>
      <c r="C1017" s="17">
        <f>Github!F$1016</f>
        <v>959</v>
      </c>
      <c r="D1017" s="17">
        <f>Github!G$1016</f>
        <v>789</v>
      </c>
      <c r="E1017" s="17">
        <f>Github!F$1016+Github!G$1016</f>
        <v>1748</v>
      </c>
      <c r="F1017" s="18">
        <f t="shared" si="1"/>
        <v>1.22</v>
      </c>
      <c r="G1017" s="17" t="str">
        <f>Github!H$1016</f>
        <v>Algorithms</v>
      </c>
      <c r="H1017" s="17" t="b">
        <f>Github!D$1016</f>
        <v>0</v>
      </c>
      <c r="I1017" s="17" t="str">
        <f>Github!E$1016</f>
        <v>Medium</v>
      </c>
      <c r="J1017" s="17" t="str">
        <f>ROUND(Github!N$1016, 2)&amp;"%"</f>
        <v>0%</v>
      </c>
      <c r="K1017" s="17">
        <f>Github!O$1016</f>
        <v>46.95386955</v>
      </c>
      <c r="L1017" s="17">
        <f>Github!P$1016</f>
        <v>54343</v>
      </c>
    </row>
    <row r="1018">
      <c r="A1018" s="17">
        <f>Github!J$1017</f>
        <v>1016</v>
      </c>
      <c r="B1018" s="34" t="str">
        <f>HYPERLINK(CONCAT("http://leetcode.com/problems/",Github!C$1017), Github!B$1017)</f>
        <v>Binary String With Substrings Representing 1 To N</v>
      </c>
      <c r="C1018" s="17">
        <f>Github!F$1017</f>
        <v>237</v>
      </c>
      <c r="D1018" s="17">
        <f>Github!G$1017</f>
        <v>448</v>
      </c>
      <c r="E1018" s="17">
        <f>Github!F$1017+Github!G$1017</f>
        <v>685</v>
      </c>
      <c r="F1018" s="18">
        <f t="shared" si="1"/>
        <v>0.53</v>
      </c>
      <c r="G1018" s="17" t="str">
        <f>Github!H$1017</f>
        <v>Algorithms</v>
      </c>
      <c r="H1018" s="17" t="b">
        <f>Github!D$1017</f>
        <v>0</v>
      </c>
      <c r="I1018" s="17" t="str">
        <f>Github!E$1017</f>
        <v>Medium</v>
      </c>
      <c r="J1018" s="17" t="str">
        <f>ROUND(Github!N$1017, 2)&amp;"%"</f>
        <v>0%</v>
      </c>
      <c r="K1018" s="17">
        <f>Github!O$1017</f>
        <v>57.95186507</v>
      </c>
      <c r="L1018" s="17">
        <f>Github!P$1017</f>
        <v>27763</v>
      </c>
    </row>
    <row r="1019">
      <c r="A1019" s="17">
        <f>Github!J$1018</f>
        <v>1017</v>
      </c>
      <c r="B1019" s="34" t="str">
        <f>HYPERLINK(CONCAT("http://leetcode.com/problems/",Github!C$1018), Github!B$1018)</f>
        <v>Convert to Base -2</v>
      </c>
      <c r="C1019" s="17">
        <f>Github!F$1018</f>
        <v>336</v>
      </c>
      <c r="D1019" s="17">
        <f>Github!G$1018</f>
        <v>219</v>
      </c>
      <c r="E1019" s="17">
        <f>Github!F$1018+Github!G$1018</f>
        <v>555</v>
      </c>
      <c r="F1019" s="18">
        <f t="shared" si="1"/>
        <v>1.53</v>
      </c>
      <c r="G1019" s="17" t="str">
        <f>Github!H$1018</f>
        <v>Algorithms</v>
      </c>
      <c r="H1019" s="17" t="b">
        <f>Github!D$1018</f>
        <v>0</v>
      </c>
      <c r="I1019" s="17" t="str">
        <f>Github!E$1018</f>
        <v>Medium</v>
      </c>
      <c r="J1019" s="17" t="str">
        <f>ROUND(Github!N$1018, 2)&amp;"%"</f>
        <v>0%</v>
      </c>
      <c r="K1019" s="17">
        <f>Github!O$1018</f>
        <v>60.00271767</v>
      </c>
      <c r="L1019" s="17">
        <f>Github!P$1018</f>
        <v>17663</v>
      </c>
    </row>
    <row r="1020">
      <c r="A1020" s="17">
        <f>Github!J$1019</f>
        <v>1018</v>
      </c>
      <c r="B1020" s="34" t="str">
        <f>HYPERLINK(CONCAT("http://leetcode.com/problems/",Github!C$1019), Github!B$1019)</f>
        <v>Binary Prefix Divisible By 5</v>
      </c>
      <c r="C1020" s="17">
        <f>Github!F$1019</f>
        <v>497</v>
      </c>
      <c r="D1020" s="17">
        <f>Github!G$1019</f>
        <v>135</v>
      </c>
      <c r="E1020" s="17">
        <f>Github!F$1019+Github!G$1019</f>
        <v>632</v>
      </c>
      <c r="F1020" s="18">
        <f t="shared" si="1"/>
        <v>3.68</v>
      </c>
      <c r="G1020" s="17" t="str">
        <f>Github!H$1019</f>
        <v>Algorithms</v>
      </c>
      <c r="H1020" s="17" t="b">
        <f>Github!D$1019</f>
        <v>0</v>
      </c>
      <c r="I1020" s="17" t="str">
        <f>Github!E$1019</f>
        <v>Easy</v>
      </c>
      <c r="J1020" s="17" t="str">
        <f>ROUND(Github!N$1019, 2)&amp;"%"</f>
        <v>0%</v>
      </c>
      <c r="K1020" s="17">
        <f>Github!O$1019</f>
        <v>47.54349987</v>
      </c>
      <c r="L1020" s="17">
        <f>Github!P$1019</f>
        <v>37789</v>
      </c>
    </row>
    <row r="1021">
      <c r="A1021" s="17">
        <f>Github!J$1020</f>
        <v>1019</v>
      </c>
      <c r="B1021" s="34" t="str">
        <f>HYPERLINK(CONCAT("http://leetcode.com/problems/",Github!C$1020), Github!B$1020)</f>
        <v>Next Greater Node In Linked List</v>
      </c>
      <c r="C1021" s="17">
        <f>Github!F$1020</f>
        <v>2042</v>
      </c>
      <c r="D1021" s="17">
        <f>Github!G$1020</f>
        <v>97</v>
      </c>
      <c r="E1021" s="17">
        <f>Github!F$1020+Github!G$1020</f>
        <v>2139</v>
      </c>
      <c r="F1021" s="18">
        <f t="shared" si="1"/>
        <v>21.05</v>
      </c>
      <c r="G1021" s="17" t="str">
        <f>Github!H$1020</f>
        <v>Algorithms</v>
      </c>
      <c r="H1021" s="17" t="b">
        <f>Github!D$1020</f>
        <v>0</v>
      </c>
      <c r="I1021" s="17" t="str">
        <f>Github!E$1020</f>
        <v>Medium</v>
      </c>
      <c r="J1021" s="17" t="str">
        <f>ROUND(Github!N$1020, 2)&amp;"%"</f>
        <v>0%</v>
      </c>
      <c r="K1021" s="17">
        <f>Github!O$1020</f>
        <v>59.56619416</v>
      </c>
      <c r="L1021" s="17">
        <f>Github!P$1020</f>
        <v>97571</v>
      </c>
    </row>
    <row r="1022">
      <c r="A1022" s="17">
        <f>Github!J$1021</f>
        <v>1020</v>
      </c>
      <c r="B1022" s="34" t="str">
        <f>HYPERLINK(CONCAT("http://leetcode.com/problems/",Github!C$1021), Github!B$1021)</f>
        <v>Number of Enclaves</v>
      </c>
      <c r="C1022" s="17">
        <f>Github!F$1021</f>
        <v>1047</v>
      </c>
      <c r="D1022" s="17">
        <f>Github!G$1021</f>
        <v>30</v>
      </c>
      <c r="E1022" s="17">
        <f>Github!F$1021+Github!G$1021</f>
        <v>1077</v>
      </c>
      <c r="F1022" s="18">
        <f t="shared" si="1"/>
        <v>34.9</v>
      </c>
      <c r="G1022" s="17" t="str">
        <f>Github!H$1021</f>
        <v>Algorithms</v>
      </c>
      <c r="H1022" s="17" t="b">
        <f>Github!D$1021</f>
        <v>0</v>
      </c>
      <c r="I1022" s="17" t="str">
        <f>Github!E$1021</f>
        <v>Medium</v>
      </c>
      <c r="J1022" s="17" t="str">
        <f>ROUND(Github!N$1021, 2)&amp;"%"</f>
        <v>0%</v>
      </c>
      <c r="K1022" s="17">
        <f>Github!O$1021</f>
        <v>61.99042905</v>
      </c>
      <c r="L1022" s="17">
        <f>Github!P$1021</f>
        <v>45201</v>
      </c>
    </row>
    <row r="1023">
      <c r="A1023" s="17">
        <f>Github!J$1022</f>
        <v>1021</v>
      </c>
      <c r="B1023" s="34" t="str">
        <f>HYPERLINK(CONCAT("http://leetcode.com/problems/",Github!C$1022), Github!B$1022)</f>
        <v>Remove Outermost Parentheses</v>
      </c>
      <c r="C1023" s="17">
        <f>Github!F$1022</f>
        <v>1188</v>
      </c>
      <c r="D1023" s="17">
        <f>Github!G$1022</f>
        <v>1146</v>
      </c>
      <c r="E1023" s="17">
        <f>Github!F$1022+Github!G$1022</f>
        <v>2334</v>
      </c>
      <c r="F1023" s="18">
        <f t="shared" si="1"/>
        <v>1.04</v>
      </c>
      <c r="G1023" s="17" t="str">
        <f>Github!H$1022</f>
        <v>Algorithms</v>
      </c>
      <c r="H1023" s="17" t="b">
        <f>Github!D$1022</f>
        <v>0</v>
      </c>
      <c r="I1023" s="17" t="str">
        <f>Github!E$1022</f>
        <v>Easy</v>
      </c>
      <c r="J1023" s="17" t="str">
        <f>ROUND(Github!N$1022, 2)&amp;"%"</f>
        <v>0%</v>
      </c>
      <c r="K1023" s="17">
        <f>Github!O$1022</f>
        <v>79.75118347</v>
      </c>
      <c r="L1023" s="17">
        <f>Github!P$1022</f>
        <v>165774</v>
      </c>
    </row>
    <row r="1024">
      <c r="A1024" s="17">
        <f>Github!J$1023</f>
        <v>1022</v>
      </c>
      <c r="B1024" s="34" t="str">
        <f>HYPERLINK(CONCAT("http://leetcode.com/problems/",Github!C$1023), Github!B$1023)</f>
        <v>Sum of Root To Leaf Binary Numbers</v>
      </c>
      <c r="C1024" s="17">
        <f>Github!F$1023</f>
        <v>2414</v>
      </c>
      <c r="D1024" s="17">
        <f>Github!G$1023</f>
        <v>146</v>
      </c>
      <c r="E1024" s="17">
        <f>Github!F$1023+Github!G$1023</f>
        <v>2560</v>
      </c>
      <c r="F1024" s="18">
        <f t="shared" si="1"/>
        <v>16.53</v>
      </c>
      <c r="G1024" s="17" t="str">
        <f>Github!H$1023</f>
        <v>Algorithms</v>
      </c>
      <c r="H1024" s="17" t="b">
        <f>Github!D$1023</f>
        <v>0</v>
      </c>
      <c r="I1024" s="17" t="str">
        <f>Github!E$1023</f>
        <v>Easy</v>
      </c>
      <c r="J1024" s="17" t="str">
        <f>ROUND(Github!N$1023, 2)&amp;"%"</f>
        <v>0%</v>
      </c>
      <c r="K1024" s="17">
        <f>Github!O$1023</f>
        <v>73.89558043</v>
      </c>
      <c r="L1024" s="17">
        <f>Github!P$1023</f>
        <v>156198</v>
      </c>
    </row>
    <row r="1025">
      <c r="A1025" s="17">
        <f>Github!J$1024</f>
        <v>1023</v>
      </c>
      <c r="B1025" s="34" t="str">
        <f>HYPERLINK(CONCAT("http://leetcode.com/problems/",Github!C$1024), Github!B$1024)</f>
        <v>Camelcase Matching</v>
      </c>
      <c r="C1025" s="17">
        <f>Github!F$1024</f>
        <v>522</v>
      </c>
      <c r="D1025" s="17">
        <f>Github!G$1024</f>
        <v>217</v>
      </c>
      <c r="E1025" s="17">
        <f>Github!F$1024+Github!G$1024</f>
        <v>739</v>
      </c>
      <c r="F1025" s="18">
        <f t="shared" si="1"/>
        <v>2.41</v>
      </c>
      <c r="G1025" s="17" t="str">
        <f>Github!H$1024</f>
        <v>Algorithms</v>
      </c>
      <c r="H1025" s="17" t="b">
        <f>Github!D$1024</f>
        <v>0</v>
      </c>
      <c r="I1025" s="17" t="str">
        <f>Github!E$1024</f>
        <v>Medium</v>
      </c>
      <c r="J1025" s="17" t="str">
        <f>ROUND(Github!N$1024, 2)&amp;"%"</f>
        <v>0%</v>
      </c>
      <c r="K1025" s="17">
        <f>Github!O$1024</f>
        <v>58.93235803</v>
      </c>
      <c r="L1025" s="17">
        <f>Github!P$1024</f>
        <v>30293</v>
      </c>
    </row>
    <row r="1026">
      <c r="A1026" s="17">
        <f>Github!J$1025</f>
        <v>1024</v>
      </c>
      <c r="B1026" s="34" t="str">
        <f>HYPERLINK(CONCAT("http://leetcode.com/problems/",Github!C$1025), Github!B$1025)</f>
        <v>Video Stitching</v>
      </c>
      <c r="C1026" s="17">
        <f>Github!F$1025</f>
        <v>1145</v>
      </c>
      <c r="D1026" s="17">
        <f>Github!G$1025</f>
        <v>47</v>
      </c>
      <c r="E1026" s="17">
        <f>Github!F$1025+Github!G$1025</f>
        <v>1192</v>
      </c>
      <c r="F1026" s="18">
        <f t="shared" si="1"/>
        <v>24.36</v>
      </c>
      <c r="G1026" s="17" t="str">
        <f>Github!H$1025</f>
        <v>Algorithms</v>
      </c>
      <c r="H1026" s="17" t="b">
        <f>Github!D$1025</f>
        <v>0</v>
      </c>
      <c r="I1026" s="17" t="str">
        <f>Github!E$1025</f>
        <v>Medium</v>
      </c>
      <c r="J1026" s="17" t="str">
        <f>ROUND(Github!N$1025, 2)&amp;"%"</f>
        <v>0%</v>
      </c>
      <c r="K1026" s="17">
        <f>Github!O$1025</f>
        <v>49.99170987</v>
      </c>
      <c r="L1026" s="17">
        <f>Github!P$1025</f>
        <v>45227</v>
      </c>
    </row>
    <row r="1027">
      <c r="A1027" s="17">
        <f>Github!J$1026</f>
        <v>1025</v>
      </c>
      <c r="B1027" s="34" t="str">
        <f>HYPERLINK(CONCAT("http://leetcode.com/problems/",Github!C$1026), Github!B$1026)</f>
        <v>Divisor Game</v>
      </c>
      <c r="C1027" s="17">
        <f>Github!F$1026</f>
        <v>1225</v>
      </c>
      <c r="D1027" s="17">
        <f>Github!G$1026</f>
        <v>2943</v>
      </c>
      <c r="E1027" s="17">
        <f>Github!F$1026+Github!G$1026</f>
        <v>4168</v>
      </c>
      <c r="F1027" s="18">
        <f t="shared" si="1"/>
        <v>0.42</v>
      </c>
      <c r="G1027" s="17" t="str">
        <f>Github!H$1026</f>
        <v>Algorithms</v>
      </c>
      <c r="H1027" s="17" t="b">
        <f>Github!D$1026</f>
        <v>0</v>
      </c>
      <c r="I1027" s="17" t="str">
        <f>Github!E$1026</f>
        <v>Easy</v>
      </c>
      <c r="J1027" s="17" t="str">
        <f>ROUND(Github!N$1026, 2)&amp;"%"</f>
        <v>0%</v>
      </c>
      <c r="K1027" s="17">
        <f>Github!O$1026</f>
        <v>66.55022389</v>
      </c>
      <c r="L1027" s="17">
        <f>Github!P$1026</f>
        <v>146692</v>
      </c>
    </row>
    <row r="1028">
      <c r="A1028" s="17">
        <f>Github!J$1027</f>
        <v>1026</v>
      </c>
      <c r="B1028" s="34" t="str">
        <f>HYPERLINK(CONCAT("http://leetcode.com/problems/",Github!C$1027), Github!B$1027)</f>
        <v>Maximum Difference Between Node and Ancestor</v>
      </c>
      <c r="C1028" s="17">
        <f>Github!F$1027</f>
        <v>2258</v>
      </c>
      <c r="D1028" s="17">
        <f>Github!G$1027</f>
        <v>63</v>
      </c>
      <c r="E1028" s="17">
        <f>Github!F$1027+Github!G$1027</f>
        <v>2321</v>
      </c>
      <c r="F1028" s="18">
        <f t="shared" si="1"/>
        <v>35.84</v>
      </c>
      <c r="G1028" s="17" t="str">
        <f>Github!H$1027</f>
        <v>Algorithms</v>
      </c>
      <c r="H1028" s="17" t="b">
        <f>Github!D$1027</f>
        <v>0</v>
      </c>
      <c r="I1028" s="17" t="str">
        <f>Github!E$1027</f>
        <v>Medium</v>
      </c>
      <c r="J1028" s="17" t="str">
        <f>ROUND(Github!N$1027, 2)&amp;"%"</f>
        <v>0%</v>
      </c>
      <c r="K1028" s="17">
        <f>Github!O$1027</f>
        <v>73.09993929</v>
      </c>
      <c r="L1028" s="17">
        <f>Github!P$1027</f>
        <v>126427</v>
      </c>
    </row>
    <row r="1029">
      <c r="A1029" s="17">
        <f>Github!J$1028</f>
        <v>1027</v>
      </c>
      <c r="B1029" s="34" t="str">
        <f>HYPERLINK(CONCAT("http://leetcode.com/problems/",Github!C$1028), Github!B$1028)</f>
        <v>Longest Arithmetic Subsequence</v>
      </c>
      <c r="C1029" s="17">
        <f>Github!F$1028</f>
        <v>1972</v>
      </c>
      <c r="D1029" s="17">
        <f>Github!G$1028</f>
        <v>94</v>
      </c>
      <c r="E1029" s="17">
        <f>Github!F$1028+Github!G$1028</f>
        <v>2066</v>
      </c>
      <c r="F1029" s="18">
        <f t="shared" si="1"/>
        <v>20.98</v>
      </c>
      <c r="G1029" s="17" t="str">
        <f>Github!H$1028</f>
        <v>Algorithms</v>
      </c>
      <c r="H1029" s="17" t="b">
        <f>Github!D$1028</f>
        <v>0</v>
      </c>
      <c r="I1029" s="17" t="str">
        <f>Github!E$1028</f>
        <v>Medium</v>
      </c>
      <c r="J1029" s="17" t="str">
        <f>ROUND(Github!N$1028, 2)&amp;"%"</f>
        <v>0%</v>
      </c>
      <c r="K1029" s="17">
        <f>Github!O$1028</f>
        <v>48.33353731</v>
      </c>
      <c r="L1029" s="17">
        <f>Github!P$1028</f>
        <v>82936</v>
      </c>
    </row>
    <row r="1030">
      <c r="A1030" s="17">
        <f>Github!J$1029</f>
        <v>1028</v>
      </c>
      <c r="B1030" s="34" t="str">
        <f>HYPERLINK(CONCAT("http://leetcode.com/problems/",Github!C$1029), Github!B$1029)</f>
        <v>Recover a Tree From Preorder Traversal</v>
      </c>
      <c r="C1030" s="17">
        <f>Github!F$1029</f>
        <v>988</v>
      </c>
      <c r="D1030" s="17">
        <f>Github!G$1029</f>
        <v>29</v>
      </c>
      <c r="E1030" s="17">
        <f>Github!F$1029+Github!G$1029</f>
        <v>1017</v>
      </c>
      <c r="F1030" s="18">
        <f t="shared" si="1"/>
        <v>34.07</v>
      </c>
      <c r="G1030" s="17" t="str">
        <f>Github!H$1029</f>
        <v>Algorithms</v>
      </c>
      <c r="H1030" s="17" t="b">
        <f>Github!D$1029</f>
        <v>0</v>
      </c>
      <c r="I1030" s="17" t="str">
        <f>Github!E$1029</f>
        <v>Hard</v>
      </c>
      <c r="J1030" s="17" t="str">
        <f>ROUND(Github!N$1029, 2)&amp;"%"</f>
        <v>0%</v>
      </c>
      <c r="K1030" s="17">
        <f>Github!O$1029</f>
        <v>72.23468507</v>
      </c>
      <c r="L1030" s="17">
        <f>Github!P$1029</f>
        <v>33488</v>
      </c>
    </row>
    <row r="1031">
      <c r="A1031" s="17">
        <f>Github!J$1030</f>
        <v>1029</v>
      </c>
      <c r="B1031" s="34" t="str">
        <f>HYPERLINK(CONCAT("http://leetcode.com/problems/",Github!C$1030), Github!B$1030)</f>
        <v>Two City Scheduling</v>
      </c>
      <c r="C1031" s="17">
        <f>Github!F$1030</f>
        <v>2367</v>
      </c>
      <c r="D1031" s="17">
        <f>Github!G$1030</f>
        <v>230</v>
      </c>
      <c r="E1031" s="17">
        <f>Github!F$1030+Github!G$1030</f>
        <v>2597</v>
      </c>
      <c r="F1031" s="18">
        <f t="shared" si="1"/>
        <v>10.29</v>
      </c>
      <c r="G1031" s="17" t="str">
        <f>Github!H$1030</f>
        <v>Algorithms</v>
      </c>
      <c r="H1031" s="17" t="b">
        <f>Github!D$1030</f>
        <v>0</v>
      </c>
      <c r="I1031" s="17" t="str">
        <f>Github!E$1030</f>
        <v>Medium</v>
      </c>
      <c r="J1031" s="17" t="str">
        <f>ROUND(Github!N$1030, 2)&amp;"%"</f>
        <v>0%</v>
      </c>
      <c r="K1031" s="17">
        <f>Github!O$1030</f>
        <v>60.00071488</v>
      </c>
      <c r="L1031" s="17">
        <f>Github!P$1030</f>
        <v>134290</v>
      </c>
    </row>
    <row r="1032">
      <c r="A1032" s="17">
        <f>Github!J$1031</f>
        <v>1030</v>
      </c>
      <c r="B1032" s="34" t="str">
        <f>HYPERLINK(CONCAT("http://leetcode.com/problems/",Github!C$1031), Github!B$1031)</f>
        <v>Matrix Cells in Distance Order</v>
      </c>
      <c r="C1032" s="17">
        <f>Github!F$1031</f>
        <v>459</v>
      </c>
      <c r="D1032" s="17">
        <f>Github!G$1031</f>
        <v>214</v>
      </c>
      <c r="E1032" s="17">
        <f>Github!F$1031+Github!G$1031</f>
        <v>673</v>
      </c>
      <c r="F1032" s="18">
        <f t="shared" si="1"/>
        <v>2.14</v>
      </c>
      <c r="G1032" s="17" t="str">
        <f>Github!H$1031</f>
        <v>Algorithms</v>
      </c>
      <c r="H1032" s="17" t="b">
        <f>Github!D$1031</f>
        <v>0</v>
      </c>
      <c r="I1032" s="17" t="str">
        <f>Github!E$1031</f>
        <v>Easy</v>
      </c>
      <c r="J1032" s="17" t="str">
        <f>ROUND(Github!N$1031, 2)&amp;"%"</f>
        <v>0%</v>
      </c>
      <c r="K1032" s="17">
        <f>Github!O$1031</f>
        <v>68.92923808</v>
      </c>
      <c r="L1032" s="17">
        <f>Github!P$1031</f>
        <v>40620</v>
      </c>
    </row>
    <row r="1033">
      <c r="A1033" s="17">
        <f>Github!J$1032</f>
        <v>1031</v>
      </c>
      <c r="B1033" s="34" t="str">
        <f>HYPERLINK(CONCAT("http://leetcode.com/problems/",Github!C$1032), Github!B$1032)</f>
        <v>Maximum Sum of Two Non-Overlapping Subarrays</v>
      </c>
      <c r="C1033" s="17">
        <f>Github!F$1032</f>
        <v>1605</v>
      </c>
      <c r="D1033" s="17">
        <f>Github!G$1032</f>
        <v>69</v>
      </c>
      <c r="E1033" s="17">
        <f>Github!F$1032+Github!G$1032</f>
        <v>1674</v>
      </c>
      <c r="F1033" s="18">
        <f t="shared" si="1"/>
        <v>23.26</v>
      </c>
      <c r="G1033" s="17" t="str">
        <f>Github!H$1032</f>
        <v>Algorithms</v>
      </c>
      <c r="H1033" s="17" t="b">
        <f>Github!D$1032</f>
        <v>0</v>
      </c>
      <c r="I1033" s="17" t="str">
        <f>Github!E$1032</f>
        <v>Medium</v>
      </c>
      <c r="J1033" s="17" t="str">
        <f>ROUND(Github!N$1032, 2)&amp;"%"</f>
        <v>0%</v>
      </c>
      <c r="K1033" s="17">
        <f>Github!O$1032</f>
        <v>59.3634446</v>
      </c>
      <c r="L1033" s="17">
        <f>Github!P$1032</f>
        <v>47841</v>
      </c>
    </row>
    <row r="1034">
      <c r="A1034" s="17">
        <f>Github!J$1033</f>
        <v>1032</v>
      </c>
      <c r="B1034" s="34" t="str">
        <f>HYPERLINK(CONCAT("http://leetcode.com/problems/",Github!C$1033), Github!B$1033)</f>
        <v>Stream of Characters</v>
      </c>
      <c r="C1034" s="17">
        <f>Github!F$1033</f>
        <v>1480</v>
      </c>
      <c r="D1034" s="17">
        <f>Github!G$1033</f>
        <v>168</v>
      </c>
      <c r="E1034" s="17">
        <f>Github!F$1033+Github!G$1033</f>
        <v>1648</v>
      </c>
      <c r="F1034" s="18">
        <f t="shared" si="1"/>
        <v>8.81</v>
      </c>
      <c r="G1034" s="17" t="str">
        <f>Github!H$1033</f>
        <v>Algorithms</v>
      </c>
      <c r="H1034" s="17" t="b">
        <f>Github!D$1033</f>
        <v>0</v>
      </c>
      <c r="I1034" s="17" t="str">
        <f>Github!E$1033</f>
        <v>Hard</v>
      </c>
      <c r="J1034" s="17" t="str">
        <f>ROUND(Github!N$1033, 2)&amp;"%"</f>
        <v>0%</v>
      </c>
      <c r="K1034" s="17">
        <f>Github!O$1033</f>
        <v>51.32767802</v>
      </c>
      <c r="L1034" s="17">
        <f>Github!P$1033</f>
        <v>72487</v>
      </c>
    </row>
    <row r="1035">
      <c r="A1035" s="17">
        <f>Github!J$1034</f>
        <v>1033</v>
      </c>
      <c r="B1035" s="34" t="str">
        <f>HYPERLINK(CONCAT("http://leetcode.com/problems/",Github!C$1034), Github!B$1034)</f>
        <v>Moving Stones Until Consecutive</v>
      </c>
      <c r="C1035" s="17">
        <f>Github!F$1034</f>
        <v>145</v>
      </c>
      <c r="D1035" s="17">
        <f>Github!G$1034</f>
        <v>575</v>
      </c>
      <c r="E1035" s="17">
        <f>Github!F$1034+Github!G$1034</f>
        <v>720</v>
      </c>
      <c r="F1035" s="18">
        <f t="shared" si="1"/>
        <v>0.25</v>
      </c>
      <c r="G1035" s="17" t="str">
        <f>Github!H$1034</f>
        <v>Algorithms</v>
      </c>
      <c r="H1035" s="17" t="b">
        <f>Github!D$1034</f>
        <v>0</v>
      </c>
      <c r="I1035" s="17" t="str">
        <f>Github!E$1034</f>
        <v>Medium</v>
      </c>
      <c r="J1035" s="17" t="str">
        <f>ROUND(Github!N$1034, 2)&amp;"%"</f>
        <v>0%</v>
      </c>
      <c r="K1035" s="17">
        <f>Github!O$1034</f>
        <v>44.81217707</v>
      </c>
      <c r="L1035" s="17">
        <f>Github!P$1034</f>
        <v>19254</v>
      </c>
    </row>
    <row r="1036">
      <c r="A1036" s="17">
        <f>Github!J$1035</f>
        <v>1034</v>
      </c>
      <c r="B1036" s="34" t="str">
        <f>HYPERLINK(CONCAT("http://leetcode.com/problems/",Github!C$1035), Github!B$1035)</f>
        <v>Coloring A Border</v>
      </c>
      <c r="C1036" s="17">
        <f>Github!F$1035</f>
        <v>378</v>
      </c>
      <c r="D1036" s="17">
        <f>Github!G$1035</f>
        <v>573</v>
      </c>
      <c r="E1036" s="17">
        <f>Github!F$1035+Github!G$1035</f>
        <v>951</v>
      </c>
      <c r="F1036" s="18">
        <f t="shared" si="1"/>
        <v>0.66</v>
      </c>
      <c r="G1036" s="17" t="str">
        <f>Github!H$1035</f>
        <v>Algorithms</v>
      </c>
      <c r="H1036" s="17" t="b">
        <f>Github!D$1035</f>
        <v>0</v>
      </c>
      <c r="I1036" s="17" t="str">
        <f>Github!E$1035</f>
        <v>Medium</v>
      </c>
      <c r="J1036" s="17" t="str">
        <f>ROUND(Github!N$1035, 2)&amp;"%"</f>
        <v>0%</v>
      </c>
      <c r="K1036" s="17">
        <f>Github!O$1035</f>
        <v>48.16881679</v>
      </c>
      <c r="L1036" s="17">
        <f>Github!P$1035</f>
        <v>21320</v>
      </c>
    </row>
    <row r="1037">
      <c r="A1037" s="17">
        <f>Github!J$1036</f>
        <v>1035</v>
      </c>
      <c r="B1037" s="34" t="str">
        <f>HYPERLINK(CONCAT("http://leetcode.com/problems/",Github!C$1036), Github!B$1036)</f>
        <v>Uncrossed Lines</v>
      </c>
      <c r="C1037" s="17">
        <f>Github!F$1036</f>
        <v>1585</v>
      </c>
      <c r="D1037" s="17">
        <f>Github!G$1036</f>
        <v>27</v>
      </c>
      <c r="E1037" s="17">
        <f>Github!F$1036+Github!G$1036</f>
        <v>1612</v>
      </c>
      <c r="F1037" s="18">
        <f t="shared" si="1"/>
        <v>58.7</v>
      </c>
      <c r="G1037" s="17" t="str">
        <f>Github!H$1036</f>
        <v>Algorithms</v>
      </c>
      <c r="H1037" s="17" t="b">
        <f>Github!D$1036</f>
        <v>0</v>
      </c>
      <c r="I1037" s="17" t="str">
        <f>Github!E$1036</f>
        <v>Medium</v>
      </c>
      <c r="J1037" s="17" t="str">
        <f>ROUND(Github!N$1036, 2)&amp;"%"</f>
        <v>0%</v>
      </c>
      <c r="K1037" s="17">
        <f>Github!O$1036</f>
        <v>57.75215986</v>
      </c>
      <c r="L1037" s="17">
        <f>Github!P$1036</f>
        <v>65577</v>
      </c>
    </row>
    <row r="1038">
      <c r="A1038" s="17">
        <f>Github!J$1037</f>
        <v>1036</v>
      </c>
      <c r="B1038" s="34" t="str">
        <f>HYPERLINK(CONCAT("http://leetcode.com/problems/",Github!C$1037), Github!B$1037)</f>
        <v>Escape a Large Maze</v>
      </c>
      <c r="C1038" s="17">
        <f>Github!F$1037</f>
        <v>440</v>
      </c>
      <c r="D1038" s="17">
        <f>Github!G$1037</f>
        <v>138</v>
      </c>
      <c r="E1038" s="17">
        <f>Github!F$1037+Github!G$1037</f>
        <v>578</v>
      </c>
      <c r="F1038" s="18">
        <f t="shared" si="1"/>
        <v>3.19</v>
      </c>
      <c r="G1038" s="17" t="str">
        <f>Github!H$1037</f>
        <v>Algorithms</v>
      </c>
      <c r="H1038" s="17" t="b">
        <f>Github!D$1037</f>
        <v>0</v>
      </c>
      <c r="I1038" s="17" t="str">
        <f>Github!E$1037</f>
        <v>Hard</v>
      </c>
      <c r="J1038" s="17" t="str">
        <f>ROUND(Github!N$1037, 2)&amp;"%"</f>
        <v>0%</v>
      </c>
      <c r="K1038" s="17">
        <f>Github!O$1037</f>
        <v>34.28745158</v>
      </c>
      <c r="L1038" s="17">
        <f>Github!P$1037</f>
        <v>15224</v>
      </c>
    </row>
    <row r="1039">
      <c r="A1039" s="17">
        <f>Github!J$1038</f>
        <v>1037</v>
      </c>
      <c r="B1039" s="34" t="str">
        <f>HYPERLINK(CONCAT("http://leetcode.com/problems/",Github!C$1038), Github!B$1038)</f>
        <v>Valid Boomerang</v>
      </c>
      <c r="C1039" s="17">
        <f>Github!F$1038</f>
        <v>216</v>
      </c>
      <c r="D1039" s="17">
        <f>Github!G$1038</f>
        <v>341</v>
      </c>
      <c r="E1039" s="17">
        <f>Github!F$1038+Github!G$1038</f>
        <v>557</v>
      </c>
      <c r="F1039" s="18">
        <f t="shared" si="1"/>
        <v>0.63</v>
      </c>
      <c r="G1039" s="17" t="str">
        <f>Github!H$1038</f>
        <v>Algorithms</v>
      </c>
      <c r="H1039" s="17" t="b">
        <f>Github!D$1038</f>
        <v>0</v>
      </c>
      <c r="I1039" s="17" t="str">
        <f>Github!E$1038</f>
        <v>Easy</v>
      </c>
      <c r="J1039" s="17" t="str">
        <f>ROUND(Github!N$1038, 2)&amp;"%"</f>
        <v>0%</v>
      </c>
      <c r="K1039" s="17">
        <f>Github!O$1038</f>
        <v>37.41984204</v>
      </c>
      <c r="L1039" s="17">
        <f>Github!P$1038</f>
        <v>30227</v>
      </c>
    </row>
    <row r="1040">
      <c r="A1040" s="17">
        <f>Github!J$1039</f>
        <v>1038</v>
      </c>
      <c r="B1040" s="34" t="str">
        <f>HYPERLINK(CONCAT("http://leetcode.com/problems/",Github!C$1039), Github!B$1039)</f>
        <v>Binary Search Tree to Greater Sum Tree</v>
      </c>
      <c r="C1040" s="17">
        <f>Github!F$1039</f>
        <v>2339</v>
      </c>
      <c r="D1040" s="17">
        <f>Github!G$1039</f>
        <v>128</v>
      </c>
      <c r="E1040" s="17">
        <f>Github!F$1039+Github!G$1039</f>
        <v>2467</v>
      </c>
      <c r="F1040" s="18">
        <f t="shared" si="1"/>
        <v>18.27</v>
      </c>
      <c r="G1040" s="17" t="str">
        <f>Github!H$1039</f>
        <v>Algorithms</v>
      </c>
      <c r="H1040" s="17" t="b">
        <f>Github!D$1039</f>
        <v>0</v>
      </c>
      <c r="I1040" s="17" t="str">
        <f>Github!E$1039</f>
        <v>Medium</v>
      </c>
      <c r="J1040" s="17" t="str">
        <f>ROUND(Github!N$1039, 2)&amp;"%"</f>
        <v>0%</v>
      </c>
      <c r="K1040" s="17">
        <f>Github!O$1039</f>
        <v>84.45842683</v>
      </c>
      <c r="L1040" s="17">
        <f>Github!P$1039</f>
        <v>113288</v>
      </c>
    </row>
    <row r="1041">
      <c r="A1041" s="17">
        <f>Github!J$1040</f>
        <v>1039</v>
      </c>
      <c r="B1041" s="34" t="str">
        <f>HYPERLINK(CONCAT("http://leetcode.com/problems/",Github!C$1040), Github!B$1040)</f>
        <v>Minimum Score Triangulation of Polygon</v>
      </c>
      <c r="C1041" s="17">
        <f>Github!F$1040</f>
        <v>956</v>
      </c>
      <c r="D1041" s="17">
        <f>Github!G$1040</f>
        <v>109</v>
      </c>
      <c r="E1041" s="17">
        <f>Github!F$1040+Github!G$1040</f>
        <v>1065</v>
      </c>
      <c r="F1041" s="18">
        <f t="shared" si="1"/>
        <v>8.77</v>
      </c>
      <c r="G1041" s="17" t="str">
        <f>Github!H$1040</f>
        <v>Algorithms</v>
      </c>
      <c r="H1041" s="17" t="b">
        <f>Github!D$1040</f>
        <v>0</v>
      </c>
      <c r="I1041" s="17" t="str">
        <f>Github!E$1040</f>
        <v>Medium</v>
      </c>
      <c r="J1041" s="17" t="str">
        <f>ROUND(Github!N$1040, 2)&amp;"%"</f>
        <v>0%</v>
      </c>
      <c r="K1041" s="17">
        <f>Github!O$1040</f>
        <v>52.40383431</v>
      </c>
      <c r="L1041" s="17">
        <f>Github!P$1040</f>
        <v>21266</v>
      </c>
    </row>
    <row r="1042">
      <c r="A1042" s="17">
        <f>Github!J$1041</f>
        <v>1040</v>
      </c>
      <c r="B1042" s="34" t="str">
        <f>HYPERLINK(CONCAT("http://leetcode.com/problems/",Github!C$1041), Github!B$1041)</f>
        <v>Moving Stones Until Consecutive II</v>
      </c>
      <c r="C1042" s="17">
        <f>Github!F$1041</f>
        <v>281</v>
      </c>
      <c r="D1042" s="17">
        <f>Github!G$1041</f>
        <v>493</v>
      </c>
      <c r="E1042" s="17">
        <f>Github!F$1041+Github!G$1041</f>
        <v>774</v>
      </c>
      <c r="F1042" s="18">
        <f t="shared" si="1"/>
        <v>0.57</v>
      </c>
      <c r="G1042" s="17" t="str">
        <f>Github!H$1041</f>
        <v>Algorithms</v>
      </c>
      <c r="H1042" s="17" t="b">
        <f>Github!D$1041</f>
        <v>0</v>
      </c>
      <c r="I1042" s="17" t="str">
        <f>Github!E$1041</f>
        <v>Medium</v>
      </c>
      <c r="J1042" s="17" t="str">
        <f>ROUND(Github!N$1041, 2)&amp;"%"</f>
        <v>0%</v>
      </c>
      <c r="K1042" s="17">
        <f>Github!O$1041</f>
        <v>55.35332695</v>
      </c>
      <c r="L1042" s="17">
        <f>Github!P$1041</f>
        <v>7512</v>
      </c>
    </row>
    <row r="1043">
      <c r="A1043" s="17">
        <f>Github!J$1042</f>
        <v>1041</v>
      </c>
      <c r="B1043" s="34" t="str">
        <f>HYPERLINK(CONCAT("http://leetcode.com/problems/",Github!C$1042), Github!B$1042)</f>
        <v>Robot Bounded In Circle</v>
      </c>
      <c r="C1043" s="17">
        <f>Github!F$1042</f>
        <v>2870</v>
      </c>
      <c r="D1043" s="17">
        <f>Github!G$1042</f>
        <v>606</v>
      </c>
      <c r="E1043" s="17">
        <f>Github!F$1042+Github!G$1042</f>
        <v>3476</v>
      </c>
      <c r="F1043" s="18">
        <f t="shared" si="1"/>
        <v>4.74</v>
      </c>
      <c r="G1043" s="17" t="str">
        <f>Github!H$1042</f>
        <v>Algorithms</v>
      </c>
      <c r="H1043" s="17" t="b">
        <f>Github!D$1042</f>
        <v>0</v>
      </c>
      <c r="I1043" s="17" t="str">
        <f>Github!E$1042</f>
        <v>Medium</v>
      </c>
      <c r="J1043" s="17" t="str">
        <f>ROUND(Github!N$1042, 2)&amp;"%"</f>
        <v>0%</v>
      </c>
      <c r="K1043" s="17">
        <f>Github!O$1042</f>
        <v>55.48114347</v>
      </c>
      <c r="L1043" s="17">
        <f>Github!P$1042</f>
        <v>178609</v>
      </c>
    </row>
    <row r="1044">
      <c r="A1044" s="17">
        <f>Github!J$1043</f>
        <v>1042</v>
      </c>
      <c r="B1044" s="34" t="str">
        <f>HYPERLINK(CONCAT("http://leetcode.com/problems/",Github!C$1043), Github!B$1043)</f>
        <v>Flower Planting With No Adjacent</v>
      </c>
      <c r="C1044" s="17">
        <f>Github!F$1043</f>
        <v>793</v>
      </c>
      <c r="D1044" s="17">
        <f>Github!G$1043</f>
        <v>647</v>
      </c>
      <c r="E1044" s="17">
        <f>Github!F$1043+Github!G$1043</f>
        <v>1440</v>
      </c>
      <c r="F1044" s="18">
        <f t="shared" si="1"/>
        <v>1.23</v>
      </c>
      <c r="G1044" s="17" t="str">
        <f>Github!H$1043</f>
        <v>Algorithms</v>
      </c>
      <c r="H1044" s="17" t="b">
        <f>Github!D$1043</f>
        <v>0</v>
      </c>
      <c r="I1044" s="17" t="str">
        <f>Github!E$1043</f>
        <v>Medium</v>
      </c>
      <c r="J1044" s="17" t="str">
        <f>ROUND(Github!N$1043, 2)&amp;"%"</f>
        <v>0%</v>
      </c>
      <c r="K1044" s="17">
        <f>Github!O$1043</f>
        <v>49.7610077</v>
      </c>
      <c r="L1044" s="17">
        <f>Github!P$1043</f>
        <v>53093</v>
      </c>
    </row>
    <row r="1045">
      <c r="A1045" s="17">
        <f>Github!J$1044</f>
        <v>1043</v>
      </c>
      <c r="B1045" s="34" t="str">
        <f>HYPERLINK(CONCAT("http://leetcode.com/problems/",Github!C$1044), Github!B$1044)</f>
        <v>Partition Array for Maximum Sum</v>
      </c>
      <c r="C1045" s="17">
        <f>Github!F$1044</f>
        <v>2006</v>
      </c>
      <c r="D1045" s="17">
        <f>Github!G$1044</f>
        <v>191</v>
      </c>
      <c r="E1045" s="17">
        <f>Github!F$1044+Github!G$1044</f>
        <v>2197</v>
      </c>
      <c r="F1045" s="18">
        <f t="shared" si="1"/>
        <v>10.5</v>
      </c>
      <c r="G1045" s="17" t="str">
        <f>Github!H$1044</f>
        <v>Algorithms</v>
      </c>
      <c r="H1045" s="17" t="b">
        <f>Github!D$1044</f>
        <v>0</v>
      </c>
      <c r="I1045" s="17" t="str">
        <f>Github!E$1044</f>
        <v>Medium</v>
      </c>
      <c r="J1045" s="17" t="str">
        <f>ROUND(Github!N$1044, 2)&amp;"%"</f>
        <v>0%</v>
      </c>
      <c r="K1045" s="17">
        <f>Github!O$1044</f>
        <v>70.11057095</v>
      </c>
      <c r="L1045" s="17">
        <f>Github!P$1044</f>
        <v>45717</v>
      </c>
    </row>
    <row r="1046">
      <c r="A1046" s="17">
        <f>Github!J$1045</f>
        <v>1044</v>
      </c>
      <c r="B1046" s="34" t="str">
        <f>HYPERLINK(CONCAT("http://leetcode.com/problems/",Github!C$1045), Github!B$1045)</f>
        <v>Longest Duplicate Substring</v>
      </c>
      <c r="C1046" s="17">
        <f>Github!F$1045</f>
        <v>1590</v>
      </c>
      <c r="D1046" s="17">
        <f>Github!G$1045</f>
        <v>316</v>
      </c>
      <c r="E1046" s="17">
        <f>Github!F$1045+Github!G$1045</f>
        <v>1906</v>
      </c>
      <c r="F1046" s="18">
        <f t="shared" si="1"/>
        <v>5.03</v>
      </c>
      <c r="G1046" s="17" t="str">
        <f>Github!H$1045</f>
        <v>Algorithms</v>
      </c>
      <c r="H1046" s="17" t="b">
        <f>Github!D$1045</f>
        <v>0</v>
      </c>
      <c r="I1046" s="17" t="str">
        <f>Github!E$1045</f>
        <v>Hard</v>
      </c>
      <c r="J1046" s="17" t="str">
        <f>ROUND(Github!N$1045, 2)&amp;"%"</f>
        <v>0%</v>
      </c>
      <c r="K1046" s="17">
        <f>Github!O$1045</f>
        <v>31.23228728</v>
      </c>
      <c r="L1046" s="17">
        <f>Github!P$1045</f>
        <v>51245</v>
      </c>
    </row>
    <row r="1047">
      <c r="A1047" s="17">
        <f>Github!J$1046</f>
        <v>1045</v>
      </c>
      <c r="B1047" s="34" t="str">
        <f>HYPERLINK(CONCAT("http://leetcode.com/problems/",Github!C$1046), Github!B$1046)</f>
        <v>Customers Who Bought All Products</v>
      </c>
      <c r="C1047" s="17">
        <f>Github!F$1046</f>
        <v>166</v>
      </c>
      <c r="D1047" s="17">
        <f>Github!G$1046</f>
        <v>35</v>
      </c>
      <c r="E1047" s="17">
        <f>Github!F$1046+Github!G$1046</f>
        <v>201</v>
      </c>
      <c r="F1047" s="18">
        <f t="shared" si="1"/>
        <v>4.74</v>
      </c>
      <c r="G1047" s="17" t="str">
        <f>Github!H$1046</f>
        <v>Database</v>
      </c>
      <c r="H1047" s="17" t="b">
        <f>Github!D$1046</f>
        <v>1</v>
      </c>
      <c r="I1047" s="17" t="str">
        <f>Github!E$1046</f>
        <v>Medium</v>
      </c>
      <c r="J1047" s="17" t="str">
        <f>ROUND(Github!N$1046, 2)&amp;"%"</f>
        <v>0%</v>
      </c>
      <c r="K1047" s="17">
        <f>Github!O$1046</f>
        <v>67.36478484</v>
      </c>
      <c r="L1047" s="17">
        <f>Github!P$1046</f>
        <v>34123</v>
      </c>
    </row>
    <row r="1048">
      <c r="A1048" s="17">
        <f>Github!J$1047</f>
        <v>1046</v>
      </c>
      <c r="B1048" s="34" t="str">
        <f>HYPERLINK(CONCAT("http://leetcode.com/problems/",Github!C$1047), Github!B$1047)</f>
        <v>Last Stone Weight</v>
      </c>
      <c r="C1048" s="17">
        <f>Github!F$1047</f>
        <v>2003</v>
      </c>
      <c r="D1048" s="17">
        <f>Github!G$1047</f>
        <v>49</v>
      </c>
      <c r="E1048" s="17">
        <f>Github!F$1047+Github!G$1047</f>
        <v>2052</v>
      </c>
      <c r="F1048" s="18">
        <f t="shared" si="1"/>
        <v>40.88</v>
      </c>
      <c r="G1048" s="17" t="str">
        <f>Github!H$1047</f>
        <v>Algorithms</v>
      </c>
      <c r="H1048" s="17" t="b">
        <f>Github!D$1047</f>
        <v>0</v>
      </c>
      <c r="I1048" s="17" t="str">
        <f>Github!E$1047</f>
        <v>Easy</v>
      </c>
      <c r="J1048" s="17" t="str">
        <f>ROUND(Github!N$1047, 2)&amp;"%"</f>
        <v>0%</v>
      </c>
      <c r="K1048" s="17">
        <f>Github!O$1047</f>
        <v>63.03618053</v>
      </c>
      <c r="L1048" s="17">
        <f>Github!P$1047</f>
        <v>214625</v>
      </c>
    </row>
    <row r="1049">
      <c r="A1049" s="17">
        <f>Github!J$1048</f>
        <v>1047</v>
      </c>
      <c r="B1049" s="34" t="str">
        <f>HYPERLINK(CONCAT("http://leetcode.com/problems/",Github!C$1048), Github!B$1048)</f>
        <v>Remove All Adjacent Duplicates In String</v>
      </c>
      <c r="C1049" s="17">
        <f>Github!F$1048</f>
        <v>2938</v>
      </c>
      <c r="D1049" s="17">
        <f>Github!G$1048</f>
        <v>148</v>
      </c>
      <c r="E1049" s="17">
        <f>Github!F$1048+Github!G$1048</f>
        <v>3086</v>
      </c>
      <c r="F1049" s="18">
        <f t="shared" si="1"/>
        <v>19.85</v>
      </c>
      <c r="G1049" s="17" t="str">
        <f>Github!H$1048</f>
        <v>Algorithms</v>
      </c>
      <c r="H1049" s="17" t="b">
        <f>Github!D$1048</f>
        <v>0</v>
      </c>
      <c r="I1049" s="17" t="str">
        <f>Github!E$1048</f>
        <v>Easy</v>
      </c>
      <c r="J1049" s="17" t="str">
        <f>ROUND(Github!N$1048, 2)&amp;"%"</f>
        <v>0%</v>
      </c>
      <c r="K1049" s="17">
        <f>Github!O$1048</f>
        <v>71.00672984</v>
      </c>
      <c r="L1049" s="17">
        <f>Github!P$1048</f>
        <v>263663</v>
      </c>
    </row>
    <row r="1050">
      <c r="A1050" s="17">
        <f>Github!J$1049</f>
        <v>1048</v>
      </c>
      <c r="B1050" s="34" t="str">
        <f>HYPERLINK(CONCAT("http://leetcode.com/problems/",Github!C$1049), Github!B$1049)</f>
        <v>Longest String Chain</v>
      </c>
      <c r="C1050" s="17">
        <f>Github!F$1049</f>
        <v>3132</v>
      </c>
      <c r="D1050" s="17">
        <f>Github!G$1049</f>
        <v>158</v>
      </c>
      <c r="E1050" s="17">
        <f>Github!F$1049+Github!G$1049</f>
        <v>3290</v>
      </c>
      <c r="F1050" s="18">
        <f t="shared" si="1"/>
        <v>19.82</v>
      </c>
      <c r="G1050" s="17" t="str">
        <f>Github!H$1049</f>
        <v>Algorithms</v>
      </c>
      <c r="H1050" s="17" t="b">
        <f>Github!D$1049</f>
        <v>0</v>
      </c>
      <c r="I1050" s="17" t="str">
        <f>Github!E$1049</f>
        <v>Medium</v>
      </c>
      <c r="J1050" s="17" t="str">
        <f>ROUND(Github!N$1049, 2)&amp;"%"</f>
        <v>0%</v>
      </c>
      <c r="K1050" s="17">
        <f>Github!O$1049</f>
        <v>57.67249753</v>
      </c>
      <c r="L1050" s="17">
        <f>Github!P$1049</f>
        <v>188220</v>
      </c>
    </row>
    <row r="1051">
      <c r="A1051" s="17">
        <f>Github!J$1050</f>
        <v>1049</v>
      </c>
      <c r="B1051" s="34" t="str">
        <f>HYPERLINK(CONCAT("http://leetcode.com/problems/",Github!C$1050), Github!B$1050)</f>
        <v>Last Stone Weight II</v>
      </c>
      <c r="C1051" s="17">
        <f>Github!F$1050</f>
        <v>1992</v>
      </c>
      <c r="D1051" s="17">
        <f>Github!G$1050</f>
        <v>70</v>
      </c>
      <c r="E1051" s="17">
        <f>Github!F$1050+Github!G$1050</f>
        <v>2062</v>
      </c>
      <c r="F1051" s="18">
        <f t="shared" si="1"/>
        <v>28.46</v>
      </c>
      <c r="G1051" s="17" t="str">
        <f>Github!H$1050</f>
        <v>Algorithms</v>
      </c>
      <c r="H1051" s="17" t="b">
        <f>Github!D$1050</f>
        <v>0</v>
      </c>
      <c r="I1051" s="17" t="str">
        <f>Github!E$1050</f>
        <v>Medium</v>
      </c>
      <c r="J1051" s="17" t="str">
        <f>ROUND(Github!N$1050, 2)&amp;"%"</f>
        <v>0%</v>
      </c>
      <c r="K1051" s="17">
        <f>Github!O$1050</f>
        <v>50.69043435</v>
      </c>
      <c r="L1051" s="17">
        <f>Github!P$1050</f>
        <v>50475</v>
      </c>
    </row>
    <row r="1052">
      <c r="A1052" s="17">
        <f>Github!J$1051</f>
        <v>1050</v>
      </c>
      <c r="B1052" s="34" t="str">
        <f>HYPERLINK(CONCAT("http://leetcode.com/problems/",Github!C$1051), Github!B$1051)</f>
        <v>Actors and Directors Who Cooperated At Least Three Times</v>
      </c>
      <c r="C1052" s="17">
        <f>Github!F$1051</f>
        <v>117</v>
      </c>
      <c r="D1052" s="17">
        <f>Github!G$1051</f>
        <v>22</v>
      </c>
      <c r="E1052" s="17">
        <f>Github!F$1051+Github!G$1051</f>
        <v>139</v>
      </c>
      <c r="F1052" s="18">
        <f t="shared" si="1"/>
        <v>5.32</v>
      </c>
      <c r="G1052" s="17" t="str">
        <f>Github!H$1051</f>
        <v>Database</v>
      </c>
      <c r="H1052" s="17" t="b">
        <f>Github!D$1051</f>
        <v>1</v>
      </c>
      <c r="I1052" s="17" t="str">
        <f>Github!E$1051</f>
        <v>Easy</v>
      </c>
      <c r="J1052" s="17" t="str">
        <f>ROUND(Github!N$1051, 2)&amp;"%"</f>
        <v>0%</v>
      </c>
      <c r="K1052" s="17">
        <f>Github!O$1051</f>
        <v>72.42357447</v>
      </c>
      <c r="L1052" s="17">
        <f>Github!P$1051</f>
        <v>40085</v>
      </c>
    </row>
    <row r="1053">
      <c r="A1053" s="17">
        <f>Github!J$1052</f>
        <v>1051</v>
      </c>
      <c r="B1053" s="34" t="str">
        <f>HYPERLINK(CONCAT("http://leetcode.com/problems/",Github!C$1052), Github!B$1052)</f>
        <v>Height Checker</v>
      </c>
      <c r="C1053" s="17">
        <f>Github!F$1052</f>
        <v>396</v>
      </c>
      <c r="D1053" s="17">
        <f>Github!G$1052</f>
        <v>46</v>
      </c>
      <c r="E1053" s="17">
        <f>Github!F$1052+Github!G$1052</f>
        <v>442</v>
      </c>
      <c r="F1053" s="18">
        <f t="shared" si="1"/>
        <v>8.61</v>
      </c>
      <c r="G1053" s="17" t="str">
        <f>Github!H$1052</f>
        <v>Algorithms</v>
      </c>
      <c r="H1053" s="17" t="b">
        <f>Github!D$1052</f>
        <v>0</v>
      </c>
      <c r="I1053" s="17" t="str">
        <f>Github!E$1052</f>
        <v>Easy</v>
      </c>
      <c r="J1053" s="17" t="str">
        <f>ROUND(Github!N$1052, 2)&amp;"%"</f>
        <v>0%</v>
      </c>
      <c r="K1053" s="17">
        <f>Github!O$1052</f>
        <v>74.15327872</v>
      </c>
      <c r="L1053" s="17">
        <f>Github!P$1052</f>
        <v>188176</v>
      </c>
    </row>
    <row r="1054">
      <c r="A1054" s="17">
        <f>Github!J$1053</f>
        <v>1052</v>
      </c>
      <c r="B1054" s="34" t="str">
        <f>HYPERLINK(CONCAT("http://leetcode.com/problems/",Github!C$1053), Github!B$1053)</f>
        <v>Grumpy Bookstore Owner</v>
      </c>
      <c r="C1054" s="17">
        <f>Github!F$1053</f>
        <v>1078</v>
      </c>
      <c r="D1054" s="17">
        <f>Github!G$1053</f>
        <v>90</v>
      </c>
      <c r="E1054" s="17">
        <f>Github!F$1053+Github!G$1053</f>
        <v>1168</v>
      </c>
      <c r="F1054" s="18">
        <f t="shared" si="1"/>
        <v>11.98</v>
      </c>
      <c r="G1054" s="17" t="str">
        <f>Github!H$1053</f>
        <v>Algorithms</v>
      </c>
      <c r="H1054" s="17" t="b">
        <f>Github!D$1053</f>
        <v>0</v>
      </c>
      <c r="I1054" s="17" t="str">
        <f>Github!E$1053</f>
        <v>Medium</v>
      </c>
      <c r="J1054" s="17" t="str">
        <f>ROUND(Github!N$1053, 2)&amp;"%"</f>
        <v>0%</v>
      </c>
      <c r="K1054" s="17">
        <f>Github!O$1053</f>
        <v>56.66071468</v>
      </c>
      <c r="L1054" s="17">
        <f>Github!P$1053</f>
        <v>51406</v>
      </c>
    </row>
    <row r="1055">
      <c r="A1055" s="17">
        <f>Github!J$1054</f>
        <v>1053</v>
      </c>
      <c r="B1055" s="34" t="str">
        <f>HYPERLINK(CONCAT("http://leetcode.com/problems/",Github!C$1054), Github!B$1054)</f>
        <v>Previous Permutation With One Swap</v>
      </c>
      <c r="C1055" s="17">
        <f>Github!F$1054</f>
        <v>197</v>
      </c>
      <c r="D1055" s="17">
        <f>Github!G$1054</f>
        <v>22</v>
      </c>
      <c r="E1055" s="17">
        <f>Github!F$1054+Github!G$1054</f>
        <v>219</v>
      </c>
      <c r="F1055" s="18">
        <f t="shared" si="1"/>
        <v>8.95</v>
      </c>
      <c r="G1055" s="17" t="str">
        <f>Github!H$1054</f>
        <v>Algorithms</v>
      </c>
      <c r="H1055" s="17" t="b">
        <f>Github!D$1054</f>
        <v>0</v>
      </c>
      <c r="I1055" s="17" t="str">
        <f>Github!E$1054</f>
        <v>Medium</v>
      </c>
      <c r="J1055" s="17" t="str">
        <f>ROUND(Github!N$1054, 2)&amp;"%"</f>
        <v>0%</v>
      </c>
      <c r="K1055" s="17">
        <f>Github!O$1054</f>
        <v>51.92331326</v>
      </c>
      <c r="L1055" s="17">
        <f>Github!P$1054</f>
        <v>29574</v>
      </c>
    </row>
    <row r="1056">
      <c r="A1056" s="17">
        <f>Github!J$1055</f>
        <v>1054</v>
      </c>
      <c r="B1056" s="34" t="str">
        <f>HYPERLINK(CONCAT("http://leetcode.com/problems/",Github!C$1055), Github!B$1055)</f>
        <v>Distant Barcodes</v>
      </c>
      <c r="C1056" s="17">
        <f>Github!F$1055</f>
        <v>809</v>
      </c>
      <c r="D1056" s="17">
        <f>Github!G$1055</f>
        <v>36</v>
      </c>
      <c r="E1056" s="17">
        <f>Github!F$1055+Github!G$1055</f>
        <v>845</v>
      </c>
      <c r="F1056" s="18">
        <f t="shared" si="1"/>
        <v>22.47</v>
      </c>
      <c r="G1056" s="17" t="str">
        <f>Github!H$1055</f>
        <v>Algorithms</v>
      </c>
      <c r="H1056" s="17" t="b">
        <f>Github!D$1055</f>
        <v>0</v>
      </c>
      <c r="I1056" s="17" t="str">
        <f>Github!E$1055</f>
        <v>Medium</v>
      </c>
      <c r="J1056" s="17" t="str">
        <f>ROUND(Github!N$1055, 2)&amp;"%"</f>
        <v>0%</v>
      </c>
      <c r="K1056" s="17">
        <f>Github!O$1055</f>
        <v>45.21469705</v>
      </c>
      <c r="L1056" s="17">
        <f>Github!P$1055</f>
        <v>28894</v>
      </c>
    </row>
    <row r="1057">
      <c r="A1057" s="17">
        <f>Github!J$1056</f>
        <v>1055</v>
      </c>
      <c r="B1057" s="34" t="str">
        <f>HYPERLINK(CONCAT("http://leetcode.com/problems/",Github!C$1056), Github!B$1056)</f>
        <v>Shortest Way to Form String</v>
      </c>
      <c r="C1057" s="17">
        <f>Github!F$1056</f>
        <v>799</v>
      </c>
      <c r="D1057" s="17">
        <f>Github!G$1056</f>
        <v>48</v>
      </c>
      <c r="E1057" s="17">
        <f>Github!F$1056+Github!G$1056</f>
        <v>847</v>
      </c>
      <c r="F1057" s="18">
        <f t="shared" si="1"/>
        <v>16.65</v>
      </c>
      <c r="G1057" s="17" t="str">
        <f>Github!H$1056</f>
        <v>Algorithms</v>
      </c>
      <c r="H1057" s="17" t="b">
        <f>Github!D$1056</f>
        <v>1</v>
      </c>
      <c r="I1057" s="17" t="str">
        <f>Github!E$1056</f>
        <v>Medium</v>
      </c>
      <c r="J1057" s="17" t="str">
        <f>ROUND(Github!N$1056, 2)&amp;"%"</f>
        <v>0%</v>
      </c>
      <c r="K1057" s="17">
        <f>Github!O$1056</f>
        <v>58.17322243</v>
      </c>
      <c r="L1057" s="17">
        <f>Github!P$1056</f>
        <v>55741</v>
      </c>
    </row>
    <row r="1058">
      <c r="A1058" s="17">
        <f>Github!J$1057</f>
        <v>1056</v>
      </c>
      <c r="B1058" s="34" t="str">
        <f>HYPERLINK(CONCAT("http://leetcode.com/problems/",Github!C$1057), Github!B$1057)</f>
        <v>Confusing Number</v>
      </c>
      <c r="C1058" s="17">
        <f>Github!F$1057</f>
        <v>158</v>
      </c>
      <c r="D1058" s="17">
        <f>Github!G$1057</f>
        <v>89</v>
      </c>
      <c r="E1058" s="17">
        <f>Github!F$1057+Github!G$1057</f>
        <v>247</v>
      </c>
      <c r="F1058" s="18">
        <f t="shared" si="1"/>
        <v>1.78</v>
      </c>
      <c r="G1058" s="17" t="str">
        <f>Github!H$1057</f>
        <v>Algorithms</v>
      </c>
      <c r="H1058" s="17" t="b">
        <f>Github!D$1057</f>
        <v>1</v>
      </c>
      <c r="I1058" s="17" t="str">
        <f>Github!E$1057</f>
        <v>Easy</v>
      </c>
      <c r="J1058" s="17" t="str">
        <f>ROUND(Github!N$1057, 2)&amp;"%"</f>
        <v>0%</v>
      </c>
      <c r="K1058" s="17">
        <f>Github!O$1057</f>
        <v>46.12157745</v>
      </c>
      <c r="L1058" s="17">
        <f>Github!P$1057</f>
        <v>24408</v>
      </c>
    </row>
    <row r="1059">
      <c r="A1059" s="17">
        <f>Github!J$1058</f>
        <v>1057</v>
      </c>
      <c r="B1059" s="34" t="str">
        <f>HYPERLINK(CONCAT("http://leetcode.com/problems/",Github!C$1058), Github!B$1058)</f>
        <v>Campus Bikes</v>
      </c>
      <c r="C1059" s="17">
        <f>Github!F$1058</f>
        <v>783</v>
      </c>
      <c r="D1059" s="17">
        <f>Github!G$1058</f>
        <v>141</v>
      </c>
      <c r="E1059" s="17">
        <f>Github!F$1058+Github!G$1058</f>
        <v>924</v>
      </c>
      <c r="F1059" s="18">
        <f t="shared" si="1"/>
        <v>5.55</v>
      </c>
      <c r="G1059" s="17" t="str">
        <f>Github!H$1058</f>
        <v>Algorithms</v>
      </c>
      <c r="H1059" s="17" t="b">
        <f>Github!D$1058</f>
        <v>1</v>
      </c>
      <c r="I1059" s="17" t="str">
        <f>Github!E$1058</f>
        <v>Medium</v>
      </c>
      <c r="J1059" s="17" t="str">
        <f>ROUND(Github!N$1058, 2)&amp;"%"</f>
        <v>0%</v>
      </c>
      <c r="K1059" s="17">
        <f>Github!O$1058</f>
        <v>57.79111793</v>
      </c>
      <c r="L1059" s="17">
        <f>Github!P$1058</f>
        <v>56125</v>
      </c>
    </row>
    <row r="1060">
      <c r="A1060" s="17">
        <f>Github!J$1059</f>
        <v>1058</v>
      </c>
      <c r="B1060" s="34" t="str">
        <f>HYPERLINK(CONCAT("http://leetcode.com/problems/",Github!C$1059), Github!B$1059)</f>
        <v>Minimize Rounding Error to Meet Target</v>
      </c>
      <c r="C1060" s="17">
        <f>Github!F$1059</f>
        <v>127</v>
      </c>
      <c r="D1060" s="17">
        <f>Github!G$1059</f>
        <v>122</v>
      </c>
      <c r="E1060" s="17">
        <f>Github!F$1059+Github!G$1059</f>
        <v>249</v>
      </c>
      <c r="F1060" s="18">
        <f t="shared" si="1"/>
        <v>1.04</v>
      </c>
      <c r="G1060" s="17" t="str">
        <f>Github!H$1059</f>
        <v>Algorithms</v>
      </c>
      <c r="H1060" s="17" t="b">
        <f>Github!D$1059</f>
        <v>1</v>
      </c>
      <c r="I1060" s="17" t="str">
        <f>Github!E$1059</f>
        <v>Medium</v>
      </c>
      <c r="J1060" s="17" t="str">
        <f>ROUND(Github!N$1059, 2)&amp;"%"</f>
        <v>0%</v>
      </c>
      <c r="K1060" s="17">
        <f>Github!O$1059</f>
        <v>44.47860305</v>
      </c>
      <c r="L1060" s="17">
        <f>Github!P$1059</f>
        <v>7234</v>
      </c>
    </row>
    <row r="1061">
      <c r="A1061" s="17">
        <f>Github!J$1060</f>
        <v>1059</v>
      </c>
      <c r="B1061" s="34" t="str">
        <f>HYPERLINK(CONCAT("http://leetcode.com/problems/",Github!C$1060), Github!B$1060)</f>
        <v>All Paths from Source Lead to Destination</v>
      </c>
      <c r="C1061" s="17">
        <f>Github!F$1060</f>
        <v>466</v>
      </c>
      <c r="D1061" s="17">
        <f>Github!G$1060</f>
        <v>101</v>
      </c>
      <c r="E1061" s="17">
        <f>Github!F$1060+Github!G$1060</f>
        <v>567</v>
      </c>
      <c r="F1061" s="18">
        <f t="shared" si="1"/>
        <v>4.61</v>
      </c>
      <c r="G1061" s="17" t="str">
        <f>Github!H$1060</f>
        <v>Algorithms</v>
      </c>
      <c r="H1061" s="17" t="b">
        <f>Github!D$1060</f>
        <v>1</v>
      </c>
      <c r="I1061" s="17" t="str">
        <f>Github!E$1060</f>
        <v>Medium</v>
      </c>
      <c r="J1061" s="17" t="str">
        <f>ROUND(Github!N$1060, 2)&amp;"%"</f>
        <v>0%</v>
      </c>
      <c r="K1061" s="17">
        <f>Github!O$1060</f>
        <v>42.23481342</v>
      </c>
      <c r="L1061" s="17">
        <f>Github!P$1060</f>
        <v>34214</v>
      </c>
    </row>
    <row r="1062">
      <c r="A1062" s="17">
        <f>Github!J$1061</f>
        <v>1060</v>
      </c>
      <c r="B1062" s="34" t="str">
        <f>HYPERLINK(CONCAT("http://leetcode.com/problems/",Github!C$1061), Github!B$1061)</f>
        <v>Missing Element in Sorted Array</v>
      </c>
      <c r="C1062" s="17">
        <f>Github!F$1061</f>
        <v>1234</v>
      </c>
      <c r="D1062" s="17">
        <f>Github!G$1061</f>
        <v>49</v>
      </c>
      <c r="E1062" s="17">
        <f>Github!F$1061+Github!G$1061</f>
        <v>1283</v>
      </c>
      <c r="F1062" s="18">
        <f t="shared" si="1"/>
        <v>25.18</v>
      </c>
      <c r="G1062" s="17" t="str">
        <f>Github!H$1061</f>
        <v>Algorithms</v>
      </c>
      <c r="H1062" s="17" t="b">
        <f>Github!D$1061</f>
        <v>1</v>
      </c>
      <c r="I1062" s="17" t="str">
        <f>Github!E$1061</f>
        <v>Medium</v>
      </c>
      <c r="J1062" s="17" t="str">
        <f>ROUND(Github!N$1061, 2)&amp;"%"</f>
        <v>0%</v>
      </c>
      <c r="K1062" s="17">
        <f>Github!O$1061</f>
        <v>55.09051663</v>
      </c>
      <c r="L1062" s="17">
        <f>Github!P$1061</f>
        <v>89067</v>
      </c>
    </row>
    <row r="1063">
      <c r="A1063" s="17">
        <f>Github!J$1062</f>
        <v>1061</v>
      </c>
      <c r="B1063" s="34" t="str">
        <f>HYPERLINK(CONCAT("http://leetcode.com/problems/",Github!C$1062), Github!B$1062)</f>
        <v>Lexicographically Smallest Equivalent String</v>
      </c>
      <c r="C1063" s="17">
        <f>Github!F$1062</f>
        <v>177</v>
      </c>
      <c r="D1063" s="17">
        <f>Github!G$1062</f>
        <v>9</v>
      </c>
      <c r="E1063" s="17">
        <f>Github!F$1062+Github!G$1062</f>
        <v>186</v>
      </c>
      <c r="F1063" s="18">
        <f t="shared" si="1"/>
        <v>19.67</v>
      </c>
      <c r="G1063" s="17" t="str">
        <f>Github!H$1062</f>
        <v>Algorithms</v>
      </c>
      <c r="H1063" s="17" t="b">
        <f>Github!D$1062</f>
        <v>1</v>
      </c>
      <c r="I1063" s="17" t="str">
        <f>Github!E$1062</f>
        <v>Medium</v>
      </c>
      <c r="J1063" s="17" t="str">
        <f>ROUND(Github!N$1062, 2)&amp;"%"</f>
        <v>0%</v>
      </c>
      <c r="K1063" s="17">
        <f>Github!O$1062</f>
        <v>68.37933059</v>
      </c>
      <c r="L1063" s="17">
        <f>Github!P$1062</f>
        <v>6987</v>
      </c>
    </row>
    <row r="1064">
      <c r="A1064" s="17">
        <f>Github!J$1063</f>
        <v>1062</v>
      </c>
      <c r="B1064" s="34" t="str">
        <f>HYPERLINK(CONCAT("http://leetcode.com/problems/",Github!C$1063), Github!B$1063)</f>
        <v>Longest Repeating Substring</v>
      </c>
      <c r="C1064" s="17">
        <f>Github!F$1063</f>
        <v>481</v>
      </c>
      <c r="D1064" s="17">
        <f>Github!G$1063</f>
        <v>30</v>
      </c>
      <c r="E1064" s="17">
        <f>Github!F$1063+Github!G$1063</f>
        <v>511</v>
      </c>
      <c r="F1064" s="18">
        <f t="shared" si="1"/>
        <v>16.03</v>
      </c>
      <c r="G1064" s="17" t="str">
        <f>Github!H$1063</f>
        <v>Algorithms</v>
      </c>
      <c r="H1064" s="17" t="b">
        <f>Github!D$1063</f>
        <v>1</v>
      </c>
      <c r="I1064" s="17" t="str">
        <f>Github!E$1063</f>
        <v>Medium</v>
      </c>
      <c r="J1064" s="17" t="str">
        <f>ROUND(Github!N$1063, 2)&amp;"%"</f>
        <v>0%</v>
      </c>
      <c r="K1064" s="17">
        <f>Github!O$1063</f>
        <v>59.20216298</v>
      </c>
      <c r="L1064" s="17">
        <f>Github!P$1063</f>
        <v>24951</v>
      </c>
    </row>
    <row r="1065">
      <c r="A1065" s="17">
        <f>Github!J$1064</f>
        <v>1063</v>
      </c>
      <c r="B1065" s="34" t="str">
        <f>HYPERLINK(CONCAT("http://leetcode.com/problems/",Github!C$1064), Github!B$1064)</f>
        <v>Number of Valid Subarrays</v>
      </c>
      <c r="C1065" s="17">
        <f>Github!F$1064</f>
        <v>166</v>
      </c>
      <c r="D1065" s="17">
        <f>Github!G$1064</f>
        <v>8</v>
      </c>
      <c r="E1065" s="17">
        <f>Github!F$1064+Github!G$1064</f>
        <v>174</v>
      </c>
      <c r="F1065" s="18">
        <f t="shared" si="1"/>
        <v>20.75</v>
      </c>
      <c r="G1065" s="17" t="str">
        <f>Github!H$1064</f>
        <v>Algorithms</v>
      </c>
      <c r="H1065" s="17" t="b">
        <f>Github!D$1064</f>
        <v>1</v>
      </c>
      <c r="I1065" s="17" t="str">
        <f>Github!E$1064</f>
        <v>Hard</v>
      </c>
      <c r="J1065" s="17" t="str">
        <f>ROUND(Github!N$1064, 2)&amp;"%"</f>
        <v>0%</v>
      </c>
      <c r="K1065" s="17">
        <f>Github!O$1064</f>
        <v>73.43001106</v>
      </c>
      <c r="L1065" s="17">
        <f>Github!P$1064</f>
        <v>5975</v>
      </c>
    </row>
    <row r="1066">
      <c r="A1066" s="17">
        <f>Github!J$1065</f>
        <v>1064</v>
      </c>
      <c r="B1066" s="34" t="str">
        <f>HYPERLINK(CONCAT("http://leetcode.com/problems/",Github!C$1065), Github!B$1065)</f>
        <v>Fixed Point</v>
      </c>
      <c r="C1066" s="17">
        <f>Github!F$1065</f>
        <v>328</v>
      </c>
      <c r="D1066" s="17">
        <f>Github!G$1065</f>
        <v>58</v>
      </c>
      <c r="E1066" s="17">
        <f>Github!F$1065+Github!G$1065</f>
        <v>386</v>
      </c>
      <c r="F1066" s="18">
        <f t="shared" si="1"/>
        <v>5.66</v>
      </c>
      <c r="G1066" s="17" t="str">
        <f>Github!H$1065</f>
        <v>Algorithms</v>
      </c>
      <c r="H1066" s="17" t="b">
        <f>Github!D$1065</f>
        <v>1</v>
      </c>
      <c r="I1066" s="17" t="str">
        <f>Github!E$1065</f>
        <v>Easy</v>
      </c>
      <c r="J1066" s="17" t="str">
        <f>ROUND(Github!N$1065, 2)&amp;"%"</f>
        <v>0%</v>
      </c>
      <c r="K1066" s="17">
        <f>Github!O$1065</f>
        <v>64.03147746</v>
      </c>
      <c r="L1066" s="17">
        <f>Github!P$1065</f>
        <v>33605</v>
      </c>
    </row>
    <row r="1067">
      <c r="A1067" s="17">
        <f>Github!J$1066</f>
        <v>1065</v>
      </c>
      <c r="B1067" s="34" t="str">
        <f>HYPERLINK(CONCAT("http://leetcode.com/problems/",Github!C$1066), Github!B$1066)</f>
        <v>Index Pairs of a String</v>
      </c>
      <c r="C1067" s="17">
        <f>Github!F$1066</f>
        <v>215</v>
      </c>
      <c r="D1067" s="17">
        <f>Github!G$1066</f>
        <v>75</v>
      </c>
      <c r="E1067" s="17">
        <f>Github!F$1066+Github!G$1066</f>
        <v>290</v>
      </c>
      <c r="F1067" s="18">
        <f t="shared" si="1"/>
        <v>2.87</v>
      </c>
      <c r="G1067" s="17" t="str">
        <f>Github!H$1066</f>
        <v>Algorithms</v>
      </c>
      <c r="H1067" s="17" t="b">
        <f>Github!D$1066</f>
        <v>1</v>
      </c>
      <c r="I1067" s="17" t="str">
        <f>Github!E$1066</f>
        <v>Easy</v>
      </c>
      <c r="J1067" s="17" t="str">
        <f>ROUND(Github!N$1066, 2)&amp;"%"</f>
        <v>0%</v>
      </c>
      <c r="K1067" s="17">
        <f>Github!O$1066</f>
        <v>62.00364158</v>
      </c>
      <c r="L1067" s="17">
        <f>Github!P$1066</f>
        <v>16005</v>
      </c>
    </row>
    <row r="1068">
      <c r="A1068" s="17">
        <f>Github!J$1067</f>
        <v>1066</v>
      </c>
      <c r="B1068" s="34" t="str">
        <f>HYPERLINK(CONCAT("http://leetcode.com/problems/",Github!C$1067), Github!B$1067)</f>
        <v>Campus Bikes II</v>
      </c>
      <c r="C1068" s="17">
        <f>Github!F$1067</f>
        <v>675</v>
      </c>
      <c r="D1068" s="17">
        <f>Github!G$1067</f>
        <v>55</v>
      </c>
      <c r="E1068" s="17">
        <f>Github!F$1067+Github!G$1067</f>
        <v>730</v>
      </c>
      <c r="F1068" s="18">
        <f t="shared" si="1"/>
        <v>12.27</v>
      </c>
      <c r="G1068" s="17" t="str">
        <f>Github!H$1067</f>
        <v>Algorithms</v>
      </c>
      <c r="H1068" s="17" t="b">
        <f>Github!D$1067</f>
        <v>1</v>
      </c>
      <c r="I1068" s="17" t="str">
        <f>Github!E$1067</f>
        <v>Medium</v>
      </c>
      <c r="J1068" s="17" t="str">
        <f>ROUND(Github!N$1067, 2)&amp;"%"</f>
        <v>0%</v>
      </c>
      <c r="K1068" s="17">
        <f>Github!O$1067</f>
        <v>54.68069077</v>
      </c>
      <c r="L1068" s="17">
        <f>Github!P$1067</f>
        <v>37015</v>
      </c>
    </row>
    <row r="1069">
      <c r="A1069" s="17">
        <f>Github!J$1068</f>
        <v>1067</v>
      </c>
      <c r="B1069" s="34" t="str">
        <f>HYPERLINK(CONCAT("http://leetcode.com/problems/",Github!C$1068), Github!B$1068)</f>
        <v>Digit Count in Range</v>
      </c>
      <c r="C1069" s="17">
        <f>Github!F$1068</f>
        <v>59</v>
      </c>
      <c r="D1069" s="17">
        <f>Github!G$1068</f>
        <v>14</v>
      </c>
      <c r="E1069" s="17">
        <f>Github!F$1068+Github!G$1068</f>
        <v>73</v>
      </c>
      <c r="F1069" s="18">
        <f t="shared" si="1"/>
        <v>4.21</v>
      </c>
      <c r="G1069" s="17" t="str">
        <f>Github!H$1068</f>
        <v>Algorithms</v>
      </c>
      <c r="H1069" s="17" t="b">
        <f>Github!D$1068</f>
        <v>1</v>
      </c>
      <c r="I1069" s="17" t="str">
        <f>Github!E$1068</f>
        <v>Hard</v>
      </c>
      <c r="J1069" s="17" t="str">
        <f>ROUND(Github!N$1068, 2)&amp;"%"</f>
        <v>0%</v>
      </c>
      <c r="K1069" s="17">
        <f>Github!O$1068</f>
        <v>42.4983585</v>
      </c>
      <c r="L1069" s="17">
        <f>Github!P$1068</f>
        <v>2589</v>
      </c>
    </row>
    <row r="1070">
      <c r="A1070" s="17">
        <f>Github!J$1069</f>
        <v>1068</v>
      </c>
      <c r="B1070" s="34" t="str">
        <f>HYPERLINK(CONCAT("http://leetcode.com/problems/",Github!C$1069), Github!B$1069)</f>
        <v>Product Sales Analysis I</v>
      </c>
      <c r="C1070" s="17">
        <f>Github!F$1069</f>
        <v>80</v>
      </c>
      <c r="D1070" s="17">
        <f>Github!G$1069</f>
        <v>89</v>
      </c>
      <c r="E1070" s="17">
        <f>Github!F$1069+Github!G$1069</f>
        <v>169</v>
      </c>
      <c r="F1070" s="18">
        <f t="shared" si="1"/>
        <v>0.9</v>
      </c>
      <c r="G1070" s="17" t="str">
        <f>Github!H$1069</f>
        <v>Database</v>
      </c>
      <c r="H1070" s="17" t="b">
        <f>Github!D$1069</f>
        <v>1</v>
      </c>
      <c r="I1070" s="17" t="str">
        <f>Github!E$1069</f>
        <v>Easy</v>
      </c>
      <c r="J1070" s="17" t="str">
        <f>ROUND(Github!N$1069, 2)&amp;"%"</f>
        <v>0%</v>
      </c>
      <c r="K1070" s="17">
        <f>Github!O$1069</f>
        <v>81.05324115</v>
      </c>
      <c r="L1070" s="17">
        <f>Github!P$1069</f>
        <v>46189</v>
      </c>
    </row>
    <row r="1071">
      <c r="A1071" s="17">
        <f>Github!J$1070</f>
        <v>1069</v>
      </c>
      <c r="B1071" s="34" t="str">
        <f>HYPERLINK(CONCAT("http://leetcode.com/problems/",Github!C$1070), Github!B$1070)</f>
        <v>Product Sales Analysis II</v>
      </c>
      <c r="C1071" s="17">
        <f>Github!F$1070</f>
        <v>54</v>
      </c>
      <c r="D1071" s="17">
        <f>Github!G$1070</f>
        <v>139</v>
      </c>
      <c r="E1071" s="17">
        <f>Github!F$1070+Github!G$1070</f>
        <v>193</v>
      </c>
      <c r="F1071" s="18">
        <f t="shared" si="1"/>
        <v>0.39</v>
      </c>
      <c r="G1071" s="17" t="str">
        <f>Github!H$1070</f>
        <v>Database</v>
      </c>
      <c r="H1071" s="17" t="b">
        <f>Github!D$1070</f>
        <v>1</v>
      </c>
      <c r="I1071" s="17" t="str">
        <f>Github!E$1070</f>
        <v>Easy</v>
      </c>
      <c r="J1071" s="17" t="str">
        <f>ROUND(Github!N$1070, 2)&amp;"%"</f>
        <v>0%</v>
      </c>
      <c r="K1071" s="17">
        <f>Github!O$1070</f>
        <v>82.58573463</v>
      </c>
      <c r="L1071" s="17">
        <f>Github!P$1070</f>
        <v>37688</v>
      </c>
    </row>
    <row r="1072">
      <c r="A1072" s="17">
        <f>Github!J$1071</f>
        <v>1070</v>
      </c>
      <c r="B1072" s="34" t="str">
        <f>HYPERLINK(CONCAT("http://leetcode.com/problems/",Github!C$1071), Github!B$1071)</f>
        <v>Product Sales Analysis III</v>
      </c>
      <c r="C1072" s="17">
        <f>Github!F$1071</f>
        <v>70</v>
      </c>
      <c r="D1072" s="17">
        <f>Github!G$1071</f>
        <v>258</v>
      </c>
      <c r="E1072" s="17">
        <f>Github!F$1071+Github!G$1071</f>
        <v>328</v>
      </c>
      <c r="F1072" s="18">
        <f t="shared" si="1"/>
        <v>0.27</v>
      </c>
      <c r="G1072" s="17" t="str">
        <f>Github!H$1071</f>
        <v>Database</v>
      </c>
      <c r="H1072" s="17" t="b">
        <f>Github!D$1071</f>
        <v>1</v>
      </c>
      <c r="I1072" s="17" t="str">
        <f>Github!E$1071</f>
        <v>Medium</v>
      </c>
      <c r="J1072" s="17" t="str">
        <f>ROUND(Github!N$1071, 2)&amp;"%"</f>
        <v>0%</v>
      </c>
      <c r="K1072" s="17">
        <f>Github!O$1071</f>
        <v>49.65665236</v>
      </c>
      <c r="L1072" s="17">
        <f>Github!P$1071</f>
        <v>28924</v>
      </c>
    </row>
    <row r="1073">
      <c r="A1073" s="17">
        <f>Github!J$1072</f>
        <v>1071</v>
      </c>
      <c r="B1073" s="34" t="str">
        <f>HYPERLINK(CONCAT("http://leetcode.com/problems/",Github!C$1072), Github!B$1072)</f>
        <v>Greatest Common Divisor of Strings</v>
      </c>
      <c r="C1073" s="17">
        <f>Github!F$1072</f>
        <v>1230</v>
      </c>
      <c r="D1073" s="17">
        <f>Github!G$1072</f>
        <v>247</v>
      </c>
      <c r="E1073" s="17">
        <f>Github!F$1072+Github!G$1072</f>
        <v>1477</v>
      </c>
      <c r="F1073" s="18">
        <f t="shared" si="1"/>
        <v>4.98</v>
      </c>
      <c r="G1073" s="17" t="str">
        <f>Github!H$1072</f>
        <v>Algorithms</v>
      </c>
      <c r="H1073" s="17" t="b">
        <f>Github!D$1072</f>
        <v>0</v>
      </c>
      <c r="I1073" s="17" t="str">
        <f>Github!E$1072</f>
        <v>Easy</v>
      </c>
      <c r="J1073" s="17" t="str">
        <f>ROUND(Github!N$1072, 2)&amp;"%"</f>
        <v>0%</v>
      </c>
      <c r="K1073" s="17">
        <f>Github!O$1072</f>
        <v>51.60287386</v>
      </c>
      <c r="L1073" s="17">
        <f>Github!P$1072</f>
        <v>68876</v>
      </c>
    </row>
    <row r="1074">
      <c r="A1074" s="17">
        <f>Github!J$1073</f>
        <v>1072</v>
      </c>
      <c r="B1074" s="34" t="str">
        <f>HYPERLINK(CONCAT("http://leetcode.com/problems/",Github!C$1073), Github!B$1073)</f>
        <v>Flip Columns For Maximum Number of Equal Rows</v>
      </c>
      <c r="C1074" s="17">
        <f>Github!F$1073</f>
        <v>504</v>
      </c>
      <c r="D1074" s="17">
        <f>Github!G$1073</f>
        <v>36</v>
      </c>
      <c r="E1074" s="17">
        <f>Github!F$1073+Github!G$1073</f>
        <v>540</v>
      </c>
      <c r="F1074" s="18">
        <f t="shared" si="1"/>
        <v>14</v>
      </c>
      <c r="G1074" s="17" t="str">
        <f>Github!H$1073</f>
        <v>Algorithms</v>
      </c>
      <c r="H1074" s="17" t="b">
        <f>Github!D$1073</f>
        <v>0</v>
      </c>
      <c r="I1074" s="17" t="str">
        <f>Github!E$1073</f>
        <v>Medium</v>
      </c>
      <c r="J1074" s="17" t="str">
        <f>ROUND(Github!N$1073, 2)&amp;"%"</f>
        <v>0%</v>
      </c>
      <c r="K1074" s="17">
        <f>Github!O$1073</f>
        <v>62.93757461</v>
      </c>
      <c r="L1074" s="17">
        <f>Github!P$1073</f>
        <v>16343</v>
      </c>
    </row>
    <row r="1075">
      <c r="A1075" s="17">
        <f>Github!J$1074</f>
        <v>1073</v>
      </c>
      <c r="B1075" s="34" t="str">
        <f>HYPERLINK(CONCAT("http://leetcode.com/problems/",Github!C$1074), Github!B$1074)</f>
        <v>Adding Two Negabinary Numbers</v>
      </c>
      <c r="C1075" s="17">
        <f>Github!F$1074</f>
        <v>210</v>
      </c>
      <c r="D1075" s="17">
        <f>Github!G$1074</f>
        <v>87</v>
      </c>
      <c r="E1075" s="17">
        <f>Github!F$1074+Github!G$1074</f>
        <v>297</v>
      </c>
      <c r="F1075" s="18">
        <f t="shared" si="1"/>
        <v>2.41</v>
      </c>
      <c r="G1075" s="17" t="str">
        <f>Github!H$1074</f>
        <v>Algorithms</v>
      </c>
      <c r="H1075" s="17" t="b">
        <f>Github!D$1074</f>
        <v>0</v>
      </c>
      <c r="I1075" s="17" t="str">
        <f>Github!E$1074</f>
        <v>Medium</v>
      </c>
      <c r="J1075" s="17" t="str">
        <f>ROUND(Github!N$1074, 2)&amp;"%"</f>
        <v>0%</v>
      </c>
      <c r="K1075" s="17">
        <f>Github!O$1074</f>
        <v>35.63751449</v>
      </c>
      <c r="L1075" s="17">
        <f>Github!P$1074</f>
        <v>11373</v>
      </c>
    </row>
    <row r="1076">
      <c r="A1076" s="17">
        <f>Github!J$1075</f>
        <v>1074</v>
      </c>
      <c r="B1076" s="34" t="str">
        <f>HYPERLINK(CONCAT("http://leetcode.com/problems/",Github!C$1075), Github!B$1075)</f>
        <v>Number of Submatrices That Sum to Target</v>
      </c>
      <c r="C1076" s="17">
        <f>Github!F$1075</f>
        <v>1497</v>
      </c>
      <c r="D1076" s="17">
        <f>Github!G$1075</f>
        <v>37</v>
      </c>
      <c r="E1076" s="17">
        <f>Github!F$1075+Github!G$1075</f>
        <v>1534</v>
      </c>
      <c r="F1076" s="18">
        <f t="shared" si="1"/>
        <v>40.46</v>
      </c>
      <c r="G1076" s="17" t="str">
        <f>Github!H$1075</f>
        <v>Algorithms</v>
      </c>
      <c r="H1076" s="17" t="b">
        <f>Github!D$1075</f>
        <v>0</v>
      </c>
      <c r="I1076" s="17" t="str">
        <f>Github!E$1075</f>
        <v>Hard</v>
      </c>
      <c r="J1076" s="17" t="str">
        <f>ROUND(Github!N$1075, 2)&amp;"%"</f>
        <v>0%</v>
      </c>
      <c r="K1076" s="17">
        <f>Github!O$1075</f>
        <v>66.28334672</v>
      </c>
      <c r="L1076" s="17">
        <f>Github!P$1075</f>
        <v>47034</v>
      </c>
    </row>
    <row r="1077">
      <c r="A1077" s="17">
        <f>Github!J$1076</f>
        <v>1075</v>
      </c>
      <c r="B1077" s="34" t="str">
        <f>HYPERLINK(CONCAT("http://leetcode.com/problems/",Github!C$1076), Github!B$1076)</f>
        <v>Project Employees I</v>
      </c>
      <c r="C1077" s="17">
        <f>Github!F$1076</f>
        <v>77</v>
      </c>
      <c r="D1077" s="17">
        <f>Github!G$1076</f>
        <v>61</v>
      </c>
      <c r="E1077" s="17">
        <f>Github!F$1076+Github!G$1076</f>
        <v>138</v>
      </c>
      <c r="F1077" s="18">
        <f t="shared" si="1"/>
        <v>1.26</v>
      </c>
      <c r="G1077" s="17" t="str">
        <f>Github!H$1076</f>
        <v>Database</v>
      </c>
      <c r="H1077" s="17" t="b">
        <f>Github!D$1076</f>
        <v>1</v>
      </c>
      <c r="I1077" s="17" t="str">
        <f>Github!E$1076</f>
        <v>Easy</v>
      </c>
      <c r="J1077" s="17" t="str">
        <f>ROUND(Github!N$1076, 2)&amp;"%"</f>
        <v>0%</v>
      </c>
      <c r="K1077" s="17">
        <f>Github!O$1076</f>
        <v>66.84901324</v>
      </c>
      <c r="L1077" s="17">
        <f>Github!P$1076</f>
        <v>35192</v>
      </c>
    </row>
    <row r="1078">
      <c r="A1078" s="17">
        <f>Github!J$1077</f>
        <v>1076</v>
      </c>
      <c r="B1078" s="34" t="str">
        <f>HYPERLINK(CONCAT("http://leetcode.com/problems/",Github!C$1077), Github!B$1077)</f>
        <v>Project Employees II</v>
      </c>
      <c r="C1078" s="17">
        <f>Github!F$1077</f>
        <v>138</v>
      </c>
      <c r="D1078" s="17">
        <f>Github!G$1077</f>
        <v>44</v>
      </c>
      <c r="E1078" s="17">
        <f>Github!F$1077+Github!G$1077</f>
        <v>182</v>
      </c>
      <c r="F1078" s="18">
        <f t="shared" si="1"/>
        <v>3.14</v>
      </c>
      <c r="G1078" s="17" t="str">
        <f>Github!H$1077</f>
        <v>Database</v>
      </c>
      <c r="H1078" s="17" t="b">
        <f>Github!D$1077</f>
        <v>1</v>
      </c>
      <c r="I1078" s="17" t="str">
        <f>Github!E$1077</f>
        <v>Easy</v>
      </c>
      <c r="J1078" s="17" t="str">
        <f>ROUND(Github!N$1077, 2)&amp;"%"</f>
        <v>0%</v>
      </c>
      <c r="K1078" s="17">
        <f>Github!O$1077</f>
        <v>51.40431631</v>
      </c>
      <c r="L1078" s="17">
        <f>Github!P$1077</f>
        <v>37300</v>
      </c>
    </row>
    <row r="1079">
      <c r="A1079" s="17">
        <f>Github!J$1078</f>
        <v>1077</v>
      </c>
      <c r="B1079" s="34" t="str">
        <f>HYPERLINK(CONCAT("http://leetcode.com/problems/",Github!C$1078), Github!B$1078)</f>
        <v>Project Employees III</v>
      </c>
      <c r="C1079" s="17">
        <f>Github!F$1078</f>
        <v>168</v>
      </c>
      <c r="D1079" s="17">
        <f>Github!G$1078</f>
        <v>4</v>
      </c>
      <c r="E1079" s="17">
        <f>Github!F$1078+Github!G$1078</f>
        <v>172</v>
      </c>
      <c r="F1079" s="18">
        <f t="shared" si="1"/>
        <v>42</v>
      </c>
      <c r="G1079" s="17" t="str">
        <f>Github!H$1078</f>
        <v>Database</v>
      </c>
      <c r="H1079" s="17" t="b">
        <f>Github!D$1078</f>
        <v>1</v>
      </c>
      <c r="I1079" s="17" t="str">
        <f>Github!E$1078</f>
        <v>Medium</v>
      </c>
      <c r="J1079" s="17" t="str">
        <f>ROUND(Github!N$1078, 2)&amp;"%"</f>
        <v>0%</v>
      </c>
      <c r="K1079" s="17">
        <f>Github!O$1078</f>
        <v>78.59686267</v>
      </c>
      <c r="L1079" s="17">
        <f>Github!P$1078</f>
        <v>32668</v>
      </c>
    </row>
    <row r="1080">
      <c r="A1080" s="17">
        <f>Github!J$1079</f>
        <v>1078</v>
      </c>
      <c r="B1080" s="34" t="str">
        <f>HYPERLINK(CONCAT("http://leetcode.com/problems/",Github!C$1079), Github!B$1079)</f>
        <v>Occurrences After Bigram</v>
      </c>
      <c r="C1080" s="17">
        <f>Github!F$1079</f>
        <v>310</v>
      </c>
      <c r="D1080" s="17">
        <f>Github!G$1079</f>
        <v>283</v>
      </c>
      <c r="E1080" s="17">
        <f>Github!F$1079+Github!G$1079</f>
        <v>593</v>
      </c>
      <c r="F1080" s="18">
        <f t="shared" si="1"/>
        <v>1.1</v>
      </c>
      <c r="G1080" s="17" t="str">
        <f>Github!H$1079</f>
        <v>Algorithms</v>
      </c>
      <c r="H1080" s="17" t="b">
        <f>Github!D$1079</f>
        <v>0</v>
      </c>
      <c r="I1080" s="17" t="str">
        <f>Github!E$1079</f>
        <v>Easy</v>
      </c>
      <c r="J1080" s="17" t="str">
        <f>ROUND(Github!N$1079, 2)&amp;"%"</f>
        <v>0%</v>
      </c>
      <c r="K1080" s="17">
        <f>Github!O$1079</f>
        <v>64.29536593</v>
      </c>
      <c r="L1080" s="17">
        <f>Github!P$1079</f>
        <v>49961</v>
      </c>
    </row>
    <row r="1081">
      <c r="A1081" s="17">
        <f>Github!J$1080</f>
        <v>1079</v>
      </c>
      <c r="B1081" s="34" t="str">
        <f>HYPERLINK(CONCAT("http://leetcode.com/problems/",Github!C$1080), Github!B$1080)</f>
        <v>Letter Tile Possibilities</v>
      </c>
      <c r="C1081" s="17">
        <f>Github!F$1080</f>
        <v>1563</v>
      </c>
      <c r="D1081" s="17">
        <f>Github!G$1080</f>
        <v>45</v>
      </c>
      <c r="E1081" s="17">
        <f>Github!F$1080+Github!G$1080</f>
        <v>1608</v>
      </c>
      <c r="F1081" s="18">
        <f t="shared" si="1"/>
        <v>34.73</v>
      </c>
      <c r="G1081" s="17" t="str">
        <f>Github!H$1080</f>
        <v>Algorithms</v>
      </c>
      <c r="H1081" s="17" t="b">
        <f>Github!D$1080</f>
        <v>0</v>
      </c>
      <c r="I1081" s="17" t="str">
        <f>Github!E$1080</f>
        <v>Medium</v>
      </c>
      <c r="J1081" s="17" t="str">
        <f>ROUND(Github!N$1080, 2)&amp;"%"</f>
        <v>0%</v>
      </c>
      <c r="K1081" s="17">
        <f>Github!O$1080</f>
        <v>76.21234429</v>
      </c>
      <c r="L1081" s="17">
        <f>Github!P$1080</f>
        <v>65221</v>
      </c>
    </row>
    <row r="1082">
      <c r="A1082" s="17">
        <f>Github!J$1081</f>
        <v>1080</v>
      </c>
      <c r="B1082" s="34" t="str">
        <f>HYPERLINK(CONCAT("http://leetcode.com/problems/",Github!C$1081), Github!B$1081)</f>
        <v>Insufficient Nodes in Root to Leaf Paths</v>
      </c>
      <c r="C1082" s="17">
        <f>Github!F$1081</f>
        <v>391</v>
      </c>
      <c r="D1082" s="17">
        <f>Github!G$1081</f>
        <v>532</v>
      </c>
      <c r="E1082" s="17">
        <f>Github!F$1081+Github!G$1081</f>
        <v>923</v>
      </c>
      <c r="F1082" s="18">
        <f t="shared" si="1"/>
        <v>0.73</v>
      </c>
      <c r="G1082" s="17" t="str">
        <f>Github!H$1081</f>
        <v>Algorithms</v>
      </c>
      <c r="H1082" s="17" t="b">
        <f>Github!D$1081</f>
        <v>0</v>
      </c>
      <c r="I1082" s="17" t="str">
        <f>Github!E$1081</f>
        <v>Medium</v>
      </c>
      <c r="J1082" s="17" t="str">
        <f>ROUND(Github!N$1081, 2)&amp;"%"</f>
        <v>0%</v>
      </c>
      <c r="K1082" s="17">
        <f>Github!O$1081</f>
        <v>51.73864333</v>
      </c>
      <c r="L1082" s="17">
        <f>Github!P$1081</f>
        <v>24476</v>
      </c>
    </row>
    <row r="1083">
      <c r="A1083" s="17">
        <f>Github!J$1082</f>
        <v>1081</v>
      </c>
      <c r="B1083" s="34" t="str">
        <f>HYPERLINK(CONCAT("http://leetcode.com/problems/",Github!C$1082), Github!B$1082)</f>
        <v>Smallest Subsequence of Distinct Characters</v>
      </c>
      <c r="C1083" s="17">
        <f>Github!F$1082</f>
        <v>1412</v>
      </c>
      <c r="D1083" s="17">
        <f>Github!G$1082</f>
        <v>137</v>
      </c>
      <c r="E1083" s="17">
        <f>Github!F$1082+Github!G$1082</f>
        <v>1549</v>
      </c>
      <c r="F1083" s="18">
        <f t="shared" si="1"/>
        <v>10.31</v>
      </c>
      <c r="G1083" s="17" t="str">
        <f>Github!H$1082</f>
        <v>Algorithms</v>
      </c>
      <c r="H1083" s="17" t="b">
        <f>Github!D$1082</f>
        <v>0</v>
      </c>
      <c r="I1083" s="17" t="str">
        <f>Github!E$1082</f>
        <v>Medium</v>
      </c>
      <c r="J1083" s="17" t="str">
        <f>ROUND(Github!N$1082, 2)&amp;"%"</f>
        <v>0%</v>
      </c>
      <c r="K1083" s="17">
        <f>Github!O$1082</f>
        <v>55.04674274</v>
      </c>
      <c r="L1083" s="17">
        <f>Github!P$1082</f>
        <v>33622</v>
      </c>
    </row>
    <row r="1084">
      <c r="A1084" s="17">
        <f>Github!J$1083</f>
        <v>1082</v>
      </c>
      <c r="B1084" s="34" t="str">
        <f>HYPERLINK(CONCAT("http://leetcode.com/problems/",Github!C$1083), Github!B$1083)</f>
        <v>Sales Analysis I</v>
      </c>
      <c r="C1084" s="17">
        <f>Github!F$1083</f>
        <v>143</v>
      </c>
      <c r="D1084" s="17">
        <f>Github!G$1083</f>
        <v>50</v>
      </c>
      <c r="E1084" s="17">
        <f>Github!F$1083+Github!G$1083</f>
        <v>193</v>
      </c>
      <c r="F1084" s="18">
        <f t="shared" si="1"/>
        <v>2.86</v>
      </c>
      <c r="G1084" s="17" t="str">
        <f>Github!H$1083</f>
        <v>Database</v>
      </c>
      <c r="H1084" s="17" t="b">
        <f>Github!D$1083</f>
        <v>1</v>
      </c>
      <c r="I1084" s="17" t="str">
        <f>Github!E$1083</f>
        <v>Easy</v>
      </c>
      <c r="J1084" s="17" t="str">
        <f>ROUND(Github!N$1083, 2)&amp;"%"</f>
        <v>0%</v>
      </c>
      <c r="K1084" s="17">
        <f>Github!O$1083</f>
        <v>75.16659867</v>
      </c>
      <c r="L1084" s="17">
        <f>Github!P$1083</f>
        <v>38689</v>
      </c>
    </row>
    <row r="1085">
      <c r="A1085" s="17">
        <f>Github!J$1084</f>
        <v>1083</v>
      </c>
      <c r="B1085" s="34" t="str">
        <f>HYPERLINK(CONCAT("http://leetcode.com/problems/",Github!C$1084), Github!B$1084)</f>
        <v>Sales Analysis II</v>
      </c>
      <c r="C1085" s="17">
        <f>Github!F$1084</f>
        <v>175</v>
      </c>
      <c r="D1085" s="17">
        <f>Github!G$1084</f>
        <v>34</v>
      </c>
      <c r="E1085" s="17">
        <f>Github!F$1084+Github!G$1084</f>
        <v>209</v>
      </c>
      <c r="F1085" s="18">
        <f t="shared" si="1"/>
        <v>5.15</v>
      </c>
      <c r="G1085" s="17" t="str">
        <f>Github!H$1084</f>
        <v>Database</v>
      </c>
      <c r="H1085" s="17" t="b">
        <f>Github!D$1084</f>
        <v>1</v>
      </c>
      <c r="I1085" s="17" t="str">
        <f>Github!E$1084</f>
        <v>Easy</v>
      </c>
      <c r="J1085" s="17" t="str">
        <f>ROUND(Github!N$1084, 2)&amp;"%"</f>
        <v>0%</v>
      </c>
      <c r="K1085" s="17">
        <f>Github!O$1084</f>
        <v>50.5234582</v>
      </c>
      <c r="L1085" s="17">
        <f>Github!P$1084</f>
        <v>38897</v>
      </c>
    </row>
    <row r="1086">
      <c r="A1086" s="17">
        <f>Github!J$1085</f>
        <v>1084</v>
      </c>
      <c r="B1086" s="34" t="str">
        <f>HYPERLINK(CONCAT("http://leetcode.com/problems/",Github!C$1085), Github!B$1085)</f>
        <v>Sales Analysis III</v>
      </c>
      <c r="C1086" s="17">
        <f>Github!F$1085</f>
        <v>151</v>
      </c>
      <c r="D1086" s="17">
        <f>Github!G$1085</f>
        <v>52</v>
      </c>
      <c r="E1086" s="17">
        <f>Github!F$1085+Github!G$1085</f>
        <v>203</v>
      </c>
      <c r="F1086" s="18">
        <f t="shared" si="1"/>
        <v>2.9</v>
      </c>
      <c r="G1086" s="17" t="str">
        <f>Github!H$1085</f>
        <v>Database</v>
      </c>
      <c r="H1086" s="17" t="b">
        <f>Github!D$1085</f>
        <v>1</v>
      </c>
      <c r="I1086" s="17" t="str">
        <f>Github!E$1085</f>
        <v>Easy</v>
      </c>
      <c r="J1086" s="17" t="str">
        <f>ROUND(Github!N$1085, 2)&amp;"%"</f>
        <v>0%</v>
      </c>
      <c r="K1086" s="17">
        <f>Github!O$1085</f>
        <v>53.64799521</v>
      </c>
      <c r="L1086" s="17">
        <f>Github!P$1085</f>
        <v>37608</v>
      </c>
    </row>
    <row r="1087">
      <c r="A1087" s="17">
        <f>Github!J$1086</f>
        <v>1085</v>
      </c>
      <c r="B1087" s="34" t="str">
        <f>HYPERLINK(CONCAT("http://leetcode.com/problems/",Github!C$1086), Github!B$1086)</f>
        <v>Sum of Digits in the Minimum Number</v>
      </c>
      <c r="C1087" s="17">
        <f>Github!F$1086</f>
        <v>81</v>
      </c>
      <c r="D1087" s="17">
        <f>Github!G$1086</f>
        <v>138</v>
      </c>
      <c r="E1087" s="17">
        <f>Github!F$1086+Github!G$1086</f>
        <v>219</v>
      </c>
      <c r="F1087" s="18">
        <f t="shared" si="1"/>
        <v>0.59</v>
      </c>
      <c r="G1087" s="17" t="str">
        <f>Github!H$1086</f>
        <v>Algorithms</v>
      </c>
      <c r="H1087" s="17" t="b">
        <f>Github!D$1086</f>
        <v>1</v>
      </c>
      <c r="I1087" s="17" t="str">
        <f>Github!E$1086</f>
        <v>Easy</v>
      </c>
      <c r="J1087" s="17" t="str">
        <f>ROUND(Github!N$1086, 2)&amp;"%"</f>
        <v>0%</v>
      </c>
      <c r="K1087" s="17">
        <f>Github!O$1086</f>
        <v>75.5603816</v>
      </c>
      <c r="L1087" s="17">
        <f>Github!P$1086</f>
        <v>19484</v>
      </c>
    </row>
    <row r="1088">
      <c r="A1088" s="17">
        <f>Github!J$1087</f>
        <v>1086</v>
      </c>
      <c r="B1088" s="34" t="str">
        <f>HYPERLINK(CONCAT("http://leetcode.com/problems/",Github!C$1087), Github!B$1087)</f>
        <v>High Five</v>
      </c>
      <c r="C1088" s="17">
        <f>Github!F$1087</f>
        <v>639</v>
      </c>
      <c r="D1088" s="17">
        <f>Github!G$1087</f>
        <v>103</v>
      </c>
      <c r="E1088" s="17">
        <f>Github!F$1087+Github!G$1087</f>
        <v>742</v>
      </c>
      <c r="F1088" s="18">
        <f t="shared" si="1"/>
        <v>6.2</v>
      </c>
      <c r="G1088" s="17" t="str">
        <f>Github!H$1087</f>
        <v>Algorithms</v>
      </c>
      <c r="H1088" s="17" t="b">
        <f>Github!D$1087</f>
        <v>1</v>
      </c>
      <c r="I1088" s="17" t="str">
        <f>Github!E$1087</f>
        <v>Easy</v>
      </c>
      <c r="J1088" s="17" t="str">
        <f>ROUND(Github!N$1087, 2)&amp;"%"</f>
        <v>0%</v>
      </c>
      <c r="K1088" s="17">
        <f>Github!O$1087</f>
        <v>75.55857232</v>
      </c>
      <c r="L1088" s="17">
        <f>Github!P$1087</f>
        <v>80147</v>
      </c>
    </row>
    <row r="1089">
      <c r="A1089" s="17">
        <f>Github!J$1088</f>
        <v>1087</v>
      </c>
      <c r="B1089" s="34" t="str">
        <f>HYPERLINK(CONCAT("http://leetcode.com/problems/",Github!C$1088), Github!B$1088)</f>
        <v>Brace Expansion</v>
      </c>
      <c r="C1089" s="17">
        <f>Github!F$1088</f>
        <v>435</v>
      </c>
      <c r="D1089" s="17">
        <f>Github!G$1088</f>
        <v>39</v>
      </c>
      <c r="E1089" s="17">
        <f>Github!F$1088+Github!G$1088</f>
        <v>474</v>
      </c>
      <c r="F1089" s="18">
        <f t="shared" si="1"/>
        <v>11.15</v>
      </c>
      <c r="G1089" s="17" t="str">
        <f>Github!H$1088</f>
        <v>Algorithms</v>
      </c>
      <c r="H1089" s="17" t="b">
        <f>Github!D$1088</f>
        <v>1</v>
      </c>
      <c r="I1089" s="17" t="str">
        <f>Github!E$1088</f>
        <v>Medium</v>
      </c>
      <c r="J1089" s="17" t="str">
        <f>ROUND(Github!N$1088, 2)&amp;"%"</f>
        <v>0%</v>
      </c>
      <c r="K1089" s="17">
        <f>Github!O$1088</f>
        <v>64.42404271</v>
      </c>
      <c r="L1089" s="17">
        <f>Github!P$1088</f>
        <v>36560</v>
      </c>
    </row>
    <row r="1090">
      <c r="A1090" s="17">
        <f>Github!J$1089</f>
        <v>1088</v>
      </c>
      <c r="B1090" s="34" t="str">
        <f>HYPERLINK(CONCAT("http://leetcode.com/problems/",Github!C$1089), Github!B$1089)</f>
        <v>Confusing Number II</v>
      </c>
      <c r="C1090" s="17">
        <f>Github!F$1089</f>
        <v>352</v>
      </c>
      <c r="D1090" s="17">
        <f>Github!G$1089</f>
        <v>95</v>
      </c>
      <c r="E1090" s="17">
        <f>Github!F$1089+Github!G$1089</f>
        <v>447</v>
      </c>
      <c r="F1090" s="18">
        <f t="shared" si="1"/>
        <v>3.71</v>
      </c>
      <c r="G1090" s="17" t="str">
        <f>Github!H$1089</f>
        <v>Algorithms</v>
      </c>
      <c r="H1090" s="17" t="b">
        <f>Github!D$1089</f>
        <v>1</v>
      </c>
      <c r="I1090" s="17" t="str">
        <f>Github!E$1089</f>
        <v>Hard</v>
      </c>
      <c r="J1090" s="17" t="str">
        <f>ROUND(Github!N$1089, 2)&amp;"%"</f>
        <v>0%</v>
      </c>
      <c r="K1090" s="17">
        <f>Github!O$1089</f>
        <v>46.49940224</v>
      </c>
      <c r="L1090" s="17">
        <f>Github!P$1089</f>
        <v>28393</v>
      </c>
    </row>
    <row r="1091">
      <c r="A1091" s="17">
        <f>Github!J$1090</f>
        <v>1089</v>
      </c>
      <c r="B1091" s="34" t="str">
        <f>HYPERLINK(CONCAT("http://leetcode.com/problems/",Github!C$1090), Github!B$1090)</f>
        <v>Duplicate Zeros</v>
      </c>
      <c r="C1091" s="17">
        <f>Github!F$1090</f>
        <v>1562</v>
      </c>
      <c r="D1091" s="17">
        <f>Github!G$1090</f>
        <v>501</v>
      </c>
      <c r="E1091" s="17">
        <f>Github!F$1090+Github!G$1090</f>
        <v>2063</v>
      </c>
      <c r="F1091" s="18">
        <f t="shared" si="1"/>
        <v>3.12</v>
      </c>
      <c r="G1091" s="17" t="str">
        <f>Github!H$1090</f>
        <v>Algorithms</v>
      </c>
      <c r="H1091" s="17" t="b">
        <f>Github!D$1090</f>
        <v>0</v>
      </c>
      <c r="I1091" s="17" t="str">
        <f>Github!E$1090</f>
        <v>Easy</v>
      </c>
      <c r="J1091" s="17" t="str">
        <f>ROUND(Github!N$1090, 2)&amp;"%"</f>
        <v>0%</v>
      </c>
      <c r="K1091" s="17">
        <f>Github!O$1090</f>
        <v>51.12280702</v>
      </c>
      <c r="L1091" s="17">
        <f>Github!P$1090</f>
        <v>250588</v>
      </c>
    </row>
    <row r="1092">
      <c r="A1092" s="17">
        <f>Github!J$1091</f>
        <v>1090</v>
      </c>
      <c r="B1092" s="34" t="str">
        <f>HYPERLINK(CONCAT("http://leetcode.com/problems/",Github!C$1091), Github!B$1091)</f>
        <v>Largest Values From Labels</v>
      </c>
      <c r="C1092" s="17">
        <f>Github!F$1091</f>
        <v>278</v>
      </c>
      <c r="D1092" s="17">
        <f>Github!G$1091</f>
        <v>548</v>
      </c>
      <c r="E1092" s="17">
        <f>Github!F$1091+Github!G$1091</f>
        <v>826</v>
      </c>
      <c r="F1092" s="18">
        <f t="shared" si="1"/>
        <v>0.51</v>
      </c>
      <c r="G1092" s="17" t="str">
        <f>Github!H$1091</f>
        <v>Algorithms</v>
      </c>
      <c r="H1092" s="17" t="b">
        <f>Github!D$1091</f>
        <v>0</v>
      </c>
      <c r="I1092" s="17" t="str">
        <f>Github!E$1091</f>
        <v>Medium</v>
      </c>
      <c r="J1092" s="17" t="str">
        <f>ROUND(Github!N$1091, 2)&amp;"%"</f>
        <v>0%</v>
      </c>
      <c r="K1092" s="17">
        <f>Github!O$1091</f>
        <v>60.47100876</v>
      </c>
      <c r="L1092" s="17">
        <f>Github!P$1091</f>
        <v>26729</v>
      </c>
    </row>
    <row r="1093">
      <c r="A1093" s="17">
        <f>Github!J$1092</f>
        <v>1091</v>
      </c>
      <c r="B1093" s="34" t="str">
        <f>HYPERLINK(CONCAT("http://leetcode.com/problems/",Github!C$1092), Github!B$1092)</f>
        <v>Shortest Path in Binary Matrix</v>
      </c>
      <c r="C1093" s="17">
        <f>Github!F$1092</f>
        <v>2315</v>
      </c>
      <c r="D1093" s="17">
        <f>Github!G$1092</f>
        <v>120</v>
      </c>
      <c r="E1093" s="17">
        <f>Github!F$1092+Github!G$1092</f>
        <v>2435</v>
      </c>
      <c r="F1093" s="18">
        <f t="shared" si="1"/>
        <v>19.29</v>
      </c>
      <c r="G1093" s="17" t="str">
        <f>Github!H$1092</f>
        <v>Algorithms</v>
      </c>
      <c r="H1093" s="17" t="b">
        <f>Github!D$1092</f>
        <v>0</v>
      </c>
      <c r="I1093" s="17" t="str">
        <f>Github!E$1092</f>
        <v>Medium</v>
      </c>
      <c r="J1093" s="17" t="str">
        <f>ROUND(Github!N$1092, 2)&amp;"%"</f>
        <v>0%</v>
      </c>
      <c r="K1093" s="17">
        <f>Github!O$1092</f>
        <v>42.34417344</v>
      </c>
      <c r="L1093" s="17">
        <f>Github!P$1092</f>
        <v>162497</v>
      </c>
    </row>
    <row r="1094">
      <c r="A1094" s="17">
        <f>Github!J$1093</f>
        <v>1092</v>
      </c>
      <c r="B1094" s="34" t="str">
        <f>HYPERLINK(CONCAT("http://leetcode.com/problems/",Github!C$1093), Github!B$1093)</f>
        <v>Shortest Common Supersequence </v>
      </c>
      <c r="C1094" s="17">
        <f>Github!F$1093</f>
        <v>2005</v>
      </c>
      <c r="D1094" s="17">
        <f>Github!G$1093</f>
        <v>39</v>
      </c>
      <c r="E1094" s="17">
        <f>Github!F$1093+Github!G$1093</f>
        <v>2044</v>
      </c>
      <c r="F1094" s="18">
        <f t="shared" si="1"/>
        <v>51.41</v>
      </c>
      <c r="G1094" s="17" t="str">
        <f>Github!H$1093</f>
        <v>Algorithms</v>
      </c>
      <c r="H1094" s="17" t="b">
        <f>Github!D$1093</f>
        <v>0</v>
      </c>
      <c r="I1094" s="17" t="str">
        <f>Github!E$1093</f>
        <v>Hard</v>
      </c>
      <c r="J1094" s="17" t="str">
        <f>ROUND(Github!N$1093, 2)&amp;"%"</f>
        <v>0%</v>
      </c>
      <c r="K1094" s="17">
        <f>Github!O$1093</f>
        <v>55.64833864</v>
      </c>
      <c r="L1094" s="17">
        <f>Github!P$1093</f>
        <v>41384</v>
      </c>
    </row>
    <row r="1095">
      <c r="A1095" s="17">
        <f>Github!J$1094</f>
        <v>1093</v>
      </c>
      <c r="B1095" s="34" t="str">
        <f>HYPERLINK(CONCAT("http://leetcode.com/problems/",Github!C$1094), Github!B$1094)</f>
        <v>Statistics from a Large Sample</v>
      </c>
      <c r="C1095" s="17">
        <f>Github!F$1094</f>
        <v>45</v>
      </c>
      <c r="D1095" s="17">
        <f>Github!G$1094</f>
        <v>50</v>
      </c>
      <c r="E1095" s="17">
        <f>Github!F$1094+Github!G$1094</f>
        <v>95</v>
      </c>
      <c r="F1095" s="18">
        <f t="shared" si="1"/>
        <v>0.9</v>
      </c>
      <c r="G1095" s="17" t="str">
        <f>Github!H$1094</f>
        <v>Algorithms</v>
      </c>
      <c r="H1095" s="17" t="b">
        <f>Github!D$1094</f>
        <v>0</v>
      </c>
      <c r="I1095" s="17" t="str">
        <f>Github!E$1094</f>
        <v>Medium</v>
      </c>
      <c r="J1095" s="17" t="str">
        <f>ROUND(Github!N$1094, 2)&amp;"%"</f>
        <v>0%</v>
      </c>
      <c r="K1095" s="17">
        <f>Github!O$1094</f>
        <v>46.08649415</v>
      </c>
      <c r="L1095" s="17">
        <f>Github!P$1094</f>
        <v>13001</v>
      </c>
    </row>
    <row r="1096">
      <c r="A1096" s="17">
        <f>Github!J$1095</f>
        <v>1094</v>
      </c>
      <c r="B1096" s="34" t="str">
        <f>HYPERLINK(CONCAT("http://leetcode.com/problems/",Github!C$1095), Github!B$1095)</f>
        <v>Car Pooling</v>
      </c>
      <c r="C1096" s="17">
        <f>Github!F$1095</f>
        <v>2936</v>
      </c>
      <c r="D1096" s="17">
        <f>Github!G$1095</f>
        <v>64</v>
      </c>
      <c r="E1096" s="17">
        <f>Github!F$1095+Github!G$1095</f>
        <v>3000</v>
      </c>
      <c r="F1096" s="18">
        <f t="shared" si="1"/>
        <v>45.88</v>
      </c>
      <c r="G1096" s="17" t="str">
        <f>Github!H$1095</f>
        <v>Algorithms</v>
      </c>
      <c r="H1096" s="17" t="b">
        <f>Github!D$1095</f>
        <v>0</v>
      </c>
      <c r="I1096" s="17" t="str">
        <f>Github!E$1095</f>
        <v>Medium</v>
      </c>
      <c r="J1096" s="17" t="str">
        <f>ROUND(Github!N$1095, 2)&amp;"%"</f>
        <v>0%</v>
      </c>
      <c r="K1096" s="17">
        <f>Github!O$1095</f>
        <v>58.42103768</v>
      </c>
      <c r="L1096" s="17">
        <f>Github!P$1095</f>
        <v>143932</v>
      </c>
    </row>
    <row r="1097">
      <c r="A1097" s="17">
        <f>Github!J$1096</f>
        <v>1095</v>
      </c>
      <c r="B1097" s="34" t="str">
        <f>HYPERLINK(CONCAT("http://leetcode.com/problems/",Github!C$1096), Github!B$1096)</f>
        <v>Find in Mountain Array</v>
      </c>
      <c r="C1097" s="17">
        <f>Github!F$1096</f>
        <v>1091</v>
      </c>
      <c r="D1097" s="17">
        <f>Github!G$1096</f>
        <v>55</v>
      </c>
      <c r="E1097" s="17">
        <f>Github!F$1096+Github!G$1096</f>
        <v>1146</v>
      </c>
      <c r="F1097" s="18">
        <f t="shared" si="1"/>
        <v>19.84</v>
      </c>
      <c r="G1097" s="17" t="str">
        <f>Github!H$1096</f>
        <v>Algorithms</v>
      </c>
      <c r="H1097" s="17" t="b">
        <f>Github!D$1096</f>
        <v>0</v>
      </c>
      <c r="I1097" s="17" t="str">
        <f>Github!E$1096</f>
        <v>Hard</v>
      </c>
      <c r="J1097" s="17" t="str">
        <f>ROUND(Github!N$1096, 2)&amp;"%"</f>
        <v>0%</v>
      </c>
      <c r="K1097" s="17">
        <f>Github!O$1096</f>
        <v>35.9246536</v>
      </c>
      <c r="L1097" s="17">
        <f>Github!P$1096</f>
        <v>40679</v>
      </c>
    </row>
    <row r="1098">
      <c r="A1098" s="17">
        <f>Github!J$1097</f>
        <v>1096</v>
      </c>
      <c r="B1098" s="34" t="str">
        <f>HYPERLINK(CONCAT("http://leetcode.com/problems/",Github!C$1097), Github!B$1097)</f>
        <v>Brace Expansion II</v>
      </c>
      <c r="C1098" s="17">
        <f>Github!F$1097</f>
        <v>355</v>
      </c>
      <c r="D1098" s="17">
        <f>Github!G$1097</f>
        <v>224</v>
      </c>
      <c r="E1098" s="17">
        <f>Github!F$1097+Github!G$1097</f>
        <v>579</v>
      </c>
      <c r="F1098" s="18">
        <f t="shared" si="1"/>
        <v>1.58</v>
      </c>
      <c r="G1098" s="17" t="str">
        <f>Github!H$1097</f>
        <v>Algorithms</v>
      </c>
      <c r="H1098" s="17" t="b">
        <f>Github!D$1097</f>
        <v>0</v>
      </c>
      <c r="I1098" s="17" t="str">
        <f>Github!E$1097</f>
        <v>Hard</v>
      </c>
      <c r="J1098" s="17" t="str">
        <f>ROUND(Github!N$1097, 2)&amp;"%"</f>
        <v>0%</v>
      </c>
      <c r="K1098" s="17">
        <f>Github!O$1097</f>
        <v>62.49019006</v>
      </c>
      <c r="L1098" s="17">
        <f>Github!P$1097</f>
        <v>18314</v>
      </c>
    </row>
    <row r="1099">
      <c r="A1099" s="17">
        <f>Github!J$1098</f>
        <v>1097</v>
      </c>
      <c r="B1099" s="34" t="str">
        <f>HYPERLINK(CONCAT("http://leetcode.com/problems/",Github!C$1098), Github!B$1098)</f>
        <v>Game Play Analysis V</v>
      </c>
      <c r="C1099" s="17">
        <f>Github!F$1098</f>
        <v>117</v>
      </c>
      <c r="D1099" s="17">
        <f>Github!G$1098</f>
        <v>26</v>
      </c>
      <c r="E1099" s="17">
        <f>Github!F$1098+Github!G$1098</f>
        <v>143</v>
      </c>
      <c r="F1099" s="18">
        <f t="shared" si="1"/>
        <v>4.5</v>
      </c>
      <c r="G1099" s="17" t="str">
        <f>Github!H$1098</f>
        <v>Database</v>
      </c>
      <c r="H1099" s="17" t="b">
        <f>Github!D$1098</f>
        <v>1</v>
      </c>
      <c r="I1099" s="17" t="str">
        <f>Github!E$1098</f>
        <v>Hard</v>
      </c>
      <c r="J1099" s="17" t="str">
        <f>ROUND(Github!N$1098, 2)&amp;"%"</f>
        <v>0%</v>
      </c>
      <c r="K1099" s="17">
        <f>Github!O$1098</f>
        <v>55.70204609</v>
      </c>
      <c r="L1099" s="17">
        <f>Github!P$1098</f>
        <v>14238</v>
      </c>
    </row>
    <row r="1100">
      <c r="A1100" s="17">
        <f>Github!J$1099</f>
        <v>1098</v>
      </c>
      <c r="B1100" s="34" t="str">
        <f>HYPERLINK(CONCAT("http://leetcode.com/problems/",Github!C$1099), Github!B$1099)</f>
        <v>Unpopular Books</v>
      </c>
      <c r="C1100" s="17">
        <f>Github!F$1099</f>
        <v>139</v>
      </c>
      <c r="D1100" s="17">
        <f>Github!G$1099</f>
        <v>384</v>
      </c>
      <c r="E1100" s="17">
        <f>Github!F$1099+Github!G$1099</f>
        <v>523</v>
      </c>
      <c r="F1100" s="18">
        <f t="shared" si="1"/>
        <v>0.36</v>
      </c>
      <c r="G1100" s="17" t="str">
        <f>Github!H$1099</f>
        <v>Database</v>
      </c>
      <c r="H1100" s="17" t="b">
        <f>Github!D$1099</f>
        <v>1</v>
      </c>
      <c r="I1100" s="17" t="str">
        <f>Github!E$1099</f>
        <v>Medium</v>
      </c>
      <c r="J1100" s="17" t="str">
        <f>ROUND(Github!N$1099, 2)&amp;"%"</f>
        <v>0%</v>
      </c>
      <c r="K1100" s="17">
        <f>Github!O$1099</f>
        <v>45.30176383</v>
      </c>
      <c r="L1100" s="17">
        <f>Github!P$1099</f>
        <v>25581</v>
      </c>
    </row>
    <row r="1101">
      <c r="A1101" s="17">
        <f>Github!J$1100</f>
        <v>1099</v>
      </c>
      <c r="B1101" s="34" t="str">
        <f>HYPERLINK(CONCAT("http://leetcode.com/problems/",Github!C$1100), Github!B$1100)</f>
        <v>Two Sum Less Than K</v>
      </c>
      <c r="C1101" s="17">
        <f>Github!F$1100</f>
        <v>744</v>
      </c>
      <c r="D1101" s="17">
        <f>Github!G$1100</f>
        <v>84</v>
      </c>
      <c r="E1101" s="17">
        <f>Github!F$1100+Github!G$1100</f>
        <v>828</v>
      </c>
      <c r="F1101" s="18">
        <f t="shared" si="1"/>
        <v>8.86</v>
      </c>
      <c r="G1101" s="17" t="str">
        <f>Github!H$1100</f>
        <v>Algorithms</v>
      </c>
      <c r="H1101" s="17" t="b">
        <f>Github!D$1100</f>
        <v>1</v>
      </c>
      <c r="I1101" s="17" t="str">
        <f>Github!E$1100</f>
        <v>Easy</v>
      </c>
      <c r="J1101" s="17" t="str">
        <f>ROUND(Github!N$1100, 2)&amp;"%"</f>
        <v>1%</v>
      </c>
      <c r="K1101" s="17">
        <f>Github!O$1100</f>
        <v>60.48599244</v>
      </c>
      <c r="L1101" s="17">
        <f>Github!P$1100</f>
        <v>85304</v>
      </c>
    </row>
    <row r="1102">
      <c r="A1102" s="17">
        <f>Github!J$1101</f>
        <v>1100</v>
      </c>
      <c r="B1102" s="34" t="str">
        <f>HYPERLINK(CONCAT("http://leetcode.com/problems/",Github!C$1101), Github!B$1101)</f>
        <v>Find K-Length Substrings With No Repeated Characters</v>
      </c>
      <c r="C1102" s="17">
        <f>Github!F$1101</f>
        <v>431</v>
      </c>
      <c r="D1102" s="17">
        <f>Github!G$1101</f>
        <v>10</v>
      </c>
      <c r="E1102" s="17">
        <f>Github!F$1101+Github!G$1101</f>
        <v>441</v>
      </c>
      <c r="F1102" s="18">
        <f t="shared" si="1"/>
        <v>43.1</v>
      </c>
      <c r="G1102" s="17" t="str">
        <f>Github!H$1101</f>
        <v>Algorithms</v>
      </c>
      <c r="H1102" s="17" t="b">
        <f>Github!D$1101</f>
        <v>1</v>
      </c>
      <c r="I1102" s="17" t="str">
        <f>Github!E$1101</f>
        <v>Medium</v>
      </c>
      <c r="J1102" s="17" t="str">
        <f>ROUND(Github!N$1101, 2)&amp;"%"</f>
        <v>0%</v>
      </c>
      <c r="K1102" s="17">
        <f>Github!O$1101</f>
        <v>74.76163333</v>
      </c>
      <c r="L1102" s="17">
        <f>Github!P$1101</f>
        <v>28855</v>
      </c>
    </row>
    <row r="1103">
      <c r="A1103" s="17">
        <f>Github!J$1102</f>
        <v>1101</v>
      </c>
      <c r="B1103" s="34" t="str">
        <f>HYPERLINK(CONCAT("http://leetcode.com/problems/",Github!C$1102), Github!B$1102)</f>
        <v>The Earliest Moment When Everyone Become Friends</v>
      </c>
      <c r="C1103" s="17">
        <f>Github!F$1102</f>
        <v>462</v>
      </c>
      <c r="D1103" s="17">
        <f>Github!G$1102</f>
        <v>12</v>
      </c>
      <c r="E1103" s="17">
        <f>Github!F$1102+Github!G$1102</f>
        <v>474</v>
      </c>
      <c r="F1103" s="18">
        <f t="shared" si="1"/>
        <v>38.5</v>
      </c>
      <c r="G1103" s="17" t="str">
        <f>Github!H$1102</f>
        <v>Algorithms</v>
      </c>
      <c r="H1103" s="17" t="b">
        <f>Github!D$1102</f>
        <v>1</v>
      </c>
      <c r="I1103" s="17" t="str">
        <f>Github!E$1102</f>
        <v>Medium</v>
      </c>
      <c r="J1103" s="17" t="str">
        <f>ROUND(Github!N$1102, 2)&amp;"%"</f>
        <v>0%</v>
      </c>
      <c r="K1103" s="17">
        <f>Github!O$1102</f>
        <v>64.58161168</v>
      </c>
      <c r="L1103" s="17">
        <f>Github!P$1102</f>
        <v>30477</v>
      </c>
    </row>
    <row r="1104">
      <c r="A1104" s="17">
        <f>Github!J$1103</f>
        <v>1102</v>
      </c>
      <c r="B1104" s="34" t="str">
        <f>HYPERLINK(CONCAT("http://leetcode.com/problems/",Github!C$1103), Github!B$1103)</f>
        <v>Path With Maximum Minimum Value</v>
      </c>
      <c r="C1104" s="17">
        <f>Github!F$1103</f>
        <v>890</v>
      </c>
      <c r="D1104" s="17">
        <f>Github!G$1103</f>
        <v>95</v>
      </c>
      <c r="E1104" s="17">
        <f>Github!F$1103+Github!G$1103</f>
        <v>985</v>
      </c>
      <c r="F1104" s="18">
        <f t="shared" si="1"/>
        <v>9.37</v>
      </c>
      <c r="G1104" s="17" t="str">
        <f>Github!H$1103</f>
        <v>Algorithms</v>
      </c>
      <c r="H1104" s="17" t="b">
        <f>Github!D$1103</f>
        <v>1</v>
      </c>
      <c r="I1104" s="17" t="str">
        <f>Github!E$1103</f>
        <v>Medium</v>
      </c>
      <c r="J1104" s="17" t="str">
        <f>ROUND(Github!N$1103, 2)&amp;"%"</f>
        <v>0%</v>
      </c>
      <c r="K1104" s="17">
        <f>Github!O$1103</f>
        <v>52.47521094</v>
      </c>
      <c r="L1104" s="17">
        <f>Github!P$1103</f>
        <v>42601</v>
      </c>
    </row>
    <row r="1105">
      <c r="A1105" s="17">
        <f>Github!J$1104</f>
        <v>1103</v>
      </c>
      <c r="B1105" s="34" t="str">
        <f>HYPERLINK(CONCAT("http://leetcode.com/problems/",Github!C$1104), Github!B$1104)</f>
        <v>Distribute Candies to People</v>
      </c>
      <c r="C1105" s="17">
        <f>Github!F$1104</f>
        <v>683</v>
      </c>
      <c r="D1105" s="17">
        <f>Github!G$1104</f>
        <v>164</v>
      </c>
      <c r="E1105" s="17">
        <f>Github!F$1104+Github!G$1104</f>
        <v>847</v>
      </c>
      <c r="F1105" s="18">
        <f t="shared" si="1"/>
        <v>4.16</v>
      </c>
      <c r="G1105" s="17" t="str">
        <f>Github!H$1104</f>
        <v>Algorithms</v>
      </c>
      <c r="H1105" s="17" t="b">
        <f>Github!D$1104</f>
        <v>0</v>
      </c>
      <c r="I1105" s="17" t="str">
        <f>Github!E$1104</f>
        <v>Easy</v>
      </c>
      <c r="J1105" s="17" t="str">
        <f>ROUND(Github!N$1104, 2)&amp;"%"</f>
        <v>0%</v>
      </c>
      <c r="K1105" s="17">
        <f>Github!O$1104</f>
        <v>63.70782932</v>
      </c>
      <c r="L1105" s="17">
        <f>Github!P$1104</f>
        <v>65886</v>
      </c>
    </row>
    <row r="1106">
      <c r="A1106" s="17">
        <f>Github!J$1105</f>
        <v>1104</v>
      </c>
      <c r="B1106" s="34" t="str">
        <f>HYPERLINK(CONCAT("http://leetcode.com/problems/",Github!C$1105), Github!B$1105)</f>
        <v>Path In Zigzag Labelled Binary Tree</v>
      </c>
      <c r="C1106" s="17">
        <f>Github!F$1105</f>
        <v>930</v>
      </c>
      <c r="D1106" s="17">
        <f>Github!G$1105</f>
        <v>259</v>
      </c>
      <c r="E1106" s="17">
        <f>Github!F$1105+Github!G$1105</f>
        <v>1189</v>
      </c>
      <c r="F1106" s="18">
        <f t="shared" si="1"/>
        <v>3.59</v>
      </c>
      <c r="G1106" s="17" t="str">
        <f>Github!H$1105</f>
        <v>Algorithms</v>
      </c>
      <c r="H1106" s="17" t="b">
        <f>Github!D$1105</f>
        <v>0</v>
      </c>
      <c r="I1106" s="17" t="str">
        <f>Github!E$1105</f>
        <v>Medium</v>
      </c>
      <c r="J1106" s="17" t="str">
        <f>ROUND(Github!N$1105, 2)&amp;"%"</f>
        <v>0%</v>
      </c>
      <c r="K1106" s="17">
        <f>Github!O$1105</f>
        <v>74.4260219</v>
      </c>
      <c r="L1106" s="17">
        <f>Github!P$1105</f>
        <v>31736</v>
      </c>
    </row>
    <row r="1107">
      <c r="A1107" s="17">
        <f>Github!J$1106</f>
        <v>1105</v>
      </c>
      <c r="B1107" s="34" t="str">
        <f>HYPERLINK(CONCAT("http://leetcode.com/problems/",Github!C$1106), Github!B$1106)</f>
        <v>Filling Bookcase Shelves</v>
      </c>
      <c r="C1107" s="17">
        <f>Github!F$1106</f>
        <v>1202</v>
      </c>
      <c r="D1107" s="17">
        <f>Github!G$1106</f>
        <v>72</v>
      </c>
      <c r="E1107" s="17">
        <f>Github!F$1106+Github!G$1106</f>
        <v>1274</v>
      </c>
      <c r="F1107" s="18">
        <f t="shared" si="1"/>
        <v>16.69</v>
      </c>
      <c r="G1107" s="17" t="str">
        <f>Github!H$1106</f>
        <v>Algorithms</v>
      </c>
      <c r="H1107" s="17" t="b">
        <f>Github!D$1106</f>
        <v>0</v>
      </c>
      <c r="I1107" s="17" t="str">
        <f>Github!E$1106</f>
        <v>Medium</v>
      </c>
      <c r="J1107" s="17" t="str">
        <f>ROUND(Github!N$1106, 2)&amp;"%"</f>
        <v>0%</v>
      </c>
      <c r="K1107" s="17">
        <f>Github!O$1106</f>
        <v>58.00220954</v>
      </c>
      <c r="L1107" s="17">
        <f>Github!P$1106</f>
        <v>31501</v>
      </c>
    </row>
    <row r="1108">
      <c r="A1108" s="17">
        <f>Github!J$1107</f>
        <v>1106</v>
      </c>
      <c r="B1108" s="34" t="str">
        <f>HYPERLINK(CONCAT("http://leetcode.com/problems/",Github!C$1107), Github!B$1107)</f>
        <v>Parsing A Boolean Expression</v>
      </c>
      <c r="C1108" s="17">
        <f>Github!F$1107</f>
        <v>572</v>
      </c>
      <c r="D1108" s="17">
        <f>Github!G$1107</f>
        <v>32</v>
      </c>
      <c r="E1108" s="17">
        <f>Github!F$1107+Github!G$1107</f>
        <v>604</v>
      </c>
      <c r="F1108" s="18">
        <f t="shared" si="1"/>
        <v>17.88</v>
      </c>
      <c r="G1108" s="17" t="str">
        <f>Github!H$1107</f>
        <v>Algorithms</v>
      </c>
      <c r="H1108" s="17" t="b">
        <f>Github!D$1107</f>
        <v>0</v>
      </c>
      <c r="I1108" s="17" t="str">
        <f>Github!E$1107</f>
        <v>Hard</v>
      </c>
      <c r="J1108" s="17" t="str">
        <f>ROUND(Github!N$1107, 2)&amp;"%"</f>
        <v>0%</v>
      </c>
      <c r="K1108" s="17">
        <f>Github!O$1107</f>
        <v>59.2586414</v>
      </c>
      <c r="L1108" s="17">
        <f>Github!P$1107</f>
        <v>17761</v>
      </c>
    </row>
    <row r="1109">
      <c r="A1109" s="17">
        <f>Github!J$1108</f>
        <v>1107</v>
      </c>
      <c r="B1109" s="34" t="str">
        <f>HYPERLINK(CONCAT("http://leetcode.com/problems/",Github!C$1108), Github!B$1108)</f>
        <v>New Users Daily Count</v>
      </c>
      <c r="C1109" s="17">
        <f>Github!F$1108</f>
        <v>104</v>
      </c>
      <c r="D1109" s="17">
        <f>Github!G$1108</f>
        <v>99</v>
      </c>
      <c r="E1109" s="17">
        <f>Github!F$1108+Github!G$1108</f>
        <v>203</v>
      </c>
      <c r="F1109" s="18">
        <f t="shared" si="1"/>
        <v>1.05</v>
      </c>
      <c r="G1109" s="17" t="str">
        <f>Github!H$1108</f>
        <v>Database</v>
      </c>
      <c r="H1109" s="17" t="b">
        <f>Github!D$1108</f>
        <v>1</v>
      </c>
      <c r="I1109" s="17" t="str">
        <f>Github!E$1108</f>
        <v>Medium</v>
      </c>
      <c r="J1109" s="17" t="str">
        <f>ROUND(Github!N$1108, 2)&amp;"%"</f>
        <v>0%</v>
      </c>
      <c r="K1109" s="17">
        <f>Github!O$1108</f>
        <v>45.71650184</v>
      </c>
      <c r="L1109" s="17">
        <f>Github!P$1108</f>
        <v>23576</v>
      </c>
    </row>
    <row r="1110">
      <c r="A1110" s="17">
        <f>Github!J$1109</f>
        <v>1108</v>
      </c>
      <c r="B1110" s="34" t="str">
        <f>HYPERLINK(CONCAT("http://leetcode.com/problems/",Github!C$1109), Github!B$1109)</f>
        <v>Defanging an IP Address</v>
      </c>
      <c r="C1110" s="17">
        <f>Github!F$1109</f>
        <v>1030</v>
      </c>
      <c r="D1110" s="17">
        <f>Github!G$1109</f>
        <v>1438</v>
      </c>
      <c r="E1110" s="17">
        <f>Github!F$1109+Github!G$1109</f>
        <v>2468</v>
      </c>
      <c r="F1110" s="18">
        <f t="shared" si="1"/>
        <v>0.72</v>
      </c>
      <c r="G1110" s="17" t="str">
        <f>Github!H$1109</f>
        <v>Algorithms</v>
      </c>
      <c r="H1110" s="17" t="b">
        <f>Github!D$1109</f>
        <v>0</v>
      </c>
      <c r="I1110" s="17" t="str">
        <f>Github!E$1109</f>
        <v>Easy</v>
      </c>
      <c r="J1110" s="17" t="str">
        <f>ROUND(Github!N$1109, 2)&amp;"%"</f>
        <v>0%</v>
      </c>
      <c r="K1110" s="17">
        <f>Github!O$1109</f>
        <v>88.90458134</v>
      </c>
      <c r="L1110" s="17">
        <f>Github!P$1109</f>
        <v>393427</v>
      </c>
    </row>
    <row r="1111">
      <c r="A1111" s="17">
        <f>Github!J$1110</f>
        <v>1109</v>
      </c>
      <c r="B1111" s="34" t="str">
        <f>HYPERLINK(CONCAT("http://leetcode.com/problems/",Github!C$1110), Github!B$1110)</f>
        <v>Corporate Flight Bookings</v>
      </c>
      <c r="C1111" s="17">
        <f>Github!F$1110</f>
        <v>972</v>
      </c>
      <c r="D1111" s="17">
        <f>Github!G$1110</f>
        <v>139</v>
      </c>
      <c r="E1111" s="17">
        <f>Github!F$1110+Github!G$1110</f>
        <v>1111</v>
      </c>
      <c r="F1111" s="18">
        <f t="shared" si="1"/>
        <v>6.99</v>
      </c>
      <c r="G1111" s="17" t="str">
        <f>Github!H$1110</f>
        <v>Algorithms</v>
      </c>
      <c r="H1111" s="17" t="b">
        <f>Github!D$1110</f>
        <v>0</v>
      </c>
      <c r="I1111" s="17" t="str">
        <f>Github!E$1110</f>
        <v>Medium</v>
      </c>
      <c r="J1111" s="17" t="str">
        <f>ROUND(Github!N$1110, 2)&amp;"%"</f>
        <v>0%</v>
      </c>
      <c r="K1111" s="17">
        <f>Github!O$1110</f>
        <v>58.06242899</v>
      </c>
      <c r="L1111" s="17">
        <f>Github!P$1110</f>
        <v>36790</v>
      </c>
    </row>
    <row r="1112">
      <c r="A1112" s="17">
        <f>Github!J$1111</f>
        <v>1110</v>
      </c>
      <c r="B1112" s="34" t="str">
        <f>HYPERLINK(CONCAT("http://leetcode.com/problems/",Github!C$1111), Github!B$1111)</f>
        <v>Delete Nodes And Return Forest</v>
      </c>
      <c r="C1112" s="17">
        <f>Github!F$1111</f>
        <v>2704</v>
      </c>
      <c r="D1112" s="17">
        <f>Github!G$1111</f>
        <v>78</v>
      </c>
      <c r="E1112" s="17">
        <f>Github!F$1111+Github!G$1111</f>
        <v>2782</v>
      </c>
      <c r="F1112" s="18">
        <f t="shared" si="1"/>
        <v>34.67</v>
      </c>
      <c r="G1112" s="17" t="str">
        <f>Github!H$1111</f>
        <v>Algorithms</v>
      </c>
      <c r="H1112" s="17" t="b">
        <f>Github!D$1111</f>
        <v>0</v>
      </c>
      <c r="I1112" s="17" t="str">
        <f>Github!E$1111</f>
        <v>Medium</v>
      </c>
      <c r="J1112" s="17" t="str">
        <f>ROUND(Github!N$1111, 2)&amp;"%"</f>
        <v>0%</v>
      </c>
      <c r="K1112" s="17">
        <f>Github!O$1111</f>
        <v>69.19569127</v>
      </c>
      <c r="L1112" s="17">
        <f>Github!P$1111</f>
        <v>150830</v>
      </c>
    </row>
    <row r="1113">
      <c r="A1113" s="17">
        <f>Github!J$1112</f>
        <v>1111</v>
      </c>
      <c r="B1113" s="34" t="str">
        <f>HYPERLINK(CONCAT("http://leetcode.com/problems/",Github!C$1112), Github!B$1112)</f>
        <v>Maximum Nesting Depth of Two Valid Parentheses Strings</v>
      </c>
      <c r="C1113" s="17">
        <f>Github!F$1112</f>
        <v>268</v>
      </c>
      <c r="D1113" s="17">
        <f>Github!G$1112</f>
        <v>1206</v>
      </c>
      <c r="E1113" s="17">
        <f>Github!F$1112+Github!G$1112</f>
        <v>1474</v>
      </c>
      <c r="F1113" s="18">
        <f t="shared" si="1"/>
        <v>0.22</v>
      </c>
      <c r="G1113" s="17" t="str">
        <f>Github!H$1112</f>
        <v>Algorithms</v>
      </c>
      <c r="H1113" s="17" t="b">
        <f>Github!D$1112</f>
        <v>0</v>
      </c>
      <c r="I1113" s="17" t="str">
        <f>Github!E$1112</f>
        <v>Medium</v>
      </c>
      <c r="J1113" s="17" t="str">
        <f>ROUND(Github!N$1112, 2)&amp;"%"</f>
        <v>0%</v>
      </c>
      <c r="K1113" s="17">
        <f>Github!O$1112</f>
        <v>72.88481142</v>
      </c>
      <c r="L1113" s="17">
        <f>Github!P$1112</f>
        <v>18590</v>
      </c>
    </row>
    <row r="1114">
      <c r="A1114" s="17">
        <f>Github!J$1113</f>
        <v>1112</v>
      </c>
      <c r="B1114" s="34" t="str">
        <f>HYPERLINK(CONCAT("http://leetcode.com/problems/",Github!C$1113), Github!B$1113)</f>
        <v>Highest Grade For Each Student</v>
      </c>
      <c r="C1114" s="17">
        <f>Github!F$1113</f>
        <v>178</v>
      </c>
      <c r="D1114" s="17">
        <f>Github!G$1113</f>
        <v>7</v>
      </c>
      <c r="E1114" s="17">
        <f>Github!F$1113+Github!G$1113</f>
        <v>185</v>
      </c>
      <c r="F1114" s="18">
        <f t="shared" si="1"/>
        <v>25.43</v>
      </c>
      <c r="G1114" s="17" t="str">
        <f>Github!H$1113</f>
        <v>Database</v>
      </c>
      <c r="H1114" s="17" t="b">
        <f>Github!D$1113</f>
        <v>1</v>
      </c>
      <c r="I1114" s="17" t="str">
        <f>Github!E$1113</f>
        <v>Medium</v>
      </c>
      <c r="J1114" s="17" t="str">
        <f>ROUND(Github!N$1113, 2)&amp;"%"</f>
        <v>0%</v>
      </c>
      <c r="K1114" s="17">
        <f>Github!O$1113</f>
        <v>73.26789705</v>
      </c>
      <c r="L1114" s="17">
        <f>Github!P$1113</f>
        <v>31797</v>
      </c>
    </row>
    <row r="1115">
      <c r="A1115" s="17">
        <f>Github!J$1114</f>
        <v>1113</v>
      </c>
      <c r="B1115" s="34" t="str">
        <f>HYPERLINK(CONCAT("http://leetcode.com/problems/",Github!C$1114), Github!B$1114)</f>
        <v>Reported Posts</v>
      </c>
      <c r="C1115" s="17">
        <f>Github!F$1114</f>
        <v>70</v>
      </c>
      <c r="D1115" s="17">
        <f>Github!G$1114</f>
        <v>281</v>
      </c>
      <c r="E1115" s="17">
        <f>Github!F$1114+Github!G$1114</f>
        <v>351</v>
      </c>
      <c r="F1115" s="18">
        <f t="shared" si="1"/>
        <v>0.25</v>
      </c>
      <c r="G1115" s="17" t="str">
        <f>Github!H$1114</f>
        <v>Database</v>
      </c>
      <c r="H1115" s="17" t="b">
        <f>Github!D$1114</f>
        <v>1</v>
      </c>
      <c r="I1115" s="17" t="str">
        <f>Github!E$1114</f>
        <v>Easy</v>
      </c>
      <c r="J1115" s="17" t="str">
        <f>ROUND(Github!N$1114, 2)&amp;"%"</f>
        <v>0%</v>
      </c>
      <c r="K1115" s="17">
        <f>Github!O$1114</f>
        <v>66.29450944</v>
      </c>
      <c r="L1115" s="17">
        <f>Github!P$1114</f>
        <v>31054</v>
      </c>
    </row>
    <row r="1116">
      <c r="A1116" s="17">
        <f>Github!J$1115</f>
        <v>1114</v>
      </c>
      <c r="B1116" s="34" t="str">
        <f>HYPERLINK(CONCAT("http://leetcode.com/problems/",Github!C$1115), Github!B$1115)</f>
        <v>Print in Order</v>
      </c>
      <c r="C1116" s="17">
        <f>Github!F$1115</f>
        <v>943</v>
      </c>
      <c r="D1116" s="17">
        <f>Github!G$1115</f>
        <v>165</v>
      </c>
      <c r="E1116" s="17">
        <f>Github!F$1115+Github!G$1115</f>
        <v>1108</v>
      </c>
      <c r="F1116" s="18">
        <f t="shared" si="1"/>
        <v>5.72</v>
      </c>
      <c r="G1116" s="17" t="str">
        <f>Github!H$1115</f>
        <v>Concurrency</v>
      </c>
      <c r="H1116" s="17" t="b">
        <f>Github!D$1115</f>
        <v>0</v>
      </c>
      <c r="I1116" s="17" t="str">
        <f>Github!E$1115</f>
        <v>Easy</v>
      </c>
      <c r="J1116" s="17" t="str">
        <f>ROUND(Github!N$1115, 2)&amp;"%"</f>
        <v>0%</v>
      </c>
      <c r="K1116" s="17">
        <f>Github!O$1115</f>
        <v>68.17334921</v>
      </c>
      <c r="L1116" s="17">
        <f>Github!P$1115</f>
        <v>101354</v>
      </c>
    </row>
    <row r="1117">
      <c r="A1117" s="17">
        <f>Github!J$1116</f>
        <v>1115</v>
      </c>
      <c r="B1117" s="34" t="str">
        <f>HYPERLINK(CONCAT("http://leetcode.com/problems/",Github!C$1116), Github!B$1116)</f>
        <v>Print FooBar Alternately</v>
      </c>
      <c r="C1117" s="17">
        <f>Github!F$1116</f>
        <v>458</v>
      </c>
      <c r="D1117" s="17">
        <f>Github!G$1116</f>
        <v>37</v>
      </c>
      <c r="E1117" s="17">
        <f>Github!F$1116+Github!G$1116</f>
        <v>495</v>
      </c>
      <c r="F1117" s="18">
        <f t="shared" si="1"/>
        <v>12.38</v>
      </c>
      <c r="G1117" s="17" t="str">
        <f>Github!H$1116</f>
        <v>Concurrency</v>
      </c>
      <c r="H1117" s="17" t="b">
        <f>Github!D$1116</f>
        <v>0</v>
      </c>
      <c r="I1117" s="17" t="str">
        <f>Github!E$1116</f>
        <v>Medium</v>
      </c>
      <c r="J1117" s="17" t="str">
        <f>ROUND(Github!N$1116, 2)&amp;"%"</f>
        <v>0%</v>
      </c>
      <c r="K1117" s="17">
        <f>Github!O$1116</f>
        <v>60.35235423</v>
      </c>
      <c r="L1117" s="17">
        <f>Github!P$1116</f>
        <v>50323</v>
      </c>
    </row>
    <row r="1118">
      <c r="A1118" s="17">
        <f>Github!J$1117</f>
        <v>1116</v>
      </c>
      <c r="B1118" s="34" t="str">
        <f>HYPERLINK(CONCAT("http://leetcode.com/problems/",Github!C$1117), Github!B$1117)</f>
        <v>Print Zero Even Odd</v>
      </c>
      <c r="C1118" s="17">
        <f>Github!F$1117</f>
        <v>319</v>
      </c>
      <c r="D1118" s="17">
        <f>Github!G$1117</f>
        <v>221</v>
      </c>
      <c r="E1118" s="17">
        <f>Github!F$1117+Github!G$1117</f>
        <v>540</v>
      </c>
      <c r="F1118" s="18">
        <f t="shared" si="1"/>
        <v>1.44</v>
      </c>
      <c r="G1118" s="17" t="str">
        <f>Github!H$1117</f>
        <v>Concurrency</v>
      </c>
      <c r="H1118" s="17" t="b">
        <f>Github!D$1117</f>
        <v>0</v>
      </c>
      <c r="I1118" s="17" t="str">
        <f>Github!E$1117</f>
        <v>Medium</v>
      </c>
      <c r="J1118" s="17" t="str">
        <f>ROUND(Github!N$1117, 2)&amp;"%"</f>
        <v>0%</v>
      </c>
      <c r="K1118" s="17">
        <f>Github!O$1117</f>
        <v>59.18672624</v>
      </c>
      <c r="L1118" s="17">
        <f>Github!P$1117</f>
        <v>30070</v>
      </c>
    </row>
    <row r="1119">
      <c r="A1119" s="17">
        <f>Github!J$1118</f>
        <v>1117</v>
      </c>
      <c r="B1119" s="34" t="str">
        <f>HYPERLINK(CONCAT("http://leetcode.com/problems/",Github!C$1118), Github!B$1118)</f>
        <v>Building H2O</v>
      </c>
      <c r="C1119" s="17">
        <f>Github!F$1118</f>
        <v>323</v>
      </c>
      <c r="D1119" s="17">
        <f>Github!G$1118</f>
        <v>89</v>
      </c>
      <c r="E1119" s="17">
        <f>Github!F$1118+Github!G$1118</f>
        <v>412</v>
      </c>
      <c r="F1119" s="18">
        <f t="shared" si="1"/>
        <v>3.63</v>
      </c>
      <c r="G1119" s="17" t="str">
        <f>Github!H$1118</f>
        <v>Concurrency</v>
      </c>
      <c r="H1119" s="17" t="b">
        <f>Github!D$1118</f>
        <v>0</v>
      </c>
      <c r="I1119" s="17" t="str">
        <f>Github!E$1118</f>
        <v>Medium</v>
      </c>
      <c r="J1119" s="17" t="str">
        <f>ROUND(Github!N$1118, 2)&amp;"%"</f>
        <v>0%</v>
      </c>
      <c r="K1119" s="17">
        <f>Github!O$1118</f>
        <v>54.2986685</v>
      </c>
      <c r="L1119" s="17">
        <f>Github!P$1118</f>
        <v>28383</v>
      </c>
    </row>
    <row r="1120">
      <c r="A1120" s="17">
        <f>Github!J$1119</f>
        <v>1118</v>
      </c>
      <c r="B1120" s="34" t="str">
        <f>HYPERLINK(CONCAT("http://leetcode.com/problems/",Github!C$1119), Github!B$1119)</f>
        <v>Number of Days in a Month</v>
      </c>
      <c r="C1120" s="17">
        <f>Github!F$1119</f>
        <v>28</v>
      </c>
      <c r="D1120" s="17">
        <f>Github!G$1119</f>
        <v>131</v>
      </c>
      <c r="E1120" s="17">
        <f>Github!F$1119+Github!G$1119</f>
        <v>159</v>
      </c>
      <c r="F1120" s="18">
        <f t="shared" si="1"/>
        <v>0.21</v>
      </c>
      <c r="G1120" s="17" t="str">
        <f>Github!H$1119</f>
        <v>Algorithms</v>
      </c>
      <c r="H1120" s="17" t="b">
        <f>Github!D$1119</f>
        <v>1</v>
      </c>
      <c r="I1120" s="17" t="str">
        <f>Github!E$1119</f>
        <v>Easy</v>
      </c>
      <c r="J1120" s="17" t="str">
        <f>ROUND(Github!N$1119, 2)&amp;"%"</f>
        <v>0%</v>
      </c>
      <c r="K1120" s="17">
        <f>Github!O$1119</f>
        <v>57.03334257</v>
      </c>
      <c r="L1120" s="17">
        <f>Github!P$1119</f>
        <v>6175</v>
      </c>
    </row>
    <row r="1121">
      <c r="A1121" s="17">
        <f>Github!J$1120</f>
        <v>1119</v>
      </c>
      <c r="B1121" s="34" t="str">
        <f>HYPERLINK(CONCAT("http://leetcode.com/problems/",Github!C$1120), Github!B$1120)</f>
        <v>Remove Vowels from a String</v>
      </c>
      <c r="C1121" s="17">
        <f>Github!F$1120</f>
        <v>252</v>
      </c>
      <c r="D1121" s="17">
        <f>Github!G$1120</f>
        <v>102</v>
      </c>
      <c r="E1121" s="17">
        <f>Github!F$1120+Github!G$1120</f>
        <v>354</v>
      </c>
      <c r="F1121" s="18">
        <f t="shared" si="1"/>
        <v>2.47</v>
      </c>
      <c r="G1121" s="17" t="str">
        <f>Github!H$1120</f>
        <v>Algorithms</v>
      </c>
      <c r="H1121" s="17" t="b">
        <f>Github!D$1120</f>
        <v>1</v>
      </c>
      <c r="I1121" s="17" t="str">
        <f>Github!E$1120</f>
        <v>Easy</v>
      </c>
      <c r="J1121" s="17" t="str">
        <f>ROUND(Github!N$1120, 2)&amp;"%"</f>
        <v>0%</v>
      </c>
      <c r="K1121" s="17">
        <f>Github!O$1120</f>
        <v>90.67792788</v>
      </c>
      <c r="L1121" s="17">
        <f>Github!P$1120</f>
        <v>80414</v>
      </c>
    </row>
    <row r="1122">
      <c r="A1122" s="17">
        <f>Github!J$1121</f>
        <v>1120</v>
      </c>
      <c r="B1122" s="34" t="str">
        <f>HYPERLINK(CONCAT("http://leetcode.com/problems/",Github!C$1121), Github!B$1121)</f>
        <v>Maximum Average Subtree</v>
      </c>
      <c r="C1122" s="17">
        <f>Github!F$1121</f>
        <v>678</v>
      </c>
      <c r="D1122" s="17">
        <f>Github!G$1121</f>
        <v>27</v>
      </c>
      <c r="E1122" s="17">
        <f>Github!F$1121+Github!G$1121</f>
        <v>705</v>
      </c>
      <c r="F1122" s="18">
        <f t="shared" si="1"/>
        <v>25.11</v>
      </c>
      <c r="G1122" s="17" t="str">
        <f>Github!H$1121</f>
        <v>Algorithms</v>
      </c>
      <c r="H1122" s="17" t="b">
        <f>Github!D$1121</f>
        <v>1</v>
      </c>
      <c r="I1122" s="17" t="str">
        <f>Github!E$1121</f>
        <v>Medium</v>
      </c>
      <c r="J1122" s="17" t="str">
        <f>ROUND(Github!N$1121, 2)&amp;"%"</f>
        <v>0%</v>
      </c>
      <c r="K1122" s="17">
        <f>Github!O$1121</f>
        <v>65.07169404</v>
      </c>
      <c r="L1122" s="17">
        <f>Github!P$1121</f>
        <v>53051</v>
      </c>
    </row>
    <row r="1123">
      <c r="A1123" s="17">
        <f>Github!J$1122</f>
        <v>1121</v>
      </c>
      <c r="B1123" s="34" t="str">
        <f>HYPERLINK(CONCAT("http://leetcode.com/problems/",Github!C$1122), Github!B$1122)</f>
        <v>Divide Array Into Increasing Sequences</v>
      </c>
      <c r="C1123" s="17">
        <f>Github!F$1122</f>
        <v>87</v>
      </c>
      <c r="D1123" s="17">
        <f>Github!G$1122</f>
        <v>25</v>
      </c>
      <c r="E1123" s="17">
        <f>Github!F$1122+Github!G$1122</f>
        <v>112</v>
      </c>
      <c r="F1123" s="18">
        <f t="shared" si="1"/>
        <v>3.48</v>
      </c>
      <c r="G1123" s="17" t="str">
        <f>Github!H$1122</f>
        <v>Algorithms</v>
      </c>
      <c r="H1123" s="17" t="b">
        <f>Github!D$1122</f>
        <v>1</v>
      </c>
      <c r="I1123" s="17" t="str">
        <f>Github!E$1122</f>
        <v>Hard</v>
      </c>
      <c r="J1123" s="17" t="str">
        <f>ROUND(Github!N$1122, 2)&amp;"%"</f>
        <v>0%</v>
      </c>
      <c r="K1123" s="17">
        <f>Github!O$1122</f>
        <v>59.6493974</v>
      </c>
      <c r="L1123" s="17">
        <f>Github!P$1122</f>
        <v>3811</v>
      </c>
    </row>
    <row r="1124">
      <c r="A1124" s="17">
        <f>Github!J$1123</f>
        <v>1122</v>
      </c>
      <c r="B1124" s="34" t="str">
        <f>HYPERLINK(CONCAT("http://leetcode.com/problems/",Github!C$1123), Github!B$1123)</f>
        <v>Relative Sort Array</v>
      </c>
      <c r="C1124" s="17">
        <f>Github!F$1123</f>
        <v>1583</v>
      </c>
      <c r="D1124" s="17">
        <f>Github!G$1123</f>
        <v>96</v>
      </c>
      <c r="E1124" s="17">
        <f>Github!F$1123+Github!G$1123</f>
        <v>1679</v>
      </c>
      <c r="F1124" s="18">
        <f t="shared" si="1"/>
        <v>16.49</v>
      </c>
      <c r="G1124" s="17" t="str">
        <f>Github!H$1123</f>
        <v>Algorithms</v>
      </c>
      <c r="H1124" s="17" t="b">
        <f>Github!D$1123</f>
        <v>0</v>
      </c>
      <c r="I1124" s="17" t="str">
        <f>Github!E$1123</f>
        <v>Easy</v>
      </c>
      <c r="J1124" s="17" t="str">
        <f>ROUND(Github!N$1123, 2)&amp;"%"</f>
        <v>0%</v>
      </c>
      <c r="K1124" s="17">
        <f>Github!O$1123</f>
        <v>68.08678032</v>
      </c>
      <c r="L1124" s="17">
        <f>Github!P$1123</f>
        <v>120288</v>
      </c>
    </row>
    <row r="1125">
      <c r="A1125" s="17">
        <f>Github!J$1124</f>
        <v>1123</v>
      </c>
      <c r="B1125" s="34" t="str">
        <f>HYPERLINK(CONCAT("http://leetcode.com/problems/",Github!C$1124), Github!B$1124)</f>
        <v>Lowest Common Ancestor of Deepest Leaves</v>
      </c>
      <c r="C1125" s="17">
        <f>Github!F$1124</f>
        <v>1122</v>
      </c>
      <c r="D1125" s="17">
        <f>Github!G$1124</f>
        <v>732</v>
      </c>
      <c r="E1125" s="17">
        <f>Github!F$1124+Github!G$1124</f>
        <v>1854</v>
      </c>
      <c r="F1125" s="18">
        <f t="shared" si="1"/>
        <v>1.53</v>
      </c>
      <c r="G1125" s="17" t="str">
        <f>Github!H$1124</f>
        <v>Algorithms</v>
      </c>
      <c r="H1125" s="17" t="b">
        <f>Github!D$1124</f>
        <v>0</v>
      </c>
      <c r="I1125" s="17" t="str">
        <f>Github!E$1124</f>
        <v>Medium</v>
      </c>
      <c r="J1125" s="17" t="str">
        <f>ROUND(Github!N$1124, 2)&amp;"%"</f>
        <v>0%</v>
      </c>
      <c r="K1125" s="17">
        <f>Github!O$1124</f>
        <v>69.92404224</v>
      </c>
      <c r="L1125" s="17">
        <f>Github!P$1124</f>
        <v>71705</v>
      </c>
    </row>
    <row r="1126">
      <c r="A1126" s="17">
        <f>Github!J$1125</f>
        <v>1124</v>
      </c>
      <c r="B1126" s="34" t="str">
        <f>HYPERLINK(CONCAT("http://leetcode.com/problems/",Github!C$1125), Github!B$1125)</f>
        <v>Longest Well-Performing Interval</v>
      </c>
      <c r="C1126" s="17">
        <f>Github!F$1125</f>
        <v>904</v>
      </c>
      <c r="D1126" s="17">
        <f>Github!G$1125</f>
        <v>94</v>
      </c>
      <c r="E1126" s="17">
        <f>Github!F$1125+Github!G$1125</f>
        <v>998</v>
      </c>
      <c r="F1126" s="18">
        <f t="shared" si="1"/>
        <v>9.62</v>
      </c>
      <c r="G1126" s="17" t="str">
        <f>Github!H$1125</f>
        <v>Algorithms</v>
      </c>
      <c r="H1126" s="17" t="b">
        <f>Github!D$1125</f>
        <v>0</v>
      </c>
      <c r="I1126" s="17" t="str">
        <f>Github!E$1125</f>
        <v>Medium</v>
      </c>
      <c r="J1126" s="17" t="str">
        <f>ROUND(Github!N$1125, 2)&amp;"%"</f>
        <v>0%</v>
      </c>
      <c r="K1126" s="17">
        <f>Github!O$1125</f>
        <v>34.14856399</v>
      </c>
      <c r="L1126" s="17">
        <f>Github!P$1125</f>
        <v>20986</v>
      </c>
    </row>
    <row r="1127">
      <c r="A1127" s="17">
        <f>Github!J$1126</f>
        <v>1125</v>
      </c>
      <c r="B1127" s="34" t="str">
        <f>HYPERLINK(CONCAT("http://leetcode.com/problems/",Github!C$1126), Github!B$1126)</f>
        <v>Smallest Sufficient Team</v>
      </c>
      <c r="C1127" s="17">
        <f>Github!F$1126</f>
        <v>676</v>
      </c>
      <c r="D1127" s="17">
        <f>Github!G$1126</f>
        <v>13</v>
      </c>
      <c r="E1127" s="17">
        <f>Github!F$1126+Github!G$1126</f>
        <v>689</v>
      </c>
      <c r="F1127" s="18">
        <f t="shared" si="1"/>
        <v>52</v>
      </c>
      <c r="G1127" s="17" t="str">
        <f>Github!H$1126</f>
        <v>Algorithms</v>
      </c>
      <c r="H1127" s="17" t="b">
        <f>Github!D$1126</f>
        <v>0</v>
      </c>
      <c r="I1127" s="17" t="str">
        <f>Github!E$1126</f>
        <v>Hard</v>
      </c>
      <c r="J1127" s="17" t="str">
        <f>ROUND(Github!N$1126, 2)&amp;"%"</f>
        <v>0%</v>
      </c>
      <c r="K1127" s="17">
        <f>Github!O$1126</f>
        <v>47.82915312</v>
      </c>
      <c r="L1127" s="17">
        <f>Github!P$1126</f>
        <v>15598</v>
      </c>
    </row>
    <row r="1128">
      <c r="A1128" s="17">
        <f>Github!J$1127</f>
        <v>1126</v>
      </c>
      <c r="B1128" s="34" t="str">
        <f>HYPERLINK(CONCAT("http://leetcode.com/problems/",Github!C$1127), Github!B$1127)</f>
        <v>Active Businesses</v>
      </c>
      <c r="C1128" s="17">
        <f>Github!F$1127</f>
        <v>174</v>
      </c>
      <c r="D1128" s="17">
        <f>Github!G$1127</f>
        <v>19</v>
      </c>
      <c r="E1128" s="17">
        <f>Github!F$1127+Github!G$1127</f>
        <v>193</v>
      </c>
      <c r="F1128" s="18">
        <f t="shared" si="1"/>
        <v>9.16</v>
      </c>
      <c r="G1128" s="17" t="str">
        <f>Github!H$1127</f>
        <v>Database</v>
      </c>
      <c r="H1128" s="17" t="b">
        <f>Github!D$1127</f>
        <v>1</v>
      </c>
      <c r="I1128" s="17" t="str">
        <f>Github!E$1127</f>
        <v>Medium</v>
      </c>
      <c r="J1128" s="17" t="str">
        <f>ROUND(Github!N$1127, 2)&amp;"%"</f>
        <v>0%</v>
      </c>
      <c r="K1128" s="17">
        <f>Github!O$1127</f>
        <v>67.87753234</v>
      </c>
      <c r="L1128" s="17">
        <f>Github!P$1127</f>
        <v>28177</v>
      </c>
    </row>
    <row r="1129">
      <c r="A1129" s="17">
        <f>Github!J$1128</f>
        <v>1127</v>
      </c>
      <c r="B1129" s="34" t="str">
        <f>HYPERLINK(CONCAT("http://leetcode.com/problems/",Github!C$1128), Github!B$1128)</f>
        <v>User Purchase Platform</v>
      </c>
      <c r="C1129" s="17">
        <f>Github!F$1128</f>
        <v>132</v>
      </c>
      <c r="D1129" s="17">
        <f>Github!G$1128</f>
        <v>97</v>
      </c>
      <c r="E1129" s="17">
        <f>Github!F$1128+Github!G$1128</f>
        <v>229</v>
      </c>
      <c r="F1129" s="18">
        <f t="shared" si="1"/>
        <v>1.36</v>
      </c>
      <c r="G1129" s="17" t="str">
        <f>Github!H$1128</f>
        <v>Database</v>
      </c>
      <c r="H1129" s="17" t="b">
        <f>Github!D$1128</f>
        <v>1</v>
      </c>
      <c r="I1129" s="17" t="str">
        <f>Github!E$1128</f>
        <v>Hard</v>
      </c>
      <c r="J1129" s="17" t="str">
        <f>ROUND(Github!N$1128, 2)&amp;"%"</f>
        <v>0%</v>
      </c>
      <c r="K1129" s="17">
        <f>Github!O$1128</f>
        <v>51.2163399</v>
      </c>
      <c r="L1129" s="17">
        <f>Github!P$1128</f>
        <v>10632</v>
      </c>
    </row>
    <row r="1130">
      <c r="A1130" s="17">
        <f>Github!J$1129</f>
        <v>1128</v>
      </c>
      <c r="B1130" s="34" t="str">
        <f>HYPERLINK(CONCAT("http://leetcode.com/problems/",Github!C$1129), Github!B$1129)</f>
        <v>Number of Equivalent Domino Pairs</v>
      </c>
      <c r="C1130" s="17">
        <f>Github!F$1129</f>
        <v>457</v>
      </c>
      <c r="D1130" s="17">
        <f>Github!G$1129</f>
        <v>226</v>
      </c>
      <c r="E1130" s="17">
        <f>Github!F$1129+Github!G$1129</f>
        <v>683</v>
      </c>
      <c r="F1130" s="18">
        <f t="shared" si="1"/>
        <v>2.02</v>
      </c>
      <c r="G1130" s="17" t="str">
        <f>Github!H$1129</f>
        <v>Algorithms</v>
      </c>
      <c r="H1130" s="17" t="b">
        <f>Github!D$1129</f>
        <v>0</v>
      </c>
      <c r="I1130" s="17" t="str">
        <f>Github!E$1129</f>
        <v>Easy</v>
      </c>
      <c r="J1130" s="17" t="str">
        <f>ROUND(Github!N$1129, 2)&amp;"%"</f>
        <v>0%</v>
      </c>
      <c r="K1130" s="17">
        <f>Github!O$1129</f>
        <v>46.26426842</v>
      </c>
      <c r="L1130" s="17">
        <f>Github!P$1129</f>
        <v>45475</v>
      </c>
    </row>
    <row r="1131">
      <c r="A1131" s="17">
        <f>Github!J$1130</f>
        <v>1129</v>
      </c>
      <c r="B1131" s="34" t="str">
        <f>HYPERLINK(CONCAT("http://leetcode.com/problems/",Github!C$1130), Github!B$1130)</f>
        <v>Shortest Path with Alternating Colors</v>
      </c>
      <c r="C1131" s="17">
        <f>Github!F$1130</f>
        <v>1097</v>
      </c>
      <c r="D1131" s="17">
        <f>Github!G$1130</f>
        <v>59</v>
      </c>
      <c r="E1131" s="17">
        <f>Github!F$1130+Github!G$1130</f>
        <v>1156</v>
      </c>
      <c r="F1131" s="18">
        <f t="shared" si="1"/>
        <v>18.59</v>
      </c>
      <c r="G1131" s="17" t="str">
        <f>Github!H$1130</f>
        <v>Algorithms</v>
      </c>
      <c r="H1131" s="17" t="b">
        <f>Github!D$1130</f>
        <v>0</v>
      </c>
      <c r="I1131" s="17" t="str">
        <f>Github!E$1130</f>
        <v>Medium</v>
      </c>
      <c r="J1131" s="17" t="str">
        <f>ROUND(Github!N$1130, 2)&amp;"%"</f>
        <v>0%</v>
      </c>
      <c r="K1131" s="17">
        <f>Github!O$1130</f>
        <v>41.67368026</v>
      </c>
      <c r="L1131" s="17">
        <f>Github!P$1130</f>
        <v>32184</v>
      </c>
    </row>
    <row r="1132">
      <c r="A1132" s="17">
        <f>Github!J$1131</f>
        <v>1130</v>
      </c>
      <c r="B1132" s="34" t="str">
        <f>HYPERLINK(CONCAT("http://leetcode.com/problems/",Github!C$1131), Github!B$1131)</f>
        <v>Minimum Cost Tree From Leaf Values</v>
      </c>
      <c r="C1132" s="17">
        <f>Github!F$1131</f>
        <v>2940</v>
      </c>
      <c r="D1132" s="17">
        <f>Github!G$1131</f>
        <v>207</v>
      </c>
      <c r="E1132" s="17">
        <f>Github!F$1131+Github!G$1131</f>
        <v>3147</v>
      </c>
      <c r="F1132" s="18">
        <f t="shared" si="1"/>
        <v>14.2</v>
      </c>
      <c r="G1132" s="17" t="str">
        <f>Github!H$1131</f>
        <v>Algorithms</v>
      </c>
      <c r="H1132" s="17" t="b">
        <f>Github!D$1131</f>
        <v>0</v>
      </c>
      <c r="I1132" s="17" t="str">
        <f>Github!E$1131</f>
        <v>Medium</v>
      </c>
      <c r="J1132" s="17" t="str">
        <f>ROUND(Github!N$1131, 2)&amp;"%"</f>
        <v>0%</v>
      </c>
      <c r="K1132" s="17">
        <f>Github!O$1131</f>
        <v>68.3882396</v>
      </c>
      <c r="L1132" s="17">
        <f>Github!P$1131</f>
        <v>69104</v>
      </c>
    </row>
    <row r="1133">
      <c r="A1133" s="17">
        <f>Github!J$1132</f>
        <v>1131</v>
      </c>
      <c r="B1133" s="34" t="str">
        <f>HYPERLINK(CONCAT("http://leetcode.com/problems/",Github!C$1132), Github!B$1132)</f>
        <v>Maximum of Absolute Value Expression</v>
      </c>
      <c r="C1133" s="17">
        <f>Github!F$1132</f>
        <v>439</v>
      </c>
      <c r="D1133" s="17">
        <f>Github!G$1132</f>
        <v>324</v>
      </c>
      <c r="E1133" s="17">
        <f>Github!F$1132+Github!G$1132</f>
        <v>763</v>
      </c>
      <c r="F1133" s="18">
        <f t="shared" si="1"/>
        <v>1.35</v>
      </c>
      <c r="G1133" s="17" t="str">
        <f>Github!H$1132</f>
        <v>Algorithms</v>
      </c>
      <c r="H1133" s="17" t="b">
        <f>Github!D$1132</f>
        <v>0</v>
      </c>
      <c r="I1133" s="17" t="str">
        <f>Github!E$1132</f>
        <v>Medium</v>
      </c>
      <c r="J1133" s="17" t="str">
        <f>ROUND(Github!N$1132, 2)&amp;"%"</f>
        <v>0%</v>
      </c>
      <c r="K1133" s="17">
        <f>Github!O$1132</f>
        <v>50.04494382</v>
      </c>
      <c r="L1133" s="17">
        <f>Github!P$1132</f>
        <v>15589</v>
      </c>
    </row>
    <row r="1134">
      <c r="A1134" s="17">
        <f>Github!J$1133</f>
        <v>1132</v>
      </c>
      <c r="B1134" s="34" t="str">
        <f>HYPERLINK(CONCAT("http://leetcode.com/problems/",Github!C$1133), Github!B$1133)</f>
        <v>Reported Posts II</v>
      </c>
      <c r="C1134" s="17">
        <f>Github!F$1133</f>
        <v>110</v>
      </c>
      <c r="D1134" s="17">
        <f>Github!G$1133</f>
        <v>392</v>
      </c>
      <c r="E1134" s="17">
        <f>Github!F$1133+Github!G$1133</f>
        <v>502</v>
      </c>
      <c r="F1134" s="18">
        <f t="shared" si="1"/>
        <v>0.28</v>
      </c>
      <c r="G1134" s="17" t="str">
        <f>Github!H$1133</f>
        <v>Database</v>
      </c>
      <c r="H1134" s="17" t="b">
        <f>Github!D$1133</f>
        <v>1</v>
      </c>
      <c r="I1134" s="17" t="str">
        <f>Github!E$1133</f>
        <v>Medium</v>
      </c>
      <c r="J1134" s="17" t="str">
        <f>ROUND(Github!N$1133, 2)&amp;"%"</f>
        <v>0%</v>
      </c>
      <c r="K1134" s="17">
        <f>Github!O$1133</f>
        <v>33.79763644</v>
      </c>
      <c r="L1134" s="17">
        <f>Github!P$1133</f>
        <v>25452</v>
      </c>
    </row>
    <row r="1135">
      <c r="A1135" s="17">
        <f>Github!J$1134</f>
        <v>1133</v>
      </c>
      <c r="B1135" s="34" t="str">
        <f>HYPERLINK(CONCAT("http://leetcode.com/problems/",Github!C$1134), Github!B$1134)</f>
        <v>Largest Unique Number</v>
      </c>
      <c r="C1135" s="17">
        <f>Github!F$1134</f>
        <v>224</v>
      </c>
      <c r="D1135" s="17">
        <f>Github!G$1134</f>
        <v>16</v>
      </c>
      <c r="E1135" s="17">
        <f>Github!F$1134+Github!G$1134</f>
        <v>240</v>
      </c>
      <c r="F1135" s="18">
        <f t="shared" si="1"/>
        <v>14</v>
      </c>
      <c r="G1135" s="17" t="str">
        <f>Github!H$1134</f>
        <v>Algorithms</v>
      </c>
      <c r="H1135" s="17" t="b">
        <f>Github!D$1134</f>
        <v>1</v>
      </c>
      <c r="I1135" s="17" t="str">
        <f>Github!E$1134</f>
        <v>Easy</v>
      </c>
      <c r="J1135" s="17" t="str">
        <f>ROUND(Github!N$1134, 2)&amp;"%"</f>
        <v>0%</v>
      </c>
      <c r="K1135" s="17">
        <f>Github!O$1134</f>
        <v>67.37538721</v>
      </c>
      <c r="L1135" s="17">
        <f>Github!P$1134</f>
        <v>28710</v>
      </c>
    </row>
    <row r="1136">
      <c r="A1136" s="17">
        <f>Github!J$1135</f>
        <v>1134</v>
      </c>
      <c r="B1136" s="34" t="str">
        <f>HYPERLINK(CONCAT("http://leetcode.com/problems/",Github!C$1135), Github!B$1135)</f>
        <v>Armstrong Number</v>
      </c>
      <c r="C1136" s="17">
        <f>Github!F$1135</f>
        <v>149</v>
      </c>
      <c r="D1136" s="17">
        <f>Github!G$1135</f>
        <v>17</v>
      </c>
      <c r="E1136" s="17">
        <f>Github!F$1135+Github!G$1135</f>
        <v>166</v>
      </c>
      <c r="F1136" s="18">
        <f t="shared" si="1"/>
        <v>8.76</v>
      </c>
      <c r="G1136" s="17" t="str">
        <f>Github!H$1135</f>
        <v>Algorithms</v>
      </c>
      <c r="H1136" s="17" t="b">
        <f>Github!D$1135</f>
        <v>1</v>
      </c>
      <c r="I1136" s="17" t="str">
        <f>Github!E$1135</f>
        <v>Easy</v>
      </c>
      <c r="J1136" s="17" t="str">
        <f>ROUND(Github!N$1135, 2)&amp;"%"</f>
        <v>0%</v>
      </c>
      <c r="K1136" s="17">
        <f>Github!O$1135</f>
        <v>78.33433917</v>
      </c>
      <c r="L1136" s="17">
        <f>Github!P$1135</f>
        <v>27258</v>
      </c>
    </row>
    <row r="1137">
      <c r="A1137" s="17">
        <f>Github!J$1136</f>
        <v>1135</v>
      </c>
      <c r="B1137" s="34" t="str">
        <f>HYPERLINK(CONCAT("http://leetcode.com/problems/",Github!C$1136), Github!B$1136)</f>
        <v>Connecting Cities With Minimum Cost</v>
      </c>
      <c r="C1137" s="17">
        <f>Github!F$1136</f>
        <v>864</v>
      </c>
      <c r="D1137" s="17">
        <f>Github!G$1136</f>
        <v>46</v>
      </c>
      <c r="E1137" s="17">
        <f>Github!F$1136+Github!G$1136</f>
        <v>910</v>
      </c>
      <c r="F1137" s="18">
        <f t="shared" si="1"/>
        <v>18.78</v>
      </c>
      <c r="G1137" s="17" t="str">
        <f>Github!H$1136</f>
        <v>Algorithms</v>
      </c>
      <c r="H1137" s="17" t="b">
        <f>Github!D$1136</f>
        <v>1</v>
      </c>
      <c r="I1137" s="17" t="str">
        <f>Github!E$1136</f>
        <v>Medium</v>
      </c>
      <c r="J1137" s="17" t="str">
        <f>ROUND(Github!N$1136, 2)&amp;"%"</f>
        <v>0%</v>
      </c>
      <c r="K1137" s="17">
        <f>Github!O$1136</f>
        <v>60.69321202</v>
      </c>
      <c r="L1137" s="17">
        <f>Github!P$1136</f>
        <v>53898</v>
      </c>
    </row>
    <row r="1138">
      <c r="A1138" s="17">
        <f>Github!J$1137</f>
        <v>1136</v>
      </c>
      <c r="B1138" s="34" t="str">
        <f>HYPERLINK(CONCAT("http://leetcode.com/problems/",Github!C$1137), Github!B$1137)</f>
        <v>Parallel Courses</v>
      </c>
      <c r="C1138" s="17">
        <f>Github!F$1137</f>
        <v>644</v>
      </c>
      <c r="D1138" s="17">
        <f>Github!G$1137</f>
        <v>19</v>
      </c>
      <c r="E1138" s="17">
        <f>Github!F$1137+Github!G$1137</f>
        <v>663</v>
      </c>
      <c r="F1138" s="18">
        <f t="shared" si="1"/>
        <v>33.89</v>
      </c>
      <c r="G1138" s="17" t="str">
        <f>Github!H$1137</f>
        <v>Algorithms</v>
      </c>
      <c r="H1138" s="17" t="b">
        <f>Github!D$1137</f>
        <v>1</v>
      </c>
      <c r="I1138" s="17" t="str">
        <f>Github!E$1137</f>
        <v>Medium</v>
      </c>
      <c r="J1138" s="17" t="str">
        <f>ROUND(Github!N$1137, 2)&amp;"%"</f>
        <v>0%</v>
      </c>
      <c r="K1138" s="17">
        <f>Github!O$1137</f>
        <v>60.81889281</v>
      </c>
      <c r="L1138" s="17">
        <f>Github!P$1137</f>
        <v>35694</v>
      </c>
    </row>
    <row r="1139">
      <c r="A1139" s="17">
        <f>Github!J$1138</f>
        <v>1137</v>
      </c>
      <c r="B1139" s="34" t="str">
        <f>HYPERLINK(CONCAT("http://leetcode.com/problems/",Github!C$1138), Github!B$1138)</f>
        <v>N-th Tribonacci Number</v>
      </c>
      <c r="C1139" s="17">
        <f>Github!F$1138</f>
        <v>1597</v>
      </c>
      <c r="D1139" s="17">
        <f>Github!G$1138</f>
        <v>98</v>
      </c>
      <c r="E1139" s="17">
        <f>Github!F$1138+Github!G$1138</f>
        <v>1695</v>
      </c>
      <c r="F1139" s="18">
        <f t="shared" si="1"/>
        <v>16.3</v>
      </c>
      <c r="G1139" s="17" t="str">
        <f>Github!H$1138</f>
        <v>Algorithms</v>
      </c>
      <c r="H1139" s="17" t="b">
        <f>Github!D$1138</f>
        <v>0</v>
      </c>
      <c r="I1139" s="17" t="str">
        <f>Github!E$1138</f>
        <v>Easy</v>
      </c>
      <c r="J1139" s="17" t="str">
        <f>ROUND(Github!N$1138, 2)&amp;"%"</f>
        <v>0%</v>
      </c>
      <c r="K1139" s="17">
        <f>Github!O$1138</f>
        <v>62.62534232</v>
      </c>
      <c r="L1139" s="17">
        <f>Github!P$1138</f>
        <v>237127</v>
      </c>
    </row>
    <row r="1140">
      <c r="A1140" s="17">
        <f>Github!J$1139</f>
        <v>1138</v>
      </c>
      <c r="B1140" s="34" t="str">
        <f>HYPERLINK(CONCAT("http://leetcode.com/problems/",Github!C$1139), Github!B$1139)</f>
        <v>Alphabet Board Path</v>
      </c>
      <c r="C1140" s="17">
        <f>Github!F$1139</f>
        <v>622</v>
      </c>
      <c r="D1140" s="17">
        <f>Github!G$1139</f>
        <v>134</v>
      </c>
      <c r="E1140" s="17">
        <f>Github!F$1139+Github!G$1139</f>
        <v>756</v>
      </c>
      <c r="F1140" s="18">
        <f t="shared" si="1"/>
        <v>4.64</v>
      </c>
      <c r="G1140" s="17" t="str">
        <f>Github!H$1139</f>
        <v>Algorithms</v>
      </c>
      <c r="H1140" s="17" t="b">
        <f>Github!D$1139</f>
        <v>0</v>
      </c>
      <c r="I1140" s="17" t="str">
        <f>Github!E$1139</f>
        <v>Medium</v>
      </c>
      <c r="J1140" s="17" t="str">
        <f>ROUND(Github!N$1139, 2)&amp;"%"</f>
        <v>0%</v>
      </c>
      <c r="K1140" s="17">
        <f>Github!O$1139</f>
        <v>52.32828317</v>
      </c>
      <c r="L1140" s="17">
        <f>Github!P$1139</f>
        <v>38511</v>
      </c>
    </row>
    <row r="1141">
      <c r="A1141" s="17">
        <f>Github!J$1140</f>
        <v>1139</v>
      </c>
      <c r="B1141" s="34" t="str">
        <f>HYPERLINK(CONCAT("http://leetcode.com/problems/",Github!C$1140), Github!B$1140)</f>
        <v>Largest 1-Bordered Square</v>
      </c>
      <c r="C1141" s="17">
        <f>Github!F$1140</f>
        <v>477</v>
      </c>
      <c r="D1141" s="17">
        <f>Github!G$1140</f>
        <v>80</v>
      </c>
      <c r="E1141" s="17">
        <f>Github!F$1140+Github!G$1140</f>
        <v>557</v>
      </c>
      <c r="F1141" s="18">
        <f t="shared" si="1"/>
        <v>5.96</v>
      </c>
      <c r="G1141" s="17" t="str">
        <f>Github!H$1140</f>
        <v>Algorithms</v>
      </c>
      <c r="H1141" s="17" t="b">
        <f>Github!D$1140</f>
        <v>0</v>
      </c>
      <c r="I1141" s="17" t="str">
        <f>Github!E$1140</f>
        <v>Medium</v>
      </c>
      <c r="J1141" s="17" t="str">
        <f>ROUND(Github!N$1140, 2)&amp;"%"</f>
        <v>0%</v>
      </c>
      <c r="K1141" s="17">
        <f>Github!O$1140</f>
        <v>49.24858065</v>
      </c>
      <c r="L1141" s="17">
        <f>Github!P$1140</f>
        <v>17696</v>
      </c>
    </row>
    <row r="1142">
      <c r="A1142" s="17">
        <f>Github!J$1141</f>
        <v>1140</v>
      </c>
      <c r="B1142" s="34" t="str">
        <f>HYPERLINK(CONCAT("http://leetcode.com/problems/",Github!C$1141), Github!B$1141)</f>
        <v>Stone Game II</v>
      </c>
      <c r="C1142" s="17">
        <f>Github!F$1141</f>
        <v>1245</v>
      </c>
      <c r="D1142" s="17">
        <f>Github!G$1141</f>
        <v>248</v>
      </c>
      <c r="E1142" s="17">
        <f>Github!F$1141+Github!G$1141</f>
        <v>1493</v>
      </c>
      <c r="F1142" s="18">
        <f t="shared" si="1"/>
        <v>5.02</v>
      </c>
      <c r="G1142" s="17" t="str">
        <f>Github!H$1141</f>
        <v>Algorithms</v>
      </c>
      <c r="H1142" s="17" t="b">
        <f>Github!D$1141</f>
        <v>0</v>
      </c>
      <c r="I1142" s="17" t="str">
        <f>Github!E$1141</f>
        <v>Medium</v>
      </c>
      <c r="J1142" s="17" t="str">
        <f>ROUND(Github!N$1141, 2)&amp;"%"</f>
        <v>0%</v>
      </c>
      <c r="K1142" s="17">
        <f>Github!O$1141</f>
        <v>64.94728528</v>
      </c>
      <c r="L1142" s="17">
        <f>Github!P$1141</f>
        <v>37823</v>
      </c>
    </row>
    <row r="1143">
      <c r="A1143" s="17">
        <f>Github!J$1142</f>
        <v>1141</v>
      </c>
      <c r="B1143" s="34" t="str">
        <f>HYPERLINK(CONCAT("http://leetcode.com/problems/",Github!C$1142), Github!B$1142)</f>
        <v>User Activity for the Past 30 Days I</v>
      </c>
      <c r="C1143" s="17">
        <f>Github!F$1142</f>
        <v>88</v>
      </c>
      <c r="D1143" s="17">
        <f>Github!G$1142</f>
        <v>86</v>
      </c>
      <c r="E1143" s="17">
        <f>Github!F$1142+Github!G$1142</f>
        <v>174</v>
      </c>
      <c r="F1143" s="18">
        <f t="shared" si="1"/>
        <v>1.02</v>
      </c>
      <c r="G1143" s="17" t="str">
        <f>Github!H$1142</f>
        <v>Database</v>
      </c>
      <c r="H1143" s="17" t="b">
        <f>Github!D$1142</f>
        <v>1</v>
      </c>
      <c r="I1143" s="17" t="str">
        <f>Github!E$1142</f>
        <v>Easy</v>
      </c>
      <c r="J1143" s="17" t="str">
        <f>ROUND(Github!N$1142, 2)&amp;"%"</f>
        <v>0%</v>
      </c>
      <c r="K1143" s="17">
        <f>Github!O$1142</f>
        <v>54.06114752</v>
      </c>
      <c r="L1143" s="17">
        <f>Github!P$1142</f>
        <v>31102</v>
      </c>
    </row>
    <row r="1144">
      <c r="A1144" s="17">
        <f>Github!J$1143</f>
        <v>1142</v>
      </c>
      <c r="B1144" s="34" t="str">
        <f>HYPERLINK(CONCAT("http://leetcode.com/problems/",Github!C$1143), Github!B$1143)</f>
        <v>User Activity for the Past 30 Days II</v>
      </c>
      <c r="C1144" s="17">
        <f>Github!F$1143</f>
        <v>68</v>
      </c>
      <c r="D1144" s="17">
        <f>Github!G$1143</f>
        <v>278</v>
      </c>
      <c r="E1144" s="17">
        <f>Github!F$1143+Github!G$1143</f>
        <v>346</v>
      </c>
      <c r="F1144" s="18">
        <f t="shared" si="1"/>
        <v>0.24</v>
      </c>
      <c r="G1144" s="17" t="str">
        <f>Github!H$1143</f>
        <v>Database</v>
      </c>
      <c r="H1144" s="17" t="b">
        <f>Github!D$1143</f>
        <v>1</v>
      </c>
      <c r="I1144" s="17" t="str">
        <f>Github!E$1143</f>
        <v>Easy</v>
      </c>
      <c r="J1144" s="17" t="str">
        <f>ROUND(Github!N$1143, 2)&amp;"%"</f>
        <v>0%</v>
      </c>
      <c r="K1144" s="17">
        <f>Github!O$1143</f>
        <v>35.92676789</v>
      </c>
      <c r="L1144" s="17">
        <f>Github!P$1143</f>
        <v>29553</v>
      </c>
    </row>
    <row r="1145">
      <c r="A1145" s="17">
        <f>Github!J$1144</f>
        <v>1143</v>
      </c>
      <c r="B1145" s="34" t="str">
        <f>HYPERLINK(CONCAT("http://leetcode.com/problems/",Github!C$1144), Github!B$1144)</f>
        <v>Longest Common Subsequence</v>
      </c>
      <c r="C1145" s="17">
        <f>Github!F$1144</f>
        <v>5883</v>
      </c>
      <c r="D1145" s="17">
        <f>Github!G$1144</f>
        <v>65</v>
      </c>
      <c r="E1145" s="17">
        <f>Github!F$1144+Github!G$1144</f>
        <v>5948</v>
      </c>
      <c r="F1145" s="18">
        <f t="shared" si="1"/>
        <v>90.51</v>
      </c>
      <c r="G1145" s="17" t="str">
        <f>Github!H$1144</f>
        <v>Algorithms</v>
      </c>
      <c r="H1145" s="17" t="b">
        <f>Github!D$1144</f>
        <v>0</v>
      </c>
      <c r="I1145" s="17" t="str">
        <f>Github!E$1144</f>
        <v>Medium</v>
      </c>
      <c r="J1145" s="17" t="str">
        <f>ROUND(Github!N$1144, 2)&amp;"%"</f>
        <v>0%</v>
      </c>
      <c r="K1145" s="17">
        <f>Github!O$1144</f>
        <v>58.87424</v>
      </c>
      <c r="L1145" s="17">
        <f>Github!P$1144</f>
        <v>370279</v>
      </c>
    </row>
    <row r="1146">
      <c r="A1146" s="17">
        <f>Github!J$1145</f>
        <v>1144</v>
      </c>
      <c r="B1146" s="34" t="str">
        <f>HYPERLINK(CONCAT("http://leetcode.com/problems/",Github!C$1145), Github!B$1145)</f>
        <v>Decrease Elements To Make Array Zigzag</v>
      </c>
      <c r="C1146" s="17">
        <f>Github!F$1145</f>
        <v>268</v>
      </c>
      <c r="D1146" s="17">
        <f>Github!G$1145</f>
        <v>141</v>
      </c>
      <c r="E1146" s="17">
        <f>Github!F$1145+Github!G$1145</f>
        <v>409</v>
      </c>
      <c r="F1146" s="18">
        <f t="shared" si="1"/>
        <v>1.9</v>
      </c>
      <c r="G1146" s="17" t="str">
        <f>Github!H$1145</f>
        <v>Algorithms</v>
      </c>
      <c r="H1146" s="17" t="b">
        <f>Github!D$1145</f>
        <v>0</v>
      </c>
      <c r="I1146" s="17" t="str">
        <f>Github!E$1145</f>
        <v>Medium</v>
      </c>
      <c r="J1146" s="17" t="str">
        <f>ROUND(Github!N$1145, 2)&amp;"%"</f>
        <v>0%</v>
      </c>
      <c r="K1146" s="17">
        <f>Github!O$1145</f>
        <v>46.96320232</v>
      </c>
      <c r="L1146" s="17">
        <f>Github!P$1145</f>
        <v>14243</v>
      </c>
    </row>
    <row r="1147">
      <c r="A1147" s="17">
        <f>Github!J$1146</f>
        <v>1145</v>
      </c>
      <c r="B1147" s="34" t="str">
        <f>HYPERLINK(CONCAT("http://leetcode.com/problems/",Github!C$1146), Github!B$1146)</f>
        <v>Binary Tree Coloring Game</v>
      </c>
      <c r="C1147" s="17">
        <f>Github!F$1146</f>
        <v>911</v>
      </c>
      <c r="D1147" s="17">
        <f>Github!G$1146</f>
        <v>171</v>
      </c>
      <c r="E1147" s="17">
        <f>Github!F$1146+Github!G$1146</f>
        <v>1082</v>
      </c>
      <c r="F1147" s="18">
        <f t="shared" si="1"/>
        <v>5.33</v>
      </c>
      <c r="G1147" s="17" t="str">
        <f>Github!H$1146</f>
        <v>Algorithms</v>
      </c>
      <c r="H1147" s="17" t="b">
        <f>Github!D$1146</f>
        <v>0</v>
      </c>
      <c r="I1147" s="17" t="str">
        <f>Github!E$1146</f>
        <v>Medium</v>
      </c>
      <c r="J1147" s="17" t="str">
        <f>ROUND(Github!N$1146, 2)&amp;"%"</f>
        <v>0%</v>
      </c>
      <c r="K1147" s="17">
        <f>Github!O$1146</f>
        <v>51.09197592</v>
      </c>
      <c r="L1147" s="17">
        <f>Github!P$1146</f>
        <v>33524</v>
      </c>
    </row>
    <row r="1148">
      <c r="A1148" s="17">
        <f>Github!J$1147</f>
        <v>1146</v>
      </c>
      <c r="B1148" s="34" t="str">
        <f>HYPERLINK(CONCAT("http://leetcode.com/problems/",Github!C$1147), Github!B$1147)</f>
        <v>Snapshot Array</v>
      </c>
      <c r="C1148" s="17">
        <f>Github!F$1147</f>
        <v>1528</v>
      </c>
      <c r="D1148" s="17">
        <f>Github!G$1147</f>
        <v>237</v>
      </c>
      <c r="E1148" s="17">
        <f>Github!F$1147+Github!G$1147</f>
        <v>1765</v>
      </c>
      <c r="F1148" s="18">
        <f t="shared" si="1"/>
        <v>6.45</v>
      </c>
      <c r="G1148" s="17" t="str">
        <f>Github!H$1147</f>
        <v>Algorithms</v>
      </c>
      <c r="H1148" s="17" t="b">
        <f>Github!D$1147</f>
        <v>0</v>
      </c>
      <c r="I1148" s="17" t="str">
        <f>Github!E$1147</f>
        <v>Medium</v>
      </c>
      <c r="J1148" s="17" t="str">
        <f>ROUND(Github!N$1147, 2)&amp;"%"</f>
        <v>0%</v>
      </c>
      <c r="K1148" s="17">
        <f>Github!O$1147</f>
        <v>37.01948414</v>
      </c>
      <c r="L1148" s="17">
        <f>Github!P$1147</f>
        <v>97639</v>
      </c>
    </row>
    <row r="1149">
      <c r="A1149" s="17">
        <f>Github!J$1148</f>
        <v>1147</v>
      </c>
      <c r="B1149" s="34" t="str">
        <f>HYPERLINK(CONCAT("http://leetcode.com/problems/",Github!C$1148), Github!B$1148)</f>
        <v>Longest Chunked Palindrome Decomposition</v>
      </c>
      <c r="C1149" s="17">
        <f>Github!F$1148</f>
        <v>400</v>
      </c>
      <c r="D1149" s="17">
        <f>Github!G$1148</f>
        <v>24</v>
      </c>
      <c r="E1149" s="17">
        <f>Github!F$1148+Github!G$1148</f>
        <v>424</v>
      </c>
      <c r="F1149" s="18">
        <f t="shared" si="1"/>
        <v>16.67</v>
      </c>
      <c r="G1149" s="17" t="str">
        <f>Github!H$1148</f>
        <v>Algorithms</v>
      </c>
      <c r="H1149" s="17" t="b">
        <f>Github!D$1148</f>
        <v>0</v>
      </c>
      <c r="I1149" s="17" t="str">
        <f>Github!E$1148</f>
        <v>Hard</v>
      </c>
      <c r="J1149" s="17" t="str">
        <f>ROUND(Github!N$1148, 2)&amp;"%"</f>
        <v>0%</v>
      </c>
      <c r="K1149" s="17">
        <f>Github!O$1148</f>
        <v>60.24938598</v>
      </c>
      <c r="L1149" s="17">
        <f>Github!P$1148</f>
        <v>15945</v>
      </c>
    </row>
    <row r="1150">
      <c r="A1150" s="17">
        <f>Github!J$1149</f>
        <v>1148</v>
      </c>
      <c r="B1150" s="34" t="str">
        <f>HYPERLINK(CONCAT("http://leetcode.com/problems/",Github!C$1149), Github!B$1149)</f>
        <v>Article Views I</v>
      </c>
      <c r="C1150" s="17">
        <f>Github!F$1149</f>
        <v>79</v>
      </c>
      <c r="D1150" s="17">
        <f>Github!G$1149</f>
        <v>12</v>
      </c>
      <c r="E1150" s="17">
        <f>Github!F$1149+Github!G$1149</f>
        <v>91</v>
      </c>
      <c r="F1150" s="18">
        <f t="shared" si="1"/>
        <v>6.58</v>
      </c>
      <c r="G1150" s="17" t="str">
        <f>Github!H$1149</f>
        <v>Database</v>
      </c>
      <c r="H1150" s="17" t="b">
        <f>Github!D$1149</f>
        <v>1</v>
      </c>
      <c r="I1150" s="17" t="str">
        <f>Github!E$1149</f>
        <v>Easy</v>
      </c>
      <c r="J1150" s="17" t="str">
        <f>ROUND(Github!N$1149, 2)&amp;"%"</f>
        <v>0%</v>
      </c>
      <c r="K1150" s="17">
        <f>Github!O$1149</f>
        <v>76.71669704</v>
      </c>
      <c r="L1150" s="17">
        <f>Github!P$1149</f>
        <v>31997</v>
      </c>
    </row>
    <row r="1151">
      <c r="A1151" s="17">
        <f>Github!J$1150</f>
        <v>1149</v>
      </c>
      <c r="B1151" s="34" t="str">
        <f>HYPERLINK(CONCAT("http://leetcode.com/problems/",Github!C$1150), Github!B$1150)</f>
        <v>Article Views II</v>
      </c>
      <c r="C1151" s="17">
        <f>Github!F$1150</f>
        <v>77</v>
      </c>
      <c r="D1151" s="17">
        <f>Github!G$1150</f>
        <v>25</v>
      </c>
      <c r="E1151" s="17">
        <f>Github!F$1150+Github!G$1150</f>
        <v>102</v>
      </c>
      <c r="F1151" s="18">
        <f t="shared" si="1"/>
        <v>3.08</v>
      </c>
      <c r="G1151" s="17" t="str">
        <f>Github!H$1150</f>
        <v>Database</v>
      </c>
      <c r="H1151" s="17" t="b">
        <f>Github!D$1150</f>
        <v>1</v>
      </c>
      <c r="I1151" s="17" t="str">
        <f>Github!E$1150</f>
        <v>Medium</v>
      </c>
      <c r="J1151" s="17" t="str">
        <f>ROUND(Github!N$1150, 2)&amp;"%"</f>
        <v>0%</v>
      </c>
      <c r="K1151" s="17">
        <f>Github!O$1150</f>
        <v>47.9309705</v>
      </c>
      <c r="L1151" s="17">
        <f>Github!P$1150</f>
        <v>23247</v>
      </c>
    </row>
    <row r="1152">
      <c r="A1152" s="17">
        <f>Github!J$1151</f>
        <v>1150</v>
      </c>
      <c r="B1152" s="34" t="str">
        <f>HYPERLINK(CONCAT("http://leetcode.com/problems/",Github!C$1151), Github!B$1151)</f>
        <v>Check If a Number Is Majority Element in a Sorted Array</v>
      </c>
      <c r="C1152" s="17">
        <f>Github!F$1151</f>
        <v>288</v>
      </c>
      <c r="D1152" s="17">
        <f>Github!G$1151</f>
        <v>30</v>
      </c>
      <c r="E1152" s="17">
        <f>Github!F$1151+Github!G$1151</f>
        <v>318</v>
      </c>
      <c r="F1152" s="18">
        <f t="shared" si="1"/>
        <v>9.6</v>
      </c>
      <c r="G1152" s="17" t="str">
        <f>Github!H$1151</f>
        <v>Algorithms</v>
      </c>
      <c r="H1152" s="17" t="b">
        <f>Github!D$1151</f>
        <v>1</v>
      </c>
      <c r="I1152" s="17" t="str">
        <f>Github!E$1151</f>
        <v>Easy</v>
      </c>
      <c r="J1152" s="17" t="str">
        <f>ROUND(Github!N$1151, 2)&amp;"%"</f>
        <v>0%</v>
      </c>
      <c r="K1152" s="17">
        <f>Github!O$1151</f>
        <v>56.71169073</v>
      </c>
      <c r="L1152" s="17">
        <f>Github!P$1151</f>
        <v>30438</v>
      </c>
    </row>
    <row r="1153">
      <c r="A1153" s="17">
        <f>Github!J$1152</f>
        <v>1151</v>
      </c>
      <c r="B1153" s="34" t="str">
        <f>HYPERLINK(CONCAT("http://leetcode.com/problems/",Github!C$1152), Github!B$1152)</f>
        <v>Minimum Swaps to Group All 1's Together</v>
      </c>
      <c r="C1153" s="17">
        <f>Github!F$1152</f>
        <v>739</v>
      </c>
      <c r="D1153" s="17">
        <f>Github!G$1152</f>
        <v>9</v>
      </c>
      <c r="E1153" s="17">
        <f>Github!F$1152+Github!G$1152</f>
        <v>748</v>
      </c>
      <c r="F1153" s="18">
        <f t="shared" si="1"/>
        <v>82.11</v>
      </c>
      <c r="G1153" s="17" t="str">
        <f>Github!H$1152</f>
        <v>Algorithms</v>
      </c>
      <c r="H1153" s="17" t="b">
        <f>Github!D$1152</f>
        <v>1</v>
      </c>
      <c r="I1153" s="17" t="str">
        <f>Github!E$1152</f>
        <v>Medium</v>
      </c>
      <c r="J1153" s="17" t="str">
        <f>ROUND(Github!N$1152, 2)&amp;"%"</f>
        <v>1%</v>
      </c>
      <c r="K1153" s="17">
        <f>Github!O$1152</f>
        <v>59.40306058</v>
      </c>
      <c r="L1153" s="17">
        <f>Github!P$1152</f>
        <v>32879</v>
      </c>
    </row>
    <row r="1154">
      <c r="A1154" s="17">
        <f>Github!J$1153</f>
        <v>1152</v>
      </c>
      <c r="B1154" s="34" t="str">
        <f>HYPERLINK(CONCAT("http://leetcode.com/problems/",Github!C$1153), Github!B$1153)</f>
        <v>Analyze User Website Visit Pattern</v>
      </c>
      <c r="C1154" s="17">
        <f>Github!F$1153</f>
        <v>294</v>
      </c>
      <c r="D1154" s="17">
        <f>Github!G$1153</f>
        <v>2553</v>
      </c>
      <c r="E1154" s="17">
        <f>Github!F$1153+Github!G$1153</f>
        <v>2847</v>
      </c>
      <c r="F1154" s="18">
        <f t="shared" si="1"/>
        <v>0.12</v>
      </c>
      <c r="G1154" s="17" t="str">
        <f>Github!H$1153</f>
        <v>Algorithms</v>
      </c>
      <c r="H1154" s="17" t="b">
        <f>Github!D$1153</f>
        <v>1</v>
      </c>
      <c r="I1154" s="17" t="str">
        <f>Github!E$1153</f>
        <v>Medium</v>
      </c>
      <c r="J1154" s="17" t="str">
        <f>ROUND(Github!N$1153, 2)&amp;"%"</f>
        <v>0%</v>
      </c>
      <c r="K1154" s="17">
        <f>Github!O$1153</f>
        <v>43.53318993</v>
      </c>
      <c r="L1154" s="17">
        <f>Github!P$1153</f>
        <v>57476</v>
      </c>
    </row>
    <row r="1155">
      <c r="A1155" s="17">
        <f>Github!J$1154</f>
        <v>1153</v>
      </c>
      <c r="B1155" s="34" t="str">
        <f>HYPERLINK(CONCAT("http://leetcode.com/problems/",Github!C$1154), Github!B$1154)</f>
        <v>String Transforms Into Another String</v>
      </c>
      <c r="C1155" s="17">
        <f>Github!F$1154</f>
        <v>785</v>
      </c>
      <c r="D1155" s="17">
        <f>Github!G$1154</f>
        <v>297</v>
      </c>
      <c r="E1155" s="17">
        <f>Github!F$1154+Github!G$1154</f>
        <v>1082</v>
      </c>
      <c r="F1155" s="18">
        <f t="shared" si="1"/>
        <v>2.64</v>
      </c>
      <c r="G1155" s="17" t="str">
        <f>Github!H$1154</f>
        <v>Algorithms</v>
      </c>
      <c r="H1155" s="17" t="b">
        <f>Github!D$1154</f>
        <v>1</v>
      </c>
      <c r="I1155" s="17" t="str">
        <f>Github!E$1154</f>
        <v>Hard</v>
      </c>
      <c r="J1155" s="17" t="str">
        <f>ROUND(Github!N$1154, 2)&amp;"%"</f>
        <v>0%</v>
      </c>
      <c r="K1155" s="17">
        <f>Github!O$1154</f>
        <v>35.51839772</v>
      </c>
      <c r="L1155" s="17">
        <f>Github!P$1154</f>
        <v>46392</v>
      </c>
    </row>
    <row r="1156">
      <c r="A1156" s="17">
        <f>Github!J$1155</f>
        <v>1154</v>
      </c>
      <c r="B1156" s="34" t="str">
        <f>HYPERLINK(CONCAT("http://leetcode.com/problems/",Github!C$1155), Github!B$1155)</f>
        <v>Day of the Year</v>
      </c>
      <c r="C1156" s="17">
        <f>Github!F$1155</f>
        <v>232</v>
      </c>
      <c r="D1156" s="17">
        <f>Github!G$1155</f>
        <v>298</v>
      </c>
      <c r="E1156" s="17">
        <f>Github!F$1155+Github!G$1155</f>
        <v>530</v>
      </c>
      <c r="F1156" s="18">
        <f t="shared" si="1"/>
        <v>0.78</v>
      </c>
      <c r="G1156" s="17" t="str">
        <f>Github!H$1155</f>
        <v>Algorithms</v>
      </c>
      <c r="H1156" s="17" t="b">
        <f>Github!D$1155</f>
        <v>0</v>
      </c>
      <c r="I1156" s="17" t="str">
        <f>Github!E$1155</f>
        <v>Easy</v>
      </c>
      <c r="J1156" s="17" t="str">
        <f>ROUND(Github!N$1155, 2)&amp;"%"</f>
        <v>0%</v>
      </c>
      <c r="K1156" s="17">
        <f>Github!O$1155</f>
        <v>50.99995165</v>
      </c>
      <c r="L1156" s="17">
        <f>Github!P$1155</f>
        <v>31647</v>
      </c>
    </row>
    <row r="1157">
      <c r="A1157" s="17">
        <f>Github!J$1156</f>
        <v>1155</v>
      </c>
      <c r="B1157" s="34" t="str">
        <f>HYPERLINK(CONCAT("http://leetcode.com/problems/",Github!C$1156), Github!B$1156)</f>
        <v>Number of Dice Rolls With Target Sum</v>
      </c>
      <c r="C1157" s="17">
        <f>Github!F$1156</f>
        <v>1884</v>
      </c>
      <c r="D1157" s="17">
        <f>Github!G$1156</f>
        <v>84</v>
      </c>
      <c r="E1157" s="17">
        <f>Github!F$1156+Github!G$1156</f>
        <v>1968</v>
      </c>
      <c r="F1157" s="18">
        <f t="shared" si="1"/>
        <v>22.43</v>
      </c>
      <c r="G1157" s="17" t="str">
        <f>Github!H$1156</f>
        <v>Algorithms</v>
      </c>
      <c r="H1157" s="17" t="b">
        <f>Github!D$1156</f>
        <v>0</v>
      </c>
      <c r="I1157" s="17" t="str">
        <f>Github!E$1156</f>
        <v>Medium</v>
      </c>
      <c r="J1157" s="17" t="str">
        <f>ROUND(Github!N$1156, 2)&amp;"%"</f>
        <v>0%</v>
      </c>
      <c r="K1157" s="17">
        <f>Github!O$1156</f>
        <v>47.6488007</v>
      </c>
      <c r="L1157" s="17">
        <f>Github!P$1156</f>
        <v>97993</v>
      </c>
    </row>
    <row r="1158">
      <c r="A1158" s="17">
        <f>Github!J$1157</f>
        <v>1156</v>
      </c>
      <c r="B1158" s="34" t="str">
        <f>HYPERLINK(CONCAT("http://leetcode.com/problems/",Github!C$1157), Github!B$1157)</f>
        <v>Swap For Longest Repeated Character Substring</v>
      </c>
      <c r="C1158" s="17">
        <f>Github!F$1157</f>
        <v>678</v>
      </c>
      <c r="D1158" s="17">
        <f>Github!G$1157</f>
        <v>62</v>
      </c>
      <c r="E1158" s="17">
        <f>Github!F$1157+Github!G$1157</f>
        <v>740</v>
      </c>
      <c r="F1158" s="18">
        <f t="shared" si="1"/>
        <v>10.94</v>
      </c>
      <c r="G1158" s="17" t="str">
        <f>Github!H$1157</f>
        <v>Algorithms</v>
      </c>
      <c r="H1158" s="17" t="b">
        <f>Github!D$1157</f>
        <v>0</v>
      </c>
      <c r="I1158" s="17" t="str">
        <f>Github!E$1157</f>
        <v>Medium</v>
      </c>
      <c r="J1158" s="17" t="str">
        <f>ROUND(Github!N$1157, 2)&amp;"%"</f>
        <v>0%</v>
      </c>
      <c r="K1158" s="17">
        <f>Github!O$1157</f>
        <v>46.43377001</v>
      </c>
      <c r="L1158" s="17">
        <f>Github!P$1157</f>
        <v>22011</v>
      </c>
    </row>
    <row r="1159">
      <c r="A1159" s="17">
        <f>Github!J$1158</f>
        <v>1157</v>
      </c>
      <c r="B1159" s="34" t="str">
        <f>HYPERLINK(CONCAT("http://leetcode.com/problems/",Github!C$1158), Github!B$1158)</f>
        <v>Online Majority Element In Subarray</v>
      </c>
      <c r="C1159" s="17">
        <f>Github!F$1158</f>
        <v>432</v>
      </c>
      <c r="D1159" s="17">
        <f>Github!G$1158</f>
        <v>45</v>
      </c>
      <c r="E1159" s="17">
        <f>Github!F$1158+Github!G$1158</f>
        <v>477</v>
      </c>
      <c r="F1159" s="18">
        <f t="shared" si="1"/>
        <v>9.6</v>
      </c>
      <c r="G1159" s="17" t="str">
        <f>Github!H$1158</f>
        <v>Algorithms</v>
      </c>
      <c r="H1159" s="17" t="b">
        <f>Github!D$1158</f>
        <v>0</v>
      </c>
      <c r="I1159" s="17" t="str">
        <f>Github!E$1158</f>
        <v>Hard</v>
      </c>
      <c r="J1159" s="17" t="str">
        <f>ROUND(Github!N$1158, 2)&amp;"%"</f>
        <v>0%</v>
      </c>
      <c r="K1159" s="17">
        <f>Github!O$1158</f>
        <v>41.94183992</v>
      </c>
      <c r="L1159" s="17">
        <f>Github!P$1158</f>
        <v>12346</v>
      </c>
    </row>
    <row r="1160">
      <c r="A1160" s="17">
        <f>Github!J$1159</f>
        <v>1158</v>
      </c>
      <c r="B1160" s="34" t="str">
        <f>HYPERLINK(CONCAT("http://leetcode.com/problems/",Github!C$1159), Github!B$1159)</f>
        <v>Market Analysis I</v>
      </c>
      <c r="C1160" s="17">
        <f>Github!F$1159</f>
        <v>99</v>
      </c>
      <c r="D1160" s="17">
        <f>Github!G$1159</f>
        <v>30</v>
      </c>
      <c r="E1160" s="17">
        <f>Github!F$1159+Github!G$1159</f>
        <v>129</v>
      </c>
      <c r="F1160" s="18">
        <f t="shared" si="1"/>
        <v>3.3</v>
      </c>
      <c r="G1160" s="17" t="str">
        <f>Github!H$1159</f>
        <v>Database</v>
      </c>
      <c r="H1160" s="17" t="b">
        <f>Github!D$1159</f>
        <v>1</v>
      </c>
      <c r="I1160" s="17" t="str">
        <f>Github!E$1159</f>
        <v>Medium</v>
      </c>
      <c r="J1160" s="17" t="str">
        <f>ROUND(Github!N$1159, 2)&amp;"%"</f>
        <v>0%</v>
      </c>
      <c r="K1160" s="17">
        <f>Github!O$1159</f>
        <v>65.4076559</v>
      </c>
      <c r="L1160" s="17">
        <f>Github!P$1159</f>
        <v>21837</v>
      </c>
    </row>
    <row r="1161">
      <c r="A1161" s="17">
        <f>Github!J$1160</f>
        <v>1159</v>
      </c>
      <c r="B1161" s="34" t="str">
        <f>HYPERLINK(CONCAT("http://leetcode.com/problems/",Github!C$1160), Github!B$1160)</f>
        <v>Market Analysis II</v>
      </c>
      <c r="C1161" s="17">
        <f>Github!F$1160</f>
        <v>81</v>
      </c>
      <c r="D1161" s="17">
        <f>Github!G$1160</f>
        <v>38</v>
      </c>
      <c r="E1161" s="17">
        <f>Github!F$1160+Github!G$1160</f>
        <v>119</v>
      </c>
      <c r="F1161" s="18">
        <f t="shared" si="1"/>
        <v>2.13</v>
      </c>
      <c r="G1161" s="17" t="str">
        <f>Github!H$1160</f>
        <v>Database</v>
      </c>
      <c r="H1161" s="17" t="b">
        <f>Github!D$1160</f>
        <v>1</v>
      </c>
      <c r="I1161" s="17" t="str">
        <f>Github!E$1160</f>
        <v>Hard</v>
      </c>
      <c r="J1161" s="17" t="str">
        <f>ROUND(Github!N$1160, 2)&amp;"%"</f>
        <v>0%</v>
      </c>
      <c r="K1161" s="17">
        <f>Github!O$1160</f>
        <v>57.64752933</v>
      </c>
      <c r="L1161" s="17">
        <f>Github!P$1160</f>
        <v>12973</v>
      </c>
    </row>
    <row r="1162">
      <c r="A1162" s="17">
        <f>Github!J$1161</f>
        <v>1160</v>
      </c>
      <c r="B1162" s="34" t="str">
        <f>HYPERLINK(CONCAT("http://leetcode.com/problems/",Github!C$1161), Github!B$1161)</f>
        <v>Find Words That Can Be Formed by Characters</v>
      </c>
      <c r="C1162" s="17">
        <f>Github!F$1161</f>
        <v>920</v>
      </c>
      <c r="D1162" s="17">
        <f>Github!G$1161</f>
        <v>120</v>
      </c>
      <c r="E1162" s="17">
        <f>Github!F$1161+Github!G$1161</f>
        <v>1040</v>
      </c>
      <c r="F1162" s="18">
        <f t="shared" si="1"/>
        <v>7.67</v>
      </c>
      <c r="G1162" s="17" t="str">
        <f>Github!H$1161</f>
        <v>Algorithms</v>
      </c>
      <c r="H1162" s="17" t="b">
        <f>Github!D$1161</f>
        <v>0</v>
      </c>
      <c r="I1162" s="17" t="str">
        <f>Github!E$1161</f>
        <v>Easy</v>
      </c>
      <c r="J1162" s="17" t="str">
        <f>ROUND(Github!N$1161, 2)&amp;"%"</f>
        <v>0%</v>
      </c>
      <c r="K1162" s="17">
        <f>Github!O$1161</f>
        <v>67.67644598</v>
      </c>
      <c r="L1162" s="17">
        <f>Github!P$1161</f>
        <v>108370</v>
      </c>
    </row>
    <row r="1163">
      <c r="A1163" s="17">
        <f>Github!J$1162</f>
        <v>1161</v>
      </c>
      <c r="B1163" s="34" t="str">
        <f>HYPERLINK(CONCAT("http://leetcode.com/problems/",Github!C$1162), Github!B$1162)</f>
        <v>Maximum Level Sum of a Binary Tree</v>
      </c>
      <c r="C1163" s="17">
        <f>Github!F$1162</f>
        <v>1316</v>
      </c>
      <c r="D1163" s="17">
        <f>Github!G$1162</f>
        <v>54</v>
      </c>
      <c r="E1163" s="17">
        <f>Github!F$1162+Github!G$1162</f>
        <v>1370</v>
      </c>
      <c r="F1163" s="18">
        <f t="shared" si="1"/>
        <v>24.37</v>
      </c>
      <c r="G1163" s="17" t="str">
        <f>Github!H$1162</f>
        <v>Algorithms</v>
      </c>
      <c r="H1163" s="17" t="b">
        <f>Github!D$1162</f>
        <v>0</v>
      </c>
      <c r="I1163" s="17" t="str">
        <f>Github!E$1162</f>
        <v>Medium</v>
      </c>
      <c r="J1163" s="17" t="str">
        <f>ROUND(Github!N$1162, 2)&amp;"%"</f>
        <v>0%</v>
      </c>
      <c r="K1163" s="17">
        <f>Github!O$1162</f>
        <v>66.66216882</v>
      </c>
      <c r="L1163" s="17">
        <f>Github!P$1162</f>
        <v>98806</v>
      </c>
    </row>
    <row r="1164">
      <c r="A1164" s="17">
        <f>Github!J$1163</f>
        <v>1162</v>
      </c>
      <c r="B1164" s="34" t="str">
        <f>HYPERLINK(CONCAT("http://leetcode.com/problems/",Github!C$1163), Github!B$1163)</f>
        <v>As Far from Land as Possible</v>
      </c>
      <c r="C1164" s="17">
        <f>Github!F$1163</f>
        <v>1545</v>
      </c>
      <c r="D1164" s="17">
        <f>Github!G$1163</f>
        <v>52</v>
      </c>
      <c r="E1164" s="17">
        <f>Github!F$1163+Github!G$1163</f>
        <v>1597</v>
      </c>
      <c r="F1164" s="18">
        <f t="shared" si="1"/>
        <v>29.71</v>
      </c>
      <c r="G1164" s="17" t="str">
        <f>Github!H$1163</f>
        <v>Algorithms</v>
      </c>
      <c r="H1164" s="17" t="b">
        <f>Github!D$1163</f>
        <v>0</v>
      </c>
      <c r="I1164" s="17" t="str">
        <f>Github!E$1163</f>
        <v>Medium</v>
      </c>
      <c r="J1164" s="17" t="str">
        <f>ROUND(Github!N$1163, 2)&amp;"%"</f>
        <v>0%</v>
      </c>
      <c r="K1164" s="17">
        <f>Github!O$1163</f>
        <v>47.8487044</v>
      </c>
      <c r="L1164" s="17">
        <f>Github!P$1163</f>
        <v>53621</v>
      </c>
    </row>
    <row r="1165">
      <c r="A1165" s="17">
        <f>Github!J$1164</f>
        <v>1163</v>
      </c>
      <c r="B1165" s="34" t="str">
        <f>HYPERLINK(CONCAT("http://leetcode.com/problems/",Github!C$1164), Github!B$1164)</f>
        <v>Last Substring in Lexicographical Order</v>
      </c>
      <c r="C1165" s="17">
        <f>Github!F$1164</f>
        <v>426</v>
      </c>
      <c r="D1165" s="17">
        <f>Github!G$1164</f>
        <v>404</v>
      </c>
      <c r="E1165" s="17">
        <f>Github!F$1164+Github!G$1164</f>
        <v>830</v>
      </c>
      <c r="F1165" s="18">
        <f t="shared" si="1"/>
        <v>1.05</v>
      </c>
      <c r="G1165" s="17" t="str">
        <f>Github!H$1164</f>
        <v>Algorithms</v>
      </c>
      <c r="H1165" s="17" t="b">
        <f>Github!D$1164</f>
        <v>0</v>
      </c>
      <c r="I1165" s="17" t="str">
        <f>Github!E$1164</f>
        <v>Hard</v>
      </c>
      <c r="J1165" s="17" t="str">
        <f>ROUND(Github!N$1164, 2)&amp;"%"</f>
        <v>0%</v>
      </c>
      <c r="K1165" s="17">
        <f>Github!O$1164</f>
        <v>35.70079937</v>
      </c>
      <c r="L1165" s="17">
        <f>Github!P$1164</f>
        <v>29119</v>
      </c>
    </row>
    <row r="1166">
      <c r="A1166" s="17">
        <f>Github!J$1165</f>
        <v>1164</v>
      </c>
      <c r="B1166" s="34" t="str">
        <f>HYPERLINK(CONCAT("http://leetcode.com/problems/",Github!C$1165), Github!B$1165)</f>
        <v>Product Price at a Given Date</v>
      </c>
      <c r="C1166" s="17">
        <f>Github!F$1165</f>
        <v>229</v>
      </c>
      <c r="D1166" s="17">
        <f>Github!G$1165</f>
        <v>65</v>
      </c>
      <c r="E1166" s="17">
        <f>Github!F$1165+Github!G$1165</f>
        <v>294</v>
      </c>
      <c r="F1166" s="18">
        <f t="shared" si="1"/>
        <v>3.52</v>
      </c>
      <c r="G1166" s="17" t="str">
        <f>Github!H$1165</f>
        <v>Database</v>
      </c>
      <c r="H1166" s="17" t="b">
        <f>Github!D$1165</f>
        <v>1</v>
      </c>
      <c r="I1166" s="17" t="str">
        <f>Github!E$1165</f>
        <v>Medium</v>
      </c>
      <c r="J1166" s="17" t="str">
        <f>ROUND(Github!N$1165, 2)&amp;"%"</f>
        <v>0%</v>
      </c>
      <c r="K1166" s="17">
        <f>Github!O$1165</f>
        <v>68.31535796</v>
      </c>
      <c r="L1166" s="17">
        <f>Github!P$1165</f>
        <v>27997</v>
      </c>
    </row>
    <row r="1167">
      <c r="A1167" s="17">
        <f>Github!J$1166</f>
        <v>1165</v>
      </c>
      <c r="B1167" s="34" t="str">
        <f>HYPERLINK(CONCAT("http://leetcode.com/problems/",Github!C$1166), Github!B$1166)</f>
        <v>Single-Row Keyboard</v>
      </c>
      <c r="C1167" s="17">
        <f>Github!F$1166</f>
        <v>336</v>
      </c>
      <c r="D1167" s="17">
        <f>Github!G$1166</f>
        <v>17</v>
      </c>
      <c r="E1167" s="17">
        <f>Github!F$1166+Github!G$1166</f>
        <v>353</v>
      </c>
      <c r="F1167" s="18">
        <f t="shared" si="1"/>
        <v>19.76</v>
      </c>
      <c r="G1167" s="17" t="str">
        <f>Github!H$1166</f>
        <v>Algorithms</v>
      </c>
      <c r="H1167" s="17" t="b">
        <f>Github!D$1166</f>
        <v>1</v>
      </c>
      <c r="I1167" s="17" t="str">
        <f>Github!E$1166</f>
        <v>Easy</v>
      </c>
      <c r="J1167" s="17" t="str">
        <f>ROUND(Github!N$1166, 2)&amp;"%"</f>
        <v>0%</v>
      </c>
      <c r="K1167" s="17">
        <f>Github!O$1166</f>
        <v>85.63757588</v>
      </c>
      <c r="L1167" s="17">
        <f>Github!P$1166</f>
        <v>57414</v>
      </c>
    </row>
    <row r="1168">
      <c r="A1168" s="17">
        <f>Github!J$1167</f>
        <v>1166</v>
      </c>
      <c r="B1168" s="34" t="str">
        <f>HYPERLINK(CONCAT("http://leetcode.com/problems/",Github!C$1167), Github!B$1167)</f>
        <v>Design File System</v>
      </c>
      <c r="C1168" s="17">
        <f>Github!F$1167</f>
        <v>264</v>
      </c>
      <c r="D1168" s="17">
        <f>Github!G$1167</f>
        <v>23</v>
      </c>
      <c r="E1168" s="17">
        <f>Github!F$1167+Github!G$1167</f>
        <v>287</v>
      </c>
      <c r="F1168" s="18">
        <f t="shared" si="1"/>
        <v>11.48</v>
      </c>
      <c r="G1168" s="17" t="str">
        <f>Github!H$1167</f>
        <v>Algorithms</v>
      </c>
      <c r="H1168" s="17" t="b">
        <f>Github!D$1167</f>
        <v>1</v>
      </c>
      <c r="I1168" s="17" t="str">
        <f>Github!E$1167</f>
        <v>Medium</v>
      </c>
      <c r="J1168" s="17" t="str">
        <f>ROUND(Github!N$1167, 2)&amp;"%"</f>
        <v>0%</v>
      </c>
      <c r="K1168" s="17">
        <f>Github!O$1167</f>
        <v>60.3035097</v>
      </c>
      <c r="L1168" s="17">
        <f>Github!P$1167</f>
        <v>20584</v>
      </c>
    </row>
    <row r="1169">
      <c r="A1169" s="17">
        <f>Github!J$1168</f>
        <v>1167</v>
      </c>
      <c r="B1169" s="34" t="str">
        <f>HYPERLINK(CONCAT("http://leetcode.com/problems/",Github!C$1168), Github!B$1168)</f>
        <v>Minimum Cost to Connect Sticks</v>
      </c>
      <c r="C1169" s="17">
        <f>Github!F$1168</f>
        <v>969</v>
      </c>
      <c r="D1169" s="17">
        <f>Github!G$1168</f>
        <v>148</v>
      </c>
      <c r="E1169" s="17">
        <f>Github!F$1168+Github!G$1168</f>
        <v>1117</v>
      </c>
      <c r="F1169" s="18">
        <f t="shared" si="1"/>
        <v>6.55</v>
      </c>
      <c r="G1169" s="17" t="str">
        <f>Github!H$1168</f>
        <v>Algorithms</v>
      </c>
      <c r="H1169" s="17" t="b">
        <f>Github!D$1168</f>
        <v>1</v>
      </c>
      <c r="I1169" s="17" t="str">
        <f>Github!E$1168</f>
        <v>Medium</v>
      </c>
      <c r="J1169" s="17" t="str">
        <f>ROUND(Github!N$1168, 2)&amp;"%"</f>
        <v>1%</v>
      </c>
      <c r="K1169" s="17">
        <f>Github!O$1168</f>
        <v>66.83027557</v>
      </c>
      <c r="L1169" s="17">
        <f>Github!P$1168</f>
        <v>81558</v>
      </c>
    </row>
    <row r="1170">
      <c r="A1170" s="17">
        <f>Github!J$1169</f>
        <v>1168</v>
      </c>
      <c r="B1170" s="34" t="str">
        <f>HYPERLINK(CONCAT("http://leetcode.com/problems/",Github!C$1169), Github!B$1169)</f>
        <v>Optimize Water Distribution in a Village</v>
      </c>
      <c r="C1170" s="17">
        <f>Github!F$1169</f>
        <v>772</v>
      </c>
      <c r="D1170" s="17">
        <f>Github!G$1169</f>
        <v>30</v>
      </c>
      <c r="E1170" s="17">
        <f>Github!F$1169+Github!G$1169</f>
        <v>802</v>
      </c>
      <c r="F1170" s="18">
        <f t="shared" si="1"/>
        <v>25.73</v>
      </c>
      <c r="G1170" s="17" t="str">
        <f>Github!H$1169</f>
        <v>Algorithms</v>
      </c>
      <c r="H1170" s="17" t="b">
        <f>Github!D$1169</f>
        <v>1</v>
      </c>
      <c r="I1170" s="17" t="str">
        <f>Github!E$1169</f>
        <v>Hard</v>
      </c>
      <c r="J1170" s="17" t="str">
        <f>ROUND(Github!N$1169, 2)&amp;"%"</f>
        <v>0%</v>
      </c>
      <c r="K1170" s="17">
        <f>Github!O$1169</f>
        <v>63.60032619</v>
      </c>
      <c r="L1170" s="17">
        <f>Github!P$1169</f>
        <v>28075</v>
      </c>
    </row>
    <row r="1171">
      <c r="A1171" s="17">
        <f>Github!J$1170</f>
        <v>1169</v>
      </c>
      <c r="B1171" s="34" t="str">
        <f>HYPERLINK(CONCAT("http://leetcode.com/problems/",Github!C$1170), Github!B$1170)</f>
        <v>Invalid Transactions</v>
      </c>
      <c r="C1171" s="17">
        <f>Github!F$1170</f>
        <v>271</v>
      </c>
      <c r="D1171" s="17">
        <f>Github!G$1170</f>
        <v>1394</v>
      </c>
      <c r="E1171" s="17">
        <f>Github!F$1170+Github!G$1170</f>
        <v>1665</v>
      </c>
      <c r="F1171" s="18">
        <f t="shared" si="1"/>
        <v>0.19</v>
      </c>
      <c r="G1171" s="17" t="str">
        <f>Github!H$1170</f>
        <v>Algorithms</v>
      </c>
      <c r="H1171" s="17" t="b">
        <f>Github!D$1170</f>
        <v>0</v>
      </c>
      <c r="I1171" s="17" t="str">
        <f>Github!E$1170</f>
        <v>Medium</v>
      </c>
      <c r="J1171" s="17" t="str">
        <f>ROUND(Github!N$1170, 2)&amp;"%"</f>
        <v>0%</v>
      </c>
      <c r="K1171" s="17">
        <f>Github!O$1170</f>
        <v>30.13811939</v>
      </c>
      <c r="L1171" s="17">
        <f>Github!P$1170</f>
        <v>38622</v>
      </c>
    </row>
    <row r="1172">
      <c r="A1172" s="17">
        <f>Github!J$1171</f>
        <v>1170</v>
      </c>
      <c r="B1172" s="34" t="str">
        <f>HYPERLINK(CONCAT("http://leetcode.com/problems/",Github!C$1171), Github!B$1171)</f>
        <v>Compare Strings by Frequency of the Smallest Character</v>
      </c>
      <c r="C1172" s="17">
        <f>Github!F$1171</f>
        <v>484</v>
      </c>
      <c r="D1172" s="17">
        <f>Github!G$1171</f>
        <v>882</v>
      </c>
      <c r="E1172" s="17">
        <f>Github!F$1171+Github!G$1171</f>
        <v>1366</v>
      </c>
      <c r="F1172" s="18">
        <f t="shared" si="1"/>
        <v>0.55</v>
      </c>
      <c r="G1172" s="17" t="str">
        <f>Github!H$1171</f>
        <v>Algorithms</v>
      </c>
      <c r="H1172" s="17" t="b">
        <f>Github!D$1171</f>
        <v>0</v>
      </c>
      <c r="I1172" s="17" t="str">
        <f>Github!E$1171</f>
        <v>Medium</v>
      </c>
      <c r="J1172" s="17" t="str">
        <f>ROUND(Github!N$1171, 2)&amp;"%"</f>
        <v>0%</v>
      </c>
      <c r="K1172" s="17">
        <f>Github!O$1171</f>
        <v>61.03769107</v>
      </c>
      <c r="L1172" s="17">
        <f>Github!P$1171</f>
        <v>64290</v>
      </c>
    </row>
    <row r="1173">
      <c r="A1173" s="17">
        <f>Github!J$1172</f>
        <v>1171</v>
      </c>
      <c r="B1173" s="34" t="str">
        <f>HYPERLINK(CONCAT("http://leetcode.com/problems/",Github!C$1172), Github!B$1172)</f>
        <v>Remove Zero Sum Consecutive Nodes from Linked List</v>
      </c>
      <c r="C1173" s="17">
        <f>Github!F$1172</f>
        <v>1341</v>
      </c>
      <c r="D1173" s="17">
        <f>Github!G$1172</f>
        <v>68</v>
      </c>
      <c r="E1173" s="17">
        <f>Github!F$1172+Github!G$1172</f>
        <v>1409</v>
      </c>
      <c r="F1173" s="18">
        <f t="shared" si="1"/>
        <v>19.72</v>
      </c>
      <c r="G1173" s="17" t="str">
        <f>Github!H$1172</f>
        <v>Algorithms</v>
      </c>
      <c r="H1173" s="17" t="b">
        <f>Github!D$1172</f>
        <v>0</v>
      </c>
      <c r="I1173" s="17" t="str">
        <f>Github!E$1172</f>
        <v>Medium</v>
      </c>
      <c r="J1173" s="17" t="str">
        <f>ROUND(Github!N$1172, 2)&amp;"%"</f>
        <v>0%</v>
      </c>
      <c r="K1173" s="17">
        <f>Github!O$1172</f>
        <v>42.41371208</v>
      </c>
      <c r="L1173" s="17">
        <f>Github!P$1172</f>
        <v>34297</v>
      </c>
    </row>
    <row r="1174">
      <c r="A1174" s="17">
        <f>Github!J$1173</f>
        <v>1172</v>
      </c>
      <c r="B1174" s="34" t="str">
        <f>HYPERLINK(CONCAT("http://leetcode.com/problems/",Github!C$1173), Github!B$1173)</f>
        <v>Dinner Plate Stacks</v>
      </c>
      <c r="C1174" s="17">
        <f>Github!F$1173</f>
        <v>310</v>
      </c>
      <c r="D1174" s="17">
        <f>Github!G$1173</f>
        <v>47</v>
      </c>
      <c r="E1174" s="17">
        <f>Github!F$1173+Github!G$1173</f>
        <v>357</v>
      </c>
      <c r="F1174" s="18">
        <f t="shared" si="1"/>
        <v>6.6</v>
      </c>
      <c r="G1174" s="17" t="str">
        <f>Github!H$1173</f>
        <v>Algorithms</v>
      </c>
      <c r="H1174" s="17" t="b">
        <f>Github!D$1173</f>
        <v>0</v>
      </c>
      <c r="I1174" s="17" t="str">
        <f>Github!E$1173</f>
        <v>Hard</v>
      </c>
      <c r="J1174" s="17" t="str">
        <f>ROUND(Github!N$1173, 2)&amp;"%"</f>
        <v>0%</v>
      </c>
      <c r="K1174" s="17">
        <f>Github!O$1173</f>
        <v>34.64404298</v>
      </c>
      <c r="L1174" s="17">
        <f>Github!P$1173</f>
        <v>13251</v>
      </c>
    </row>
    <row r="1175">
      <c r="A1175" s="17">
        <f>Github!J$1174</f>
        <v>1173</v>
      </c>
      <c r="B1175" s="34" t="str">
        <f>HYPERLINK(CONCAT("http://leetcode.com/problems/",Github!C$1174), Github!B$1174)</f>
        <v>Immediate Food Delivery I</v>
      </c>
      <c r="C1175" s="17">
        <f>Github!F$1174</f>
        <v>148</v>
      </c>
      <c r="D1175" s="17">
        <f>Github!G$1174</f>
        <v>8</v>
      </c>
      <c r="E1175" s="17">
        <f>Github!F$1174+Github!G$1174</f>
        <v>156</v>
      </c>
      <c r="F1175" s="18">
        <f t="shared" si="1"/>
        <v>18.5</v>
      </c>
      <c r="G1175" s="17" t="str">
        <f>Github!H$1174</f>
        <v>Database</v>
      </c>
      <c r="H1175" s="17" t="b">
        <f>Github!D$1174</f>
        <v>1</v>
      </c>
      <c r="I1175" s="17" t="str">
        <f>Github!E$1174</f>
        <v>Easy</v>
      </c>
      <c r="J1175" s="17" t="str">
        <f>ROUND(Github!N$1174, 2)&amp;"%"</f>
        <v>0%</v>
      </c>
      <c r="K1175" s="17">
        <f>Github!O$1174</f>
        <v>83.19491939</v>
      </c>
      <c r="L1175" s="17">
        <f>Github!P$1174</f>
        <v>35763</v>
      </c>
    </row>
    <row r="1176">
      <c r="A1176" s="17">
        <f>Github!J$1175</f>
        <v>1174</v>
      </c>
      <c r="B1176" s="34" t="str">
        <f>HYPERLINK(CONCAT("http://leetcode.com/problems/",Github!C$1175), Github!B$1175)</f>
        <v>Immediate Food Delivery II</v>
      </c>
      <c r="C1176" s="17">
        <f>Github!F$1175</f>
        <v>83</v>
      </c>
      <c r="D1176" s="17">
        <f>Github!G$1175</f>
        <v>43</v>
      </c>
      <c r="E1176" s="17">
        <f>Github!F$1175+Github!G$1175</f>
        <v>126</v>
      </c>
      <c r="F1176" s="18">
        <f t="shared" si="1"/>
        <v>1.93</v>
      </c>
      <c r="G1176" s="17" t="str">
        <f>Github!H$1175</f>
        <v>Database</v>
      </c>
      <c r="H1176" s="17" t="b">
        <f>Github!D$1175</f>
        <v>1</v>
      </c>
      <c r="I1176" s="17" t="str">
        <f>Github!E$1175</f>
        <v>Medium</v>
      </c>
      <c r="J1176" s="17" t="str">
        <f>ROUND(Github!N$1175, 2)&amp;"%"</f>
        <v>0%</v>
      </c>
      <c r="K1176" s="17">
        <f>Github!O$1175</f>
        <v>63.60270158</v>
      </c>
      <c r="L1176" s="17">
        <f>Github!P$1175</f>
        <v>21471</v>
      </c>
    </row>
    <row r="1177">
      <c r="A1177" s="17">
        <f>Github!J$1176</f>
        <v>1175</v>
      </c>
      <c r="B1177" s="34" t="str">
        <f>HYPERLINK(CONCAT("http://leetcode.com/problems/",Github!C$1176), Github!B$1176)</f>
        <v>Prime Arrangements</v>
      </c>
      <c r="C1177" s="17">
        <f>Github!F$1176</f>
        <v>234</v>
      </c>
      <c r="D1177" s="17">
        <f>Github!G$1176</f>
        <v>343</v>
      </c>
      <c r="E1177" s="17">
        <f>Github!F$1176+Github!G$1176</f>
        <v>577</v>
      </c>
      <c r="F1177" s="18">
        <f t="shared" si="1"/>
        <v>0.68</v>
      </c>
      <c r="G1177" s="17" t="str">
        <f>Github!H$1176</f>
        <v>Algorithms</v>
      </c>
      <c r="H1177" s="17" t="b">
        <f>Github!D$1176</f>
        <v>0</v>
      </c>
      <c r="I1177" s="17" t="str">
        <f>Github!E$1176</f>
        <v>Easy</v>
      </c>
      <c r="J1177" s="17" t="str">
        <f>ROUND(Github!N$1176, 2)&amp;"%"</f>
        <v>0%</v>
      </c>
      <c r="K1177" s="17">
        <f>Github!O$1176</f>
        <v>52.67357261</v>
      </c>
      <c r="L1177" s="17">
        <f>Github!P$1176</f>
        <v>19475</v>
      </c>
    </row>
    <row r="1178">
      <c r="A1178" s="17">
        <f>Github!J$1177</f>
        <v>1176</v>
      </c>
      <c r="B1178" s="34" t="str">
        <f>HYPERLINK(CONCAT("http://leetcode.com/problems/",Github!C$1177), Github!B$1177)</f>
        <v>Diet Plan Performance</v>
      </c>
      <c r="C1178" s="17">
        <f>Github!F$1177</f>
        <v>117</v>
      </c>
      <c r="D1178" s="17">
        <f>Github!G$1177</f>
        <v>252</v>
      </c>
      <c r="E1178" s="17">
        <f>Github!F$1177+Github!G$1177</f>
        <v>369</v>
      </c>
      <c r="F1178" s="18">
        <f t="shared" si="1"/>
        <v>0.46</v>
      </c>
      <c r="G1178" s="17" t="str">
        <f>Github!H$1177</f>
        <v>Algorithms</v>
      </c>
      <c r="H1178" s="17" t="b">
        <f>Github!D$1177</f>
        <v>1</v>
      </c>
      <c r="I1178" s="17" t="str">
        <f>Github!E$1177</f>
        <v>Easy</v>
      </c>
      <c r="J1178" s="17" t="str">
        <f>ROUND(Github!N$1177, 2)&amp;"%"</f>
        <v>0%</v>
      </c>
      <c r="K1178" s="17">
        <f>Github!O$1177</f>
        <v>52.71628428</v>
      </c>
      <c r="L1178" s="17">
        <f>Github!P$1177</f>
        <v>23551</v>
      </c>
    </row>
    <row r="1179">
      <c r="A1179" s="17">
        <f>Github!J$1178</f>
        <v>1177</v>
      </c>
      <c r="B1179" s="34" t="str">
        <f>HYPERLINK(CONCAT("http://leetcode.com/problems/",Github!C$1178), Github!B$1178)</f>
        <v>Can Make Palindrome from Substring</v>
      </c>
      <c r="C1179" s="17">
        <f>Github!F$1178</f>
        <v>518</v>
      </c>
      <c r="D1179" s="17">
        <f>Github!G$1178</f>
        <v>222</v>
      </c>
      <c r="E1179" s="17">
        <f>Github!F$1178+Github!G$1178</f>
        <v>740</v>
      </c>
      <c r="F1179" s="18">
        <f t="shared" si="1"/>
        <v>2.33</v>
      </c>
      <c r="G1179" s="17" t="str">
        <f>Github!H$1178</f>
        <v>Algorithms</v>
      </c>
      <c r="H1179" s="17" t="b">
        <f>Github!D$1178</f>
        <v>0</v>
      </c>
      <c r="I1179" s="17" t="str">
        <f>Github!E$1178</f>
        <v>Medium</v>
      </c>
      <c r="J1179" s="17" t="str">
        <f>ROUND(Github!N$1178, 2)&amp;"%"</f>
        <v>0%</v>
      </c>
      <c r="K1179" s="17">
        <f>Github!O$1178</f>
        <v>37.23958333</v>
      </c>
      <c r="L1179" s="17">
        <f>Github!P$1178</f>
        <v>19591</v>
      </c>
    </row>
    <row r="1180">
      <c r="A1180" s="17">
        <f>Github!J$1179</f>
        <v>1178</v>
      </c>
      <c r="B1180" s="34" t="str">
        <f>HYPERLINK(CONCAT("http://leetcode.com/problems/",Github!C$1179), Github!B$1179)</f>
        <v>Number of Valid Words for Each Puzzle</v>
      </c>
      <c r="C1180" s="17">
        <f>Github!F$1179</f>
        <v>1055</v>
      </c>
      <c r="D1180" s="17">
        <f>Github!G$1179</f>
        <v>71</v>
      </c>
      <c r="E1180" s="17">
        <f>Github!F$1179+Github!G$1179</f>
        <v>1126</v>
      </c>
      <c r="F1180" s="18">
        <f t="shared" si="1"/>
        <v>14.86</v>
      </c>
      <c r="G1180" s="17" t="str">
        <f>Github!H$1179</f>
        <v>Algorithms</v>
      </c>
      <c r="H1180" s="17" t="b">
        <f>Github!D$1179</f>
        <v>0</v>
      </c>
      <c r="I1180" s="17" t="str">
        <f>Github!E$1179</f>
        <v>Hard</v>
      </c>
      <c r="J1180" s="17" t="str">
        <f>ROUND(Github!N$1179, 2)&amp;"%"</f>
        <v>0%</v>
      </c>
      <c r="K1180" s="17">
        <f>Github!O$1179</f>
        <v>46.88285526</v>
      </c>
      <c r="L1180" s="17">
        <f>Github!P$1179</f>
        <v>26298</v>
      </c>
    </row>
    <row r="1181">
      <c r="A1181" s="17">
        <f>Github!J$1180</f>
        <v>1179</v>
      </c>
      <c r="B1181" s="34" t="str">
        <f>HYPERLINK(CONCAT("http://leetcode.com/problems/",Github!C$1180), Github!B$1180)</f>
        <v>Reformat Department Table</v>
      </c>
      <c r="C1181" s="17">
        <f>Github!F$1180</f>
        <v>414</v>
      </c>
      <c r="D1181" s="17">
        <f>Github!G$1180</f>
        <v>307</v>
      </c>
      <c r="E1181" s="17">
        <f>Github!F$1180+Github!G$1180</f>
        <v>721</v>
      </c>
      <c r="F1181" s="18">
        <f t="shared" si="1"/>
        <v>1.35</v>
      </c>
      <c r="G1181" s="17" t="str">
        <f>Github!H$1180</f>
        <v>Database</v>
      </c>
      <c r="H1181" s="17" t="b">
        <f>Github!D$1180</f>
        <v>0</v>
      </c>
      <c r="I1181" s="17" t="str">
        <f>Github!E$1180</f>
        <v>Easy</v>
      </c>
      <c r="J1181" s="17" t="str">
        <f>ROUND(Github!N$1180, 2)&amp;"%"</f>
        <v>0%</v>
      </c>
      <c r="K1181" s="17">
        <f>Github!O$1180</f>
        <v>82.27777155</v>
      </c>
      <c r="L1181" s="17">
        <f>Github!P$1180</f>
        <v>66060</v>
      </c>
    </row>
    <row r="1182">
      <c r="A1182" s="17">
        <f>Github!J$1181</f>
        <v>1180</v>
      </c>
      <c r="B1182" s="34" t="str">
        <f>HYPERLINK(CONCAT("http://leetcode.com/problems/",Github!C$1181), Github!B$1181)</f>
        <v>Count Substrings with Only One Distinct Letter</v>
      </c>
      <c r="C1182" s="17">
        <f>Github!F$1181</f>
        <v>262</v>
      </c>
      <c r="D1182" s="17">
        <f>Github!G$1181</f>
        <v>42</v>
      </c>
      <c r="E1182" s="17">
        <f>Github!F$1181+Github!G$1181</f>
        <v>304</v>
      </c>
      <c r="F1182" s="18">
        <f t="shared" si="1"/>
        <v>6.24</v>
      </c>
      <c r="G1182" s="17" t="str">
        <f>Github!H$1181</f>
        <v>Algorithms</v>
      </c>
      <c r="H1182" s="17" t="b">
        <f>Github!D$1181</f>
        <v>1</v>
      </c>
      <c r="I1182" s="17" t="str">
        <f>Github!E$1181</f>
        <v>Easy</v>
      </c>
      <c r="J1182" s="17" t="str">
        <f>ROUND(Github!N$1181, 2)&amp;"%"</f>
        <v>0%</v>
      </c>
      <c r="K1182" s="17">
        <f>Github!O$1181</f>
        <v>78.72282397</v>
      </c>
      <c r="L1182" s="17">
        <f>Github!P$1181</f>
        <v>20205</v>
      </c>
    </row>
    <row r="1183">
      <c r="A1183" s="17">
        <f>Github!J$1182</f>
        <v>1181</v>
      </c>
      <c r="B1183" s="34" t="str">
        <f>HYPERLINK(CONCAT("http://leetcode.com/problems/",Github!C$1182), Github!B$1182)</f>
        <v>Before and After Puzzle</v>
      </c>
      <c r="C1183" s="17">
        <f>Github!F$1182</f>
        <v>61</v>
      </c>
      <c r="D1183" s="17">
        <f>Github!G$1182</f>
        <v>140</v>
      </c>
      <c r="E1183" s="17">
        <f>Github!F$1182+Github!G$1182</f>
        <v>201</v>
      </c>
      <c r="F1183" s="18">
        <f t="shared" si="1"/>
        <v>0.44</v>
      </c>
      <c r="G1183" s="17" t="str">
        <f>Github!H$1182</f>
        <v>Algorithms</v>
      </c>
      <c r="H1183" s="17" t="b">
        <f>Github!D$1182</f>
        <v>1</v>
      </c>
      <c r="I1183" s="17" t="str">
        <f>Github!E$1182</f>
        <v>Medium</v>
      </c>
      <c r="J1183" s="17" t="str">
        <f>ROUND(Github!N$1182, 2)&amp;"%"</f>
        <v>0%</v>
      </c>
      <c r="K1183" s="17">
        <f>Github!O$1182</f>
        <v>44.92092457</v>
      </c>
      <c r="L1183" s="17">
        <f>Github!P$1182</f>
        <v>8861</v>
      </c>
    </row>
    <row r="1184">
      <c r="A1184" s="17">
        <f>Github!J$1183</f>
        <v>1182</v>
      </c>
      <c r="B1184" s="34" t="str">
        <f>HYPERLINK(CONCAT("http://leetcode.com/problems/",Github!C$1183), Github!B$1183)</f>
        <v>Shortest Distance to Target Color</v>
      </c>
      <c r="C1184" s="17">
        <f>Github!F$1183</f>
        <v>342</v>
      </c>
      <c r="D1184" s="17">
        <f>Github!G$1183</f>
        <v>15</v>
      </c>
      <c r="E1184" s="17">
        <f>Github!F$1183+Github!G$1183</f>
        <v>357</v>
      </c>
      <c r="F1184" s="18">
        <f t="shared" si="1"/>
        <v>22.8</v>
      </c>
      <c r="G1184" s="17" t="str">
        <f>Github!H$1183</f>
        <v>Algorithms</v>
      </c>
      <c r="H1184" s="17" t="b">
        <f>Github!D$1183</f>
        <v>1</v>
      </c>
      <c r="I1184" s="17" t="str">
        <f>Github!E$1183</f>
        <v>Medium</v>
      </c>
      <c r="J1184" s="17" t="str">
        <f>ROUND(Github!N$1183, 2)&amp;"%"</f>
        <v>0%</v>
      </c>
      <c r="K1184" s="17">
        <f>Github!O$1183</f>
        <v>54.23876077</v>
      </c>
      <c r="L1184" s="17">
        <f>Github!P$1183</f>
        <v>21848</v>
      </c>
    </row>
    <row r="1185">
      <c r="A1185" s="17">
        <f>Github!J$1184</f>
        <v>1183</v>
      </c>
      <c r="B1185" s="34" t="str">
        <f>HYPERLINK(CONCAT("http://leetcode.com/problems/",Github!C$1184), Github!B$1184)</f>
        <v>Maximum Number of Ones</v>
      </c>
      <c r="C1185" s="17">
        <f>Github!F$1184</f>
        <v>98</v>
      </c>
      <c r="D1185" s="17">
        <f>Github!G$1184</f>
        <v>9</v>
      </c>
      <c r="E1185" s="17">
        <f>Github!F$1184+Github!G$1184</f>
        <v>107</v>
      </c>
      <c r="F1185" s="18">
        <f t="shared" si="1"/>
        <v>10.89</v>
      </c>
      <c r="G1185" s="17" t="str">
        <f>Github!H$1184</f>
        <v>Algorithms</v>
      </c>
      <c r="H1185" s="17" t="b">
        <f>Github!D$1184</f>
        <v>1</v>
      </c>
      <c r="I1185" s="17" t="str">
        <f>Github!E$1184</f>
        <v>Hard</v>
      </c>
      <c r="J1185" s="17" t="str">
        <f>ROUND(Github!N$1184, 2)&amp;"%"</f>
        <v>0%</v>
      </c>
      <c r="K1185" s="17">
        <f>Github!O$1184</f>
        <v>59.88041002</v>
      </c>
      <c r="L1185" s="17">
        <f>Github!P$1184</f>
        <v>2103</v>
      </c>
    </row>
    <row r="1186">
      <c r="A1186" s="17">
        <f>Github!J$1185</f>
        <v>1184</v>
      </c>
      <c r="B1186" s="34" t="str">
        <f>HYPERLINK(CONCAT("http://leetcode.com/problems/",Github!C$1185), Github!B$1185)</f>
        <v>Distance Between Bus Stops</v>
      </c>
      <c r="C1186" s="17">
        <f>Github!F$1185</f>
        <v>502</v>
      </c>
      <c r="D1186" s="17">
        <f>Github!G$1185</f>
        <v>58</v>
      </c>
      <c r="E1186" s="17">
        <f>Github!F$1185+Github!G$1185</f>
        <v>560</v>
      </c>
      <c r="F1186" s="18">
        <f t="shared" si="1"/>
        <v>8.66</v>
      </c>
      <c r="G1186" s="17" t="str">
        <f>Github!H$1185</f>
        <v>Algorithms</v>
      </c>
      <c r="H1186" s="17" t="b">
        <f>Github!D$1185</f>
        <v>0</v>
      </c>
      <c r="I1186" s="17" t="str">
        <f>Github!E$1185</f>
        <v>Easy</v>
      </c>
      <c r="J1186" s="17" t="str">
        <f>ROUND(Github!N$1185, 2)&amp;"%"</f>
        <v>0%</v>
      </c>
      <c r="K1186" s="17">
        <f>Github!O$1185</f>
        <v>54.07409397</v>
      </c>
      <c r="L1186" s="17">
        <f>Github!P$1185</f>
        <v>40256</v>
      </c>
    </row>
    <row r="1187">
      <c r="A1187" s="17">
        <f>Github!J$1186</f>
        <v>1185</v>
      </c>
      <c r="B1187" s="34" t="str">
        <f>HYPERLINK(CONCAT("http://leetcode.com/problems/",Github!C$1186), Github!B$1186)</f>
        <v>Day of the Week</v>
      </c>
      <c r="C1187" s="17">
        <f>Github!F$1186</f>
        <v>222</v>
      </c>
      <c r="D1187" s="17">
        <f>Github!G$1186</f>
        <v>1839</v>
      </c>
      <c r="E1187" s="17">
        <f>Github!F$1186+Github!G$1186</f>
        <v>2061</v>
      </c>
      <c r="F1187" s="18">
        <f t="shared" si="1"/>
        <v>0.12</v>
      </c>
      <c r="G1187" s="17" t="str">
        <f>Github!H$1186</f>
        <v>Algorithms</v>
      </c>
      <c r="H1187" s="17" t="b">
        <f>Github!D$1186</f>
        <v>0</v>
      </c>
      <c r="I1187" s="17" t="str">
        <f>Github!E$1186</f>
        <v>Easy</v>
      </c>
      <c r="J1187" s="17" t="str">
        <f>ROUND(Github!N$1186, 2)&amp;"%"</f>
        <v>0%</v>
      </c>
      <c r="K1187" s="17">
        <f>Github!O$1186</f>
        <v>58.69332733</v>
      </c>
      <c r="L1187" s="17">
        <f>Github!P$1186</f>
        <v>41710</v>
      </c>
    </row>
    <row r="1188">
      <c r="A1188" s="17">
        <f>Github!J$1187</f>
        <v>1186</v>
      </c>
      <c r="B1188" s="34" t="str">
        <f>HYPERLINK(CONCAT("http://leetcode.com/problems/",Github!C$1187), Github!B$1187)</f>
        <v>Maximum Subarray Sum with One Deletion</v>
      </c>
      <c r="C1188" s="17">
        <f>Github!F$1187</f>
        <v>1181</v>
      </c>
      <c r="D1188" s="17">
        <f>Github!G$1187</f>
        <v>42</v>
      </c>
      <c r="E1188" s="17">
        <f>Github!F$1187+Github!G$1187</f>
        <v>1223</v>
      </c>
      <c r="F1188" s="18">
        <f t="shared" si="1"/>
        <v>28.12</v>
      </c>
      <c r="G1188" s="17" t="str">
        <f>Github!H$1187</f>
        <v>Algorithms</v>
      </c>
      <c r="H1188" s="17" t="b">
        <f>Github!D$1187</f>
        <v>0</v>
      </c>
      <c r="I1188" s="17" t="str">
        <f>Github!E$1187</f>
        <v>Medium</v>
      </c>
      <c r="J1188" s="17" t="str">
        <f>ROUND(Github!N$1187, 2)&amp;"%"</f>
        <v>0%</v>
      </c>
      <c r="K1188" s="17">
        <f>Github!O$1187</f>
        <v>40.51604733</v>
      </c>
      <c r="L1188" s="17">
        <f>Github!P$1187</f>
        <v>30714</v>
      </c>
    </row>
    <row r="1189">
      <c r="A1189" s="17">
        <f>Github!J$1188</f>
        <v>1187</v>
      </c>
      <c r="B1189" s="34" t="str">
        <f>HYPERLINK(CONCAT("http://leetcode.com/problems/",Github!C$1188), Github!B$1188)</f>
        <v>Make Array Strictly Increasing</v>
      </c>
      <c r="C1189" s="17">
        <f>Github!F$1188</f>
        <v>578</v>
      </c>
      <c r="D1189" s="17">
        <f>Github!G$1188</f>
        <v>16</v>
      </c>
      <c r="E1189" s="17">
        <f>Github!F$1188+Github!G$1188</f>
        <v>594</v>
      </c>
      <c r="F1189" s="18">
        <f t="shared" si="1"/>
        <v>36.13</v>
      </c>
      <c r="G1189" s="17" t="str">
        <f>Github!H$1188</f>
        <v>Algorithms</v>
      </c>
      <c r="H1189" s="17" t="b">
        <f>Github!D$1188</f>
        <v>0</v>
      </c>
      <c r="I1189" s="17" t="str">
        <f>Github!E$1188</f>
        <v>Hard</v>
      </c>
      <c r="J1189" s="17" t="str">
        <f>ROUND(Github!N$1188, 2)&amp;"%"</f>
        <v>0%</v>
      </c>
      <c r="K1189" s="17">
        <f>Github!O$1188</f>
        <v>44.52428743</v>
      </c>
      <c r="L1189" s="17">
        <f>Github!P$1188</f>
        <v>11091</v>
      </c>
    </row>
    <row r="1190">
      <c r="A1190" s="17">
        <f>Github!J$1189</f>
        <v>1188</v>
      </c>
      <c r="B1190" s="34" t="str">
        <f>HYPERLINK(CONCAT("http://leetcode.com/problems/",Github!C$1189), Github!B$1189)</f>
        <v>Design Bounded Blocking Queue</v>
      </c>
      <c r="C1190" s="17">
        <f>Github!F$1189</f>
        <v>393</v>
      </c>
      <c r="D1190" s="17">
        <f>Github!G$1189</f>
        <v>31</v>
      </c>
      <c r="E1190" s="17">
        <f>Github!F$1189+Github!G$1189</f>
        <v>424</v>
      </c>
      <c r="F1190" s="18">
        <f t="shared" si="1"/>
        <v>12.68</v>
      </c>
      <c r="G1190" s="17" t="str">
        <f>Github!H$1189</f>
        <v>Concurrency</v>
      </c>
      <c r="H1190" s="17" t="b">
        <f>Github!D$1189</f>
        <v>1</v>
      </c>
      <c r="I1190" s="17" t="str">
        <f>Github!E$1189</f>
        <v>Medium</v>
      </c>
      <c r="J1190" s="17" t="str">
        <f>ROUND(Github!N$1189, 2)&amp;"%"</f>
        <v>0%</v>
      </c>
      <c r="K1190" s="17">
        <f>Github!O$1189</f>
        <v>72.95354803</v>
      </c>
      <c r="L1190" s="17">
        <f>Github!P$1189</f>
        <v>34410</v>
      </c>
    </row>
    <row r="1191">
      <c r="A1191" s="17">
        <f>Github!J$1190</f>
        <v>1189</v>
      </c>
      <c r="B1191" s="34" t="str">
        <f>HYPERLINK(CONCAT("http://leetcode.com/problems/",Github!C$1190), Github!B$1190)</f>
        <v>Maximum Number of Balloons</v>
      </c>
      <c r="C1191" s="17">
        <f>Github!F$1190</f>
        <v>977</v>
      </c>
      <c r="D1191" s="17">
        <f>Github!G$1190</f>
        <v>66</v>
      </c>
      <c r="E1191" s="17">
        <f>Github!F$1190+Github!G$1190</f>
        <v>1043</v>
      </c>
      <c r="F1191" s="18">
        <f t="shared" si="1"/>
        <v>14.8</v>
      </c>
      <c r="G1191" s="17" t="str">
        <f>Github!H$1190</f>
        <v>Algorithms</v>
      </c>
      <c r="H1191" s="17" t="b">
        <f>Github!D$1190</f>
        <v>0</v>
      </c>
      <c r="I1191" s="17" t="str">
        <f>Github!E$1190</f>
        <v>Easy</v>
      </c>
      <c r="J1191" s="17" t="str">
        <f>ROUND(Github!N$1190, 2)&amp;"%"</f>
        <v>0%</v>
      </c>
      <c r="K1191" s="17">
        <f>Github!O$1190</f>
        <v>62.55441407</v>
      </c>
      <c r="L1191" s="17">
        <f>Github!P$1190</f>
        <v>107775</v>
      </c>
    </row>
    <row r="1192">
      <c r="A1192" s="17">
        <f>Github!J$1191</f>
        <v>1190</v>
      </c>
      <c r="B1192" s="34" t="str">
        <f>HYPERLINK(CONCAT("http://leetcode.com/problems/",Github!C$1191), Github!B$1191)</f>
        <v>Reverse Substrings Between Each Pair of Parentheses</v>
      </c>
      <c r="C1192" s="17">
        <f>Github!F$1191</f>
        <v>1218</v>
      </c>
      <c r="D1192" s="17">
        <f>Github!G$1191</f>
        <v>34</v>
      </c>
      <c r="E1192" s="17">
        <f>Github!F$1191+Github!G$1191</f>
        <v>1252</v>
      </c>
      <c r="F1192" s="18">
        <f t="shared" si="1"/>
        <v>35.82</v>
      </c>
      <c r="G1192" s="17" t="str">
        <f>Github!H$1191</f>
        <v>Algorithms</v>
      </c>
      <c r="H1192" s="17" t="b">
        <f>Github!D$1191</f>
        <v>0</v>
      </c>
      <c r="I1192" s="17" t="str">
        <f>Github!E$1191</f>
        <v>Medium</v>
      </c>
      <c r="J1192" s="17" t="str">
        <f>ROUND(Github!N$1191, 2)&amp;"%"</f>
        <v>0%</v>
      </c>
      <c r="K1192" s="17">
        <f>Github!O$1191</f>
        <v>65.60086324</v>
      </c>
      <c r="L1192" s="17">
        <f>Github!P$1191</f>
        <v>46204</v>
      </c>
    </row>
    <row r="1193">
      <c r="A1193" s="17">
        <f>Github!J$1192</f>
        <v>1191</v>
      </c>
      <c r="B1193" s="34" t="str">
        <f>HYPERLINK(CONCAT("http://leetcode.com/problems/",Github!C$1192), Github!B$1192)</f>
        <v>K-Concatenation Maximum Sum</v>
      </c>
      <c r="C1193" s="17">
        <f>Github!F$1192</f>
        <v>852</v>
      </c>
      <c r="D1193" s="17">
        <f>Github!G$1192</f>
        <v>80</v>
      </c>
      <c r="E1193" s="17">
        <f>Github!F$1192+Github!G$1192</f>
        <v>932</v>
      </c>
      <c r="F1193" s="18">
        <f t="shared" si="1"/>
        <v>10.65</v>
      </c>
      <c r="G1193" s="17" t="str">
        <f>Github!H$1192</f>
        <v>Algorithms</v>
      </c>
      <c r="H1193" s="17" t="b">
        <f>Github!D$1192</f>
        <v>0</v>
      </c>
      <c r="I1193" s="17" t="str">
        <f>Github!E$1192</f>
        <v>Medium</v>
      </c>
      <c r="J1193" s="17" t="str">
        <f>ROUND(Github!N$1192, 2)&amp;"%"</f>
        <v>0%</v>
      </c>
      <c r="K1193" s="17">
        <f>Github!O$1192</f>
        <v>24.13375358</v>
      </c>
      <c r="L1193" s="17">
        <f>Github!P$1192</f>
        <v>23507</v>
      </c>
    </row>
    <row r="1194">
      <c r="A1194" s="17">
        <f>Github!J$1193</f>
        <v>1192</v>
      </c>
      <c r="B1194" s="34" t="str">
        <f>HYPERLINK(CONCAT("http://leetcode.com/problems/",Github!C$1193), Github!B$1193)</f>
        <v>Critical Connections in a Network</v>
      </c>
      <c r="C1194" s="17">
        <f>Github!F$1193</f>
        <v>3395</v>
      </c>
      <c r="D1194" s="17">
        <f>Github!G$1193</f>
        <v>138</v>
      </c>
      <c r="E1194" s="17">
        <f>Github!F$1193+Github!G$1193</f>
        <v>3533</v>
      </c>
      <c r="F1194" s="18">
        <f t="shared" si="1"/>
        <v>24.6</v>
      </c>
      <c r="G1194" s="17" t="str">
        <f>Github!H$1193</f>
        <v>Algorithms</v>
      </c>
      <c r="H1194" s="17" t="b">
        <f>Github!D$1193</f>
        <v>0</v>
      </c>
      <c r="I1194" s="17" t="str">
        <f>Github!E$1193</f>
        <v>Hard</v>
      </c>
      <c r="J1194" s="17" t="str">
        <f>ROUND(Github!N$1193, 2)&amp;"%"</f>
        <v>0%</v>
      </c>
      <c r="K1194" s="17">
        <f>Github!O$1193</f>
        <v>52.03385871</v>
      </c>
      <c r="L1194" s="17">
        <f>Github!P$1193</f>
        <v>142553</v>
      </c>
    </row>
    <row r="1195">
      <c r="A1195" s="17">
        <f>Github!J$1194</f>
        <v>1193</v>
      </c>
      <c r="B1195" s="34" t="str">
        <f>HYPERLINK(CONCAT("http://leetcode.com/problems/",Github!C$1194), Github!B$1194)</f>
        <v>Monthly Transactions I</v>
      </c>
      <c r="C1195" s="17">
        <f>Github!F$1194</f>
        <v>100</v>
      </c>
      <c r="D1195" s="17">
        <f>Github!G$1194</f>
        <v>20</v>
      </c>
      <c r="E1195" s="17">
        <f>Github!F$1194+Github!G$1194</f>
        <v>120</v>
      </c>
      <c r="F1195" s="18">
        <f t="shared" si="1"/>
        <v>5</v>
      </c>
      <c r="G1195" s="17" t="str">
        <f>Github!H$1194</f>
        <v>Database</v>
      </c>
      <c r="H1195" s="17" t="b">
        <f>Github!D$1194</f>
        <v>1</v>
      </c>
      <c r="I1195" s="17" t="str">
        <f>Github!E$1194</f>
        <v>Medium</v>
      </c>
      <c r="J1195" s="17" t="str">
        <f>ROUND(Github!N$1194, 2)&amp;"%"</f>
        <v>0%</v>
      </c>
      <c r="K1195" s="17">
        <f>Github!O$1194</f>
        <v>67.46749025</v>
      </c>
      <c r="L1195" s="17">
        <f>Github!P$1194</f>
        <v>20753</v>
      </c>
    </row>
    <row r="1196">
      <c r="A1196" s="17">
        <f>Github!J$1195</f>
        <v>1194</v>
      </c>
      <c r="B1196" s="34" t="str">
        <f>HYPERLINK(CONCAT("http://leetcode.com/problems/",Github!C$1195), Github!B$1195)</f>
        <v>Tournament Winners</v>
      </c>
      <c r="C1196" s="17">
        <f>Github!F$1195</f>
        <v>88</v>
      </c>
      <c r="D1196" s="17">
        <f>Github!G$1195</f>
        <v>42</v>
      </c>
      <c r="E1196" s="17">
        <f>Github!F$1195+Github!G$1195</f>
        <v>130</v>
      </c>
      <c r="F1196" s="18">
        <f t="shared" si="1"/>
        <v>2.1</v>
      </c>
      <c r="G1196" s="17" t="str">
        <f>Github!H$1195</f>
        <v>Database</v>
      </c>
      <c r="H1196" s="17" t="b">
        <f>Github!D$1195</f>
        <v>1</v>
      </c>
      <c r="I1196" s="17" t="str">
        <f>Github!E$1195</f>
        <v>Hard</v>
      </c>
      <c r="J1196" s="17" t="str">
        <f>ROUND(Github!N$1195, 2)&amp;"%"</f>
        <v>0%</v>
      </c>
      <c r="K1196" s="17">
        <f>Github!O$1195</f>
        <v>52.00752823</v>
      </c>
      <c r="L1196" s="17">
        <f>Github!P$1195</f>
        <v>12435</v>
      </c>
    </row>
    <row r="1197">
      <c r="A1197" s="17">
        <f>Github!J$1196</f>
        <v>1195</v>
      </c>
      <c r="B1197" s="34" t="str">
        <f>HYPERLINK(CONCAT("http://leetcode.com/problems/",Github!C$1196), Github!B$1196)</f>
        <v>Fizz Buzz Multithreaded</v>
      </c>
      <c r="C1197" s="17">
        <f>Github!F$1196</f>
        <v>337</v>
      </c>
      <c r="D1197" s="17">
        <f>Github!G$1196</f>
        <v>265</v>
      </c>
      <c r="E1197" s="17">
        <f>Github!F$1196+Github!G$1196</f>
        <v>602</v>
      </c>
      <c r="F1197" s="18">
        <f t="shared" si="1"/>
        <v>1.27</v>
      </c>
      <c r="G1197" s="17" t="str">
        <f>Github!H$1196</f>
        <v>Concurrency</v>
      </c>
      <c r="H1197" s="17" t="b">
        <f>Github!D$1196</f>
        <v>0</v>
      </c>
      <c r="I1197" s="17" t="str">
        <f>Github!E$1196</f>
        <v>Medium</v>
      </c>
      <c r="J1197" s="17" t="str">
        <f>ROUND(Github!N$1196, 2)&amp;"%"</f>
        <v>0%</v>
      </c>
      <c r="K1197" s="17">
        <f>Github!O$1196</f>
        <v>72.03604088</v>
      </c>
      <c r="L1197" s="17">
        <f>Github!P$1196</f>
        <v>26781</v>
      </c>
    </row>
    <row r="1198">
      <c r="A1198" s="17">
        <f>Github!J$1197</f>
        <v>1196</v>
      </c>
      <c r="B1198" s="34" t="str">
        <f>HYPERLINK(CONCAT("http://leetcode.com/problems/",Github!C$1197), Github!B$1197)</f>
        <v>How Many Apples Can You Put into the Basket</v>
      </c>
      <c r="C1198" s="17">
        <f>Github!F$1197</f>
        <v>145</v>
      </c>
      <c r="D1198" s="17">
        <f>Github!G$1197</f>
        <v>13</v>
      </c>
      <c r="E1198" s="17">
        <f>Github!F$1197+Github!G$1197</f>
        <v>158</v>
      </c>
      <c r="F1198" s="18">
        <f t="shared" si="1"/>
        <v>11.15</v>
      </c>
      <c r="G1198" s="17" t="str">
        <f>Github!H$1197</f>
        <v>Algorithms</v>
      </c>
      <c r="H1198" s="17" t="b">
        <f>Github!D$1197</f>
        <v>1</v>
      </c>
      <c r="I1198" s="17" t="str">
        <f>Github!E$1197</f>
        <v>Easy</v>
      </c>
      <c r="J1198" s="17" t="str">
        <f>ROUND(Github!N$1197, 2)&amp;"%"</f>
        <v>0%</v>
      </c>
      <c r="K1198" s="17">
        <f>Github!O$1197</f>
        <v>67.5461451</v>
      </c>
      <c r="L1198" s="17">
        <f>Github!P$1197</f>
        <v>18407</v>
      </c>
    </row>
    <row r="1199">
      <c r="A1199" s="17">
        <f>Github!J$1198</f>
        <v>1197</v>
      </c>
      <c r="B1199" s="34" t="str">
        <f>HYPERLINK(CONCAT("http://leetcode.com/problems/",Github!C$1198), Github!B$1198)</f>
        <v>Minimum Knight Moves</v>
      </c>
      <c r="C1199" s="17">
        <f>Github!F$1198</f>
        <v>1063</v>
      </c>
      <c r="D1199" s="17">
        <f>Github!G$1198</f>
        <v>325</v>
      </c>
      <c r="E1199" s="17">
        <f>Github!F$1198+Github!G$1198</f>
        <v>1388</v>
      </c>
      <c r="F1199" s="18">
        <f t="shared" si="1"/>
        <v>3.27</v>
      </c>
      <c r="G1199" s="17" t="str">
        <f>Github!H$1198</f>
        <v>Algorithms</v>
      </c>
      <c r="H1199" s="17" t="b">
        <f>Github!D$1198</f>
        <v>1</v>
      </c>
      <c r="I1199" s="17" t="str">
        <f>Github!E$1198</f>
        <v>Medium</v>
      </c>
      <c r="J1199" s="17" t="str">
        <f>ROUND(Github!N$1198, 2)&amp;"%"</f>
        <v>0%</v>
      </c>
      <c r="K1199" s="17">
        <f>Github!O$1198</f>
        <v>39.51212256</v>
      </c>
      <c r="L1199" s="17">
        <f>Github!P$1198</f>
        <v>106256</v>
      </c>
    </row>
    <row r="1200">
      <c r="A1200" s="17">
        <f>Github!J$1199</f>
        <v>1198</v>
      </c>
      <c r="B1200" s="34" t="str">
        <f>HYPERLINK(CONCAT("http://leetcode.com/problems/",Github!C$1199), Github!B$1199)</f>
        <v>Find Smallest Common Element in All Rows</v>
      </c>
      <c r="C1200" s="17">
        <f>Github!F$1199</f>
        <v>338</v>
      </c>
      <c r="D1200" s="17">
        <f>Github!G$1199</f>
        <v>24</v>
      </c>
      <c r="E1200" s="17">
        <f>Github!F$1199+Github!G$1199</f>
        <v>362</v>
      </c>
      <c r="F1200" s="18">
        <f t="shared" si="1"/>
        <v>14.08</v>
      </c>
      <c r="G1200" s="17" t="str">
        <f>Github!H$1199</f>
        <v>Algorithms</v>
      </c>
      <c r="H1200" s="17" t="b">
        <f>Github!D$1199</f>
        <v>1</v>
      </c>
      <c r="I1200" s="17" t="str">
        <f>Github!E$1199</f>
        <v>Medium</v>
      </c>
      <c r="J1200" s="17" t="str">
        <f>ROUND(Github!N$1199, 2)&amp;"%"</f>
        <v>1%</v>
      </c>
      <c r="K1200" s="17">
        <f>Github!O$1199</f>
        <v>75.99398548</v>
      </c>
      <c r="L1200" s="17">
        <f>Github!P$1199</f>
        <v>26280</v>
      </c>
    </row>
    <row r="1201">
      <c r="A1201" s="17">
        <f>Github!J$1200</f>
        <v>1199</v>
      </c>
      <c r="B1201" s="34" t="str">
        <f>HYPERLINK(CONCAT("http://leetcode.com/problems/",Github!C$1200), Github!B$1200)</f>
        <v>Minimum Time to Build Blocks</v>
      </c>
      <c r="C1201" s="17">
        <f>Github!F$1200</f>
        <v>139</v>
      </c>
      <c r="D1201" s="17">
        <f>Github!G$1200</f>
        <v>18</v>
      </c>
      <c r="E1201" s="17">
        <f>Github!F$1200+Github!G$1200</f>
        <v>157</v>
      </c>
      <c r="F1201" s="18">
        <f t="shared" si="1"/>
        <v>7.72</v>
      </c>
      <c r="G1201" s="17" t="str">
        <f>Github!H$1200</f>
        <v>Algorithms</v>
      </c>
      <c r="H1201" s="17" t="b">
        <f>Github!D$1200</f>
        <v>1</v>
      </c>
      <c r="I1201" s="17" t="str">
        <f>Github!E$1200</f>
        <v>Hard</v>
      </c>
      <c r="J1201" s="17" t="str">
        <f>ROUND(Github!N$1200, 2)&amp;"%"</f>
        <v>0%</v>
      </c>
      <c r="K1201" s="17">
        <f>Github!O$1200</f>
        <v>40.15662651</v>
      </c>
      <c r="L1201" s="17">
        <f>Github!P$1200</f>
        <v>3333</v>
      </c>
    </row>
    <row r="1202">
      <c r="A1202" s="17">
        <f>Github!J$1201</f>
        <v>1200</v>
      </c>
      <c r="B1202" s="34" t="str">
        <f>HYPERLINK(CONCAT("http://leetcode.com/problems/",Github!C$1201), Github!B$1201)</f>
        <v>Minimum Absolute Difference</v>
      </c>
      <c r="C1202" s="17">
        <f>Github!F$1201</f>
        <v>1414</v>
      </c>
      <c r="D1202" s="17">
        <f>Github!G$1201</f>
        <v>58</v>
      </c>
      <c r="E1202" s="17">
        <f>Github!F$1201+Github!G$1201</f>
        <v>1472</v>
      </c>
      <c r="F1202" s="18">
        <f t="shared" si="1"/>
        <v>24.38</v>
      </c>
      <c r="G1202" s="17" t="str">
        <f>Github!H$1201</f>
        <v>Algorithms</v>
      </c>
      <c r="H1202" s="17" t="b">
        <f>Github!D$1201</f>
        <v>0</v>
      </c>
      <c r="I1202" s="17" t="str">
        <f>Github!E$1201</f>
        <v>Easy</v>
      </c>
      <c r="J1202" s="17" t="str">
        <f>ROUND(Github!N$1201, 2)&amp;"%"</f>
        <v>0%</v>
      </c>
      <c r="K1202" s="17">
        <f>Github!O$1201</f>
        <v>69.83183768</v>
      </c>
      <c r="L1202" s="17">
        <f>Github!P$1201</f>
        <v>115399</v>
      </c>
    </row>
    <row r="1203">
      <c r="A1203" s="17">
        <f>Github!J$1202</f>
        <v>1201</v>
      </c>
      <c r="B1203" s="34" t="str">
        <f>HYPERLINK(CONCAT("http://leetcode.com/problems/",Github!C$1202), Github!B$1202)</f>
        <v>Ugly Number III</v>
      </c>
      <c r="C1203" s="17">
        <f>Github!F$1202</f>
        <v>716</v>
      </c>
      <c r="D1203" s="17">
        <f>Github!G$1202</f>
        <v>384</v>
      </c>
      <c r="E1203" s="17">
        <f>Github!F$1202+Github!G$1202</f>
        <v>1100</v>
      </c>
      <c r="F1203" s="18">
        <f t="shared" si="1"/>
        <v>1.86</v>
      </c>
      <c r="G1203" s="17" t="str">
        <f>Github!H$1202</f>
        <v>Algorithms</v>
      </c>
      <c r="H1203" s="17" t="b">
        <f>Github!D$1202</f>
        <v>0</v>
      </c>
      <c r="I1203" s="17" t="str">
        <f>Github!E$1202</f>
        <v>Medium</v>
      </c>
      <c r="J1203" s="17" t="str">
        <f>ROUND(Github!N$1202, 2)&amp;"%"</f>
        <v>0%</v>
      </c>
      <c r="K1203" s="17">
        <f>Github!O$1202</f>
        <v>27.68582205</v>
      </c>
      <c r="L1203" s="17">
        <f>Github!P$1202</f>
        <v>18717</v>
      </c>
    </row>
    <row r="1204">
      <c r="A1204" s="17">
        <f>Github!J$1203</f>
        <v>1202</v>
      </c>
      <c r="B1204" s="34" t="str">
        <f>HYPERLINK(CONCAT("http://leetcode.com/problems/",Github!C$1203), Github!B$1203)</f>
        <v>Smallest String With Swaps</v>
      </c>
      <c r="C1204" s="17">
        <f>Github!F$1203</f>
        <v>1431</v>
      </c>
      <c r="D1204" s="17">
        <f>Github!G$1203</f>
        <v>49</v>
      </c>
      <c r="E1204" s="17">
        <f>Github!F$1203+Github!G$1203</f>
        <v>1480</v>
      </c>
      <c r="F1204" s="18">
        <f t="shared" si="1"/>
        <v>29.2</v>
      </c>
      <c r="G1204" s="17" t="str">
        <f>Github!H$1203</f>
        <v>Algorithms</v>
      </c>
      <c r="H1204" s="17" t="b">
        <f>Github!D$1203</f>
        <v>0</v>
      </c>
      <c r="I1204" s="17" t="str">
        <f>Github!E$1203</f>
        <v>Medium</v>
      </c>
      <c r="J1204" s="17" t="str">
        <f>ROUND(Github!N$1203, 2)&amp;"%"</f>
        <v>0%</v>
      </c>
      <c r="K1204" s="17">
        <f>Github!O$1203</f>
        <v>52.39041396</v>
      </c>
      <c r="L1204" s="17">
        <f>Github!P$1203</f>
        <v>42978</v>
      </c>
    </row>
    <row r="1205">
      <c r="A1205" s="17">
        <f>Github!J$1204</f>
        <v>1203</v>
      </c>
      <c r="B1205" s="34" t="str">
        <f>HYPERLINK(CONCAT("http://leetcode.com/problems/",Github!C$1204), Github!B$1204)</f>
        <v>Sort Items by Groups Respecting Dependencies</v>
      </c>
      <c r="C1205" s="17">
        <f>Github!F$1204</f>
        <v>560</v>
      </c>
      <c r="D1205" s="17">
        <f>Github!G$1204</f>
        <v>83</v>
      </c>
      <c r="E1205" s="17">
        <f>Github!F$1204+Github!G$1204</f>
        <v>643</v>
      </c>
      <c r="F1205" s="18">
        <f t="shared" si="1"/>
        <v>6.75</v>
      </c>
      <c r="G1205" s="17" t="str">
        <f>Github!H$1204</f>
        <v>Algorithms</v>
      </c>
      <c r="H1205" s="17" t="b">
        <f>Github!D$1204</f>
        <v>0</v>
      </c>
      <c r="I1205" s="17" t="str">
        <f>Github!E$1204</f>
        <v>Hard</v>
      </c>
      <c r="J1205" s="17" t="str">
        <f>ROUND(Github!N$1204, 2)&amp;"%"</f>
        <v>0%</v>
      </c>
      <c r="K1205" s="17">
        <f>Github!O$1204</f>
        <v>49.23360164</v>
      </c>
      <c r="L1205" s="17">
        <f>Github!P$1204</f>
        <v>11499</v>
      </c>
    </row>
    <row r="1206">
      <c r="A1206" s="17">
        <f>Github!J$1205</f>
        <v>1204</v>
      </c>
      <c r="B1206" s="34" t="str">
        <f>HYPERLINK(CONCAT("http://leetcode.com/problems/",Github!C$1205), Github!B$1205)</f>
        <v>Last Person to Fit in the Bus</v>
      </c>
      <c r="C1206" s="17">
        <f>Github!F$1205</f>
        <v>188</v>
      </c>
      <c r="D1206" s="17">
        <f>Github!G$1205</f>
        <v>16</v>
      </c>
      <c r="E1206" s="17">
        <f>Github!F$1205+Github!G$1205</f>
        <v>204</v>
      </c>
      <c r="F1206" s="18">
        <f t="shared" si="1"/>
        <v>11.75</v>
      </c>
      <c r="G1206" s="17" t="str">
        <f>Github!H$1205</f>
        <v>Database</v>
      </c>
      <c r="H1206" s="17" t="b">
        <f>Github!D$1205</f>
        <v>1</v>
      </c>
      <c r="I1206" s="17" t="str">
        <f>Github!E$1205</f>
        <v>Medium</v>
      </c>
      <c r="J1206" s="17" t="str">
        <f>ROUND(Github!N$1205, 2)&amp;"%"</f>
        <v>0%</v>
      </c>
      <c r="K1206" s="17">
        <f>Github!O$1205</f>
        <v>73.55032603</v>
      </c>
      <c r="L1206" s="17">
        <f>Github!P$1205</f>
        <v>27410</v>
      </c>
    </row>
    <row r="1207">
      <c r="A1207" s="17">
        <f>Github!J$1206</f>
        <v>1205</v>
      </c>
      <c r="B1207" s="34" t="str">
        <f>HYPERLINK(CONCAT("http://leetcode.com/problems/",Github!C$1206), Github!B$1206)</f>
        <v>Monthly Transactions II</v>
      </c>
      <c r="C1207" s="17">
        <f>Github!F$1206</f>
        <v>98</v>
      </c>
      <c r="D1207" s="17">
        <f>Github!G$1206</f>
        <v>366</v>
      </c>
      <c r="E1207" s="17">
        <f>Github!F$1206+Github!G$1206</f>
        <v>464</v>
      </c>
      <c r="F1207" s="18">
        <f t="shared" si="1"/>
        <v>0.27</v>
      </c>
      <c r="G1207" s="17" t="str">
        <f>Github!H$1206</f>
        <v>Database</v>
      </c>
      <c r="H1207" s="17" t="b">
        <f>Github!D$1206</f>
        <v>1</v>
      </c>
      <c r="I1207" s="17" t="str">
        <f>Github!E$1206</f>
        <v>Medium</v>
      </c>
      <c r="J1207" s="17" t="str">
        <f>ROUND(Github!N$1206, 2)&amp;"%"</f>
        <v>0%</v>
      </c>
      <c r="K1207" s="17">
        <f>Github!O$1206</f>
        <v>44.78928858</v>
      </c>
      <c r="L1207" s="17">
        <f>Github!P$1206</f>
        <v>14518</v>
      </c>
    </row>
    <row r="1208">
      <c r="A1208" s="17">
        <f>Github!J$1207</f>
        <v>1206</v>
      </c>
      <c r="B1208" s="34" t="str">
        <f>HYPERLINK(CONCAT("http://leetcode.com/problems/",Github!C$1207), Github!B$1207)</f>
        <v>Design Skiplist</v>
      </c>
      <c r="C1208" s="17">
        <f>Github!F$1207</f>
        <v>378</v>
      </c>
      <c r="D1208" s="17">
        <f>Github!G$1207</f>
        <v>45</v>
      </c>
      <c r="E1208" s="17">
        <f>Github!F$1207+Github!G$1207</f>
        <v>423</v>
      </c>
      <c r="F1208" s="18">
        <f t="shared" si="1"/>
        <v>8.4</v>
      </c>
      <c r="G1208" s="17" t="str">
        <f>Github!H$1207</f>
        <v>Algorithms</v>
      </c>
      <c r="H1208" s="17" t="b">
        <f>Github!D$1207</f>
        <v>0</v>
      </c>
      <c r="I1208" s="17" t="str">
        <f>Github!E$1207</f>
        <v>Hard</v>
      </c>
      <c r="J1208" s="17" t="str">
        <f>ROUND(Github!N$1207, 2)&amp;"%"</f>
        <v>0%</v>
      </c>
      <c r="K1208" s="17">
        <f>Github!O$1207</f>
        <v>59.72767607</v>
      </c>
      <c r="L1208" s="17">
        <f>Github!P$1207</f>
        <v>11712</v>
      </c>
    </row>
    <row r="1209">
      <c r="A1209" s="17">
        <f>Github!J$1208</f>
        <v>1207</v>
      </c>
      <c r="B1209" s="34" t="str">
        <f>HYPERLINK(CONCAT("http://leetcode.com/problems/",Github!C$1208), Github!B$1208)</f>
        <v>Unique Number of Occurrences</v>
      </c>
      <c r="C1209" s="17">
        <f>Github!F$1208</f>
        <v>1301</v>
      </c>
      <c r="D1209" s="17">
        <f>Github!G$1208</f>
        <v>33</v>
      </c>
      <c r="E1209" s="17">
        <f>Github!F$1208+Github!G$1208</f>
        <v>1334</v>
      </c>
      <c r="F1209" s="18">
        <f t="shared" si="1"/>
        <v>39.42</v>
      </c>
      <c r="G1209" s="17" t="str">
        <f>Github!H$1208</f>
        <v>Algorithms</v>
      </c>
      <c r="H1209" s="17" t="b">
        <f>Github!D$1208</f>
        <v>0</v>
      </c>
      <c r="I1209" s="17" t="str">
        <f>Github!E$1208</f>
        <v>Easy</v>
      </c>
      <c r="J1209" s="17" t="str">
        <f>ROUND(Github!N$1208, 2)&amp;"%"</f>
        <v>0%</v>
      </c>
      <c r="K1209" s="17">
        <f>Github!O$1208</f>
        <v>71.98717356</v>
      </c>
      <c r="L1209" s="17">
        <f>Github!P$1208</f>
        <v>116738</v>
      </c>
    </row>
    <row r="1210">
      <c r="A1210" s="17">
        <f>Github!J$1209</f>
        <v>1208</v>
      </c>
      <c r="B1210" s="34" t="str">
        <f>HYPERLINK(CONCAT("http://leetcode.com/problems/",Github!C$1209), Github!B$1209)</f>
        <v>Get Equal Substrings Within Budget</v>
      </c>
      <c r="C1210" s="17">
        <f>Github!F$1209</f>
        <v>606</v>
      </c>
      <c r="D1210" s="17">
        <f>Github!G$1209</f>
        <v>42</v>
      </c>
      <c r="E1210" s="17">
        <f>Github!F$1209+Github!G$1209</f>
        <v>648</v>
      </c>
      <c r="F1210" s="18">
        <f t="shared" si="1"/>
        <v>14.43</v>
      </c>
      <c r="G1210" s="17" t="str">
        <f>Github!H$1209</f>
        <v>Algorithms</v>
      </c>
      <c r="H1210" s="17" t="b">
        <f>Github!D$1209</f>
        <v>0</v>
      </c>
      <c r="I1210" s="17" t="str">
        <f>Github!E$1209</f>
        <v>Medium</v>
      </c>
      <c r="J1210" s="17" t="str">
        <f>ROUND(Github!N$1209, 2)&amp;"%"</f>
        <v>0%</v>
      </c>
      <c r="K1210" s="17">
        <f>Github!O$1209</f>
        <v>46.33341665</v>
      </c>
      <c r="L1210" s="17">
        <f>Github!P$1209</f>
        <v>27807</v>
      </c>
    </row>
    <row r="1211">
      <c r="A1211" s="17">
        <f>Github!J$1210</f>
        <v>1209</v>
      </c>
      <c r="B1211" s="34" t="str">
        <f>HYPERLINK(CONCAT("http://leetcode.com/problems/",Github!C$1210), Github!B$1210)</f>
        <v>Remove All Adjacent Duplicates in String II</v>
      </c>
      <c r="C1211" s="17">
        <f>Github!F$1210</f>
        <v>2470</v>
      </c>
      <c r="D1211" s="17">
        <f>Github!G$1210</f>
        <v>48</v>
      </c>
      <c r="E1211" s="17">
        <f>Github!F$1210+Github!G$1210</f>
        <v>2518</v>
      </c>
      <c r="F1211" s="18">
        <f t="shared" si="1"/>
        <v>51.46</v>
      </c>
      <c r="G1211" s="17" t="str">
        <f>Github!H$1210</f>
        <v>Algorithms</v>
      </c>
      <c r="H1211" s="17" t="b">
        <f>Github!D$1210</f>
        <v>0</v>
      </c>
      <c r="I1211" s="17" t="str">
        <f>Github!E$1210</f>
        <v>Medium</v>
      </c>
      <c r="J1211" s="17" t="str">
        <f>ROUND(Github!N$1210, 2)&amp;"%"</f>
        <v>0%</v>
      </c>
      <c r="K1211" s="17">
        <f>Github!O$1210</f>
        <v>56.02576136</v>
      </c>
      <c r="L1211" s="17">
        <f>Github!P$1210</f>
        <v>151016</v>
      </c>
    </row>
    <row r="1212">
      <c r="A1212" s="17">
        <f>Github!J$1211</f>
        <v>1210</v>
      </c>
      <c r="B1212" s="34" t="str">
        <f>HYPERLINK(CONCAT("http://leetcode.com/problems/",Github!C$1211), Github!B$1211)</f>
        <v>Minimum Moves to Reach Target with Rotations</v>
      </c>
      <c r="C1212" s="17">
        <f>Github!F$1211</f>
        <v>192</v>
      </c>
      <c r="D1212" s="17">
        <f>Github!G$1211</f>
        <v>56</v>
      </c>
      <c r="E1212" s="17">
        <f>Github!F$1211+Github!G$1211</f>
        <v>248</v>
      </c>
      <c r="F1212" s="18">
        <f t="shared" si="1"/>
        <v>3.43</v>
      </c>
      <c r="G1212" s="17" t="str">
        <f>Github!H$1211</f>
        <v>Algorithms</v>
      </c>
      <c r="H1212" s="17" t="b">
        <f>Github!D$1211</f>
        <v>0</v>
      </c>
      <c r="I1212" s="17" t="str">
        <f>Github!E$1211</f>
        <v>Hard</v>
      </c>
      <c r="J1212" s="17" t="str">
        <f>ROUND(Github!N$1211, 2)&amp;"%"</f>
        <v>0%</v>
      </c>
      <c r="K1212" s="17">
        <f>Github!O$1211</f>
        <v>47.93119794</v>
      </c>
      <c r="L1212" s="17">
        <f>Github!P$1211</f>
        <v>7078</v>
      </c>
    </row>
    <row r="1213">
      <c r="A1213" s="17">
        <f>Github!J$1212</f>
        <v>1211</v>
      </c>
      <c r="B1213" s="34" t="str">
        <f>HYPERLINK(CONCAT("http://leetcode.com/problems/",Github!C$1212), Github!B$1212)</f>
        <v>Queries Quality and Percentage</v>
      </c>
      <c r="C1213" s="17">
        <f>Github!F$1212</f>
        <v>85</v>
      </c>
      <c r="D1213" s="17">
        <f>Github!G$1212</f>
        <v>142</v>
      </c>
      <c r="E1213" s="17">
        <f>Github!F$1212+Github!G$1212</f>
        <v>227</v>
      </c>
      <c r="F1213" s="18">
        <f t="shared" si="1"/>
        <v>0.6</v>
      </c>
      <c r="G1213" s="17" t="str">
        <f>Github!H$1212</f>
        <v>Database</v>
      </c>
      <c r="H1213" s="17" t="b">
        <f>Github!D$1212</f>
        <v>1</v>
      </c>
      <c r="I1213" s="17" t="str">
        <f>Github!E$1212</f>
        <v>Easy</v>
      </c>
      <c r="J1213" s="17" t="str">
        <f>ROUND(Github!N$1212, 2)&amp;"%"</f>
        <v>0%</v>
      </c>
      <c r="K1213" s="17">
        <f>Github!O$1212</f>
        <v>70.67564645</v>
      </c>
      <c r="L1213" s="17">
        <f>Github!P$1212</f>
        <v>22877</v>
      </c>
    </row>
    <row r="1214">
      <c r="A1214" s="17">
        <f>Github!J$1213</f>
        <v>1212</v>
      </c>
      <c r="B1214" s="34" t="str">
        <f>HYPERLINK(CONCAT("http://leetcode.com/problems/",Github!C$1213), Github!B$1213)</f>
        <v>Team Scores in Football Tournament</v>
      </c>
      <c r="C1214" s="17">
        <f>Github!F$1213</f>
        <v>223</v>
      </c>
      <c r="D1214" s="17">
        <f>Github!G$1213</f>
        <v>19</v>
      </c>
      <c r="E1214" s="17">
        <f>Github!F$1213+Github!G$1213</f>
        <v>242</v>
      </c>
      <c r="F1214" s="18">
        <f t="shared" si="1"/>
        <v>11.74</v>
      </c>
      <c r="G1214" s="17" t="str">
        <f>Github!H$1213</f>
        <v>Database</v>
      </c>
      <c r="H1214" s="17" t="b">
        <f>Github!D$1213</f>
        <v>1</v>
      </c>
      <c r="I1214" s="17" t="str">
        <f>Github!E$1213</f>
        <v>Medium</v>
      </c>
      <c r="J1214" s="17" t="str">
        <f>ROUND(Github!N$1213, 2)&amp;"%"</f>
        <v>0%</v>
      </c>
      <c r="K1214" s="17">
        <f>Github!O$1213</f>
        <v>57.22550319</v>
      </c>
      <c r="L1214" s="17">
        <f>Github!P$1213</f>
        <v>23740</v>
      </c>
    </row>
    <row r="1215">
      <c r="A1215" s="17">
        <f>Github!J$1214</f>
        <v>1213</v>
      </c>
      <c r="B1215" s="34" t="str">
        <f>HYPERLINK(CONCAT("http://leetcode.com/problems/",Github!C$1214), Github!B$1214)</f>
        <v>Intersection of Three Sorted Arrays</v>
      </c>
      <c r="C1215" s="17">
        <f>Github!F$1214</f>
        <v>419</v>
      </c>
      <c r="D1215" s="17">
        <f>Github!G$1214</f>
        <v>22</v>
      </c>
      <c r="E1215" s="17">
        <f>Github!F$1214+Github!G$1214</f>
        <v>441</v>
      </c>
      <c r="F1215" s="18">
        <f t="shared" si="1"/>
        <v>19.05</v>
      </c>
      <c r="G1215" s="17" t="str">
        <f>Github!H$1214</f>
        <v>Algorithms</v>
      </c>
      <c r="H1215" s="17" t="b">
        <f>Github!D$1214</f>
        <v>1</v>
      </c>
      <c r="I1215" s="17" t="str">
        <f>Github!E$1214</f>
        <v>Easy</v>
      </c>
      <c r="J1215" s="17" t="str">
        <f>ROUND(Github!N$1214, 2)&amp;"%"</f>
        <v>0%</v>
      </c>
      <c r="K1215" s="17">
        <f>Github!O$1214</f>
        <v>79.91048723</v>
      </c>
      <c r="L1215" s="17">
        <f>Github!P$1214</f>
        <v>62848</v>
      </c>
    </row>
    <row r="1216">
      <c r="A1216" s="17">
        <f>Github!J$1215</f>
        <v>1214</v>
      </c>
      <c r="B1216" s="34" t="str">
        <f>HYPERLINK(CONCAT("http://leetcode.com/problems/",Github!C$1215), Github!B$1215)</f>
        <v>Two Sum BSTs</v>
      </c>
      <c r="C1216" s="17">
        <f>Github!F$1215</f>
        <v>374</v>
      </c>
      <c r="D1216" s="17">
        <f>Github!G$1215</f>
        <v>36</v>
      </c>
      <c r="E1216" s="17">
        <f>Github!F$1215+Github!G$1215</f>
        <v>410</v>
      </c>
      <c r="F1216" s="18">
        <f t="shared" si="1"/>
        <v>10.39</v>
      </c>
      <c r="G1216" s="17" t="str">
        <f>Github!H$1215</f>
        <v>Algorithms</v>
      </c>
      <c r="H1216" s="17" t="b">
        <f>Github!D$1215</f>
        <v>1</v>
      </c>
      <c r="I1216" s="17" t="str">
        <f>Github!E$1215</f>
        <v>Medium</v>
      </c>
      <c r="J1216" s="17" t="str">
        <f>ROUND(Github!N$1215, 2)&amp;"%"</f>
        <v>0%</v>
      </c>
      <c r="K1216" s="17">
        <f>Github!O$1215</f>
        <v>66.86156087</v>
      </c>
      <c r="L1216" s="17">
        <f>Github!P$1215</f>
        <v>31219</v>
      </c>
    </row>
    <row r="1217">
      <c r="A1217" s="17">
        <f>Github!J$1216</f>
        <v>1215</v>
      </c>
      <c r="B1217" s="34" t="str">
        <f>HYPERLINK(CONCAT("http://leetcode.com/problems/",Github!C$1216), Github!B$1216)</f>
        <v>Stepping Numbers</v>
      </c>
      <c r="C1217" s="17">
        <f>Github!F$1216</f>
        <v>156</v>
      </c>
      <c r="D1217" s="17">
        <f>Github!G$1216</f>
        <v>16</v>
      </c>
      <c r="E1217" s="17">
        <f>Github!F$1216+Github!G$1216</f>
        <v>172</v>
      </c>
      <c r="F1217" s="18">
        <f t="shared" si="1"/>
        <v>9.75</v>
      </c>
      <c r="G1217" s="17" t="str">
        <f>Github!H$1216</f>
        <v>Algorithms</v>
      </c>
      <c r="H1217" s="17" t="b">
        <f>Github!D$1216</f>
        <v>1</v>
      </c>
      <c r="I1217" s="17" t="str">
        <f>Github!E$1216</f>
        <v>Medium</v>
      </c>
      <c r="J1217" s="17" t="str">
        <f>ROUND(Github!N$1216, 2)&amp;"%"</f>
        <v>0%</v>
      </c>
      <c r="K1217" s="17">
        <f>Github!O$1216</f>
        <v>45.30799877</v>
      </c>
      <c r="L1217" s="17">
        <f>Github!P$1216</f>
        <v>7392</v>
      </c>
    </row>
    <row r="1218">
      <c r="A1218" s="17">
        <f>Github!J$1217</f>
        <v>1216</v>
      </c>
      <c r="B1218" s="34" t="str">
        <f>HYPERLINK(CONCAT("http://leetcode.com/problems/",Github!C$1217), Github!B$1217)</f>
        <v>Valid Palindrome III</v>
      </c>
      <c r="C1218" s="17">
        <f>Github!F$1217</f>
        <v>434</v>
      </c>
      <c r="D1218" s="17">
        <f>Github!G$1217</f>
        <v>6</v>
      </c>
      <c r="E1218" s="17">
        <f>Github!F$1217+Github!G$1217</f>
        <v>440</v>
      </c>
      <c r="F1218" s="18">
        <f t="shared" si="1"/>
        <v>72.33</v>
      </c>
      <c r="G1218" s="17" t="str">
        <f>Github!H$1217</f>
        <v>Algorithms</v>
      </c>
      <c r="H1218" s="17" t="b">
        <f>Github!D$1217</f>
        <v>1</v>
      </c>
      <c r="I1218" s="17" t="str">
        <f>Github!E$1217</f>
        <v>Hard</v>
      </c>
      <c r="J1218" s="17" t="str">
        <f>ROUND(Github!N$1217, 2)&amp;"%"</f>
        <v>0%</v>
      </c>
      <c r="K1218" s="17">
        <f>Github!O$1217</f>
        <v>51.25821771</v>
      </c>
      <c r="L1218" s="17">
        <f>Github!P$1217</f>
        <v>30330</v>
      </c>
    </row>
    <row r="1219">
      <c r="A1219" s="17">
        <f>Github!J$1218</f>
        <v>1217</v>
      </c>
      <c r="B1219" s="34" t="str">
        <f>HYPERLINK(CONCAT("http://leetcode.com/problems/",Github!C$1218), Github!B$1218)</f>
        <v>Minimum Cost to Move Chips to The Same Position</v>
      </c>
      <c r="C1219" s="17">
        <f>Github!F$1218</f>
        <v>1398</v>
      </c>
      <c r="D1219" s="17">
        <f>Github!G$1218</f>
        <v>192</v>
      </c>
      <c r="E1219" s="17">
        <f>Github!F$1218+Github!G$1218</f>
        <v>1590</v>
      </c>
      <c r="F1219" s="18">
        <f t="shared" si="1"/>
        <v>7.28</v>
      </c>
      <c r="G1219" s="17" t="str">
        <f>Github!H$1218</f>
        <v>Algorithms</v>
      </c>
      <c r="H1219" s="17" t="b">
        <f>Github!D$1218</f>
        <v>0</v>
      </c>
      <c r="I1219" s="17" t="str">
        <f>Github!E$1218</f>
        <v>Easy</v>
      </c>
      <c r="J1219" s="17" t="str">
        <f>ROUND(Github!N$1218, 2)&amp;"%"</f>
        <v>0%</v>
      </c>
      <c r="K1219" s="17">
        <f>Github!O$1218</f>
        <v>72.74454836</v>
      </c>
      <c r="L1219" s="17">
        <f>Github!P$1218</f>
        <v>92638</v>
      </c>
    </row>
    <row r="1220">
      <c r="A1220" s="17">
        <f>Github!J$1219</f>
        <v>1218</v>
      </c>
      <c r="B1220" s="34" t="str">
        <f>HYPERLINK(CONCAT("http://leetcode.com/problems/",Github!C$1219), Github!B$1219)</f>
        <v>Longest Arithmetic Subsequence of Given Difference</v>
      </c>
      <c r="C1220" s="17">
        <f>Github!F$1219</f>
        <v>920</v>
      </c>
      <c r="D1220" s="17">
        <f>Github!G$1219</f>
        <v>42</v>
      </c>
      <c r="E1220" s="17">
        <f>Github!F$1219+Github!G$1219</f>
        <v>962</v>
      </c>
      <c r="F1220" s="18">
        <f t="shared" si="1"/>
        <v>21.9</v>
      </c>
      <c r="G1220" s="17" t="str">
        <f>Github!H$1219</f>
        <v>Algorithms</v>
      </c>
      <c r="H1220" s="17" t="b">
        <f>Github!D$1219</f>
        <v>0</v>
      </c>
      <c r="I1220" s="17" t="str">
        <f>Github!E$1219</f>
        <v>Medium</v>
      </c>
      <c r="J1220" s="17" t="str">
        <f>ROUND(Github!N$1219, 2)&amp;"%"</f>
        <v>0%</v>
      </c>
      <c r="K1220" s="17">
        <f>Github!O$1219</f>
        <v>50.81654714</v>
      </c>
      <c r="L1220" s="17">
        <f>Github!P$1219</f>
        <v>43717</v>
      </c>
    </row>
    <row r="1221">
      <c r="A1221" s="17">
        <f>Github!J$1220</f>
        <v>1219</v>
      </c>
      <c r="B1221" s="34" t="str">
        <f>HYPERLINK(CONCAT("http://leetcode.com/problems/",Github!C$1220), Github!B$1220)</f>
        <v>Path with Maximum Gold</v>
      </c>
      <c r="C1221" s="17">
        <f>Github!F$1220</f>
        <v>1760</v>
      </c>
      <c r="D1221" s="17">
        <f>Github!G$1220</f>
        <v>47</v>
      </c>
      <c r="E1221" s="17">
        <f>Github!F$1220+Github!G$1220</f>
        <v>1807</v>
      </c>
      <c r="F1221" s="18">
        <f t="shared" si="1"/>
        <v>37.45</v>
      </c>
      <c r="G1221" s="17" t="str">
        <f>Github!H$1220</f>
        <v>Algorithms</v>
      </c>
      <c r="H1221" s="17" t="b">
        <f>Github!D$1220</f>
        <v>0</v>
      </c>
      <c r="I1221" s="17" t="str">
        <f>Github!E$1220</f>
        <v>Medium</v>
      </c>
      <c r="J1221" s="17" t="str">
        <f>ROUND(Github!N$1220, 2)&amp;"%"</f>
        <v>0%</v>
      </c>
      <c r="K1221" s="17">
        <f>Github!O$1220</f>
        <v>65.86194174</v>
      </c>
      <c r="L1221" s="17">
        <f>Github!P$1220</f>
        <v>78540</v>
      </c>
    </row>
    <row r="1222">
      <c r="A1222" s="17">
        <f>Github!J$1221</f>
        <v>1220</v>
      </c>
      <c r="B1222" s="34" t="str">
        <f>HYPERLINK(CONCAT("http://leetcode.com/problems/",Github!C$1221), Github!B$1221)</f>
        <v>Count Vowels Permutation</v>
      </c>
      <c r="C1222" s="17">
        <f>Github!F$1221</f>
        <v>912</v>
      </c>
      <c r="D1222" s="17">
        <f>Github!G$1221</f>
        <v>91</v>
      </c>
      <c r="E1222" s="17">
        <f>Github!F$1221+Github!G$1221</f>
        <v>1003</v>
      </c>
      <c r="F1222" s="18">
        <f t="shared" si="1"/>
        <v>10.02</v>
      </c>
      <c r="G1222" s="17" t="str">
        <f>Github!H$1221</f>
        <v>Algorithms</v>
      </c>
      <c r="H1222" s="17" t="b">
        <f>Github!D$1221</f>
        <v>0</v>
      </c>
      <c r="I1222" s="17" t="str">
        <f>Github!E$1221</f>
        <v>Hard</v>
      </c>
      <c r="J1222" s="17" t="str">
        <f>ROUND(Github!N$1221, 2)&amp;"%"</f>
        <v>0%</v>
      </c>
      <c r="K1222" s="17">
        <f>Github!O$1221</f>
        <v>56.31471768</v>
      </c>
      <c r="L1222" s="17">
        <f>Github!P$1221</f>
        <v>45629</v>
      </c>
    </row>
    <row r="1223">
      <c r="A1223" s="17">
        <f>Github!J$1222</f>
        <v>1221</v>
      </c>
      <c r="B1223" s="34" t="str">
        <f>HYPERLINK(CONCAT("http://leetcode.com/problems/",Github!C$1222), Github!B$1222)</f>
        <v>Split a String in Balanced Strings</v>
      </c>
      <c r="C1223" s="17">
        <f>Github!F$1222</f>
        <v>1617</v>
      </c>
      <c r="D1223" s="17">
        <f>Github!G$1222</f>
        <v>732</v>
      </c>
      <c r="E1223" s="17">
        <f>Github!F$1222+Github!G$1222</f>
        <v>2349</v>
      </c>
      <c r="F1223" s="18">
        <f t="shared" si="1"/>
        <v>2.21</v>
      </c>
      <c r="G1223" s="17" t="str">
        <f>Github!H$1222</f>
        <v>Algorithms</v>
      </c>
      <c r="H1223" s="17" t="b">
        <f>Github!D$1222</f>
        <v>0</v>
      </c>
      <c r="I1223" s="17" t="str">
        <f>Github!E$1222</f>
        <v>Easy</v>
      </c>
      <c r="J1223" s="17" t="str">
        <f>ROUND(Github!N$1222, 2)&amp;"%"</f>
        <v>0%</v>
      </c>
      <c r="K1223" s="17">
        <f>Github!O$1222</f>
        <v>84.69934967</v>
      </c>
      <c r="L1223" s="17">
        <f>Github!P$1222</f>
        <v>191583</v>
      </c>
    </row>
    <row r="1224">
      <c r="A1224" s="17">
        <f>Github!J$1223</f>
        <v>1222</v>
      </c>
      <c r="B1224" s="34" t="str">
        <f>HYPERLINK(CONCAT("http://leetcode.com/problems/",Github!C$1223), Github!B$1223)</f>
        <v>Queens That Can Attack the King</v>
      </c>
      <c r="C1224" s="17">
        <f>Github!F$1223</f>
        <v>648</v>
      </c>
      <c r="D1224" s="17">
        <f>Github!G$1223</f>
        <v>119</v>
      </c>
      <c r="E1224" s="17">
        <f>Github!F$1223+Github!G$1223</f>
        <v>767</v>
      </c>
      <c r="F1224" s="18">
        <f t="shared" si="1"/>
        <v>5.45</v>
      </c>
      <c r="G1224" s="17" t="str">
        <f>Github!H$1223</f>
        <v>Algorithms</v>
      </c>
      <c r="H1224" s="17" t="b">
        <f>Github!D$1223</f>
        <v>0</v>
      </c>
      <c r="I1224" s="17" t="str">
        <f>Github!E$1223</f>
        <v>Medium</v>
      </c>
      <c r="J1224" s="17" t="str">
        <f>ROUND(Github!N$1223, 2)&amp;"%"</f>
        <v>0%</v>
      </c>
      <c r="K1224" s="17">
        <f>Github!O$1223</f>
        <v>70.97762447</v>
      </c>
      <c r="L1224" s="17">
        <f>Github!P$1223</f>
        <v>31277</v>
      </c>
    </row>
    <row r="1225">
      <c r="A1225" s="17">
        <f>Github!J$1224</f>
        <v>1223</v>
      </c>
      <c r="B1225" s="34" t="str">
        <f>HYPERLINK(CONCAT("http://leetcode.com/problems/",Github!C$1224), Github!B$1224)</f>
        <v>Dice Roll Simulation</v>
      </c>
      <c r="C1225" s="17">
        <f>Github!F$1224</f>
        <v>661</v>
      </c>
      <c r="D1225" s="17">
        <f>Github!G$1224</f>
        <v>172</v>
      </c>
      <c r="E1225" s="17">
        <f>Github!F$1224+Github!G$1224</f>
        <v>833</v>
      </c>
      <c r="F1225" s="18">
        <f t="shared" si="1"/>
        <v>3.84</v>
      </c>
      <c r="G1225" s="17" t="str">
        <f>Github!H$1224</f>
        <v>Algorithms</v>
      </c>
      <c r="H1225" s="17" t="b">
        <f>Github!D$1224</f>
        <v>0</v>
      </c>
      <c r="I1225" s="17" t="str">
        <f>Github!E$1224</f>
        <v>Hard</v>
      </c>
      <c r="J1225" s="17" t="str">
        <f>ROUND(Github!N$1224, 2)&amp;"%"</f>
        <v>0%</v>
      </c>
      <c r="K1225" s="17">
        <f>Github!O$1224</f>
        <v>47.71456167</v>
      </c>
      <c r="L1225" s="17">
        <f>Github!P$1224</f>
        <v>21243</v>
      </c>
    </row>
    <row r="1226">
      <c r="A1226" s="17">
        <f>Github!J$1225</f>
        <v>1224</v>
      </c>
      <c r="B1226" s="34" t="str">
        <f>HYPERLINK(CONCAT("http://leetcode.com/problems/",Github!C$1225), Github!B$1225)</f>
        <v>Maximum Equal Frequency</v>
      </c>
      <c r="C1226" s="17">
        <f>Github!F$1225</f>
        <v>349</v>
      </c>
      <c r="D1226" s="17">
        <f>Github!G$1225</f>
        <v>38</v>
      </c>
      <c r="E1226" s="17">
        <f>Github!F$1225+Github!G$1225</f>
        <v>387</v>
      </c>
      <c r="F1226" s="18">
        <f t="shared" si="1"/>
        <v>9.18</v>
      </c>
      <c r="G1226" s="17" t="str">
        <f>Github!H$1225</f>
        <v>Algorithms</v>
      </c>
      <c r="H1226" s="17" t="b">
        <f>Github!D$1225</f>
        <v>0</v>
      </c>
      <c r="I1226" s="17" t="str">
        <f>Github!E$1225</f>
        <v>Hard</v>
      </c>
      <c r="J1226" s="17" t="str">
        <f>ROUND(Github!N$1225, 2)&amp;"%"</f>
        <v>0%</v>
      </c>
      <c r="K1226" s="17">
        <f>Github!O$1225</f>
        <v>36.59058989</v>
      </c>
      <c r="L1226" s="17">
        <f>Github!P$1225</f>
        <v>10421</v>
      </c>
    </row>
    <row r="1227">
      <c r="A1227" s="17">
        <f>Github!J$1226</f>
        <v>1225</v>
      </c>
      <c r="B1227" s="34" t="str">
        <f>HYPERLINK(CONCAT("http://leetcode.com/problems/",Github!C$1226), Github!B$1226)</f>
        <v>Report Contiguous Dates</v>
      </c>
      <c r="C1227" s="17">
        <f>Github!F$1226</f>
        <v>214</v>
      </c>
      <c r="D1227" s="17">
        <f>Github!G$1226</f>
        <v>17</v>
      </c>
      <c r="E1227" s="17">
        <f>Github!F$1226+Github!G$1226</f>
        <v>231</v>
      </c>
      <c r="F1227" s="18">
        <f t="shared" si="1"/>
        <v>12.59</v>
      </c>
      <c r="G1227" s="17" t="str">
        <f>Github!H$1226</f>
        <v>Database</v>
      </c>
      <c r="H1227" s="17" t="b">
        <f>Github!D$1226</f>
        <v>1</v>
      </c>
      <c r="I1227" s="17" t="str">
        <f>Github!E$1226</f>
        <v>Hard</v>
      </c>
      <c r="J1227" s="17" t="str">
        <f>ROUND(Github!N$1226, 2)&amp;"%"</f>
        <v>0%</v>
      </c>
      <c r="K1227" s="17">
        <f>Github!O$1226</f>
        <v>63.15229482</v>
      </c>
      <c r="L1227" s="17">
        <f>Github!P$1226</f>
        <v>13058</v>
      </c>
    </row>
    <row r="1228">
      <c r="A1228" s="17">
        <f>Github!J$1227</f>
        <v>1226</v>
      </c>
      <c r="B1228" s="34" t="str">
        <f>HYPERLINK(CONCAT("http://leetcode.com/problems/",Github!C$1227), Github!B$1227)</f>
        <v>The Dining Philosophers</v>
      </c>
      <c r="C1228" s="17">
        <f>Github!F$1227</f>
        <v>172</v>
      </c>
      <c r="D1228" s="17">
        <f>Github!G$1227</f>
        <v>194</v>
      </c>
      <c r="E1228" s="17">
        <f>Github!F$1227+Github!G$1227</f>
        <v>366</v>
      </c>
      <c r="F1228" s="18">
        <f t="shared" si="1"/>
        <v>0.89</v>
      </c>
      <c r="G1228" s="17" t="str">
        <f>Github!H$1227</f>
        <v>Concurrency</v>
      </c>
      <c r="H1228" s="17" t="b">
        <f>Github!D$1227</f>
        <v>0</v>
      </c>
      <c r="I1228" s="17" t="str">
        <f>Github!E$1227</f>
        <v>Medium</v>
      </c>
      <c r="J1228" s="17" t="str">
        <f>ROUND(Github!N$1227, 2)&amp;"%"</f>
        <v>0%</v>
      </c>
      <c r="K1228" s="17">
        <f>Github!O$1227</f>
        <v>58.63692448</v>
      </c>
      <c r="L1228" s="17">
        <f>Github!P$1227</f>
        <v>18058</v>
      </c>
    </row>
    <row r="1229">
      <c r="A1229" s="17">
        <f>Github!J$1228</f>
        <v>1227</v>
      </c>
      <c r="B1229" s="34" t="str">
        <f>HYPERLINK(CONCAT("http://leetcode.com/problems/",Github!C$1228), Github!B$1228)</f>
        <v>Airplane Seat Assignment Probability</v>
      </c>
      <c r="C1229" s="17">
        <f>Github!F$1228</f>
        <v>347</v>
      </c>
      <c r="D1229" s="17">
        <f>Github!G$1228</f>
        <v>633</v>
      </c>
      <c r="E1229" s="17">
        <f>Github!F$1228+Github!G$1228</f>
        <v>980</v>
      </c>
      <c r="F1229" s="18">
        <f t="shared" si="1"/>
        <v>0.55</v>
      </c>
      <c r="G1229" s="17" t="str">
        <f>Github!H$1228</f>
        <v>Algorithms</v>
      </c>
      <c r="H1229" s="17" t="b">
        <f>Github!D$1228</f>
        <v>0</v>
      </c>
      <c r="I1229" s="17" t="str">
        <f>Github!E$1228</f>
        <v>Medium</v>
      </c>
      <c r="J1229" s="17" t="str">
        <f>ROUND(Github!N$1228, 2)&amp;"%"</f>
        <v>0%</v>
      </c>
      <c r="K1229" s="17">
        <f>Github!O$1228</f>
        <v>63.92830668</v>
      </c>
      <c r="L1229" s="17">
        <f>Github!P$1228</f>
        <v>24147</v>
      </c>
    </row>
    <row r="1230">
      <c r="A1230" s="17">
        <f>Github!J$1229</f>
        <v>1228</v>
      </c>
      <c r="B1230" s="34" t="str">
        <f>HYPERLINK(CONCAT("http://leetcode.com/problems/",Github!C$1229), Github!B$1229)</f>
        <v>Missing Number In Arithmetic Progression</v>
      </c>
      <c r="C1230" s="17">
        <f>Github!F$1229</f>
        <v>238</v>
      </c>
      <c r="D1230" s="17">
        <f>Github!G$1229</f>
        <v>30</v>
      </c>
      <c r="E1230" s="17">
        <f>Github!F$1229+Github!G$1229</f>
        <v>268</v>
      </c>
      <c r="F1230" s="18">
        <f t="shared" si="1"/>
        <v>7.93</v>
      </c>
      <c r="G1230" s="17" t="str">
        <f>Github!H$1229</f>
        <v>Algorithms</v>
      </c>
      <c r="H1230" s="17" t="b">
        <f>Github!D$1229</f>
        <v>1</v>
      </c>
      <c r="I1230" s="17" t="str">
        <f>Github!E$1229</f>
        <v>Easy</v>
      </c>
      <c r="J1230" s="17" t="str">
        <f>ROUND(Github!N$1229, 2)&amp;"%"</f>
        <v>1%</v>
      </c>
      <c r="K1230" s="17">
        <f>Github!O$1229</f>
        <v>51.12180712</v>
      </c>
      <c r="L1230" s="17">
        <f>Github!P$1229</f>
        <v>20071</v>
      </c>
    </row>
    <row r="1231">
      <c r="A1231" s="17">
        <f>Github!J$1230</f>
        <v>1229</v>
      </c>
      <c r="B1231" s="34" t="str">
        <f>HYPERLINK(CONCAT("http://leetcode.com/problems/",Github!C$1230), Github!B$1230)</f>
        <v>Meeting Scheduler</v>
      </c>
      <c r="C1231" s="17">
        <f>Github!F$1230</f>
        <v>608</v>
      </c>
      <c r="D1231" s="17">
        <f>Github!G$1230</f>
        <v>25</v>
      </c>
      <c r="E1231" s="17">
        <f>Github!F$1230+Github!G$1230</f>
        <v>633</v>
      </c>
      <c r="F1231" s="18">
        <f t="shared" si="1"/>
        <v>24.32</v>
      </c>
      <c r="G1231" s="17" t="str">
        <f>Github!H$1230</f>
        <v>Algorithms</v>
      </c>
      <c r="H1231" s="17" t="b">
        <f>Github!D$1230</f>
        <v>1</v>
      </c>
      <c r="I1231" s="17" t="str">
        <f>Github!E$1230</f>
        <v>Medium</v>
      </c>
      <c r="J1231" s="17" t="str">
        <f>ROUND(Github!N$1230, 2)&amp;"%"</f>
        <v>0%</v>
      </c>
      <c r="K1231" s="17">
        <f>Github!O$1230</f>
        <v>54.61564727</v>
      </c>
      <c r="L1231" s="17">
        <f>Github!P$1230</f>
        <v>49584</v>
      </c>
    </row>
    <row r="1232">
      <c r="A1232" s="17">
        <f>Github!J$1231</f>
        <v>1230</v>
      </c>
      <c r="B1232" s="34" t="str">
        <f>HYPERLINK(CONCAT("http://leetcode.com/problems/",Github!C$1231), Github!B$1231)</f>
        <v>Toss Strange Coins</v>
      </c>
      <c r="C1232" s="17">
        <f>Github!F$1231</f>
        <v>221</v>
      </c>
      <c r="D1232" s="17">
        <f>Github!G$1231</f>
        <v>19</v>
      </c>
      <c r="E1232" s="17">
        <f>Github!F$1231+Github!G$1231</f>
        <v>240</v>
      </c>
      <c r="F1232" s="18">
        <f t="shared" si="1"/>
        <v>11.63</v>
      </c>
      <c r="G1232" s="17" t="str">
        <f>Github!H$1231</f>
        <v>Algorithms</v>
      </c>
      <c r="H1232" s="17" t="b">
        <f>Github!D$1231</f>
        <v>1</v>
      </c>
      <c r="I1232" s="17" t="str">
        <f>Github!E$1231</f>
        <v>Medium</v>
      </c>
      <c r="J1232" s="17" t="str">
        <f>ROUND(Github!N$1231, 2)&amp;"%"</f>
        <v>0%</v>
      </c>
      <c r="K1232" s="17">
        <f>Github!O$1231</f>
        <v>52.320445</v>
      </c>
      <c r="L1232" s="17">
        <f>Github!P$1231</f>
        <v>9594</v>
      </c>
    </row>
    <row r="1233">
      <c r="A1233" s="17">
        <f>Github!J$1232</f>
        <v>1231</v>
      </c>
      <c r="B1233" s="34" t="str">
        <f>HYPERLINK(CONCAT("http://leetcode.com/problems/",Github!C$1232), Github!B$1232)</f>
        <v>Divide Chocolate</v>
      </c>
      <c r="C1233" s="17">
        <f>Github!F$1232</f>
        <v>689</v>
      </c>
      <c r="D1233" s="17">
        <f>Github!G$1232</f>
        <v>45</v>
      </c>
      <c r="E1233" s="17">
        <f>Github!F$1232+Github!G$1232</f>
        <v>734</v>
      </c>
      <c r="F1233" s="18">
        <f t="shared" si="1"/>
        <v>15.31</v>
      </c>
      <c r="G1233" s="17" t="str">
        <f>Github!H$1232</f>
        <v>Algorithms</v>
      </c>
      <c r="H1233" s="17" t="b">
        <f>Github!D$1232</f>
        <v>1</v>
      </c>
      <c r="I1233" s="17" t="str">
        <f>Github!E$1232</f>
        <v>Hard</v>
      </c>
      <c r="J1233" s="17" t="str">
        <f>ROUND(Github!N$1232, 2)&amp;"%"</f>
        <v>0%</v>
      </c>
      <c r="K1233" s="17">
        <f>Github!O$1232</f>
        <v>55.99384013</v>
      </c>
      <c r="L1233" s="17">
        <f>Github!P$1232</f>
        <v>34906</v>
      </c>
    </row>
    <row r="1234">
      <c r="A1234" s="17">
        <f>Github!J$1233</f>
        <v>1232</v>
      </c>
      <c r="B1234" s="34" t="str">
        <f>HYPERLINK(CONCAT("http://leetcode.com/problems/",Github!C$1233), Github!B$1233)</f>
        <v>Check If It Is a Straight Line</v>
      </c>
      <c r="C1234" s="17">
        <f>Github!F$1233</f>
        <v>801</v>
      </c>
      <c r="D1234" s="17">
        <f>Github!G$1233</f>
        <v>119</v>
      </c>
      <c r="E1234" s="17">
        <f>Github!F$1233+Github!G$1233</f>
        <v>920</v>
      </c>
      <c r="F1234" s="18">
        <f t="shared" si="1"/>
        <v>6.73</v>
      </c>
      <c r="G1234" s="17" t="str">
        <f>Github!H$1233</f>
        <v>Algorithms</v>
      </c>
      <c r="H1234" s="17" t="b">
        <f>Github!D$1233</f>
        <v>0</v>
      </c>
      <c r="I1234" s="17" t="str">
        <f>Github!E$1233</f>
        <v>Easy</v>
      </c>
      <c r="J1234" s="17" t="str">
        <f>ROUND(Github!N$1233, 2)&amp;"%"</f>
        <v>0%</v>
      </c>
      <c r="K1234" s="17">
        <f>Github!O$1233</f>
        <v>42.13448537</v>
      </c>
      <c r="L1234" s="17">
        <f>Github!P$1233</f>
        <v>106693</v>
      </c>
    </row>
    <row r="1235">
      <c r="A1235" s="17">
        <f>Github!J$1234</f>
        <v>1233</v>
      </c>
      <c r="B1235" s="34" t="str">
        <f>HYPERLINK(CONCAT("http://leetcode.com/problems/",Github!C$1234), Github!B$1234)</f>
        <v>Remove Sub-Folders from the Filesystem</v>
      </c>
      <c r="C1235" s="17">
        <f>Github!F$1234</f>
        <v>569</v>
      </c>
      <c r="D1235" s="17">
        <f>Github!G$1234</f>
        <v>75</v>
      </c>
      <c r="E1235" s="17">
        <f>Github!F$1234+Github!G$1234</f>
        <v>644</v>
      </c>
      <c r="F1235" s="18">
        <f t="shared" si="1"/>
        <v>7.59</v>
      </c>
      <c r="G1235" s="17" t="str">
        <f>Github!H$1234</f>
        <v>Algorithms</v>
      </c>
      <c r="H1235" s="17" t="b">
        <f>Github!D$1234</f>
        <v>0</v>
      </c>
      <c r="I1235" s="17" t="str">
        <f>Github!E$1234</f>
        <v>Medium</v>
      </c>
      <c r="J1235" s="17" t="str">
        <f>ROUND(Github!N$1234, 2)&amp;"%"</f>
        <v>0%</v>
      </c>
      <c r="K1235" s="17">
        <f>Github!O$1234</f>
        <v>64.96875892</v>
      </c>
      <c r="L1235" s="17">
        <f>Github!P$1234</f>
        <v>40968</v>
      </c>
    </row>
    <row r="1236">
      <c r="A1236" s="17">
        <f>Github!J$1235</f>
        <v>1234</v>
      </c>
      <c r="B1236" s="34" t="str">
        <f>HYPERLINK(CONCAT("http://leetcode.com/problems/",Github!C$1235), Github!B$1235)</f>
        <v>Replace the Substring for Balanced String</v>
      </c>
      <c r="C1236" s="17">
        <f>Github!F$1235</f>
        <v>720</v>
      </c>
      <c r="D1236" s="17">
        <f>Github!G$1235</f>
        <v>150</v>
      </c>
      <c r="E1236" s="17">
        <f>Github!F$1235+Github!G$1235</f>
        <v>870</v>
      </c>
      <c r="F1236" s="18">
        <f t="shared" si="1"/>
        <v>4.8</v>
      </c>
      <c r="G1236" s="17" t="str">
        <f>Github!H$1235</f>
        <v>Algorithms</v>
      </c>
      <c r="H1236" s="17" t="b">
        <f>Github!D$1235</f>
        <v>0</v>
      </c>
      <c r="I1236" s="17" t="str">
        <f>Github!E$1235</f>
        <v>Medium</v>
      </c>
      <c r="J1236" s="17" t="str">
        <f>ROUND(Github!N$1235, 2)&amp;"%"</f>
        <v>0%</v>
      </c>
      <c r="K1236" s="17">
        <f>Github!O$1235</f>
        <v>36.09965352</v>
      </c>
      <c r="L1236" s="17">
        <f>Github!P$1235</f>
        <v>21880</v>
      </c>
    </row>
    <row r="1237">
      <c r="A1237" s="17">
        <f>Github!J$1236</f>
        <v>1235</v>
      </c>
      <c r="B1237" s="34" t="str">
        <f>HYPERLINK(CONCAT("http://leetcode.com/problems/",Github!C$1236), Github!B$1236)</f>
        <v>Maximum Profit in Job Scheduling</v>
      </c>
      <c r="C1237" s="17">
        <f>Github!F$1236</f>
        <v>3007</v>
      </c>
      <c r="D1237" s="17">
        <f>Github!G$1236</f>
        <v>32</v>
      </c>
      <c r="E1237" s="17">
        <f>Github!F$1236+Github!G$1236</f>
        <v>3039</v>
      </c>
      <c r="F1237" s="18">
        <f t="shared" si="1"/>
        <v>93.97</v>
      </c>
      <c r="G1237" s="17" t="str">
        <f>Github!H$1236</f>
        <v>Algorithms</v>
      </c>
      <c r="H1237" s="17" t="b">
        <f>Github!D$1236</f>
        <v>0</v>
      </c>
      <c r="I1237" s="17" t="str">
        <f>Github!E$1236</f>
        <v>Hard</v>
      </c>
      <c r="J1237" s="17" t="str">
        <f>ROUND(Github!N$1236, 2)&amp;"%"</f>
        <v>0%</v>
      </c>
      <c r="K1237" s="17">
        <f>Github!O$1236</f>
        <v>50.84158058</v>
      </c>
      <c r="L1237" s="17">
        <f>Github!P$1236</f>
        <v>105570</v>
      </c>
    </row>
    <row r="1238">
      <c r="A1238" s="17">
        <f>Github!J$1237</f>
        <v>1236</v>
      </c>
      <c r="B1238" s="34" t="str">
        <f>HYPERLINK(CONCAT("http://leetcode.com/problems/",Github!C$1237), Github!B$1237)</f>
        <v>Web Crawler</v>
      </c>
      <c r="C1238" s="17">
        <f>Github!F$1237</f>
        <v>178</v>
      </c>
      <c r="D1238" s="17">
        <f>Github!G$1237</f>
        <v>195</v>
      </c>
      <c r="E1238" s="17">
        <f>Github!F$1237+Github!G$1237</f>
        <v>373</v>
      </c>
      <c r="F1238" s="18">
        <f t="shared" si="1"/>
        <v>0.91</v>
      </c>
      <c r="G1238" s="17" t="str">
        <f>Github!H$1237</f>
        <v>Algorithms</v>
      </c>
      <c r="H1238" s="17" t="b">
        <f>Github!D$1237</f>
        <v>1</v>
      </c>
      <c r="I1238" s="17" t="str">
        <f>Github!E$1237</f>
        <v>Medium</v>
      </c>
      <c r="J1238" s="17" t="str">
        <f>ROUND(Github!N$1237, 2)&amp;"%"</f>
        <v>0%</v>
      </c>
      <c r="K1238" s="17">
        <f>Github!O$1237</f>
        <v>65.50308008</v>
      </c>
      <c r="L1238" s="17">
        <f>Github!P$1237</f>
        <v>21373</v>
      </c>
    </row>
    <row r="1239">
      <c r="A1239" s="17">
        <f>Github!J$1238</f>
        <v>1237</v>
      </c>
      <c r="B1239" s="34" t="str">
        <f>HYPERLINK(CONCAT("http://leetcode.com/problems/",Github!C$1238), Github!B$1238)</f>
        <v>Find Positive Integer Solution for a Given Equation</v>
      </c>
      <c r="C1239" s="17">
        <f>Github!F$1238</f>
        <v>331</v>
      </c>
      <c r="D1239" s="17">
        <f>Github!G$1238</f>
        <v>1125</v>
      </c>
      <c r="E1239" s="17">
        <f>Github!F$1238+Github!G$1238</f>
        <v>1456</v>
      </c>
      <c r="F1239" s="18">
        <f t="shared" si="1"/>
        <v>0.29</v>
      </c>
      <c r="G1239" s="17" t="str">
        <f>Github!H$1238</f>
        <v>Algorithms</v>
      </c>
      <c r="H1239" s="17" t="b">
        <f>Github!D$1238</f>
        <v>0</v>
      </c>
      <c r="I1239" s="17" t="str">
        <f>Github!E$1238</f>
        <v>Medium</v>
      </c>
      <c r="J1239" s="17" t="str">
        <f>ROUND(Github!N$1238, 2)&amp;"%"</f>
        <v>0%</v>
      </c>
      <c r="K1239" s="17">
        <f>Github!O$1238</f>
        <v>69.46125375</v>
      </c>
      <c r="L1239" s="17">
        <f>Github!P$1238</f>
        <v>47291</v>
      </c>
    </row>
    <row r="1240">
      <c r="A1240" s="17">
        <f>Github!J$1239</f>
        <v>1238</v>
      </c>
      <c r="B1240" s="34" t="str">
        <f>HYPERLINK(CONCAT("http://leetcode.com/problems/",Github!C$1239), Github!B$1239)</f>
        <v>Circular Permutation in Binary Representation</v>
      </c>
      <c r="C1240" s="17">
        <f>Github!F$1239</f>
        <v>230</v>
      </c>
      <c r="D1240" s="17">
        <f>Github!G$1239</f>
        <v>152</v>
      </c>
      <c r="E1240" s="17">
        <f>Github!F$1239+Github!G$1239</f>
        <v>382</v>
      </c>
      <c r="F1240" s="18">
        <f t="shared" si="1"/>
        <v>1.51</v>
      </c>
      <c r="G1240" s="17" t="str">
        <f>Github!H$1239</f>
        <v>Algorithms</v>
      </c>
      <c r="H1240" s="17" t="b">
        <f>Github!D$1239</f>
        <v>0</v>
      </c>
      <c r="I1240" s="17" t="str">
        <f>Github!E$1239</f>
        <v>Medium</v>
      </c>
      <c r="J1240" s="17" t="str">
        <f>ROUND(Github!N$1239, 2)&amp;"%"</f>
        <v>0%</v>
      </c>
      <c r="K1240" s="17">
        <f>Github!O$1239</f>
        <v>67.76754891</v>
      </c>
      <c r="L1240" s="17">
        <f>Github!P$1239</f>
        <v>11778</v>
      </c>
    </row>
    <row r="1241">
      <c r="A1241" s="17">
        <f>Github!J$1240</f>
        <v>1239</v>
      </c>
      <c r="B1241" s="34" t="str">
        <f>HYPERLINK(CONCAT("http://leetcode.com/problems/",Github!C$1240), Github!B$1240)</f>
        <v>Maximum Length of a Concatenated String with Unique Characters</v>
      </c>
      <c r="C1241" s="17">
        <f>Github!F$1240</f>
        <v>1672</v>
      </c>
      <c r="D1241" s="17">
        <f>Github!G$1240</f>
        <v>151</v>
      </c>
      <c r="E1241" s="17">
        <f>Github!F$1240+Github!G$1240</f>
        <v>1823</v>
      </c>
      <c r="F1241" s="18">
        <f t="shared" si="1"/>
        <v>11.07</v>
      </c>
      <c r="G1241" s="17" t="str">
        <f>Github!H$1240</f>
        <v>Algorithms</v>
      </c>
      <c r="H1241" s="17" t="b">
        <f>Github!D$1240</f>
        <v>0</v>
      </c>
      <c r="I1241" s="17" t="str">
        <f>Github!E$1240</f>
        <v>Medium</v>
      </c>
      <c r="J1241" s="17" t="str">
        <f>ROUND(Github!N$1240, 2)&amp;"%"</f>
        <v>0%</v>
      </c>
      <c r="K1241" s="17">
        <f>Github!O$1240</f>
        <v>50.60320892</v>
      </c>
      <c r="L1241" s="17">
        <f>Github!P$1240</f>
        <v>102974</v>
      </c>
    </row>
    <row r="1242">
      <c r="A1242" s="17">
        <f>Github!J$1241</f>
        <v>1240</v>
      </c>
      <c r="B1242" s="34" t="str">
        <f>HYPERLINK(CONCAT("http://leetcode.com/problems/",Github!C$1241), Github!B$1241)</f>
        <v>Tiling a Rectangle with the Fewest Squares</v>
      </c>
      <c r="C1242" s="17">
        <f>Github!F$1241</f>
        <v>437</v>
      </c>
      <c r="D1242" s="17">
        <f>Github!G$1241</f>
        <v>404</v>
      </c>
      <c r="E1242" s="17">
        <f>Github!F$1241+Github!G$1241</f>
        <v>841</v>
      </c>
      <c r="F1242" s="18">
        <f t="shared" si="1"/>
        <v>1.08</v>
      </c>
      <c r="G1242" s="17" t="str">
        <f>Github!H$1241</f>
        <v>Algorithms</v>
      </c>
      <c r="H1242" s="17" t="b">
        <f>Github!D$1241</f>
        <v>0</v>
      </c>
      <c r="I1242" s="17" t="str">
        <f>Github!E$1241</f>
        <v>Hard</v>
      </c>
      <c r="J1242" s="17" t="str">
        <f>ROUND(Github!N$1241, 2)&amp;"%"</f>
        <v>0%</v>
      </c>
      <c r="K1242" s="17">
        <f>Github!O$1241</f>
        <v>52.83407884</v>
      </c>
      <c r="L1242" s="17">
        <f>Github!P$1241</f>
        <v>15118</v>
      </c>
    </row>
    <row r="1243">
      <c r="A1243" s="17">
        <f>Github!J$1242</f>
        <v>1241</v>
      </c>
      <c r="B1243" s="34" t="str">
        <f>HYPERLINK(CONCAT("http://leetcode.com/problems/",Github!C$1242), Github!B$1242)</f>
        <v>Number of Comments per Post</v>
      </c>
      <c r="C1243" s="17">
        <f>Github!F$1242</f>
        <v>120</v>
      </c>
      <c r="D1243" s="17">
        <f>Github!G$1242</f>
        <v>372</v>
      </c>
      <c r="E1243" s="17">
        <f>Github!F$1242+Github!G$1242</f>
        <v>492</v>
      </c>
      <c r="F1243" s="18">
        <f t="shared" si="1"/>
        <v>0.32</v>
      </c>
      <c r="G1243" s="17" t="str">
        <f>Github!H$1242</f>
        <v>Database</v>
      </c>
      <c r="H1243" s="17" t="b">
        <f>Github!D$1242</f>
        <v>1</v>
      </c>
      <c r="I1243" s="17" t="str">
        <f>Github!E$1242</f>
        <v>Easy</v>
      </c>
      <c r="J1243" s="17" t="str">
        <f>ROUND(Github!N$1242, 2)&amp;"%"</f>
        <v>0%</v>
      </c>
      <c r="K1243" s="17">
        <f>Github!O$1242</f>
        <v>67.83596838</v>
      </c>
      <c r="L1243" s="17">
        <f>Github!P$1242</f>
        <v>24714</v>
      </c>
    </row>
    <row r="1244">
      <c r="A1244" s="17">
        <f>Github!J$1243</f>
        <v>1242</v>
      </c>
      <c r="B1244" s="34" t="str">
        <f>HYPERLINK(CONCAT("http://leetcode.com/problems/",Github!C$1243), Github!B$1243)</f>
        <v>Web Crawler Multithreaded</v>
      </c>
      <c r="C1244" s="17">
        <f>Github!F$1243</f>
        <v>378</v>
      </c>
      <c r="D1244" s="17">
        <f>Github!G$1243</f>
        <v>69</v>
      </c>
      <c r="E1244" s="17">
        <f>Github!F$1243+Github!G$1243</f>
        <v>447</v>
      </c>
      <c r="F1244" s="18">
        <f t="shared" si="1"/>
        <v>5.48</v>
      </c>
      <c r="G1244" s="17" t="str">
        <f>Github!H$1243</f>
        <v>Concurrency</v>
      </c>
      <c r="H1244" s="17" t="b">
        <f>Github!D$1243</f>
        <v>1</v>
      </c>
      <c r="I1244" s="17" t="str">
        <f>Github!E$1243</f>
        <v>Medium</v>
      </c>
      <c r="J1244" s="17" t="str">
        <f>ROUND(Github!N$1243, 2)&amp;"%"</f>
        <v>0%</v>
      </c>
      <c r="K1244" s="17">
        <f>Github!O$1243</f>
        <v>48.51078505</v>
      </c>
      <c r="L1244" s="17">
        <f>Github!P$1243</f>
        <v>30946</v>
      </c>
    </row>
    <row r="1245">
      <c r="A1245" s="17">
        <f>Github!J$1244</f>
        <v>1243</v>
      </c>
      <c r="B1245" s="34" t="str">
        <f>HYPERLINK(CONCAT("http://leetcode.com/problems/",Github!C$1244), Github!B$1244)</f>
        <v>Array Transformation</v>
      </c>
      <c r="C1245" s="17">
        <f>Github!F$1244</f>
        <v>110</v>
      </c>
      <c r="D1245" s="17">
        <f>Github!G$1244</f>
        <v>49</v>
      </c>
      <c r="E1245" s="17">
        <f>Github!F$1244+Github!G$1244</f>
        <v>159</v>
      </c>
      <c r="F1245" s="18">
        <f t="shared" si="1"/>
        <v>2.24</v>
      </c>
      <c r="G1245" s="17" t="str">
        <f>Github!H$1244</f>
        <v>Algorithms</v>
      </c>
      <c r="H1245" s="17" t="b">
        <f>Github!D$1244</f>
        <v>1</v>
      </c>
      <c r="I1245" s="17" t="str">
        <f>Github!E$1244</f>
        <v>Easy</v>
      </c>
      <c r="J1245" s="17" t="str">
        <f>ROUND(Github!N$1244, 2)&amp;"%"</f>
        <v>0%</v>
      </c>
      <c r="K1245" s="17">
        <f>Github!O$1244</f>
        <v>50.29814994</v>
      </c>
      <c r="L1245" s="17">
        <f>Github!P$1244</f>
        <v>9869</v>
      </c>
    </row>
    <row r="1246">
      <c r="A1246" s="17">
        <f>Github!J$1245</f>
        <v>1244</v>
      </c>
      <c r="B1246" s="34" t="str">
        <f>HYPERLINK(CONCAT("http://leetcode.com/problems/",Github!C$1245), Github!B$1245)</f>
        <v>Design A Leaderboard</v>
      </c>
      <c r="C1246" s="17">
        <f>Github!F$1245</f>
        <v>452</v>
      </c>
      <c r="D1246" s="17">
        <f>Github!G$1245</f>
        <v>73</v>
      </c>
      <c r="E1246" s="17">
        <f>Github!F$1245+Github!G$1245</f>
        <v>525</v>
      </c>
      <c r="F1246" s="18">
        <f t="shared" si="1"/>
        <v>6.19</v>
      </c>
      <c r="G1246" s="17" t="str">
        <f>Github!H$1245</f>
        <v>Algorithms</v>
      </c>
      <c r="H1246" s="17" t="b">
        <f>Github!D$1245</f>
        <v>1</v>
      </c>
      <c r="I1246" s="17" t="str">
        <f>Github!E$1245</f>
        <v>Medium</v>
      </c>
      <c r="J1246" s="17" t="str">
        <f>ROUND(Github!N$1245, 2)&amp;"%"</f>
        <v>0%</v>
      </c>
      <c r="K1246" s="17">
        <f>Github!O$1245</f>
        <v>68.00174061</v>
      </c>
      <c r="L1246" s="17">
        <f>Github!P$1245</f>
        <v>37504</v>
      </c>
    </row>
    <row r="1247">
      <c r="A1247" s="17">
        <f>Github!J$1246</f>
        <v>1245</v>
      </c>
      <c r="B1247" s="34" t="str">
        <f>HYPERLINK(CONCAT("http://leetcode.com/problems/",Github!C$1246), Github!B$1246)</f>
        <v>Tree Diameter</v>
      </c>
      <c r="C1247" s="17">
        <f>Github!F$1246</f>
        <v>584</v>
      </c>
      <c r="D1247" s="17">
        <f>Github!G$1246</f>
        <v>13</v>
      </c>
      <c r="E1247" s="17">
        <f>Github!F$1246+Github!G$1246</f>
        <v>597</v>
      </c>
      <c r="F1247" s="18">
        <f t="shared" si="1"/>
        <v>44.92</v>
      </c>
      <c r="G1247" s="17" t="str">
        <f>Github!H$1246</f>
        <v>Algorithms</v>
      </c>
      <c r="H1247" s="17" t="b">
        <f>Github!D$1246</f>
        <v>1</v>
      </c>
      <c r="I1247" s="17" t="str">
        <f>Github!E$1246</f>
        <v>Medium</v>
      </c>
      <c r="J1247" s="17" t="str">
        <f>ROUND(Github!N$1246, 2)&amp;"%"</f>
        <v>0%</v>
      </c>
      <c r="K1247" s="17">
        <f>Github!O$1246</f>
        <v>62.31655918</v>
      </c>
      <c r="L1247" s="17">
        <f>Github!P$1246</f>
        <v>24544</v>
      </c>
    </row>
    <row r="1248">
      <c r="A1248" s="17">
        <f>Github!J$1247</f>
        <v>1246</v>
      </c>
      <c r="B1248" s="34" t="str">
        <f>HYPERLINK(CONCAT("http://leetcode.com/problems/",Github!C$1247), Github!B$1247)</f>
        <v>Palindrome Removal</v>
      </c>
      <c r="C1248" s="17">
        <f>Github!F$1247</f>
        <v>266</v>
      </c>
      <c r="D1248" s="17">
        <f>Github!G$1247</f>
        <v>9</v>
      </c>
      <c r="E1248" s="17">
        <f>Github!F$1247+Github!G$1247</f>
        <v>275</v>
      </c>
      <c r="F1248" s="18">
        <f t="shared" si="1"/>
        <v>29.56</v>
      </c>
      <c r="G1248" s="17" t="str">
        <f>Github!H$1247</f>
        <v>Algorithms</v>
      </c>
      <c r="H1248" s="17" t="b">
        <f>Github!D$1247</f>
        <v>1</v>
      </c>
      <c r="I1248" s="17" t="str">
        <f>Github!E$1247</f>
        <v>Hard</v>
      </c>
      <c r="J1248" s="17" t="str">
        <f>ROUND(Github!N$1247, 2)&amp;"%"</f>
        <v>0%</v>
      </c>
      <c r="K1248" s="17">
        <f>Github!O$1247</f>
        <v>46.13082514</v>
      </c>
      <c r="L1248" s="17">
        <f>Github!P$1247</f>
        <v>8632</v>
      </c>
    </row>
    <row r="1249">
      <c r="A1249" s="17">
        <f>Github!J$1248</f>
        <v>1247</v>
      </c>
      <c r="B1249" s="34" t="str">
        <f>HYPERLINK(CONCAT("http://leetcode.com/problems/",Github!C$1248), Github!B$1248)</f>
        <v>Minimum Swaps to Make Strings Equal</v>
      </c>
      <c r="C1249" s="17">
        <f>Github!F$1248</f>
        <v>820</v>
      </c>
      <c r="D1249" s="17">
        <f>Github!G$1248</f>
        <v>205</v>
      </c>
      <c r="E1249" s="17">
        <f>Github!F$1248+Github!G$1248</f>
        <v>1025</v>
      </c>
      <c r="F1249" s="18">
        <f t="shared" si="1"/>
        <v>4</v>
      </c>
      <c r="G1249" s="17" t="str">
        <f>Github!H$1248</f>
        <v>Algorithms</v>
      </c>
      <c r="H1249" s="17" t="b">
        <f>Github!D$1248</f>
        <v>0</v>
      </c>
      <c r="I1249" s="17" t="str">
        <f>Github!E$1248</f>
        <v>Medium</v>
      </c>
      <c r="J1249" s="17" t="str">
        <f>ROUND(Github!N$1248, 2)&amp;"%"</f>
        <v>0%</v>
      </c>
      <c r="K1249" s="17">
        <f>Github!O$1248</f>
        <v>63.70048447</v>
      </c>
      <c r="L1249" s="17">
        <f>Github!P$1248</f>
        <v>26823</v>
      </c>
    </row>
    <row r="1250">
      <c r="A1250" s="17">
        <f>Github!J$1249</f>
        <v>1248</v>
      </c>
      <c r="B1250" s="34" t="str">
        <f>HYPERLINK(CONCAT("http://leetcode.com/problems/",Github!C$1249), Github!B$1249)</f>
        <v>Count Number of Nice Subarrays</v>
      </c>
      <c r="C1250" s="17">
        <f>Github!F$1249</f>
        <v>1583</v>
      </c>
      <c r="D1250" s="17">
        <f>Github!G$1249</f>
        <v>39</v>
      </c>
      <c r="E1250" s="17">
        <f>Github!F$1249+Github!G$1249</f>
        <v>1622</v>
      </c>
      <c r="F1250" s="18">
        <f t="shared" si="1"/>
        <v>40.59</v>
      </c>
      <c r="G1250" s="17" t="str">
        <f>Github!H$1249</f>
        <v>Algorithms</v>
      </c>
      <c r="H1250" s="17" t="b">
        <f>Github!D$1249</f>
        <v>0</v>
      </c>
      <c r="I1250" s="17" t="str">
        <f>Github!E$1249</f>
        <v>Medium</v>
      </c>
      <c r="J1250" s="17" t="str">
        <f>ROUND(Github!N$1249, 2)&amp;"%"</f>
        <v>0%</v>
      </c>
      <c r="K1250" s="17">
        <f>Github!O$1249</f>
        <v>58.36026178</v>
      </c>
      <c r="L1250" s="17">
        <f>Github!P$1249</f>
        <v>50027</v>
      </c>
    </row>
    <row r="1251">
      <c r="A1251" s="17">
        <f>Github!J$1250</f>
        <v>1249</v>
      </c>
      <c r="B1251" s="34" t="str">
        <f>HYPERLINK(CONCAT("http://leetcode.com/problems/",Github!C$1250), Github!B$1250)</f>
        <v>Minimum Remove to Make Valid Parentheses</v>
      </c>
      <c r="C1251" s="17">
        <f>Github!F$1250</f>
        <v>3646</v>
      </c>
      <c r="D1251" s="17">
        <f>Github!G$1250</f>
        <v>69</v>
      </c>
      <c r="E1251" s="17">
        <f>Github!F$1250+Github!G$1250</f>
        <v>3715</v>
      </c>
      <c r="F1251" s="18">
        <f t="shared" si="1"/>
        <v>52.84</v>
      </c>
      <c r="G1251" s="17" t="str">
        <f>Github!H$1250</f>
        <v>Algorithms</v>
      </c>
      <c r="H1251" s="17" t="b">
        <f>Github!D$1250</f>
        <v>0</v>
      </c>
      <c r="I1251" s="17" t="str">
        <f>Github!E$1250</f>
        <v>Medium</v>
      </c>
      <c r="J1251" s="17" t="str">
        <f>ROUND(Github!N$1250, 2)&amp;"%"</f>
        <v>0%</v>
      </c>
      <c r="K1251" s="17">
        <f>Github!O$1250</f>
        <v>65.22413044</v>
      </c>
      <c r="L1251" s="17">
        <f>Github!P$1250</f>
        <v>352622</v>
      </c>
    </row>
    <row r="1252">
      <c r="A1252" s="17">
        <f>Github!J$1251</f>
        <v>1250</v>
      </c>
      <c r="B1252" s="34" t="str">
        <f>HYPERLINK(CONCAT("http://leetcode.com/problems/",Github!C$1251), Github!B$1251)</f>
        <v>Check If It Is a Good Array</v>
      </c>
      <c r="C1252" s="17">
        <f>Github!F$1251</f>
        <v>235</v>
      </c>
      <c r="D1252" s="17">
        <f>Github!G$1251</f>
        <v>265</v>
      </c>
      <c r="E1252" s="17">
        <f>Github!F$1251+Github!G$1251</f>
        <v>500</v>
      </c>
      <c r="F1252" s="18">
        <f t="shared" si="1"/>
        <v>0.89</v>
      </c>
      <c r="G1252" s="17" t="str">
        <f>Github!H$1251</f>
        <v>Algorithms</v>
      </c>
      <c r="H1252" s="17" t="b">
        <f>Github!D$1251</f>
        <v>0</v>
      </c>
      <c r="I1252" s="17" t="str">
        <f>Github!E$1251</f>
        <v>Hard</v>
      </c>
      <c r="J1252" s="17" t="str">
        <f>ROUND(Github!N$1251, 2)&amp;"%"</f>
        <v>0%</v>
      </c>
      <c r="K1252" s="17">
        <f>Github!O$1251</f>
        <v>57.75333</v>
      </c>
      <c r="L1252" s="17">
        <f>Github!P$1251</f>
        <v>12704</v>
      </c>
    </row>
    <row r="1253">
      <c r="A1253" s="17">
        <f>Github!J$1252</f>
        <v>1251</v>
      </c>
      <c r="B1253" s="34" t="str">
        <f>HYPERLINK(CONCAT("http://leetcode.com/problems/",Github!C$1252), Github!B$1252)</f>
        <v>Average Selling Price</v>
      </c>
      <c r="C1253" s="17">
        <f>Github!F$1252</f>
        <v>211</v>
      </c>
      <c r="D1253" s="17">
        <f>Github!G$1252</f>
        <v>20</v>
      </c>
      <c r="E1253" s="17">
        <f>Github!F$1252+Github!G$1252</f>
        <v>231</v>
      </c>
      <c r="F1253" s="18">
        <f t="shared" si="1"/>
        <v>10.55</v>
      </c>
      <c r="G1253" s="17" t="str">
        <f>Github!H$1252</f>
        <v>Database</v>
      </c>
      <c r="H1253" s="17" t="b">
        <f>Github!D$1252</f>
        <v>1</v>
      </c>
      <c r="I1253" s="17" t="str">
        <f>Github!E$1252</f>
        <v>Easy</v>
      </c>
      <c r="J1253" s="17" t="str">
        <f>ROUND(Github!N$1252, 2)&amp;"%"</f>
        <v>0%</v>
      </c>
      <c r="K1253" s="17">
        <f>Github!O$1252</f>
        <v>83.34159255</v>
      </c>
      <c r="L1253" s="17">
        <f>Github!P$1252</f>
        <v>31954</v>
      </c>
    </row>
    <row r="1254">
      <c r="A1254" s="17">
        <f>Github!J$1253</f>
        <v>1252</v>
      </c>
      <c r="B1254" s="34" t="str">
        <f>HYPERLINK(CONCAT("http://leetcode.com/problems/",Github!C$1253), Github!B$1253)</f>
        <v>Cells with Odd Values in a Matrix</v>
      </c>
      <c r="C1254" s="17">
        <f>Github!F$1253</f>
        <v>707</v>
      </c>
      <c r="D1254" s="17">
        <f>Github!G$1253</f>
        <v>1061</v>
      </c>
      <c r="E1254" s="17">
        <f>Github!F$1253+Github!G$1253</f>
        <v>1768</v>
      </c>
      <c r="F1254" s="18">
        <f t="shared" si="1"/>
        <v>0.67</v>
      </c>
      <c r="G1254" s="17" t="str">
        <f>Github!H$1253</f>
        <v>Algorithms</v>
      </c>
      <c r="H1254" s="17" t="b">
        <f>Github!D$1253</f>
        <v>0</v>
      </c>
      <c r="I1254" s="17" t="str">
        <f>Github!E$1253</f>
        <v>Easy</v>
      </c>
      <c r="J1254" s="17" t="str">
        <f>ROUND(Github!N$1253, 2)&amp;"%"</f>
        <v>0%</v>
      </c>
      <c r="K1254" s="17">
        <f>Github!O$1253</f>
        <v>78.52963363</v>
      </c>
      <c r="L1254" s="17">
        <f>Github!P$1253</f>
        <v>77036</v>
      </c>
    </row>
    <row r="1255">
      <c r="A1255" s="17">
        <f>Github!J$1254</f>
        <v>1253</v>
      </c>
      <c r="B1255" s="34" t="str">
        <f>HYPERLINK(CONCAT("http://leetcode.com/problems/",Github!C$1254), Github!B$1254)</f>
        <v>Reconstruct a 2-Row Binary Matrix</v>
      </c>
      <c r="C1255" s="17">
        <f>Github!F$1254</f>
        <v>309</v>
      </c>
      <c r="D1255" s="17">
        <f>Github!G$1254</f>
        <v>24</v>
      </c>
      <c r="E1255" s="17">
        <f>Github!F$1254+Github!G$1254</f>
        <v>333</v>
      </c>
      <c r="F1255" s="18">
        <f t="shared" si="1"/>
        <v>12.88</v>
      </c>
      <c r="G1255" s="17" t="str">
        <f>Github!H$1254</f>
        <v>Algorithms</v>
      </c>
      <c r="H1255" s="17" t="b">
        <f>Github!D$1254</f>
        <v>0</v>
      </c>
      <c r="I1255" s="17" t="str">
        <f>Github!E$1254</f>
        <v>Medium</v>
      </c>
      <c r="J1255" s="17" t="str">
        <f>ROUND(Github!N$1254, 2)&amp;"%"</f>
        <v>0%</v>
      </c>
      <c r="K1255" s="17">
        <f>Github!O$1254</f>
        <v>43.08513095</v>
      </c>
      <c r="L1255" s="17">
        <f>Github!P$1254</f>
        <v>18655</v>
      </c>
    </row>
    <row r="1256">
      <c r="A1256" s="17">
        <f>Github!J$1255</f>
        <v>1254</v>
      </c>
      <c r="B1256" s="34" t="str">
        <f>HYPERLINK(CONCAT("http://leetcode.com/problems/",Github!C$1255), Github!B$1255)</f>
        <v>Number of Closed Islands</v>
      </c>
      <c r="C1256" s="17">
        <f>Github!F$1255</f>
        <v>1607</v>
      </c>
      <c r="D1256" s="17">
        <f>Github!G$1255</f>
        <v>35</v>
      </c>
      <c r="E1256" s="17">
        <f>Github!F$1255+Github!G$1255</f>
        <v>1642</v>
      </c>
      <c r="F1256" s="18">
        <f t="shared" si="1"/>
        <v>45.91</v>
      </c>
      <c r="G1256" s="17" t="str">
        <f>Github!H$1255</f>
        <v>Algorithms</v>
      </c>
      <c r="H1256" s="17" t="b">
        <f>Github!D$1255</f>
        <v>0</v>
      </c>
      <c r="I1256" s="17" t="str">
        <f>Github!E$1255</f>
        <v>Medium</v>
      </c>
      <c r="J1256" s="17" t="str">
        <f>ROUND(Github!N$1255, 2)&amp;"%"</f>
        <v>0%</v>
      </c>
      <c r="K1256" s="17">
        <f>Github!O$1255</f>
        <v>63.08800378</v>
      </c>
      <c r="L1256" s="17">
        <f>Github!P$1255</f>
        <v>77337</v>
      </c>
    </row>
    <row r="1257">
      <c r="A1257" s="17">
        <f>Github!J$1256</f>
        <v>1255</v>
      </c>
      <c r="B1257" s="34" t="str">
        <f>HYPERLINK(CONCAT("http://leetcode.com/problems/",Github!C$1256), Github!B$1256)</f>
        <v>Maximum Score Words Formed by Letters</v>
      </c>
      <c r="C1257" s="17">
        <f>Github!F$1256</f>
        <v>599</v>
      </c>
      <c r="D1257" s="17">
        <f>Github!G$1256</f>
        <v>36</v>
      </c>
      <c r="E1257" s="17">
        <f>Github!F$1256+Github!G$1256</f>
        <v>635</v>
      </c>
      <c r="F1257" s="18">
        <f t="shared" si="1"/>
        <v>16.64</v>
      </c>
      <c r="G1257" s="17" t="str">
        <f>Github!H$1256</f>
        <v>Algorithms</v>
      </c>
      <c r="H1257" s="17" t="b">
        <f>Github!D$1256</f>
        <v>0</v>
      </c>
      <c r="I1257" s="17" t="str">
        <f>Github!E$1256</f>
        <v>Hard</v>
      </c>
      <c r="J1257" s="17" t="str">
        <f>ROUND(Github!N$1256, 2)&amp;"%"</f>
        <v>0%</v>
      </c>
      <c r="K1257" s="17">
        <f>Github!O$1256</f>
        <v>71.93376068</v>
      </c>
      <c r="L1257" s="17">
        <f>Github!P$1256</f>
        <v>20197</v>
      </c>
    </row>
    <row r="1258">
      <c r="A1258" s="17">
        <f>Github!J$1257</f>
        <v>1256</v>
      </c>
      <c r="B1258" s="34" t="str">
        <f>HYPERLINK(CONCAT("http://leetcode.com/problems/",Github!C$1257), Github!B$1257)</f>
        <v>Encode Number</v>
      </c>
      <c r="C1258" s="17">
        <f>Github!F$1257</f>
        <v>62</v>
      </c>
      <c r="D1258" s="17">
        <f>Github!G$1257</f>
        <v>206</v>
      </c>
      <c r="E1258" s="17">
        <f>Github!F$1257+Github!G$1257</f>
        <v>268</v>
      </c>
      <c r="F1258" s="18">
        <f t="shared" si="1"/>
        <v>0.3</v>
      </c>
      <c r="G1258" s="17" t="str">
        <f>Github!H$1257</f>
        <v>Algorithms</v>
      </c>
      <c r="H1258" s="17" t="b">
        <f>Github!D$1257</f>
        <v>1</v>
      </c>
      <c r="I1258" s="17" t="str">
        <f>Github!E$1257</f>
        <v>Medium</v>
      </c>
      <c r="J1258" s="17" t="str">
        <f>ROUND(Github!N$1257, 2)&amp;"%"</f>
        <v>0%</v>
      </c>
      <c r="K1258" s="17">
        <f>Github!O$1257</f>
        <v>69.34200202</v>
      </c>
      <c r="L1258" s="17">
        <f>Github!P$1257</f>
        <v>6186</v>
      </c>
    </row>
    <row r="1259">
      <c r="A1259" s="17">
        <f>Github!J$1258</f>
        <v>1257</v>
      </c>
      <c r="B1259" s="34" t="str">
        <f>HYPERLINK(CONCAT("http://leetcode.com/problems/",Github!C$1258), Github!B$1258)</f>
        <v>Smallest Common Region</v>
      </c>
      <c r="C1259" s="17">
        <f>Github!F$1258</f>
        <v>289</v>
      </c>
      <c r="D1259" s="17">
        <f>Github!G$1258</f>
        <v>26</v>
      </c>
      <c r="E1259" s="17">
        <f>Github!F$1258+Github!G$1258</f>
        <v>315</v>
      </c>
      <c r="F1259" s="18">
        <f t="shared" si="1"/>
        <v>11.12</v>
      </c>
      <c r="G1259" s="17" t="str">
        <f>Github!H$1258</f>
        <v>Algorithms</v>
      </c>
      <c r="H1259" s="17" t="b">
        <f>Github!D$1258</f>
        <v>1</v>
      </c>
      <c r="I1259" s="17" t="str">
        <f>Github!E$1258</f>
        <v>Medium</v>
      </c>
      <c r="J1259" s="17" t="str">
        <f>ROUND(Github!N$1258, 2)&amp;"%"</f>
        <v>0%</v>
      </c>
      <c r="K1259" s="17">
        <f>Github!O$1258</f>
        <v>62.72071388</v>
      </c>
      <c r="L1259" s="17">
        <f>Github!P$1258</f>
        <v>13214</v>
      </c>
    </row>
    <row r="1260">
      <c r="A1260" s="17">
        <f>Github!J$1259</f>
        <v>1258</v>
      </c>
      <c r="B1260" s="34" t="str">
        <f>HYPERLINK(CONCAT("http://leetcode.com/problems/",Github!C$1259), Github!B$1259)</f>
        <v>Synonymous Sentences</v>
      </c>
      <c r="C1260" s="17">
        <f>Github!F$1259</f>
        <v>211</v>
      </c>
      <c r="D1260" s="17">
        <f>Github!G$1259</f>
        <v>81</v>
      </c>
      <c r="E1260" s="17">
        <f>Github!F$1259+Github!G$1259</f>
        <v>292</v>
      </c>
      <c r="F1260" s="18">
        <f t="shared" si="1"/>
        <v>2.6</v>
      </c>
      <c r="G1260" s="17" t="str">
        <f>Github!H$1259</f>
        <v>Algorithms</v>
      </c>
      <c r="H1260" s="17" t="b">
        <f>Github!D$1259</f>
        <v>1</v>
      </c>
      <c r="I1260" s="17" t="str">
        <f>Github!E$1259</f>
        <v>Medium</v>
      </c>
      <c r="J1260" s="17" t="str">
        <f>ROUND(Github!N$1259, 2)&amp;"%"</f>
        <v>0%</v>
      </c>
      <c r="K1260" s="17">
        <f>Github!O$1259</f>
        <v>56.26088551</v>
      </c>
      <c r="L1260" s="17">
        <f>Github!P$1259</f>
        <v>12275</v>
      </c>
    </row>
    <row r="1261">
      <c r="A1261" s="17">
        <f>Github!J$1260</f>
        <v>1259</v>
      </c>
      <c r="B1261" s="34" t="str">
        <f>HYPERLINK(CONCAT("http://leetcode.com/problems/",Github!C$1260), Github!B$1260)</f>
        <v>Handshakes That Don't Cross</v>
      </c>
      <c r="C1261" s="17">
        <f>Github!F$1260</f>
        <v>99</v>
      </c>
      <c r="D1261" s="17">
        <f>Github!G$1260</f>
        <v>8</v>
      </c>
      <c r="E1261" s="17">
        <f>Github!F$1260+Github!G$1260</f>
        <v>107</v>
      </c>
      <c r="F1261" s="18">
        <f t="shared" si="1"/>
        <v>12.38</v>
      </c>
      <c r="G1261" s="17" t="str">
        <f>Github!H$1260</f>
        <v>Algorithms</v>
      </c>
      <c r="H1261" s="17" t="b">
        <f>Github!D$1260</f>
        <v>1</v>
      </c>
      <c r="I1261" s="17" t="str">
        <f>Github!E$1260</f>
        <v>Hard</v>
      </c>
      <c r="J1261" s="17" t="str">
        <f>ROUND(Github!N$1260, 2)&amp;"%"</f>
        <v>0%</v>
      </c>
      <c r="K1261" s="17">
        <f>Github!O$1260</f>
        <v>55.49664192</v>
      </c>
      <c r="L1261" s="17">
        <f>Github!P$1260</f>
        <v>4709</v>
      </c>
    </row>
    <row r="1262">
      <c r="A1262" s="17">
        <f>Github!J$1261</f>
        <v>1260</v>
      </c>
      <c r="B1262" s="34" t="str">
        <f>HYPERLINK(CONCAT("http://leetcode.com/problems/",Github!C$1261), Github!B$1261)</f>
        <v>Shift 2D Grid</v>
      </c>
      <c r="C1262" s="17">
        <f>Github!F$1261</f>
        <v>453</v>
      </c>
      <c r="D1262" s="17">
        <f>Github!G$1261</f>
        <v>138</v>
      </c>
      <c r="E1262" s="17">
        <f>Github!F$1261+Github!G$1261</f>
        <v>591</v>
      </c>
      <c r="F1262" s="18">
        <f t="shared" si="1"/>
        <v>3.28</v>
      </c>
      <c r="G1262" s="17" t="str">
        <f>Github!H$1261</f>
        <v>Algorithms</v>
      </c>
      <c r="H1262" s="17" t="b">
        <f>Github!D$1261</f>
        <v>0</v>
      </c>
      <c r="I1262" s="17" t="str">
        <f>Github!E$1261</f>
        <v>Easy</v>
      </c>
      <c r="J1262" s="17" t="str">
        <f>ROUND(Github!N$1261, 2)&amp;"%"</f>
        <v>0%</v>
      </c>
      <c r="K1262" s="17">
        <f>Github!O$1261</f>
        <v>62.55210789</v>
      </c>
      <c r="L1262" s="17">
        <f>Github!P$1261</f>
        <v>33161</v>
      </c>
    </row>
    <row r="1263">
      <c r="A1263" s="17">
        <f>Github!J$1262</f>
        <v>1261</v>
      </c>
      <c r="B1263" s="34" t="str">
        <f>HYPERLINK(CONCAT("http://leetcode.com/problems/",Github!C$1262), Github!B$1262)</f>
        <v>Find Elements in a Contaminated Binary Tree</v>
      </c>
      <c r="C1263" s="17">
        <f>Github!F$1262</f>
        <v>564</v>
      </c>
      <c r="D1263" s="17">
        <f>Github!G$1262</f>
        <v>76</v>
      </c>
      <c r="E1263" s="17">
        <f>Github!F$1262+Github!G$1262</f>
        <v>640</v>
      </c>
      <c r="F1263" s="18">
        <f t="shared" si="1"/>
        <v>7.42</v>
      </c>
      <c r="G1263" s="17" t="str">
        <f>Github!H$1262</f>
        <v>Algorithms</v>
      </c>
      <c r="H1263" s="17" t="b">
        <f>Github!D$1262</f>
        <v>0</v>
      </c>
      <c r="I1263" s="17" t="str">
        <f>Github!E$1262</f>
        <v>Medium</v>
      </c>
      <c r="J1263" s="17" t="str">
        <f>ROUND(Github!N$1262, 2)&amp;"%"</f>
        <v>0%</v>
      </c>
      <c r="K1263" s="17">
        <f>Github!O$1262</f>
        <v>75.67723343</v>
      </c>
      <c r="L1263" s="17">
        <f>Github!P$1262</f>
        <v>42016</v>
      </c>
    </row>
    <row r="1264">
      <c r="A1264" s="17">
        <f>Github!J$1263</f>
        <v>1262</v>
      </c>
      <c r="B1264" s="34" t="str">
        <f>HYPERLINK(CONCAT("http://leetcode.com/problems/",Github!C$1263), Github!B$1263)</f>
        <v>Greatest Sum Divisible by Three</v>
      </c>
      <c r="C1264" s="17">
        <f>Github!F$1263</f>
        <v>1135</v>
      </c>
      <c r="D1264" s="17">
        <f>Github!G$1263</f>
        <v>33</v>
      </c>
      <c r="E1264" s="17">
        <f>Github!F$1263+Github!G$1263</f>
        <v>1168</v>
      </c>
      <c r="F1264" s="18">
        <f t="shared" si="1"/>
        <v>34.39</v>
      </c>
      <c r="G1264" s="17" t="str">
        <f>Github!H$1263</f>
        <v>Algorithms</v>
      </c>
      <c r="H1264" s="17" t="b">
        <f>Github!D$1263</f>
        <v>0</v>
      </c>
      <c r="I1264" s="17" t="str">
        <f>Github!E$1263</f>
        <v>Medium</v>
      </c>
      <c r="J1264" s="17" t="str">
        <f>ROUND(Github!N$1263, 2)&amp;"%"</f>
        <v>0%</v>
      </c>
      <c r="K1264" s="17">
        <f>Github!O$1263</f>
        <v>50.80760524</v>
      </c>
      <c r="L1264" s="17">
        <f>Github!P$1263</f>
        <v>36583</v>
      </c>
    </row>
    <row r="1265">
      <c r="A1265" s="17">
        <f>Github!J$1264</f>
        <v>1263</v>
      </c>
      <c r="B1265" s="34" t="str">
        <f>HYPERLINK(CONCAT("http://leetcode.com/problems/",Github!C$1264), Github!B$1264)</f>
        <v>Minimum Moves to Move a Box to Their Target Location</v>
      </c>
      <c r="C1265" s="17">
        <f>Github!F$1264</f>
        <v>599</v>
      </c>
      <c r="D1265" s="17">
        <f>Github!G$1264</f>
        <v>45</v>
      </c>
      <c r="E1265" s="17">
        <f>Github!F$1264+Github!G$1264</f>
        <v>644</v>
      </c>
      <c r="F1265" s="18">
        <f t="shared" si="1"/>
        <v>13.31</v>
      </c>
      <c r="G1265" s="17" t="str">
        <f>Github!H$1264</f>
        <v>Algorithms</v>
      </c>
      <c r="H1265" s="17" t="b">
        <f>Github!D$1264</f>
        <v>0</v>
      </c>
      <c r="I1265" s="17" t="str">
        <f>Github!E$1264</f>
        <v>Hard</v>
      </c>
      <c r="J1265" s="17" t="str">
        <f>ROUND(Github!N$1264, 2)&amp;"%"</f>
        <v>0%</v>
      </c>
      <c r="K1265" s="17">
        <f>Github!O$1264</f>
        <v>48.26774867</v>
      </c>
      <c r="L1265" s="17">
        <f>Github!P$1264</f>
        <v>20104</v>
      </c>
    </row>
    <row r="1266">
      <c r="A1266" s="17">
        <f>Github!J$1265</f>
        <v>1264</v>
      </c>
      <c r="B1266" s="34" t="str">
        <f>HYPERLINK(CONCAT("http://leetcode.com/problems/",Github!C$1265), Github!B$1265)</f>
        <v>Page Recommendations</v>
      </c>
      <c r="C1266" s="17">
        <f>Github!F$1265</f>
        <v>136</v>
      </c>
      <c r="D1266" s="17">
        <f>Github!G$1265</f>
        <v>10</v>
      </c>
      <c r="E1266" s="17">
        <f>Github!F$1265+Github!G$1265</f>
        <v>146</v>
      </c>
      <c r="F1266" s="18">
        <f t="shared" si="1"/>
        <v>13.6</v>
      </c>
      <c r="G1266" s="17" t="str">
        <f>Github!H$1265</f>
        <v>Database</v>
      </c>
      <c r="H1266" s="17" t="b">
        <f>Github!D$1265</f>
        <v>1</v>
      </c>
      <c r="I1266" s="17" t="str">
        <f>Github!E$1265</f>
        <v>Medium</v>
      </c>
      <c r="J1266" s="17" t="str">
        <f>ROUND(Github!N$1265, 2)&amp;"%"</f>
        <v>0%</v>
      </c>
      <c r="K1266" s="17">
        <f>Github!O$1265</f>
        <v>67.5894069</v>
      </c>
      <c r="L1266" s="17">
        <f>Github!P$1265</f>
        <v>21413</v>
      </c>
    </row>
    <row r="1267">
      <c r="A1267" s="17">
        <f>Github!J$1266</f>
        <v>1265</v>
      </c>
      <c r="B1267" s="34" t="str">
        <f>HYPERLINK(CONCAT("http://leetcode.com/problems/",Github!C$1266), Github!B$1266)</f>
        <v>Print Immutable Linked List in Reverse</v>
      </c>
      <c r="C1267" s="17">
        <f>Github!F$1266</f>
        <v>410</v>
      </c>
      <c r="D1267" s="17">
        <f>Github!G$1266</f>
        <v>73</v>
      </c>
      <c r="E1267" s="17">
        <f>Github!F$1266+Github!G$1266</f>
        <v>483</v>
      </c>
      <c r="F1267" s="18">
        <f t="shared" si="1"/>
        <v>5.62</v>
      </c>
      <c r="G1267" s="17" t="str">
        <f>Github!H$1266</f>
        <v>Algorithms</v>
      </c>
      <c r="H1267" s="17" t="b">
        <f>Github!D$1266</f>
        <v>1</v>
      </c>
      <c r="I1267" s="17" t="str">
        <f>Github!E$1266</f>
        <v>Medium</v>
      </c>
      <c r="J1267" s="17" t="str">
        <f>ROUND(Github!N$1266, 2)&amp;"%"</f>
        <v>0%</v>
      </c>
      <c r="K1267" s="17">
        <f>Github!O$1266</f>
        <v>94.27830596</v>
      </c>
      <c r="L1267" s="17">
        <f>Github!P$1266</f>
        <v>38176</v>
      </c>
    </row>
    <row r="1268">
      <c r="A1268" s="17">
        <f>Github!J$1267</f>
        <v>1266</v>
      </c>
      <c r="B1268" s="34" t="str">
        <f>HYPERLINK(CONCAT("http://leetcode.com/problems/",Github!C$1267), Github!B$1267)</f>
        <v>Minimum Time Visiting All Points</v>
      </c>
      <c r="C1268" s="17">
        <f>Github!F$1267</f>
        <v>1143</v>
      </c>
      <c r="D1268" s="17">
        <f>Github!G$1267</f>
        <v>155</v>
      </c>
      <c r="E1268" s="17">
        <f>Github!F$1267+Github!G$1267</f>
        <v>1298</v>
      </c>
      <c r="F1268" s="18">
        <f t="shared" si="1"/>
        <v>7.37</v>
      </c>
      <c r="G1268" s="17" t="str">
        <f>Github!H$1267</f>
        <v>Algorithms</v>
      </c>
      <c r="H1268" s="17" t="b">
        <f>Github!D$1267</f>
        <v>0</v>
      </c>
      <c r="I1268" s="17" t="str">
        <f>Github!E$1267</f>
        <v>Easy</v>
      </c>
      <c r="J1268" s="17" t="str">
        <f>ROUND(Github!N$1267, 2)&amp;"%"</f>
        <v>0%</v>
      </c>
      <c r="K1268" s="17">
        <f>Github!O$1267</f>
        <v>79.11359658</v>
      </c>
      <c r="L1268" s="17">
        <f>Github!P$1267</f>
        <v>111617</v>
      </c>
    </row>
    <row r="1269">
      <c r="A1269" s="17">
        <f>Github!J$1268</f>
        <v>1267</v>
      </c>
      <c r="B1269" s="34" t="str">
        <f>HYPERLINK(CONCAT("http://leetcode.com/problems/",Github!C$1268), Github!B$1268)</f>
        <v>Count Servers that Communicate</v>
      </c>
      <c r="C1269" s="17">
        <f>Github!F$1268</f>
        <v>822</v>
      </c>
      <c r="D1269" s="17">
        <f>Github!G$1268</f>
        <v>69</v>
      </c>
      <c r="E1269" s="17">
        <f>Github!F$1268+Github!G$1268</f>
        <v>891</v>
      </c>
      <c r="F1269" s="18">
        <f t="shared" si="1"/>
        <v>11.91</v>
      </c>
      <c r="G1269" s="17" t="str">
        <f>Github!H$1268</f>
        <v>Algorithms</v>
      </c>
      <c r="H1269" s="17" t="b">
        <f>Github!D$1268</f>
        <v>0</v>
      </c>
      <c r="I1269" s="17" t="str">
        <f>Github!E$1268</f>
        <v>Medium</v>
      </c>
      <c r="J1269" s="17" t="str">
        <f>ROUND(Github!N$1268, 2)&amp;"%"</f>
        <v>0%</v>
      </c>
      <c r="K1269" s="17">
        <f>Github!O$1268</f>
        <v>58.1172592</v>
      </c>
      <c r="L1269" s="17">
        <f>Github!P$1268</f>
        <v>39135</v>
      </c>
    </row>
    <row r="1270">
      <c r="A1270" s="17">
        <f>Github!J$1269</f>
        <v>1268</v>
      </c>
      <c r="B1270" s="34" t="str">
        <f>HYPERLINK(CONCAT("http://leetcode.com/problems/",Github!C$1269), Github!B$1269)</f>
        <v>Search Suggestions System</v>
      </c>
      <c r="C1270" s="17">
        <f>Github!F$1269</f>
        <v>2101</v>
      </c>
      <c r="D1270" s="17">
        <f>Github!G$1269</f>
        <v>126</v>
      </c>
      <c r="E1270" s="17">
        <f>Github!F$1269+Github!G$1269</f>
        <v>2227</v>
      </c>
      <c r="F1270" s="18">
        <f t="shared" si="1"/>
        <v>16.67</v>
      </c>
      <c r="G1270" s="17" t="str">
        <f>Github!H$1269</f>
        <v>Algorithms</v>
      </c>
      <c r="H1270" s="17" t="b">
        <f>Github!D$1269</f>
        <v>0</v>
      </c>
      <c r="I1270" s="17" t="str">
        <f>Github!E$1269</f>
        <v>Medium</v>
      </c>
      <c r="J1270" s="17" t="str">
        <f>ROUND(Github!N$1269, 2)&amp;"%"</f>
        <v>0%</v>
      </c>
      <c r="K1270" s="17">
        <f>Github!O$1269</f>
        <v>65.51235797</v>
      </c>
      <c r="L1270" s="17">
        <f>Github!P$1269</f>
        <v>141087</v>
      </c>
    </row>
    <row r="1271">
      <c r="A1271" s="17">
        <f>Github!J$1270</f>
        <v>1269</v>
      </c>
      <c r="B1271" s="34" t="str">
        <f>HYPERLINK(CONCAT("http://leetcode.com/problems/",Github!C$1270), Github!B$1270)</f>
        <v>Number of Ways to Stay in the Same Place After Some Steps</v>
      </c>
      <c r="C1271" s="17">
        <f>Github!F$1270</f>
        <v>509</v>
      </c>
      <c r="D1271" s="17">
        <f>Github!G$1270</f>
        <v>29</v>
      </c>
      <c r="E1271" s="17">
        <f>Github!F$1270+Github!G$1270</f>
        <v>538</v>
      </c>
      <c r="F1271" s="18">
        <f t="shared" si="1"/>
        <v>17.55</v>
      </c>
      <c r="G1271" s="17" t="str">
        <f>Github!H$1270</f>
        <v>Algorithms</v>
      </c>
      <c r="H1271" s="17" t="b">
        <f>Github!D$1270</f>
        <v>0</v>
      </c>
      <c r="I1271" s="17" t="str">
        <f>Github!E$1270</f>
        <v>Hard</v>
      </c>
      <c r="J1271" s="17" t="str">
        <f>ROUND(Github!N$1270, 2)&amp;"%"</f>
        <v>0%</v>
      </c>
      <c r="K1271" s="17">
        <f>Github!O$1270</f>
        <v>43.36992762</v>
      </c>
      <c r="L1271" s="17">
        <f>Github!P$1270</f>
        <v>26666</v>
      </c>
    </row>
    <row r="1272">
      <c r="A1272" s="17">
        <f>Github!J$1271</f>
        <v>1270</v>
      </c>
      <c r="B1272" s="34" t="str">
        <f>HYPERLINK(CONCAT("http://leetcode.com/problems/",Github!C$1271), Github!B$1271)</f>
        <v>All People Report to the Given Manager</v>
      </c>
      <c r="C1272" s="17">
        <f>Github!F$1271</f>
        <v>280</v>
      </c>
      <c r="D1272" s="17">
        <f>Github!G$1271</f>
        <v>21</v>
      </c>
      <c r="E1272" s="17">
        <f>Github!F$1271+Github!G$1271</f>
        <v>301</v>
      </c>
      <c r="F1272" s="18">
        <f t="shared" si="1"/>
        <v>13.33</v>
      </c>
      <c r="G1272" s="17" t="str">
        <f>Github!H$1271</f>
        <v>Database</v>
      </c>
      <c r="H1272" s="17" t="b">
        <f>Github!D$1271</f>
        <v>1</v>
      </c>
      <c r="I1272" s="17" t="str">
        <f>Github!E$1271</f>
        <v>Medium</v>
      </c>
      <c r="J1272" s="17" t="str">
        <f>ROUND(Github!N$1271, 2)&amp;"%"</f>
        <v>0%</v>
      </c>
      <c r="K1272" s="17">
        <f>Github!O$1271</f>
        <v>88.0512746</v>
      </c>
      <c r="L1272" s="17">
        <f>Github!P$1271</f>
        <v>36337</v>
      </c>
    </row>
    <row r="1273">
      <c r="A1273" s="17">
        <f>Github!J$1272</f>
        <v>1271</v>
      </c>
      <c r="B1273" s="34" t="str">
        <f>HYPERLINK(CONCAT("http://leetcode.com/problems/",Github!C$1272), Github!B$1272)</f>
        <v>Hexspeak</v>
      </c>
      <c r="C1273" s="17">
        <f>Github!F$1272</f>
        <v>57</v>
      </c>
      <c r="D1273" s="17">
        <f>Github!G$1272</f>
        <v>101</v>
      </c>
      <c r="E1273" s="17">
        <f>Github!F$1272+Github!G$1272</f>
        <v>158</v>
      </c>
      <c r="F1273" s="18">
        <f t="shared" si="1"/>
        <v>0.56</v>
      </c>
      <c r="G1273" s="17" t="str">
        <f>Github!H$1272</f>
        <v>Algorithms</v>
      </c>
      <c r="H1273" s="17" t="b">
        <f>Github!D$1272</f>
        <v>1</v>
      </c>
      <c r="I1273" s="17" t="str">
        <f>Github!E$1272</f>
        <v>Easy</v>
      </c>
      <c r="J1273" s="17" t="str">
        <f>ROUND(Github!N$1272, 2)&amp;"%"</f>
        <v>0%</v>
      </c>
      <c r="K1273" s="17">
        <f>Github!O$1272</f>
        <v>56.30627333</v>
      </c>
      <c r="L1273" s="17">
        <f>Github!P$1272</f>
        <v>7692</v>
      </c>
    </row>
    <row r="1274">
      <c r="A1274" s="17">
        <f>Github!J$1273</f>
        <v>1272</v>
      </c>
      <c r="B1274" s="34" t="str">
        <f>HYPERLINK(CONCAT("http://leetcode.com/problems/",Github!C$1273), Github!B$1273)</f>
        <v>Remove Interval</v>
      </c>
      <c r="C1274" s="17">
        <f>Github!F$1273</f>
        <v>257</v>
      </c>
      <c r="D1274" s="17">
        <f>Github!G$1273</f>
        <v>20</v>
      </c>
      <c r="E1274" s="17">
        <f>Github!F$1273+Github!G$1273</f>
        <v>277</v>
      </c>
      <c r="F1274" s="18">
        <f t="shared" si="1"/>
        <v>12.85</v>
      </c>
      <c r="G1274" s="17" t="str">
        <f>Github!H$1273</f>
        <v>Algorithms</v>
      </c>
      <c r="H1274" s="17" t="b">
        <f>Github!D$1273</f>
        <v>1</v>
      </c>
      <c r="I1274" s="17" t="str">
        <f>Github!E$1273</f>
        <v>Medium</v>
      </c>
      <c r="J1274" s="17" t="str">
        <f>ROUND(Github!N$1273, 2)&amp;"%"</f>
        <v>1%</v>
      </c>
      <c r="K1274" s="17">
        <f>Github!O$1273</f>
        <v>60.84576616</v>
      </c>
      <c r="L1274" s="17">
        <f>Github!P$1273</f>
        <v>18230</v>
      </c>
    </row>
    <row r="1275">
      <c r="A1275" s="17">
        <f>Github!J$1274</f>
        <v>1273</v>
      </c>
      <c r="B1275" s="34" t="str">
        <f>HYPERLINK(CONCAT("http://leetcode.com/problems/",Github!C$1274), Github!B$1274)</f>
        <v>Delete Tree Nodes</v>
      </c>
      <c r="C1275" s="17">
        <f>Github!F$1274</f>
        <v>185</v>
      </c>
      <c r="D1275" s="17">
        <f>Github!G$1274</f>
        <v>58</v>
      </c>
      <c r="E1275" s="17">
        <f>Github!F$1274+Github!G$1274</f>
        <v>243</v>
      </c>
      <c r="F1275" s="18">
        <f t="shared" si="1"/>
        <v>3.19</v>
      </c>
      <c r="G1275" s="17" t="str">
        <f>Github!H$1274</f>
        <v>Algorithms</v>
      </c>
      <c r="H1275" s="17" t="b">
        <f>Github!D$1274</f>
        <v>1</v>
      </c>
      <c r="I1275" s="17" t="str">
        <f>Github!E$1274</f>
        <v>Medium</v>
      </c>
      <c r="J1275" s="17" t="str">
        <f>ROUND(Github!N$1274, 2)&amp;"%"</f>
        <v>0%</v>
      </c>
      <c r="K1275" s="17">
        <f>Github!O$1274</f>
        <v>61.22173978</v>
      </c>
      <c r="L1275" s="17">
        <f>Github!P$1274</f>
        <v>8178</v>
      </c>
    </row>
    <row r="1276">
      <c r="A1276" s="17">
        <f>Github!J$1275</f>
        <v>1274</v>
      </c>
      <c r="B1276" s="34" t="str">
        <f>HYPERLINK(CONCAT("http://leetcode.com/problems/",Github!C$1275), Github!B$1275)</f>
        <v>Number of Ships in a Rectangle</v>
      </c>
      <c r="C1276" s="17">
        <f>Github!F$1275</f>
        <v>357</v>
      </c>
      <c r="D1276" s="17">
        <f>Github!G$1275</f>
        <v>42</v>
      </c>
      <c r="E1276" s="17">
        <f>Github!F$1275+Github!G$1275</f>
        <v>399</v>
      </c>
      <c r="F1276" s="18">
        <f t="shared" si="1"/>
        <v>8.5</v>
      </c>
      <c r="G1276" s="17" t="str">
        <f>Github!H$1275</f>
        <v>Algorithms</v>
      </c>
      <c r="H1276" s="17" t="b">
        <f>Github!D$1275</f>
        <v>1</v>
      </c>
      <c r="I1276" s="17" t="str">
        <f>Github!E$1275</f>
        <v>Hard</v>
      </c>
      <c r="J1276" s="17" t="str">
        <f>ROUND(Github!N$1275, 2)&amp;"%"</f>
        <v>0%</v>
      </c>
      <c r="K1276" s="17">
        <f>Github!O$1275</f>
        <v>68.47599165</v>
      </c>
      <c r="L1276" s="17">
        <f>Github!P$1275</f>
        <v>16727</v>
      </c>
    </row>
    <row r="1277">
      <c r="A1277" s="17">
        <f>Github!J$1276</f>
        <v>1275</v>
      </c>
      <c r="B1277" s="34" t="str">
        <f>HYPERLINK(CONCAT("http://leetcode.com/problems/",Github!C$1276), Github!B$1276)</f>
        <v>Find Winner on a Tic Tac Toe Game</v>
      </c>
      <c r="C1277" s="17">
        <f>Github!F$1276</f>
        <v>784</v>
      </c>
      <c r="D1277" s="17">
        <f>Github!G$1276</f>
        <v>202</v>
      </c>
      <c r="E1277" s="17">
        <f>Github!F$1276+Github!G$1276</f>
        <v>986</v>
      </c>
      <c r="F1277" s="18">
        <f t="shared" si="1"/>
        <v>3.88</v>
      </c>
      <c r="G1277" s="17" t="str">
        <f>Github!H$1276</f>
        <v>Algorithms</v>
      </c>
      <c r="H1277" s="17" t="b">
        <f>Github!D$1276</f>
        <v>0</v>
      </c>
      <c r="I1277" s="17" t="str">
        <f>Github!E$1276</f>
        <v>Easy</v>
      </c>
      <c r="J1277" s="17" t="str">
        <f>ROUND(Github!N$1276, 2)&amp;"%"</f>
        <v>0%</v>
      </c>
      <c r="K1277" s="17">
        <f>Github!O$1276</f>
        <v>55.05381261</v>
      </c>
      <c r="L1277" s="17">
        <f>Github!P$1276</f>
        <v>67419</v>
      </c>
    </row>
    <row r="1278">
      <c r="A1278" s="17">
        <f>Github!J$1277</f>
        <v>1276</v>
      </c>
      <c r="B1278" s="34" t="str">
        <f>HYPERLINK(CONCAT("http://leetcode.com/problems/",Github!C$1277), Github!B$1277)</f>
        <v>Number of Burgers with No Waste of Ingredients</v>
      </c>
      <c r="C1278" s="17">
        <f>Github!F$1277</f>
        <v>211</v>
      </c>
      <c r="D1278" s="17">
        <f>Github!G$1277</f>
        <v>183</v>
      </c>
      <c r="E1278" s="17">
        <f>Github!F$1277+Github!G$1277</f>
        <v>394</v>
      </c>
      <c r="F1278" s="18">
        <f t="shared" si="1"/>
        <v>1.15</v>
      </c>
      <c r="G1278" s="17" t="str">
        <f>Github!H$1277</f>
        <v>Algorithms</v>
      </c>
      <c r="H1278" s="17" t="b">
        <f>Github!D$1277</f>
        <v>0</v>
      </c>
      <c r="I1278" s="17" t="str">
        <f>Github!E$1277</f>
        <v>Medium</v>
      </c>
      <c r="J1278" s="17" t="str">
        <f>ROUND(Github!N$1277, 2)&amp;"%"</f>
        <v>0%</v>
      </c>
      <c r="K1278" s="17">
        <f>Github!O$1277</f>
        <v>50.62626848</v>
      </c>
      <c r="L1278" s="17">
        <f>Github!P$1277</f>
        <v>17461</v>
      </c>
    </row>
    <row r="1279">
      <c r="A1279" s="17">
        <f>Github!J$1278</f>
        <v>1277</v>
      </c>
      <c r="B1279" s="34" t="str">
        <f>HYPERLINK(CONCAT("http://leetcode.com/problems/",Github!C$1278), Github!B$1278)</f>
        <v>Count Square Submatrices with All Ones</v>
      </c>
      <c r="C1279" s="17">
        <f>Github!F$1278</f>
        <v>3121</v>
      </c>
      <c r="D1279" s="17">
        <f>Github!G$1278</f>
        <v>52</v>
      </c>
      <c r="E1279" s="17">
        <f>Github!F$1278+Github!G$1278</f>
        <v>3173</v>
      </c>
      <c r="F1279" s="18">
        <f t="shared" si="1"/>
        <v>60.02</v>
      </c>
      <c r="G1279" s="17" t="str">
        <f>Github!H$1278</f>
        <v>Algorithms</v>
      </c>
      <c r="H1279" s="17" t="b">
        <f>Github!D$1278</f>
        <v>0</v>
      </c>
      <c r="I1279" s="17" t="str">
        <f>Github!E$1278</f>
        <v>Medium</v>
      </c>
      <c r="J1279" s="17" t="str">
        <f>ROUND(Github!N$1278, 2)&amp;"%"</f>
        <v>0%</v>
      </c>
      <c r="K1279" s="17">
        <f>Github!O$1278</f>
        <v>74.14456658</v>
      </c>
      <c r="L1279" s="17">
        <f>Github!P$1278</f>
        <v>155277</v>
      </c>
    </row>
    <row r="1280">
      <c r="A1280" s="17">
        <f>Github!J$1279</f>
        <v>1278</v>
      </c>
      <c r="B1280" s="34" t="str">
        <f>HYPERLINK(CONCAT("http://leetcode.com/problems/",Github!C$1279), Github!B$1279)</f>
        <v>Palindrome Partitioning III</v>
      </c>
      <c r="C1280" s="17">
        <f>Github!F$1279</f>
        <v>682</v>
      </c>
      <c r="D1280" s="17">
        <f>Github!G$1279</f>
        <v>12</v>
      </c>
      <c r="E1280" s="17">
        <f>Github!F$1279+Github!G$1279</f>
        <v>694</v>
      </c>
      <c r="F1280" s="18">
        <f t="shared" si="1"/>
        <v>56.83</v>
      </c>
      <c r="G1280" s="17" t="str">
        <f>Github!H$1279</f>
        <v>Algorithms</v>
      </c>
      <c r="H1280" s="17" t="b">
        <f>Github!D$1279</f>
        <v>0</v>
      </c>
      <c r="I1280" s="17" t="str">
        <f>Github!E$1279</f>
        <v>Hard</v>
      </c>
      <c r="J1280" s="17" t="str">
        <f>ROUND(Github!N$1279, 2)&amp;"%"</f>
        <v>0%</v>
      </c>
      <c r="K1280" s="17">
        <f>Github!O$1279</f>
        <v>60.94648081</v>
      </c>
      <c r="L1280" s="17">
        <f>Github!P$1279</f>
        <v>17708</v>
      </c>
    </row>
    <row r="1281">
      <c r="A1281" s="17">
        <f>Github!J$1280</f>
        <v>1279</v>
      </c>
      <c r="B1281" s="34" t="str">
        <f>HYPERLINK(CONCAT("http://leetcode.com/problems/",Github!C$1280), Github!B$1280)</f>
        <v>Traffic Light Controlled Intersection</v>
      </c>
      <c r="C1281" s="17">
        <f>Github!F$1280</f>
        <v>49</v>
      </c>
      <c r="D1281" s="17">
        <f>Github!G$1280</f>
        <v>236</v>
      </c>
      <c r="E1281" s="17">
        <f>Github!F$1280+Github!G$1280</f>
        <v>285</v>
      </c>
      <c r="F1281" s="18">
        <f t="shared" si="1"/>
        <v>0.21</v>
      </c>
      <c r="G1281" s="17" t="str">
        <f>Github!H$1280</f>
        <v>Concurrency</v>
      </c>
      <c r="H1281" s="17" t="b">
        <f>Github!D$1280</f>
        <v>1</v>
      </c>
      <c r="I1281" s="17" t="str">
        <f>Github!E$1280</f>
        <v>Easy</v>
      </c>
      <c r="J1281" s="17" t="str">
        <f>ROUND(Github!N$1280, 2)&amp;"%"</f>
        <v>0%</v>
      </c>
      <c r="K1281" s="17">
        <f>Github!O$1280</f>
        <v>75.47791091</v>
      </c>
      <c r="L1281" s="17">
        <f>Github!P$1280</f>
        <v>8252</v>
      </c>
    </row>
    <row r="1282">
      <c r="A1282" s="17">
        <f>Github!J$1281</f>
        <v>1280</v>
      </c>
      <c r="B1282" s="34" t="str">
        <f>HYPERLINK(CONCAT("http://leetcode.com/problems/",Github!C$1281), Github!B$1281)</f>
        <v>Students and Examinations</v>
      </c>
      <c r="C1282" s="17">
        <f>Github!F$1281</f>
        <v>231</v>
      </c>
      <c r="D1282" s="17">
        <f>Github!G$1281</f>
        <v>31</v>
      </c>
      <c r="E1282" s="17">
        <f>Github!F$1281+Github!G$1281</f>
        <v>262</v>
      </c>
      <c r="F1282" s="18">
        <f t="shared" si="1"/>
        <v>7.45</v>
      </c>
      <c r="G1282" s="17" t="str">
        <f>Github!H$1281</f>
        <v>Database</v>
      </c>
      <c r="H1282" s="17" t="b">
        <f>Github!D$1281</f>
        <v>1</v>
      </c>
      <c r="I1282" s="17" t="str">
        <f>Github!E$1281</f>
        <v>Easy</v>
      </c>
      <c r="J1282" s="17" t="str">
        <f>ROUND(Github!N$1281, 2)&amp;"%"</f>
        <v>0%</v>
      </c>
      <c r="K1282" s="17">
        <f>Github!O$1281</f>
        <v>74.53836411</v>
      </c>
      <c r="L1282" s="17">
        <f>Github!P$1281</f>
        <v>22363</v>
      </c>
    </row>
    <row r="1283">
      <c r="A1283" s="17">
        <f>Github!J$1282</f>
        <v>1281</v>
      </c>
      <c r="B1283" s="34" t="str">
        <f>HYPERLINK(CONCAT("http://leetcode.com/problems/",Github!C$1282), Github!B$1282)</f>
        <v>Subtract the Product and Sum of Digits of an Integer</v>
      </c>
      <c r="C1283" s="17">
        <f>Github!F$1282</f>
        <v>1028</v>
      </c>
      <c r="D1283" s="17">
        <f>Github!G$1282</f>
        <v>183</v>
      </c>
      <c r="E1283" s="17">
        <f>Github!F$1282+Github!G$1282</f>
        <v>1211</v>
      </c>
      <c r="F1283" s="18">
        <f t="shared" si="1"/>
        <v>5.62</v>
      </c>
      <c r="G1283" s="17" t="str">
        <f>Github!H$1282</f>
        <v>Algorithms</v>
      </c>
      <c r="H1283" s="17" t="b">
        <f>Github!D$1282</f>
        <v>0</v>
      </c>
      <c r="I1283" s="17" t="str">
        <f>Github!E$1282</f>
        <v>Easy</v>
      </c>
      <c r="J1283" s="17" t="str">
        <f>ROUND(Github!N$1282, 2)&amp;"%"</f>
        <v>0%</v>
      </c>
      <c r="K1283" s="17">
        <f>Github!O$1282</f>
        <v>86.10027526</v>
      </c>
      <c r="L1283" s="17">
        <f>Github!P$1282</f>
        <v>203937</v>
      </c>
    </row>
    <row r="1284">
      <c r="A1284" s="17">
        <f>Github!J$1283</f>
        <v>1282</v>
      </c>
      <c r="B1284" s="34" t="str">
        <f>HYPERLINK(CONCAT("http://leetcode.com/problems/",Github!C$1283), Github!B$1283)</f>
        <v>Group the People Given the Group Size They Belong To</v>
      </c>
      <c r="C1284" s="17">
        <f>Github!F$1283</f>
        <v>953</v>
      </c>
      <c r="D1284" s="17">
        <f>Github!G$1283</f>
        <v>454</v>
      </c>
      <c r="E1284" s="17">
        <f>Github!F$1283+Github!G$1283</f>
        <v>1407</v>
      </c>
      <c r="F1284" s="18">
        <f t="shared" si="1"/>
        <v>2.1</v>
      </c>
      <c r="G1284" s="17" t="str">
        <f>Github!H$1283</f>
        <v>Algorithms</v>
      </c>
      <c r="H1284" s="17" t="b">
        <f>Github!D$1283</f>
        <v>0</v>
      </c>
      <c r="I1284" s="17" t="str">
        <f>Github!E$1283</f>
        <v>Medium</v>
      </c>
      <c r="J1284" s="17" t="str">
        <f>ROUND(Github!N$1283, 2)&amp;"%"</f>
        <v>0%</v>
      </c>
      <c r="K1284" s="17">
        <f>Github!O$1283</f>
        <v>85.21950784</v>
      </c>
      <c r="L1284" s="17">
        <f>Github!P$1283</f>
        <v>76326</v>
      </c>
    </row>
    <row r="1285">
      <c r="A1285" s="17">
        <f>Github!J$1284</f>
        <v>1283</v>
      </c>
      <c r="B1285" s="34" t="str">
        <f>HYPERLINK(CONCAT("http://leetcode.com/problems/",Github!C$1284), Github!B$1284)</f>
        <v>Find the Smallest Divisor Given a Threshold</v>
      </c>
      <c r="C1285" s="17">
        <f>Github!F$1284</f>
        <v>1268</v>
      </c>
      <c r="D1285" s="17">
        <f>Github!G$1284</f>
        <v>149</v>
      </c>
      <c r="E1285" s="17">
        <f>Github!F$1284+Github!G$1284</f>
        <v>1417</v>
      </c>
      <c r="F1285" s="18">
        <f t="shared" si="1"/>
        <v>8.51</v>
      </c>
      <c r="G1285" s="17" t="str">
        <f>Github!H$1284</f>
        <v>Algorithms</v>
      </c>
      <c r="H1285" s="17" t="b">
        <f>Github!D$1284</f>
        <v>0</v>
      </c>
      <c r="I1285" s="17" t="str">
        <f>Github!E$1284</f>
        <v>Medium</v>
      </c>
      <c r="J1285" s="17" t="str">
        <f>ROUND(Github!N$1284, 2)&amp;"%"</f>
        <v>0%</v>
      </c>
      <c r="K1285" s="17">
        <f>Github!O$1284</f>
        <v>53.36428659</v>
      </c>
      <c r="L1285" s="17">
        <f>Github!P$1284</f>
        <v>78038</v>
      </c>
    </row>
    <row r="1286">
      <c r="A1286" s="17">
        <f>Github!J$1285</f>
        <v>1284</v>
      </c>
      <c r="B1286" s="34" t="str">
        <f>HYPERLINK(CONCAT("http://leetcode.com/problems/",Github!C$1285), Github!B$1285)</f>
        <v>Minimum Number of Flips to Convert Binary Matrix to Zero Matrix</v>
      </c>
      <c r="C1286" s="17">
        <f>Github!F$1285</f>
        <v>550</v>
      </c>
      <c r="D1286" s="17">
        <f>Github!G$1285</f>
        <v>56</v>
      </c>
      <c r="E1286" s="17">
        <f>Github!F$1285+Github!G$1285</f>
        <v>606</v>
      </c>
      <c r="F1286" s="18">
        <f t="shared" si="1"/>
        <v>9.82</v>
      </c>
      <c r="G1286" s="17" t="str">
        <f>Github!H$1285</f>
        <v>Algorithms</v>
      </c>
      <c r="H1286" s="17" t="b">
        <f>Github!D$1285</f>
        <v>0</v>
      </c>
      <c r="I1286" s="17" t="str">
        <f>Github!E$1285</f>
        <v>Hard</v>
      </c>
      <c r="J1286" s="17" t="str">
        <f>ROUND(Github!N$1285, 2)&amp;"%"</f>
        <v>0%</v>
      </c>
      <c r="K1286" s="17">
        <f>Github!O$1285</f>
        <v>71.53843254</v>
      </c>
      <c r="L1286" s="17">
        <f>Github!P$1285</f>
        <v>18974</v>
      </c>
    </row>
    <row r="1287">
      <c r="A1287" s="17">
        <f>Github!J$1286</f>
        <v>1285</v>
      </c>
      <c r="B1287" s="34" t="str">
        <f>HYPERLINK(CONCAT("http://leetcode.com/problems/",Github!C$1286), Github!B$1286)</f>
        <v>Find the Start and End Number of Continuous Ranges</v>
      </c>
      <c r="C1287" s="17">
        <f>Github!F$1286</f>
        <v>329</v>
      </c>
      <c r="D1287" s="17">
        <f>Github!G$1286</f>
        <v>24</v>
      </c>
      <c r="E1287" s="17">
        <f>Github!F$1286+Github!G$1286</f>
        <v>353</v>
      </c>
      <c r="F1287" s="18">
        <f t="shared" si="1"/>
        <v>13.71</v>
      </c>
      <c r="G1287" s="17" t="str">
        <f>Github!H$1286</f>
        <v>Database</v>
      </c>
      <c r="H1287" s="17" t="b">
        <f>Github!D$1286</f>
        <v>1</v>
      </c>
      <c r="I1287" s="17" t="str">
        <f>Github!E$1286</f>
        <v>Medium</v>
      </c>
      <c r="J1287" s="17" t="str">
        <f>ROUND(Github!N$1286, 2)&amp;"%"</f>
        <v>0%</v>
      </c>
      <c r="K1287" s="17">
        <f>Github!O$1286</f>
        <v>88.35775202</v>
      </c>
      <c r="L1287" s="17">
        <f>Github!P$1286</f>
        <v>20203</v>
      </c>
    </row>
    <row r="1288">
      <c r="A1288" s="17">
        <f>Github!J$1287</f>
        <v>1286</v>
      </c>
      <c r="B1288" s="34" t="str">
        <f>HYPERLINK(CONCAT("http://leetcode.com/problems/",Github!C$1287), Github!B$1287)</f>
        <v>Iterator for Combination</v>
      </c>
      <c r="C1288" s="17">
        <f>Github!F$1287</f>
        <v>1118</v>
      </c>
      <c r="D1288" s="17">
        <f>Github!G$1287</f>
        <v>90</v>
      </c>
      <c r="E1288" s="17">
        <f>Github!F$1287+Github!G$1287</f>
        <v>1208</v>
      </c>
      <c r="F1288" s="18">
        <f t="shared" si="1"/>
        <v>12.42</v>
      </c>
      <c r="G1288" s="17" t="str">
        <f>Github!H$1287</f>
        <v>Algorithms</v>
      </c>
      <c r="H1288" s="17" t="b">
        <f>Github!D$1287</f>
        <v>0</v>
      </c>
      <c r="I1288" s="17" t="str">
        <f>Github!E$1287</f>
        <v>Medium</v>
      </c>
      <c r="J1288" s="17" t="str">
        <f>ROUND(Github!N$1287, 2)&amp;"%"</f>
        <v>0%</v>
      </c>
      <c r="K1288" s="17">
        <f>Github!O$1287</f>
        <v>73.18869997</v>
      </c>
      <c r="L1288" s="17">
        <f>Github!P$1287</f>
        <v>61297</v>
      </c>
    </row>
    <row r="1289">
      <c r="A1289" s="17">
        <f>Github!J$1288</f>
        <v>1287</v>
      </c>
      <c r="B1289" s="34" t="str">
        <f>HYPERLINK(CONCAT("http://leetcode.com/problems/",Github!C$1288), Github!B$1288)</f>
        <v>Element Appearing More Than 25% In Sorted Array</v>
      </c>
      <c r="C1289" s="17">
        <f>Github!F$1288</f>
        <v>618</v>
      </c>
      <c r="D1289" s="17">
        <f>Github!G$1288</f>
        <v>35</v>
      </c>
      <c r="E1289" s="17">
        <f>Github!F$1288+Github!G$1288</f>
        <v>653</v>
      </c>
      <c r="F1289" s="18">
        <f t="shared" si="1"/>
        <v>17.66</v>
      </c>
      <c r="G1289" s="17" t="str">
        <f>Github!H$1288</f>
        <v>Algorithms</v>
      </c>
      <c r="H1289" s="17" t="b">
        <f>Github!D$1288</f>
        <v>0</v>
      </c>
      <c r="I1289" s="17" t="str">
        <f>Github!E$1288</f>
        <v>Easy</v>
      </c>
      <c r="J1289" s="17" t="str">
        <f>ROUND(Github!N$1288, 2)&amp;"%"</f>
        <v>0%</v>
      </c>
      <c r="K1289" s="17">
        <f>Github!O$1288</f>
        <v>59.53154724</v>
      </c>
      <c r="L1289" s="17">
        <f>Github!P$1288</f>
        <v>60084</v>
      </c>
    </row>
    <row r="1290">
      <c r="A1290" s="17">
        <f>Github!J$1289</f>
        <v>1288</v>
      </c>
      <c r="B1290" s="34" t="str">
        <f>HYPERLINK(CONCAT("http://leetcode.com/problems/",Github!C$1289), Github!B$1289)</f>
        <v>Remove Covered Intervals</v>
      </c>
      <c r="C1290" s="17">
        <f>Github!F$1289</f>
        <v>1829</v>
      </c>
      <c r="D1290" s="17">
        <f>Github!G$1289</f>
        <v>44</v>
      </c>
      <c r="E1290" s="17">
        <f>Github!F$1289+Github!G$1289</f>
        <v>1873</v>
      </c>
      <c r="F1290" s="18">
        <f t="shared" si="1"/>
        <v>41.57</v>
      </c>
      <c r="G1290" s="17" t="str">
        <f>Github!H$1289</f>
        <v>Algorithms</v>
      </c>
      <c r="H1290" s="17" t="b">
        <f>Github!D$1289</f>
        <v>0</v>
      </c>
      <c r="I1290" s="17" t="str">
        <f>Github!E$1289</f>
        <v>Medium</v>
      </c>
      <c r="J1290" s="17" t="str">
        <f>ROUND(Github!N$1289, 2)&amp;"%"</f>
        <v>0%</v>
      </c>
      <c r="K1290" s="17">
        <f>Github!O$1289</f>
        <v>57.39973605</v>
      </c>
      <c r="L1290" s="17">
        <f>Github!P$1289</f>
        <v>93945</v>
      </c>
    </row>
    <row r="1291">
      <c r="A1291" s="17">
        <f>Github!J$1290</f>
        <v>1289</v>
      </c>
      <c r="B1291" s="34" t="str">
        <f>HYPERLINK(CONCAT("http://leetcode.com/problems/",Github!C$1290), Github!B$1290)</f>
        <v>Minimum Falling Path Sum II</v>
      </c>
      <c r="C1291" s="17">
        <f>Github!F$1290</f>
        <v>712</v>
      </c>
      <c r="D1291" s="17">
        <f>Github!G$1290</f>
        <v>62</v>
      </c>
      <c r="E1291" s="17">
        <f>Github!F$1290+Github!G$1290</f>
        <v>774</v>
      </c>
      <c r="F1291" s="18">
        <f t="shared" si="1"/>
        <v>11.48</v>
      </c>
      <c r="G1291" s="17" t="str">
        <f>Github!H$1290</f>
        <v>Algorithms</v>
      </c>
      <c r="H1291" s="17" t="b">
        <f>Github!D$1290</f>
        <v>0</v>
      </c>
      <c r="I1291" s="17" t="str">
        <f>Github!E$1290</f>
        <v>Hard</v>
      </c>
      <c r="J1291" s="17" t="str">
        <f>ROUND(Github!N$1290, 2)&amp;"%"</f>
        <v>0%</v>
      </c>
      <c r="K1291" s="17">
        <f>Github!O$1290</f>
        <v>61.52158693</v>
      </c>
      <c r="L1291" s="17">
        <f>Github!P$1290</f>
        <v>26362</v>
      </c>
    </row>
    <row r="1292">
      <c r="A1292" s="17">
        <f>Github!J$1291</f>
        <v>1290</v>
      </c>
      <c r="B1292" s="34" t="str">
        <f>HYPERLINK(CONCAT("http://leetcode.com/problems/",Github!C$1291), Github!B$1291)</f>
        <v>Convert Binary Number in a Linked List to Integer</v>
      </c>
      <c r="C1292" s="17">
        <f>Github!F$1291</f>
        <v>2349</v>
      </c>
      <c r="D1292" s="17">
        <f>Github!G$1291</f>
        <v>116</v>
      </c>
      <c r="E1292" s="17">
        <f>Github!F$1291+Github!G$1291</f>
        <v>2465</v>
      </c>
      <c r="F1292" s="18">
        <f t="shared" si="1"/>
        <v>20.25</v>
      </c>
      <c r="G1292" s="17" t="str">
        <f>Github!H$1291</f>
        <v>Algorithms</v>
      </c>
      <c r="H1292" s="17" t="b">
        <f>Github!D$1291</f>
        <v>0</v>
      </c>
      <c r="I1292" s="17" t="str">
        <f>Github!E$1291</f>
        <v>Easy</v>
      </c>
      <c r="J1292" s="17" t="str">
        <f>ROUND(Github!N$1291, 2)&amp;"%"</f>
        <v>0%</v>
      </c>
      <c r="K1292" s="17">
        <f>Github!O$1291</f>
        <v>82.67432777</v>
      </c>
      <c r="L1292" s="17">
        <f>Github!P$1291</f>
        <v>270929</v>
      </c>
    </row>
    <row r="1293">
      <c r="A1293" s="17">
        <f>Github!J$1292</f>
        <v>1291</v>
      </c>
      <c r="B1293" s="34" t="str">
        <f>HYPERLINK(CONCAT("http://leetcode.com/problems/",Github!C$1292), Github!B$1292)</f>
        <v>Sequential Digits</v>
      </c>
      <c r="C1293" s="17">
        <f>Github!F$1292</f>
        <v>1572</v>
      </c>
      <c r="D1293" s="17">
        <f>Github!G$1292</f>
        <v>98</v>
      </c>
      <c r="E1293" s="17">
        <f>Github!F$1292+Github!G$1292</f>
        <v>1670</v>
      </c>
      <c r="F1293" s="18">
        <f t="shared" si="1"/>
        <v>16.04</v>
      </c>
      <c r="G1293" s="17" t="str">
        <f>Github!H$1292</f>
        <v>Algorithms</v>
      </c>
      <c r="H1293" s="17" t="b">
        <f>Github!D$1292</f>
        <v>0</v>
      </c>
      <c r="I1293" s="17" t="str">
        <f>Github!E$1292</f>
        <v>Medium</v>
      </c>
      <c r="J1293" s="17" t="str">
        <f>ROUND(Github!N$1292, 2)&amp;"%"</f>
        <v>0%</v>
      </c>
      <c r="K1293" s="17">
        <f>Github!O$1292</f>
        <v>60.83410883</v>
      </c>
      <c r="L1293" s="17">
        <f>Github!P$1292</f>
        <v>74523</v>
      </c>
    </row>
    <row r="1294">
      <c r="A1294" s="17">
        <f>Github!J$1293</f>
        <v>1292</v>
      </c>
      <c r="B1294" s="34" t="str">
        <f>HYPERLINK(CONCAT("http://leetcode.com/problems/",Github!C$1293), Github!B$1293)</f>
        <v>Maximum Side Length of a Square with Sum Less than or Equal to Threshold</v>
      </c>
      <c r="C1294" s="17">
        <f>Github!F$1293</f>
        <v>746</v>
      </c>
      <c r="D1294" s="17">
        <f>Github!G$1293</f>
        <v>56</v>
      </c>
      <c r="E1294" s="17">
        <f>Github!F$1293+Github!G$1293</f>
        <v>802</v>
      </c>
      <c r="F1294" s="18">
        <f t="shared" si="1"/>
        <v>13.32</v>
      </c>
      <c r="G1294" s="17" t="str">
        <f>Github!H$1293</f>
        <v>Algorithms</v>
      </c>
      <c r="H1294" s="17" t="b">
        <f>Github!D$1293</f>
        <v>0</v>
      </c>
      <c r="I1294" s="17" t="str">
        <f>Github!E$1293</f>
        <v>Medium</v>
      </c>
      <c r="J1294" s="17" t="str">
        <f>ROUND(Github!N$1293, 2)&amp;"%"</f>
        <v>0%</v>
      </c>
      <c r="K1294" s="17">
        <f>Github!O$1293</f>
        <v>52.14429129</v>
      </c>
      <c r="L1294" s="17">
        <f>Github!P$1293</f>
        <v>23114</v>
      </c>
    </row>
    <row r="1295">
      <c r="A1295" s="17">
        <f>Github!J$1294</f>
        <v>1293</v>
      </c>
      <c r="B1295" s="34" t="str">
        <f>HYPERLINK(CONCAT("http://leetcode.com/problems/",Github!C$1294), Github!B$1294)</f>
        <v>Shortest Path in a Grid with Obstacles Elimination</v>
      </c>
      <c r="C1295" s="17">
        <f>Github!F$1294</f>
        <v>1943</v>
      </c>
      <c r="D1295" s="17">
        <f>Github!G$1294</f>
        <v>36</v>
      </c>
      <c r="E1295" s="17">
        <f>Github!F$1294+Github!G$1294</f>
        <v>1979</v>
      </c>
      <c r="F1295" s="18">
        <f t="shared" si="1"/>
        <v>53.97</v>
      </c>
      <c r="G1295" s="17" t="str">
        <f>Github!H$1294</f>
        <v>Algorithms</v>
      </c>
      <c r="H1295" s="17" t="b">
        <f>Github!D$1294</f>
        <v>0</v>
      </c>
      <c r="I1295" s="17" t="str">
        <f>Github!E$1294</f>
        <v>Hard</v>
      </c>
      <c r="J1295" s="17" t="str">
        <f>ROUND(Github!N$1294, 2)&amp;"%"</f>
        <v>0%</v>
      </c>
      <c r="K1295" s="17">
        <f>Github!O$1294</f>
        <v>43.57236786</v>
      </c>
      <c r="L1295" s="17">
        <f>Github!P$1294</f>
        <v>82171</v>
      </c>
    </row>
    <row r="1296">
      <c r="A1296" s="17">
        <f>Github!J$1295</f>
        <v>1294</v>
      </c>
      <c r="B1296" s="34" t="str">
        <f>HYPERLINK(CONCAT("http://leetcode.com/problems/",Github!C$1295), Github!B$1295)</f>
        <v>Weather Type in Each Country</v>
      </c>
      <c r="C1296" s="17">
        <f>Github!F$1295</f>
        <v>76</v>
      </c>
      <c r="D1296" s="17">
        <f>Github!G$1295</f>
        <v>17</v>
      </c>
      <c r="E1296" s="17">
        <f>Github!F$1295+Github!G$1295</f>
        <v>93</v>
      </c>
      <c r="F1296" s="18">
        <f t="shared" si="1"/>
        <v>4.47</v>
      </c>
      <c r="G1296" s="17" t="str">
        <f>Github!H$1295</f>
        <v>Database</v>
      </c>
      <c r="H1296" s="17" t="b">
        <f>Github!D$1295</f>
        <v>1</v>
      </c>
      <c r="I1296" s="17" t="str">
        <f>Github!E$1295</f>
        <v>Easy</v>
      </c>
      <c r="J1296" s="17" t="str">
        <f>ROUND(Github!N$1295, 2)&amp;"%"</f>
        <v>0%</v>
      </c>
      <c r="K1296" s="17">
        <f>Github!O$1295</f>
        <v>67.4169607</v>
      </c>
      <c r="L1296" s="17">
        <f>Github!P$1295</f>
        <v>22164</v>
      </c>
    </row>
    <row r="1297">
      <c r="A1297" s="17">
        <f>Github!J$1296</f>
        <v>1295</v>
      </c>
      <c r="B1297" s="34" t="str">
        <f>HYPERLINK(CONCAT("http://leetcode.com/problems/",Github!C$1296), Github!B$1296)</f>
        <v>Find Numbers with Even Number of Digits</v>
      </c>
      <c r="C1297" s="17">
        <f>Github!F$1296</f>
        <v>1157</v>
      </c>
      <c r="D1297" s="17">
        <f>Github!G$1296</f>
        <v>95</v>
      </c>
      <c r="E1297" s="17">
        <f>Github!F$1296+Github!G$1296</f>
        <v>1252</v>
      </c>
      <c r="F1297" s="18">
        <f t="shared" si="1"/>
        <v>12.18</v>
      </c>
      <c r="G1297" s="17" t="str">
        <f>Github!H$1296</f>
        <v>Algorithms</v>
      </c>
      <c r="H1297" s="17" t="b">
        <f>Github!D$1296</f>
        <v>0</v>
      </c>
      <c r="I1297" s="17" t="str">
        <f>Github!E$1296</f>
        <v>Easy</v>
      </c>
      <c r="J1297" s="17" t="str">
        <f>ROUND(Github!N$1296, 2)&amp;"%"</f>
        <v>0%</v>
      </c>
      <c r="K1297" s="17">
        <f>Github!O$1296</f>
        <v>77.22084179</v>
      </c>
      <c r="L1297" s="17">
        <f>Github!P$1296</f>
        <v>407106</v>
      </c>
    </row>
    <row r="1298">
      <c r="A1298" s="17">
        <f>Github!J$1297</f>
        <v>1296</v>
      </c>
      <c r="B1298" s="34" t="str">
        <f>HYPERLINK(CONCAT("http://leetcode.com/problems/",Github!C$1297), Github!B$1297)</f>
        <v>Divide Array in Sets of K Consecutive Numbers</v>
      </c>
      <c r="C1298" s="17">
        <f>Github!F$1297</f>
        <v>1029</v>
      </c>
      <c r="D1298" s="17">
        <f>Github!G$1297</f>
        <v>77</v>
      </c>
      <c r="E1298" s="17">
        <f>Github!F$1297+Github!G$1297</f>
        <v>1106</v>
      </c>
      <c r="F1298" s="18">
        <f t="shared" si="1"/>
        <v>13.36</v>
      </c>
      <c r="G1298" s="17" t="str">
        <f>Github!H$1297</f>
        <v>Algorithms</v>
      </c>
      <c r="H1298" s="17" t="b">
        <f>Github!D$1297</f>
        <v>0</v>
      </c>
      <c r="I1298" s="17" t="str">
        <f>Github!E$1297</f>
        <v>Medium</v>
      </c>
      <c r="J1298" s="17" t="str">
        <f>ROUND(Github!N$1297, 2)&amp;"%"</f>
        <v>0%</v>
      </c>
      <c r="K1298" s="17">
        <f>Github!O$1297</f>
        <v>56.44676849</v>
      </c>
      <c r="L1298" s="17">
        <f>Github!P$1297</f>
        <v>57320</v>
      </c>
    </row>
    <row r="1299">
      <c r="A1299" s="17">
        <f>Github!J$1298</f>
        <v>1297</v>
      </c>
      <c r="B1299" s="34" t="str">
        <f>HYPERLINK(CONCAT("http://leetcode.com/problems/",Github!C$1298), Github!B$1298)</f>
        <v>Maximum Number of Occurrences of a Substring</v>
      </c>
      <c r="C1299" s="17">
        <f>Github!F$1298</f>
        <v>567</v>
      </c>
      <c r="D1299" s="17">
        <f>Github!G$1298</f>
        <v>286</v>
      </c>
      <c r="E1299" s="17">
        <f>Github!F$1298+Github!G$1298</f>
        <v>853</v>
      </c>
      <c r="F1299" s="18">
        <f t="shared" si="1"/>
        <v>1.98</v>
      </c>
      <c r="G1299" s="17" t="str">
        <f>Github!H$1298</f>
        <v>Algorithms</v>
      </c>
      <c r="H1299" s="17" t="b">
        <f>Github!D$1298</f>
        <v>0</v>
      </c>
      <c r="I1299" s="17" t="str">
        <f>Github!E$1298</f>
        <v>Medium</v>
      </c>
      <c r="J1299" s="17" t="str">
        <f>ROUND(Github!N$1298, 2)&amp;"%"</f>
        <v>0%</v>
      </c>
      <c r="K1299" s="17">
        <f>Github!O$1298</f>
        <v>52.38349936</v>
      </c>
      <c r="L1299" s="17">
        <f>Github!P$1298</f>
        <v>31339</v>
      </c>
    </row>
    <row r="1300">
      <c r="A1300" s="17">
        <f>Github!J$1299</f>
        <v>1298</v>
      </c>
      <c r="B1300" s="34" t="str">
        <f>HYPERLINK(CONCAT("http://leetcode.com/problems/",Github!C$1299), Github!B$1299)</f>
        <v>Maximum Candies You Can Get from Boxes</v>
      </c>
      <c r="C1300" s="17">
        <f>Github!F$1299</f>
        <v>173</v>
      </c>
      <c r="D1300" s="17">
        <f>Github!G$1299</f>
        <v>112</v>
      </c>
      <c r="E1300" s="17">
        <f>Github!F$1299+Github!G$1299</f>
        <v>285</v>
      </c>
      <c r="F1300" s="18">
        <f t="shared" si="1"/>
        <v>1.54</v>
      </c>
      <c r="G1300" s="17" t="str">
        <f>Github!H$1299</f>
        <v>Algorithms</v>
      </c>
      <c r="H1300" s="17" t="b">
        <f>Github!D$1299</f>
        <v>0</v>
      </c>
      <c r="I1300" s="17" t="str">
        <f>Github!E$1299</f>
        <v>Hard</v>
      </c>
      <c r="J1300" s="17" t="str">
        <f>ROUND(Github!N$1299, 2)&amp;"%"</f>
        <v>0%</v>
      </c>
      <c r="K1300" s="17">
        <f>Github!O$1299</f>
        <v>60.86045365</v>
      </c>
      <c r="L1300" s="17">
        <f>Github!P$1299</f>
        <v>9874</v>
      </c>
    </row>
    <row r="1301">
      <c r="A1301" s="17">
        <f>Github!J$1300</f>
        <v>1299</v>
      </c>
      <c r="B1301" s="34" t="str">
        <f>HYPERLINK(CONCAT("http://leetcode.com/problems/",Github!C$1300), Github!B$1300)</f>
        <v>Replace Elements with Greatest Element on Right Side</v>
      </c>
      <c r="C1301" s="17">
        <f>Github!F$1300</f>
        <v>1163</v>
      </c>
      <c r="D1301" s="17">
        <f>Github!G$1300</f>
        <v>162</v>
      </c>
      <c r="E1301" s="17">
        <f>Github!F$1300+Github!G$1300</f>
        <v>1325</v>
      </c>
      <c r="F1301" s="18">
        <f t="shared" si="1"/>
        <v>7.18</v>
      </c>
      <c r="G1301" s="17" t="str">
        <f>Github!H$1300</f>
        <v>Algorithms</v>
      </c>
      <c r="H1301" s="17" t="b">
        <f>Github!D$1300</f>
        <v>0</v>
      </c>
      <c r="I1301" s="17" t="str">
        <f>Github!E$1300</f>
        <v>Easy</v>
      </c>
      <c r="J1301" s="17" t="str">
        <f>ROUND(Github!N$1300, 2)&amp;"%"</f>
        <v>0%</v>
      </c>
      <c r="K1301" s="17">
        <f>Github!O$1300</f>
        <v>74.41899636</v>
      </c>
      <c r="L1301" s="17">
        <f>Github!P$1300</f>
        <v>194397</v>
      </c>
    </row>
    <row r="1302">
      <c r="A1302" s="17">
        <f>Github!J$1301</f>
        <v>1300</v>
      </c>
      <c r="B1302" s="34" t="str">
        <f>HYPERLINK(CONCAT("http://leetcode.com/problems/",Github!C$1301), Github!B$1301)</f>
        <v>Sum of Mutated Array Closest to Target</v>
      </c>
      <c r="C1302" s="17">
        <f>Github!F$1301</f>
        <v>706</v>
      </c>
      <c r="D1302" s="17">
        <f>Github!G$1301</f>
        <v>88</v>
      </c>
      <c r="E1302" s="17">
        <f>Github!F$1301+Github!G$1301</f>
        <v>794</v>
      </c>
      <c r="F1302" s="18">
        <f t="shared" si="1"/>
        <v>8.02</v>
      </c>
      <c r="G1302" s="17" t="str">
        <f>Github!H$1301</f>
        <v>Algorithms</v>
      </c>
      <c r="H1302" s="17" t="b">
        <f>Github!D$1301</f>
        <v>0</v>
      </c>
      <c r="I1302" s="17" t="str">
        <f>Github!E$1301</f>
        <v>Medium</v>
      </c>
      <c r="J1302" s="17" t="str">
        <f>ROUND(Github!N$1301, 2)&amp;"%"</f>
        <v>0%</v>
      </c>
      <c r="K1302" s="17">
        <f>Github!O$1301</f>
        <v>42.5173439</v>
      </c>
      <c r="L1302" s="17">
        <f>Github!P$1301</f>
        <v>23595</v>
      </c>
    </row>
    <row r="1303">
      <c r="A1303" s="17">
        <f>Github!J$1302</f>
        <v>1301</v>
      </c>
      <c r="B1303" s="34" t="str">
        <f>HYPERLINK(CONCAT("http://leetcode.com/problems/",Github!C$1302), Github!B$1302)</f>
        <v>Number of Paths with Max Score</v>
      </c>
      <c r="C1303" s="17">
        <f>Github!F$1302</f>
        <v>303</v>
      </c>
      <c r="D1303" s="17">
        <f>Github!G$1302</f>
        <v>15</v>
      </c>
      <c r="E1303" s="17">
        <f>Github!F$1302+Github!G$1302</f>
        <v>318</v>
      </c>
      <c r="F1303" s="18">
        <f t="shared" si="1"/>
        <v>20.2</v>
      </c>
      <c r="G1303" s="17" t="str">
        <f>Github!H$1302</f>
        <v>Algorithms</v>
      </c>
      <c r="H1303" s="17" t="b">
        <f>Github!D$1302</f>
        <v>0</v>
      </c>
      <c r="I1303" s="17" t="str">
        <f>Github!E$1302</f>
        <v>Hard</v>
      </c>
      <c r="J1303" s="17" t="str">
        <f>ROUND(Github!N$1302, 2)&amp;"%"</f>
        <v>0%</v>
      </c>
      <c r="K1303" s="17">
        <f>Github!O$1302</f>
        <v>38.72925764</v>
      </c>
      <c r="L1303" s="17">
        <f>Github!P$1302</f>
        <v>8869</v>
      </c>
    </row>
    <row r="1304">
      <c r="A1304" s="17">
        <f>Github!J$1303</f>
        <v>1302</v>
      </c>
      <c r="B1304" s="34" t="str">
        <f>HYPERLINK(CONCAT("http://leetcode.com/problems/",Github!C$1303), Github!B$1303)</f>
        <v>Deepest Leaves Sum</v>
      </c>
      <c r="C1304" s="17">
        <f>Github!F$1303</f>
        <v>2303</v>
      </c>
      <c r="D1304" s="17">
        <f>Github!G$1303</f>
        <v>74</v>
      </c>
      <c r="E1304" s="17">
        <f>Github!F$1303+Github!G$1303</f>
        <v>2377</v>
      </c>
      <c r="F1304" s="18">
        <f t="shared" si="1"/>
        <v>31.12</v>
      </c>
      <c r="G1304" s="17" t="str">
        <f>Github!H$1303</f>
        <v>Algorithms</v>
      </c>
      <c r="H1304" s="17" t="b">
        <f>Github!D$1303</f>
        <v>0</v>
      </c>
      <c r="I1304" s="17" t="str">
        <f>Github!E$1303</f>
        <v>Medium</v>
      </c>
      <c r="J1304" s="17" t="str">
        <f>ROUND(Github!N$1303, 2)&amp;"%"</f>
        <v>0%</v>
      </c>
      <c r="K1304" s="17">
        <f>Github!O$1303</f>
        <v>85.66771959</v>
      </c>
      <c r="L1304" s="17">
        <f>Github!P$1303</f>
        <v>161363</v>
      </c>
    </row>
    <row r="1305">
      <c r="A1305" s="17">
        <f>Github!J$1304</f>
        <v>1303</v>
      </c>
      <c r="B1305" s="34" t="str">
        <f>HYPERLINK(CONCAT("http://leetcode.com/problems/",Github!C$1304), Github!B$1304)</f>
        <v>Find the Team Size</v>
      </c>
      <c r="C1305" s="17">
        <f>Github!F$1304</f>
        <v>204</v>
      </c>
      <c r="D1305" s="17">
        <f>Github!G$1304</f>
        <v>12</v>
      </c>
      <c r="E1305" s="17">
        <f>Github!F$1304+Github!G$1304</f>
        <v>216</v>
      </c>
      <c r="F1305" s="18">
        <f t="shared" si="1"/>
        <v>17</v>
      </c>
      <c r="G1305" s="17" t="str">
        <f>Github!H$1304</f>
        <v>Database</v>
      </c>
      <c r="H1305" s="17" t="b">
        <f>Github!D$1304</f>
        <v>1</v>
      </c>
      <c r="I1305" s="17" t="str">
        <f>Github!E$1304</f>
        <v>Easy</v>
      </c>
      <c r="J1305" s="17" t="str">
        <f>ROUND(Github!N$1304, 2)&amp;"%"</f>
        <v>0%</v>
      </c>
      <c r="K1305" s="17">
        <f>Github!O$1304</f>
        <v>90.64172389</v>
      </c>
      <c r="L1305" s="17">
        <f>Github!P$1304</f>
        <v>38277</v>
      </c>
    </row>
    <row r="1306">
      <c r="A1306" s="17">
        <f>Github!J$1305</f>
        <v>1304</v>
      </c>
      <c r="B1306" s="34" t="str">
        <f>HYPERLINK(CONCAT("http://leetcode.com/problems/",Github!C$1305), Github!B$1305)</f>
        <v>Find N Unique Integers Sum up to Zero</v>
      </c>
      <c r="C1306" s="17">
        <f>Github!F$1305</f>
        <v>988</v>
      </c>
      <c r="D1306" s="17">
        <f>Github!G$1305</f>
        <v>444</v>
      </c>
      <c r="E1306" s="17">
        <f>Github!F$1305+Github!G$1305</f>
        <v>1432</v>
      </c>
      <c r="F1306" s="18">
        <f t="shared" si="1"/>
        <v>2.23</v>
      </c>
      <c r="G1306" s="17" t="str">
        <f>Github!H$1305</f>
        <v>Algorithms</v>
      </c>
      <c r="H1306" s="17" t="b">
        <f>Github!D$1305</f>
        <v>0</v>
      </c>
      <c r="I1306" s="17" t="str">
        <f>Github!E$1305</f>
        <v>Easy</v>
      </c>
      <c r="J1306" s="17" t="str">
        <f>ROUND(Github!N$1305, 2)&amp;"%"</f>
        <v>0%</v>
      </c>
      <c r="K1306" s="17">
        <f>Github!O$1305</f>
        <v>76.89114117</v>
      </c>
      <c r="L1306" s="17">
        <f>Github!P$1305</f>
        <v>129270</v>
      </c>
    </row>
    <row r="1307">
      <c r="A1307" s="17">
        <f>Github!J$1306</f>
        <v>1305</v>
      </c>
      <c r="B1307" s="34" t="str">
        <f>HYPERLINK(CONCAT("http://leetcode.com/problems/",Github!C$1306), Github!B$1306)</f>
        <v>All Elements in Two Binary Search Trees</v>
      </c>
      <c r="C1307" s="17">
        <f>Github!F$1306</f>
        <v>2138</v>
      </c>
      <c r="D1307" s="17">
        <f>Github!G$1306</f>
        <v>63</v>
      </c>
      <c r="E1307" s="17">
        <f>Github!F$1306+Github!G$1306</f>
        <v>2201</v>
      </c>
      <c r="F1307" s="18">
        <f t="shared" si="1"/>
        <v>33.94</v>
      </c>
      <c r="G1307" s="17" t="str">
        <f>Github!H$1306</f>
        <v>Algorithms</v>
      </c>
      <c r="H1307" s="17" t="b">
        <f>Github!D$1306</f>
        <v>0</v>
      </c>
      <c r="I1307" s="17" t="str">
        <f>Github!E$1306</f>
        <v>Medium</v>
      </c>
      <c r="J1307" s="17" t="str">
        <f>ROUND(Github!N$1306, 2)&amp;"%"</f>
        <v>0%</v>
      </c>
      <c r="K1307" s="17">
        <f>Github!O$1306</f>
        <v>79.62003015</v>
      </c>
      <c r="L1307" s="17">
        <f>Github!P$1306</f>
        <v>156360</v>
      </c>
    </row>
    <row r="1308">
      <c r="A1308" s="17">
        <f>Github!J$1307</f>
        <v>1306</v>
      </c>
      <c r="B1308" s="34" t="str">
        <f>HYPERLINK(CONCAT("http://leetcode.com/problems/",Github!C$1307), Github!B$1307)</f>
        <v>Jump Game III</v>
      </c>
      <c r="C1308" s="17">
        <f>Github!F$1307</f>
        <v>2521</v>
      </c>
      <c r="D1308" s="17">
        <f>Github!G$1307</f>
        <v>60</v>
      </c>
      <c r="E1308" s="17">
        <f>Github!F$1307+Github!G$1307</f>
        <v>2581</v>
      </c>
      <c r="F1308" s="18">
        <f t="shared" si="1"/>
        <v>42.02</v>
      </c>
      <c r="G1308" s="17" t="str">
        <f>Github!H$1307</f>
        <v>Algorithms</v>
      </c>
      <c r="H1308" s="17" t="b">
        <f>Github!D$1307</f>
        <v>0</v>
      </c>
      <c r="I1308" s="17" t="str">
        <f>Github!E$1307</f>
        <v>Medium</v>
      </c>
      <c r="J1308" s="17" t="str">
        <f>ROUND(Github!N$1307, 2)&amp;"%"</f>
        <v>1%</v>
      </c>
      <c r="K1308" s="17">
        <f>Github!O$1307</f>
        <v>62.61778997</v>
      </c>
      <c r="L1308" s="17">
        <f>Github!P$1307</f>
        <v>136082</v>
      </c>
    </row>
    <row r="1309">
      <c r="A1309" s="17">
        <f>Github!J$1308</f>
        <v>1307</v>
      </c>
      <c r="B1309" s="34" t="str">
        <f>HYPERLINK(CONCAT("http://leetcode.com/problems/",Github!C$1308), Github!B$1308)</f>
        <v>Verbal Arithmetic Puzzle</v>
      </c>
      <c r="C1309" s="17">
        <f>Github!F$1308</f>
        <v>288</v>
      </c>
      <c r="D1309" s="17">
        <f>Github!G$1308</f>
        <v>76</v>
      </c>
      <c r="E1309" s="17">
        <f>Github!F$1308+Github!G$1308</f>
        <v>364</v>
      </c>
      <c r="F1309" s="18">
        <f t="shared" si="1"/>
        <v>3.79</v>
      </c>
      <c r="G1309" s="17" t="str">
        <f>Github!H$1308</f>
        <v>Algorithms</v>
      </c>
      <c r="H1309" s="17" t="b">
        <f>Github!D$1308</f>
        <v>0</v>
      </c>
      <c r="I1309" s="17" t="str">
        <f>Github!E$1308</f>
        <v>Hard</v>
      </c>
      <c r="J1309" s="17" t="str">
        <f>ROUND(Github!N$1308, 2)&amp;"%"</f>
        <v>0%</v>
      </c>
      <c r="K1309" s="17">
        <f>Github!O$1308</f>
        <v>35.04434997</v>
      </c>
      <c r="L1309" s="17">
        <f>Github!P$1308</f>
        <v>6677</v>
      </c>
    </row>
    <row r="1310">
      <c r="A1310" s="17">
        <f>Github!J$1309</f>
        <v>1308</v>
      </c>
      <c r="B1310" s="34" t="str">
        <f>HYPERLINK(CONCAT("http://leetcode.com/problems/",Github!C$1309), Github!B$1309)</f>
        <v>Running Total for Different Genders</v>
      </c>
      <c r="C1310" s="17">
        <f>Github!F$1309</f>
        <v>131</v>
      </c>
      <c r="D1310" s="17">
        <f>Github!G$1309</f>
        <v>31</v>
      </c>
      <c r="E1310" s="17">
        <f>Github!F$1309+Github!G$1309</f>
        <v>162</v>
      </c>
      <c r="F1310" s="18">
        <f t="shared" si="1"/>
        <v>4.23</v>
      </c>
      <c r="G1310" s="17" t="str">
        <f>Github!H$1309</f>
        <v>Database</v>
      </c>
      <c r="H1310" s="17" t="b">
        <f>Github!D$1309</f>
        <v>1</v>
      </c>
      <c r="I1310" s="17" t="str">
        <f>Github!E$1309</f>
        <v>Medium</v>
      </c>
      <c r="J1310" s="17" t="str">
        <f>ROUND(Github!N$1309, 2)&amp;"%"</f>
        <v>0%</v>
      </c>
      <c r="K1310" s="17">
        <f>Github!O$1309</f>
        <v>88.23529412</v>
      </c>
      <c r="L1310" s="17">
        <f>Github!P$1309</f>
        <v>22245</v>
      </c>
    </row>
    <row r="1311">
      <c r="A1311" s="17">
        <f>Github!J$1310</f>
        <v>1309</v>
      </c>
      <c r="B1311" s="34" t="str">
        <f>HYPERLINK(CONCAT("http://leetcode.com/problems/",Github!C$1310), Github!B$1310)</f>
        <v>Decrypt String from Alphabet to Integer Mapping</v>
      </c>
      <c r="C1311" s="17">
        <f>Github!F$1310</f>
        <v>853</v>
      </c>
      <c r="D1311" s="17">
        <f>Github!G$1310</f>
        <v>70</v>
      </c>
      <c r="E1311" s="17">
        <f>Github!F$1310+Github!G$1310</f>
        <v>923</v>
      </c>
      <c r="F1311" s="18">
        <f t="shared" si="1"/>
        <v>12.19</v>
      </c>
      <c r="G1311" s="17" t="str">
        <f>Github!H$1310</f>
        <v>Algorithms</v>
      </c>
      <c r="H1311" s="17" t="b">
        <f>Github!D$1310</f>
        <v>0</v>
      </c>
      <c r="I1311" s="17" t="str">
        <f>Github!E$1310</f>
        <v>Easy</v>
      </c>
      <c r="J1311" s="17" t="str">
        <f>ROUND(Github!N$1310, 2)&amp;"%"</f>
        <v>0%</v>
      </c>
      <c r="K1311" s="17">
        <f>Github!O$1310</f>
        <v>78.41330031</v>
      </c>
      <c r="L1311" s="17">
        <f>Github!P$1310</f>
        <v>71544</v>
      </c>
    </row>
    <row r="1312">
      <c r="A1312" s="17">
        <f>Github!J$1311</f>
        <v>1310</v>
      </c>
      <c r="B1312" s="34" t="str">
        <f>HYPERLINK(CONCAT("http://leetcode.com/problems/",Github!C$1311), Github!B$1311)</f>
        <v>XOR Queries of a Subarray</v>
      </c>
      <c r="C1312" s="17">
        <f>Github!F$1311</f>
        <v>860</v>
      </c>
      <c r="D1312" s="17">
        <f>Github!G$1311</f>
        <v>29</v>
      </c>
      <c r="E1312" s="17">
        <f>Github!F$1311+Github!G$1311</f>
        <v>889</v>
      </c>
      <c r="F1312" s="18">
        <f t="shared" si="1"/>
        <v>29.66</v>
      </c>
      <c r="G1312" s="17" t="str">
        <f>Github!H$1311</f>
        <v>Algorithms</v>
      </c>
      <c r="H1312" s="17" t="b">
        <f>Github!D$1311</f>
        <v>0</v>
      </c>
      <c r="I1312" s="17" t="str">
        <f>Github!E$1311</f>
        <v>Medium</v>
      </c>
      <c r="J1312" s="17" t="str">
        <f>ROUND(Github!N$1311, 2)&amp;"%"</f>
        <v>0%</v>
      </c>
      <c r="K1312" s="17">
        <f>Github!O$1311</f>
        <v>71.1335991</v>
      </c>
      <c r="L1312" s="17">
        <f>Github!P$1311</f>
        <v>34795</v>
      </c>
    </row>
    <row r="1313">
      <c r="A1313" s="17">
        <f>Github!J$1312</f>
        <v>1311</v>
      </c>
      <c r="B1313" s="34" t="str">
        <f>HYPERLINK(CONCAT("http://leetcode.com/problems/",Github!C$1312), Github!B$1312)</f>
        <v>Get Watched Videos by Your Friends</v>
      </c>
      <c r="C1313" s="17">
        <f>Github!F$1312</f>
        <v>201</v>
      </c>
      <c r="D1313" s="17">
        <f>Github!G$1312</f>
        <v>285</v>
      </c>
      <c r="E1313" s="17">
        <f>Github!F$1312+Github!G$1312</f>
        <v>486</v>
      </c>
      <c r="F1313" s="18">
        <f t="shared" si="1"/>
        <v>0.71</v>
      </c>
      <c r="G1313" s="17" t="str">
        <f>Github!H$1312</f>
        <v>Algorithms</v>
      </c>
      <c r="H1313" s="17" t="b">
        <f>Github!D$1312</f>
        <v>0</v>
      </c>
      <c r="I1313" s="17" t="str">
        <f>Github!E$1312</f>
        <v>Medium</v>
      </c>
      <c r="J1313" s="17" t="str">
        <f>ROUND(Github!N$1312, 2)&amp;"%"</f>
        <v>0%</v>
      </c>
      <c r="K1313" s="17">
        <f>Github!O$1312</f>
        <v>45.08750384</v>
      </c>
      <c r="L1313" s="17">
        <f>Github!P$1312</f>
        <v>14684</v>
      </c>
    </row>
    <row r="1314">
      <c r="A1314" s="17">
        <f>Github!J$1313</f>
        <v>1312</v>
      </c>
      <c r="B1314" s="34" t="str">
        <f>HYPERLINK(CONCAT("http://leetcode.com/problems/",Github!C$1313), Github!B$1313)</f>
        <v>Minimum Insertion Steps to Make a String Palindrome</v>
      </c>
      <c r="C1314" s="17">
        <f>Github!F$1313</f>
        <v>1567</v>
      </c>
      <c r="D1314" s="17">
        <f>Github!G$1313</f>
        <v>25</v>
      </c>
      <c r="E1314" s="17">
        <f>Github!F$1313+Github!G$1313</f>
        <v>1592</v>
      </c>
      <c r="F1314" s="18">
        <f t="shared" si="1"/>
        <v>62.68</v>
      </c>
      <c r="G1314" s="17" t="str">
        <f>Github!H$1313</f>
        <v>Algorithms</v>
      </c>
      <c r="H1314" s="17" t="b">
        <f>Github!D$1313</f>
        <v>0</v>
      </c>
      <c r="I1314" s="17" t="str">
        <f>Github!E$1313</f>
        <v>Hard</v>
      </c>
      <c r="J1314" s="17" t="str">
        <f>ROUND(Github!N$1313, 2)&amp;"%"</f>
        <v>0%</v>
      </c>
      <c r="K1314" s="17">
        <f>Github!O$1313</f>
        <v>63.11961246</v>
      </c>
      <c r="L1314" s="17">
        <f>Github!P$1313</f>
        <v>43129</v>
      </c>
    </row>
    <row r="1315">
      <c r="A1315" s="17">
        <f>Github!J$1314</f>
        <v>1313</v>
      </c>
      <c r="B1315" s="34" t="str">
        <f>HYPERLINK(CONCAT("http://leetcode.com/problems/",Github!C$1314), Github!B$1314)</f>
        <v>Decompress Run-Length Encoded List</v>
      </c>
      <c r="C1315" s="17">
        <f>Github!F$1314</f>
        <v>705</v>
      </c>
      <c r="D1315" s="17">
        <f>Github!G$1314</f>
        <v>1045</v>
      </c>
      <c r="E1315" s="17">
        <f>Github!F$1314+Github!G$1314</f>
        <v>1750</v>
      </c>
      <c r="F1315" s="18">
        <f t="shared" si="1"/>
        <v>0.67</v>
      </c>
      <c r="G1315" s="17" t="str">
        <f>Github!H$1314</f>
        <v>Algorithms</v>
      </c>
      <c r="H1315" s="17" t="b">
        <f>Github!D$1314</f>
        <v>0</v>
      </c>
      <c r="I1315" s="17" t="str">
        <f>Github!E$1314</f>
        <v>Easy</v>
      </c>
      <c r="J1315" s="17" t="str">
        <f>ROUND(Github!N$1314, 2)&amp;"%"</f>
        <v>0%</v>
      </c>
      <c r="K1315" s="17">
        <f>Github!O$1314</f>
        <v>85.81904058</v>
      </c>
      <c r="L1315" s="17">
        <f>Github!P$1314</f>
        <v>172971</v>
      </c>
    </row>
    <row r="1316">
      <c r="A1316" s="17">
        <f>Github!J$1315</f>
        <v>1314</v>
      </c>
      <c r="B1316" s="34" t="str">
        <f>HYPERLINK(CONCAT("http://leetcode.com/problems/",Github!C$1315), Github!B$1315)</f>
        <v>Matrix Block Sum</v>
      </c>
      <c r="C1316" s="17">
        <f>Github!F$1315</f>
        <v>1578</v>
      </c>
      <c r="D1316" s="17">
        <f>Github!G$1315</f>
        <v>251</v>
      </c>
      <c r="E1316" s="17">
        <f>Github!F$1315+Github!G$1315</f>
        <v>1829</v>
      </c>
      <c r="F1316" s="18">
        <f t="shared" si="1"/>
        <v>6.29</v>
      </c>
      <c r="G1316" s="17" t="str">
        <f>Github!H$1315</f>
        <v>Algorithms</v>
      </c>
      <c r="H1316" s="17" t="b">
        <f>Github!D$1315</f>
        <v>0</v>
      </c>
      <c r="I1316" s="17" t="str">
        <f>Github!E$1315</f>
        <v>Medium</v>
      </c>
      <c r="J1316" s="17" t="str">
        <f>ROUND(Github!N$1315, 2)&amp;"%"</f>
        <v>0%</v>
      </c>
      <c r="K1316" s="17">
        <f>Github!O$1315</f>
        <v>75.0345414</v>
      </c>
      <c r="L1316" s="17">
        <f>Github!P$1315</f>
        <v>56480</v>
      </c>
    </row>
    <row r="1317">
      <c r="A1317" s="17">
        <f>Github!J$1316</f>
        <v>1315</v>
      </c>
      <c r="B1317" s="34" t="str">
        <f>HYPERLINK(CONCAT("http://leetcode.com/problems/",Github!C$1316), Github!B$1316)</f>
        <v>Sum of Nodes with Even-Valued Grandparent</v>
      </c>
      <c r="C1317" s="17">
        <f>Github!F$1316</f>
        <v>1626</v>
      </c>
      <c r="D1317" s="17">
        <f>Github!G$1316</f>
        <v>54</v>
      </c>
      <c r="E1317" s="17">
        <f>Github!F$1316+Github!G$1316</f>
        <v>1680</v>
      </c>
      <c r="F1317" s="18">
        <f t="shared" si="1"/>
        <v>30.11</v>
      </c>
      <c r="G1317" s="17" t="str">
        <f>Github!H$1316</f>
        <v>Algorithms</v>
      </c>
      <c r="H1317" s="17" t="b">
        <f>Github!D$1316</f>
        <v>0</v>
      </c>
      <c r="I1317" s="17" t="str">
        <f>Github!E$1316</f>
        <v>Medium</v>
      </c>
      <c r="J1317" s="17" t="str">
        <f>ROUND(Github!N$1316, 2)&amp;"%"</f>
        <v>0%</v>
      </c>
      <c r="K1317" s="17">
        <f>Github!O$1316</f>
        <v>85.13161649</v>
      </c>
      <c r="L1317" s="17">
        <f>Github!P$1316</f>
        <v>95470</v>
      </c>
    </row>
    <row r="1318">
      <c r="A1318" s="17">
        <f>Github!J$1317</f>
        <v>1316</v>
      </c>
      <c r="B1318" s="34" t="str">
        <f>HYPERLINK(CONCAT("http://leetcode.com/problems/",Github!C$1317), Github!B$1317)</f>
        <v>Distinct Echo Substrings</v>
      </c>
      <c r="C1318" s="17">
        <f>Github!F$1317</f>
        <v>172</v>
      </c>
      <c r="D1318" s="17">
        <f>Github!G$1317</f>
        <v>164</v>
      </c>
      <c r="E1318" s="17">
        <f>Github!F$1317+Github!G$1317</f>
        <v>336</v>
      </c>
      <c r="F1318" s="18">
        <f t="shared" si="1"/>
        <v>1.05</v>
      </c>
      <c r="G1318" s="17" t="str">
        <f>Github!H$1317</f>
        <v>Algorithms</v>
      </c>
      <c r="H1318" s="17" t="b">
        <f>Github!D$1317</f>
        <v>0</v>
      </c>
      <c r="I1318" s="17" t="str">
        <f>Github!E$1317</f>
        <v>Hard</v>
      </c>
      <c r="J1318" s="17" t="str">
        <f>ROUND(Github!N$1317, 2)&amp;"%"</f>
        <v>0%</v>
      </c>
      <c r="K1318" s="17">
        <f>Github!O$1317</f>
        <v>50.13416816</v>
      </c>
      <c r="L1318" s="17">
        <f>Github!P$1317</f>
        <v>11210</v>
      </c>
    </row>
    <row r="1319">
      <c r="A1319" s="17">
        <f>Github!J$1318</f>
        <v>1317</v>
      </c>
      <c r="B1319" s="34" t="str">
        <f>HYPERLINK(CONCAT("http://leetcode.com/problems/",Github!C$1318), Github!B$1318)</f>
        <v>Convert Integer to the Sum of Two No-Zero Integers</v>
      </c>
      <c r="C1319" s="17">
        <f>Github!F$1318</f>
        <v>249</v>
      </c>
      <c r="D1319" s="17">
        <f>Github!G$1318</f>
        <v>210</v>
      </c>
      <c r="E1319" s="17">
        <f>Github!F$1318+Github!G$1318</f>
        <v>459</v>
      </c>
      <c r="F1319" s="18">
        <f t="shared" si="1"/>
        <v>1.19</v>
      </c>
      <c r="G1319" s="17" t="str">
        <f>Github!H$1318</f>
        <v>Algorithms</v>
      </c>
      <c r="H1319" s="17" t="b">
        <f>Github!D$1318</f>
        <v>0</v>
      </c>
      <c r="I1319" s="17" t="str">
        <f>Github!E$1318</f>
        <v>Easy</v>
      </c>
      <c r="J1319" s="17" t="str">
        <f>ROUND(Github!N$1318, 2)&amp;"%"</f>
        <v>0%</v>
      </c>
      <c r="K1319" s="17">
        <f>Github!O$1318</f>
        <v>57.10742337</v>
      </c>
      <c r="L1319" s="17">
        <f>Github!P$1318</f>
        <v>29010</v>
      </c>
    </row>
    <row r="1320">
      <c r="A1320" s="17">
        <f>Github!J$1319</f>
        <v>1318</v>
      </c>
      <c r="B1320" s="34" t="str">
        <f>HYPERLINK(CONCAT("http://leetcode.com/problems/",Github!C$1319), Github!B$1319)</f>
        <v>Minimum Flips to Make a OR b Equal to c</v>
      </c>
      <c r="C1320" s="17">
        <f>Github!F$1319</f>
        <v>406</v>
      </c>
      <c r="D1320" s="17">
        <f>Github!G$1319</f>
        <v>35</v>
      </c>
      <c r="E1320" s="17">
        <f>Github!F$1319+Github!G$1319</f>
        <v>441</v>
      </c>
      <c r="F1320" s="18">
        <f t="shared" si="1"/>
        <v>11.6</v>
      </c>
      <c r="G1320" s="17" t="str">
        <f>Github!H$1319</f>
        <v>Algorithms</v>
      </c>
      <c r="H1320" s="17" t="b">
        <f>Github!D$1319</f>
        <v>0</v>
      </c>
      <c r="I1320" s="17" t="str">
        <f>Github!E$1319</f>
        <v>Medium</v>
      </c>
      <c r="J1320" s="17" t="str">
        <f>ROUND(Github!N$1319, 2)&amp;"%"</f>
        <v>0%</v>
      </c>
      <c r="K1320" s="17">
        <f>Github!O$1319</f>
        <v>65.06197183</v>
      </c>
      <c r="L1320" s="17">
        <f>Github!P$1319</f>
        <v>23097</v>
      </c>
    </row>
    <row r="1321">
      <c r="A1321" s="17">
        <f>Github!J$1320</f>
        <v>1319</v>
      </c>
      <c r="B1321" s="34" t="str">
        <f>HYPERLINK(CONCAT("http://leetcode.com/problems/",Github!C$1320), Github!B$1320)</f>
        <v>Number of Operations to Make Network Connected</v>
      </c>
      <c r="C1321" s="17">
        <f>Github!F$1320</f>
        <v>1886</v>
      </c>
      <c r="D1321" s="17">
        <f>Github!G$1320</f>
        <v>29</v>
      </c>
      <c r="E1321" s="17">
        <f>Github!F$1320+Github!G$1320</f>
        <v>1915</v>
      </c>
      <c r="F1321" s="18">
        <f t="shared" si="1"/>
        <v>65.03</v>
      </c>
      <c r="G1321" s="17" t="str">
        <f>Github!H$1320</f>
        <v>Algorithms</v>
      </c>
      <c r="H1321" s="17" t="b">
        <f>Github!D$1320</f>
        <v>0</v>
      </c>
      <c r="I1321" s="17" t="str">
        <f>Github!E$1320</f>
        <v>Medium</v>
      </c>
      <c r="J1321" s="17" t="str">
        <f>ROUND(Github!N$1320, 2)&amp;"%"</f>
        <v>0%</v>
      </c>
      <c r="K1321" s="17">
        <f>Github!O$1320</f>
        <v>57.45923417</v>
      </c>
      <c r="L1321" s="17">
        <f>Github!P$1320</f>
        <v>67690</v>
      </c>
    </row>
    <row r="1322">
      <c r="A1322" s="17">
        <f>Github!J$1321</f>
        <v>1320</v>
      </c>
      <c r="B1322" s="34" t="str">
        <f>HYPERLINK(CONCAT("http://leetcode.com/problems/",Github!C$1321), Github!B$1321)</f>
        <v>Minimum Distance to Type a Word Using Two Fingers</v>
      </c>
      <c r="C1322" s="17">
        <f>Github!F$1321</f>
        <v>733</v>
      </c>
      <c r="D1322" s="17">
        <f>Github!G$1321</f>
        <v>28</v>
      </c>
      <c r="E1322" s="17">
        <f>Github!F$1321+Github!G$1321</f>
        <v>761</v>
      </c>
      <c r="F1322" s="18">
        <f t="shared" si="1"/>
        <v>26.18</v>
      </c>
      <c r="G1322" s="17" t="str">
        <f>Github!H$1321</f>
        <v>Algorithms</v>
      </c>
      <c r="H1322" s="17" t="b">
        <f>Github!D$1321</f>
        <v>0</v>
      </c>
      <c r="I1322" s="17" t="str">
        <f>Github!E$1321</f>
        <v>Hard</v>
      </c>
      <c r="J1322" s="17" t="str">
        <f>ROUND(Github!N$1321, 2)&amp;"%"</f>
        <v>0%</v>
      </c>
      <c r="K1322" s="17">
        <f>Github!O$1321</f>
        <v>60.36017226</v>
      </c>
      <c r="L1322" s="17">
        <f>Github!P$1321</f>
        <v>23127</v>
      </c>
    </row>
    <row r="1323">
      <c r="A1323" s="17">
        <f>Github!J$1322</f>
        <v>1321</v>
      </c>
      <c r="B1323" s="34" t="str">
        <f>HYPERLINK(CONCAT("http://leetcode.com/problems/",Github!C$1322), Github!B$1322)</f>
        <v>Restaurant Growth</v>
      </c>
      <c r="C1323" s="17">
        <f>Github!F$1322</f>
        <v>232</v>
      </c>
      <c r="D1323" s="17">
        <f>Github!G$1322</f>
        <v>35</v>
      </c>
      <c r="E1323" s="17">
        <f>Github!F$1322+Github!G$1322</f>
        <v>267</v>
      </c>
      <c r="F1323" s="18">
        <f t="shared" si="1"/>
        <v>6.63</v>
      </c>
      <c r="G1323" s="17" t="str">
        <f>Github!H$1322</f>
        <v>Database</v>
      </c>
      <c r="H1323" s="17" t="b">
        <f>Github!D$1322</f>
        <v>1</v>
      </c>
      <c r="I1323" s="17" t="str">
        <f>Github!E$1322</f>
        <v>Medium</v>
      </c>
      <c r="J1323" s="17" t="str">
        <f>ROUND(Github!N$1322, 2)&amp;"%"</f>
        <v>0%</v>
      </c>
      <c r="K1323" s="17">
        <f>Github!O$1322</f>
        <v>72.51096736</v>
      </c>
      <c r="L1323" s="17">
        <f>Github!P$1322</f>
        <v>19504</v>
      </c>
    </row>
    <row r="1324">
      <c r="A1324" s="17">
        <f>Github!J$1323</f>
        <v>1322</v>
      </c>
      <c r="B1324" s="34" t="str">
        <f>HYPERLINK(CONCAT("http://leetcode.com/problems/",Github!C$1323), Github!B$1323)</f>
        <v>Ads Performance</v>
      </c>
      <c r="C1324" s="17">
        <f>Github!F$1323</f>
        <v>176</v>
      </c>
      <c r="D1324" s="17">
        <f>Github!G$1323</f>
        <v>42</v>
      </c>
      <c r="E1324" s="17">
        <f>Github!F$1323+Github!G$1323</f>
        <v>218</v>
      </c>
      <c r="F1324" s="18">
        <f t="shared" si="1"/>
        <v>4.19</v>
      </c>
      <c r="G1324" s="17" t="str">
        <f>Github!H$1323</f>
        <v>Database</v>
      </c>
      <c r="H1324" s="17" t="b">
        <f>Github!D$1323</f>
        <v>1</v>
      </c>
      <c r="I1324" s="17" t="str">
        <f>Github!E$1323</f>
        <v>Easy</v>
      </c>
      <c r="J1324" s="17" t="str">
        <f>ROUND(Github!N$1323, 2)&amp;"%"</f>
        <v>0%</v>
      </c>
      <c r="K1324" s="17">
        <f>Github!O$1323</f>
        <v>59.99104645</v>
      </c>
      <c r="L1324" s="17">
        <f>Github!P$1323</f>
        <v>26801</v>
      </c>
    </row>
    <row r="1325">
      <c r="A1325" s="17">
        <f>Github!J$1324</f>
        <v>1323</v>
      </c>
      <c r="B1325" s="34" t="str">
        <f>HYPERLINK(CONCAT("http://leetcode.com/problems/",Github!C$1324), Github!B$1324)</f>
        <v>Maximum 69 Number</v>
      </c>
      <c r="C1325" s="17">
        <f>Github!F$1324</f>
        <v>931</v>
      </c>
      <c r="D1325" s="17">
        <f>Github!G$1324</f>
        <v>116</v>
      </c>
      <c r="E1325" s="17">
        <f>Github!F$1324+Github!G$1324</f>
        <v>1047</v>
      </c>
      <c r="F1325" s="18">
        <f t="shared" si="1"/>
        <v>8.03</v>
      </c>
      <c r="G1325" s="17" t="str">
        <f>Github!H$1324</f>
        <v>Algorithms</v>
      </c>
      <c r="H1325" s="17" t="b">
        <f>Github!D$1324</f>
        <v>0</v>
      </c>
      <c r="I1325" s="17" t="str">
        <f>Github!E$1324</f>
        <v>Easy</v>
      </c>
      <c r="J1325" s="17" t="str">
        <f>ROUND(Github!N$1324, 2)&amp;"%"</f>
        <v>0%</v>
      </c>
      <c r="K1325" s="17">
        <f>Github!O$1324</f>
        <v>78.79895561</v>
      </c>
      <c r="L1325" s="17">
        <f>Github!P$1324</f>
        <v>105630</v>
      </c>
    </row>
    <row r="1326">
      <c r="A1326" s="17">
        <f>Github!J$1325</f>
        <v>1324</v>
      </c>
      <c r="B1326" s="34" t="str">
        <f>HYPERLINK(CONCAT("http://leetcode.com/problems/",Github!C$1325), Github!B$1325)</f>
        <v>Print Words Vertically</v>
      </c>
      <c r="C1326" s="17">
        <f>Github!F$1325</f>
        <v>416</v>
      </c>
      <c r="D1326" s="17">
        <f>Github!G$1325</f>
        <v>87</v>
      </c>
      <c r="E1326" s="17">
        <f>Github!F$1325+Github!G$1325</f>
        <v>503</v>
      </c>
      <c r="F1326" s="18">
        <f t="shared" si="1"/>
        <v>4.78</v>
      </c>
      <c r="G1326" s="17" t="str">
        <f>Github!H$1325</f>
        <v>Algorithms</v>
      </c>
      <c r="H1326" s="17" t="b">
        <f>Github!D$1325</f>
        <v>0</v>
      </c>
      <c r="I1326" s="17" t="str">
        <f>Github!E$1325</f>
        <v>Medium</v>
      </c>
      <c r="J1326" s="17" t="str">
        <f>ROUND(Github!N$1325, 2)&amp;"%"</f>
        <v>0%</v>
      </c>
      <c r="K1326" s="17">
        <f>Github!O$1325</f>
        <v>59.43642741</v>
      </c>
      <c r="L1326" s="17">
        <f>Github!P$1325</f>
        <v>25248</v>
      </c>
    </row>
    <row r="1327">
      <c r="A1327" s="17">
        <f>Github!J$1326</f>
        <v>1325</v>
      </c>
      <c r="B1327" s="34" t="str">
        <f>HYPERLINK(CONCAT("http://leetcode.com/problems/",Github!C$1326), Github!B$1326)</f>
        <v>Delete Leaves With a Given Value</v>
      </c>
      <c r="C1327" s="17">
        <f>Github!F$1326</f>
        <v>1331</v>
      </c>
      <c r="D1327" s="17">
        <f>Github!G$1326</f>
        <v>25</v>
      </c>
      <c r="E1327" s="17">
        <f>Github!F$1326+Github!G$1326</f>
        <v>1356</v>
      </c>
      <c r="F1327" s="18">
        <f t="shared" si="1"/>
        <v>53.24</v>
      </c>
      <c r="G1327" s="17" t="str">
        <f>Github!H$1326</f>
        <v>Algorithms</v>
      </c>
      <c r="H1327" s="17" t="b">
        <f>Github!D$1326</f>
        <v>0</v>
      </c>
      <c r="I1327" s="17" t="str">
        <f>Github!E$1326</f>
        <v>Medium</v>
      </c>
      <c r="J1327" s="17" t="str">
        <f>ROUND(Github!N$1326, 2)&amp;"%"</f>
        <v>0%</v>
      </c>
      <c r="K1327" s="17">
        <f>Github!O$1326</f>
        <v>74.81934276</v>
      </c>
      <c r="L1327" s="17">
        <f>Github!P$1326</f>
        <v>63158</v>
      </c>
    </row>
    <row r="1328">
      <c r="A1328" s="17">
        <f>Github!J$1327</f>
        <v>1326</v>
      </c>
      <c r="B1328" s="34" t="str">
        <f>HYPERLINK(CONCAT("http://leetcode.com/problems/",Github!C$1327), Github!B$1327)</f>
        <v>Minimum Number of Taps to Open to Water a Garden</v>
      </c>
      <c r="C1328" s="17">
        <f>Github!F$1327</f>
        <v>1392</v>
      </c>
      <c r="D1328" s="17">
        <f>Github!G$1327</f>
        <v>99</v>
      </c>
      <c r="E1328" s="17">
        <f>Github!F$1327+Github!G$1327</f>
        <v>1491</v>
      </c>
      <c r="F1328" s="18">
        <f t="shared" si="1"/>
        <v>14.06</v>
      </c>
      <c r="G1328" s="17" t="str">
        <f>Github!H$1327</f>
        <v>Algorithms</v>
      </c>
      <c r="H1328" s="17" t="b">
        <f>Github!D$1327</f>
        <v>0</v>
      </c>
      <c r="I1328" s="17" t="str">
        <f>Github!E$1327</f>
        <v>Hard</v>
      </c>
      <c r="J1328" s="17" t="str">
        <f>ROUND(Github!N$1327, 2)&amp;"%"</f>
        <v>0%</v>
      </c>
      <c r="K1328" s="17">
        <f>Github!O$1327</f>
        <v>48.17769752</v>
      </c>
      <c r="L1328" s="17">
        <f>Github!P$1327</f>
        <v>52294</v>
      </c>
    </row>
    <row r="1329">
      <c r="A1329" s="17">
        <f>Github!J$1328</f>
        <v>1327</v>
      </c>
      <c r="B1329" s="34" t="str">
        <f>HYPERLINK(CONCAT("http://leetcode.com/problems/",Github!C$1328), Github!B$1328)</f>
        <v>List the Products Ordered in a Period</v>
      </c>
      <c r="C1329" s="17">
        <f>Github!F$1328</f>
        <v>77</v>
      </c>
      <c r="D1329" s="17">
        <f>Github!G$1328</f>
        <v>18</v>
      </c>
      <c r="E1329" s="17">
        <f>Github!F$1328+Github!G$1328</f>
        <v>95</v>
      </c>
      <c r="F1329" s="18">
        <f t="shared" si="1"/>
        <v>4.28</v>
      </c>
      <c r="G1329" s="17" t="str">
        <f>Github!H$1328</f>
        <v>Database</v>
      </c>
      <c r="H1329" s="17" t="b">
        <f>Github!D$1328</f>
        <v>1</v>
      </c>
      <c r="I1329" s="17" t="str">
        <f>Github!E$1328</f>
        <v>Easy</v>
      </c>
      <c r="J1329" s="17" t="str">
        <f>ROUND(Github!N$1328, 2)&amp;"%"</f>
        <v>0%</v>
      </c>
      <c r="K1329" s="17">
        <f>Github!O$1328</f>
        <v>77.35082424</v>
      </c>
      <c r="L1329" s="17">
        <f>Github!P$1328</f>
        <v>26652</v>
      </c>
    </row>
    <row r="1330">
      <c r="A1330" s="17">
        <f>Github!J$1329</f>
        <v>1328</v>
      </c>
      <c r="B1330" s="34" t="str">
        <f>HYPERLINK(CONCAT("http://leetcode.com/problems/",Github!C$1329), Github!B$1329)</f>
        <v>Break a Palindrome</v>
      </c>
      <c r="C1330" s="17">
        <f>Github!F$1329</f>
        <v>702</v>
      </c>
      <c r="D1330" s="17">
        <f>Github!G$1329</f>
        <v>429</v>
      </c>
      <c r="E1330" s="17">
        <f>Github!F$1329+Github!G$1329</f>
        <v>1131</v>
      </c>
      <c r="F1330" s="18">
        <f t="shared" si="1"/>
        <v>1.64</v>
      </c>
      <c r="G1330" s="17" t="str">
        <f>Github!H$1329</f>
        <v>Algorithms</v>
      </c>
      <c r="H1330" s="17" t="b">
        <f>Github!D$1329</f>
        <v>0</v>
      </c>
      <c r="I1330" s="17" t="str">
        <f>Github!E$1329</f>
        <v>Medium</v>
      </c>
      <c r="J1330" s="17" t="str">
        <f>ROUND(Github!N$1329, 2)&amp;"%"</f>
        <v>0%</v>
      </c>
      <c r="K1330" s="17">
        <f>Github!O$1329</f>
        <v>52.40777916</v>
      </c>
      <c r="L1330" s="17">
        <f>Github!P$1329</f>
        <v>66049</v>
      </c>
    </row>
    <row r="1331">
      <c r="A1331" s="17">
        <f>Github!J$1330</f>
        <v>1329</v>
      </c>
      <c r="B1331" s="34" t="str">
        <f>HYPERLINK(CONCAT("http://leetcode.com/problems/",Github!C$1330), Github!B$1330)</f>
        <v>Sort the Matrix Diagonally</v>
      </c>
      <c r="C1331" s="17">
        <f>Github!F$1330</f>
        <v>1533</v>
      </c>
      <c r="D1331" s="17">
        <f>Github!G$1330</f>
        <v>173</v>
      </c>
      <c r="E1331" s="17">
        <f>Github!F$1330+Github!G$1330</f>
        <v>1706</v>
      </c>
      <c r="F1331" s="18">
        <f t="shared" si="1"/>
        <v>8.86</v>
      </c>
      <c r="G1331" s="17" t="str">
        <f>Github!H$1330</f>
        <v>Algorithms</v>
      </c>
      <c r="H1331" s="17" t="b">
        <f>Github!D$1330</f>
        <v>0</v>
      </c>
      <c r="I1331" s="17" t="str">
        <f>Github!E$1330</f>
        <v>Medium</v>
      </c>
      <c r="J1331" s="17" t="str">
        <f>ROUND(Github!N$1330, 2)&amp;"%"</f>
        <v>1%</v>
      </c>
      <c r="K1331" s="17">
        <f>Github!O$1330</f>
        <v>81.35463233</v>
      </c>
      <c r="L1331" s="17">
        <f>Github!P$1330</f>
        <v>80620</v>
      </c>
    </row>
    <row r="1332">
      <c r="A1332" s="17">
        <f>Github!J$1331</f>
        <v>1330</v>
      </c>
      <c r="B1332" s="34" t="str">
        <f>HYPERLINK(CONCAT("http://leetcode.com/problems/",Github!C$1331), Github!B$1331)</f>
        <v>Reverse Subarray To Maximize Array Value</v>
      </c>
      <c r="C1332" s="17">
        <f>Github!F$1331</f>
        <v>318</v>
      </c>
      <c r="D1332" s="17">
        <f>Github!G$1331</f>
        <v>32</v>
      </c>
      <c r="E1332" s="17">
        <f>Github!F$1331+Github!G$1331</f>
        <v>350</v>
      </c>
      <c r="F1332" s="18">
        <f t="shared" si="1"/>
        <v>9.94</v>
      </c>
      <c r="G1332" s="17" t="str">
        <f>Github!H$1331</f>
        <v>Algorithms</v>
      </c>
      <c r="H1332" s="17" t="b">
        <f>Github!D$1331</f>
        <v>0</v>
      </c>
      <c r="I1332" s="17" t="str">
        <f>Github!E$1331</f>
        <v>Hard</v>
      </c>
      <c r="J1332" s="17" t="str">
        <f>ROUND(Github!N$1331, 2)&amp;"%"</f>
        <v>0%</v>
      </c>
      <c r="K1332" s="17">
        <f>Github!O$1331</f>
        <v>38.79505664</v>
      </c>
      <c r="L1332" s="17">
        <f>Github!P$1331</f>
        <v>3767</v>
      </c>
    </row>
    <row r="1333">
      <c r="A1333" s="17">
        <f>Github!J$1332</f>
        <v>1331</v>
      </c>
      <c r="B1333" s="34" t="str">
        <f>HYPERLINK(CONCAT("http://leetcode.com/problems/",Github!C$1332), Github!B$1332)</f>
        <v>Rank Transform of an Array</v>
      </c>
      <c r="C1333" s="17">
        <f>Github!F$1332</f>
        <v>849</v>
      </c>
      <c r="D1333" s="17">
        <f>Github!G$1332</f>
        <v>54</v>
      </c>
      <c r="E1333" s="17">
        <f>Github!F$1332+Github!G$1332</f>
        <v>903</v>
      </c>
      <c r="F1333" s="18">
        <f t="shared" si="1"/>
        <v>15.72</v>
      </c>
      <c r="G1333" s="17" t="str">
        <f>Github!H$1332</f>
        <v>Algorithms</v>
      </c>
      <c r="H1333" s="17" t="b">
        <f>Github!D$1332</f>
        <v>0</v>
      </c>
      <c r="I1333" s="17" t="str">
        <f>Github!E$1332</f>
        <v>Easy</v>
      </c>
      <c r="J1333" s="17" t="str">
        <f>ROUND(Github!N$1332, 2)&amp;"%"</f>
        <v>0%</v>
      </c>
      <c r="K1333" s="17">
        <f>Github!O$1332</f>
        <v>58.39354605</v>
      </c>
      <c r="L1333" s="17">
        <f>Github!P$1332</f>
        <v>54792</v>
      </c>
    </row>
    <row r="1334">
      <c r="A1334" s="17">
        <f>Github!J$1333</f>
        <v>1332</v>
      </c>
      <c r="B1334" s="34" t="str">
        <f>HYPERLINK(CONCAT("http://leetcode.com/problems/",Github!C$1333), Github!B$1333)</f>
        <v>Remove Palindromic Subsequences</v>
      </c>
      <c r="C1334" s="17">
        <f>Github!F$1333</f>
        <v>178</v>
      </c>
      <c r="D1334" s="17">
        <f>Github!G$1333</f>
        <v>280</v>
      </c>
      <c r="E1334" s="17">
        <f>Github!F$1333+Github!G$1333</f>
        <v>458</v>
      </c>
      <c r="F1334" s="18">
        <f t="shared" si="1"/>
        <v>0.64</v>
      </c>
      <c r="G1334" s="17" t="str">
        <f>Github!H$1333</f>
        <v>Algorithms</v>
      </c>
      <c r="H1334" s="17" t="b">
        <f>Github!D$1333</f>
        <v>0</v>
      </c>
      <c r="I1334" s="17" t="str">
        <f>Github!E$1333</f>
        <v>Easy</v>
      </c>
      <c r="J1334" s="17" t="str">
        <f>ROUND(Github!N$1333, 2)&amp;"%"</f>
        <v>0%</v>
      </c>
      <c r="K1334" s="17">
        <f>Github!O$1333</f>
        <v>69.46413828</v>
      </c>
      <c r="L1334" s="17">
        <f>Github!P$1333</f>
        <v>53006</v>
      </c>
    </row>
    <row r="1335">
      <c r="A1335" s="17">
        <f>Github!J$1334</f>
        <v>1333</v>
      </c>
      <c r="B1335" s="34" t="str">
        <f>HYPERLINK(CONCAT("http://leetcode.com/problems/",Github!C$1334), Github!B$1334)</f>
        <v>Filter Restaurants by Vegan-Friendly, Price and Distance</v>
      </c>
      <c r="C1335" s="17">
        <f>Github!F$1334</f>
        <v>200</v>
      </c>
      <c r="D1335" s="17">
        <f>Github!G$1334</f>
        <v>171</v>
      </c>
      <c r="E1335" s="17">
        <f>Github!F$1334+Github!G$1334</f>
        <v>371</v>
      </c>
      <c r="F1335" s="18">
        <f t="shared" si="1"/>
        <v>1.17</v>
      </c>
      <c r="G1335" s="17" t="str">
        <f>Github!H$1334</f>
        <v>Algorithms</v>
      </c>
      <c r="H1335" s="17" t="b">
        <f>Github!D$1334</f>
        <v>0</v>
      </c>
      <c r="I1335" s="17" t="str">
        <f>Github!E$1334</f>
        <v>Medium</v>
      </c>
      <c r="J1335" s="17" t="str">
        <f>ROUND(Github!N$1334, 2)&amp;"%"</f>
        <v>0%</v>
      </c>
      <c r="K1335" s="17">
        <f>Github!O$1334</f>
        <v>58.6233544</v>
      </c>
      <c r="L1335" s="17">
        <f>Github!P$1334</f>
        <v>21241</v>
      </c>
    </row>
    <row r="1336">
      <c r="A1336" s="17">
        <f>Github!J$1335</f>
        <v>1334</v>
      </c>
      <c r="B1336" s="34" t="str">
        <f>HYPERLINK(CONCAT("http://leetcode.com/problems/",Github!C$1335), Github!B$1335)</f>
        <v>Find the City With the Smallest Number of Neighbors at a Threshold Distance</v>
      </c>
      <c r="C1336" s="17">
        <f>Github!F$1335</f>
        <v>1058</v>
      </c>
      <c r="D1336" s="17">
        <f>Github!G$1335</f>
        <v>56</v>
      </c>
      <c r="E1336" s="17">
        <f>Github!F$1335+Github!G$1335</f>
        <v>1114</v>
      </c>
      <c r="F1336" s="18">
        <f t="shared" si="1"/>
        <v>18.89</v>
      </c>
      <c r="G1336" s="17" t="str">
        <f>Github!H$1335</f>
        <v>Algorithms</v>
      </c>
      <c r="H1336" s="17" t="b">
        <f>Github!D$1335</f>
        <v>0</v>
      </c>
      <c r="I1336" s="17" t="str">
        <f>Github!E$1335</f>
        <v>Medium</v>
      </c>
      <c r="J1336" s="17" t="str">
        <f>ROUND(Github!N$1335, 2)&amp;"%"</f>
        <v>0%</v>
      </c>
      <c r="K1336" s="17">
        <f>Github!O$1335</f>
        <v>50.84305371</v>
      </c>
      <c r="L1336" s="17">
        <f>Github!P$1335</f>
        <v>36396</v>
      </c>
    </row>
    <row r="1337">
      <c r="A1337" s="17">
        <f>Github!J$1336</f>
        <v>1335</v>
      </c>
      <c r="B1337" s="34" t="str">
        <f>HYPERLINK(CONCAT("http://leetcode.com/problems/",Github!C$1336), Github!B$1336)</f>
        <v>Minimum Difficulty of a Job Schedule</v>
      </c>
      <c r="C1337" s="17">
        <f>Github!F$1336</f>
        <v>1171</v>
      </c>
      <c r="D1337" s="17">
        <f>Github!G$1336</f>
        <v>136</v>
      </c>
      <c r="E1337" s="17">
        <f>Github!F$1336+Github!G$1336</f>
        <v>1307</v>
      </c>
      <c r="F1337" s="18">
        <f t="shared" si="1"/>
        <v>8.61</v>
      </c>
      <c r="G1337" s="17" t="str">
        <f>Github!H$1336</f>
        <v>Algorithms</v>
      </c>
      <c r="H1337" s="17" t="b">
        <f>Github!D$1336</f>
        <v>0</v>
      </c>
      <c r="I1337" s="17" t="str">
        <f>Github!E$1336</f>
        <v>Hard</v>
      </c>
      <c r="J1337" s="17" t="str">
        <f>ROUND(Github!N$1336, 2)&amp;"%"</f>
        <v>0%</v>
      </c>
      <c r="K1337" s="17">
        <f>Github!O$1336</f>
        <v>56.76557838</v>
      </c>
      <c r="L1337" s="17">
        <f>Github!P$1336</f>
        <v>64870</v>
      </c>
    </row>
    <row r="1338">
      <c r="A1338" s="17">
        <f>Github!J$1337</f>
        <v>1336</v>
      </c>
      <c r="B1338" s="34" t="str">
        <f>HYPERLINK(CONCAT("http://leetcode.com/problems/",Github!C$1337), Github!B$1337)</f>
        <v>Number of Transactions per Visit</v>
      </c>
      <c r="C1338" s="17">
        <f>Github!F$1337</f>
        <v>57</v>
      </c>
      <c r="D1338" s="17">
        <f>Github!G$1337</f>
        <v>235</v>
      </c>
      <c r="E1338" s="17">
        <f>Github!F$1337+Github!G$1337</f>
        <v>292</v>
      </c>
      <c r="F1338" s="18">
        <f t="shared" si="1"/>
        <v>0.24</v>
      </c>
      <c r="G1338" s="17" t="str">
        <f>Github!H$1337</f>
        <v>Database</v>
      </c>
      <c r="H1338" s="17" t="b">
        <f>Github!D$1337</f>
        <v>1</v>
      </c>
      <c r="I1338" s="17" t="str">
        <f>Github!E$1337</f>
        <v>Hard</v>
      </c>
      <c r="J1338" s="17" t="str">
        <f>ROUND(Github!N$1337, 2)&amp;"%"</f>
        <v>0%</v>
      </c>
      <c r="K1338" s="17">
        <f>Github!O$1337</f>
        <v>51.25121477</v>
      </c>
      <c r="L1338" s="17">
        <f>Github!P$1337</f>
        <v>8438</v>
      </c>
    </row>
    <row r="1339">
      <c r="A1339" s="17">
        <f>Github!J$1338</f>
        <v>1337</v>
      </c>
      <c r="B1339" s="34" t="str">
        <f>HYPERLINK(CONCAT("http://leetcode.com/problems/",Github!C$1338), Github!B$1338)</f>
        <v>The K Weakest Rows in a Matrix</v>
      </c>
      <c r="C1339" s="17">
        <f>Github!F$1338</f>
        <v>1481</v>
      </c>
      <c r="D1339" s="17">
        <f>Github!G$1338</f>
        <v>88</v>
      </c>
      <c r="E1339" s="17">
        <f>Github!F$1338+Github!G$1338</f>
        <v>1569</v>
      </c>
      <c r="F1339" s="18">
        <f t="shared" si="1"/>
        <v>16.83</v>
      </c>
      <c r="G1339" s="17" t="str">
        <f>Github!H$1338</f>
        <v>Algorithms</v>
      </c>
      <c r="H1339" s="17" t="b">
        <f>Github!D$1338</f>
        <v>0</v>
      </c>
      <c r="I1339" s="17" t="str">
        <f>Github!E$1338</f>
        <v>Easy</v>
      </c>
      <c r="J1339" s="17" t="str">
        <f>ROUND(Github!N$1338, 2)&amp;"%"</f>
        <v>0%</v>
      </c>
      <c r="K1339" s="17">
        <f>Github!O$1338</f>
        <v>72.22260463</v>
      </c>
      <c r="L1339" s="17">
        <f>Github!P$1338</f>
        <v>104923</v>
      </c>
    </row>
    <row r="1340">
      <c r="A1340" s="17">
        <f>Github!J$1339</f>
        <v>1338</v>
      </c>
      <c r="B1340" s="34" t="str">
        <f>HYPERLINK(CONCAT("http://leetcode.com/problems/",Github!C$1339), Github!B$1339)</f>
        <v>Reduce Array Size to The Half</v>
      </c>
      <c r="C1340" s="17">
        <f>Github!F$1339</f>
        <v>1180</v>
      </c>
      <c r="D1340" s="17">
        <f>Github!G$1339</f>
        <v>81</v>
      </c>
      <c r="E1340" s="17">
        <f>Github!F$1339+Github!G$1339</f>
        <v>1261</v>
      </c>
      <c r="F1340" s="18">
        <f t="shared" si="1"/>
        <v>14.57</v>
      </c>
      <c r="G1340" s="17" t="str">
        <f>Github!H$1339</f>
        <v>Algorithms</v>
      </c>
      <c r="H1340" s="17" t="b">
        <f>Github!D$1339</f>
        <v>0</v>
      </c>
      <c r="I1340" s="17" t="str">
        <f>Github!E$1339</f>
        <v>Medium</v>
      </c>
      <c r="J1340" s="17" t="str">
        <f>ROUND(Github!N$1339, 2)&amp;"%"</f>
        <v>0%</v>
      </c>
      <c r="K1340" s="17">
        <f>Github!O$1339</f>
        <v>68.45387686</v>
      </c>
      <c r="L1340" s="17">
        <f>Github!P$1339</f>
        <v>81443</v>
      </c>
    </row>
    <row r="1341">
      <c r="A1341" s="17">
        <f>Github!J$1340</f>
        <v>1339</v>
      </c>
      <c r="B1341" s="34" t="str">
        <f>HYPERLINK(CONCAT("http://leetcode.com/problems/",Github!C$1340), Github!B$1340)</f>
        <v>Maximum Product of Splitted Binary Tree</v>
      </c>
      <c r="C1341" s="17">
        <f>Github!F$1340</f>
        <v>1182</v>
      </c>
      <c r="D1341" s="17">
        <f>Github!G$1340</f>
        <v>52</v>
      </c>
      <c r="E1341" s="17">
        <f>Github!F$1340+Github!G$1340</f>
        <v>1234</v>
      </c>
      <c r="F1341" s="18">
        <f t="shared" si="1"/>
        <v>22.73</v>
      </c>
      <c r="G1341" s="17" t="str">
        <f>Github!H$1340</f>
        <v>Algorithms</v>
      </c>
      <c r="H1341" s="17" t="b">
        <f>Github!D$1340</f>
        <v>0</v>
      </c>
      <c r="I1341" s="17" t="str">
        <f>Github!E$1340</f>
        <v>Medium</v>
      </c>
      <c r="J1341" s="17" t="str">
        <f>ROUND(Github!N$1340, 2)&amp;"%"</f>
        <v>0%</v>
      </c>
      <c r="K1341" s="17">
        <f>Github!O$1340</f>
        <v>42.83791819</v>
      </c>
      <c r="L1341" s="17">
        <f>Github!P$1340</f>
        <v>54751</v>
      </c>
    </row>
    <row r="1342">
      <c r="A1342" s="17">
        <f>Github!J$1341</f>
        <v>1340</v>
      </c>
      <c r="B1342" s="34" t="str">
        <f>HYPERLINK(CONCAT("http://leetcode.com/problems/",Github!C$1341), Github!B$1341)</f>
        <v>Jump Game V</v>
      </c>
      <c r="C1342" s="17">
        <f>Github!F$1341</f>
        <v>615</v>
      </c>
      <c r="D1342" s="17">
        <f>Github!G$1341</f>
        <v>22</v>
      </c>
      <c r="E1342" s="17">
        <f>Github!F$1341+Github!G$1341</f>
        <v>637</v>
      </c>
      <c r="F1342" s="18">
        <f t="shared" si="1"/>
        <v>27.95</v>
      </c>
      <c r="G1342" s="17" t="str">
        <f>Github!H$1341</f>
        <v>Algorithms</v>
      </c>
      <c r="H1342" s="17" t="b">
        <f>Github!D$1341</f>
        <v>0</v>
      </c>
      <c r="I1342" s="17" t="str">
        <f>Github!E$1341</f>
        <v>Hard</v>
      </c>
      <c r="J1342" s="17" t="str">
        <f>ROUND(Github!N$1341, 2)&amp;"%"</f>
        <v>0%</v>
      </c>
      <c r="K1342" s="17">
        <f>Github!O$1341</f>
        <v>61.95494437</v>
      </c>
      <c r="L1342" s="17">
        <f>Github!P$1341</f>
        <v>17928</v>
      </c>
    </row>
    <row r="1343">
      <c r="A1343" s="17">
        <f>Github!J$1342</f>
        <v>1341</v>
      </c>
      <c r="B1343" s="34" t="str">
        <f>HYPERLINK(CONCAT("http://leetcode.com/problems/",Github!C$1342), Github!B$1342)</f>
        <v>Movie Rating</v>
      </c>
      <c r="C1343" s="17">
        <f>Github!F$1342</f>
        <v>86</v>
      </c>
      <c r="D1343" s="17">
        <f>Github!G$1342</f>
        <v>59</v>
      </c>
      <c r="E1343" s="17">
        <f>Github!F$1342+Github!G$1342</f>
        <v>145</v>
      </c>
      <c r="F1343" s="18">
        <f t="shared" si="1"/>
        <v>1.46</v>
      </c>
      <c r="G1343" s="17" t="str">
        <f>Github!H$1342</f>
        <v>Database</v>
      </c>
      <c r="H1343" s="17" t="b">
        <f>Github!D$1342</f>
        <v>1</v>
      </c>
      <c r="I1343" s="17" t="str">
        <f>Github!E$1342</f>
        <v>Medium</v>
      </c>
      <c r="J1343" s="17" t="str">
        <f>ROUND(Github!N$1342, 2)&amp;"%"</f>
        <v>0%</v>
      </c>
      <c r="K1343" s="17">
        <f>Github!O$1342</f>
        <v>57.96398668</v>
      </c>
      <c r="L1343" s="17">
        <f>Github!P$1342</f>
        <v>17930</v>
      </c>
    </row>
    <row r="1344">
      <c r="A1344" s="17">
        <f>Github!J$1343</f>
        <v>1342</v>
      </c>
      <c r="B1344" s="34" t="str">
        <f>HYPERLINK(CONCAT("http://leetcode.com/problems/",Github!C$1343), Github!B$1343)</f>
        <v>Number of Steps to Reduce a Number to Zero</v>
      </c>
      <c r="C1344" s="17">
        <f>Github!F$1343</f>
        <v>1515</v>
      </c>
      <c r="D1344" s="17">
        <f>Github!G$1343</f>
        <v>103</v>
      </c>
      <c r="E1344" s="17">
        <f>Github!F$1343+Github!G$1343</f>
        <v>1618</v>
      </c>
      <c r="F1344" s="18">
        <f t="shared" si="1"/>
        <v>14.71</v>
      </c>
      <c r="G1344" s="17" t="str">
        <f>Github!H$1343</f>
        <v>Algorithms</v>
      </c>
      <c r="H1344" s="17" t="b">
        <f>Github!D$1343</f>
        <v>0</v>
      </c>
      <c r="I1344" s="17" t="str">
        <f>Github!E$1343</f>
        <v>Easy</v>
      </c>
      <c r="J1344" s="17" t="str">
        <f>ROUND(Github!N$1343, 2)&amp;"%"</f>
        <v>0%</v>
      </c>
      <c r="K1344" s="17">
        <f>Github!O$1343</f>
        <v>85.70872756</v>
      </c>
      <c r="L1344" s="17">
        <f>Github!P$1343</f>
        <v>242318</v>
      </c>
    </row>
    <row r="1345">
      <c r="A1345" s="17">
        <f>Github!J$1344</f>
        <v>1343</v>
      </c>
      <c r="B1345" s="34" t="str">
        <f>HYPERLINK(CONCAT("http://leetcode.com/problems/",Github!C$1344), Github!B$1344)</f>
        <v>Number of Sub-arrays of Size K and Average Greater than or Equal to Threshold</v>
      </c>
      <c r="C1345" s="17">
        <f>Github!F$1344</f>
        <v>540</v>
      </c>
      <c r="D1345" s="17">
        <f>Github!G$1344</f>
        <v>56</v>
      </c>
      <c r="E1345" s="17">
        <f>Github!F$1344+Github!G$1344</f>
        <v>596</v>
      </c>
      <c r="F1345" s="18">
        <f t="shared" si="1"/>
        <v>9.64</v>
      </c>
      <c r="G1345" s="17" t="str">
        <f>Github!H$1344</f>
        <v>Algorithms</v>
      </c>
      <c r="H1345" s="17" t="b">
        <f>Github!D$1344</f>
        <v>0</v>
      </c>
      <c r="I1345" s="17" t="str">
        <f>Github!E$1344</f>
        <v>Medium</v>
      </c>
      <c r="J1345" s="17" t="str">
        <f>ROUND(Github!N$1344, 2)&amp;"%"</f>
        <v>0%</v>
      </c>
      <c r="K1345" s="17">
        <f>Github!O$1344</f>
        <v>67.86352702</v>
      </c>
      <c r="L1345" s="17">
        <f>Github!P$1344</f>
        <v>30751</v>
      </c>
    </row>
    <row r="1346">
      <c r="A1346" s="17">
        <f>Github!J$1345</f>
        <v>1344</v>
      </c>
      <c r="B1346" s="34" t="str">
        <f>HYPERLINK(CONCAT("http://leetcode.com/problems/",Github!C$1345), Github!B$1345)</f>
        <v>Angle Between Hands of a Clock</v>
      </c>
      <c r="C1346" s="17">
        <f>Github!F$1345</f>
        <v>878</v>
      </c>
      <c r="D1346" s="17">
        <f>Github!G$1345</f>
        <v>182</v>
      </c>
      <c r="E1346" s="17">
        <f>Github!F$1345+Github!G$1345</f>
        <v>1060</v>
      </c>
      <c r="F1346" s="18">
        <f t="shared" si="1"/>
        <v>4.82</v>
      </c>
      <c r="G1346" s="17" t="str">
        <f>Github!H$1345</f>
        <v>Algorithms</v>
      </c>
      <c r="H1346" s="17" t="b">
        <f>Github!D$1345</f>
        <v>0</v>
      </c>
      <c r="I1346" s="17" t="str">
        <f>Github!E$1345</f>
        <v>Medium</v>
      </c>
      <c r="J1346" s="17" t="str">
        <f>ROUND(Github!N$1345, 2)&amp;"%"</f>
        <v>0%</v>
      </c>
      <c r="K1346" s="17">
        <f>Github!O$1345</f>
        <v>62.94964029</v>
      </c>
      <c r="L1346" s="17">
        <f>Github!P$1345</f>
        <v>85223</v>
      </c>
    </row>
    <row r="1347">
      <c r="A1347" s="17">
        <f>Github!J$1346</f>
        <v>1345</v>
      </c>
      <c r="B1347" s="34" t="str">
        <f>HYPERLINK(CONCAT("http://leetcode.com/problems/",Github!C$1346), Github!B$1346)</f>
        <v>Jump Game IV</v>
      </c>
      <c r="C1347" s="17">
        <f>Github!F$1346</f>
        <v>1746</v>
      </c>
      <c r="D1347" s="17">
        <f>Github!G$1346</f>
        <v>69</v>
      </c>
      <c r="E1347" s="17">
        <f>Github!F$1346+Github!G$1346</f>
        <v>1815</v>
      </c>
      <c r="F1347" s="18">
        <f t="shared" si="1"/>
        <v>25.3</v>
      </c>
      <c r="G1347" s="17" t="str">
        <f>Github!H$1346</f>
        <v>Algorithms</v>
      </c>
      <c r="H1347" s="17" t="b">
        <f>Github!D$1346</f>
        <v>0</v>
      </c>
      <c r="I1347" s="17" t="str">
        <f>Github!E$1346</f>
        <v>Hard</v>
      </c>
      <c r="J1347" s="17" t="str">
        <f>ROUND(Github!N$1346, 2)&amp;"%"</f>
        <v>0%</v>
      </c>
      <c r="K1347" s="17">
        <f>Github!O$1346</f>
        <v>44.39930728</v>
      </c>
      <c r="L1347" s="17">
        <f>Github!P$1346</f>
        <v>68964</v>
      </c>
    </row>
    <row r="1348">
      <c r="A1348" s="17">
        <f>Github!J$1347</f>
        <v>1346</v>
      </c>
      <c r="B1348" s="34" t="str">
        <f>HYPERLINK(CONCAT("http://leetcode.com/problems/",Github!C$1347), Github!B$1347)</f>
        <v>Check If N and Its Double Exist</v>
      </c>
      <c r="C1348" s="17">
        <f>Github!F$1347</f>
        <v>771</v>
      </c>
      <c r="D1348" s="17">
        <f>Github!G$1347</f>
        <v>103</v>
      </c>
      <c r="E1348" s="17">
        <f>Github!F$1347+Github!G$1347</f>
        <v>874</v>
      </c>
      <c r="F1348" s="18">
        <f t="shared" si="1"/>
        <v>7.49</v>
      </c>
      <c r="G1348" s="17" t="str">
        <f>Github!H$1347</f>
        <v>Algorithms</v>
      </c>
      <c r="H1348" s="17" t="b">
        <f>Github!D$1347</f>
        <v>0</v>
      </c>
      <c r="I1348" s="17" t="str">
        <f>Github!E$1347</f>
        <v>Easy</v>
      </c>
      <c r="J1348" s="17" t="str">
        <f>ROUND(Github!N$1347, 2)&amp;"%"</f>
        <v>0%</v>
      </c>
      <c r="K1348" s="17">
        <f>Github!O$1347</f>
        <v>35.456627</v>
      </c>
      <c r="L1348" s="17">
        <f>Github!P$1347</f>
        <v>176990</v>
      </c>
    </row>
    <row r="1349">
      <c r="A1349" s="17">
        <f>Github!J$1348</f>
        <v>1347</v>
      </c>
      <c r="B1349" s="34" t="str">
        <f>HYPERLINK(CONCAT("http://leetcode.com/problems/",Github!C$1348), Github!B$1348)</f>
        <v>Minimum Number of Steps to Make Two Strings Anagram</v>
      </c>
      <c r="C1349" s="17">
        <f>Github!F$1348</f>
        <v>1141</v>
      </c>
      <c r="D1349" s="17">
        <f>Github!G$1348</f>
        <v>56</v>
      </c>
      <c r="E1349" s="17">
        <f>Github!F$1348+Github!G$1348</f>
        <v>1197</v>
      </c>
      <c r="F1349" s="18">
        <f t="shared" si="1"/>
        <v>20.38</v>
      </c>
      <c r="G1349" s="17" t="str">
        <f>Github!H$1348</f>
        <v>Algorithms</v>
      </c>
      <c r="H1349" s="17" t="b">
        <f>Github!D$1348</f>
        <v>0</v>
      </c>
      <c r="I1349" s="17" t="str">
        <f>Github!E$1348</f>
        <v>Medium</v>
      </c>
      <c r="J1349" s="17" t="str">
        <f>ROUND(Github!N$1348, 2)&amp;"%"</f>
        <v>0%</v>
      </c>
      <c r="K1349" s="17">
        <f>Github!O$1348</f>
        <v>76.1203092</v>
      </c>
      <c r="L1349" s="17">
        <f>Github!P$1348</f>
        <v>83997</v>
      </c>
    </row>
    <row r="1350">
      <c r="A1350" s="17">
        <f>Github!J$1349</f>
        <v>1348</v>
      </c>
      <c r="B1350" s="34" t="str">
        <f>HYPERLINK(CONCAT("http://leetcode.com/problems/",Github!C$1349), Github!B$1349)</f>
        <v>Tweet Counts Per Frequency</v>
      </c>
      <c r="C1350" s="17">
        <f>Github!F$1349</f>
        <v>99</v>
      </c>
      <c r="D1350" s="17">
        <f>Github!G$1349</f>
        <v>184</v>
      </c>
      <c r="E1350" s="17">
        <f>Github!F$1349+Github!G$1349</f>
        <v>283</v>
      </c>
      <c r="F1350" s="18">
        <f t="shared" si="1"/>
        <v>0.54</v>
      </c>
      <c r="G1350" s="17" t="str">
        <f>Github!H$1349</f>
        <v>Algorithms</v>
      </c>
      <c r="H1350" s="17" t="b">
        <f>Github!D$1349</f>
        <v>0</v>
      </c>
      <c r="I1350" s="17" t="str">
        <f>Github!E$1349</f>
        <v>Medium</v>
      </c>
      <c r="J1350" s="17" t="str">
        <f>ROUND(Github!N$1349, 2)&amp;"%"</f>
        <v>0%</v>
      </c>
      <c r="K1350" s="17">
        <f>Github!O$1349</f>
        <v>42.74435157</v>
      </c>
      <c r="L1350" s="17">
        <f>Github!P$1349</f>
        <v>25823</v>
      </c>
    </row>
    <row r="1351">
      <c r="A1351" s="17">
        <f>Github!J$1350</f>
        <v>1349</v>
      </c>
      <c r="B1351" s="34" t="str">
        <f>HYPERLINK(CONCAT("http://leetcode.com/problems/",Github!C$1350), Github!B$1350)</f>
        <v>Maximum Students Taking Exam</v>
      </c>
      <c r="C1351" s="17">
        <f>Github!F$1350</f>
        <v>542</v>
      </c>
      <c r="D1351" s="17">
        <f>Github!G$1350</f>
        <v>10</v>
      </c>
      <c r="E1351" s="17">
        <f>Github!F$1350+Github!G$1350</f>
        <v>552</v>
      </c>
      <c r="F1351" s="18">
        <f t="shared" si="1"/>
        <v>54.2</v>
      </c>
      <c r="G1351" s="17" t="str">
        <f>Github!H$1350</f>
        <v>Algorithms</v>
      </c>
      <c r="H1351" s="17" t="b">
        <f>Github!D$1350</f>
        <v>0</v>
      </c>
      <c r="I1351" s="17" t="str">
        <f>Github!E$1350</f>
        <v>Hard</v>
      </c>
      <c r="J1351" s="17" t="str">
        <f>ROUND(Github!N$1350, 2)&amp;"%"</f>
        <v>0%</v>
      </c>
      <c r="K1351" s="17">
        <f>Github!O$1350</f>
        <v>46.60792527</v>
      </c>
      <c r="L1351" s="17">
        <f>Github!P$1350</f>
        <v>9680</v>
      </c>
    </row>
    <row r="1352">
      <c r="A1352" s="17">
        <f>Github!J$1351</f>
        <v>1350</v>
      </c>
      <c r="B1352" s="34" t="str">
        <f>HYPERLINK(CONCAT("http://leetcode.com/problems/",Github!C$1351), Github!B$1351)</f>
        <v>Students With Invalid Departments</v>
      </c>
      <c r="C1352" s="17">
        <f>Github!F$1351</f>
        <v>126</v>
      </c>
      <c r="D1352" s="17">
        <f>Github!G$1351</f>
        <v>7</v>
      </c>
      <c r="E1352" s="17">
        <f>Github!F$1351+Github!G$1351</f>
        <v>133</v>
      </c>
      <c r="F1352" s="18">
        <f t="shared" si="1"/>
        <v>18</v>
      </c>
      <c r="G1352" s="17" t="str">
        <f>Github!H$1351</f>
        <v>Database</v>
      </c>
      <c r="H1352" s="17" t="b">
        <f>Github!D$1351</f>
        <v>1</v>
      </c>
      <c r="I1352" s="17" t="str">
        <f>Github!E$1351</f>
        <v>Easy</v>
      </c>
      <c r="J1352" s="17" t="str">
        <f>ROUND(Github!N$1351, 2)&amp;"%"</f>
        <v>0%</v>
      </c>
      <c r="K1352" s="17">
        <f>Github!O$1351</f>
        <v>90.46170794</v>
      </c>
      <c r="L1352" s="17">
        <f>Github!P$1351</f>
        <v>37775</v>
      </c>
    </row>
    <row r="1353">
      <c r="A1353" s="17">
        <f>Github!J$1352</f>
        <v>1351</v>
      </c>
      <c r="B1353" s="34" t="str">
        <f>HYPERLINK(CONCAT("http://leetcode.com/problems/",Github!C$1352), Github!B$1352)</f>
        <v>Count Negative Numbers in a Sorted Matrix</v>
      </c>
      <c r="C1353" s="17">
        <f>Github!F$1352</f>
        <v>1950</v>
      </c>
      <c r="D1353" s="17">
        <f>Github!G$1352</f>
        <v>68</v>
      </c>
      <c r="E1353" s="17">
        <f>Github!F$1352+Github!G$1352</f>
        <v>2018</v>
      </c>
      <c r="F1353" s="18">
        <f t="shared" si="1"/>
        <v>28.68</v>
      </c>
      <c r="G1353" s="17" t="str">
        <f>Github!H$1352</f>
        <v>Algorithms</v>
      </c>
      <c r="H1353" s="17" t="b">
        <f>Github!D$1352</f>
        <v>0</v>
      </c>
      <c r="I1353" s="17" t="str">
        <f>Github!E$1352</f>
        <v>Easy</v>
      </c>
      <c r="J1353" s="17" t="str">
        <f>ROUND(Github!N$1352, 2)&amp;"%"</f>
        <v>0%</v>
      </c>
      <c r="K1353" s="17">
        <f>Github!O$1352</f>
        <v>75.14825962</v>
      </c>
      <c r="L1353" s="17">
        <f>Github!P$1352</f>
        <v>160042</v>
      </c>
    </row>
    <row r="1354">
      <c r="A1354" s="17">
        <f>Github!J$1353</f>
        <v>1352</v>
      </c>
      <c r="B1354" s="34" t="str">
        <f>HYPERLINK(CONCAT("http://leetcode.com/problems/",Github!C$1353), Github!B$1353)</f>
        <v>Product of the Last K Numbers</v>
      </c>
      <c r="C1354" s="17">
        <f>Github!F$1353</f>
        <v>843</v>
      </c>
      <c r="D1354" s="17">
        <f>Github!G$1353</f>
        <v>48</v>
      </c>
      <c r="E1354" s="17">
        <f>Github!F$1353+Github!G$1353</f>
        <v>891</v>
      </c>
      <c r="F1354" s="18">
        <f t="shared" si="1"/>
        <v>17.56</v>
      </c>
      <c r="G1354" s="17" t="str">
        <f>Github!H$1353</f>
        <v>Algorithms</v>
      </c>
      <c r="H1354" s="17" t="b">
        <f>Github!D$1353</f>
        <v>0</v>
      </c>
      <c r="I1354" s="17" t="str">
        <f>Github!E$1353</f>
        <v>Medium</v>
      </c>
      <c r="J1354" s="17" t="str">
        <f>ROUND(Github!N$1353, 2)&amp;"%"</f>
        <v>0%</v>
      </c>
      <c r="K1354" s="17">
        <f>Github!O$1353</f>
        <v>47.55219734</v>
      </c>
      <c r="L1354" s="17">
        <f>Github!P$1353</f>
        <v>45185</v>
      </c>
    </row>
    <row r="1355">
      <c r="A1355" s="17">
        <f>Github!J$1354</f>
        <v>1353</v>
      </c>
      <c r="B1355" s="34" t="str">
        <f>HYPERLINK(CONCAT("http://leetcode.com/problems/",Github!C$1354), Github!B$1354)</f>
        <v>Maximum Number of Events That Can Be Attended</v>
      </c>
      <c r="C1355" s="17">
        <f>Github!F$1354</f>
        <v>1667</v>
      </c>
      <c r="D1355" s="17">
        <f>Github!G$1354</f>
        <v>233</v>
      </c>
      <c r="E1355" s="17">
        <f>Github!F$1354+Github!G$1354</f>
        <v>1900</v>
      </c>
      <c r="F1355" s="18">
        <f t="shared" si="1"/>
        <v>7.15</v>
      </c>
      <c r="G1355" s="17" t="str">
        <f>Github!H$1354</f>
        <v>Algorithms</v>
      </c>
      <c r="H1355" s="17" t="b">
        <f>Github!D$1354</f>
        <v>0</v>
      </c>
      <c r="I1355" s="17" t="str">
        <f>Github!E$1354</f>
        <v>Medium</v>
      </c>
      <c r="J1355" s="17" t="str">
        <f>ROUND(Github!N$1354, 2)&amp;"%"</f>
        <v>0%</v>
      </c>
      <c r="K1355" s="17">
        <f>Github!O$1354</f>
        <v>33.32366608</v>
      </c>
      <c r="L1355" s="17">
        <f>Github!P$1354</f>
        <v>51705</v>
      </c>
    </row>
    <row r="1356">
      <c r="A1356" s="17">
        <f>Github!J$1355</f>
        <v>1354</v>
      </c>
      <c r="B1356" s="34" t="str">
        <f>HYPERLINK(CONCAT("http://leetcode.com/problems/",Github!C$1355), Github!B$1355)</f>
        <v>Construct Target Array With Multiple Sums</v>
      </c>
      <c r="C1356" s="17">
        <f>Github!F$1355</f>
        <v>631</v>
      </c>
      <c r="D1356" s="17">
        <f>Github!G$1355</f>
        <v>73</v>
      </c>
      <c r="E1356" s="17">
        <f>Github!F$1355+Github!G$1355</f>
        <v>704</v>
      </c>
      <c r="F1356" s="18">
        <f t="shared" si="1"/>
        <v>8.64</v>
      </c>
      <c r="G1356" s="17" t="str">
        <f>Github!H$1355</f>
        <v>Algorithms</v>
      </c>
      <c r="H1356" s="17" t="b">
        <f>Github!D$1355</f>
        <v>0</v>
      </c>
      <c r="I1356" s="17" t="str">
        <f>Github!E$1355</f>
        <v>Hard</v>
      </c>
      <c r="J1356" s="17" t="str">
        <f>ROUND(Github!N$1355, 2)&amp;"%"</f>
        <v>0%</v>
      </c>
      <c r="K1356" s="17">
        <f>Github!O$1355</f>
        <v>31.20687297</v>
      </c>
      <c r="L1356" s="17">
        <f>Github!P$1355</f>
        <v>25100</v>
      </c>
    </row>
    <row r="1357">
      <c r="A1357" s="17">
        <f>Github!J$1356</f>
        <v>1355</v>
      </c>
      <c r="B1357" s="34" t="str">
        <f>HYPERLINK(CONCAT("http://leetcode.com/problems/",Github!C$1356), Github!B$1356)</f>
        <v>Activity Participants</v>
      </c>
      <c r="C1357" s="17">
        <f>Github!F$1356</f>
        <v>91</v>
      </c>
      <c r="D1357" s="17">
        <f>Github!G$1356</f>
        <v>34</v>
      </c>
      <c r="E1357" s="17">
        <f>Github!F$1356+Github!G$1356</f>
        <v>125</v>
      </c>
      <c r="F1357" s="18">
        <f t="shared" si="1"/>
        <v>2.68</v>
      </c>
      <c r="G1357" s="17" t="str">
        <f>Github!H$1356</f>
        <v>Database</v>
      </c>
      <c r="H1357" s="17" t="b">
        <f>Github!D$1356</f>
        <v>1</v>
      </c>
      <c r="I1357" s="17" t="str">
        <f>Github!E$1356</f>
        <v>Medium</v>
      </c>
      <c r="J1357" s="17" t="str">
        <f>ROUND(Github!N$1356, 2)&amp;"%"</f>
        <v>0%</v>
      </c>
      <c r="K1357" s="17">
        <f>Github!O$1356</f>
        <v>74.49337711</v>
      </c>
      <c r="L1357" s="17">
        <f>Github!P$1356</f>
        <v>19740</v>
      </c>
    </row>
    <row r="1358">
      <c r="A1358" s="17">
        <f>Github!J$1357</f>
        <v>1356</v>
      </c>
      <c r="B1358" s="34" t="str">
        <f>HYPERLINK(CONCAT("http://leetcode.com/problems/",Github!C$1357), Github!B$1357)</f>
        <v>Sort Integers by The Number of 1 Bits</v>
      </c>
      <c r="C1358" s="17">
        <f>Github!F$1357</f>
        <v>914</v>
      </c>
      <c r="D1358" s="17">
        <f>Github!G$1357</f>
        <v>42</v>
      </c>
      <c r="E1358" s="17">
        <f>Github!F$1357+Github!G$1357</f>
        <v>956</v>
      </c>
      <c r="F1358" s="18">
        <f t="shared" si="1"/>
        <v>21.76</v>
      </c>
      <c r="G1358" s="17" t="str">
        <f>Github!H$1357</f>
        <v>Algorithms</v>
      </c>
      <c r="H1358" s="17" t="b">
        <f>Github!D$1357</f>
        <v>0</v>
      </c>
      <c r="I1358" s="17" t="str">
        <f>Github!E$1357</f>
        <v>Easy</v>
      </c>
      <c r="J1358" s="17" t="str">
        <f>ROUND(Github!N$1357, 2)&amp;"%"</f>
        <v>0%</v>
      </c>
      <c r="K1358" s="17">
        <f>Github!O$1357</f>
        <v>71.06783979</v>
      </c>
      <c r="L1358" s="17">
        <f>Github!P$1357</f>
        <v>60255</v>
      </c>
    </row>
    <row r="1359">
      <c r="A1359" s="17">
        <f>Github!J$1358</f>
        <v>1357</v>
      </c>
      <c r="B1359" s="34" t="str">
        <f>HYPERLINK(CONCAT("http://leetcode.com/problems/",Github!C$1358), Github!B$1358)</f>
        <v>Apply Discount Every n Orders</v>
      </c>
      <c r="C1359" s="17">
        <f>Github!F$1358</f>
        <v>113</v>
      </c>
      <c r="D1359" s="17">
        <f>Github!G$1358</f>
        <v>156</v>
      </c>
      <c r="E1359" s="17">
        <f>Github!F$1358+Github!G$1358</f>
        <v>269</v>
      </c>
      <c r="F1359" s="18">
        <f t="shared" si="1"/>
        <v>0.72</v>
      </c>
      <c r="G1359" s="17" t="str">
        <f>Github!H$1358</f>
        <v>Algorithms</v>
      </c>
      <c r="H1359" s="17" t="b">
        <f>Github!D$1358</f>
        <v>0</v>
      </c>
      <c r="I1359" s="17" t="str">
        <f>Github!E$1358</f>
        <v>Medium</v>
      </c>
      <c r="J1359" s="17" t="str">
        <f>ROUND(Github!N$1358, 2)&amp;"%"</f>
        <v>0%</v>
      </c>
      <c r="K1359" s="17">
        <f>Github!O$1358</f>
        <v>68.70000491</v>
      </c>
      <c r="L1359" s="17">
        <f>Github!P$1358</f>
        <v>13999</v>
      </c>
    </row>
    <row r="1360">
      <c r="A1360" s="17">
        <f>Github!J$1359</f>
        <v>1358</v>
      </c>
      <c r="B1360" s="34" t="str">
        <f>HYPERLINK(CONCAT("http://leetcode.com/problems/",Github!C$1359), Github!B$1359)</f>
        <v>Number of Substrings Containing All Three Characters</v>
      </c>
      <c r="C1360" s="17">
        <f>Github!F$1359</f>
        <v>1321</v>
      </c>
      <c r="D1360" s="17">
        <f>Github!G$1359</f>
        <v>24</v>
      </c>
      <c r="E1360" s="17">
        <f>Github!F$1359+Github!G$1359</f>
        <v>1345</v>
      </c>
      <c r="F1360" s="18">
        <f t="shared" si="1"/>
        <v>55.04</v>
      </c>
      <c r="G1360" s="17" t="str">
        <f>Github!H$1359</f>
        <v>Algorithms</v>
      </c>
      <c r="H1360" s="17" t="b">
        <f>Github!D$1359</f>
        <v>0</v>
      </c>
      <c r="I1360" s="17" t="str">
        <f>Github!E$1359</f>
        <v>Medium</v>
      </c>
      <c r="J1360" s="17" t="str">
        <f>ROUND(Github!N$1359, 2)&amp;"%"</f>
        <v>0%</v>
      </c>
      <c r="K1360" s="17">
        <f>Github!O$1359</f>
        <v>62.09675965</v>
      </c>
      <c r="L1360" s="17">
        <f>Github!P$1359</f>
        <v>34437</v>
      </c>
    </row>
    <row r="1361">
      <c r="A1361" s="17">
        <f>Github!J$1360</f>
        <v>1359</v>
      </c>
      <c r="B1361" s="34" t="str">
        <f>HYPERLINK(CONCAT("http://leetcode.com/problems/",Github!C$1360), Github!B$1360)</f>
        <v>Count All Valid Pickup and Delivery Options</v>
      </c>
      <c r="C1361" s="17">
        <f>Github!F$1360</f>
        <v>1462</v>
      </c>
      <c r="D1361" s="17">
        <f>Github!G$1360</f>
        <v>132</v>
      </c>
      <c r="E1361" s="17">
        <f>Github!F$1360+Github!G$1360</f>
        <v>1594</v>
      </c>
      <c r="F1361" s="18">
        <f t="shared" si="1"/>
        <v>11.08</v>
      </c>
      <c r="G1361" s="17" t="str">
        <f>Github!H$1360</f>
        <v>Algorithms</v>
      </c>
      <c r="H1361" s="17" t="b">
        <f>Github!D$1360</f>
        <v>0</v>
      </c>
      <c r="I1361" s="17" t="str">
        <f>Github!E$1360</f>
        <v>Hard</v>
      </c>
      <c r="J1361" s="17" t="str">
        <f>ROUND(Github!N$1360, 2)&amp;"%"</f>
        <v>0%</v>
      </c>
      <c r="K1361" s="17">
        <f>Github!O$1360</f>
        <v>63.31883873</v>
      </c>
      <c r="L1361" s="17">
        <f>Github!P$1360</f>
        <v>49508</v>
      </c>
    </row>
    <row r="1362">
      <c r="A1362" s="17">
        <f>Github!J$1361</f>
        <v>1360</v>
      </c>
      <c r="B1362" s="34" t="str">
        <f>HYPERLINK(CONCAT("http://leetcode.com/problems/",Github!C$1361), Github!B$1361)</f>
        <v>Number of Days Between Two Dates</v>
      </c>
      <c r="C1362" s="17">
        <f>Github!F$1361</f>
        <v>178</v>
      </c>
      <c r="D1362" s="17">
        <f>Github!G$1361</f>
        <v>770</v>
      </c>
      <c r="E1362" s="17">
        <f>Github!F$1361+Github!G$1361</f>
        <v>948</v>
      </c>
      <c r="F1362" s="18">
        <f t="shared" si="1"/>
        <v>0.23</v>
      </c>
      <c r="G1362" s="17" t="str">
        <f>Github!H$1361</f>
        <v>Algorithms</v>
      </c>
      <c r="H1362" s="17" t="b">
        <f>Github!D$1361</f>
        <v>0</v>
      </c>
      <c r="I1362" s="17" t="str">
        <f>Github!E$1361</f>
        <v>Easy</v>
      </c>
      <c r="J1362" s="17" t="str">
        <f>ROUND(Github!N$1361, 2)&amp;"%"</f>
        <v>0%</v>
      </c>
      <c r="K1362" s="17">
        <f>Github!O$1361</f>
        <v>46.70113369</v>
      </c>
      <c r="L1362" s="17">
        <f>Github!P$1361</f>
        <v>27641</v>
      </c>
    </row>
    <row r="1363">
      <c r="A1363" s="17">
        <f>Github!J$1362</f>
        <v>1361</v>
      </c>
      <c r="B1363" s="34" t="str">
        <f>HYPERLINK(CONCAT("http://leetcode.com/problems/",Github!C$1362), Github!B$1362)</f>
        <v>Validate Binary Tree Nodes</v>
      </c>
      <c r="C1363" s="17">
        <f>Github!F$1362</f>
        <v>711</v>
      </c>
      <c r="D1363" s="17">
        <f>Github!G$1362</f>
        <v>240</v>
      </c>
      <c r="E1363" s="17">
        <f>Github!F$1362+Github!G$1362</f>
        <v>951</v>
      </c>
      <c r="F1363" s="18">
        <f t="shared" si="1"/>
        <v>2.96</v>
      </c>
      <c r="G1363" s="17" t="str">
        <f>Github!H$1362</f>
        <v>Algorithms</v>
      </c>
      <c r="H1363" s="17" t="b">
        <f>Github!D$1362</f>
        <v>0</v>
      </c>
      <c r="I1363" s="17" t="str">
        <f>Github!E$1362</f>
        <v>Medium</v>
      </c>
      <c r="J1363" s="17" t="str">
        <f>ROUND(Github!N$1362, 2)&amp;"%"</f>
        <v>0%</v>
      </c>
      <c r="K1363" s="17">
        <f>Github!O$1362</f>
        <v>41.59782703</v>
      </c>
      <c r="L1363" s="17">
        <f>Github!P$1362</f>
        <v>33385</v>
      </c>
    </row>
    <row r="1364">
      <c r="A1364" s="17">
        <f>Github!J$1363</f>
        <v>1362</v>
      </c>
      <c r="B1364" s="34" t="str">
        <f>HYPERLINK(CONCAT("http://leetcode.com/problems/",Github!C$1363), Github!B$1363)</f>
        <v>Closest Divisors</v>
      </c>
      <c r="C1364" s="17">
        <f>Github!F$1363</f>
        <v>175</v>
      </c>
      <c r="D1364" s="17">
        <f>Github!G$1363</f>
        <v>80</v>
      </c>
      <c r="E1364" s="17">
        <f>Github!F$1363+Github!G$1363</f>
        <v>255</v>
      </c>
      <c r="F1364" s="18">
        <f t="shared" si="1"/>
        <v>2.19</v>
      </c>
      <c r="G1364" s="17" t="str">
        <f>Github!H$1363</f>
        <v>Algorithms</v>
      </c>
      <c r="H1364" s="17" t="b">
        <f>Github!D$1363</f>
        <v>0</v>
      </c>
      <c r="I1364" s="17" t="str">
        <f>Github!E$1363</f>
        <v>Medium</v>
      </c>
      <c r="J1364" s="17" t="str">
        <f>ROUND(Github!N$1363, 2)&amp;"%"</f>
        <v>0%</v>
      </c>
      <c r="K1364" s="17">
        <f>Github!O$1363</f>
        <v>59.10331384</v>
      </c>
      <c r="L1364" s="17">
        <f>Github!P$1363</f>
        <v>15160</v>
      </c>
    </row>
    <row r="1365">
      <c r="A1365" s="17">
        <f>Github!J$1364</f>
        <v>1363</v>
      </c>
      <c r="B1365" s="34" t="str">
        <f>HYPERLINK(CONCAT("http://leetcode.com/problems/",Github!C$1364), Github!B$1364)</f>
        <v>Largest Multiple of Three</v>
      </c>
      <c r="C1365" s="17">
        <f>Github!F$1364</f>
        <v>373</v>
      </c>
      <c r="D1365" s="17">
        <f>Github!G$1364</f>
        <v>53</v>
      </c>
      <c r="E1365" s="17">
        <f>Github!F$1364+Github!G$1364</f>
        <v>426</v>
      </c>
      <c r="F1365" s="18">
        <f t="shared" si="1"/>
        <v>7.04</v>
      </c>
      <c r="G1365" s="17" t="str">
        <f>Github!H$1364</f>
        <v>Algorithms</v>
      </c>
      <c r="H1365" s="17" t="b">
        <f>Github!D$1364</f>
        <v>0</v>
      </c>
      <c r="I1365" s="17" t="str">
        <f>Github!E$1364</f>
        <v>Hard</v>
      </c>
      <c r="J1365" s="17" t="str">
        <f>ROUND(Github!N$1364, 2)&amp;"%"</f>
        <v>0%</v>
      </c>
      <c r="K1365" s="17">
        <f>Github!O$1364</f>
        <v>34.33369336</v>
      </c>
      <c r="L1365" s="17">
        <f>Github!P$1364</f>
        <v>13351</v>
      </c>
    </row>
    <row r="1366">
      <c r="A1366" s="17">
        <f>Github!J$1365</f>
        <v>1364</v>
      </c>
      <c r="B1366" s="34" t="str">
        <f>HYPERLINK(CONCAT("http://leetcode.com/problems/",Github!C$1365), Github!B$1365)</f>
        <v>Number of Trusted Contacts of a Customer</v>
      </c>
      <c r="C1366" s="17">
        <f>Github!F$1365</f>
        <v>52</v>
      </c>
      <c r="D1366" s="17">
        <f>Github!G$1365</f>
        <v>265</v>
      </c>
      <c r="E1366" s="17">
        <f>Github!F$1365+Github!G$1365</f>
        <v>317</v>
      </c>
      <c r="F1366" s="18">
        <f t="shared" si="1"/>
        <v>0.2</v>
      </c>
      <c r="G1366" s="17" t="str">
        <f>Github!H$1365</f>
        <v>Database</v>
      </c>
      <c r="H1366" s="17" t="b">
        <f>Github!D$1365</f>
        <v>1</v>
      </c>
      <c r="I1366" s="17" t="str">
        <f>Github!E$1365</f>
        <v>Medium</v>
      </c>
      <c r="J1366" s="17" t="str">
        <f>ROUND(Github!N$1365, 2)&amp;"%"</f>
        <v>0%</v>
      </c>
      <c r="K1366" s="17">
        <f>Github!O$1365</f>
        <v>78.57142857</v>
      </c>
      <c r="L1366" s="17">
        <f>Github!P$1365</f>
        <v>12386</v>
      </c>
    </row>
    <row r="1367">
      <c r="A1367" s="17">
        <f>Github!J$1366</f>
        <v>1365</v>
      </c>
      <c r="B1367" s="34" t="str">
        <f>HYPERLINK(CONCAT("http://leetcode.com/problems/",Github!C$1366), Github!B$1366)</f>
        <v>How Many Numbers Are Smaller Than the Current Number</v>
      </c>
      <c r="C1367" s="17">
        <f>Github!F$1366</f>
        <v>2902</v>
      </c>
      <c r="D1367" s="17">
        <f>Github!G$1366</f>
        <v>60</v>
      </c>
      <c r="E1367" s="17">
        <f>Github!F$1366+Github!G$1366</f>
        <v>2962</v>
      </c>
      <c r="F1367" s="18">
        <f t="shared" si="1"/>
        <v>48.37</v>
      </c>
      <c r="G1367" s="17" t="str">
        <f>Github!H$1366</f>
        <v>Algorithms</v>
      </c>
      <c r="H1367" s="17" t="b">
        <f>Github!D$1366</f>
        <v>0</v>
      </c>
      <c r="I1367" s="17" t="str">
        <f>Github!E$1366</f>
        <v>Easy</v>
      </c>
      <c r="J1367" s="17" t="str">
        <f>ROUND(Github!N$1366, 2)&amp;"%"</f>
        <v>0%</v>
      </c>
      <c r="K1367" s="17">
        <f>Github!O$1366</f>
        <v>86.2511645</v>
      </c>
      <c r="L1367" s="17">
        <f>Github!P$1366</f>
        <v>290706</v>
      </c>
    </row>
    <row r="1368">
      <c r="A1368" s="17">
        <f>Github!J$1367</f>
        <v>1366</v>
      </c>
      <c r="B1368" s="34" t="str">
        <f>HYPERLINK(CONCAT("http://leetcode.com/problems/",Github!C$1367), Github!B$1367)</f>
        <v>Rank Teams by Votes</v>
      </c>
      <c r="C1368" s="17">
        <f>Github!F$1367</f>
        <v>750</v>
      </c>
      <c r="D1368" s="17">
        <f>Github!G$1367</f>
        <v>81</v>
      </c>
      <c r="E1368" s="17">
        <f>Github!F$1367+Github!G$1367</f>
        <v>831</v>
      </c>
      <c r="F1368" s="18">
        <f t="shared" si="1"/>
        <v>9.26</v>
      </c>
      <c r="G1368" s="17" t="str">
        <f>Github!H$1367</f>
        <v>Algorithms</v>
      </c>
      <c r="H1368" s="17" t="b">
        <f>Github!D$1367</f>
        <v>0</v>
      </c>
      <c r="I1368" s="17" t="str">
        <f>Github!E$1367</f>
        <v>Medium</v>
      </c>
      <c r="J1368" s="17" t="str">
        <f>ROUND(Github!N$1367, 2)&amp;"%"</f>
        <v>0%</v>
      </c>
      <c r="K1368" s="17">
        <f>Github!O$1367</f>
        <v>58.7133606</v>
      </c>
      <c r="L1368" s="17">
        <f>Github!P$1367</f>
        <v>34451</v>
      </c>
    </row>
    <row r="1369">
      <c r="A1369" s="17">
        <f>Github!J$1368</f>
        <v>1367</v>
      </c>
      <c r="B1369" s="34" t="str">
        <f>HYPERLINK(CONCAT("http://leetcode.com/problems/",Github!C$1368), Github!B$1368)</f>
        <v>Linked List in Binary Tree</v>
      </c>
      <c r="C1369" s="17">
        <f>Github!F$1368</f>
        <v>1279</v>
      </c>
      <c r="D1369" s="17">
        <f>Github!G$1368</f>
        <v>46</v>
      </c>
      <c r="E1369" s="17">
        <f>Github!F$1368+Github!G$1368</f>
        <v>1325</v>
      </c>
      <c r="F1369" s="18">
        <f t="shared" si="1"/>
        <v>27.8</v>
      </c>
      <c r="G1369" s="17" t="str">
        <f>Github!H$1368</f>
        <v>Algorithms</v>
      </c>
      <c r="H1369" s="17" t="b">
        <f>Github!D$1368</f>
        <v>0</v>
      </c>
      <c r="I1369" s="17" t="str">
        <f>Github!E$1368</f>
        <v>Medium</v>
      </c>
      <c r="J1369" s="17" t="str">
        <f>ROUND(Github!N$1368, 2)&amp;"%"</f>
        <v>0%</v>
      </c>
      <c r="K1369" s="17">
        <f>Github!O$1368</f>
        <v>42.4380805</v>
      </c>
      <c r="L1369" s="17">
        <f>Github!P$1368</f>
        <v>43864</v>
      </c>
    </row>
    <row r="1370">
      <c r="A1370" s="17">
        <f>Github!J$1369</f>
        <v>1368</v>
      </c>
      <c r="B1370" s="34" t="str">
        <f>HYPERLINK(CONCAT("http://leetcode.com/problems/",Github!C$1369), Github!B$1369)</f>
        <v>Minimum Cost to Make at Least One Valid Path in a Grid</v>
      </c>
      <c r="C1370" s="17">
        <f>Github!F$1369</f>
        <v>964</v>
      </c>
      <c r="D1370" s="17">
        <f>Github!G$1369</f>
        <v>7</v>
      </c>
      <c r="E1370" s="17">
        <f>Github!F$1369+Github!G$1369</f>
        <v>971</v>
      </c>
      <c r="F1370" s="18">
        <f t="shared" si="1"/>
        <v>137.71</v>
      </c>
      <c r="G1370" s="17" t="str">
        <f>Github!H$1369</f>
        <v>Algorithms</v>
      </c>
      <c r="H1370" s="17" t="b">
        <f>Github!D$1369</f>
        <v>0</v>
      </c>
      <c r="I1370" s="17" t="str">
        <f>Github!E$1369</f>
        <v>Hard</v>
      </c>
      <c r="J1370" s="17" t="str">
        <f>ROUND(Github!N$1369, 2)&amp;"%"</f>
        <v>0%</v>
      </c>
      <c r="K1370" s="17">
        <f>Github!O$1369</f>
        <v>60.36807012</v>
      </c>
      <c r="L1370" s="17">
        <f>Github!P$1369</f>
        <v>29063</v>
      </c>
    </row>
    <row r="1371">
      <c r="A1371" s="17">
        <f>Github!J$1370</f>
        <v>1369</v>
      </c>
      <c r="B1371" s="34" t="str">
        <f>HYPERLINK(CONCAT("http://leetcode.com/problems/",Github!C$1370), Github!B$1370)</f>
        <v>Get the Second Most Recent Activity</v>
      </c>
      <c r="C1371" s="17">
        <f>Github!F$1370</f>
        <v>101</v>
      </c>
      <c r="D1371" s="17">
        <f>Github!G$1370</f>
        <v>8</v>
      </c>
      <c r="E1371" s="17">
        <f>Github!F$1370+Github!G$1370</f>
        <v>109</v>
      </c>
      <c r="F1371" s="18">
        <f t="shared" si="1"/>
        <v>12.63</v>
      </c>
      <c r="G1371" s="17" t="str">
        <f>Github!H$1370</f>
        <v>Database</v>
      </c>
      <c r="H1371" s="17" t="b">
        <f>Github!D$1370</f>
        <v>1</v>
      </c>
      <c r="I1371" s="17" t="str">
        <f>Github!E$1370</f>
        <v>Hard</v>
      </c>
      <c r="J1371" s="17" t="str">
        <f>ROUND(Github!N$1370, 2)&amp;"%"</f>
        <v>0%</v>
      </c>
      <c r="K1371" s="17">
        <f>Github!O$1370</f>
        <v>68.80469642</v>
      </c>
      <c r="L1371" s="17">
        <f>Github!P$1370</f>
        <v>12658</v>
      </c>
    </row>
    <row r="1372">
      <c r="A1372" s="17">
        <f>Github!J$1371</f>
        <v>1370</v>
      </c>
      <c r="B1372" s="34" t="str">
        <f>HYPERLINK(CONCAT("http://leetcode.com/problems/",Github!C$1371), Github!B$1371)</f>
        <v>Increasing Decreasing String</v>
      </c>
      <c r="C1372" s="17">
        <f>Github!F$1371</f>
        <v>489</v>
      </c>
      <c r="D1372" s="17">
        <f>Github!G$1371</f>
        <v>585</v>
      </c>
      <c r="E1372" s="17">
        <f>Github!F$1371+Github!G$1371</f>
        <v>1074</v>
      </c>
      <c r="F1372" s="18">
        <f t="shared" si="1"/>
        <v>0.84</v>
      </c>
      <c r="G1372" s="17" t="str">
        <f>Github!H$1371</f>
        <v>Algorithms</v>
      </c>
      <c r="H1372" s="17" t="b">
        <f>Github!D$1371</f>
        <v>0</v>
      </c>
      <c r="I1372" s="17" t="str">
        <f>Github!E$1371</f>
        <v>Easy</v>
      </c>
      <c r="J1372" s="17" t="str">
        <f>ROUND(Github!N$1371, 2)&amp;"%"</f>
        <v>0%</v>
      </c>
      <c r="K1372" s="17">
        <f>Github!O$1371</f>
        <v>77.73646947</v>
      </c>
      <c r="L1372" s="17">
        <f>Github!P$1371</f>
        <v>52482</v>
      </c>
    </row>
    <row r="1373">
      <c r="A1373" s="17">
        <f>Github!J$1372</f>
        <v>1371</v>
      </c>
      <c r="B1373" s="34" t="str">
        <f>HYPERLINK(CONCAT("http://leetcode.com/problems/",Github!C$1372), Github!B$1372)</f>
        <v>Find the Longest Substring Containing Vowels in Even Counts</v>
      </c>
      <c r="C1373" s="17">
        <f>Github!F$1372</f>
        <v>1054</v>
      </c>
      <c r="D1373" s="17">
        <f>Github!G$1372</f>
        <v>40</v>
      </c>
      <c r="E1373" s="17">
        <f>Github!F$1372+Github!G$1372</f>
        <v>1094</v>
      </c>
      <c r="F1373" s="18">
        <f t="shared" si="1"/>
        <v>26.35</v>
      </c>
      <c r="G1373" s="17" t="str">
        <f>Github!H$1372</f>
        <v>Algorithms</v>
      </c>
      <c r="H1373" s="17" t="b">
        <f>Github!D$1372</f>
        <v>0</v>
      </c>
      <c r="I1373" s="17" t="str">
        <f>Github!E$1372</f>
        <v>Medium</v>
      </c>
      <c r="J1373" s="17" t="str">
        <f>ROUND(Github!N$1372, 2)&amp;"%"</f>
        <v>0%</v>
      </c>
      <c r="K1373" s="17">
        <f>Github!O$1372</f>
        <v>62.34634915</v>
      </c>
      <c r="L1373" s="17">
        <f>Github!P$1372</f>
        <v>17803</v>
      </c>
    </row>
    <row r="1374">
      <c r="A1374" s="17">
        <f>Github!J$1373</f>
        <v>1372</v>
      </c>
      <c r="B1374" s="34" t="str">
        <f>HYPERLINK(CONCAT("http://leetcode.com/problems/",Github!C$1373), Github!B$1373)</f>
        <v>Longest ZigZag Path in a Binary Tree</v>
      </c>
      <c r="C1374" s="17">
        <f>Github!F$1373</f>
        <v>1016</v>
      </c>
      <c r="D1374" s="17">
        <f>Github!G$1373</f>
        <v>20</v>
      </c>
      <c r="E1374" s="17">
        <f>Github!F$1373+Github!G$1373</f>
        <v>1036</v>
      </c>
      <c r="F1374" s="18">
        <f t="shared" si="1"/>
        <v>50.8</v>
      </c>
      <c r="G1374" s="17" t="str">
        <f>Github!H$1373</f>
        <v>Algorithms</v>
      </c>
      <c r="H1374" s="17" t="b">
        <f>Github!D$1373</f>
        <v>0</v>
      </c>
      <c r="I1374" s="17" t="str">
        <f>Github!E$1373</f>
        <v>Medium</v>
      </c>
      <c r="J1374" s="17" t="str">
        <f>ROUND(Github!N$1373, 2)&amp;"%"</f>
        <v>0%</v>
      </c>
      <c r="K1374" s="17">
        <f>Github!O$1373</f>
        <v>57.87808517</v>
      </c>
      <c r="L1374" s="17">
        <f>Github!P$1373</f>
        <v>32194</v>
      </c>
    </row>
    <row r="1375">
      <c r="A1375" s="17">
        <f>Github!J$1374</f>
        <v>1373</v>
      </c>
      <c r="B1375" s="34" t="str">
        <f>HYPERLINK(CONCAT("http://leetcode.com/problems/",Github!C$1374), Github!B$1374)</f>
        <v>Maximum Sum BST in Binary Tree</v>
      </c>
      <c r="C1375" s="17">
        <f>Github!F$1374</f>
        <v>1006</v>
      </c>
      <c r="D1375" s="17">
        <f>Github!G$1374</f>
        <v>117</v>
      </c>
      <c r="E1375" s="17">
        <f>Github!F$1374+Github!G$1374</f>
        <v>1123</v>
      </c>
      <c r="F1375" s="18">
        <f t="shared" si="1"/>
        <v>8.6</v>
      </c>
      <c r="G1375" s="17" t="str">
        <f>Github!H$1374</f>
        <v>Algorithms</v>
      </c>
      <c r="H1375" s="17" t="b">
        <f>Github!D$1374</f>
        <v>0</v>
      </c>
      <c r="I1375" s="17" t="str">
        <f>Github!E$1374</f>
        <v>Hard</v>
      </c>
      <c r="J1375" s="17" t="str">
        <f>ROUND(Github!N$1374, 2)&amp;"%"</f>
        <v>0%</v>
      </c>
      <c r="K1375" s="17">
        <f>Github!O$1374</f>
        <v>38.55197058</v>
      </c>
      <c r="L1375" s="17">
        <f>Github!P$1374</f>
        <v>29776</v>
      </c>
    </row>
    <row r="1376">
      <c r="A1376" s="17">
        <f>Github!J$1375</f>
        <v>1374</v>
      </c>
      <c r="B1376" s="34" t="str">
        <f>HYPERLINK(CONCAT("http://leetcode.com/problems/",Github!C$1375), Github!B$1375)</f>
        <v>Generate a String With Characters That Have Odd Counts</v>
      </c>
      <c r="C1376" s="17">
        <f>Github!F$1375</f>
        <v>293</v>
      </c>
      <c r="D1376" s="17">
        <f>Github!G$1375</f>
        <v>963</v>
      </c>
      <c r="E1376" s="17">
        <f>Github!F$1375+Github!G$1375</f>
        <v>1256</v>
      </c>
      <c r="F1376" s="18">
        <f t="shared" si="1"/>
        <v>0.3</v>
      </c>
      <c r="G1376" s="17" t="str">
        <f>Github!H$1375</f>
        <v>Algorithms</v>
      </c>
      <c r="H1376" s="17" t="b">
        <f>Github!D$1375</f>
        <v>0</v>
      </c>
      <c r="I1376" s="17" t="str">
        <f>Github!E$1375</f>
        <v>Easy</v>
      </c>
      <c r="J1376" s="17" t="str">
        <f>ROUND(Github!N$1375, 2)&amp;"%"</f>
        <v>0%</v>
      </c>
      <c r="K1376" s="17">
        <f>Github!O$1375</f>
        <v>77.31138379</v>
      </c>
      <c r="L1376" s="17">
        <f>Github!P$1375</f>
        <v>63634</v>
      </c>
    </row>
    <row r="1377">
      <c r="A1377" s="17">
        <f>Github!J$1376</f>
        <v>1375</v>
      </c>
      <c r="B1377" s="34" t="str">
        <f>HYPERLINK(CONCAT("http://leetcode.com/problems/",Github!C$1376), Github!B$1376)</f>
        <v>Number of Times Binary String Is Prefix-Aligned</v>
      </c>
      <c r="C1377" s="17">
        <f>Github!F$1376</f>
        <v>683</v>
      </c>
      <c r="D1377" s="17">
        <f>Github!G$1376</f>
        <v>108</v>
      </c>
      <c r="E1377" s="17">
        <f>Github!F$1376+Github!G$1376</f>
        <v>791</v>
      </c>
      <c r="F1377" s="18">
        <f t="shared" si="1"/>
        <v>6.32</v>
      </c>
      <c r="G1377" s="17" t="str">
        <f>Github!H$1376</f>
        <v>Algorithms</v>
      </c>
      <c r="H1377" s="17" t="b">
        <f>Github!D$1376</f>
        <v>0</v>
      </c>
      <c r="I1377" s="17" t="str">
        <f>Github!E$1376</f>
        <v>Medium</v>
      </c>
      <c r="J1377" s="17" t="str">
        <f>ROUND(Github!N$1376, 2)&amp;"%"</f>
        <v>0%</v>
      </c>
      <c r="K1377" s="17">
        <f>Github!O$1376</f>
        <v>65.54957249</v>
      </c>
      <c r="L1377" s="17">
        <f>Github!P$1376</f>
        <v>38101</v>
      </c>
    </row>
    <row r="1378">
      <c r="A1378" s="17">
        <f>Github!J$1377</f>
        <v>1376</v>
      </c>
      <c r="B1378" s="34" t="str">
        <f>HYPERLINK(CONCAT("http://leetcode.com/problems/",Github!C$1377), Github!B$1377)</f>
        <v>Time Needed to Inform All Employees</v>
      </c>
      <c r="C1378" s="17">
        <f>Github!F$1377</f>
        <v>1523</v>
      </c>
      <c r="D1378" s="17">
        <f>Github!G$1377</f>
        <v>89</v>
      </c>
      <c r="E1378" s="17">
        <f>Github!F$1377+Github!G$1377</f>
        <v>1612</v>
      </c>
      <c r="F1378" s="18">
        <f t="shared" si="1"/>
        <v>17.11</v>
      </c>
      <c r="G1378" s="17" t="str">
        <f>Github!H$1377</f>
        <v>Algorithms</v>
      </c>
      <c r="H1378" s="17" t="b">
        <f>Github!D$1377</f>
        <v>0</v>
      </c>
      <c r="I1378" s="17" t="str">
        <f>Github!E$1377</f>
        <v>Medium</v>
      </c>
      <c r="J1378" s="17" t="str">
        <f>ROUND(Github!N$1377, 2)&amp;"%"</f>
        <v>0%</v>
      </c>
      <c r="K1378" s="17">
        <f>Github!O$1377</f>
        <v>57.85343294</v>
      </c>
      <c r="L1378" s="17">
        <f>Github!P$1377</f>
        <v>81283</v>
      </c>
    </row>
    <row r="1379">
      <c r="A1379" s="17">
        <f>Github!J$1378</f>
        <v>1377</v>
      </c>
      <c r="B1379" s="34" t="str">
        <f>HYPERLINK(CONCAT("http://leetcode.com/problems/",Github!C$1378), Github!B$1378)</f>
        <v>Frog Position After T Seconds</v>
      </c>
      <c r="C1379" s="17">
        <f>Github!F$1378</f>
        <v>388</v>
      </c>
      <c r="D1379" s="17">
        <f>Github!G$1378</f>
        <v>90</v>
      </c>
      <c r="E1379" s="17">
        <f>Github!F$1378+Github!G$1378</f>
        <v>478</v>
      </c>
      <c r="F1379" s="18">
        <f t="shared" si="1"/>
        <v>4.31</v>
      </c>
      <c r="G1379" s="17" t="str">
        <f>Github!H$1378</f>
        <v>Algorithms</v>
      </c>
      <c r="H1379" s="17" t="b">
        <f>Github!D$1378</f>
        <v>0</v>
      </c>
      <c r="I1379" s="17" t="str">
        <f>Github!E$1378</f>
        <v>Hard</v>
      </c>
      <c r="J1379" s="17" t="str">
        <f>ROUND(Github!N$1378, 2)&amp;"%"</f>
        <v>0%</v>
      </c>
      <c r="K1379" s="17">
        <f>Github!O$1378</f>
        <v>36.25787688</v>
      </c>
      <c r="L1379" s="17">
        <f>Github!P$1378</f>
        <v>18699</v>
      </c>
    </row>
    <row r="1380">
      <c r="A1380" s="17">
        <f>Github!J$1379</f>
        <v>1378</v>
      </c>
      <c r="B1380" s="34" t="str">
        <f>HYPERLINK(CONCAT("http://leetcode.com/problems/",Github!C$1379), Github!B$1379)</f>
        <v>Replace Employee ID With The Unique Identifier</v>
      </c>
      <c r="C1380" s="17">
        <f>Github!F$1379</f>
        <v>58</v>
      </c>
      <c r="D1380" s="17">
        <f>Github!G$1379</f>
        <v>30</v>
      </c>
      <c r="E1380" s="17">
        <f>Github!F$1379+Github!G$1379</f>
        <v>88</v>
      </c>
      <c r="F1380" s="18">
        <f t="shared" si="1"/>
        <v>1.93</v>
      </c>
      <c r="G1380" s="17" t="str">
        <f>Github!H$1379</f>
        <v>Database</v>
      </c>
      <c r="H1380" s="17" t="b">
        <f>Github!D$1379</f>
        <v>1</v>
      </c>
      <c r="I1380" s="17" t="str">
        <f>Github!E$1379</f>
        <v>Easy</v>
      </c>
      <c r="J1380" s="17" t="str">
        <f>ROUND(Github!N$1379, 2)&amp;"%"</f>
        <v>0%</v>
      </c>
      <c r="K1380" s="17">
        <f>Github!O$1379</f>
        <v>91.07322639</v>
      </c>
      <c r="L1380" s="17">
        <f>Github!P$1379</f>
        <v>27138</v>
      </c>
    </row>
    <row r="1381">
      <c r="A1381" s="17">
        <f>Github!J$1380</f>
        <v>1379</v>
      </c>
      <c r="B1381" s="34" t="str">
        <f>HYPERLINK(CONCAT("http://leetcode.com/problems/",Github!C$1380), Github!B$1380)</f>
        <v>Find a Corresponding Node of a Binary Tree in a Clone of That Tree</v>
      </c>
      <c r="C1381" s="17">
        <f>Github!F$1380</f>
        <v>693</v>
      </c>
      <c r="D1381" s="17">
        <f>Github!G$1380</f>
        <v>905</v>
      </c>
      <c r="E1381" s="17">
        <f>Github!F$1380+Github!G$1380</f>
        <v>1598</v>
      </c>
      <c r="F1381" s="18">
        <f t="shared" si="1"/>
        <v>0.77</v>
      </c>
      <c r="G1381" s="17" t="str">
        <f>Github!H$1380</f>
        <v>Algorithms</v>
      </c>
      <c r="H1381" s="17" t="b">
        <f>Github!D$1380</f>
        <v>0</v>
      </c>
      <c r="I1381" s="17" t="str">
        <f>Github!E$1380</f>
        <v>Medium</v>
      </c>
      <c r="J1381" s="17" t="str">
        <f>ROUND(Github!N$1380, 2)&amp;"%"</f>
        <v>0%</v>
      </c>
      <c r="K1381" s="17">
        <f>Github!O$1380</f>
        <v>85.42347022</v>
      </c>
      <c r="L1381" s="17">
        <f>Github!P$1380</f>
        <v>99661</v>
      </c>
    </row>
    <row r="1382">
      <c r="A1382" s="17">
        <f>Github!J$1381</f>
        <v>1380</v>
      </c>
      <c r="B1382" s="34" t="str">
        <f>HYPERLINK(CONCAT("http://leetcode.com/problems/",Github!C$1381), Github!B$1381)</f>
        <v>Lucky Numbers in a Matrix</v>
      </c>
      <c r="C1382" s="17">
        <f>Github!F$1381</f>
        <v>870</v>
      </c>
      <c r="D1382" s="17">
        <f>Github!G$1381</f>
        <v>63</v>
      </c>
      <c r="E1382" s="17">
        <f>Github!F$1381+Github!G$1381</f>
        <v>933</v>
      </c>
      <c r="F1382" s="18">
        <f t="shared" si="1"/>
        <v>13.81</v>
      </c>
      <c r="G1382" s="17" t="str">
        <f>Github!H$1381</f>
        <v>Algorithms</v>
      </c>
      <c r="H1382" s="17" t="b">
        <f>Github!D$1381</f>
        <v>0</v>
      </c>
      <c r="I1382" s="17" t="str">
        <f>Github!E$1381</f>
        <v>Easy</v>
      </c>
      <c r="J1382" s="17" t="str">
        <f>ROUND(Github!N$1381, 2)&amp;"%"</f>
        <v>0%</v>
      </c>
      <c r="K1382" s="17">
        <f>Github!O$1381</f>
        <v>70.93542883</v>
      </c>
      <c r="L1382" s="17">
        <f>Github!P$1381</f>
        <v>61113</v>
      </c>
    </row>
    <row r="1383">
      <c r="A1383" s="17">
        <f>Github!J$1382</f>
        <v>1381</v>
      </c>
      <c r="B1383" s="34" t="str">
        <f>HYPERLINK(CONCAT("http://leetcode.com/problems/",Github!C$1382), Github!B$1382)</f>
        <v>Design a Stack With Increment Operation</v>
      </c>
      <c r="C1383" s="17">
        <f>Github!F$1382</f>
        <v>1049</v>
      </c>
      <c r="D1383" s="17">
        <f>Github!G$1382</f>
        <v>66</v>
      </c>
      <c r="E1383" s="17">
        <f>Github!F$1382+Github!G$1382</f>
        <v>1115</v>
      </c>
      <c r="F1383" s="18">
        <f t="shared" si="1"/>
        <v>15.89</v>
      </c>
      <c r="G1383" s="17" t="str">
        <f>Github!H$1382</f>
        <v>Algorithms</v>
      </c>
      <c r="H1383" s="17" t="b">
        <f>Github!D$1382</f>
        <v>0</v>
      </c>
      <c r="I1383" s="17" t="str">
        <f>Github!E$1382</f>
        <v>Medium</v>
      </c>
      <c r="J1383" s="17" t="str">
        <f>ROUND(Github!N$1382, 2)&amp;"%"</f>
        <v>0%</v>
      </c>
      <c r="K1383" s="17">
        <f>Github!O$1382</f>
        <v>77.05832669</v>
      </c>
      <c r="L1383" s="17">
        <f>Github!P$1382</f>
        <v>64774</v>
      </c>
    </row>
    <row r="1384">
      <c r="A1384" s="17">
        <f>Github!J$1383</f>
        <v>1382</v>
      </c>
      <c r="B1384" s="34" t="str">
        <f>HYPERLINK(CONCAT("http://leetcode.com/problems/",Github!C$1383), Github!B$1383)</f>
        <v>Balance a Binary Search Tree</v>
      </c>
      <c r="C1384" s="17">
        <f>Github!F$1383</f>
        <v>1664</v>
      </c>
      <c r="D1384" s="17">
        <f>Github!G$1383</f>
        <v>54</v>
      </c>
      <c r="E1384" s="17">
        <f>Github!F$1383+Github!G$1383</f>
        <v>1718</v>
      </c>
      <c r="F1384" s="18">
        <f t="shared" si="1"/>
        <v>30.81</v>
      </c>
      <c r="G1384" s="17" t="str">
        <f>Github!H$1383</f>
        <v>Algorithms</v>
      </c>
      <c r="H1384" s="17" t="b">
        <f>Github!D$1383</f>
        <v>0</v>
      </c>
      <c r="I1384" s="17" t="str">
        <f>Github!E$1383</f>
        <v>Medium</v>
      </c>
      <c r="J1384" s="17" t="str">
        <f>ROUND(Github!N$1383, 2)&amp;"%"</f>
        <v>0%</v>
      </c>
      <c r="K1384" s="17">
        <f>Github!O$1383</f>
        <v>80.1486409</v>
      </c>
      <c r="L1384" s="17">
        <f>Github!P$1383</f>
        <v>85301</v>
      </c>
    </row>
    <row r="1385">
      <c r="A1385" s="17">
        <f>Github!J$1384</f>
        <v>1383</v>
      </c>
      <c r="B1385" s="34" t="str">
        <f>HYPERLINK(CONCAT("http://leetcode.com/problems/",Github!C$1384), Github!B$1384)</f>
        <v>Maximum Performance of a Team</v>
      </c>
      <c r="C1385" s="17">
        <f>Github!F$1384</f>
        <v>1119</v>
      </c>
      <c r="D1385" s="17">
        <f>Github!G$1384</f>
        <v>39</v>
      </c>
      <c r="E1385" s="17">
        <f>Github!F$1384+Github!G$1384</f>
        <v>1158</v>
      </c>
      <c r="F1385" s="18">
        <f t="shared" si="1"/>
        <v>28.69</v>
      </c>
      <c r="G1385" s="17" t="str">
        <f>Github!H$1384</f>
        <v>Algorithms</v>
      </c>
      <c r="H1385" s="17" t="b">
        <f>Github!D$1384</f>
        <v>0</v>
      </c>
      <c r="I1385" s="17" t="str">
        <f>Github!E$1384</f>
        <v>Hard</v>
      </c>
      <c r="J1385" s="17" t="str">
        <f>ROUND(Github!N$1384, 2)&amp;"%"</f>
        <v>0%</v>
      </c>
      <c r="K1385" s="17">
        <f>Github!O$1384</f>
        <v>41.42676299</v>
      </c>
      <c r="L1385" s="17">
        <f>Github!P$1384</f>
        <v>37960</v>
      </c>
    </row>
    <row r="1386">
      <c r="A1386" s="17">
        <f>Github!J$1385</f>
        <v>1384</v>
      </c>
      <c r="B1386" s="34" t="str">
        <f>HYPERLINK(CONCAT("http://leetcode.com/problems/",Github!C$1385), Github!B$1385)</f>
        <v>Total Sales Amount by Year</v>
      </c>
      <c r="C1386" s="17">
        <f>Github!F$1385</f>
        <v>132</v>
      </c>
      <c r="D1386" s="17">
        <f>Github!G$1385</f>
        <v>64</v>
      </c>
      <c r="E1386" s="17">
        <f>Github!F$1385+Github!G$1385</f>
        <v>196</v>
      </c>
      <c r="F1386" s="18">
        <f t="shared" si="1"/>
        <v>2.06</v>
      </c>
      <c r="G1386" s="17" t="str">
        <f>Github!H$1385</f>
        <v>Database</v>
      </c>
      <c r="H1386" s="17" t="b">
        <f>Github!D$1385</f>
        <v>1</v>
      </c>
      <c r="I1386" s="17" t="str">
        <f>Github!E$1385</f>
        <v>Hard</v>
      </c>
      <c r="J1386" s="17" t="str">
        <f>ROUND(Github!N$1385, 2)&amp;"%"</f>
        <v>0%</v>
      </c>
      <c r="K1386" s="17">
        <f>Github!O$1385</f>
        <v>65.89067335</v>
      </c>
      <c r="L1386" s="17">
        <f>Github!P$1385</f>
        <v>8944</v>
      </c>
    </row>
    <row r="1387">
      <c r="A1387" s="17">
        <f>Github!J$1386</f>
        <v>1385</v>
      </c>
      <c r="B1387" s="34" t="str">
        <f>HYPERLINK(CONCAT("http://leetcode.com/problems/",Github!C$1386), Github!B$1386)</f>
        <v>Find the Distance Value Between Two Arrays</v>
      </c>
      <c r="C1387" s="17">
        <f>Github!F$1386</f>
        <v>297</v>
      </c>
      <c r="D1387" s="17">
        <f>Github!G$1386</f>
        <v>1162</v>
      </c>
      <c r="E1387" s="17">
        <f>Github!F$1386+Github!G$1386</f>
        <v>1459</v>
      </c>
      <c r="F1387" s="18">
        <f t="shared" si="1"/>
        <v>0.26</v>
      </c>
      <c r="G1387" s="17" t="str">
        <f>Github!H$1386</f>
        <v>Algorithms</v>
      </c>
      <c r="H1387" s="17" t="b">
        <f>Github!D$1386</f>
        <v>0</v>
      </c>
      <c r="I1387" s="17" t="str">
        <f>Github!E$1386</f>
        <v>Easy</v>
      </c>
      <c r="J1387" s="17" t="str">
        <f>ROUND(Github!N$1386, 2)&amp;"%"</f>
        <v>0%</v>
      </c>
      <c r="K1387" s="17">
        <f>Github!O$1386</f>
        <v>66.11359285</v>
      </c>
      <c r="L1387" s="17">
        <f>Github!P$1386</f>
        <v>38332</v>
      </c>
    </row>
    <row r="1388">
      <c r="A1388" s="17">
        <f>Github!J$1387</f>
        <v>1386</v>
      </c>
      <c r="B1388" s="34" t="str">
        <f>HYPERLINK(CONCAT("http://leetcode.com/problems/",Github!C$1387), Github!B$1387)</f>
        <v>Cinema Seat Allocation</v>
      </c>
      <c r="C1388" s="17">
        <f>Github!F$1387</f>
        <v>431</v>
      </c>
      <c r="D1388" s="17">
        <f>Github!G$1387</f>
        <v>235</v>
      </c>
      <c r="E1388" s="17">
        <f>Github!F$1387+Github!G$1387</f>
        <v>666</v>
      </c>
      <c r="F1388" s="18">
        <f t="shared" si="1"/>
        <v>1.83</v>
      </c>
      <c r="G1388" s="17" t="str">
        <f>Github!H$1387</f>
        <v>Algorithms</v>
      </c>
      <c r="H1388" s="17" t="b">
        <f>Github!D$1387</f>
        <v>0</v>
      </c>
      <c r="I1388" s="17" t="str">
        <f>Github!E$1387</f>
        <v>Medium</v>
      </c>
      <c r="J1388" s="17" t="str">
        <f>ROUND(Github!N$1387, 2)&amp;"%"</f>
        <v>0%</v>
      </c>
      <c r="K1388" s="17">
        <f>Github!O$1387</f>
        <v>39.14462097</v>
      </c>
      <c r="L1388" s="17">
        <f>Github!P$1387</f>
        <v>21115</v>
      </c>
    </row>
    <row r="1389">
      <c r="A1389" s="17">
        <f>Github!J$1388</f>
        <v>1387</v>
      </c>
      <c r="B1389" s="34" t="str">
        <f>HYPERLINK(CONCAT("http://leetcode.com/problems/",Github!C$1388), Github!B$1388)</f>
        <v>Sort Integers by The Power Value</v>
      </c>
      <c r="C1389" s="17">
        <f>Github!F$1388</f>
        <v>791</v>
      </c>
      <c r="D1389" s="17">
        <f>Github!G$1388</f>
        <v>89</v>
      </c>
      <c r="E1389" s="17">
        <f>Github!F$1388+Github!G$1388</f>
        <v>880</v>
      </c>
      <c r="F1389" s="18">
        <f t="shared" si="1"/>
        <v>8.89</v>
      </c>
      <c r="G1389" s="17" t="str">
        <f>Github!H$1388</f>
        <v>Algorithms</v>
      </c>
      <c r="H1389" s="17" t="b">
        <f>Github!D$1388</f>
        <v>0</v>
      </c>
      <c r="I1389" s="17" t="str">
        <f>Github!E$1388</f>
        <v>Medium</v>
      </c>
      <c r="J1389" s="17" t="str">
        <f>ROUND(Github!N$1388, 2)&amp;"%"</f>
        <v>0%</v>
      </c>
      <c r="K1389" s="17">
        <f>Github!O$1388</f>
        <v>70.06159476</v>
      </c>
      <c r="L1389" s="17">
        <f>Github!P$1388</f>
        <v>50161</v>
      </c>
    </row>
    <row r="1390">
      <c r="A1390" s="17">
        <f>Github!J$1389</f>
        <v>1388</v>
      </c>
      <c r="B1390" s="34" t="str">
        <f>HYPERLINK(CONCAT("http://leetcode.com/problems/",Github!C$1389), Github!B$1389)</f>
        <v>Pizza With 3n Slices</v>
      </c>
      <c r="C1390" s="17">
        <f>Github!F$1389</f>
        <v>511</v>
      </c>
      <c r="D1390" s="17">
        <f>Github!G$1389</f>
        <v>9</v>
      </c>
      <c r="E1390" s="17">
        <f>Github!F$1389+Github!G$1389</f>
        <v>520</v>
      </c>
      <c r="F1390" s="18">
        <f t="shared" si="1"/>
        <v>56.78</v>
      </c>
      <c r="G1390" s="17" t="str">
        <f>Github!H$1389</f>
        <v>Algorithms</v>
      </c>
      <c r="H1390" s="17" t="b">
        <f>Github!D$1389</f>
        <v>0</v>
      </c>
      <c r="I1390" s="17" t="str">
        <f>Github!E$1389</f>
        <v>Hard</v>
      </c>
      <c r="J1390" s="17" t="str">
        <f>ROUND(Github!N$1389, 2)&amp;"%"</f>
        <v>0%</v>
      </c>
      <c r="K1390" s="17">
        <f>Github!O$1389</f>
        <v>48.39336048</v>
      </c>
      <c r="L1390" s="17">
        <f>Github!P$1389</f>
        <v>7726</v>
      </c>
    </row>
    <row r="1391">
      <c r="A1391" s="17">
        <f>Github!J$1390</f>
        <v>1389</v>
      </c>
      <c r="B1391" s="34" t="str">
        <f>HYPERLINK(CONCAT("http://leetcode.com/problems/",Github!C$1390), Github!B$1390)</f>
        <v>Create Target Array in the Given Order</v>
      </c>
      <c r="C1391" s="17">
        <f>Github!F$1390</f>
        <v>945</v>
      </c>
      <c r="D1391" s="17">
        <f>Github!G$1390</f>
        <v>1112</v>
      </c>
      <c r="E1391" s="17">
        <f>Github!F$1390+Github!G$1390</f>
        <v>2057</v>
      </c>
      <c r="F1391" s="18">
        <f t="shared" si="1"/>
        <v>0.85</v>
      </c>
      <c r="G1391" s="17" t="str">
        <f>Github!H$1390</f>
        <v>Algorithms</v>
      </c>
      <c r="H1391" s="17" t="b">
        <f>Github!D$1390</f>
        <v>0</v>
      </c>
      <c r="I1391" s="17" t="str">
        <f>Github!E$1390</f>
        <v>Easy</v>
      </c>
      <c r="J1391" s="17" t="str">
        <f>ROUND(Github!N$1390, 2)&amp;"%"</f>
        <v>0%</v>
      </c>
      <c r="K1391" s="17">
        <f>Github!O$1390</f>
        <v>85.52234852</v>
      </c>
      <c r="L1391" s="17">
        <f>Github!P$1390</f>
        <v>135579</v>
      </c>
    </row>
    <row r="1392">
      <c r="A1392" s="17">
        <f>Github!J$1391</f>
        <v>1390</v>
      </c>
      <c r="B1392" s="34" t="str">
        <f>HYPERLINK(CONCAT("http://leetcode.com/problems/",Github!C$1391), Github!B$1391)</f>
        <v>Four Divisors</v>
      </c>
      <c r="C1392" s="17">
        <f>Github!F$1391</f>
        <v>196</v>
      </c>
      <c r="D1392" s="17">
        <f>Github!G$1391</f>
        <v>143</v>
      </c>
      <c r="E1392" s="17">
        <f>Github!F$1391+Github!G$1391</f>
        <v>339</v>
      </c>
      <c r="F1392" s="18">
        <f t="shared" si="1"/>
        <v>1.37</v>
      </c>
      <c r="G1392" s="17" t="str">
        <f>Github!H$1391</f>
        <v>Algorithms</v>
      </c>
      <c r="H1392" s="17" t="b">
        <f>Github!D$1391</f>
        <v>0</v>
      </c>
      <c r="I1392" s="17" t="str">
        <f>Github!E$1391</f>
        <v>Medium</v>
      </c>
      <c r="J1392" s="17" t="str">
        <f>ROUND(Github!N$1391, 2)&amp;"%"</f>
        <v>0%</v>
      </c>
      <c r="K1392" s="17">
        <f>Github!O$1391</f>
        <v>40.65297306</v>
      </c>
      <c r="L1392" s="17">
        <f>Github!P$1391</f>
        <v>19574</v>
      </c>
    </row>
    <row r="1393">
      <c r="A1393" s="17">
        <f>Github!J$1392</f>
        <v>1391</v>
      </c>
      <c r="B1393" s="34" t="str">
        <f>HYPERLINK(CONCAT("http://leetcode.com/problems/",Github!C$1392), Github!B$1392)</f>
        <v>Check if There is a Valid Path in a Grid</v>
      </c>
      <c r="C1393" s="17">
        <f>Github!F$1392</f>
        <v>528</v>
      </c>
      <c r="D1393" s="17">
        <f>Github!G$1392</f>
        <v>237</v>
      </c>
      <c r="E1393" s="17">
        <f>Github!F$1392+Github!G$1392</f>
        <v>765</v>
      </c>
      <c r="F1393" s="18">
        <f t="shared" si="1"/>
        <v>2.23</v>
      </c>
      <c r="G1393" s="17" t="str">
        <f>Github!H$1392</f>
        <v>Algorithms</v>
      </c>
      <c r="H1393" s="17" t="b">
        <f>Github!D$1392</f>
        <v>0</v>
      </c>
      <c r="I1393" s="17" t="str">
        <f>Github!E$1392</f>
        <v>Medium</v>
      </c>
      <c r="J1393" s="17" t="str">
        <f>ROUND(Github!N$1392, 2)&amp;"%"</f>
        <v>0%</v>
      </c>
      <c r="K1393" s="17">
        <f>Github!O$1392</f>
        <v>46.48339219</v>
      </c>
      <c r="L1393" s="17">
        <f>Github!P$1392</f>
        <v>20138</v>
      </c>
    </row>
    <row r="1394">
      <c r="A1394" s="17">
        <f>Github!J$1393</f>
        <v>1392</v>
      </c>
      <c r="B1394" s="34" t="str">
        <f>HYPERLINK(CONCAT("http://leetcode.com/problems/",Github!C$1393), Github!B$1393)</f>
        <v>Longest Happy Prefix</v>
      </c>
      <c r="C1394" s="17">
        <f>Github!F$1393</f>
        <v>599</v>
      </c>
      <c r="D1394" s="17">
        <f>Github!G$1393</f>
        <v>23</v>
      </c>
      <c r="E1394" s="17">
        <f>Github!F$1393+Github!G$1393</f>
        <v>622</v>
      </c>
      <c r="F1394" s="18">
        <f t="shared" si="1"/>
        <v>26.04</v>
      </c>
      <c r="G1394" s="17" t="str">
        <f>Github!H$1393</f>
        <v>Algorithms</v>
      </c>
      <c r="H1394" s="17" t="b">
        <f>Github!D$1393</f>
        <v>0</v>
      </c>
      <c r="I1394" s="17" t="str">
        <f>Github!E$1393</f>
        <v>Hard</v>
      </c>
      <c r="J1394" s="17" t="str">
        <f>ROUND(Github!N$1393, 2)&amp;"%"</f>
        <v>0%</v>
      </c>
      <c r="K1394" s="17">
        <f>Github!O$1393</f>
        <v>44.2597283</v>
      </c>
      <c r="L1394" s="17">
        <f>Github!P$1393</f>
        <v>19222</v>
      </c>
    </row>
    <row r="1395">
      <c r="A1395" s="17">
        <f>Github!J$1394</f>
        <v>1393</v>
      </c>
      <c r="B1395" s="34" t="str">
        <f>HYPERLINK(CONCAT("http://leetcode.com/problems/",Github!C$1394), Github!B$1394)</f>
        <v>Capital Gain/Loss</v>
      </c>
      <c r="C1395" s="17">
        <f>Github!F$1394</f>
        <v>121</v>
      </c>
      <c r="D1395" s="17">
        <f>Github!G$1394</f>
        <v>19</v>
      </c>
      <c r="E1395" s="17">
        <f>Github!F$1394+Github!G$1394</f>
        <v>140</v>
      </c>
      <c r="F1395" s="18">
        <f t="shared" si="1"/>
        <v>6.37</v>
      </c>
      <c r="G1395" s="17" t="str">
        <f>Github!H$1394</f>
        <v>Database</v>
      </c>
      <c r="H1395" s="17" t="b">
        <f>Github!D$1394</f>
        <v>1</v>
      </c>
      <c r="I1395" s="17" t="str">
        <f>Github!E$1394</f>
        <v>Medium</v>
      </c>
      <c r="J1395" s="17" t="str">
        <f>ROUND(Github!N$1394, 2)&amp;"%"</f>
        <v>0%</v>
      </c>
      <c r="K1395" s="17">
        <f>Github!O$1394</f>
        <v>91.35717953</v>
      </c>
      <c r="L1395" s="17">
        <f>Github!P$1394</f>
        <v>21352</v>
      </c>
    </row>
    <row r="1396">
      <c r="A1396" s="17">
        <f>Github!J$1395</f>
        <v>1394</v>
      </c>
      <c r="B1396" s="34" t="str">
        <f>HYPERLINK(CONCAT("http://leetcode.com/problems/",Github!C$1395), Github!B$1395)</f>
        <v>Find Lucky Integer in an Array</v>
      </c>
      <c r="C1396" s="17">
        <f>Github!F$1395</f>
        <v>595</v>
      </c>
      <c r="D1396" s="17">
        <f>Github!G$1395</f>
        <v>19</v>
      </c>
      <c r="E1396" s="17">
        <f>Github!F$1395+Github!G$1395</f>
        <v>614</v>
      </c>
      <c r="F1396" s="18">
        <f t="shared" si="1"/>
        <v>31.32</v>
      </c>
      <c r="G1396" s="17" t="str">
        <f>Github!H$1395</f>
        <v>Algorithms</v>
      </c>
      <c r="H1396" s="17" t="b">
        <f>Github!D$1395</f>
        <v>0</v>
      </c>
      <c r="I1396" s="17" t="str">
        <f>Github!E$1395</f>
        <v>Easy</v>
      </c>
      <c r="J1396" s="17" t="str">
        <f>ROUND(Github!N$1395, 2)&amp;"%"</f>
        <v>0%</v>
      </c>
      <c r="K1396" s="17">
        <f>Github!O$1395</f>
        <v>63.5455261</v>
      </c>
      <c r="L1396" s="17">
        <f>Github!P$1395</f>
        <v>66203</v>
      </c>
    </row>
    <row r="1397">
      <c r="A1397" s="17">
        <f>Github!J$1396</f>
        <v>1395</v>
      </c>
      <c r="B1397" s="34" t="str">
        <f>HYPERLINK(CONCAT("http://leetcode.com/problems/",Github!C$1396), Github!B$1396)</f>
        <v>Count Number of Teams</v>
      </c>
      <c r="C1397" s="17">
        <f>Github!F$1396</f>
        <v>1799</v>
      </c>
      <c r="D1397" s="17">
        <f>Github!G$1396</f>
        <v>158</v>
      </c>
      <c r="E1397" s="17">
        <f>Github!F$1396+Github!G$1396</f>
        <v>1957</v>
      </c>
      <c r="F1397" s="18">
        <f t="shared" si="1"/>
        <v>11.39</v>
      </c>
      <c r="G1397" s="17" t="str">
        <f>Github!H$1396</f>
        <v>Algorithms</v>
      </c>
      <c r="H1397" s="17" t="b">
        <f>Github!D$1396</f>
        <v>0</v>
      </c>
      <c r="I1397" s="17" t="str">
        <f>Github!E$1396</f>
        <v>Medium</v>
      </c>
      <c r="J1397" s="17" t="str">
        <f>ROUND(Github!N$1396, 2)&amp;"%"</f>
        <v>0%</v>
      </c>
      <c r="K1397" s="17">
        <f>Github!O$1396</f>
        <v>69.70098109</v>
      </c>
      <c r="L1397" s="17">
        <f>Github!P$1396</f>
        <v>83191</v>
      </c>
    </row>
    <row r="1398">
      <c r="A1398" s="17">
        <f>Github!J$1397</f>
        <v>1396</v>
      </c>
      <c r="B1398" s="34" t="str">
        <f>HYPERLINK(CONCAT("http://leetcode.com/problems/",Github!C$1397), Github!B$1397)</f>
        <v>Design Underground System</v>
      </c>
      <c r="C1398" s="17">
        <f>Github!F$1397</f>
        <v>1163</v>
      </c>
      <c r="D1398" s="17">
        <f>Github!G$1397</f>
        <v>65</v>
      </c>
      <c r="E1398" s="17">
        <f>Github!F$1397+Github!G$1397</f>
        <v>1228</v>
      </c>
      <c r="F1398" s="18">
        <f t="shared" si="1"/>
        <v>17.89</v>
      </c>
      <c r="G1398" s="17" t="str">
        <f>Github!H$1397</f>
        <v>Algorithms</v>
      </c>
      <c r="H1398" s="17" t="b">
        <f>Github!D$1397</f>
        <v>0</v>
      </c>
      <c r="I1398" s="17" t="str">
        <f>Github!E$1397</f>
        <v>Medium</v>
      </c>
      <c r="J1398" s="17" t="str">
        <f>ROUND(Github!N$1397, 2)&amp;"%"</f>
        <v>0%</v>
      </c>
      <c r="K1398" s="17">
        <f>Github!O$1397</f>
        <v>71.83658401</v>
      </c>
      <c r="L1398" s="17">
        <f>Github!P$1397</f>
        <v>91452</v>
      </c>
    </row>
    <row r="1399">
      <c r="A1399" s="17">
        <f>Github!J$1398</f>
        <v>1397</v>
      </c>
      <c r="B1399" s="34" t="str">
        <f>HYPERLINK(CONCAT("http://leetcode.com/problems/",Github!C$1398), Github!B$1398)</f>
        <v>Find All Good Strings</v>
      </c>
      <c r="C1399" s="17">
        <f>Github!F$1398</f>
        <v>270</v>
      </c>
      <c r="D1399" s="17">
        <f>Github!G$1398</f>
        <v>100</v>
      </c>
      <c r="E1399" s="17">
        <f>Github!F$1398+Github!G$1398</f>
        <v>370</v>
      </c>
      <c r="F1399" s="18">
        <f t="shared" si="1"/>
        <v>2.7</v>
      </c>
      <c r="G1399" s="17" t="str">
        <f>Github!H$1398</f>
        <v>Algorithms</v>
      </c>
      <c r="H1399" s="17" t="b">
        <f>Github!D$1398</f>
        <v>0</v>
      </c>
      <c r="I1399" s="17" t="str">
        <f>Github!E$1398</f>
        <v>Hard</v>
      </c>
      <c r="J1399" s="17" t="str">
        <f>ROUND(Github!N$1398, 2)&amp;"%"</f>
        <v>0%</v>
      </c>
      <c r="K1399" s="17">
        <f>Github!O$1398</f>
        <v>40.53216499</v>
      </c>
      <c r="L1399" s="17">
        <f>Github!P$1398</f>
        <v>3793</v>
      </c>
    </row>
    <row r="1400">
      <c r="A1400" s="17">
        <f>Github!J$1399</f>
        <v>1398</v>
      </c>
      <c r="B1400" s="34" t="str">
        <f>HYPERLINK(CONCAT("http://leetcode.com/problems/",Github!C$1399), Github!B$1399)</f>
        <v>Customers Who Bought Products A and B but Not C</v>
      </c>
      <c r="C1400" s="17">
        <f>Github!F$1399</f>
        <v>153</v>
      </c>
      <c r="D1400" s="17">
        <f>Github!G$1399</f>
        <v>7</v>
      </c>
      <c r="E1400" s="17">
        <f>Github!F$1399+Github!G$1399</f>
        <v>160</v>
      </c>
      <c r="F1400" s="18">
        <f t="shared" si="1"/>
        <v>21.86</v>
      </c>
      <c r="G1400" s="17" t="str">
        <f>Github!H$1399</f>
        <v>Database</v>
      </c>
      <c r="H1400" s="17" t="b">
        <f>Github!D$1399</f>
        <v>1</v>
      </c>
      <c r="I1400" s="17" t="str">
        <f>Github!E$1399</f>
        <v>Medium</v>
      </c>
      <c r="J1400" s="17" t="str">
        <f>ROUND(Github!N$1399, 2)&amp;"%"</f>
        <v>0%</v>
      </c>
      <c r="K1400" s="17">
        <f>Github!O$1399</f>
        <v>79.03497176</v>
      </c>
      <c r="L1400" s="17">
        <f>Github!P$1399</f>
        <v>26306</v>
      </c>
    </row>
    <row r="1401">
      <c r="A1401" s="17">
        <f>Github!J$1400</f>
        <v>1399</v>
      </c>
      <c r="B1401" s="34" t="str">
        <f>HYPERLINK(CONCAT("http://leetcode.com/problems/",Github!C$1400), Github!B$1400)</f>
        <v>Count Largest Group</v>
      </c>
      <c r="C1401" s="17">
        <f>Github!F$1400</f>
        <v>254</v>
      </c>
      <c r="D1401" s="17">
        <f>Github!G$1400</f>
        <v>637</v>
      </c>
      <c r="E1401" s="17">
        <f>Github!F$1400+Github!G$1400</f>
        <v>891</v>
      </c>
      <c r="F1401" s="18">
        <f t="shared" si="1"/>
        <v>0.4</v>
      </c>
      <c r="G1401" s="17" t="str">
        <f>Github!H$1400</f>
        <v>Algorithms</v>
      </c>
      <c r="H1401" s="17" t="b">
        <f>Github!D$1400</f>
        <v>0</v>
      </c>
      <c r="I1401" s="17" t="str">
        <f>Github!E$1400</f>
        <v>Easy</v>
      </c>
      <c r="J1401" s="17" t="str">
        <f>ROUND(Github!N$1400, 2)&amp;"%"</f>
        <v>0%</v>
      </c>
      <c r="K1401" s="17">
        <f>Github!O$1400</f>
        <v>66.64121109</v>
      </c>
      <c r="L1401" s="17">
        <f>Github!P$1400</f>
        <v>29670</v>
      </c>
    </row>
    <row r="1402">
      <c r="A1402" s="17">
        <f>Github!J$1401</f>
        <v>1400</v>
      </c>
      <c r="B1402" s="34" t="str">
        <f>HYPERLINK(CONCAT("http://leetcode.com/problems/",Github!C$1401), Github!B$1401)</f>
        <v>Construct K Palindrome Strings</v>
      </c>
      <c r="C1402" s="17">
        <f>Github!F$1401</f>
        <v>658</v>
      </c>
      <c r="D1402" s="17">
        <f>Github!G$1401</f>
        <v>67</v>
      </c>
      <c r="E1402" s="17">
        <f>Github!F$1401+Github!G$1401</f>
        <v>725</v>
      </c>
      <c r="F1402" s="18">
        <f t="shared" si="1"/>
        <v>9.82</v>
      </c>
      <c r="G1402" s="17" t="str">
        <f>Github!H$1401</f>
        <v>Algorithms</v>
      </c>
      <c r="H1402" s="17" t="b">
        <f>Github!D$1401</f>
        <v>0</v>
      </c>
      <c r="I1402" s="17" t="str">
        <f>Github!E$1401</f>
        <v>Medium</v>
      </c>
      <c r="J1402" s="17" t="str">
        <f>ROUND(Github!N$1401, 2)&amp;"%"</f>
        <v>0%</v>
      </c>
      <c r="K1402" s="17">
        <f>Github!O$1401</f>
        <v>63.83333959</v>
      </c>
      <c r="L1402" s="17">
        <f>Github!P$1401</f>
        <v>34027</v>
      </c>
    </row>
    <row r="1403">
      <c r="A1403" s="17">
        <f>Github!J$1402</f>
        <v>1401</v>
      </c>
      <c r="B1403" s="34" t="str">
        <f>HYPERLINK(CONCAT("http://leetcode.com/problems/",Github!C$1402), Github!B$1402)</f>
        <v>Circle and Rectangle Overlapping</v>
      </c>
      <c r="C1403" s="17">
        <f>Github!F$1402</f>
        <v>217</v>
      </c>
      <c r="D1403" s="17">
        <f>Github!G$1402</f>
        <v>55</v>
      </c>
      <c r="E1403" s="17">
        <f>Github!F$1402+Github!G$1402</f>
        <v>272</v>
      </c>
      <c r="F1403" s="18">
        <f t="shared" si="1"/>
        <v>3.95</v>
      </c>
      <c r="G1403" s="17" t="str">
        <f>Github!H$1402</f>
        <v>Algorithms</v>
      </c>
      <c r="H1403" s="17" t="b">
        <f>Github!D$1402</f>
        <v>0</v>
      </c>
      <c r="I1403" s="17" t="str">
        <f>Github!E$1402</f>
        <v>Medium</v>
      </c>
      <c r="J1403" s="17" t="str">
        <f>ROUND(Github!N$1402, 2)&amp;"%"</f>
        <v>0%</v>
      </c>
      <c r="K1403" s="17">
        <f>Github!O$1402</f>
        <v>43.63477541</v>
      </c>
      <c r="L1403" s="17">
        <f>Github!P$1402</f>
        <v>9491</v>
      </c>
    </row>
    <row r="1404">
      <c r="A1404" s="17">
        <f>Github!J$1403</f>
        <v>1402</v>
      </c>
      <c r="B1404" s="34" t="str">
        <f>HYPERLINK(CONCAT("http://leetcode.com/problems/",Github!C$1403), Github!B$1403)</f>
        <v>Reducing Dishes</v>
      </c>
      <c r="C1404" s="17">
        <f>Github!F$1403</f>
        <v>873</v>
      </c>
      <c r="D1404" s="17">
        <f>Github!G$1403</f>
        <v>133</v>
      </c>
      <c r="E1404" s="17">
        <f>Github!F$1403+Github!G$1403</f>
        <v>1006</v>
      </c>
      <c r="F1404" s="18">
        <f t="shared" si="1"/>
        <v>6.56</v>
      </c>
      <c r="G1404" s="17" t="str">
        <f>Github!H$1403</f>
        <v>Algorithms</v>
      </c>
      <c r="H1404" s="17" t="b">
        <f>Github!D$1403</f>
        <v>0</v>
      </c>
      <c r="I1404" s="17" t="str">
        <f>Github!E$1403</f>
        <v>Hard</v>
      </c>
      <c r="J1404" s="17" t="str">
        <f>ROUND(Github!N$1403, 2)&amp;"%"</f>
        <v>0%</v>
      </c>
      <c r="K1404" s="17">
        <f>Github!O$1403</f>
        <v>72.49048077</v>
      </c>
      <c r="L1404" s="17">
        <f>Github!P$1403</f>
        <v>34649</v>
      </c>
    </row>
    <row r="1405">
      <c r="A1405" s="17">
        <f>Github!J$1404</f>
        <v>1403</v>
      </c>
      <c r="B1405" s="34" t="str">
        <f>HYPERLINK(CONCAT("http://leetcode.com/problems/",Github!C$1404), Github!B$1404)</f>
        <v>Minimum Subsequence in Non-Increasing Order</v>
      </c>
      <c r="C1405" s="17">
        <f>Github!F$1404</f>
        <v>334</v>
      </c>
      <c r="D1405" s="17">
        <f>Github!G$1404</f>
        <v>370</v>
      </c>
      <c r="E1405" s="17">
        <f>Github!F$1404+Github!G$1404</f>
        <v>704</v>
      </c>
      <c r="F1405" s="18">
        <f t="shared" si="1"/>
        <v>0.9</v>
      </c>
      <c r="G1405" s="17" t="str">
        <f>Github!H$1404</f>
        <v>Algorithms</v>
      </c>
      <c r="H1405" s="17" t="b">
        <f>Github!D$1404</f>
        <v>0</v>
      </c>
      <c r="I1405" s="17" t="str">
        <f>Github!E$1404</f>
        <v>Easy</v>
      </c>
      <c r="J1405" s="17" t="str">
        <f>ROUND(Github!N$1404, 2)&amp;"%"</f>
        <v>0%</v>
      </c>
      <c r="K1405" s="17">
        <f>Github!O$1404</f>
        <v>72.13034003</v>
      </c>
      <c r="L1405" s="17">
        <f>Github!P$1404</f>
        <v>48323</v>
      </c>
    </row>
    <row r="1406">
      <c r="A1406" s="17">
        <f>Github!J$1405</f>
        <v>1404</v>
      </c>
      <c r="B1406" s="34" t="str">
        <f>HYPERLINK(CONCAT("http://leetcode.com/problems/",Github!C$1405), Github!B$1405)</f>
        <v>Number of Steps to Reduce a Number in Binary Representation to One</v>
      </c>
      <c r="C1406" s="17">
        <f>Github!F$1405</f>
        <v>448</v>
      </c>
      <c r="D1406" s="17">
        <f>Github!G$1405</f>
        <v>41</v>
      </c>
      <c r="E1406" s="17">
        <f>Github!F$1405+Github!G$1405</f>
        <v>489</v>
      </c>
      <c r="F1406" s="18">
        <f t="shared" si="1"/>
        <v>10.93</v>
      </c>
      <c r="G1406" s="17" t="str">
        <f>Github!H$1405</f>
        <v>Algorithms</v>
      </c>
      <c r="H1406" s="17" t="b">
        <f>Github!D$1405</f>
        <v>0</v>
      </c>
      <c r="I1406" s="17" t="str">
        <f>Github!E$1405</f>
        <v>Medium</v>
      </c>
      <c r="J1406" s="17" t="str">
        <f>ROUND(Github!N$1405, 2)&amp;"%"</f>
        <v>0%</v>
      </c>
      <c r="K1406" s="17">
        <f>Github!O$1405</f>
        <v>50.71365956</v>
      </c>
      <c r="L1406" s="17">
        <f>Github!P$1405</f>
        <v>22562</v>
      </c>
    </row>
    <row r="1407">
      <c r="A1407" s="17">
        <f>Github!J$1406</f>
        <v>1405</v>
      </c>
      <c r="B1407" s="34" t="str">
        <f>HYPERLINK(CONCAT("http://leetcode.com/problems/",Github!C$1406), Github!B$1406)</f>
        <v>Longest Happy String</v>
      </c>
      <c r="C1407" s="17">
        <f>Github!F$1406</f>
        <v>1019</v>
      </c>
      <c r="D1407" s="17">
        <f>Github!G$1406</f>
        <v>171</v>
      </c>
      <c r="E1407" s="17">
        <f>Github!F$1406+Github!G$1406</f>
        <v>1190</v>
      </c>
      <c r="F1407" s="18">
        <f t="shared" si="1"/>
        <v>5.96</v>
      </c>
      <c r="G1407" s="17" t="str">
        <f>Github!H$1406</f>
        <v>Algorithms</v>
      </c>
      <c r="H1407" s="17" t="b">
        <f>Github!D$1406</f>
        <v>0</v>
      </c>
      <c r="I1407" s="17" t="str">
        <f>Github!E$1406</f>
        <v>Medium</v>
      </c>
      <c r="J1407" s="17" t="str">
        <f>ROUND(Github!N$1406, 2)&amp;"%"</f>
        <v>0%</v>
      </c>
      <c r="K1407" s="17">
        <f>Github!O$1406</f>
        <v>56.18798115</v>
      </c>
      <c r="L1407" s="17">
        <f>Github!P$1406</f>
        <v>38389</v>
      </c>
    </row>
    <row r="1408">
      <c r="A1408" s="17">
        <f>Github!J$1407</f>
        <v>1406</v>
      </c>
      <c r="B1408" s="34" t="str">
        <f>HYPERLINK(CONCAT("http://leetcode.com/problems/",Github!C$1407), Github!B$1407)</f>
        <v>Stone Game III</v>
      </c>
      <c r="C1408" s="17">
        <f>Github!F$1407</f>
        <v>929</v>
      </c>
      <c r="D1408" s="17">
        <f>Github!G$1407</f>
        <v>21</v>
      </c>
      <c r="E1408" s="17">
        <f>Github!F$1407+Github!G$1407</f>
        <v>950</v>
      </c>
      <c r="F1408" s="18">
        <f t="shared" si="1"/>
        <v>44.24</v>
      </c>
      <c r="G1408" s="17" t="str">
        <f>Github!H$1407</f>
        <v>Algorithms</v>
      </c>
      <c r="H1408" s="17" t="b">
        <f>Github!D$1407</f>
        <v>0</v>
      </c>
      <c r="I1408" s="17" t="str">
        <f>Github!E$1407</f>
        <v>Hard</v>
      </c>
      <c r="J1408" s="17" t="str">
        <f>ROUND(Github!N$1407, 2)&amp;"%"</f>
        <v>0%</v>
      </c>
      <c r="K1408" s="17">
        <f>Github!O$1407</f>
        <v>60.29289284</v>
      </c>
      <c r="L1408" s="17">
        <f>Github!P$1407</f>
        <v>34747</v>
      </c>
    </row>
    <row r="1409">
      <c r="A1409" s="17">
        <f>Github!J$1408</f>
        <v>1407</v>
      </c>
      <c r="B1409" s="34" t="str">
        <f>HYPERLINK(CONCAT("http://leetcode.com/problems/",Github!C$1408), Github!B$1408)</f>
        <v>Top Travellers</v>
      </c>
      <c r="C1409" s="17">
        <f>Github!F$1408</f>
        <v>95</v>
      </c>
      <c r="D1409" s="17">
        <f>Github!G$1408</f>
        <v>9</v>
      </c>
      <c r="E1409" s="17">
        <f>Github!F$1408+Github!G$1408</f>
        <v>104</v>
      </c>
      <c r="F1409" s="18">
        <f t="shared" si="1"/>
        <v>10.56</v>
      </c>
      <c r="G1409" s="17" t="str">
        <f>Github!H$1408</f>
        <v>Database</v>
      </c>
      <c r="H1409" s="17" t="b">
        <f>Github!D$1408</f>
        <v>1</v>
      </c>
      <c r="I1409" s="17" t="str">
        <f>Github!E$1408</f>
        <v>Easy</v>
      </c>
      <c r="J1409" s="17" t="str">
        <f>ROUND(Github!N$1408, 2)&amp;"%"</f>
        <v>0%</v>
      </c>
      <c r="K1409" s="17">
        <f>Github!O$1408</f>
        <v>83.39384878</v>
      </c>
      <c r="L1409" s="17">
        <f>Github!P$1408</f>
        <v>23427</v>
      </c>
    </row>
    <row r="1410">
      <c r="A1410" s="17">
        <f>Github!J$1409</f>
        <v>1408</v>
      </c>
      <c r="B1410" s="34" t="str">
        <f>HYPERLINK(CONCAT("http://leetcode.com/problems/",Github!C$1409), Github!B$1409)</f>
        <v>String Matching in an Array</v>
      </c>
      <c r="C1410" s="17">
        <f>Github!F$1409</f>
        <v>486</v>
      </c>
      <c r="D1410" s="17">
        <f>Github!G$1409</f>
        <v>70</v>
      </c>
      <c r="E1410" s="17">
        <f>Github!F$1409+Github!G$1409</f>
        <v>556</v>
      </c>
      <c r="F1410" s="18">
        <f t="shared" si="1"/>
        <v>6.94</v>
      </c>
      <c r="G1410" s="17" t="str">
        <f>Github!H$1409</f>
        <v>Algorithms</v>
      </c>
      <c r="H1410" s="17" t="b">
        <f>Github!D$1409</f>
        <v>0</v>
      </c>
      <c r="I1410" s="17" t="str">
        <f>Github!E$1409</f>
        <v>Easy</v>
      </c>
      <c r="J1410" s="17" t="str">
        <f>ROUND(Github!N$1409, 2)&amp;"%"</f>
        <v>0%</v>
      </c>
      <c r="K1410" s="17">
        <f>Github!O$1409</f>
        <v>63.82432383</v>
      </c>
      <c r="L1410" s="17">
        <f>Github!P$1409</f>
        <v>52694</v>
      </c>
    </row>
    <row r="1411">
      <c r="A1411" s="17">
        <f>Github!J$1410</f>
        <v>1409</v>
      </c>
      <c r="B1411" s="34" t="str">
        <f>HYPERLINK(CONCAT("http://leetcode.com/problems/",Github!C$1410), Github!B$1410)</f>
        <v>Queries on a Permutation With Key</v>
      </c>
      <c r="C1411" s="17">
        <f>Github!F$1410</f>
        <v>318</v>
      </c>
      <c r="D1411" s="17">
        <f>Github!G$1410</f>
        <v>514</v>
      </c>
      <c r="E1411" s="17">
        <f>Github!F$1410+Github!G$1410</f>
        <v>832</v>
      </c>
      <c r="F1411" s="18">
        <f t="shared" si="1"/>
        <v>0.62</v>
      </c>
      <c r="G1411" s="17" t="str">
        <f>Github!H$1410</f>
        <v>Algorithms</v>
      </c>
      <c r="H1411" s="17" t="b">
        <f>Github!D$1410</f>
        <v>0</v>
      </c>
      <c r="I1411" s="17" t="str">
        <f>Github!E$1410</f>
        <v>Medium</v>
      </c>
      <c r="J1411" s="17" t="str">
        <f>ROUND(Github!N$1410, 2)&amp;"%"</f>
        <v>0%</v>
      </c>
      <c r="K1411" s="17">
        <f>Github!O$1410</f>
        <v>82.71044993</v>
      </c>
      <c r="L1411" s="17">
        <f>Github!P$1410</f>
        <v>36472</v>
      </c>
    </row>
    <row r="1412">
      <c r="A1412" s="17">
        <f>Github!J$1411</f>
        <v>1410</v>
      </c>
      <c r="B1412" s="34" t="str">
        <f>HYPERLINK(CONCAT("http://leetcode.com/problems/",Github!C$1411), Github!B$1411)</f>
        <v>HTML Entity Parser</v>
      </c>
      <c r="C1412" s="17">
        <f>Github!F$1411</f>
        <v>130</v>
      </c>
      <c r="D1412" s="17">
        <f>Github!G$1411</f>
        <v>251</v>
      </c>
      <c r="E1412" s="17">
        <f>Github!F$1411+Github!G$1411</f>
        <v>381</v>
      </c>
      <c r="F1412" s="18">
        <f t="shared" si="1"/>
        <v>0.52</v>
      </c>
      <c r="G1412" s="17" t="str">
        <f>Github!H$1411</f>
        <v>Algorithms</v>
      </c>
      <c r="H1412" s="17" t="b">
        <f>Github!D$1411</f>
        <v>0</v>
      </c>
      <c r="I1412" s="17" t="str">
        <f>Github!E$1411</f>
        <v>Medium</v>
      </c>
      <c r="J1412" s="17" t="str">
        <f>ROUND(Github!N$1411, 2)&amp;"%"</f>
        <v>0%</v>
      </c>
      <c r="K1412" s="17">
        <f>Github!O$1411</f>
        <v>52.73565311</v>
      </c>
      <c r="L1412" s="17">
        <f>Github!P$1411</f>
        <v>18535</v>
      </c>
    </row>
    <row r="1413">
      <c r="A1413" s="17">
        <f>Github!J$1412</f>
        <v>1411</v>
      </c>
      <c r="B1413" s="34" t="str">
        <f>HYPERLINK(CONCAT("http://leetcode.com/problems/",Github!C$1412), Github!B$1412)</f>
        <v>Number of Ways to Paint N × 3 Grid</v>
      </c>
      <c r="C1413" s="17">
        <f>Github!F$1412</f>
        <v>735</v>
      </c>
      <c r="D1413" s="17">
        <f>Github!G$1412</f>
        <v>33</v>
      </c>
      <c r="E1413" s="17">
        <f>Github!F$1412+Github!G$1412</f>
        <v>768</v>
      </c>
      <c r="F1413" s="18">
        <f t="shared" si="1"/>
        <v>22.27</v>
      </c>
      <c r="G1413" s="17" t="str">
        <f>Github!H$1412</f>
        <v>Algorithms</v>
      </c>
      <c r="H1413" s="17" t="b">
        <f>Github!D$1412</f>
        <v>0</v>
      </c>
      <c r="I1413" s="17" t="str">
        <f>Github!E$1412</f>
        <v>Hard</v>
      </c>
      <c r="J1413" s="17" t="str">
        <f>ROUND(Github!N$1412, 2)&amp;"%"</f>
        <v>0%</v>
      </c>
      <c r="K1413" s="17">
        <f>Github!O$1412</f>
        <v>61.8007334</v>
      </c>
      <c r="L1413" s="17">
        <f>Github!P$1412</f>
        <v>23762</v>
      </c>
    </row>
    <row r="1414">
      <c r="A1414" s="17">
        <f>Github!J$1413</f>
        <v>1412</v>
      </c>
      <c r="B1414" s="34" t="str">
        <f>HYPERLINK(CONCAT("http://leetcode.com/problems/",Github!C$1413), Github!B$1413)</f>
        <v>Find the Quiet Students in All Exams</v>
      </c>
      <c r="C1414" s="17">
        <f>Github!F$1413</f>
        <v>141</v>
      </c>
      <c r="D1414" s="17">
        <f>Github!G$1413</f>
        <v>11</v>
      </c>
      <c r="E1414" s="17">
        <f>Github!F$1413+Github!G$1413</f>
        <v>152</v>
      </c>
      <c r="F1414" s="18">
        <f t="shared" si="1"/>
        <v>12.82</v>
      </c>
      <c r="G1414" s="17" t="str">
        <f>Github!H$1413</f>
        <v>Database</v>
      </c>
      <c r="H1414" s="17" t="b">
        <f>Github!D$1413</f>
        <v>1</v>
      </c>
      <c r="I1414" s="17" t="str">
        <f>Github!E$1413</f>
        <v>Hard</v>
      </c>
      <c r="J1414" s="17" t="str">
        <f>ROUND(Github!N$1413, 2)&amp;"%"</f>
        <v>0%</v>
      </c>
      <c r="K1414" s="17">
        <f>Github!O$1413</f>
        <v>62.63714579</v>
      </c>
      <c r="L1414" s="17">
        <f>Github!P$1413</f>
        <v>15869</v>
      </c>
    </row>
    <row r="1415">
      <c r="A1415" s="17">
        <f>Github!J$1414</f>
        <v>1413</v>
      </c>
      <c r="B1415" s="34" t="str">
        <f>HYPERLINK(CONCAT("http://leetcode.com/problems/",Github!C$1414), Github!B$1414)</f>
        <v>Minimum Value to Get Positive Step by Step Sum</v>
      </c>
      <c r="C1415" s="17">
        <f>Github!F$1414</f>
        <v>972</v>
      </c>
      <c r="D1415" s="17">
        <f>Github!G$1414</f>
        <v>223</v>
      </c>
      <c r="E1415" s="17">
        <f>Github!F$1414+Github!G$1414</f>
        <v>1195</v>
      </c>
      <c r="F1415" s="18">
        <f t="shared" si="1"/>
        <v>4.36</v>
      </c>
      <c r="G1415" s="17" t="str">
        <f>Github!H$1414</f>
        <v>Algorithms</v>
      </c>
      <c r="H1415" s="17" t="b">
        <f>Github!D$1414</f>
        <v>0</v>
      </c>
      <c r="I1415" s="17" t="str">
        <f>Github!E$1414</f>
        <v>Easy</v>
      </c>
      <c r="J1415" s="17" t="str">
        <f>ROUND(Github!N$1414, 2)&amp;"%"</f>
        <v>0%</v>
      </c>
      <c r="K1415" s="17">
        <f>Github!O$1414</f>
        <v>68.70118541</v>
      </c>
      <c r="L1415" s="17">
        <f>Github!P$1414</f>
        <v>66937</v>
      </c>
    </row>
    <row r="1416">
      <c r="A1416" s="17">
        <f>Github!J$1415</f>
        <v>1414</v>
      </c>
      <c r="B1416" s="34" t="str">
        <f>HYPERLINK(CONCAT("http://leetcode.com/problems/",Github!C$1415), Github!B$1415)</f>
        <v>Find the Minimum Number of Fibonacci Numbers Whose Sum Is K</v>
      </c>
      <c r="C1416" s="17">
        <f>Github!F$1415</f>
        <v>646</v>
      </c>
      <c r="D1416" s="17">
        <f>Github!G$1415</f>
        <v>51</v>
      </c>
      <c r="E1416" s="17">
        <f>Github!F$1415+Github!G$1415</f>
        <v>697</v>
      </c>
      <c r="F1416" s="18">
        <f t="shared" si="1"/>
        <v>12.67</v>
      </c>
      <c r="G1416" s="17" t="str">
        <f>Github!H$1415</f>
        <v>Algorithms</v>
      </c>
      <c r="H1416" s="17" t="b">
        <f>Github!D$1415</f>
        <v>0</v>
      </c>
      <c r="I1416" s="17" t="str">
        <f>Github!E$1415</f>
        <v>Medium</v>
      </c>
      <c r="J1416" s="17" t="str">
        <f>ROUND(Github!N$1415, 2)&amp;"%"</f>
        <v>0%</v>
      </c>
      <c r="K1416" s="17">
        <f>Github!O$1415</f>
        <v>65.13685132</v>
      </c>
      <c r="L1416" s="17">
        <f>Github!P$1415</f>
        <v>29748</v>
      </c>
    </row>
    <row r="1417">
      <c r="A1417" s="17">
        <f>Github!J$1416</f>
        <v>1415</v>
      </c>
      <c r="B1417" s="34" t="str">
        <f>HYPERLINK(CONCAT("http://leetcode.com/problems/",Github!C$1416), Github!B$1416)</f>
        <v>The k-th Lexicographical String of All Happy Strings of Length n</v>
      </c>
      <c r="C1417" s="17">
        <f>Github!F$1416</f>
        <v>632</v>
      </c>
      <c r="D1417" s="17">
        <f>Github!G$1416</f>
        <v>16</v>
      </c>
      <c r="E1417" s="17">
        <f>Github!F$1416+Github!G$1416</f>
        <v>648</v>
      </c>
      <c r="F1417" s="18">
        <f t="shared" si="1"/>
        <v>39.5</v>
      </c>
      <c r="G1417" s="17" t="str">
        <f>Github!H$1416</f>
        <v>Algorithms</v>
      </c>
      <c r="H1417" s="17" t="b">
        <f>Github!D$1416</f>
        <v>0</v>
      </c>
      <c r="I1417" s="17" t="str">
        <f>Github!E$1416</f>
        <v>Medium</v>
      </c>
      <c r="J1417" s="17" t="str">
        <f>ROUND(Github!N$1416, 2)&amp;"%"</f>
        <v>0%</v>
      </c>
      <c r="K1417" s="17">
        <f>Github!O$1416</f>
        <v>71.26040187</v>
      </c>
      <c r="L1417" s="17">
        <f>Github!P$1416</f>
        <v>24576</v>
      </c>
    </row>
    <row r="1418">
      <c r="A1418" s="17">
        <f>Github!J$1417</f>
        <v>1416</v>
      </c>
      <c r="B1418" s="34" t="str">
        <f>HYPERLINK(CONCAT("http://leetcode.com/problems/",Github!C$1417), Github!B$1417)</f>
        <v>Restore The Array</v>
      </c>
      <c r="C1418" s="17">
        <f>Github!F$1417</f>
        <v>340</v>
      </c>
      <c r="D1418" s="17">
        <f>Github!G$1417</f>
        <v>13</v>
      </c>
      <c r="E1418" s="17">
        <f>Github!F$1417+Github!G$1417</f>
        <v>353</v>
      </c>
      <c r="F1418" s="18">
        <f t="shared" si="1"/>
        <v>26.15</v>
      </c>
      <c r="G1418" s="17" t="str">
        <f>Github!H$1417</f>
        <v>Algorithms</v>
      </c>
      <c r="H1418" s="17" t="b">
        <f>Github!D$1417</f>
        <v>0</v>
      </c>
      <c r="I1418" s="17" t="str">
        <f>Github!E$1417</f>
        <v>Hard</v>
      </c>
      <c r="J1418" s="17" t="str">
        <f>ROUND(Github!N$1417, 2)&amp;"%"</f>
        <v>0%</v>
      </c>
      <c r="K1418" s="17">
        <f>Github!O$1417</f>
        <v>37.78474264</v>
      </c>
      <c r="L1418" s="17">
        <f>Github!P$1417</f>
        <v>11694</v>
      </c>
    </row>
    <row r="1419">
      <c r="A1419" s="17">
        <f>Github!J$1418</f>
        <v>1417</v>
      </c>
      <c r="B1419" s="34" t="str">
        <f>HYPERLINK(CONCAT("http://leetcode.com/problems/",Github!C$1418), Github!B$1418)</f>
        <v>Reformat The String</v>
      </c>
      <c r="C1419" s="17">
        <f>Github!F$1418</f>
        <v>379</v>
      </c>
      <c r="D1419" s="17">
        <f>Github!G$1418</f>
        <v>73</v>
      </c>
      <c r="E1419" s="17">
        <f>Github!F$1418+Github!G$1418</f>
        <v>452</v>
      </c>
      <c r="F1419" s="18">
        <f t="shared" si="1"/>
        <v>5.19</v>
      </c>
      <c r="G1419" s="17" t="str">
        <f>Github!H$1418</f>
        <v>Algorithms</v>
      </c>
      <c r="H1419" s="17" t="b">
        <f>Github!D$1418</f>
        <v>0</v>
      </c>
      <c r="I1419" s="17" t="str">
        <f>Github!E$1418</f>
        <v>Easy</v>
      </c>
      <c r="J1419" s="17" t="str">
        <f>ROUND(Github!N$1418, 2)&amp;"%"</f>
        <v>0%</v>
      </c>
      <c r="K1419" s="17">
        <f>Github!O$1418</f>
        <v>56.41506868</v>
      </c>
      <c r="L1419" s="17">
        <f>Github!P$1418</f>
        <v>41482</v>
      </c>
    </row>
    <row r="1420">
      <c r="A1420" s="17">
        <f>Github!J$1419</f>
        <v>1418</v>
      </c>
      <c r="B1420" s="34" t="str">
        <f>HYPERLINK(CONCAT("http://leetcode.com/problems/",Github!C$1419), Github!B$1419)</f>
        <v>Display Table of Food Orders in a Restaurant</v>
      </c>
      <c r="C1420" s="17">
        <f>Github!F$1419</f>
        <v>188</v>
      </c>
      <c r="D1420" s="17">
        <f>Github!G$1419</f>
        <v>327</v>
      </c>
      <c r="E1420" s="17">
        <f>Github!F$1419+Github!G$1419</f>
        <v>515</v>
      </c>
      <c r="F1420" s="18">
        <f t="shared" si="1"/>
        <v>0.57</v>
      </c>
      <c r="G1420" s="17" t="str">
        <f>Github!H$1419</f>
        <v>Algorithms</v>
      </c>
      <c r="H1420" s="17" t="b">
        <f>Github!D$1419</f>
        <v>0</v>
      </c>
      <c r="I1420" s="17" t="str">
        <f>Github!E$1419</f>
        <v>Medium</v>
      </c>
      <c r="J1420" s="17" t="str">
        <f>ROUND(Github!N$1419, 2)&amp;"%"</f>
        <v>0%</v>
      </c>
      <c r="K1420" s="17">
        <f>Github!O$1419</f>
        <v>72.09596959</v>
      </c>
      <c r="L1420" s="17">
        <f>Github!P$1419</f>
        <v>18210</v>
      </c>
    </row>
    <row r="1421">
      <c r="A1421" s="17">
        <f>Github!J$1420</f>
        <v>1419</v>
      </c>
      <c r="B1421" s="34" t="str">
        <f>HYPERLINK(CONCAT("http://leetcode.com/problems/",Github!C$1420), Github!B$1420)</f>
        <v>Minimum Number of Frogs Croaking</v>
      </c>
      <c r="C1421" s="17">
        <f>Github!F$1420</f>
        <v>612</v>
      </c>
      <c r="D1421" s="17">
        <f>Github!G$1420</f>
        <v>38</v>
      </c>
      <c r="E1421" s="17">
        <f>Github!F$1420+Github!G$1420</f>
        <v>650</v>
      </c>
      <c r="F1421" s="18">
        <f t="shared" si="1"/>
        <v>16.11</v>
      </c>
      <c r="G1421" s="17" t="str">
        <f>Github!H$1420</f>
        <v>Algorithms</v>
      </c>
      <c r="H1421" s="17" t="b">
        <f>Github!D$1420</f>
        <v>0</v>
      </c>
      <c r="I1421" s="17" t="str">
        <f>Github!E$1420</f>
        <v>Medium</v>
      </c>
      <c r="J1421" s="17" t="str">
        <f>ROUND(Github!N$1420, 2)&amp;"%"</f>
        <v>0%</v>
      </c>
      <c r="K1421" s="17">
        <f>Github!O$1420</f>
        <v>49.59425845</v>
      </c>
      <c r="L1421" s="17">
        <f>Github!P$1420</f>
        <v>24324</v>
      </c>
    </row>
    <row r="1422">
      <c r="A1422" s="17">
        <f>Github!J$1421</f>
        <v>1420</v>
      </c>
      <c r="B1422" s="34" t="str">
        <f>HYPERLINK(CONCAT("http://leetcode.com/problems/",Github!C$1421), Github!B$1421)</f>
        <v>Build Array Where You Can Find The Maximum Exactly K Comparisons</v>
      </c>
      <c r="C1422" s="17">
        <f>Github!F$1421</f>
        <v>393</v>
      </c>
      <c r="D1422" s="17">
        <f>Github!G$1421</f>
        <v>10</v>
      </c>
      <c r="E1422" s="17">
        <f>Github!F$1421+Github!G$1421</f>
        <v>403</v>
      </c>
      <c r="F1422" s="18">
        <f t="shared" si="1"/>
        <v>39.3</v>
      </c>
      <c r="G1422" s="17" t="str">
        <f>Github!H$1421</f>
        <v>Algorithms</v>
      </c>
      <c r="H1422" s="17" t="b">
        <f>Github!D$1421</f>
        <v>0</v>
      </c>
      <c r="I1422" s="17" t="str">
        <f>Github!E$1421</f>
        <v>Hard</v>
      </c>
      <c r="J1422" s="17" t="str">
        <f>ROUND(Github!N$1421, 2)&amp;"%"</f>
        <v>0%</v>
      </c>
      <c r="K1422" s="17">
        <f>Github!O$1421</f>
        <v>64.64161447</v>
      </c>
      <c r="L1422" s="17">
        <f>Github!P$1421</f>
        <v>9289</v>
      </c>
    </row>
    <row r="1423">
      <c r="A1423" s="17">
        <f>Github!J$1422</f>
        <v>1421</v>
      </c>
      <c r="B1423" s="34" t="str">
        <f>HYPERLINK(CONCAT("http://leetcode.com/problems/",Github!C$1422), Github!B$1422)</f>
        <v>NPV Queries</v>
      </c>
      <c r="C1423" s="17">
        <f>Github!F$1422</f>
        <v>26</v>
      </c>
      <c r="D1423" s="17">
        <f>Github!G$1422</f>
        <v>233</v>
      </c>
      <c r="E1423" s="17">
        <f>Github!F$1422+Github!G$1422</f>
        <v>259</v>
      </c>
      <c r="F1423" s="18">
        <f t="shared" si="1"/>
        <v>0.11</v>
      </c>
      <c r="G1423" s="17" t="str">
        <f>Github!H$1422</f>
        <v>Database</v>
      </c>
      <c r="H1423" s="17" t="b">
        <f>Github!D$1422</f>
        <v>1</v>
      </c>
      <c r="I1423" s="17" t="str">
        <f>Github!E$1422</f>
        <v>Easy</v>
      </c>
      <c r="J1423" s="17" t="str">
        <f>ROUND(Github!N$1422, 2)&amp;"%"</f>
        <v>0%</v>
      </c>
      <c r="K1423" s="17">
        <f>Github!O$1422</f>
        <v>83.40751864</v>
      </c>
      <c r="L1423" s="17">
        <f>Github!P$1422</f>
        <v>15553</v>
      </c>
    </row>
    <row r="1424">
      <c r="A1424" s="17">
        <f>Github!J$1423</f>
        <v>1422</v>
      </c>
      <c r="B1424" s="34" t="str">
        <f>HYPERLINK(CONCAT("http://leetcode.com/problems/",Github!C$1423), Github!B$1423)</f>
        <v>Maximum Score After Splitting a String</v>
      </c>
      <c r="C1424" s="17">
        <f>Github!F$1423</f>
        <v>472</v>
      </c>
      <c r="D1424" s="17">
        <f>Github!G$1423</f>
        <v>24</v>
      </c>
      <c r="E1424" s="17">
        <f>Github!F$1423+Github!G$1423</f>
        <v>496</v>
      </c>
      <c r="F1424" s="18">
        <f t="shared" si="1"/>
        <v>19.67</v>
      </c>
      <c r="G1424" s="17" t="str">
        <f>Github!H$1423</f>
        <v>Algorithms</v>
      </c>
      <c r="H1424" s="17" t="b">
        <f>Github!D$1423</f>
        <v>0</v>
      </c>
      <c r="I1424" s="17" t="str">
        <f>Github!E$1423</f>
        <v>Easy</v>
      </c>
      <c r="J1424" s="17" t="str">
        <f>ROUND(Github!N$1423, 2)&amp;"%"</f>
        <v>0%</v>
      </c>
      <c r="K1424" s="17">
        <f>Github!O$1423</f>
        <v>57.74580631</v>
      </c>
      <c r="L1424" s="17">
        <f>Github!P$1423</f>
        <v>37488</v>
      </c>
    </row>
    <row r="1425">
      <c r="A1425" s="17">
        <f>Github!J$1424</f>
        <v>1423</v>
      </c>
      <c r="B1425" s="34" t="str">
        <f>HYPERLINK(CONCAT("http://leetcode.com/problems/",Github!C$1424), Github!B$1424)</f>
        <v>Maximum Points You Can Obtain from Cards</v>
      </c>
      <c r="C1425" s="17">
        <f>Github!F$1424</f>
        <v>2642</v>
      </c>
      <c r="D1425" s="17">
        <f>Github!G$1424</f>
        <v>107</v>
      </c>
      <c r="E1425" s="17">
        <f>Github!F$1424+Github!G$1424</f>
        <v>2749</v>
      </c>
      <c r="F1425" s="18">
        <f t="shared" si="1"/>
        <v>24.69</v>
      </c>
      <c r="G1425" s="17" t="str">
        <f>Github!H$1424</f>
        <v>Algorithms</v>
      </c>
      <c r="H1425" s="17" t="b">
        <f>Github!D$1424</f>
        <v>0</v>
      </c>
      <c r="I1425" s="17" t="str">
        <f>Github!E$1424</f>
        <v>Medium</v>
      </c>
      <c r="J1425" s="17" t="str">
        <f>ROUND(Github!N$1424, 2)&amp;"%"</f>
        <v>0%</v>
      </c>
      <c r="K1425" s="17">
        <f>Github!O$1424</f>
        <v>49.8912054</v>
      </c>
      <c r="L1425" s="17">
        <f>Github!P$1424</f>
        <v>122207</v>
      </c>
    </row>
    <row r="1426">
      <c r="A1426" s="17">
        <f>Github!J$1425</f>
        <v>1424</v>
      </c>
      <c r="B1426" s="34" t="str">
        <f>HYPERLINK(CONCAT("http://leetcode.com/problems/",Github!C$1425), Github!B$1425)</f>
        <v>Diagonal Traverse II</v>
      </c>
      <c r="C1426" s="17">
        <f>Github!F$1425</f>
        <v>780</v>
      </c>
      <c r="D1426" s="17">
        <f>Github!G$1425</f>
        <v>74</v>
      </c>
      <c r="E1426" s="17">
        <f>Github!F$1425+Github!G$1425</f>
        <v>854</v>
      </c>
      <c r="F1426" s="18">
        <f t="shared" si="1"/>
        <v>10.54</v>
      </c>
      <c r="G1426" s="17" t="str">
        <f>Github!H$1425</f>
        <v>Algorithms</v>
      </c>
      <c r="H1426" s="17" t="b">
        <f>Github!D$1425</f>
        <v>0</v>
      </c>
      <c r="I1426" s="17" t="str">
        <f>Github!E$1425</f>
        <v>Medium</v>
      </c>
      <c r="J1426" s="17" t="str">
        <f>ROUND(Github!N$1425, 2)&amp;"%"</f>
        <v>0%</v>
      </c>
      <c r="K1426" s="17">
        <f>Github!O$1425</f>
        <v>49.70413445</v>
      </c>
      <c r="L1426" s="17">
        <f>Github!P$1425</f>
        <v>38891</v>
      </c>
    </row>
    <row r="1427">
      <c r="A1427" s="17">
        <f>Github!J$1426</f>
        <v>1425</v>
      </c>
      <c r="B1427" s="34" t="str">
        <f>HYPERLINK(CONCAT("http://leetcode.com/problems/",Github!C$1426), Github!B$1426)</f>
        <v>Constrained Subsequence Sum</v>
      </c>
      <c r="C1427" s="17">
        <f>Github!F$1426</f>
        <v>747</v>
      </c>
      <c r="D1427" s="17">
        <f>Github!G$1426</f>
        <v>30</v>
      </c>
      <c r="E1427" s="17">
        <f>Github!F$1426+Github!G$1426</f>
        <v>777</v>
      </c>
      <c r="F1427" s="18">
        <f t="shared" si="1"/>
        <v>24.9</v>
      </c>
      <c r="G1427" s="17" t="str">
        <f>Github!H$1426</f>
        <v>Algorithms</v>
      </c>
      <c r="H1427" s="17" t="b">
        <f>Github!D$1426</f>
        <v>0</v>
      </c>
      <c r="I1427" s="17" t="str">
        <f>Github!E$1426</f>
        <v>Hard</v>
      </c>
      <c r="J1427" s="17" t="str">
        <f>ROUND(Github!N$1426, 2)&amp;"%"</f>
        <v>0%</v>
      </c>
      <c r="K1427" s="17">
        <f>Github!O$1426</f>
        <v>46.40531597</v>
      </c>
      <c r="L1427" s="17">
        <f>Github!P$1426</f>
        <v>17387</v>
      </c>
    </row>
    <row r="1428">
      <c r="A1428" s="17">
        <f>Github!J$1427</f>
        <v>1426</v>
      </c>
      <c r="B1428" s="34" t="str">
        <f>HYPERLINK(CONCAT("http://leetcode.com/problems/",Github!C$1427), Github!B$1427)</f>
        <v>Counting Elements</v>
      </c>
      <c r="C1428" s="17">
        <f>Github!F$1427</f>
        <v>83</v>
      </c>
      <c r="D1428" s="17">
        <f>Github!G$1427</f>
        <v>16</v>
      </c>
      <c r="E1428" s="17">
        <f>Github!F$1427+Github!G$1427</f>
        <v>99</v>
      </c>
      <c r="F1428" s="18">
        <f t="shared" si="1"/>
        <v>5.19</v>
      </c>
      <c r="G1428" s="17" t="str">
        <f>Github!H$1427</f>
        <v>Algorithms</v>
      </c>
      <c r="H1428" s="17" t="b">
        <f>Github!D$1427</f>
        <v>1</v>
      </c>
      <c r="I1428" s="17" t="str">
        <f>Github!E$1427</f>
        <v>Easy</v>
      </c>
      <c r="J1428" s="17" t="str">
        <f>ROUND(Github!N$1427, 2)&amp;"%"</f>
        <v>0%</v>
      </c>
      <c r="K1428" s="17">
        <f>Github!O$1427</f>
        <v>59.45897373</v>
      </c>
      <c r="L1428" s="17">
        <f>Github!P$1427</f>
        <v>89327</v>
      </c>
    </row>
    <row r="1429">
      <c r="A1429" s="17">
        <f>Github!J$1428</f>
        <v>1427</v>
      </c>
      <c r="B1429" s="34" t="str">
        <f>HYPERLINK(CONCAT("http://leetcode.com/problems/",Github!C$1428), Github!B$1428)</f>
        <v>Perform String Shifts</v>
      </c>
      <c r="C1429" s="17">
        <f>Github!F$1428</f>
        <v>138</v>
      </c>
      <c r="D1429" s="17">
        <f>Github!G$1428</f>
        <v>2</v>
      </c>
      <c r="E1429" s="17">
        <f>Github!F$1428+Github!G$1428</f>
        <v>140</v>
      </c>
      <c r="F1429" s="18">
        <f t="shared" si="1"/>
        <v>69</v>
      </c>
      <c r="G1429" s="17" t="str">
        <f>Github!H$1428</f>
        <v>Algorithms</v>
      </c>
      <c r="H1429" s="17" t="b">
        <f>Github!D$1428</f>
        <v>1</v>
      </c>
      <c r="I1429" s="17" t="str">
        <f>Github!E$1428</f>
        <v>Easy</v>
      </c>
      <c r="J1429" s="17" t="str">
        <f>ROUND(Github!N$1428, 2)&amp;"%"</f>
        <v>0%</v>
      </c>
      <c r="K1429" s="17">
        <f>Github!O$1428</f>
        <v>53.97760479</v>
      </c>
      <c r="L1429" s="17">
        <f>Github!P$1428</f>
        <v>69270</v>
      </c>
    </row>
    <row r="1430">
      <c r="A1430" s="17">
        <f>Github!J$1429</f>
        <v>1428</v>
      </c>
      <c r="B1430" s="34" t="str">
        <f>HYPERLINK(CONCAT("http://leetcode.com/problems/",Github!C$1429), Github!B$1429)</f>
        <v>Leftmost Column with at Least a One</v>
      </c>
      <c r="C1430" s="17">
        <f>Github!F$1429</f>
        <v>902</v>
      </c>
      <c r="D1430" s="17">
        <f>Github!G$1429</f>
        <v>111</v>
      </c>
      <c r="E1430" s="17">
        <f>Github!F$1429+Github!G$1429</f>
        <v>1013</v>
      </c>
      <c r="F1430" s="18">
        <f t="shared" si="1"/>
        <v>8.13</v>
      </c>
      <c r="G1430" s="17" t="str">
        <f>Github!H$1429</f>
        <v>Algorithms</v>
      </c>
      <c r="H1430" s="17" t="b">
        <f>Github!D$1429</f>
        <v>1</v>
      </c>
      <c r="I1430" s="17" t="str">
        <f>Github!E$1429</f>
        <v>Medium</v>
      </c>
      <c r="J1430" s="17" t="str">
        <f>ROUND(Github!N$1429, 2)&amp;"%"</f>
        <v>0%</v>
      </c>
      <c r="K1430" s="17">
        <f>Github!O$1429</f>
        <v>52.35435251</v>
      </c>
      <c r="L1430" s="17">
        <f>Github!P$1429</f>
        <v>141618</v>
      </c>
    </row>
    <row r="1431">
      <c r="A1431" s="17">
        <f>Github!J$1430</f>
        <v>1429</v>
      </c>
      <c r="B1431" s="34" t="str">
        <f>HYPERLINK(CONCAT("http://leetcode.com/problems/",Github!C$1430), Github!B$1430)</f>
        <v>First Unique Number</v>
      </c>
      <c r="C1431" s="17">
        <f>Github!F$1430</f>
        <v>419</v>
      </c>
      <c r="D1431" s="17">
        <f>Github!G$1430</f>
        <v>20</v>
      </c>
      <c r="E1431" s="17">
        <f>Github!F$1430+Github!G$1430</f>
        <v>439</v>
      </c>
      <c r="F1431" s="18">
        <f t="shared" si="1"/>
        <v>20.95</v>
      </c>
      <c r="G1431" s="17" t="str">
        <f>Github!H$1430</f>
        <v>Algorithms</v>
      </c>
      <c r="H1431" s="17" t="b">
        <f>Github!D$1430</f>
        <v>1</v>
      </c>
      <c r="I1431" s="17" t="str">
        <f>Github!E$1430</f>
        <v>Medium</v>
      </c>
      <c r="J1431" s="17" t="str">
        <f>ROUND(Github!N$1430, 2)&amp;"%"</f>
        <v>0%</v>
      </c>
      <c r="K1431" s="17">
        <f>Github!O$1430</f>
        <v>52.14123706</v>
      </c>
      <c r="L1431" s="17">
        <f>Github!P$1430</f>
        <v>69656</v>
      </c>
    </row>
    <row r="1432">
      <c r="A1432" s="17">
        <f>Github!J$1431</f>
        <v>1430</v>
      </c>
      <c r="B1432" s="34" t="str">
        <f>HYPERLINK(CONCAT("http://leetcode.com/problems/",Github!C$1431), Github!B$1431)</f>
        <v>Check If a String Is a Valid Sequence from Root to Leaves Path in a Binary Tree</v>
      </c>
      <c r="C1432" s="17">
        <f>Github!F$1431</f>
        <v>140</v>
      </c>
      <c r="D1432" s="17">
        <f>Github!G$1431</f>
        <v>9</v>
      </c>
      <c r="E1432" s="17">
        <f>Github!F$1431+Github!G$1431</f>
        <v>149</v>
      </c>
      <c r="F1432" s="18">
        <f t="shared" si="1"/>
        <v>15.56</v>
      </c>
      <c r="G1432" s="17" t="str">
        <f>Github!H$1431</f>
        <v>Algorithms</v>
      </c>
      <c r="H1432" s="17" t="b">
        <f>Github!D$1431</f>
        <v>1</v>
      </c>
      <c r="I1432" s="17" t="str">
        <f>Github!E$1431</f>
        <v>Medium</v>
      </c>
      <c r="J1432" s="17" t="str">
        <f>ROUND(Github!N$1431, 2)&amp;"%"</f>
        <v>0%</v>
      </c>
      <c r="K1432" s="17">
        <f>Github!O$1431</f>
        <v>45.64709456</v>
      </c>
      <c r="L1432" s="17">
        <f>Github!P$1431</f>
        <v>39073</v>
      </c>
    </row>
    <row r="1433">
      <c r="A1433" s="17">
        <f>Github!J$1432</f>
        <v>1431</v>
      </c>
      <c r="B1433" s="34" t="str">
        <f>HYPERLINK(CONCAT("http://leetcode.com/problems/",Github!C$1432), Github!B$1432)</f>
        <v>Kids With the Greatest Number of Candies</v>
      </c>
      <c r="C1433" s="17">
        <f>Github!F$1432</f>
        <v>1441</v>
      </c>
      <c r="D1433" s="17">
        <f>Github!G$1432</f>
        <v>264</v>
      </c>
      <c r="E1433" s="17">
        <f>Github!F$1432+Github!G$1432</f>
        <v>1705</v>
      </c>
      <c r="F1433" s="18">
        <f t="shared" si="1"/>
        <v>5.46</v>
      </c>
      <c r="G1433" s="17" t="str">
        <f>Github!H$1432</f>
        <v>Algorithms</v>
      </c>
      <c r="H1433" s="17" t="b">
        <f>Github!D$1432</f>
        <v>0</v>
      </c>
      <c r="I1433" s="17" t="str">
        <f>Github!E$1432</f>
        <v>Easy</v>
      </c>
      <c r="J1433" s="17" t="str">
        <f>ROUND(Github!N$1432, 2)&amp;"%"</f>
        <v>0%</v>
      </c>
      <c r="K1433" s="17">
        <f>Github!O$1432</f>
        <v>87.7763437</v>
      </c>
      <c r="L1433" s="17">
        <f>Github!P$1432</f>
        <v>295837</v>
      </c>
    </row>
    <row r="1434">
      <c r="A1434" s="17">
        <f>Github!J$1433</f>
        <v>1432</v>
      </c>
      <c r="B1434" s="34" t="str">
        <f>HYPERLINK(CONCAT("http://leetcode.com/problems/",Github!C$1433), Github!B$1433)</f>
        <v>Max Difference You Can Get From Changing an Integer</v>
      </c>
      <c r="C1434" s="17">
        <f>Github!F$1433</f>
        <v>136</v>
      </c>
      <c r="D1434" s="17">
        <f>Github!G$1433</f>
        <v>183</v>
      </c>
      <c r="E1434" s="17">
        <f>Github!F$1433+Github!G$1433</f>
        <v>319</v>
      </c>
      <c r="F1434" s="18">
        <f t="shared" si="1"/>
        <v>0.74</v>
      </c>
      <c r="G1434" s="17" t="str">
        <f>Github!H$1433</f>
        <v>Algorithms</v>
      </c>
      <c r="H1434" s="17" t="b">
        <f>Github!D$1433</f>
        <v>0</v>
      </c>
      <c r="I1434" s="17" t="str">
        <f>Github!E$1433</f>
        <v>Medium</v>
      </c>
      <c r="J1434" s="17" t="str">
        <f>ROUND(Github!N$1433, 2)&amp;"%"</f>
        <v>0%</v>
      </c>
      <c r="K1434" s="17">
        <f>Github!O$1433</f>
        <v>43.32374101</v>
      </c>
      <c r="L1434" s="17">
        <f>Github!P$1433</f>
        <v>12044</v>
      </c>
    </row>
    <row r="1435">
      <c r="A1435" s="17">
        <f>Github!J$1434</f>
        <v>1433</v>
      </c>
      <c r="B1435" s="34" t="str">
        <f>HYPERLINK(CONCAT("http://leetcode.com/problems/",Github!C$1434), Github!B$1434)</f>
        <v>Check If a String Can Break Another String</v>
      </c>
      <c r="C1435" s="17">
        <f>Github!F$1434</f>
        <v>481</v>
      </c>
      <c r="D1435" s="17">
        <f>Github!G$1434</f>
        <v>108</v>
      </c>
      <c r="E1435" s="17">
        <f>Github!F$1434+Github!G$1434</f>
        <v>589</v>
      </c>
      <c r="F1435" s="18">
        <f t="shared" si="1"/>
        <v>4.45</v>
      </c>
      <c r="G1435" s="17" t="str">
        <f>Github!H$1434</f>
        <v>Algorithms</v>
      </c>
      <c r="H1435" s="17" t="b">
        <f>Github!D$1434</f>
        <v>0</v>
      </c>
      <c r="I1435" s="17" t="str">
        <f>Github!E$1434</f>
        <v>Medium</v>
      </c>
      <c r="J1435" s="17" t="str">
        <f>ROUND(Github!N$1434, 2)&amp;"%"</f>
        <v>0%</v>
      </c>
      <c r="K1435" s="17">
        <f>Github!O$1434</f>
        <v>68.35712407</v>
      </c>
      <c r="L1435" s="17">
        <f>Github!P$1434</f>
        <v>28589</v>
      </c>
    </row>
    <row r="1436">
      <c r="A1436" s="17">
        <f>Github!J$1435</f>
        <v>1434</v>
      </c>
      <c r="B1436" s="34" t="str">
        <f>HYPERLINK(CONCAT("http://leetcode.com/problems/",Github!C$1435), Github!B$1435)</f>
        <v>Number of Ways to Wear Different Hats to Each Other</v>
      </c>
      <c r="C1436" s="17">
        <f>Github!F$1435</f>
        <v>572</v>
      </c>
      <c r="D1436" s="17">
        <f>Github!G$1435</f>
        <v>7</v>
      </c>
      <c r="E1436" s="17">
        <f>Github!F$1435+Github!G$1435</f>
        <v>579</v>
      </c>
      <c r="F1436" s="18">
        <f t="shared" si="1"/>
        <v>81.71</v>
      </c>
      <c r="G1436" s="17" t="str">
        <f>Github!H$1435</f>
        <v>Algorithms</v>
      </c>
      <c r="H1436" s="17" t="b">
        <f>Github!D$1435</f>
        <v>0</v>
      </c>
      <c r="I1436" s="17" t="str">
        <f>Github!E$1435</f>
        <v>Hard</v>
      </c>
      <c r="J1436" s="17" t="str">
        <f>ROUND(Github!N$1435, 2)&amp;"%"</f>
        <v>0%</v>
      </c>
      <c r="K1436" s="17">
        <f>Github!O$1435</f>
        <v>41.74296372</v>
      </c>
      <c r="L1436" s="17">
        <f>Github!P$1435</f>
        <v>8617</v>
      </c>
    </row>
    <row r="1437">
      <c r="A1437" s="17">
        <f>Github!J$1436</f>
        <v>1435</v>
      </c>
      <c r="B1437" s="34" t="str">
        <f>HYPERLINK(CONCAT("http://leetcode.com/problems/",Github!C$1436), Github!B$1436)</f>
        <v>Create a Session Bar Chart</v>
      </c>
      <c r="C1437" s="17">
        <f>Github!F$1436</f>
        <v>104</v>
      </c>
      <c r="D1437" s="17">
        <f>Github!G$1436</f>
        <v>181</v>
      </c>
      <c r="E1437" s="17">
        <f>Github!F$1436+Github!G$1436</f>
        <v>285</v>
      </c>
      <c r="F1437" s="18">
        <f t="shared" si="1"/>
        <v>0.57</v>
      </c>
      <c r="G1437" s="17" t="str">
        <f>Github!H$1436</f>
        <v>Database</v>
      </c>
      <c r="H1437" s="17" t="b">
        <f>Github!D$1436</f>
        <v>1</v>
      </c>
      <c r="I1437" s="17" t="str">
        <f>Github!E$1436</f>
        <v>Easy</v>
      </c>
      <c r="J1437" s="17" t="str">
        <f>ROUND(Github!N$1436, 2)&amp;"%"</f>
        <v>0%</v>
      </c>
      <c r="K1437" s="17">
        <f>Github!O$1436</f>
        <v>78.3315107</v>
      </c>
      <c r="L1437" s="17">
        <f>Github!P$1436</f>
        <v>15042</v>
      </c>
    </row>
    <row r="1438">
      <c r="A1438" s="17">
        <f>Github!J$1437</f>
        <v>1436</v>
      </c>
      <c r="B1438" s="34" t="str">
        <f>HYPERLINK(CONCAT("http://leetcode.com/problems/",Github!C$1437), Github!B$1437)</f>
        <v>Destination City</v>
      </c>
      <c r="C1438" s="17">
        <f>Github!F$1437</f>
        <v>906</v>
      </c>
      <c r="D1438" s="17">
        <f>Github!G$1437</f>
        <v>59</v>
      </c>
      <c r="E1438" s="17">
        <f>Github!F$1437+Github!G$1437</f>
        <v>965</v>
      </c>
      <c r="F1438" s="18">
        <f t="shared" si="1"/>
        <v>15.36</v>
      </c>
      <c r="G1438" s="17" t="str">
        <f>Github!H$1437</f>
        <v>Algorithms</v>
      </c>
      <c r="H1438" s="17" t="b">
        <f>Github!D$1437</f>
        <v>0</v>
      </c>
      <c r="I1438" s="17" t="str">
        <f>Github!E$1437</f>
        <v>Easy</v>
      </c>
      <c r="J1438" s="17" t="str">
        <f>ROUND(Github!N$1437, 2)&amp;"%"</f>
        <v>0%</v>
      </c>
      <c r="K1438" s="17">
        <f>Github!O$1437</f>
        <v>77.6610358</v>
      </c>
      <c r="L1438" s="17">
        <f>Github!P$1437</f>
        <v>94981</v>
      </c>
    </row>
    <row r="1439">
      <c r="A1439" s="17">
        <f>Github!J$1438</f>
        <v>1437</v>
      </c>
      <c r="B1439" s="34" t="str">
        <f>HYPERLINK(CONCAT("http://leetcode.com/problems/",Github!C$1438), Github!B$1438)</f>
        <v>Check If All 1's Are at Least Length K Places Away</v>
      </c>
      <c r="C1439" s="17">
        <f>Github!F$1438</f>
        <v>378</v>
      </c>
      <c r="D1439" s="17">
        <f>Github!G$1438</f>
        <v>192</v>
      </c>
      <c r="E1439" s="17">
        <f>Github!F$1438+Github!G$1438</f>
        <v>570</v>
      </c>
      <c r="F1439" s="18">
        <f t="shared" si="1"/>
        <v>1.97</v>
      </c>
      <c r="G1439" s="17" t="str">
        <f>Github!H$1438</f>
        <v>Algorithms</v>
      </c>
      <c r="H1439" s="17" t="b">
        <f>Github!D$1438</f>
        <v>0</v>
      </c>
      <c r="I1439" s="17" t="str">
        <f>Github!E$1438</f>
        <v>Easy</v>
      </c>
      <c r="J1439" s="17" t="str">
        <f>ROUND(Github!N$1438, 2)&amp;"%"</f>
        <v>0%</v>
      </c>
      <c r="K1439" s="17">
        <f>Github!O$1438</f>
        <v>60.11530566</v>
      </c>
      <c r="L1439" s="17">
        <f>Github!P$1438</f>
        <v>56514</v>
      </c>
    </row>
    <row r="1440">
      <c r="A1440" s="17">
        <f>Github!J$1439</f>
        <v>1438</v>
      </c>
      <c r="B1440" s="34" t="str">
        <f>HYPERLINK(CONCAT("http://leetcode.com/problems/",Github!C$1439), Github!B$1439)</f>
        <v>Longest Continuous Subarray With Absolute Diff Less Than or Equal to Limit</v>
      </c>
      <c r="C1440" s="17">
        <f>Github!F$1439</f>
        <v>1973</v>
      </c>
      <c r="D1440" s="17">
        <f>Github!G$1439</f>
        <v>83</v>
      </c>
      <c r="E1440" s="17">
        <f>Github!F$1439+Github!G$1439</f>
        <v>2056</v>
      </c>
      <c r="F1440" s="18">
        <f t="shared" si="1"/>
        <v>23.77</v>
      </c>
      <c r="G1440" s="17" t="str">
        <f>Github!H$1439</f>
        <v>Algorithms</v>
      </c>
      <c r="H1440" s="17" t="b">
        <f>Github!D$1439</f>
        <v>0</v>
      </c>
      <c r="I1440" s="17" t="str">
        <f>Github!E$1439</f>
        <v>Medium</v>
      </c>
      <c r="J1440" s="17" t="str">
        <f>ROUND(Github!N$1439, 2)&amp;"%"</f>
        <v>0%</v>
      </c>
      <c r="K1440" s="17">
        <f>Github!O$1439</f>
        <v>45.9410795</v>
      </c>
      <c r="L1440" s="17">
        <f>Github!P$1439</f>
        <v>75521</v>
      </c>
    </row>
    <row r="1441">
      <c r="A1441" s="17">
        <f>Github!J$1440</f>
        <v>1439</v>
      </c>
      <c r="B1441" s="34" t="str">
        <f>HYPERLINK(CONCAT("http://leetcode.com/problems/",Github!C$1440), Github!B$1440)</f>
        <v>Find the Kth Smallest Sum of a Matrix With Sorted Rows</v>
      </c>
      <c r="C1441" s="17">
        <f>Github!F$1440</f>
        <v>808</v>
      </c>
      <c r="D1441" s="17">
        <f>Github!G$1440</f>
        <v>9</v>
      </c>
      <c r="E1441" s="17">
        <f>Github!F$1440+Github!G$1440</f>
        <v>817</v>
      </c>
      <c r="F1441" s="18">
        <f t="shared" si="1"/>
        <v>89.78</v>
      </c>
      <c r="G1441" s="17" t="str">
        <f>Github!H$1440</f>
        <v>Algorithms</v>
      </c>
      <c r="H1441" s="17" t="b">
        <f>Github!D$1440</f>
        <v>0</v>
      </c>
      <c r="I1441" s="17" t="str">
        <f>Github!E$1440</f>
        <v>Hard</v>
      </c>
      <c r="J1441" s="17" t="str">
        <f>ROUND(Github!N$1440, 2)&amp;"%"</f>
        <v>0%</v>
      </c>
      <c r="K1441" s="17">
        <f>Github!O$1440</f>
        <v>61.47929454</v>
      </c>
      <c r="L1441" s="17">
        <f>Github!P$1440</f>
        <v>23738</v>
      </c>
    </row>
    <row r="1442">
      <c r="A1442" s="17">
        <f>Github!J$1441</f>
        <v>1440</v>
      </c>
      <c r="B1442" s="34" t="str">
        <f>HYPERLINK(CONCAT("http://leetcode.com/problems/",Github!C$1441), Github!B$1441)</f>
        <v>Evaluate Boolean Expression</v>
      </c>
      <c r="C1442" s="17">
        <f>Github!F$1441</f>
        <v>106</v>
      </c>
      <c r="D1442" s="17">
        <f>Github!G$1441</f>
        <v>6</v>
      </c>
      <c r="E1442" s="17">
        <f>Github!F$1441+Github!G$1441</f>
        <v>112</v>
      </c>
      <c r="F1442" s="18">
        <f t="shared" si="1"/>
        <v>17.67</v>
      </c>
      <c r="G1442" s="17" t="str">
        <f>Github!H$1441</f>
        <v>Database</v>
      </c>
      <c r="H1442" s="17" t="b">
        <f>Github!D$1441</f>
        <v>1</v>
      </c>
      <c r="I1442" s="17" t="str">
        <f>Github!E$1441</f>
        <v>Medium</v>
      </c>
      <c r="J1442" s="17" t="str">
        <f>ROUND(Github!N$1441, 2)&amp;"%"</f>
        <v>0%</v>
      </c>
      <c r="K1442" s="17">
        <f>Github!O$1441</f>
        <v>75.52534804</v>
      </c>
      <c r="L1442" s="17">
        <f>Github!P$1441</f>
        <v>11500</v>
      </c>
    </row>
    <row r="1443">
      <c r="A1443" s="17">
        <f>Github!J$1442</f>
        <v>1441</v>
      </c>
      <c r="B1443" s="34" t="str">
        <f>HYPERLINK(CONCAT("http://leetcode.com/problems/",Github!C$1442), Github!B$1442)</f>
        <v>Build an Array With Stack Operations</v>
      </c>
      <c r="C1443" s="17">
        <f>Github!F$1442</f>
        <v>438</v>
      </c>
      <c r="D1443" s="17">
        <f>Github!G$1442</f>
        <v>728</v>
      </c>
      <c r="E1443" s="17">
        <f>Github!F$1442+Github!G$1442</f>
        <v>1166</v>
      </c>
      <c r="F1443" s="18">
        <f t="shared" si="1"/>
        <v>0.6</v>
      </c>
      <c r="G1443" s="17" t="str">
        <f>Github!H$1442</f>
        <v>Algorithms</v>
      </c>
      <c r="H1443" s="17" t="b">
        <f>Github!D$1442</f>
        <v>0</v>
      </c>
      <c r="I1443" s="17" t="str">
        <f>Github!E$1442</f>
        <v>Easy</v>
      </c>
      <c r="J1443" s="17" t="str">
        <f>ROUND(Github!N$1442, 2)&amp;"%"</f>
        <v>0%</v>
      </c>
      <c r="K1443" s="17">
        <f>Github!O$1442</f>
        <v>70.85103724</v>
      </c>
      <c r="L1443" s="17">
        <f>Github!P$1442</f>
        <v>56693</v>
      </c>
    </row>
    <row r="1444">
      <c r="A1444" s="17">
        <f>Github!J$1443</f>
        <v>1442</v>
      </c>
      <c r="B1444" s="34" t="str">
        <f>HYPERLINK(CONCAT("http://leetcode.com/problems/",Github!C$1443), Github!B$1443)</f>
        <v>Count Triplets That Can Form Two Arrays of Equal XOR</v>
      </c>
      <c r="C1444" s="17">
        <f>Github!F$1443</f>
        <v>854</v>
      </c>
      <c r="D1444" s="17">
        <f>Github!G$1443</f>
        <v>43</v>
      </c>
      <c r="E1444" s="17">
        <f>Github!F$1443+Github!G$1443</f>
        <v>897</v>
      </c>
      <c r="F1444" s="18">
        <f t="shared" si="1"/>
        <v>19.86</v>
      </c>
      <c r="G1444" s="17" t="str">
        <f>Github!H$1443</f>
        <v>Algorithms</v>
      </c>
      <c r="H1444" s="17" t="b">
        <f>Github!D$1443</f>
        <v>0</v>
      </c>
      <c r="I1444" s="17" t="str">
        <f>Github!E$1443</f>
        <v>Medium</v>
      </c>
      <c r="J1444" s="17" t="str">
        <f>ROUND(Github!N$1443, 2)&amp;"%"</f>
        <v>0%</v>
      </c>
      <c r="K1444" s="17">
        <f>Github!O$1443</f>
        <v>74.48908954</v>
      </c>
      <c r="L1444" s="17">
        <f>Github!P$1443</f>
        <v>24748</v>
      </c>
    </row>
    <row r="1445">
      <c r="A1445" s="17">
        <f>Github!J$1444</f>
        <v>1443</v>
      </c>
      <c r="B1445" s="34" t="str">
        <f>HYPERLINK(CONCAT("http://leetcode.com/problems/",Github!C$1444), Github!B$1444)</f>
        <v>Minimum Time to Collect All Apples in a Tree</v>
      </c>
      <c r="C1445" s="17">
        <f>Github!F$1444</f>
        <v>888</v>
      </c>
      <c r="D1445" s="17">
        <f>Github!G$1444</f>
        <v>86</v>
      </c>
      <c r="E1445" s="17">
        <f>Github!F$1444+Github!G$1444</f>
        <v>974</v>
      </c>
      <c r="F1445" s="18">
        <f t="shared" si="1"/>
        <v>10.33</v>
      </c>
      <c r="G1445" s="17" t="str">
        <f>Github!H$1444</f>
        <v>Algorithms</v>
      </c>
      <c r="H1445" s="17" t="b">
        <f>Github!D$1444</f>
        <v>0</v>
      </c>
      <c r="I1445" s="17" t="str">
        <f>Github!E$1444</f>
        <v>Medium</v>
      </c>
      <c r="J1445" s="17" t="str">
        <f>ROUND(Github!N$1444, 2)&amp;"%"</f>
        <v>0%</v>
      </c>
      <c r="K1445" s="17">
        <f>Github!O$1444</f>
        <v>55.52264495</v>
      </c>
      <c r="L1445" s="17">
        <f>Github!P$1444</f>
        <v>27742</v>
      </c>
    </row>
    <row r="1446">
      <c r="A1446" s="17">
        <f>Github!J$1445</f>
        <v>1444</v>
      </c>
      <c r="B1446" s="34" t="str">
        <f>HYPERLINK(CONCAT("http://leetcode.com/problems/",Github!C$1445), Github!B$1445)</f>
        <v>Number of Ways of Cutting a Pizza</v>
      </c>
      <c r="C1446" s="17">
        <f>Github!F$1445</f>
        <v>421</v>
      </c>
      <c r="D1446" s="17">
        <f>Github!G$1445</f>
        <v>16</v>
      </c>
      <c r="E1446" s="17">
        <f>Github!F$1445+Github!G$1445</f>
        <v>437</v>
      </c>
      <c r="F1446" s="18">
        <f t="shared" si="1"/>
        <v>26.31</v>
      </c>
      <c r="G1446" s="17" t="str">
        <f>Github!H$1445</f>
        <v>Algorithms</v>
      </c>
      <c r="H1446" s="17" t="b">
        <f>Github!D$1445</f>
        <v>0</v>
      </c>
      <c r="I1446" s="17" t="str">
        <f>Github!E$1445</f>
        <v>Hard</v>
      </c>
      <c r="J1446" s="17" t="str">
        <f>ROUND(Github!N$1445, 2)&amp;"%"</f>
        <v>0%</v>
      </c>
      <c r="K1446" s="17">
        <f>Github!O$1445</f>
        <v>55.32487881</v>
      </c>
      <c r="L1446" s="17">
        <f>Github!P$1445</f>
        <v>11299</v>
      </c>
    </row>
    <row r="1447">
      <c r="A1447" s="17">
        <f>Github!J$1446</f>
        <v>1445</v>
      </c>
      <c r="B1447" s="34" t="str">
        <f>HYPERLINK(CONCAT("http://leetcode.com/problems/",Github!C$1446), Github!B$1446)</f>
        <v>Apples &amp; Oranges</v>
      </c>
      <c r="C1447" s="17">
        <f>Github!F$1446</f>
        <v>123</v>
      </c>
      <c r="D1447" s="17">
        <f>Github!G$1446</f>
        <v>17</v>
      </c>
      <c r="E1447" s="17">
        <f>Github!F$1446+Github!G$1446</f>
        <v>140</v>
      </c>
      <c r="F1447" s="18">
        <f t="shared" si="1"/>
        <v>7.24</v>
      </c>
      <c r="G1447" s="17" t="str">
        <f>Github!H$1446</f>
        <v>Database</v>
      </c>
      <c r="H1447" s="17" t="b">
        <f>Github!D$1446</f>
        <v>1</v>
      </c>
      <c r="I1447" s="17" t="str">
        <f>Github!E$1446</f>
        <v>Medium</v>
      </c>
      <c r="J1447" s="17" t="str">
        <f>ROUND(Github!N$1446, 2)&amp;"%"</f>
        <v>0%</v>
      </c>
      <c r="K1447" s="17">
        <f>Github!O$1446</f>
        <v>91.50306865</v>
      </c>
      <c r="L1447" s="17">
        <f>Github!P$1446</f>
        <v>24003</v>
      </c>
    </row>
    <row r="1448">
      <c r="A1448" s="17">
        <f>Github!J$1447</f>
        <v>1446</v>
      </c>
      <c r="B1448" s="34" t="str">
        <f>HYPERLINK(CONCAT("http://leetcode.com/problems/",Github!C$1447), Github!B$1447)</f>
        <v>Consecutive Characters</v>
      </c>
      <c r="C1448" s="17">
        <f>Github!F$1447</f>
        <v>1179</v>
      </c>
      <c r="D1448" s="17">
        <f>Github!G$1447</f>
        <v>24</v>
      </c>
      <c r="E1448" s="17">
        <f>Github!F$1447+Github!G$1447</f>
        <v>1203</v>
      </c>
      <c r="F1448" s="18">
        <f t="shared" si="1"/>
        <v>49.13</v>
      </c>
      <c r="G1448" s="17" t="str">
        <f>Github!H$1447</f>
        <v>Algorithms</v>
      </c>
      <c r="H1448" s="17" t="b">
        <f>Github!D$1447</f>
        <v>0</v>
      </c>
      <c r="I1448" s="17" t="str">
        <f>Github!E$1447</f>
        <v>Easy</v>
      </c>
      <c r="J1448" s="17" t="str">
        <f>ROUND(Github!N$1447, 2)&amp;"%"</f>
        <v>0%</v>
      </c>
      <c r="K1448" s="17">
        <f>Github!O$1447</f>
        <v>61.98048602</v>
      </c>
      <c r="L1448" s="17">
        <f>Github!P$1447</f>
        <v>115487</v>
      </c>
    </row>
    <row r="1449">
      <c r="A1449" s="17">
        <f>Github!J$1448</f>
        <v>1447</v>
      </c>
      <c r="B1449" s="34" t="str">
        <f>HYPERLINK(CONCAT("http://leetcode.com/problems/",Github!C$1448), Github!B$1448)</f>
        <v>Simplified Fractions</v>
      </c>
      <c r="C1449" s="17">
        <f>Github!F$1448</f>
        <v>226</v>
      </c>
      <c r="D1449" s="17">
        <f>Github!G$1448</f>
        <v>31</v>
      </c>
      <c r="E1449" s="17">
        <f>Github!F$1448+Github!G$1448</f>
        <v>257</v>
      </c>
      <c r="F1449" s="18">
        <f t="shared" si="1"/>
        <v>7.29</v>
      </c>
      <c r="G1449" s="17" t="str">
        <f>Github!H$1448</f>
        <v>Algorithms</v>
      </c>
      <c r="H1449" s="17" t="b">
        <f>Github!D$1448</f>
        <v>0</v>
      </c>
      <c r="I1449" s="17" t="str">
        <f>Github!E$1448</f>
        <v>Medium</v>
      </c>
      <c r="J1449" s="17" t="str">
        <f>ROUND(Github!N$1448, 2)&amp;"%"</f>
        <v>0%</v>
      </c>
      <c r="K1449" s="17">
        <f>Github!O$1448</f>
        <v>63.78205128</v>
      </c>
      <c r="L1449" s="17">
        <f>Github!P$1448</f>
        <v>19900</v>
      </c>
    </row>
    <row r="1450">
      <c r="A1450" s="17">
        <f>Github!J$1449</f>
        <v>1448</v>
      </c>
      <c r="B1450" s="34" t="str">
        <f>HYPERLINK(CONCAT("http://leetcode.com/problems/",Github!C$1449), Github!B$1449)</f>
        <v>Count Good Nodes in Binary Tree</v>
      </c>
      <c r="C1450" s="17">
        <f>Github!F$1449</f>
        <v>2148</v>
      </c>
      <c r="D1450" s="17">
        <f>Github!G$1449</f>
        <v>71</v>
      </c>
      <c r="E1450" s="17">
        <f>Github!F$1449+Github!G$1449</f>
        <v>2219</v>
      </c>
      <c r="F1450" s="18">
        <f t="shared" si="1"/>
        <v>30.25</v>
      </c>
      <c r="G1450" s="17" t="str">
        <f>Github!H$1449</f>
        <v>Algorithms</v>
      </c>
      <c r="H1450" s="17" t="b">
        <f>Github!D$1449</f>
        <v>0</v>
      </c>
      <c r="I1450" s="17" t="str">
        <f>Github!E$1449</f>
        <v>Medium</v>
      </c>
      <c r="J1450" s="17" t="str">
        <f>ROUND(Github!N$1449, 2)&amp;"%"</f>
        <v>1%</v>
      </c>
      <c r="K1450" s="17">
        <f>Github!O$1449</f>
        <v>72.972908</v>
      </c>
      <c r="L1450" s="17">
        <f>Github!P$1449</f>
        <v>151775</v>
      </c>
    </row>
    <row r="1451">
      <c r="A1451" s="17">
        <f>Github!J$1450</f>
        <v>1449</v>
      </c>
      <c r="B1451" s="34" t="str">
        <f>HYPERLINK(CONCAT("http://leetcode.com/problems/",Github!C$1450), Github!B$1450)</f>
        <v>Form Largest Integer With Digits That Add up to Target</v>
      </c>
      <c r="C1451" s="17">
        <f>Github!F$1450</f>
        <v>478</v>
      </c>
      <c r="D1451" s="17">
        <f>Github!G$1450</f>
        <v>8</v>
      </c>
      <c r="E1451" s="17">
        <f>Github!F$1450+Github!G$1450</f>
        <v>486</v>
      </c>
      <c r="F1451" s="18">
        <f t="shared" si="1"/>
        <v>59.75</v>
      </c>
      <c r="G1451" s="17" t="str">
        <f>Github!H$1450</f>
        <v>Algorithms</v>
      </c>
      <c r="H1451" s="17" t="b">
        <f>Github!D$1450</f>
        <v>0</v>
      </c>
      <c r="I1451" s="17" t="str">
        <f>Github!E$1450</f>
        <v>Hard</v>
      </c>
      <c r="J1451" s="17" t="str">
        <f>ROUND(Github!N$1450, 2)&amp;"%"</f>
        <v>0%</v>
      </c>
      <c r="K1451" s="17">
        <f>Github!O$1450</f>
        <v>46.20665167</v>
      </c>
      <c r="L1451" s="17">
        <f>Github!P$1450</f>
        <v>11712</v>
      </c>
    </row>
    <row r="1452">
      <c r="A1452" s="17">
        <f>Github!J$1451</f>
        <v>1450</v>
      </c>
      <c r="B1452" s="34" t="str">
        <f>HYPERLINK(CONCAT("http://leetcode.com/problems/",Github!C$1451), Github!B$1451)</f>
        <v>Number of Students Doing Homework at a Given Time</v>
      </c>
      <c r="C1452" s="17">
        <f>Github!F$1451</f>
        <v>543</v>
      </c>
      <c r="D1452" s="17">
        <f>Github!G$1451</f>
        <v>127</v>
      </c>
      <c r="E1452" s="17">
        <f>Github!F$1451+Github!G$1451</f>
        <v>670</v>
      </c>
      <c r="F1452" s="18">
        <f t="shared" si="1"/>
        <v>4.28</v>
      </c>
      <c r="G1452" s="17" t="str">
        <f>Github!H$1451</f>
        <v>Algorithms</v>
      </c>
      <c r="H1452" s="17" t="b">
        <f>Github!D$1451</f>
        <v>0</v>
      </c>
      <c r="I1452" s="17" t="str">
        <f>Github!E$1451</f>
        <v>Easy</v>
      </c>
      <c r="J1452" s="17" t="str">
        <f>ROUND(Github!N$1451, 2)&amp;"%"</f>
        <v>0%</v>
      </c>
      <c r="K1452" s="17">
        <f>Github!O$1451</f>
        <v>76.48447311</v>
      </c>
      <c r="L1452" s="17">
        <f>Github!P$1451</f>
        <v>81006</v>
      </c>
    </row>
    <row r="1453">
      <c r="A1453" s="17">
        <f>Github!J$1452</f>
        <v>1451</v>
      </c>
      <c r="B1453" s="34" t="str">
        <f>HYPERLINK(CONCAT("http://leetcode.com/problems/",Github!C$1452), Github!B$1452)</f>
        <v>Rearrange Words in a Sentence</v>
      </c>
      <c r="C1453" s="17">
        <f>Github!F$1452</f>
        <v>457</v>
      </c>
      <c r="D1453" s="17">
        <f>Github!G$1452</f>
        <v>63</v>
      </c>
      <c r="E1453" s="17">
        <f>Github!F$1452+Github!G$1452</f>
        <v>520</v>
      </c>
      <c r="F1453" s="18">
        <f t="shared" si="1"/>
        <v>7.25</v>
      </c>
      <c r="G1453" s="17" t="str">
        <f>Github!H$1452</f>
        <v>Algorithms</v>
      </c>
      <c r="H1453" s="17" t="b">
        <f>Github!D$1452</f>
        <v>0</v>
      </c>
      <c r="I1453" s="17" t="str">
        <f>Github!E$1452</f>
        <v>Medium</v>
      </c>
      <c r="J1453" s="17" t="str">
        <f>ROUND(Github!N$1452, 2)&amp;"%"</f>
        <v>0%</v>
      </c>
      <c r="K1453" s="17">
        <f>Github!O$1452</f>
        <v>61.74142032</v>
      </c>
      <c r="L1453" s="17">
        <f>Github!P$1452</f>
        <v>36341</v>
      </c>
    </row>
    <row r="1454">
      <c r="A1454" s="17">
        <f>Github!J$1453</f>
        <v>1452</v>
      </c>
      <c r="B1454" s="34" t="str">
        <f>HYPERLINK(CONCAT("http://leetcode.com/problems/",Github!C$1453), Github!B$1453)</f>
        <v>People Whose List of Favorite Companies Is Not a Subset of Another List</v>
      </c>
      <c r="C1454" s="17">
        <f>Github!F$1453</f>
        <v>241</v>
      </c>
      <c r="D1454" s="17">
        <f>Github!G$1453</f>
        <v>190</v>
      </c>
      <c r="E1454" s="17">
        <f>Github!F$1453+Github!G$1453</f>
        <v>431</v>
      </c>
      <c r="F1454" s="18">
        <f t="shared" si="1"/>
        <v>1.27</v>
      </c>
      <c r="G1454" s="17" t="str">
        <f>Github!H$1453</f>
        <v>Algorithms</v>
      </c>
      <c r="H1454" s="17" t="b">
        <f>Github!D$1453</f>
        <v>0</v>
      </c>
      <c r="I1454" s="17" t="str">
        <f>Github!E$1453</f>
        <v>Medium</v>
      </c>
      <c r="J1454" s="17" t="str">
        <f>ROUND(Github!N$1453, 2)&amp;"%"</f>
        <v>0%</v>
      </c>
      <c r="K1454" s="17">
        <f>Github!O$1453</f>
        <v>56.5203965</v>
      </c>
      <c r="L1454" s="17">
        <f>Github!P$1453</f>
        <v>18303</v>
      </c>
    </row>
    <row r="1455">
      <c r="A1455" s="17">
        <f>Github!J$1454</f>
        <v>1453</v>
      </c>
      <c r="B1455" s="34" t="str">
        <f>HYPERLINK(CONCAT("http://leetcode.com/problems/",Github!C$1454), Github!B$1454)</f>
        <v>Maximum Number of Darts Inside of a Circular Dartboard</v>
      </c>
      <c r="C1455" s="17">
        <f>Github!F$1454</f>
        <v>108</v>
      </c>
      <c r="D1455" s="17">
        <f>Github!G$1454</f>
        <v>237</v>
      </c>
      <c r="E1455" s="17">
        <f>Github!F$1454+Github!G$1454</f>
        <v>345</v>
      </c>
      <c r="F1455" s="18">
        <f t="shared" si="1"/>
        <v>0.46</v>
      </c>
      <c r="G1455" s="17" t="str">
        <f>Github!H$1454</f>
        <v>Algorithms</v>
      </c>
      <c r="H1455" s="17" t="b">
        <f>Github!D$1454</f>
        <v>0</v>
      </c>
      <c r="I1455" s="17" t="str">
        <f>Github!E$1454</f>
        <v>Hard</v>
      </c>
      <c r="J1455" s="17" t="str">
        <f>ROUND(Github!N$1454, 2)&amp;"%"</f>
        <v>0%</v>
      </c>
      <c r="K1455" s="17">
        <f>Github!O$1454</f>
        <v>36.29671574</v>
      </c>
      <c r="L1455" s="17">
        <f>Github!P$1454</f>
        <v>4487</v>
      </c>
    </row>
    <row r="1456">
      <c r="A1456" s="17">
        <f>Github!J$1455</f>
        <v>1454</v>
      </c>
      <c r="B1456" s="34" t="str">
        <f>HYPERLINK(CONCAT("http://leetcode.com/problems/",Github!C$1455), Github!B$1455)</f>
        <v>Active Users</v>
      </c>
      <c r="C1456" s="17">
        <f>Github!F$1455</f>
        <v>265</v>
      </c>
      <c r="D1456" s="17">
        <f>Github!G$1455</f>
        <v>26</v>
      </c>
      <c r="E1456" s="17">
        <f>Github!F$1455+Github!G$1455</f>
        <v>291</v>
      </c>
      <c r="F1456" s="18">
        <f t="shared" si="1"/>
        <v>10.19</v>
      </c>
      <c r="G1456" s="17" t="str">
        <f>Github!H$1455</f>
        <v>Database</v>
      </c>
      <c r="H1456" s="17" t="b">
        <f>Github!D$1455</f>
        <v>1</v>
      </c>
      <c r="I1456" s="17" t="str">
        <f>Github!E$1455</f>
        <v>Medium</v>
      </c>
      <c r="J1456" s="17" t="str">
        <f>ROUND(Github!N$1455, 2)&amp;"%"</f>
        <v>0%</v>
      </c>
      <c r="K1456" s="17">
        <f>Github!O$1455</f>
        <v>38.38555305</v>
      </c>
      <c r="L1456" s="17">
        <f>Github!P$1455</f>
        <v>21255</v>
      </c>
    </row>
    <row r="1457">
      <c r="A1457" s="17">
        <f>Github!J$1456</f>
        <v>1455</v>
      </c>
      <c r="B1457" s="34" t="str">
        <f>HYPERLINK(CONCAT("http://leetcode.com/problems/",Github!C$1456), Github!B$1456)</f>
        <v>Check If a Word Occurs As a Prefix of Any Word in a Sentence</v>
      </c>
      <c r="C1457" s="17">
        <f>Github!F$1456</f>
        <v>473</v>
      </c>
      <c r="D1457" s="17">
        <f>Github!G$1456</f>
        <v>23</v>
      </c>
      <c r="E1457" s="17">
        <f>Github!F$1456+Github!G$1456</f>
        <v>496</v>
      </c>
      <c r="F1457" s="18">
        <f t="shared" si="1"/>
        <v>20.57</v>
      </c>
      <c r="G1457" s="17" t="str">
        <f>Github!H$1456</f>
        <v>Algorithms</v>
      </c>
      <c r="H1457" s="17" t="b">
        <f>Github!D$1456</f>
        <v>0</v>
      </c>
      <c r="I1457" s="17" t="str">
        <f>Github!E$1456</f>
        <v>Easy</v>
      </c>
      <c r="J1457" s="17" t="str">
        <f>ROUND(Github!N$1456, 2)&amp;"%"</f>
        <v>0%</v>
      </c>
      <c r="K1457" s="17">
        <f>Github!O$1456</f>
        <v>64.56034589</v>
      </c>
      <c r="L1457" s="17">
        <f>Github!P$1456</f>
        <v>47335</v>
      </c>
    </row>
    <row r="1458">
      <c r="A1458" s="17">
        <f>Github!J$1457</f>
        <v>1456</v>
      </c>
      <c r="B1458" s="34" t="str">
        <f>HYPERLINK(CONCAT("http://leetcode.com/problems/",Github!C$1457), Github!B$1457)</f>
        <v>Maximum Number of Vowels in a Substring of Given Length</v>
      </c>
      <c r="C1458" s="17">
        <f>Github!F$1457</f>
        <v>663</v>
      </c>
      <c r="D1458" s="17">
        <f>Github!G$1457</f>
        <v>37</v>
      </c>
      <c r="E1458" s="17">
        <f>Github!F$1457+Github!G$1457</f>
        <v>700</v>
      </c>
      <c r="F1458" s="18">
        <f t="shared" si="1"/>
        <v>17.92</v>
      </c>
      <c r="G1458" s="17" t="str">
        <f>Github!H$1457</f>
        <v>Algorithms</v>
      </c>
      <c r="H1458" s="17" t="b">
        <f>Github!D$1457</f>
        <v>0</v>
      </c>
      <c r="I1458" s="17" t="str">
        <f>Github!E$1457</f>
        <v>Medium</v>
      </c>
      <c r="J1458" s="17" t="str">
        <f>ROUND(Github!N$1457, 2)&amp;"%"</f>
        <v>0%</v>
      </c>
      <c r="K1458" s="17">
        <f>Github!O$1457</f>
        <v>57.23429716</v>
      </c>
      <c r="L1458" s="17">
        <f>Github!P$1457</f>
        <v>41131</v>
      </c>
    </row>
    <row r="1459">
      <c r="A1459" s="17">
        <f>Github!J$1458</f>
        <v>1457</v>
      </c>
      <c r="B1459" s="34" t="str">
        <f>HYPERLINK(CONCAT("http://leetcode.com/problems/",Github!C$1458), Github!B$1458)</f>
        <v>Pseudo-Palindromic Paths in a Binary Tree</v>
      </c>
      <c r="C1459" s="17">
        <f>Github!F$1458</f>
        <v>936</v>
      </c>
      <c r="D1459" s="17">
        <f>Github!G$1458</f>
        <v>34</v>
      </c>
      <c r="E1459" s="17">
        <f>Github!F$1458+Github!G$1458</f>
        <v>970</v>
      </c>
      <c r="F1459" s="18">
        <f t="shared" si="1"/>
        <v>27.53</v>
      </c>
      <c r="G1459" s="17" t="str">
        <f>Github!H$1458</f>
        <v>Algorithms</v>
      </c>
      <c r="H1459" s="17" t="b">
        <f>Github!D$1458</f>
        <v>0</v>
      </c>
      <c r="I1459" s="17" t="str">
        <f>Github!E$1458</f>
        <v>Medium</v>
      </c>
      <c r="J1459" s="17" t="str">
        <f>ROUND(Github!N$1458, 2)&amp;"%"</f>
        <v>0%</v>
      </c>
      <c r="K1459" s="17">
        <f>Github!O$1458</f>
        <v>67.41262326</v>
      </c>
      <c r="L1459" s="17">
        <f>Github!P$1458</f>
        <v>49975</v>
      </c>
    </row>
    <row r="1460">
      <c r="A1460" s="17">
        <f>Github!J$1459</f>
        <v>1458</v>
      </c>
      <c r="B1460" s="34" t="str">
        <f>HYPERLINK(CONCAT("http://leetcode.com/problems/",Github!C$1459), Github!B$1459)</f>
        <v>Max Dot Product of Two Subsequences</v>
      </c>
      <c r="C1460" s="17">
        <f>Github!F$1459</f>
        <v>552</v>
      </c>
      <c r="D1460" s="17">
        <f>Github!G$1459</f>
        <v>11</v>
      </c>
      <c r="E1460" s="17">
        <f>Github!F$1459+Github!G$1459</f>
        <v>563</v>
      </c>
      <c r="F1460" s="18">
        <f t="shared" si="1"/>
        <v>50.18</v>
      </c>
      <c r="G1460" s="17" t="str">
        <f>Github!H$1459</f>
        <v>Algorithms</v>
      </c>
      <c r="H1460" s="17" t="b">
        <f>Github!D$1459</f>
        <v>0</v>
      </c>
      <c r="I1460" s="17" t="str">
        <f>Github!E$1459</f>
        <v>Hard</v>
      </c>
      <c r="J1460" s="17" t="str">
        <f>ROUND(Github!N$1459, 2)&amp;"%"</f>
        <v>0%</v>
      </c>
      <c r="K1460" s="17">
        <f>Github!O$1459</f>
        <v>45.02082864</v>
      </c>
      <c r="L1460" s="17">
        <f>Github!P$1459</f>
        <v>15994</v>
      </c>
    </row>
    <row r="1461">
      <c r="A1461" s="17">
        <f>Github!J$1460</f>
        <v>1459</v>
      </c>
      <c r="B1461" s="34" t="str">
        <f>HYPERLINK(CONCAT("http://leetcode.com/problems/",Github!C$1460), Github!B$1460)</f>
        <v>Rectangles Area</v>
      </c>
      <c r="C1461" s="17">
        <f>Github!F$1460</f>
        <v>49</v>
      </c>
      <c r="D1461" s="17">
        <f>Github!G$1460</f>
        <v>87</v>
      </c>
      <c r="E1461" s="17">
        <f>Github!F$1460+Github!G$1460</f>
        <v>136</v>
      </c>
      <c r="F1461" s="18">
        <f t="shared" si="1"/>
        <v>0.56</v>
      </c>
      <c r="G1461" s="17" t="str">
        <f>Github!H$1460</f>
        <v>Database</v>
      </c>
      <c r="H1461" s="17" t="b">
        <f>Github!D$1460</f>
        <v>1</v>
      </c>
      <c r="I1461" s="17" t="str">
        <f>Github!E$1460</f>
        <v>Medium</v>
      </c>
      <c r="J1461" s="17" t="str">
        <f>ROUND(Github!N$1460, 2)&amp;"%"</f>
        <v>0%</v>
      </c>
      <c r="K1461" s="17">
        <f>Github!O$1460</f>
        <v>68.24030883</v>
      </c>
      <c r="L1461" s="17">
        <f>Github!P$1460</f>
        <v>8480</v>
      </c>
    </row>
    <row r="1462">
      <c r="A1462" s="17">
        <f>Github!J$1461</f>
        <v>1460</v>
      </c>
      <c r="B1462" s="34" t="str">
        <f>HYPERLINK(CONCAT("http://leetcode.com/problems/",Github!C$1461), Github!B$1461)</f>
        <v>Make Two Arrays Equal by Reversing Sub-arrays</v>
      </c>
      <c r="C1462" s="17">
        <f>Github!F$1461</f>
        <v>677</v>
      </c>
      <c r="D1462" s="17">
        <f>Github!G$1461</f>
        <v>107</v>
      </c>
      <c r="E1462" s="17">
        <f>Github!F$1461+Github!G$1461</f>
        <v>784</v>
      </c>
      <c r="F1462" s="18">
        <f t="shared" si="1"/>
        <v>6.33</v>
      </c>
      <c r="G1462" s="17" t="str">
        <f>Github!H$1461</f>
        <v>Algorithms</v>
      </c>
      <c r="H1462" s="17" t="b">
        <f>Github!D$1461</f>
        <v>0</v>
      </c>
      <c r="I1462" s="17" t="str">
        <f>Github!E$1461</f>
        <v>Easy</v>
      </c>
      <c r="J1462" s="17" t="str">
        <f>ROUND(Github!N$1461, 2)&amp;"%"</f>
        <v>0%</v>
      </c>
      <c r="K1462" s="17">
        <f>Github!O$1461</f>
        <v>72.55189299</v>
      </c>
      <c r="L1462" s="17">
        <f>Github!P$1461</f>
        <v>81182</v>
      </c>
    </row>
    <row r="1463">
      <c r="A1463" s="17">
        <f>Github!J$1462</f>
        <v>1461</v>
      </c>
      <c r="B1463" s="34" t="str">
        <f>HYPERLINK(CONCAT("http://leetcode.com/problems/",Github!C$1462), Github!B$1462)</f>
        <v>Check If a String Contains All Binary Codes of Size K</v>
      </c>
      <c r="C1463" s="17">
        <f>Github!F$1462</f>
        <v>677</v>
      </c>
      <c r="D1463" s="17">
        <f>Github!G$1462</f>
        <v>66</v>
      </c>
      <c r="E1463" s="17">
        <f>Github!F$1462+Github!G$1462</f>
        <v>743</v>
      </c>
      <c r="F1463" s="18">
        <f t="shared" si="1"/>
        <v>10.26</v>
      </c>
      <c r="G1463" s="17" t="str">
        <f>Github!H$1462</f>
        <v>Algorithms</v>
      </c>
      <c r="H1463" s="17" t="b">
        <f>Github!D$1462</f>
        <v>0</v>
      </c>
      <c r="I1463" s="17" t="str">
        <f>Github!E$1462</f>
        <v>Medium</v>
      </c>
      <c r="J1463" s="17" t="str">
        <f>ROUND(Github!N$1462, 2)&amp;"%"</f>
        <v>0%</v>
      </c>
      <c r="K1463" s="17">
        <f>Github!O$1462</f>
        <v>54.44358085</v>
      </c>
      <c r="L1463" s="17">
        <f>Github!P$1462</f>
        <v>46932</v>
      </c>
    </row>
    <row r="1464">
      <c r="A1464" s="17">
        <f>Github!J$1463</f>
        <v>1462</v>
      </c>
      <c r="B1464" s="34" t="str">
        <f>HYPERLINK(CONCAT("http://leetcode.com/problems/",Github!C$1463), Github!B$1463)</f>
        <v>Course Schedule IV</v>
      </c>
      <c r="C1464" s="17">
        <f>Github!F$1463</f>
        <v>735</v>
      </c>
      <c r="D1464" s="17">
        <f>Github!G$1463</f>
        <v>46</v>
      </c>
      <c r="E1464" s="17">
        <f>Github!F$1463+Github!G$1463</f>
        <v>781</v>
      </c>
      <c r="F1464" s="18">
        <f t="shared" si="1"/>
        <v>15.98</v>
      </c>
      <c r="G1464" s="17" t="str">
        <f>Github!H$1463</f>
        <v>Algorithms</v>
      </c>
      <c r="H1464" s="17" t="b">
        <f>Github!D$1463</f>
        <v>0</v>
      </c>
      <c r="I1464" s="17" t="str">
        <f>Github!E$1463</f>
        <v>Medium</v>
      </c>
      <c r="J1464" s="17" t="str">
        <f>ROUND(Github!N$1463, 2)&amp;"%"</f>
        <v>0%</v>
      </c>
      <c r="K1464" s="17">
        <f>Github!O$1463</f>
        <v>47.6166664</v>
      </c>
      <c r="L1464" s="17">
        <f>Github!P$1463</f>
        <v>29518</v>
      </c>
    </row>
    <row r="1465">
      <c r="A1465" s="17">
        <f>Github!J$1464</f>
        <v>1463</v>
      </c>
      <c r="B1465" s="34" t="str">
        <f>HYPERLINK(CONCAT("http://leetcode.com/problems/",Github!C$1464), Github!B$1464)</f>
        <v>Cherry Pickup II</v>
      </c>
      <c r="C1465" s="17">
        <f>Github!F$1464</f>
        <v>1849</v>
      </c>
      <c r="D1465" s="17">
        <f>Github!G$1464</f>
        <v>18</v>
      </c>
      <c r="E1465" s="17">
        <f>Github!F$1464+Github!G$1464</f>
        <v>1867</v>
      </c>
      <c r="F1465" s="18">
        <f t="shared" si="1"/>
        <v>102.72</v>
      </c>
      <c r="G1465" s="17" t="str">
        <f>Github!H$1464</f>
        <v>Algorithms</v>
      </c>
      <c r="H1465" s="17" t="b">
        <f>Github!D$1464</f>
        <v>0</v>
      </c>
      <c r="I1465" s="17" t="str">
        <f>Github!E$1464</f>
        <v>Hard</v>
      </c>
      <c r="J1465" s="17" t="str">
        <f>ROUND(Github!N$1464, 2)&amp;"%"</f>
        <v>0%</v>
      </c>
      <c r="K1465" s="17">
        <f>Github!O$1464</f>
        <v>70.86245616</v>
      </c>
      <c r="L1465" s="17">
        <f>Github!P$1464</f>
        <v>56167</v>
      </c>
    </row>
    <row r="1466">
      <c r="A1466" s="17">
        <f>Github!J$1465</f>
        <v>1464</v>
      </c>
      <c r="B1466" s="34" t="str">
        <f>HYPERLINK(CONCAT("http://leetcode.com/problems/",Github!C$1465), Github!B$1465)</f>
        <v>Maximum Product of Two Elements in an Array</v>
      </c>
      <c r="C1466" s="17">
        <f>Github!F$1465</f>
        <v>851</v>
      </c>
      <c r="D1466" s="17">
        <f>Github!G$1465</f>
        <v>147</v>
      </c>
      <c r="E1466" s="17">
        <f>Github!F$1465+Github!G$1465</f>
        <v>998</v>
      </c>
      <c r="F1466" s="18">
        <f t="shared" si="1"/>
        <v>5.79</v>
      </c>
      <c r="G1466" s="17" t="str">
        <f>Github!H$1465</f>
        <v>Algorithms</v>
      </c>
      <c r="H1466" s="17" t="b">
        <f>Github!D$1465</f>
        <v>0</v>
      </c>
      <c r="I1466" s="17" t="str">
        <f>Github!E$1465</f>
        <v>Easy</v>
      </c>
      <c r="J1466" s="17" t="str">
        <f>ROUND(Github!N$1465, 2)&amp;"%"</f>
        <v>0%</v>
      </c>
      <c r="K1466" s="17">
        <f>Github!O$1465</f>
        <v>78.25618258</v>
      </c>
      <c r="L1466" s="17">
        <f>Github!P$1465</f>
        <v>122682</v>
      </c>
    </row>
    <row r="1467">
      <c r="A1467" s="17">
        <f>Github!J$1466</f>
        <v>1465</v>
      </c>
      <c r="B1467" s="34" t="str">
        <f>HYPERLINK(CONCAT("http://leetcode.com/problems/",Github!C$1466), Github!B$1466)</f>
        <v>Maximum Area of a Piece of Cake After Horizontal and Vertical Cuts</v>
      </c>
      <c r="C1467" s="17">
        <f>Github!F$1466</f>
        <v>1003</v>
      </c>
      <c r="D1467" s="17">
        <f>Github!G$1466</f>
        <v>231</v>
      </c>
      <c r="E1467" s="17">
        <f>Github!F$1466+Github!G$1466</f>
        <v>1234</v>
      </c>
      <c r="F1467" s="18">
        <f t="shared" si="1"/>
        <v>4.34</v>
      </c>
      <c r="G1467" s="17" t="str">
        <f>Github!H$1466</f>
        <v>Algorithms</v>
      </c>
      <c r="H1467" s="17" t="b">
        <f>Github!D$1466</f>
        <v>0</v>
      </c>
      <c r="I1467" s="17" t="str">
        <f>Github!E$1466</f>
        <v>Medium</v>
      </c>
      <c r="J1467" s="17" t="str">
        <f>ROUND(Github!N$1466, 2)&amp;"%"</f>
        <v>0%</v>
      </c>
      <c r="K1467" s="17">
        <f>Github!O$1466</f>
        <v>37.09149443</v>
      </c>
      <c r="L1467" s="17">
        <f>Github!P$1466</f>
        <v>89173</v>
      </c>
    </row>
    <row r="1468">
      <c r="A1468" s="17">
        <f>Github!J$1467</f>
        <v>1466</v>
      </c>
      <c r="B1468" s="34" t="str">
        <f>HYPERLINK(CONCAT("http://leetcode.com/problems/",Github!C$1467), Github!B$1467)</f>
        <v>Reorder Routes to Make All Paths Lead to the City Zero</v>
      </c>
      <c r="C1468" s="17">
        <f>Github!F$1467</f>
        <v>1327</v>
      </c>
      <c r="D1468" s="17">
        <f>Github!G$1467</f>
        <v>33</v>
      </c>
      <c r="E1468" s="17">
        <f>Github!F$1467+Github!G$1467</f>
        <v>1360</v>
      </c>
      <c r="F1468" s="18">
        <f t="shared" si="1"/>
        <v>40.21</v>
      </c>
      <c r="G1468" s="17" t="str">
        <f>Github!H$1467</f>
        <v>Algorithms</v>
      </c>
      <c r="H1468" s="17" t="b">
        <f>Github!D$1467</f>
        <v>0</v>
      </c>
      <c r="I1468" s="17" t="str">
        <f>Github!E$1467</f>
        <v>Medium</v>
      </c>
      <c r="J1468" s="17" t="str">
        <f>ROUND(Github!N$1467, 2)&amp;"%"</f>
        <v>0%</v>
      </c>
      <c r="K1468" s="17">
        <f>Github!O$1467</f>
        <v>60.71040324</v>
      </c>
      <c r="L1468" s="17">
        <f>Github!P$1467</f>
        <v>48027</v>
      </c>
    </row>
    <row r="1469">
      <c r="A1469" s="17">
        <f>Github!J$1468</f>
        <v>1467</v>
      </c>
      <c r="B1469" s="34" t="str">
        <f>HYPERLINK(CONCAT("http://leetcode.com/problems/",Github!C$1468), Github!B$1468)</f>
        <v>Probability of a Two Boxes Having The Same Number of Distinct Balls</v>
      </c>
      <c r="C1469" s="17">
        <f>Github!F$1468</f>
        <v>191</v>
      </c>
      <c r="D1469" s="17">
        <f>Github!G$1468</f>
        <v>140</v>
      </c>
      <c r="E1469" s="17">
        <f>Github!F$1468+Github!G$1468</f>
        <v>331</v>
      </c>
      <c r="F1469" s="18">
        <f t="shared" si="1"/>
        <v>1.36</v>
      </c>
      <c r="G1469" s="17" t="str">
        <f>Github!H$1468</f>
        <v>Algorithms</v>
      </c>
      <c r="H1469" s="17" t="b">
        <f>Github!D$1468</f>
        <v>0</v>
      </c>
      <c r="I1469" s="17" t="str">
        <f>Github!E$1468</f>
        <v>Hard</v>
      </c>
      <c r="J1469" s="17" t="str">
        <f>ROUND(Github!N$1468, 2)&amp;"%"</f>
        <v>0%</v>
      </c>
      <c r="K1469" s="17">
        <f>Github!O$1468</f>
        <v>60.77532305</v>
      </c>
      <c r="L1469" s="17">
        <f>Github!P$1468</f>
        <v>5832</v>
      </c>
    </row>
    <row r="1470">
      <c r="A1470" s="17">
        <f>Github!J$1469</f>
        <v>1468</v>
      </c>
      <c r="B1470" s="34" t="str">
        <f>HYPERLINK(CONCAT("http://leetcode.com/problems/",Github!C$1469), Github!B$1469)</f>
        <v>Calculate Salaries</v>
      </c>
      <c r="C1470" s="17">
        <f>Github!F$1469</f>
        <v>77</v>
      </c>
      <c r="D1470" s="17">
        <f>Github!G$1469</f>
        <v>16</v>
      </c>
      <c r="E1470" s="17">
        <f>Github!F$1469+Github!G$1469</f>
        <v>93</v>
      </c>
      <c r="F1470" s="18">
        <f t="shared" si="1"/>
        <v>4.81</v>
      </c>
      <c r="G1470" s="17" t="str">
        <f>Github!H$1469</f>
        <v>Database</v>
      </c>
      <c r="H1470" s="17" t="b">
        <f>Github!D$1469</f>
        <v>1</v>
      </c>
      <c r="I1470" s="17" t="str">
        <f>Github!E$1469</f>
        <v>Medium</v>
      </c>
      <c r="J1470" s="17" t="str">
        <f>ROUND(Github!N$1469, 2)&amp;"%"</f>
        <v>0%</v>
      </c>
      <c r="K1470" s="17">
        <f>Github!O$1469</f>
        <v>82.41726619</v>
      </c>
      <c r="L1470" s="17">
        <f>Github!P$1469</f>
        <v>14319</v>
      </c>
    </row>
    <row r="1471">
      <c r="A1471" s="17">
        <f>Github!J$1470</f>
        <v>1469</v>
      </c>
      <c r="B1471" s="34" t="str">
        <f>HYPERLINK(CONCAT("http://leetcode.com/problems/",Github!C$1470), Github!B$1470)</f>
        <v>Find All The Lonely Nodes</v>
      </c>
      <c r="C1471" s="17">
        <f>Github!F$1470</f>
        <v>350</v>
      </c>
      <c r="D1471" s="17">
        <f>Github!G$1470</f>
        <v>7</v>
      </c>
      <c r="E1471" s="17">
        <f>Github!F$1470+Github!G$1470</f>
        <v>357</v>
      </c>
      <c r="F1471" s="18">
        <f t="shared" si="1"/>
        <v>50</v>
      </c>
      <c r="G1471" s="17" t="str">
        <f>Github!H$1470</f>
        <v>Algorithms</v>
      </c>
      <c r="H1471" s="17" t="b">
        <f>Github!D$1470</f>
        <v>1</v>
      </c>
      <c r="I1471" s="17" t="str">
        <f>Github!E$1470</f>
        <v>Easy</v>
      </c>
      <c r="J1471" s="17" t="str">
        <f>ROUND(Github!N$1470, 2)&amp;"%"</f>
        <v>0%</v>
      </c>
      <c r="K1471" s="17">
        <f>Github!O$1470</f>
        <v>81.61501864</v>
      </c>
      <c r="L1471" s="17">
        <f>Github!P$1470</f>
        <v>31736</v>
      </c>
    </row>
    <row r="1472">
      <c r="A1472" s="17">
        <f>Github!J$1471</f>
        <v>1470</v>
      </c>
      <c r="B1472" s="34" t="str">
        <f>HYPERLINK(CONCAT("http://leetcode.com/problems/",Github!C$1471), Github!B$1471)</f>
        <v>Shuffle the Array</v>
      </c>
      <c r="C1472" s="17">
        <f>Github!F$1471</f>
        <v>2150</v>
      </c>
      <c r="D1472" s="17">
        <f>Github!G$1471</f>
        <v>169</v>
      </c>
      <c r="E1472" s="17">
        <f>Github!F$1471+Github!G$1471</f>
        <v>2319</v>
      </c>
      <c r="F1472" s="18">
        <f t="shared" si="1"/>
        <v>12.72</v>
      </c>
      <c r="G1472" s="17" t="str">
        <f>Github!H$1471</f>
        <v>Algorithms</v>
      </c>
      <c r="H1472" s="17" t="b">
        <f>Github!D$1471</f>
        <v>0</v>
      </c>
      <c r="I1472" s="17" t="str">
        <f>Github!E$1471</f>
        <v>Easy</v>
      </c>
      <c r="J1472" s="17" t="str">
        <f>ROUND(Github!N$1471, 2)&amp;"%"</f>
        <v>0%</v>
      </c>
      <c r="K1472" s="17">
        <f>Github!O$1471</f>
        <v>88.31645371</v>
      </c>
      <c r="L1472" s="17">
        <f>Github!P$1471</f>
        <v>297967</v>
      </c>
    </row>
    <row r="1473">
      <c r="A1473" s="17">
        <f>Github!J$1472</f>
        <v>1471</v>
      </c>
      <c r="B1473" s="34" t="str">
        <f>HYPERLINK(CONCAT("http://leetcode.com/problems/",Github!C$1472), Github!B$1472)</f>
        <v>The k Strongest Values in an Array</v>
      </c>
      <c r="C1473" s="17">
        <f>Github!F$1472</f>
        <v>392</v>
      </c>
      <c r="D1473" s="17">
        <f>Github!G$1472</f>
        <v>92</v>
      </c>
      <c r="E1473" s="17">
        <f>Github!F$1472+Github!G$1472</f>
        <v>484</v>
      </c>
      <c r="F1473" s="18">
        <f t="shared" si="1"/>
        <v>4.26</v>
      </c>
      <c r="G1473" s="17" t="str">
        <f>Github!H$1472</f>
        <v>Algorithms</v>
      </c>
      <c r="H1473" s="17" t="b">
        <f>Github!D$1472</f>
        <v>0</v>
      </c>
      <c r="I1473" s="17" t="str">
        <f>Github!E$1472</f>
        <v>Medium</v>
      </c>
      <c r="J1473" s="17" t="str">
        <f>ROUND(Github!N$1472, 2)&amp;"%"</f>
        <v>0%</v>
      </c>
      <c r="K1473" s="17">
        <f>Github!O$1472</f>
        <v>59.69328445</v>
      </c>
      <c r="L1473" s="17">
        <f>Github!P$1472</f>
        <v>26702</v>
      </c>
    </row>
    <row r="1474">
      <c r="A1474" s="17">
        <f>Github!J$1473</f>
        <v>1472</v>
      </c>
      <c r="B1474" s="34" t="str">
        <f>HYPERLINK(CONCAT("http://leetcode.com/problems/",Github!C$1473), Github!B$1473)</f>
        <v>Design Browser History</v>
      </c>
      <c r="C1474" s="17">
        <f>Github!F$1473</f>
        <v>1132</v>
      </c>
      <c r="D1474" s="17">
        <f>Github!G$1473</f>
        <v>99</v>
      </c>
      <c r="E1474" s="17">
        <f>Github!F$1473+Github!G$1473</f>
        <v>1231</v>
      </c>
      <c r="F1474" s="18">
        <f t="shared" si="1"/>
        <v>11.43</v>
      </c>
      <c r="G1474" s="17" t="str">
        <f>Github!H$1473</f>
        <v>Algorithms</v>
      </c>
      <c r="H1474" s="17" t="b">
        <f>Github!D$1473</f>
        <v>0</v>
      </c>
      <c r="I1474" s="17" t="str">
        <f>Github!E$1473</f>
        <v>Medium</v>
      </c>
      <c r="J1474" s="17" t="str">
        <f>ROUND(Github!N$1473, 2)&amp;"%"</f>
        <v>0%</v>
      </c>
      <c r="K1474" s="17">
        <f>Github!O$1473</f>
        <v>74.64371445</v>
      </c>
      <c r="L1474" s="17">
        <f>Github!P$1473</f>
        <v>69028</v>
      </c>
    </row>
    <row r="1475">
      <c r="A1475" s="17">
        <f>Github!J$1474</f>
        <v>1473</v>
      </c>
      <c r="B1475" s="34" t="str">
        <f>HYPERLINK(CONCAT("http://leetcode.com/problems/",Github!C$1474), Github!B$1474)</f>
        <v>Paint House III</v>
      </c>
      <c r="C1475" s="17">
        <f>Github!F$1474</f>
        <v>539</v>
      </c>
      <c r="D1475" s="17">
        <f>Github!G$1474</f>
        <v>28</v>
      </c>
      <c r="E1475" s="17">
        <f>Github!F$1474+Github!G$1474</f>
        <v>567</v>
      </c>
      <c r="F1475" s="18">
        <f t="shared" si="1"/>
        <v>19.25</v>
      </c>
      <c r="G1475" s="17" t="str">
        <f>Github!H$1474</f>
        <v>Algorithms</v>
      </c>
      <c r="H1475" s="17" t="b">
        <f>Github!D$1474</f>
        <v>0</v>
      </c>
      <c r="I1475" s="17" t="str">
        <f>Github!E$1474</f>
        <v>Hard</v>
      </c>
      <c r="J1475" s="17" t="str">
        <f>ROUND(Github!N$1474, 2)&amp;"%"</f>
        <v>0%</v>
      </c>
      <c r="K1475" s="17">
        <f>Github!O$1474</f>
        <v>50.58543977</v>
      </c>
      <c r="L1475" s="17">
        <f>Github!P$1474</f>
        <v>14689</v>
      </c>
    </row>
    <row r="1476">
      <c r="A1476" s="17">
        <f>Github!J$1475</f>
        <v>1474</v>
      </c>
      <c r="B1476" s="34" t="str">
        <f>HYPERLINK(CONCAT("http://leetcode.com/problems/",Github!C$1475), Github!B$1475)</f>
        <v>Delete N Nodes After M Nodes of a Linked List</v>
      </c>
      <c r="C1476" s="17">
        <f>Github!F$1475</f>
        <v>275</v>
      </c>
      <c r="D1476" s="17">
        <f>Github!G$1475</f>
        <v>8</v>
      </c>
      <c r="E1476" s="17">
        <f>Github!F$1475+Github!G$1475</f>
        <v>283</v>
      </c>
      <c r="F1476" s="18">
        <f t="shared" si="1"/>
        <v>34.38</v>
      </c>
      <c r="G1476" s="17" t="str">
        <f>Github!H$1475</f>
        <v>Algorithms</v>
      </c>
      <c r="H1476" s="17" t="b">
        <f>Github!D$1475</f>
        <v>1</v>
      </c>
      <c r="I1476" s="17" t="str">
        <f>Github!E$1475</f>
        <v>Easy</v>
      </c>
      <c r="J1476" s="17" t="str">
        <f>ROUND(Github!N$1475, 2)&amp;"%"</f>
        <v>0%</v>
      </c>
      <c r="K1476" s="17">
        <f>Github!O$1475</f>
        <v>73.56534035</v>
      </c>
      <c r="L1476" s="17">
        <f>Github!P$1475</f>
        <v>18729</v>
      </c>
    </row>
    <row r="1477">
      <c r="A1477" s="17">
        <f>Github!J$1476</f>
        <v>1475</v>
      </c>
      <c r="B1477" s="34" t="str">
        <f>HYPERLINK(CONCAT("http://leetcode.com/problems/",Github!C$1476), Github!B$1476)</f>
        <v>Final Prices With a Special Discount in a Shop</v>
      </c>
      <c r="C1477" s="17">
        <f>Github!F$1476</f>
        <v>968</v>
      </c>
      <c r="D1477" s="17">
        <f>Github!G$1476</f>
        <v>64</v>
      </c>
      <c r="E1477" s="17">
        <f>Github!F$1476+Github!G$1476</f>
        <v>1032</v>
      </c>
      <c r="F1477" s="18">
        <f t="shared" si="1"/>
        <v>15.13</v>
      </c>
      <c r="G1477" s="17" t="str">
        <f>Github!H$1476</f>
        <v>Algorithms</v>
      </c>
      <c r="H1477" s="17" t="b">
        <f>Github!D$1476</f>
        <v>0</v>
      </c>
      <c r="I1477" s="17" t="str">
        <f>Github!E$1476</f>
        <v>Easy</v>
      </c>
      <c r="J1477" s="17" t="str">
        <f>ROUND(Github!N$1476, 2)&amp;"%"</f>
        <v>0%</v>
      </c>
      <c r="K1477" s="17">
        <f>Github!O$1476</f>
        <v>75.11923268</v>
      </c>
      <c r="L1477" s="17">
        <f>Github!P$1476</f>
        <v>71031</v>
      </c>
    </row>
    <row r="1478">
      <c r="A1478" s="17">
        <f>Github!J$1477</f>
        <v>1476</v>
      </c>
      <c r="B1478" s="34" t="str">
        <f>HYPERLINK(CONCAT("http://leetcode.com/problems/",Github!C$1477), Github!B$1477)</f>
        <v>Subrectangle Queries</v>
      </c>
      <c r="C1478" s="17">
        <f>Github!F$1477</f>
        <v>355</v>
      </c>
      <c r="D1478" s="17">
        <f>Github!G$1477</f>
        <v>942</v>
      </c>
      <c r="E1478" s="17">
        <f>Github!F$1477+Github!G$1477</f>
        <v>1297</v>
      </c>
      <c r="F1478" s="18">
        <f t="shared" si="1"/>
        <v>0.38</v>
      </c>
      <c r="G1478" s="17" t="str">
        <f>Github!H$1477</f>
        <v>Algorithms</v>
      </c>
      <c r="H1478" s="17" t="b">
        <f>Github!D$1477</f>
        <v>0</v>
      </c>
      <c r="I1478" s="17" t="str">
        <f>Github!E$1477</f>
        <v>Medium</v>
      </c>
      <c r="J1478" s="17" t="str">
        <f>ROUND(Github!N$1477, 2)&amp;"%"</f>
        <v>0%</v>
      </c>
      <c r="K1478" s="17">
        <f>Github!O$1477</f>
        <v>88.242488</v>
      </c>
      <c r="L1478" s="17">
        <f>Github!P$1477</f>
        <v>67104</v>
      </c>
    </row>
    <row r="1479">
      <c r="A1479" s="17">
        <f>Github!J$1478</f>
        <v>1477</v>
      </c>
      <c r="B1479" s="34" t="str">
        <f>HYPERLINK(CONCAT("http://leetcode.com/problems/",Github!C$1478), Github!B$1478)</f>
        <v>Find Two Non-overlapping Sub-arrays Each With Target Sum</v>
      </c>
      <c r="C1479" s="17">
        <f>Github!F$1478</f>
        <v>1137</v>
      </c>
      <c r="D1479" s="17">
        <f>Github!G$1478</f>
        <v>57</v>
      </c>
      <c r="E1479" s="17">
        <f>Github!F$1478+Github!G$1478</f>
        <v>1194</v>
      </c>
      <c r="F1479" s="18">
        <f t="shared" si="1"/>
        <v>19.95</v>
      </c>
      <c r="G1479" s="17" t="str">
        <f>Github!H$1478</f>
        <v>Algorithms</v>
      </c>
      <c r="H1479" s="17" t="b">
        <f>Github!D$1478</f>
        <v>0</v>
      </c>
      <c r="I1479" s="17" t="str">
        <f>Github!E$1478</f>
        <v>Medium</v>
      </c>
      <c r="J1479" s="17" t="str">
        <f>ROUND(Github!N$1478, 2)&amp;"%"</f>
        <v>0%</v>
      </c>
      <c r="K1479" s="17">
        <f>Github!O$1478</f>
        <v>36.58245724</v>
      </c>
      <c r="L1479" s="17">
        <f>Github!P$1478</f>
        <v>34971</v>
      </c>
    </row>
    <row r="1480">
      <c r="A1480" s="17">
        <f>Github!J$1479</f>
        <v>1478</v>
      </c>
      <c r="B1480" s="34" t="str">
        <f>HYPERLINK(CONCAT("http://leetcode.com/problems/",Github!C$1479), Github!B$1479)</f>
        <v>Allocate Mailboxes</v>
      </c>
      <c r="C1480" s="17">
        <f>Github!F$1479</f>
        <v>669</v>
      </c>
      <c r="D1480" s="17">
        <f>Github!G$1479</f>
        <v>12</v>
      </c>
      <c r="E1480" s="17">
        <f>Github!F$1479+Github!G$1479</f>
        <v>681</v>
      </c>
      <c r="F1480" s="18">
        <f t="shared" si="1"/>
        <v>55.75</v>
      </c>
      <c r="G1480" s="17" t="str">
        <f>Github!H$1479</f>
        <v>Algorithms</v>
      </c>
      <c r="H1480" s="17" t="b">
        <f>Github!D$1479</f>
        <v>0</v>
      </c>
      <c r="I1480" s="17" t="str">
        <f>Github!E$1479</f>
        <v>Hard</v>
      </c>
      <c r="J1480" s="17" t="str">
        <f>ROUND(Github!N$1479, 2)&amp;"%"</f>
        <v>0%</v>
      </c>
      <c r="K1480" s="17">
        <f>Github!O$1479</f>
        <v>55.39487064</v>
      </c>
      <c r="L1480" s="17">
        <f>Github!P$1479</f>
        <v>14709</v>
      </c>
    </row>
    <row r="1481">
      <c r="A1481" s="17">
        <f>Github!J$1480</f>
        <v>1479</v>
      </c>
      <c r="B1481" s="34" t="str">
        <f>HYPERLINK(CONCAT("http://leetcode.com/problems/",Github!C$1480), Github!B$1480)</f>
        <v>Sales by Day of the Week</v>
      </c>
      <c r="C1481" s="17">
        <f>Github!F$1480</f>
        <v>92</v>
      </c>
      <c r="D1481" s="17">
        <f>Github!G$1480</f>
        <v>33</v>
      </c>
      <c r="E1481" s="17">
        <f>Github!F$1480+Github!G$1480</f>
        <v>125</v>
      </c>
      <c r="F1481" s="18">
        <f t="shared" si="1"/>
        <v>2.79</v>
      </c>
      <c r="G1481" s="17" t="str">
        <f>Github!H$1480</f>
        <v>Database</v>
      </c>
      <c r="H1481" s="17" t="b">
        <f>Github!D$1480</f>
        <v>1</v>
      </c>
      <c r="I1481" s="17" t="str">
        <f>Github!E$1480</f>
        <v>Hard</v>
      </c>
      <c r="J1481" s="17" t="str">
        <f>ROUND(Github!N$1480, 2)&amp;"%"</f>
        <v>0%</v>
      </c>
      <c r="K1481" s="17">
        <f>Github!O$1480</f>
        <v>82.41261138</v>
      </c>
      <c r="L1481" s="17">
        <f>Github!P$1480</f>
        <v>12024</v>
      </c>
    </row>
    <row r="1482">
      <c r="A1482" s="17">
        <f>Github!J$1481</f>
        <v>1480</v>
      </c>
      <c r="B1482" s="34" t="str">
        <f>HYPERLINK(CONCAT("http://leetcode.com/problems/",Github!C$1481), Github!B$1481)</f>
        <v>Running Sum of 1d Array</v>
      </c>
      <c r="C1482" s="17">
        <f>Github!F$1481</f>
        <v>2381</v>
      </c>
      <c r="D1482" s="17">
        <f>Github!G$1481</f>
        <v>176</v>
      </c>
      <c r="E1482" s="17">
        <f>Github!F$1481+Github!G$1481</f>
        <v>2557</v>
      </c>
      <c r="F1482" s="18">
        <f t="shared" si="1"/>
        <v>13.53</v>
      </c>
      <c r="G1482" s="17" t="str">
        <f>Github!H$1481</f>
        <v>Algorithms</v>
      </c>
      <c r="H1482" s="17" t="b">
        <f>Github!D$1481</f>
        <v>0</v>
      </c>
      <c r="I1482" s="17" t="str">
        <f>Github!E$1481</f>
        <v>Easy</v>
      </c>
      <c r="J1482" s="17" t="str">
        <f>ROUND(Github!N$1481, 2)&amp;"%"</f>
        <v>0%</v>
      </c>
      <c r="K1482" s="17">
        <f>Github!O$1481</f>
        <v>89.4973858</v>
      </c>
      <c r="L1482" s="17">
        <f>Github!P$1481</f>
        <v>492461</v>
      </c>
    </row>
    <row r="1483">
      <c r="A1483" s="17">
        <f>Github!J$1482</f>
        <v>1481</v>
      </c>
      <c r="B1483" s="34" t="str">
        <f>HYPERLINK(CONCAT("http://leetcode.com/problems/",Github!C$1482), Github!B$1482)</f>
        <v>Least Number of Unique Integers after K Removals</v>
      </c>
      <c r="C1483" s="17">
        <f>Github!F$1482</f>
        <v>821</v>
      </c>
      <c r="D1483" s="17">
        <f>Github!G$1482</f>
        <v>62</v>
      </c>
      <c r="E1483" s="17">
        <f>Github!F$1482+Github!G$1482</f>
        <v>883</v>
      </c>
      <c r="F1483" s="18">
        <f t="shared" si="1"/>
        <v>13.24</v>
      </c>
      <c r="G1483" s="17" t="str">
        <f>Github!H$1482</f>
        <v>Algorithms</v>
      </c>
      <c r="H1483" s="17" t="b">
        <f>Github!D$1482</f>
        <v>0</v>
      </c>
      <c r="I1483" s="17" t="str">
        <f>Github!E$1482</f>
        <v>Medium</v>
      </c>
      <c r="J1483" s="17" t="str">
        <f>ROUND(Github!N$1482, 2)&amp;"%"</f>
        <v>0%</v>
      </c>
      <c r="K1483" s="17">
        <f>Github!O$1482</f>
        <v>59.99981938</v>
      </c>
      <c r="L1483" s="17">
        <f>Github!P$1482</f>
        <v>66436</v>
      </c>
    </row>
    <row r="1484">
      <c r="A1484" s="17">
        <f>Github!J$1483</f>
        <v>1482</v>
      </c>
      <c r="B1484" s="34" t="str">
        <f>HYPERLINK(CONCAT("http://leetcode.com/problems/",Github!C$1483), Github!B$1483)</f>
        <v>Minimum Number of Days to Make m Bouquets</v>
      </c>
      <c r="C1484" s="17">
        <f>Github!F$1483</f>
        <v>1487</v>
      </c>
      <c r="D1484" s="17">
        <f>Github!G$1483</f>
        <v>37</v>
      </c>
      <c r="E1484" s="17">
        <f>Github!F$1483+Github!G$1483</f>
        <v>1524</v>
      </c>
      <c r="F1484" s="18">
        <f t="shared" si="1"/>
        <v>40.19</v>
      </c>
      <c r="G1484" s="17" t="str">
        <f>Github!H$1483</f>
        <v>Algorithms</v>
      </c>
      <c r="H1484" s="17" t="b">
        <f>Github!D$1483</f>
        <v>0</v>
      </c>
      <c r="I1484" s="17" t="str">
        <f>Github!E$1483</f>
        <v>Medium</v>
      </c>
      <c r="J1484" s="17" t="str">
        <f>ROUND(Github!N$1483, 2)&amp;"%"</f>
        <v>0%</v>
      </c>
      <c r="K1484" s="17">
        <f>Github!O$1483</f>
        <v>55.22980289</v>
      </c>
      <c r="L1484" s="17">
        <f>Github!P$1483</f>
        <v>34379</v>
      </c>
    </row>
    <row r="1485">
      <c r="A1485" s="17">
        <f>Github!J$1484</f>
        <v>1483</v>
      </c>
      <c r="B1485" s="34" t="str">
        <f>HYPERLINK(CONCAT("http://leetcode.com/problems/",Github!C$1484), Github!B$1484)</f>
        <v>Kth Ancestor of a Tree Node</v>
      </c>
      <c r="C1485" s="17">
        <f>Github!F$1484</f>
        <v>926</v>
      </c>
      <c r="D1485" s="17">
        <f>Github!G$1484</f>
        <v>80</v>
      </c>
      <c r="E1485" s="17">
        <f>Github!F$1484+Github!G$1484</f>
        <v>1006</v>
      </c>
      <c r="F1485" s="18">
        <f t="shared" si="1"/>
        <v>11.58</v>
      </c>
      <c r="G1485" s="17" t="str">
        <f>Github!H$1484</f>
        <v>Algorithms</v>
      </c>
      <c r="H1485" s="17" t="b">
        <f>Github!D$1484</f>
        <v>0</v>
      </c>
      <c r="I1485" s="17" t="str">
        <f>Github!E$1484</f>
        <v>Hard</v>
      </c>
      <c r="J1485" s="17" t="str">
        <f>ROUND(Github!N$1484, 2)&amp;"%"</f>
        <v>0%</v>
      </c>
      <c r="K1485" s="17">
        <f>Github!O$1484</f>
        <v>33.38967557</v>
      </c>
      <c r="L1485" s="17">
        <f>Github!P$1484</f>
        <v>19359</v>
      </c>
    </row>
    <row r="1486">
      <c r="A1486" s="17">
        <f>Github!J$1485</f>
        <v>1484</v>
      </c>
      <c r="B1486" s="34" t="str">
        <f>HYPERLINK(CONCAT("http://leetcode.com/problems/",Github!C$1485), Github!B$1485)</f>
        <v>Group Sold Products By The Date</v>
      </c>
      <c r="C1486" s="17">
        <f>Github!F$1485</f>
        <v>202</v>
      </c>
      <c r="D1486" s="17">
        <f>Github!G$1485</f>
        <v>13</v>
      </c>
      <c r="E1486" s="17">
        <f>Github!F$1485+Github!G$1485</f>
        <v>215</v>
      </c>
      <c r="F1486" s="18">
        <f t="shared" si="1"/>
        <v>15.54</v>
      </c>
      <c r="G1486" s="17" t="str">
        <f>Github!H$1485</f>
        <v>Database</v>
      </c>
      <c r="H1486" s="17" t="b">
        <f>Github!D$1485</f>
        <v>1</v>
      </c>
      <c r="I1486" s="17" t="str">
        <f>Github!E$1485</f>
        <v>Easy</v>
      </c>
      <c r="J1486" s="17" t="str">
        <f>ROUND(Github!N$1485, 2)&amp;"%"</f>
        <v>0%</v>
      </c>
      <c r="K1486" s="17">
        <f>Github!O$1485</f>
        <v>84.98325106</v>
      </c>
      <c r="L1486" s="17">
        <f>Github!P$1485</f>
        <v>19280</v>
      </c>
    </row>
    <row r="1487">
      <c r="A1487" s="17">
        <f>Github!J$1486</f>
        <v>1485</v>
      </c>
      <c r="B1487" s="34" t="str">
        <f>HYPERLINK(CONCAT("http://leetcode.com/problems/",Github!C$1486), Github!B$1486)</f>
        <v>Clone Binary Tree With Random Pointer</v>
      </c>
      <c r="C1487" s="17">
        <f>Github!F$1486</f>
        <v>270</v>
      </c>
      <c r="D1487" s="17">
        <f>Github!G$1486</f>
        <v>43</v>
      </c>
      <c r="E1487" s="17">
        <f>Github!F$1486+Github!G$1486</f>
        <v>313</v>
      </c>
      <c r="F1487" s="18">
        <f t="shared" si="1"/>
        <v>6.28</v>
      </c>
      <c r="G1487" s="17" t="str">
        <f>Github!H$1486</f>
        <v>Algorithms</v>
      </c>
      <c r="H1487" s="17" t="b">
        <f>Github!D$1486</f>
        <v>1</v>
      </c>
      <c r="I1487" s="17" t="str">
        <f>Github!E$1486</f>
        <v>Medium</v>
      </c>
      <c r="J1487" s="17" t="str">
        <f>ROUND(Github!N$1486, 2)&amp;"%"</f>
        <v>0%</v>
      </c>
      <c r="K1487" s="17">
        <f>Github!O$1486</f>
        <v>79.84343408</v>
      </c>
      <c r="L1487" s="17">
        <f>Github!P$1486</f>
        <v>15401</v>
      </c>
    </row>
    <row r="1488">
      <c r="A1488" s="17">
        <f>Github!J$1487</f>
        <v>1486</v>
      </c>
      <c r="B1488" s="34" t="str">
        <f>HYPERLINK(CONCAT("http://leetcode.com/problems/",Github!C$1487), Github!B$1487)</f>
        <v>XOR Operation in an Array</v>
      </c>
      <c r="C1488" s="17">
        <f>Github!F$1487</f>
        <v>766</v>
      </c>
      <c r="D1488" s="17">
        <f>Github!G$1487</f>
        <v>280</v>
      </c>
      <c r="E1488" s="17">
        <f>Github!F$1487+Github!G$1487</f>
        <v>1046</v>
      </c>
      <c r="F1488" s="18">
        <f t="shared" si="1"/>
        <v>2.74</v>
      </c>
      <c r="G1488" s="17" t="str">
        <f>Github!H$1487</f>
        <v>Algorithms</v>
      </c>
      <c r="H1488" s="17" t="b">
        <f>Github!D$1487</f>
        <v>0</v>
      </c>
      <c r="I1488" s="17" t="str">
        <f>Github!E$1487</f>
        <v>Easy</v>
      </c>
      <c r="J1488" s="17" t="str">
        <f>ROUND(Github!N$1487, 2)&amp;"%"</f>
        <v>0%</v>
      </c>
      <c r="K1488" s="17">
        <f>Github!O$1487</f>
        <v>84.16166148</v>
      </c>
      <c r="L1488" s="17">
        <f>Github!P$1487</f>
        <v>116302</v>
      </c>
    </row>
    <row r="1489">
      <c r="A1489" s="17">
        <f>Github!J$1488</f>
        <v>1487</v>
      </c>
      <c r="B1489" s="34" t="str">
        <f>HYPERLINK(CONCAT("http://leetcode.com/problems/",Github!C$1488), Github!B$1488)</f>
        <v>Making File Names Unique</v>
      </c>
      <c r="C1489" s="17">
        <f>Github!F$1488</f>
        <v>315</v>
      </c>
      <c r="D1489" s="17">
        <f>Github!G$1488</f>
        <v>486</v>
      </c>
      <c r="E1489" s="17">
        <f>Github!F$1488+Github!G$1488</f>
        <v>801</v>
      </c>
      <c r="F1489" s="18">
        <f t="shared" si="1"/>
        <v>0.65</v>
      </c>
      <c r="G1489" s="17" t="str">
        <f>Github!H$1488</f>
        <v>Algorithms</v>
      </c>
      <c r="H1489" s="17" t="b">
        <f>Github!D$1488</f>
        <v>0</v>
      </c>
      <c r="I1489" s="17" t="str">
        <f>Github!E$1488</f>
        <v>Medium</v>
      </c>
      <c r="J1489" s="17" t="str">
        <f>ROUND(Github!N$1488, 2)&amp;"%"</f>
        <v>0%</v>
      </c>
      <c r="K1489" s="17">
        <f>Github!O$1488</f>
        <v>34.60532293</v>
      </c>
      <c r="L1489" s="17">
        <f>Github!P$1488</f>
        <v>22091</v>
      </c>
    </row>
    <row r="1490">
      <c r="A1490" s="17">
        <f>Github!J$1489</f>
        <v>1488</v>
      </c>
      <c r="B1490" s="34" t="str">
        <f>HYPERLINK(CONCAT("http://leetcode.com/problems/",Github!C$1489), Github!B$1489)</f>
        <v>Avoid Flood in The City</v>
      </c>
      <c r="C1490" s="17">
        <f>Github!F$1489</f>
        <v>928</v>
      </c>
      <c r="D1490" s="17">
        <f>Github!G$1489</f>
        <v>186</v>
      </c>
      <c r="E1490" s="17">
        <f>Github!F$1489+Github!G$1489</f>
        <v>1114</v>
      </c>
      <c r="F1490" s="18">
        <f t="shared" si="1"/>
        <v>4.99</v>
      </c>
      <c r="G1490" s="17" t="str">
        <f>Github!H$1489</f>
        <v>Algorithms</v>
      </c>
      <c r="H1490" s="17" t="b">
        <f>Github!D$1489</f>
        <v>0</v>
      </c>
      <c r="I1490" s="17" t="str">
        <f>Github!E$1489</f>
        <v>Medium</v>
      </c>
      <c r="J1490" s="17" t="str">
        <f>ROUND(Github!N$1489, 2)&amp;"%"</f>
        <v>0%</v>
      </c>
      <c r="K1490" s="17">
        <f>Github!O$1489</f>
        <v>25.27578318</v>
      </c>
      <c r="L1490" s="17">
        <f>Github!P$1489</f>
        <v>22317</v>
      </c>
    </row>
    <row r="1491">
      <c r="A1491" s="17">
        <f>Github!J$1490</f>
        <v>1489</v>
      </c>
      <c r="B1491" s="34" t="str">
        <f>HYPERLINK(CONCAT("http://leetcode.com/problems/",Github!C$1490), Github!B$1490)</f>
        <v>Find Critical and Pseudo-Critical Edges in Minimum Spanning Tree</v>
      </c>
      <c r="C1491" s="17">
        <f>Github!F$1490</f>
        <v>420</v>
      </c>
      <c r="D1491" s="17">
        <f>Github!G$1490</f>
        <v>40</v>
      </c>
      <c r="E1491" s="17">
        <f>Github!F$1490+Github!G$1490</f>
        <v>460</v>
      </c>
      <c r="F1491" s="18">
        <f t="shared" si="1"/>
        <v>10.5</v>
      </c>
      <c r="G1491" s="17" t="str">
        <f>Github!H$1490</f>
        <v>Algorithms</v>
      </c>
      <c r="H1491" s="17" t="b">
        <f>Github!D$1490</f>
        <v>0</v>
      </c>
      <c r="I1491" s="17" t="str">
        <f>Github!E$1490</f>
        <v>Hard</v>
      </c>
      <c r="J1491" s="17" t="str">
        <f>ROUND(Github!N$1490, 2)&amp;"%"</f>
        <v>0%</v>
      </c>
      <c r="K1491" s="17">
        <f>Github!O$1490</f>
        <v>52.65560467</v>
      </c>
      <c r="L1491" s="17">
        <f>Github!P$1490</f>
        <v>7267</v>
      </c>
    </row>
    <row r="1492">
      <c r="A1492" s="17">
        <f>Github!J$1491</f>
        <v>1490</v>
      </c>
      <c r="B1492" s="34" t="str">
        <f>HYPERLINK(CONCAT("http://leetcode.com/problems/",Github!C$1491), Github!B$1491)</f>
        <v>Clone N-ary Tree</v>
      </c>
      <c r="C1492" s="17">
        <f>Github!F$1491</f>
        <v>290</v>
      </c>
      <c r="D1492" s="17">
        <f>Github!G$1491</f>
        <v>13</v>
      </c>
      <c r="E1492" s="17">
        <f>Github!F$1491+Github!G$1491</f>
        <v>303</v>
      </c>
      <c r="F1492" s="18">
        <f t="shared" si="1"/>
        <v>22.31</v>
      </c>
      <c r="G1492" s="17" t="str">
        <f>Github!H$1491</f>
        <v>Algorithms</v>
      </c>
      <c r="H1492" s="17" t="b">
        <f>Github!D$1491</f>
        <v>1</v>
      </c>
      <c r="I1492" s="17" t="str">
        <f>Github!E$1491</f>
        <v>Medium</v>
      </c>
      <c r="J1492" s="17" t="str">
        <f>ROUND(Github!N$1491, 2)&amp;"%"</f>
        <v>0%</v>
      </c>
      <c r="K1492" s="17">
        <f>Github!O$1491</f>
        <v>83.62179762</v>
      </c>
      <c r="L1492" s="17">
        <f>Github!P$1491</f>
        <v>19519</v>
      </c>
    </row>
    <row r="1493">
      <c r="A1493" s="17">
        <f>Github!J$1492</f>
        <v>1491</v>
      </c>
      <c r="B1493" s="34" t="str">
        <f>HYPERLINK(CONCAT("http://leetcode.com/problems/",Github!C$1492), Github!B$1492)</f>
        <v>Average Salary Excluding the Minimum and Maximum Salary</v>
      </c>
      <c r="C1493" s="17">
        <f>Github!F$1492</f>
        <v>527</v>
      </c>
      <c r="D1493" s="17">
        <f>Github!G$1492</f>
        <v>80</v>
      </c>
      <c r="E1493" s="17">
        <f>Github!F$1492+Github!G$1492</f>
        <v>607</v>
      </c>
      <c r="F1493" s="18">
        <f t="shared" si="1"/>
        <v>6.59</v>
      </c>
      <c r="G1493" s="17" t="str">
        <f>Github!H$1492</f>
        <v>Algorithms</v>
      </c>
      <c r="H1493" s="17" t="b">
        <f>Github!D$1492</f>
        <v>0</v>
      </c>
      <c r="I1493" s="17" t="str">
        <f>Github!E$1492</f>
        <v>Easy</v>
      </c>
      <c r="J1493" s="17" t="str">
        <f>ROUND(Github!N$1492, 2)&amp;"%"</f>
        <v>0%</v>
      </c>
      <c r="K1493" s="17">
        <f>Github!O$1492</f>
        <v>66.40837312</v>
      </c>
      <c r="L1493" s="17">
        <f>Github!P$1492</f>
        <v>72311</v>
      </c>
    </row>
    <row r="1494">
      <c r="A1494" s="17">
        <f>Github!J$1493</f>
        <v>1492</v>
      </c>
      <c r="B1494" s="34" t="str">
        <f>HYPERLINK(CONCAT("http://leetcode.com/problems/",Github!C$1493), Github!B$1493)</f>
        <v>The kth Factor of n</v>
      </c>
      <c r="C1494" s="17">
        <f>Github!F$1493</f>
        <v>672</v>
      </c>
      <c r="D1494" s="17">
        <f>Github!G$1493</f>
        <v>195</v>
      </c>
      <c r="E1494" s="17">
        <f>Github!F$1493+Github!G$1493</f>
        <v>867</v>
      </c>
      <c r="F1494" s="18">
        <f t="shared" si="1"/>
        <v>3.45</v>
      </c>
      <c r="G1494" s="17" t="str">
        <f>Github!H$1493</f>
        <v>Algorithms</v>
      </c>
      <c r="H1494" s="17" t="b">
        <f>Github!D$1493</f>
        <v>0</v>
      </c>
      <c r="I1494" s="17" t="str">
        <f>Github!E$1493</f>
        <v>Medium</v>
      </c>
      <c r="J1494" s="17" t="str">
        <f>ROUND(Github!N$1493, 2)&amp;"%"</f>
        <v>0%</v>
      </c>
      <c r="K1494" s="17">
        <f>Github!O$1493</f>
        <v>62.08877048</v>
      </c>
      <c r="L1494" s="17">
        <f>Github!P$1493</f>
        <v>82266</v>
      </c>
    </row>
    <row r="1495">
      <c r="A1495" s="17">
        <f>Github!J$1494</f>
        <v>1493</v>
      </c>
      <c r="B1495" s="34" t="str">
        <f>HYPERLINK(CONCAT("http://leetcode.com/problems/",Github!C$1494), Github!B$1494)</f>
        <v>Longest Subarray of 1's After Deleting One Element</v>
      </c>
      <c r="C1495" s="17">
        <f>Github!F$1494</f>
        <v>810</v>
      </c>
      <c r="D1495" s="17">
        <f>Github!G$1494</f>
        <v>19</v>
      </c>
      <c r="E1495" s="17">
        <f>Github!F$1494+Github!G$1494</f>
        <v>829</v>
      </c>
      <c r="F1495" s="18">
        <f t="shared" si="1"/>
        <v>42.63</v>
      </c>
      <c r="G1495" s="17" t="str">
        <f>Github!H$1494</f>
        <v>Algorithms</v>
      </c>
      <c r="H1495" s="17" t="b">
        <f>Github!D$1494</f>
        <v>0</v>
      </c>
      <c r="I1495" s="17" t="str">
        <f>Github!E$1494</f>
        <v>Medium</v>
      </c>
      <c r="J1495" s="17" t="str">
        <f>ROUND(Github!N$1494, 2)&amp;"%"</f>
        <v>0%</v>
      </c>
      <c r="K1495" s="17">
        <f>Github!O$1494</f>
        <v>60.02604795</v>
      </c>
      <c r="L1495" s="17">
        <f>Github!P$1494</f>
        <v>37332</v>
      </c>
    </row>
    <row r="1496">
      <c r="A1496" s="17">
        <f>Github!J$1495</f>
        <v>1494</v>
      </c>
      <c r="B1496" s="34" t="str">
        <f>HYPERLINK(CONCAT("http://leetcode.com/problems/",Github!C$1495), Github!B$1495)</f>
        <v>Parallel Courses II</v>
      </c>
      <c r="C1496" s="17">
        <f>Github!F$1495</f>
        <v>570</v>
      </c>
      <c r="D1496" s="17">
        <f>Github!G$1495</f>
        <v>44</v>
      </c>
      <c r="E1496" s="17">
        <f>Github!F$1495+Github!G$1495</f>
        <v>614</v>
      </c>
      <c r="F1496" s="18">
        <f t="shared" si="1"/>
        <v>12.95</v>
      </c>
      <c r="G1496" s="17" t="str">
        <f>Github!H$1495</f>
        <v>Algorithms</v>
      </c>
      <c r="H1496" s="17" t="b">
        <f>Github!D$1495</f>
        <v>0</v>
      </c>
      <c r="I1496" s="17" t="str">
        <f>Github!E$1495</f>
        <v>Hard</v>
      </c>
      <c r="J1496" s="17" t="str">
        <f>ROUND(Github!N$1495, 2)&amp;"%"</f>
        <v>0%</v>
      </c>
      <c r="K1496" s="17">
        <f>Github!O$1495</f>
        <v>31.7459826</v>
      </c>
      <c r="L1496" s="17">
        <f>Github!P$1495</f>
        <v>10253</v>
      </c>
    </row>
    <row r="1497">
      <c r="A1497" s="17">
        <f>Github!J$1496</f>
        <v>1495</v>
      </c>
      <c r="B1497" s="34" t="str">
        <f>HYPERLINK(CONCAT("http://leetcode.com/problems/",Github!C$1496), Github!B$1496)</f>
        <v>Friendly Movies Streamed Last Month</v>
      </c>
      <c r="C1497" s="17">
        <f>Github!F$1496</f>
        <v>50</v>
      </c>
      <c r="D1497" s="17">
        <f>Github!G$1496</f>
        <v>8</v>
      </c>
      <c r="E1497" s="17">
        <f>Github!F$1496+Github!G$1496</f>
        <v>58</v>
      </c>
      <c r="F1497" s="18">
        <f t="shared" si="1"/>
        <v>6.25</v>
      </c>
      <c r="G1497" s="17" t="str">
        <f>Github!H$1496</f>
        <v>Database</v>
      </c>
      <c r="H1497" s="17" t="b">
        <f>Github!D$1496</f>
        <v>1</v>
      </c>
      <c r="I1497" s="17" t="str">
        <f>Github!E$1496</f>
        <v>Easy</v>
      </c>
      <c r="J1497" s="17" t="str">
        <f>ROUND(Github!N$1496, 2)&amp;"%"</f>
        <v>0%</v>
      </c>
      <c r="K1497" s="17">
        <f>Github!O$1496</f>
        <v>50.44651948</v>
      </c>
      <c r="L1497" s="17">
        <f>Github!P$1496</f>
        <v>17342</v>
      </c>
    </row>
    <row r="1498">
      <c r="A1498" s="17">
        <f>Github!J$1497</f>
        <v>1496</v>
      </c>
      <c r="B1498" s="34" t="str">
        <f>HYPERLINK(CONCAT("http://leetcode.com/problems/",Github!C$1497), Github!B$1497)</f>
        <v>Path Crossing</v>
      </c>
      <c r="C1498" s="17">
        <f>Github!F$1497</f>
        <v>460</v>
      </c>
      <c r="D1498" s="17">
        <f>Github!G$1497</f>
        <v>8</v>
      </c>
      <c r="E1498" s="17">
        <f>Github!F$1497+Github!G$1497</f>
        <v>468</v>
      </c>
      <c r="F1498" s="18">
        <f t="shared" si="1"/>
        <v>57.5</v>
      </c>
      <c r="G1498" s="17" t="str">
        <f>Github!H$1497</f>
        <v>Algorithms</v>
      </c>
      <c r="H1498" s="17" t="b">
        <f>Github!D$1497</f>
        <v>0</v>
      </c>
      <c r="I1498" s="17" t="str">
        <f>Github!E$1497</f>
        <v>Easy</v>
      </c>
      <c r="J1498" s="17" t="str">
        <f>ROUND(Github!N$1497, 2)&amp;"%"</f>
        <v>0%</v>
      </c>
      <c r="K1498" s="17">
        <f>Github!O$1497</f>
        <v>55.70540769</v>
      </c>
      <c r="L1498" s="17">
        <f>Github!P$1497</f>
        <v>34241</v>
      </c>
    </row>
    <row r="1499">
      <c r="A1499" s="17">
        <f>Github!J$1498</f>
        <v>1497</v>
      </c>
      <c r="B1499" s="34" t="str">
        <f>HYPERLINK(CONCAT("http://leetcode.com/problems/",Github!C$1498), Github!B$1498)</f>
        <v>Check If Array Pairs Are Divisible by k</v>
      </c>
      <c r="C1499" s="17">
        <f>Github!F$1498</f>
        <v>873</v>
      </c>
      <c r="D1499" s="17">
        <f>Github!G$1498</f>
        <v>53</v>
      </c>
      <c r="E1499" s="17">
        <f>Github!F$1498+Github!G$1498</f>
        <v>926</v>
      </c>
      <c r="F1499" s="18">
        <f t="shared" si="1"/>
        <v>16.47</v>
      </c>
      <c r="G1499" s="17" t="str">
        <f>Github!H$1498</f>
        <v>Algorithms</v>
      </c>
      <c r="H1499" s="17" t="b">
        <f>Github!D$1498</f>
        <v>0</v>
      </c>
      <c r="I1499" s="17" t="str">
        <f>Github!E$1498</f>
        <v>Medium</v>
      </c>
      <c r="J1499" s="17" t="str">
        <f>ROUND(Github!N$1498, 2)&amp;"%"</f>
        <v>0%</v>
      </c>
      <c r="K1499" s="17">
        <f>Github!O$1498</f>
        <v>40.46947705</v>
      </c>
      <c r="L1499" s="17">
        <f>Github!P$1498</f>
        <v>29136</v>
      </c>
    </row>
    <row r="1500">
      <c r="A1500" s="17">
        <f>Github!J$1499</f>
        <v>1498</v>
      </c>
      <c r="B1500" s="34" t="str">
        <f>HYPERLINK(CONCAT("http://leetcode.com/problems/",Github!C$1499), Github!B$1499)</f>
        <v>Number of Subsequences That Satisfy the Given Sum Condition</v>
      </c>
      <c r="C1500" s="17">
        <f>Github!F$1499</f>
        <v>1038</v>
      </c>
      <c r="D1500" s="17">
        <f>Github!G$1499</f>
        <v>99</v>
      </c>
      <c r="E1500" s="17">
        <f>Github!F$1499+Github!G$1499</f>
        <v>1137</v>
      </c>
      <c r="F1500" s="18">
        <f t="shared" si="1"/>
        <v>10.48</v>
      </c>
      <c r="G1500" s="17" t="str">
        <f>Github!H$1499</f>
        <v>Algorithms</v>
      </c>
      <c r="H1500" s="17" t="b">
        <f>Github!D$1499</f>
        <v>0</v>
      </c>
      <c r="I1500" s="17" t="str">
        <f>Github!E$1499</f>
        <v>Medium</v>
      </c>
      <c r="J1500" s="17" t="str">
        <f>ROUND(Github!N$1499, 2)&amp;"%"</f>
        <v>0%</v>
      </c>
      <c r="K1500" s="17">
        <f>Github!O$1499</f>
        <v>39.16598528</v>
      </c>
      <c r="L1500" s="17">
        <f>Github!P$1499</f>
        <v>26345</v>
      </c>
    </row>
    <row r="1501">
      <c r="A1501" s="17">
        <f>Github!J$1500</f>
        <v>1499</v>
      </c>
      <c r="B1501" s="34" t="str">
        <f>HYPERLINK(CONCAT("http://leetcode.com/problems/",Github!C$1500), Github!B$1500)</f>
        <v>Max Value of Equation</v>
      </c>
      <c r="C1501" s="17">
        <f>Github!F$1500</f>
        <v>766</v>
      </c>
      <c r="D1501" s="17">
        <f>Github!G$1500</f>
        <v>27</v>
      </c>
      <c r="E1501" s="17">
        <f>Github!F$1500+Github!G$1500</f>
        <v>793</v>
      </c>
      <c r="F1501" s="18">
        <f t="shared" si="1"/>
        <v>28.37</v>
      </c>
      <c r="G1501" s="17" t="str">
        <f>Github!H$1500</f>
        <v>Algorithms</v>
      </c>
      <c r="H1501" s="17" t="b">
        <f>Github!D$1500</f>
        <v>0</v>
      </c>
      <c r="I1501" s="17" t="str">
        <f>Github!E$1500</f>
        <v>Hard</v>
      </c>
      <c r="J1501" s="17" t="str">
        <f>ROUND(Github!N$1500, 2)&amp;"%"</f>
        <v>0%</v>
      </c>
      <c r="K1501" s="17">
        <f>Github!O$1500</f>
        <v>46.85227273</v>
      </c>
      <c r="L1501" s="17">
        <f>Github!P$1500</f>
        <v>28860</v>
      </c>
    </row>
    <row r="1502">
      <c r="A1502" s="17">
        <f>Github!J$1501</f>
        <v>1500</v>
      </c>
      <c r="B1502" s="34" t="str">
        <f>HYPERLINK(CONCAT("http://leetcode.com/problems/",Github!C$1501), Github!B$1501)</f>
        <v>Design a File Sharing System</v>
      </c>
      <c r="C1502" s="17">
        <f>Github!F$1501</f>
        <v>37</v>
      </c>
      <c r="D1502" s="17">
        <f>Github!G$1501</f>
        <v>87</v>
      </c>
      <c r="E1502" s="17">
        <f>Github!F$1501+Github!G$1501</f>
        <v>124</v>
      </c>
      <c r="F1502" s="18">
        <f t="shared" si="1"/>
        <v>0.43</v>
      </c>
      <c r="G1502" s="17" t="str">
        <f>Github!H$1501</f>
        <v>Algorithms</v>
      </c>
      <c r="H1502" s="17" t="b">
        <f>Github!D$1501</f>
        <v>1</v>
      </c>
      <c r="I1502" s="17" t="str">
        <f>Github!E$1501</f>
        <v>Medium</v>
      </c>
      <c r="J1502" s="17" t="str">
        <f>ROUND(Github!N$1501, 2)&amp;"%"</f>
        <v>0%</v>
      </c>
      <c r="K1502" s="17">
        <f>Github!O$1501</f>
        <v>45.08223154</v>
      </c>
      <c r="L1502" s="17">
        <f>Github!P$1501</f>
        <v>2796</v>
      </c>
    </row>
    <row r="1503">
      <c r="A1503" s="17">
        <f>Github!J$1502</f>
        <v>1501</v>
      </c>
      <c r="B1503" s="34" t="str">
        <f>HYPERLINK(CONCAT("http://leetcode.com/problems/",Github!C$1502), Github!B$1502)</f>
        <v>Countries You Can Safely Invest In</v>
      </c>
      <c r="C1503" s="17">
        <f>Github!F$1502</f>
        <v>147</v>
      </c>
      <c r="D1503" s="17">
        <f>Github!G$1502</f>
        <v>19</v>
      </c>
      <c r="E1503" s="17">
        <f>Github!F$1502+Github!G$1502</f>
        <v>166</v>
      </c>
      <c r="F1503" s="18">
        <f t="shared" si="1"/>
        <v>7.74</v>
      </c>
      <c r="G1503" s="17" t="str">
        <f>Github!H$1502</f>
        <v>Database</v>
      </c>
      <c r="H1503" s="17" t="b">
        <f>Github!D$1502</f>
        <v>1</v>
      </c>
      <c r="I1503" s="17" t="str">
        <f>Github!E$1502</f>
        <v>Medium</v>
      </c>
      <c r="J1503" s="17" t="str">
        <f>ROUND(Github!N$1502, 2)&amp;"%"</f>
        <v>0%</v>
      </c>
      <c r="K1503" s="17">
        <f>Github!O$1502</f>
        <v>58.27346649</v>
      </c>
      <c r="L1503" s="17">
        <f>Github!P$1502</f>
        <v>14762</v>
      </c>
    </row>
    <row r="1504">
      <c r="A1504" s="17">
        <f>Github!J$1503</f>
        <v>1502</v>
      </c>
      <c r="B1504" s="34" t="str">
        <f>HYPERLINK(CONCAT("http://leetcode.com/problems/",Github!C$1503), Github!B$1503)</f>
        <v>Can Make Arithmetic Progression From Sequence</v>
      </c>
      <c r="C1504" s="17">
        <f>Github!F$1503</f>
        <v>587</v>
      </c>
      <c r="D1504" s="17">
        <f>Github!G$1503</f>
        <v>38</v>
      </c>
      <c r="E1504" s="17">
        <f>Github!F$1503+Github!G$1503</f>
        <v>625</v>
      </c>
      <c r="F1504" s="18">
        <f t="shared" si="1"/>
        <v>15.45</v>
      </c>
      <c r="G1504" s="17" t="str">
        <f>Github!H$1503</f>
        <v>Algorithms</v>
      </c>
      <c r="H1504" s="17" t="b">
        <f>Github!D$1503</f>
        <v>0</v>
      </c>
      <c r="I1504" s="17" t="str">
        <f>Github!E$1503</f>
        <v>Easy</v>
      </c>
      <c r="J1504" s="17" t="str">
        <f>ROUND(Github!N$1503, 2)&amp;"%"</f>
        <v>0%</v>
      </c>
      <c r="K1504" s="17">
        <f>Github!O$1503</f>
        <v>70.38354596</v>
      </c>
      <c r="L1504" s="17">
        <f>Github!P$1503</f>
        <v>68846</v>
      </c>
    </row>
    <row r="1505">
      <c r="A1505" s="17">
        <f>Github!J$1504</f>
        <v>1503</v>
      </c>
      <c r="B1505" s="34" t="str">
        <f>HYPERLINK(CONCAT("http://leetcode.com/problems/",Github!C$1504), Github!B$1504)</f>
        <v>Last Moment Before All Ants Fall Out of a Plank</v>
      </c>
      <c r="C1505" s="17">
        <f>Github!F$1504</f>
        <v>313</v>
      </c>
      <c r="D1505" s="17">
        <f>Github!G$1504</f>
        <v>178</v>
      </c>
      <c r="E1505" s="17">
        <f>Github!F$1504+Github!G$1504</f>
        <v>491</v>
      </c>
      <c r="F1505" s="18">
        <f t="shared" si="1"/>
        <v>1.76</v>
      </c>
      <c r="G1505" s="17" t="str">
        <f>Github!H$1504</f>
        <v>Algorithms</v>
      </c>
      <c r="H1505" s="17" t="b">
        <f>Github!D$1504</f>
        <v>0</v>
      </c>
      <c r="I1505" s="17" t="str">
        <f>Github!E$1504</f>
        <v>Medium</v>
      </c>
      <c r="J1505" s="17" t="str">
        <f>ROUND(Github!N$1504, 2)&amp;"%"</f>
        <v>0%</v>
      </c>
      <c r="K1505" s="17">
        <f>Github!O$1504</f>
        <v>54.69530103</v>
      </c>
      <c r="L1505" s="17">
        <f>Github!P$1504</f>
        <v>14899</v>
      </c>
    </row>
    <row r="1506">
      <c r="A1506" s="17">
        <f>Github!J$1505</f>
        <v>1504</v>
      </c>
      <c r="B1506" s="34" t="str">
        <f>HYPERLINK(CONCAT("http://leetcode.com/problems/",Github!C$1505), Github!B$1505)</f>
        <v>Count Submatrices With All Ones</v>
      </c>
      <c r="C1506" s="17">
        <f>Github!F$1505</f>
        <v>1445</v>
      </c>
      <c r="D1506" s="17">
        <f>Github!G$1505</f>
        <v>114</v>
      </c>
      <c r="E1506" s="17">
        <f>Github!F$1505+Github!G$1505</f>
        <v>1559</v>
      </c>
      <c r="F1506" s="18">
        <f t="shared" si="1"/>
        <v>12.68</v>
      </c>
      <c r="G1506" s="17" t="str">
        <f>Github!H$1505</f>
        <v>Algorithms</v>
      </c>
      <c r="H1506" s="17" t="b">
        <f>Github!D$1505</f>
        <v>0</v>
      </c>
      <c r="I1506" s="17" t="str">
        <f>Github!E$1505</f>
        <v>Medium</v>
      </c>
      <c r="J1506" s="17" t="str">
        <f>ROUND(Github!N$1505, 2)&amp;"%"</f>
        <v>0%</v>
      </c>
      <c r="K1506" s="17">
        <f>Github!O$1505</f>
        <v>58.78162358</v>
      </c>
      <c r="L1506" s="17">
        <f>Github!P$1505</f>
        <v>33830</v>
      </c>
    </row>
    <row r="1507">
      <c r="A1507" s="17">
        <f>Github!J$1506</f>
        <v>1505</v>
      </c>
      <c r="B1507" s="34" t="str">
        <f>HYPERLINK(CONCAT("http://leetcode.com/problems/",Github!C$1506), Github!B$1506)</f>
        <v>Minimum Possible Integer After at Most K Adjacent Swaps On Digits</v>
      </c>
      <c r="C1507" s="17">
        <f>Github!F$1506</f>
        <v>298</v>
      </c>
      <c r="D1507" s="17">
        <f>Github!G$1506</f>
        <v>19</v>
      </c>
      <c r="E1507" s="17">
        <f>Github!F$1506+Github!G$1506</f>
        <v>317</v>
      </c>
      <c r="F1507" s="18">
        <f t="shared" si="1"/>
        <v>15.68</v>
      </c>
      <c r="G1507" s="17" t="str">
        <f>Github!H$1506</f>
        <v>Algorithms</v>
      </c>
      <c r="H1507" s="17" t="b">
        <f>Github!D$1506</f>
        <v>0</v>
      </c>
      <c r="I1507" s="17" t="str">
        <f>Github!E$1506</f>
        <v>Hard</v>
      </c>
      <c r="J1507" s="17" t="str">
        <f>ROUND(Github!N$1506, 2)&amp;"%"</f>
        <v>0%</v>
      </c>
      <c r="K1507" s="17">
        <f>Github!O$1506</f>
        <v>37.45382654</v>
      </c>
      <c r="L1507" s="17">
        <f>Github!P$1506</f>
        <v>7199</v>
      </c>
    </row>
    <row r="1508">
      <c r="A1508" s="17">
        <f>Github!J$1507</f>
        <v>1506</v>
      </c>
      <c r="B1508" s="34" t="str">
        <f>HYPERLINK(CONCAT("http://leetcode.com/problems/",Github!C$1507), Github!B$1507)</f>
        <v>Find Root of N-Ary Tree</v>
      </c>
      <c r="C1508" s="17">
        <f>Github!F$1507</f>
        <v>320</v>
      </c>
      <c r="D1508" s="17">
        <f>Github!G$1507</f>
        <v>111</v>
      </c>
      <c r="E1508" s="17">
        <f>Github!F$1507+Github!G$1507</f>
        <v>431</v>
      </c>
      <c r="F1508" s="18">
        <f t="shared" si="1"/>
        <v>2.88</v>
      </c>
      <c r="G1508" s="17" t="str">
        <f>Github!H$1507</f>
        <v>Algorithms</v>
      </c>
      <c r="H1508" s="17" t="b">
        <f>Github!D$1507</f>
        <v>1</v>
      </c>
      <c r="I1508" s="17" t="str">
        <f>Github!E$1507</f>
        <v>Medium</v>
      </c>
      <c r="J1508" s="17" t="str">
        <f>ROUND(Github!N$1507, 2)&amp;"%"</f>
        <v>0%</v>
      </c>
      <c r="K1508" s="17">
        <f>Github!O$1507</f>
        <v>78.18496443</v>
      </c>
      <c r="L1508" s="17">
        <f>Github!P$1507</f>
        <v>20332</v>
      </c>
    </row>
    <row r="1509">
      <c r="A1509" s="17">
        <f>Github!J$1508</f>
        <v>1507</v>
      </c>
      <c r="B1509" s="34" t="str">
        <f>HYPERLINK(CONCAT("http://leetcode.com/problems/",Github!C$1508), Github!B$1508)</f>
        <v>Reformat Date</v>
      </c>
      <c r="C1509" s="17">
        <f>Github!F$1508</f>
        <v>234</v>
      </c>
      <c r="D1509" s="17">
        <f>Github!G$1508</f>
        <v>313</v>
      </c>
      <c r="E1509" s="17">
        <f>Github!F$1508+Github!G$1508</f>
        <v>547</v>
      </c>
      <c r="F1509" s="18">
        <f t="shared" si="1"/>
        <v>0.75</v>
      </c>
      <c r="G1509" s="17" t="str">
        <f>Github!H$1508</f>
        <v>Algorithms</v>
      </c>
      <c r="H1509" s="17" t="b">
        <f>Github!D$1508</f>
        <v>0</v>
      </c>
      <c r="I1509" s="17" t="str">
        <f>Github!E$1508</f>
        <v>Easy</v>
      </c>
      <c r="J1509" s="17" t="str">
        <f>ROUND(Github!N$1508, 2)&amp;"%"</f>
        <v>0%</v>
      </c>
      <c r="K1509" s="17">
        <f>Github!O$1508</f>
        <v>61.62161248</v>
      </c>
      <c r="L1509" s="17">
        <f>Github!P$1508</f>
        <v>36426</v>
      </c>
    </row>
    <row r="1510">
      <c r="A1510" s="17">
        <f>Github!J$1509</f>
        <v>1508</v>
      </c>
      <c r="B1510" s="34" t="str">
        <f>HYPERLINK(CONCAT("http://leetcode.com/problems/",Github!C$1509), Github!B$1509)</f>
        <v>Range Sum of Sorted Subarray Sums</v>
      </c>
      <c r="C1510" s="17">
        <f>Github!F$1509</f>
        <v>528</v>
      </c>
      <c r="D1510" s="17">
        <f>Github!G$1509</f>
        <v>99</v>
      </c>
      <c r="E1510" s="17">
        <f>Github!F$1509+Github!G$1509</f>
        <v>627</v>
      </c>
      <c r="F1510" s="18">
        <f t="shared" si="1"/>
        <v>5.33</v>
      </c>
      <c r="G1510" s="17" t="str">
        <f>Github!H$1509</f>
        <v>Algorithms</v>
      </c>
      <c r="H1510" s="17" t="b">
        <f>Github!D$1509</f>
        <v>0</v>
      </c>
      <c r="I1510" s="17" t="str">
        <f>Github!E$1509</f>
        <v>Medium</v>
      </c>
      <c r="J1510" s="17" t="str">
        <f>ROUND(Github!N$1509, 2)&amp;"%"</f>
        <v>0%</v>
      </c>
      <c r="K1510" s="17">
        <f>Github!O$1509</f>
        <v>59.04599488</v>
      </c>
      <c r="L1510" s="17">
        <f>Github!P$1509</f>
        <v>23544</v>
      </c>
    </row>
    <row r="1511">
      <c r="A1511" s="17">
        <f>Github!J$1510</f>
        <v>1509</v>
      </c>
      <c r="B1511" s="34" t="str">
        <f>HYPERLINK(CONCAT("http://leetcode.com/problems/",Github!C$1510), Github!B$1510)</f>
        <v>Minimum Difference Between Largest and Smallest Value in Three Moves</v>
      </c>
      <c r="C1511" s="17">
        <f>Github!F$1510</f>
        <v>1011</v>
      </c>
      <c r="D1511" s="17">
        <f>Github!G$1510</f>
        <v>144</v>
      </c>
      <c r="E1511" s="17">
        <f>Github!F$1510+Github!G$1510</f>
        <v>1155</v>
      </c>
      <c r="F1511" s="18">
        <f t="shared" si="1"/>
        <v>7.02</v>
      </c>
      <c r="G1511" s="17" t="str">
        <f>Github!H$1510</f>
        <v>Algorithms</v>
      </c>
      <c r="H1511" s="17" t="b">
        <f>Github!D$1510</f>
        <v>0</v>
      </c>
      <c r="I1511" s="17" t="str">
        <f>Github!E$1510</f>
        <v>Medium</v>
      </c>
      <c r="J1511" s="17" t="str">
        <f>ROUND(Github!N$1510, 2)&amp;"%"</f>
        <v>0%</v>
      </c>
      <c r="K1511" s="17">
        <f>Github!O$1510</f>
        <v>55.79035293</v>
      </c>
      <c r="L1511" s="17">
        <f>Github!P$1510</f>
        <v>58107</v>
      </c>
    </row>
    <row r="1512">
      <c r="A1512" s="17">
        <f>Github!J$1511</f>
        <v>1510</v>
      </c>
      <c r="B1512" s="34" t="str">
        <f>HYPERLINK(CONCAT("http://leetcode.com/problems/",Github!C$1511), Github!B$1511)</f>
        <v>Stone Game IV</v>
      </c>
      <c r="C1512" s="17">
        <f>Github!F$1511</f>
        <v>1232</v>
      </c>
      <c r="D1512" s="17">
        <f>Github!G$1511</f>
        <v>53</v>
      </c>
      <c r="E1512" s="17">
        <f>Github!F$1511+Github!G$1511</f>
        <v>1285</v>
      </c>
      <c r="F1512" s="18">
        <f t="shared" si="1"/>
        <v>23.25</v>
      </c>
      <c r="G1512" s="17" t="str">
        <f>Github!H$1511</f>
        <v>Algorithms</v>
      </c>
      <c r="H1512" s="17" t="b">
        <f>Github!D$1511</f>
        <v>0</v>
      </c>
      <c r="I1512" s="17" t="str">
        <f>Github!E$1511</f>
        <v>Hard</v>
      </c>
      <c r="J1512" s="17" t="str">
        <f>ROUND(Github!N$1511, 2)&amp;"%"</f>
        <v>0%</v>
      </c>
      <c r="K1512" s="17">
        <f>Github!O$1511</f>
        <v>60.80944638</v>
      </c>
      <c r="L1512" s="17">
        <f>Github!P$1511</f>
        <v>57215</v>
      </c>
    </row>
    <row r="1513">
      <c r="A1513" s="17">
        <f>Github!J$1512</f>
        <v>1511</v>
      </c>
      <c r="B1513" s="34" t="str">
        <f>HYPERLINK(CONCAT("http://leetcode.com/problems/",Github!C$1512), Github!B$1512)</f>
        <v>Customer Order Frequency</v>
      </c>
      <c r="C1513" s="17">
        <f>Github!F$1512</f>
        <v>214</v>
      </c>
      <c r="D1513" s="17">
        <f>Github!G$1512</f>
        <v>40</v>
      </c>
      <c r="E1513" s="17">
        <f>Github!F$1512+Github!G$1512</f>
        <v>254</v>
      </c>
      <c r="F1513" s="18">
        <f t="shared" si="1"/>
        <v>5.35</v>
      </c>
      <c r="G1513" s="17" t="str">
        <f>Github!H$1512</f>
        <v>Database</v>
      </c>
      <c r="H1513" s="17" t="b">
        <f>Github!D$1512</f>
        <v>1</v>
      </c>
      <c r="I1513" s="17" t="str">
        <f>Github!E$1512</f>
        <v>Easy</v>
      </c>
      <c r="J1513" s="17" t="str">
        <f>ROUND(Github!N$1512, 2)&amp;"%"</f>
        <v>0%</v>
      </c>
      <c r="K1513" s="17">
        <f>Github!O$1512</f>
        <v>73.4282359</v>
      </c>
      <c r="L1513" s="17">
        <f>Github!P$1512</f>
        <v>25635</v>
      </c>
    </row>
    <row r="1514">
      <c r="A1514" s="17">
        <f>Github!J$1513</f>
        <v>1512</v>
      </c>
      <c r="B1514" s="34" t="str">
        <f>HYPERLINK(CONCAT("http://leetcode.com/problems/",Github!C$1513), Github!B$1513)</f>
        <v>Number of Good Pairs</v>
      </c>
      <c r="C1514" s="17">
        <f>Github!F$1513</f>
        <v>2257</v>
      </c>
      <c r="D1514" s="17">
        <f>Github!G$1513</f>
        <v>138</v>
      </c>
      <c r="E1514" s="17">
        <f>Github!F$1513+Github!G$1513</f>
        <v>2395</v>
      </c>
      <c r="F1514" s="18">
        <f t="shared" si="1"/>
        <v>16.36</v>
      </c>
      <c r="G1514" s="17" t="str">
        <f>Github!H$1513</f>
        <v>Algorithms</v>
      </c>
      <c r="H1514" s="17" t="b">
        <f>Github!D$1513</f>
        <v>0</v>
      </c>
      <c r="I1514" s="17" t="str">
        <f>Github!E$1513</f>
        <v>Easy</v>
      </c>
      <c r="J1514" s="17" t="str">
        <f>ROUND(Github!N$1513, 2)&amp;"%"</f>
        <v>0%</v>
      </c>
      <c r="K1514" s="17">
        <f>Github!O$1513</f>
        <v>87.90618864</v>
      </c>
      <c r="L1514" s="17">
        <f>Github!P$1513</f>
        <v>274434</v>
      </c>
    </row>
    <row r="1515">
      <c r="A1515" s="17">
        <f>Github!J$1514</f>
        <v>1513</v>
      </c>
      <c r="B1515" s="34" t="str">
        <f>HYPERLINK(CONCAT("http://leetcode.com/problems/",Github!C$1514), Github!B$1514)</f>
        <v>Number of Substrings With Only 1s</v>
      </c>
      <c r="C1515" s="17">
        <f>Github!F$1514</f>
        <v>491</v>
      </c>
      <c r="D1515" s="17">
        <f>Github!G$1514</f>
        <v>22</v>
      </c>
      <c r="E1515" s="17">
        <f>Github!F$1514+Github!G$1514</f>
        <v>513</v>
      </c>
      <c r="F1515" s="18">
        <f t="shared" si="1"/>
        <v>22.32</v>
      </c>
      <c r="G1515" s="17" t="str">
        <f>Github!H$1514</f>
        <v>Algorithms</v>
      </c>
      <c r="H1515" s="17" t="b">
        <f>Github!D$1514</f>
        <v>0</v>
      </c>
      <c r="I1515" s="17" t="str">
        <f>Github!E$1514</f>
        <v>Medium</v>
      </c>
      <c r="J1515" s="17" t="str">
        <f>ROUND(Github!N$1514, 2)&amp;"%"</f>
        <v>0%</v>
      </c>
      <c r="K1515" s="17">
        <f>Github!O$1514</f>
        <v>44.03227562</v>
      </c>
      <c r="L1515" s="17">
        <f>Github!P$1514</f>
        <v>28322</v>
      </c>
    </row>
    <row r="1516">
      <c r="A1516" s="17">
        <f>Github!J$1515</f>
        <v>1514</v>
      </c>
      <c r="B1516" s="34" t="str">
        <f>HYPERLINK(CONCAT("http://leetcode.com/problems/",Github!C$1515), Github!B$1515)</f>
        <v>Path with Maximum Probability</v>
      </c>
      <c r="C1516" s="17">
        <f>Github!F$1515</f>
        <v>1082</v>
      </c>
      <c r="D1516" s="17">
        <f>Github!G$1515</f>
        <v>25</v>
      </c>
      <c r="E1516" s="17">
        <f>Github!F$1515+Github!G$1515</f>
        <v>1107</v>
      </c>
      <c r="F1516" s="18">
        <f t="shared" si="1"/>
        <v>43.28</v>
      </c>
      <c r="G1516" s="17" t="str">
        <f>Github!H$1515</f>
        <v>Algorithms</v>
      </c>
      <c r="H1516" s="17" t="b">
        <f>Github!D$1515</f>
        <v>0</v>
      </c>
      <c r="I1516" s="17" t="str">
        <f>Github!E$1515</f>
        <v>Medium</v>
      </c>
      <c r="J1516" s="17" t="str">
        <f>ROUND(Github!N$1515, 2)&amp;"%"</f>
        <v>0%</v>
      </c>
      <c r="K1516" s="17">
        <f>Github!O$1515</f>
        <v>45.77273529</v>
      </c>
      <c r="L1516" s="17">
        <f>Github!P$1515</f>
        <v>38931</v>
      </c>
    </row>
    <row r="1517">
      <c r="A1517" s="17">
        <f>Github!J$1516</f>
        <v>1515</v>
      </c>
      <c r="B1517" s="34" t="str">
        <f>HYPERLINK(CONCAT("http://leetcode.com/problems/",Github!C$1516), Github!B$1516)</f>
        <v>Best Position for a Service Centre</v>
      </c>
      <c r="C1517" s="17">
        <f>Github!F$1516</f>
        <v>161</v>
      </c>
      <c r="D1517" s="17">
        <f>Github!G$1516</f>
        <v>192</v>
      </c>
      <c r="E1517" s="17">
        <f>Github!F$1516+Github!G$1516</f>
        <v>353</v>
      </c>
      <c r="F1517" s="18">
        <f t="shared" si="1"/>
        <v>0.84</v>
      </c>
      <c r="G1517" s="17" t="str">
        <f>Github!H$1516</f>
        <v>Algorithms</v>
      </c>
      <c r="H1517" s="17" t="b">
        <f>Github!D$1516</f>
        <v>0</v>
      </c>
      <c r="I1517" s="17" t="str">
        <f>Github!E$1516</f>
        <v>Hard</v>
      </c>
      <c r="J1517" s="17" t="str">
        <f>ROUND(Github!N$1516, 2)&amp;"%"</f>
        <v>0%</v>
      </c>
      <c r="K1517" s="17">
        <f>Github!O$1516</f>
        <v>38.88197692</v>
      </c>
      <c r="L1517" s="17">
        <f>Github!P$1516</f>
        <v>9063</v>
      </c>
    </row>
    <row r="1518">
      <c r="A1518" s="17">
        <f>Github!J$1517</f>
        <v>1516</v>
      </c>
      <c r="B1518" s="34" t="str">
        <f>HYPERLINK(CONCAT("http://leetcode.com/problems/",Github!C$1517), Github!B$1517)</f>
        <v>Move Sub-Tree of N-Ary Tree</v>
      </c>
      <c r="C1518" s="17">
        <f>Github!F$1517</f>
        <v>23</v>
      </c>
      <c r="D1518" s="17">
        <f>Github!G$1517</f>
        <v>35</v>
      </c>
      <c r="E1518" s="17">
        <f>Github!F$1517+Github!G$1517</f>
        <v>58</v>
      </c>
      <c r="F1518" s="18">
        <f t="shared" si="1"/>
        <v>0.66</v>
      </c>
      <c r="G1518" s="17" t="str">
        <f>Github!H$1517</f>
        <v>Algorithms</v>
      </c>
      <c r="H1518" s="17" t="b">
        <f>Github!D$1517</f>
        <v>1</v>
      </c>
      <c r="I1518" s="17" t="str">
        <f>Github!E$1517</f>
        <v>Hard</v>
      </c>
      <c r="J1518" s="17" t="str">
        <f>ROUND(Github!N$1517, 2)&amp;"%"</f>
        <v>0%</v>
      </c>
      <c r="K1518" s="17">
        <f>Github!O$1517</f>
        <v>64.48784376</v>
      </c>
      <c r="L1518" s="17">
        <f>Github!P$1517</f>
        <v>1618</v>
      </c>
    </row>
    <row r="1519">
      <c r="A1519" s="17">
        <f>Github!J$1518</f>
        <v>1517</v>
      </c>
      <c r="B1519" s="34" t="str">
        <f>HYPERLINK(CONCAT("http://leetcode.com/problems/",Github!C$1518), Github!B$1518)</f>
        <v>Find Users With Valid E-Mails</v>
      </c>
      <c r="C1519" s="17">
        <f>Github!F$1518</f>
        <v>92</v>
      </c>
      <c r="D1519" s="17">
        <f>Github!G$1518</f>
        <v>59</v>
      </c>
      <c r="E1519" s="17">
        <f>Github!F$1518+Github!G$1518</f>
        <v>151</v>
      </c>
      <c r="F1519" s="18">
        <f t="shared" si="1"/>
        <v>1.56</v>
      </c>
      <c r="G1519" s="17" t="str">
        <f>Github!H$1518</f>
        <v>Database</v>
      </c>
      <c r="H1519" s="17" t="b">
        <f>Github!D$1518</f>
        <v>1</v>
      </c>
      <c r="I1519" s="17" t="str">
        <f>Github!E$1518</f>
        <v>Easy</v>
      </c>
      <c r="J1519" s="17" t="str">
        <f>ROUND(Github!N$1518, 2)&amp;"%"</f>
        <v>0%</v>
      </c>
      <c r="K1519" s="17">
        <f>Github!O$1518</f>
        <v>62.47760338</v>
      </c>
      <c r="L1519" s="17">
        <f>Github!P$1518</f>
        <v>17434</v>
      </c>
    </row>
    <row r="1520">
      <c r="A1520" s="17">
        <f>Github!J$1519</f>
        <v>1518</v>
      </c>
      <c r="B1520" s="34" t="str">
        <f>HYPERLINK(CONCAT("http://leetcode.com/problems/",Github!C$1519), Github!B$1519)</f>
        <v>Water Bottles</v>
      </c>
      <c r="C1520" s="17">
        <f>Github!F$1519</f>
        <v>657</v>
      </c>
      <c r="D1520" s="17">
        <f>Github!G$1519</f>
        <v>53</v>
      </c>
      <c r="E1520" s="17">
        <f>Github!F$1519+Github!G$1519</f>
        <v>710</v>
      </c>
      <c r="F1520" s="18">
        <f t="shared" si="1"/>
        <v>12.4</v>
      </c>
      <c r="G1520" s="17" t="str">
        <f>Github!H$1519</f>
        <v>Algorithms</v>
      </c>
      <c r="H1520" s="17" t="b">
        <f>Github!D$1519</f>
        <v>0</v>
      </c>
      <c r="I1520" s="17" t="str">
        <f>Github!E$1519</f>
        <v>Easy</v>
      </c>
      <c r="J1520" s="17" t="str">
        <f>ROUND(Github!N$1519, 2)&amp;"%"</f>
        <v>0%</v>
      </c>
      <c r="K1520" s="17">
        <f>Github!O$1519</f>
        <v>60.45502686</v>
      </c>
      <c r="L1520" s="17">
        <f>Github!P$1519</f>
        <v>47378</v>
      </c>
    </row>
    <row r="1521">
      <c r="A1521" s="17">
        <f>Github!J$1520</f>
        <v>1519</v>
      </c>
      <c r="B1521" s="34" t="str">
        <f>HYPERLINK(CONCAT("http://leetcode.com/problems/",Github!C$1520), Github!B$1520)</f>
        <v>Number of Nodes in the Sub-Tree With the Same Label</v>
      </c>
      <c r="C1521" s="17">
        <f>Github!F$1520</f>
        <v>366</v>
      </c>
      <c r="D1521" s="17">
        <f>Github!G$1520</f>
        <v>348</v>
      </c>
      <c r="E1521" s="17">
        <f>Github!F$1520+Github!G$1520</f>
        <v>714</v>
      </c>
      <c r="F1521" s="18">
        <f t="shared" si="1"/>
        <v>1.05</v>
      </c>
      <c r="G1521" s="17" t="str">
        <f>Github!H$1520</f>
        <v>Algorithms</v>
      </c>
      <c r="H1521" s="17" t="b">
        <f>Github!D$1520</f>
        <v>0</v>
      </c>
      <c r="I1521" s="17" t="str">
        <f>Github!E$1520</f>
        <v>Medium</v>
      </c>
      <c r="J1521" s="17" t="str">
        <f>ROUND(Github!N$1520, 2)&amp;"%"</f>
        <v>0%</v>
      </c>
      <c r="K1521" s="17">
        <f>Github!O$1520</f>
        <v>39.5079631</v>
      </c>
      <c r="L1521" s="17">
        <f>Github!P$1520</f>
        <v>15802</v>
      </c>
    </row>
    <row r="1522">
      <c r="A1522" s="17">
        <f>Github!J$1521</f>
        <v>1520</v>
      </c>
      <c r="B1522" s="34" t="str">
        <f>HYPERLINK(CONCAT("http://leetcode.com/problems/",Github!C$1521), Github!B$1521)</f>
        <v>Maximum Number of Non-Overlapping Substrings</v>
      </c>
      <c r="C1522" s="17">
        <f>Github!F$1521</f>
        <v>453</v>
      </c>
      <c r="D1522" s="17">
        <f>Github!G$1521</f>
        <v>55</v>
      </c>
      <c r="E1522" s="17">
        <f>Github!F$1521+Github!G$1521</f>
        <v>508</v>
      </c>
      <c r="F1522" s="18">
        <f t="shared" si="1"/>
        <v>8.24</v>
      </c>
      <c r="G1522" s="17" t="str">
        <f>Github!H$1521</f>
        <v>Algorithms</v>
      </c>
      <c r="H1522" s="17" t="b">
        <f>Github!D$1521</f>
        <v>0</v>
      </c>
      <c r="I1522" s="17" t="str">
        <f>Github!E$1521</f>
        <v>Hard</v>
      </c>
      <c r="J1522" s="17" t="str">
        <f>ROUND(Github!N$1521, 2)&amp;"%"</f>
        <v>0%</v>
      </c>
      <c r="K1522" s="17">
        <f>Github!O$1521</f>
        <v>37.41343614</v>
      </c>
      <c r="L1522" s="17">
        <f>Github!P$1521</f>
        <v>10481</v>
      </c>
    </row>
    <row r="1523">
      <c r="A1523" s="17">
        <f>Github!J$1522</f>
        <v>1521</v>
      </c>
      <c r="B1523" s="34" t="str">
        <f>HYPERLINK(CONCAT("http://leetcode.com/problems/",Github!C$1522), Github!B$1522)</f>
        <v>Find a Value of a Mysterious Function Closest to Target</v>
      </c>
      <c r="C1523" s="17">
        <f>Github!F$1522</f>
        <v>255</v>
      </c>
      <c r="D1523" s="17">
        <f>Github!G$1522</f>
        <v>10</v>
      </c>
      <c r="E1523" s="17">
        <f>Github!F$1522+Github!G$1522</f>
        <v>265</v>
      </c>
      <c r="F1523" s="18">
        <f t="shared" si="1"/>
        <v>25.5</v>
      </c>
      <c r="G1523" s="17" t="str">
        <f>Github!H$1522</f>
        <v>Algorithms</v>
      </c>
      <c r="H1523" s="17" t="b">
        <f>Github!D$1522</f>
        <v>0</v>
      </c>
      <c r="I1523" s="17" t="str">
        <f>Github!E$1522</f>
        <v>Hard</v>
      </c>
      <c r="J1523" s="17" t="str">
        <f>ROUND(Github!N$1522, 2)&amp;"%"</f>
        <v>0%</v>
      </c>
      <c r="K1523" s="17">
        <f>Github!O$1522</f>
        <v>43.58235824</v>
      </c>
      <c r="L1523" s="17">
        <f>Github!P$1522</f>
        <v>7263</v>
      </c>
    </row>
    <row r="1524">
      <c r="A1524" s="17">
        <f>Github!J$1523</f>
        <v>1522</v>
      </c>
      <c r="B1524" s="34" t="str">
        <f>HYPERLINK(CONCAT("http://leetcode.com/problems/",Github!C$1523), Github!B$1523)</f>
        <v>Diameter of N-Ary Tree</v>
      </c>
      <c r="C1524" s="17">
        <f>Github!F$1523</f>
        <v>393</v>
      </c>
      <c r="D1524" s="17">
        <f>Github!G$1523</f>
        <v>6</v>
      </c>
      <c r="E1524" s="17">
        <f>Github!F$1523+Github!G$1523</f>
        <v>399</v>
      </c>
      <c r="F1524" s="18">
        <f t="shared" si="1"/>
        <v>65.5</v>
      </c>
      <c r="G1524" s="17" t="str">
        <f>Github!H$1523</f>
        <v>Algorithms</v>
      </c>
      <c r="H1524" s="17" t="b">
        <f>Github!D$1523</f>
        <v>1</v>
      </c>
      <c r="I1524" s="17" t="str">
        <f>Github!E$1523</f>
        <v>Medium</v>
      </c>
      <c r="J1524" s="17" t="str">
        <f>ROUND(Github!N$1523, 2)&amp;"%"</f>
        <v>0%</v>
      </c>
      <c r="K1524" s="17">
        <f>Github!O$1523</f>
        <v>72.97690867</v>
      </c>
      <c r="L1524" s="17">
        <f>Github!P$1523</f>
        <v>28063</v>
      </c>
    </row>
    <row r="1525">
      <c r="A1525" s="17">
        <f>Github!J$1524</f>
        <v>1523</v>
      </c>
      <c r="B1525" s="34" t="str">
        <f>HYPERLINK(CONCAT("http://leetcode.com/problems/",Github!C$1524), Github!B$1524)</f>
        <v>Count Odd Numbers in an Interval Range</v>
      </c>
      <c r="C1525" s="17">
        <f>Github!F$1524</f>
        <v>449</v>
      </c>
      <c r="D1525" s="17">
        <f>Github!G$1524</f>
        <v>41</v>
      </c>
      <c r="E1525" s="17">
        <f>Github!F$1524+Github!G$1524</f>
        <v>490</v>
      </c>
      <c r="F1525" s="18">
        <f t="shared" si="1"/>
        <v>10.95</v>
      </c>
      <c r="G1525" s="17" t="str">
        <f>Github!H$1524</f>
        <v>Algorithms</v>
      </c>
      <c r="H1525" s="17" t="b">
        <f>Github!D$1524</f>
        <v>0</v>
      </c>
      <c r="I1525" s="17" t="str">
        <f>Github!E$1524</f>
        <v>Easy</v>
      </c>
      <c r="J1525" s="17" t="str">
        <f>ROUND(Github!N$1524, 2)&amp;"%"</f>
        <v>0%</v>
      </c>
      <c r="K1525" s="17">
        <f>Github!O$1524</f>
        <v>50.61870346</v>
      </c>
      <c r="L1525" s="17">
        <f>Github!P$1524</f>
        <v>46207</v>
      </c>
    </row>
    <row r="1526">
      <c r="A1526" s="17">
        <f>Github!J$1525</f>
        <v>1524</v>
      </c>
      <c r="B1526" s="34" t="str">
        <f>HYPERLINK(CONCAT("http://leetcode.com/problems/",Github!C$1525), Github!B$1525)</f>
        <v>Number of Sub-arrays With Odd Sum</v>
      </c>
      <c r="C1526" s="17">
        <f>Github!F$1525</f>
        <v>718</v>
      </c>
      <c r="D1526" s="17">
        <f>Github!G$1525</f>
        <v>29</v>
      </c>
      <c r="E1526" s="17">
        <f>Github!F$1525+Github!G$1525</f>
        <v>747</v>
      </c>
      <c r="F1526" s="18">
        <f t="shared" si="1"/>
        <v>24.76</v>
      </c>
      <c r="G1526" s="17" t="str">
        <f>Github!H$1525</f>
        <v>Algorithms</v>
      </c>
      <c r="H1526" s="17" t="b">
        <f>Github!D$1525</f>
        <v>0</v>
      </c>
      <c r="I1526" s="17" t="str">
        <f>Github!E$1525</f>
        <v>Medium</v>
      </c>
      <c r="J1526" s="17" t="str">
        <f>ROUND(Github!N$1525, 2)&amp;"%"</f>
        <v>0%</v>
      </c>
      <c r="K1526" s="17">
        <f>Github!O$1525</f>
        <v>43.5998401</v>
      </c>
      <c r="L1526" s="17">
        <f>Github!P$1525</f>
        <v>21813</v>
      </c>
    </row>
    <row r="1527">
      <c r="A1527" s="17">
        <f>Github!J$1526</f>
        <v>1525</v>
      </c>
      <c r="B1527" s="34" t="str">
        <f>HYPERLINK(CONCAT("http://leetcode.com/problems/",Github!C$1526), Github!B$1526)</f>
        <v>Number of Good Ways to Split a String</v>
      </c>
      <c r="C1527" s="17">
        <f>Github!F$1526</f>
        <v>1251</v>
      </c>
      <c r="D1527" s="17">
        <f>Github!G$1526</f>
        <v>29</v>
      </c>
      <c r="E1527" s="17">
        <f>Github!F$1526+Github!G$1526</f>
        <v>1280</v>
      </c>
      <c r="F1527" s="18">
        <f t="shared" si="1"/>
        <v>43.14</v>
      </c>
      <c r="G1527" s="17" t="str">
        <f>Github!H$1526</f>
        <v>Algorithms</v>
      </c>
      <c r="H1527" s="17" t="b">
        <f>Github!D$1526</f>
        <v>0</v>
      </c>
      <c r="I1527" s="17" t="str">
        <f>Github!E$1526</f>
        <v>Medium</v>
      </c>
      <c r="J1527" s="17" t="str">
        <f>ROUND(Github!N$1526, 2)&amp;"%"</f>
        <v>0%</v>
      </c>
      <c r="K1527" s="17">
        <f>Github!O$1526</f>
        <v>70.35928144</v>
      </c>
      <c r="L1527" s="17">
        <f>Github!P$1526</f>
        <v>66505</v>
      </c>
    </row>
    <row r="1528">
      <c r="A1528" s="17">
        <f>Github!J$1527</f>
        <v>1526</v>
      </c>
      <c r="B1528" s="34" t="str">
        <f>HYPERLINK(CONCAT("http://leetcode.com/problems/",Github!C$1527), Github!B$1527)</f>
        <v>Minimum Number of Increments on Subarrays to Form a Target Array</v>
      </c>
      <c r="C1528" s="17">
        <f>Github!F$1527</f>
        <v>801</v>
      </c>
      <c r="D1528" s="17">
        <f>Github!G$1527</f>
        <v>49</v>
      </c>
      <c r="E1528" s="17">
        <f>Github!F$1527+Github!G$1527</f>
        <v>850</v>
      </c>
      <c r="F1528" s="18">
        <f t="shared" si="1"/>
        <v>16.35</v>
      </c>
      <c r="G1528" s="17" t="str">
        <f>Github!H$1527</f>
        <v>Algorithms</v>
      </c>
      <c r="H1528" s="17" t="b">
        <f>Github!D$1527</f>
        <v>0</v>
      </c>
      <c r="I1528" s="17" t="str">
        <f>Github!E$1527</f>
        <v>Hard</v>
      </c>
      <c r="J1528" s="17" t="str">
        <f>ROUND(Github!N$1527, 2)&amp;"%"</f>
        <v>0%</v>
      </c>
      <c r="K1528" s="17">
        <f>Github!O$1527</f>
        <v>67.87024635</v>
      </c>
      <c r="L1528" s="17">
        <f>Github!P$1527</f>
        <v>23306</v>
      </c>
    </row>
    <row r="1529">
      <c r="A1529" s="17">
        <f>Github!J$1528</f>
        <v>1527</v>
      </c>
      <c r="B1529" s="34" t="str">
        <f>HYPERLINK(CONCAT("http://leetcode.com/problems/",Github!C$1528), Github!B$1528)</f>
        <v>Patients With a Condition</v>
      </c>
      <c r="C1529" s="17">
        <f>Github!F$1528</f>
        <v>38</v>
      </c>
      <c r="D1529" s="17">
        <f>Github!G$1528</f>
        <v>93</v>
      </c>
      <c r="E1529" s="17">
        <f>Github!F$1528+Github!G$1528</f>
        <v>131</v>
      </c>
      <c r="F1529" s="18">
        <f t="shared" si="1"/>
        <v>0.41</v>
      </c>
      <c r="G1529" s="17" t="str">
        <f>Github!H$1528</f>
        <v>Database</v>
      </c>
      <c r="H1529" s="17" t="b">
        <f>Github!D$1528</f>
        <v>1</v>
      </c>
      <c r="I1529" s="17" t="str">
        <f>Github!E$1528</f>
        <v>Easy</v>
      </c>
      <c r="J1529" s="17" t="str">
        <f>ROUND(Github!N$1528, 2)&amp;"%"</f>
        <v>0%</v>
      </c>
      <c r="K1529" s="17">
        <f>Github!O$1528</f>
        <v>51.45353722</v>
      </c>
      <c r="L1529" s="17">
        <f>Github!P$1528</f>
        <v>15310</v>
      </c>
    </row>
    <row r="1530">
      <c r="A1530" s="17">
        <f>Github!J$1529</f>
        <v>1528</v>
      </c>
      <c r="B1530" s="34" t="str">
        <f>HYPERLINK(CONCAT("http://leetcode.com/problems/",Github!C$1529), Github!B$1529)</f>
        <v>Shuffle String</v>
      </c>
      <c r="C1530" s="17">
        <f>Github!F$1529</f>
        <v>1264</v>
      </c>
      <c r="D1530" s="17">
        <f>Github!G$1529</f>
        <v>243</v>
      </c>
      <c r="E1530" s="17">
        <f>Github!F$1529+Github!G$1529</f>
        <v>1507</v>
      </c>
      <c r="F1530" s="18">
        <f t="shared" si="1"/>
        <v>5.2</v>
      </c>
      <c r="G1530" s="17" t="str">
        <f>Github!H$1529</f>
        <v>Algorithms</v>
      </c>
      <c r="H1530" s="17" t="b">
        <f>Github!D$1529</f>
        <v>0</v>
      </c>
      <c r="I1530" s="17" t="str">
        <f>Github!E$1529</f>
        <v>Easy</v>
      </c>
      <c r="J1530" s="17" t="str">
        <f>ROUND(Github!N$1529, 2)&amp;"%"</f>
        <v>0%</v>
      </c>
      <c r="K1530" s="17">
        <f>Github!O$1529</f>
        <v>85.78897684</v>
      </c>
      <c r="L1530" s="17">
        <f>Github!P$1529</f>
        <v>189020</v>
      </c>
    </row>
    <row r="1531">
      <c r="A1531" s="17">
        <f>Github!J$1530</f>
        <v>1529</v>
      </c>
      <c r="B1531" s="34" t="str">
        <f>HYPERLINK(CONCAT("http://leetcode.com/problems/",Github!C$1530), Github!B$1530)</f>
        <v>Minimum Suffix Flips</v>
      </c>
      <c r="C1531" s="17">
        <f>Github!F$1530</f>
        <v>611</v>
      </c>
      <c r="D1531" s="17">
        <f>Github!G$1530</f>
        <v>30</v>
      </c>
      <c r="E1531" s="17">
        <f>Github!F$1530+Github!G$1530</f>
        <v>641</v>
      </c>
      <c r="F1531" s="18">
        <f t="shared" si="1"/>
        <v>20.37</v>
      </c>
      <c r="G1531" s="17" t="str">
        <f>Github!H$1530</f>
        <v>Algorithms</v>
      </c>
      <c r="H1531" s="17" t="b">
        <f>Github!D$1530</f>
        <v>0</v>
      </c>
      <c r="I1531" s="17" t="str">
        <f>Github!E$1530</f>
        <v>Medium</v>
      </c>
      <c r="J1531" s="17" t="str">
        <f>ROUND(Github!N$1530, 2)&amp;"%"</f>
        <v>0%</v>
      </c>
      <c r="K1531" s="17">
        <f>Github!O$1530</f>
        <v>72.41895721</v>
      </c>
      <c r="L1531" s="17">
        <f>Github!P$1530</f>
        <v>31431</v>
      </c>
    </row>
    <row r="1532">
      <c r="A1532" s="17">
        <f>Github!J$1531</f>
        <v>1530</v>
      </c>
      <c r="B1532" s="34" t="str">
        <f>HYPERLINK(CONCAT("http://leetcode.com/problems/",Github!C$1531), Github!B$1531)</f>
        <v>Number of Good Leaf Nodes Pairs</v>
      </c>
      <c r="C1532" s="17">
        <f>Github!F$1531</f>
        <v>1025</v>
      </c>
      <c r="D1532" s="17">
        <f>Github!G$1531</f>
        <v>21</v>
      </c>
      <c r="E1532" s="17">
        <f>Github!F$1531+Github!G$1531</f>
        <v>1046</v>
      </c>
      <c r="F1532" s="18">
        <f t="shared" si="1"/>
        <v>48.81</v>
      </c>
      <c r="G1532" s="17" t="str">
        <f>Github!H$1531</f>
        <v>Algorithms</v>
      </c>
      <c r="H1532" s="17" t="b">
        <f>Github!D$1531</f>
        <v>0</v>
      </c>
      <c r="I1532" s="17" t="str">
        <f>Github!E$1531</f>
        <v>Medium</v>
      </c>
      <c r="J1532" s="17" t="str">
        <f>ROUND(Github!N$1531, 2)&amp;"%"</f>
        <v>0%</v>
      </c>
      <c r="K1532" s="17">
        <f>Github!O$1531</f>
        <v>59.48557027</v>
      </c>
      <c r="L1532" s="17">
        <f>Github!P$1531</f>
        <v>24075</v>
      </c>
    </row>
    <row r="1533">
      <c r="A1533" s="17">
        <f>Github!J$1532</f>
        <v>1531</v>
      </c>
      <c r="B1533" s="34" t="str">
        <f>HYPERLINK(CONCAT("http://leetcode.com/problems/",Github!C$1532), Github!B$1532)</f>
        <v>String Compression II</v>
      </c>
      <c r="C1533" s="17">
        <f>Github!F$1532</f>
        <v>440</v>
      </c>
      <c r="D1533" s="17">
        <f>Github!G$1532</f>
        <v>47</v>
      </c>
      <c r="E1533" s="17">
        <f>Github!F$1532+Github!G$1532</f>
        <v>487</v>
      </c>
      <c r="F1533" s="18">
        <f t="shared" si="1"/>
        <v>9.36</v>
      </c>
      <c r="G1533" s="17" t="str">
        <f>Github!H$1532</f>
        <v>Algorithms</v>
      </c>
      <c r="H1533" s="17" t="b">
        <f>Github!D$1532</f>
        <v>0</v>
      </c>
      <c r="I1533" s="17" t="str">
        <f>Github!E$1532</f>
        <v>Hard</v>
      </c>
      <c r="J1533" s="17" t="str">
        <f>ROUND(Github!N$1532, 2)&amp;"%"</f>
        <v>0%</v>
      </c>
      <c r="K1533" s="17">
        <f>Github!O$1532</f>
        <v>37.59531003</v>
      </c>
      <c r="L1533" s="17">
        <f>Github!P$1532</f>
        <v>10453</v>
      </c>
    </row>
    <row r="1534">
      <c r="A1534" s="17">
        <f>Github!J$1533</f>
        <v>1532</v>
      </c>
      <c r="B1534" s="34" t="str">
        <f>HYPERLINK(CONCAT("http://leetcode.com/problems/",Github!C$1533), Github!B$1533)</f>
        <v>The Most Recent Three Orders</v>
      </c>
      <c r="C1534" s="17">
        <f>Github!F$1533</f>
        <v>80</v>
      </c>
      <c r="D1534" s="17">
        <f>Github!G$1533</f>
        <v>5</v>
      </c>
      <c r="E1534" s="17">
        <f>Github!F$1533+Github!G$1533</f>
        <v>85</v>
      </c>
      <c r="F1534" s="18">
        <f t="shared" si="1"/>
        <v>16</v>
      </c>
      <c r="G1534" s="17" t="str">
        <f>Github!H$1533</f>
        <v>Database</v>
      </c>
      <c r="H1534" s="17" t="b">
        <f>Github!D$1533</f>
        <v>1</v>
      </c>
      <c r="I1534" s="17" t="str">
        <f>Github!E$1533</f>
        <v>Medium</v>
      </c>
      <c r="J1534" s="17" t="str">
        <f>ROUND(Github!N$1533, 2)&amp;"%"</f>
        <v>0%</v>
      </c>
      <c r="K1534" s="17">
        <f>Github!O$1533</f>
        <v>71.19755682</v>
      </c>
      <c r="L1534" s="17">
        <f>Github!P$1533</f>
        <v>14221</v>
      </c>
    </row>
    <row r="1535">
      <c r="A1535" s="17">
        <f>Github!J$1534</f>
        <v>1533</v>
      </c>
      <c r="B1535" s="34" t="str">
        <f>HYPERLINK(CONCAT("http://leetcode.com/problems/",Github!C$1534), Github!B$1534)</f>
        <v>Find the Index of the Large Integer</v>
      </c>
      <c r="C1535" s="17">
        <f>Github!F$1534</f>
        <v>80</v>
      </c>
      <c r="D1535" s="17">
        <f>Github!G$1534</f>
        <v>11</v>
      </c>
      <c r="E1535" s="17">
        <f>Github!F$1534+Github!G$1534</f>
        <v>91</v>
      </c>
      <c r="F1535" s="18">
        <f t="shared" si="1"/>
        <v>7.27</v>
      </c>
      <c r="G1535" s="17" t="str">
        <f>Github!H$1534</f>
        <v>Algorithms</v>
      </c>
      <c r="H1535" s="17" t="b">
        <f>Github!D$1534</f>
        <v>1</v>
      </c>
      <c r="I1535" s="17" t="str">
        <f>Github!E$1534</f>
        <v>Medium</v>
      </c>
      <c r="J1535" s="17" t="str">
        <f>ROUND(Github!N$1534, 2)&amp;"%"</f>
        <v>0%</v>
      </c>
      <c r="K1535" s="17">
        <f>Github!O$1534</f>
        <v>50.71625706</v>
      </c>
      <c r="L1535" s="17">
        <f>Github!P$1534</f>
        <v>3859</v>
      </c>
    </row>
    <row r="1536">
      <c r="A1536" s="17">
        <f>Github!J$1535</f>
        <v>1534</v>
      </c>
      <c r="B1536" s="34" t="str">
        <f>HYPERLINK(CONCAT("http://leetcode.com/problems/",Github!C$1535), Github!B$1535)</f>
        <v>Count Good Triplets</v>
      </c>
      <c r="C1536" s="17">
        <f>Github!F$1535</f>
        <v>398</v>
      </c>
      <c r="D1536" s="17">
        <f>Github!G$1535</f>
        <v>844</v>
      </c>
      <c r="E1536" s="17">
        <f>Github!F$1535+Github!G$1535</f>
        <v>1242</v>
      </c>
      <c r="F1536" s="18">
        <f t="shared" si="1"/>
        <v>0.47</v>
      </c>
      <c r="G1536" s="17" t="str">
        <f>Github!H$1535</f>
        <v>Algorithms</v>
      </c>
      <c r="H1536" s="17" t="b">
        <f>Github!D$1535</f>
        <v>0</v>
      </c>
      <c r="I1536" s="17" t="str">
        <f>Github!E$1535</f>
        <v>Easy</v>
      </c>
      <c r="J1536" s="17" t="str">
        <f>ROUND(Github!N$1535, 2)&amp;"%"</f>
        <v>0%</v>
      </c>
      <c r="K1536" s="17">
        <f>Github!O$1535</f>
        <v>80.51703745</v>
      </c>
      <c r="L1536" s="17">
        <f>Github!P$1535</f>
        <v>71478</v>
      </c>
    </row>
    <row r="1537">
      <c r="A1537" s="17">
        <f>Github!J$1536</f>
        <v>1535</v>
      </c>
      <c r="B1537" s="34" t="str">
        <f>HYPERLINK(CONCAT("http://leetcode.com/problems/",Github!C$1536), Github!B$1536)</f>
        <v>Find the Winner of an Array Game</v>
      </c>
      <c r="C1537" s="17">
        <f>Github!F$1536</f>
        <v>440</v>
      </c>
      <c r="D1537" s="17">
        <f>Github!G$1536</f>
        <v>25</v>
      </c>
      <c r="E1537" s="17">
        <f>Github!F$1536+Github!G$1536</f>
        <v>465</v>
      </c>
      <c r="F1537" s="18">
        <f t="shared" si="1"/>
        <v>17.6</v>
      </c>
      <c r="G1537" s="17" t="str">
        <f>Github!H$1536</f>
        <v>Algorithms</v>
      </c>
      <c r="H1537" s="17" t="b">
        <f>Github!D$1536</f>
        <v>0</v>
      </c>
      <c r="I1537" s="17" t="str">
        <f>Github!E$1536</f>
        <v>Medium</v>
      </c>
      <c r="J1537" s="17" t="str">
        <f>ROUND(Github!N$1536, 2)&amp;"%"</f>
        <v>0%</v>
      </c>
      <c r="K1537" s="17">
        <f>Github!O$1536</f>
        <v>48.79027306</v>
      </c>
      <c r="L1537" s="17">
        <f>Github!P$1536</f>
        <v>23836</v>
      </c>
    </row>
    <row r="1538">
      <c r="A1538" s="17">
        <f>Github!J$1537</f>
        <v>1536</v>
      </c>
      <c r="B1538" s="34" t="str">
        <f>HYPERLINK(CONCAT("http://leetcode.com/problems/",Github!C$1537), Github!B$1537)</f>
        <v>Minimum Swaps to Arrange a Binary Grid</v>
      </c>
      <c r="C1538" s="17">
        <f>Github!F$1537</f>
        <v>415</v>
      </c>
      <c r="D1538" s="17">
        <f>Github!G$1537</f>
        <v>59</v>
      </c>
      <c r="E1538" s="17">
        <f>Github!F$1537+Github!G$1537</f>
        <v>474</v>
      </c>
      <c r="F1538" s="18">
        <f t="shared" si="1"/>
        <v>7.03</v>
      </c>
      <c r="G1538" s="17" t="str">
        <f>Github!H$1537</f>
        <v>Algorithms</v>
      </c>
      <c r="H1538" s="17" t="b">
        <f>Github!D$1537</f>
        <v>0</v>
      </c>
      <c r="I1538" s="17" t="str">
        <f>Github!E$1537</f>
        <v>Medium</v>
      </c>
      <c r="J1538" s="17" t="str">
        <f>ROUND(Github!N$1537, 2)&amp;"%"</f>
        <v>0%</v>
      </c>
      <c r="K1538" s="17">
        <f>Github!O$1537</f>
        <v>45.59777187</v>
      </c>
      <c r="L1538" s="17">
        <f>Github!P$1537</f>
        <v>10969</v>
      </c>
    </row>
    <row r="1539">
      <c r="A1539" s="17">
        <f>Github!J$1538</f>
        <v>1537</v>
      </c>
      <c r="B1539" s="34" t="str">
        <f>HYPERLINK(CONCAT("http://leetcode.com/problems/",Github!C$1538), Github!B$1538)</f>
        <v>Get the Maximum Score</v>
      </c>
      <c r="C1539" s="17">
        <f>Github!F$1538</f>
        <v>552</v>
      </c>
      <c r="D1539" s="17">
        <f>Github!G$1538</f>
        <v>32</v>
      </c>
      <c r="E1539" s="17">
        <f>Github!F$1538+Github!G$1538</f>
        <v>584</v>
      </c>
      <c r="F1539" s="18">
        <f t="shared" si="1"/>
        <v>17.25</v>
      </c>
      <c r="G1539" s="17" t="str">
        <f>Github!H$1538</f>
        <v>Algorithms</v>
      </c>
      <c r="H1539" s="17" t="b">
        <f>Github!D$1538</f>
        <v>0</v>
      </c>
      <c r="I1539" s="17" t="str">
        <f>Github!E$1538</f>
        <v>Hard</v>
      </c>
      <c r="J1539" s="17" t="str">
        <f>ROUND(Github!N$1538, 2)&amp;"%"</f>
        <v>0%</v>
      </c>
      <c r="K1539" s="17">
        <f>Github!O$1538</f>
        <v>38.96330095</v>
      </c>
      <c r="L1539" s="17">
        <f>Github!P$1538</f>
        <v>15883</v>
      </c>
    </row>
    <row r="1540">
      <c r="A1540" s="17">
        <f>Github!J$1539</f>
        <v>1538</v>
      </c>
      <c r="B1540" s="34" t="str">
        <f>HYPERLINK(CONCAT("http://leetcode.com/problems/",Github!C$1539), Github!B$1539)</f>
        <v>Guess the Majority in a Hidden Array</v>
      </c>
      <c r="C1540" s="17">
        <f>Github!F$1539</f>
        <v>63</v>
      </c>
      <c r="D1540" s="17">
        <f>Github!G$1539</f>
        <v>33</v>
      </c>
      <c r="E1540" s="17">
        <f>Github!F$1539+Github!G$1539</f>
        <v>96</v>
      </c>
      <c r="F1540" s="18">
        <f t="shared" si="1"/>
        <v>1.91</v>
      </c>
      <c r="G1540" s="17" t="str">
        <f>Github!H$1539</f>
        <v>Algorithms</v>
      </c>
      <c r="H1540" s="17" t="b">
        <f>Github!D$1539</f>
        <v>1</v>
      </c>
      <c r="I1540" s="17" t="str">
        <f>Github!E$1539</f>
        <v>Medium</v>
      </c>
      <c r="J1540" s="17" t="str">
        <f>ROUND(Github!N$1539, 2)&amp;"%"</f>
        <v>0%</v>
      </c>
      <c r="K1540" s="17">
        <f>Github!O$1539</f>
        <v>61.85958254</v>
      </c>
      <c r="L1540" s="17">
        <f>Github!P$1539</f>
        <v>1304</v>
      </c>
    </row>
    <row r="1541">
      <c r="A1541" s="17">
        <f>Github!J$1540</f>
        <v>1539</v>
      </c>
      <c r="B1541" s="34" t="str">
        <f>HYPERLINK(CONCAT("http://leetcode.com/problems/",Github!C$1540), Github!B$1540)</f>
        <v>Kth Missing Positive Number</v>
      </c>
      <c r="C1541" s="17">
        <f>Github!F$1540</f>
        <v>2159</v>
      </c>
      <c r="D1541" s="17">
        <f>Github!G$1540</f>
        <v>160</v>
      </c>
      <c r="E1541" s="17">
        <f>Github!F$1540+Github!G$1540</f>
        <v>2319</v>
      </c>
      <c r="F1541" s="18">
        <f t="shared" si="1"/>
        <v>13.49</v>
      </c>
      <c r="G1541" s="17" t="str">
        <f>Github!H$1540</f>
        <v>Algorithms</v>
      </c>
      <c r="H1541" s="17" t="b">
        <f>Github!D$1540</f>
        <v>0</v>
      </c>
      <c r="I1541" s="17" t="str">
        <f>Github!E$1540</f>
        <v>Easy</v>
      </c>
      <c r="J1541" s="17" t="str">
        <f>ROUND(Github!N$1540, 2)&amp;"%"</f>
        <v>0%</v>
      </c>
      <c r="K1541" s="17">
        <f>Github!O$1540</f>
        <v>55.23710168</v>
      </c>
      <c r="L1541" s="17">
        <f>Github!P$1540</f>
        <v>147720</v>
      </c>
    </row>
    <row r="1542">
      <c r="A1542" s="17">
        <f>Github!J$1541</f>
        <v>1540</v>
      </c>
      <c r="B1542" s="34" t="str">
        <f>HYPERLINK(CONCAT("http://leetcode.com/problems/",Github!C$1541), Github!B$1541)</f>
        <v>Can Convert String in K Moves</v>
      </c>
      <c r="C1542" s="17">
        <f>Github!F$1541</f>
        <v>271</v>
      </c>
      <c r="D1542" s="17">
        <f>Github!G$1541</f>
        <v>224</v>
      </c>
      <c r="E1542" s="17">
        <f>Github!F$1541+Github!G$1541</f>
        <v>495</v>
      </c>
      <c r="F1542" s="18">
        <f t="shared" si="1"/>
        <v>1.21</v>
      </c>
      <c r="G1542" s="17" t="str">
        <f>Github!H$1541</f>
        <v>Algorithms</v>
      </c>
      <c r="H1542" s="17" t="b">
        <f>Github!D$1541</f>
        <v>0</v>
      </c>
      <c r="I1542" s="17" t="str">
        <f>Github!E$1541</f>
        <v>Medium</v>
      </c>
      <c r="J1542" s="17" t="str">
        <f>ROUND(Github!N$1541, 2)&amp;"%"</f>
        <v>0%</v>
      </c>
      <c r="K1542" s="17">
        <f>Github!O$1541</f>
        <v>32.4059928</v>
      </c>
      <c r="L1542" s="17">
        <f>Github!P$1541</f>
        <v>13151</v>
      </c>
    </row>
    <row r="1543">
      <c r="A1543" s="17">
        <f>Github!J$1542</f>
        <v>1541</v>
      </c>
      <c r="B1543" s="34" t="str">
        <f>HYPERLINK(CONCAT("http://leetcode.com/problems/",Github!C$1542), Github!B$1542)</f>
        <v>Minimum Insertions to Balance a Parentheses String</v>
      </c>
      <c r="C1543" s="17">
        <f>Github!F$1542</f>
        <v>596</v>
      </c>
      <c r="D1543" s="17">
        <f>Github!G$1542</f>
        <v>122</v>
      </c>
      <c r="E1543" s="17">
        <f>Github!F$1542+Github!G$1542</f>
        <v>718</v>
      </c>
      <c r="F1543" s="18">
        <f t="shared" si="1"/>
        <v>4.89</v>
      </c>
      <c r="G1543" s="17" t="str">
        <f>Github!H$1542</f>
        <v>Algorithms</v>
      </c>
      <c r="H1543" s="17" t="b">
        <f>Github!D$1542</f>
        <v>0</v>
      </c>
      <c r="I1543" s="17" t="str">
        <f>Github!E$1542</f>
        <v>Medium</v>
      </c>
      <c r="J1543" s="17" t="str">
        <f>ROUND(Github!N$1542, 2)&amp;"%"</f>
        <v>0%</v>
      </c>
      <c r="K1543" s="17">
        <f>Github!O$1542</f>
        <v>48.95508623</v>
      </c>
      <c r="L1543" s="17">
        <f>Github!P$1542</f>
        <v>26541</v>
      </c>
    </row>
    <row r="1544">
      <c r="A1544" s="17">
        <f>Github!J$1543</f>
        <v>1542</v>
      </c>
      <c r="B1544" s="34" t="str">
        <f>HYPERLINK(CONCAT("http://leetcode.com/problems/",Github!C$1543), Github!B$1543)</f>
        <v>Find Longest Awesome Substring</v>
      </c>
      <c r="C1544" s="17">
        <f>Github!F$1543</f>
        <v>495</v>
      </c>
      <c r="D1544" s="17">
        <f>Github!G$1543</f>
        <v>11</v>
      </c>
      <c r="E1544" s="17">
        <f>Github!F$1543+Github!G$1543</f>
        <v>506</v>
      </c>
      <c r="F1544" s="18">
        <f t="shared" si="1"/>
        <v>45</v>
      </c>
      <c r="G1544" s="17" t="str">
        <f>Github!H$1543</f>
        <v>Algorithms</v>
      </c>
      <c r="H1544" s="17" t="b">
        <f>Github!D$1543</f>
        <v>0</v>
      </c>
      <c r="I1544" s="17" t="str">
        <f>Github!E$1543</f>
        <v>Hard</v>
      </c>
      <c r="J1544" s="17" t="str">
        <f>ROUND(Github!N$1543, 2)&amp;"%"</f>
        <v>0%</v>
      </c>
      <c r="K1544" s="17">
        <f>Github!O$1543</f>
        <v>40.36380817</v>
      </c>
      <c r="L1544" s="17">
        <f>Github!P$1543</f>
        <v>8543</v>
      </c>
    </row>
    <row r="1545">
      <c r="A1545" s="17">
        <f>Github!J$1544</f>
        <v>1543</v>
      </c>
      <c r="B1545" s="34" t="str">
        <f>HYPERLINK(CONCAT("http://leetcode.com/problems/",Github!C$1544), Github!B$1544)</f>
        <v>Fix Product Name Format</v>
      </c>
      <c r="C1545" s="17">
        <f>Github!F$1544</f>
        <v>53</v>
      </c>
      <c r="D1545" s="17">
        <f>Github!G$1544</f>
        <v>32</v>
      </c>
      <c r="E1545" s="17">
        <f>Github!F$1544+Github!G$1544</f>
        <v>85</v>
      </c>
      <c r="F1545" s="18">
        <f t="shared" si="1"/>
        <v>1.66</v>
      </c>
      <c r="G1545" s="17" t="str">
        <f>Github!H$1544</f>
        <v>Database</v>
      </c>
      <c r="H1545" s="17" t="b">
        <f>Github!D$1544</f>
        <v>1</v>
      </c>
      <c r="I1545" s="17" t="str">
        <f>Github!E$1544</f>
        <v>Easy</v>
      </c>
      <c r="J1545" s="17" t="str">
        <f>ROUND(Github!N$1544, 2)&amp;"%"</f>
        <v>0%</v>
      </c>
      <c r="K1545" s="17">
        <f>Github!O$1544</f>
        <v>63.28452424</v>
      </c>
      <c r="L1545" s="17">
        <f>Github!P$1544</f>
        <v>12231</v>
      </c>
    </row>
    <row r="1546">
      <c r="A1546" s="17">
        <f>Github!J$1545</f>
        <v>1544</v>
      </c>
      <c r="B1546" s="34" t="str">
        <f>HYPERLINK(CONCAT("http://leetcode.com/problems/",Github!C$1545), Github!B$1545)</f>
        <v>Make The String Great</v>
      </c>
      <c r="C1546" s="17">
        <f>Github!F$1545</f>
        <v>670</v>
      </c>
      <c r="D1546" s="17">
        <f>Github!G$1545</f>
        <v>50</v>
      </c>
      <c r="E1546" s="17">
        <f>Github!F$1545+Github!G$1545</f>
        <v>720</v>
      </c>
      <c r="F1546" s="18">
        <f t="shared" si="1"/>
        <v>13.4</v>
      </c>
      <c r="G1546" s="17" t="str">
        <f>Github!H$1545</f>
        <v>Algorithms</v>
      </c>
      <c r="H1546" s="17" t="b">
        <f>Github!D$1545</f>
        <v>0</v>
      </c>
      <c r="I1546" s="17" t="str">
        <f>Github!E$1545</f>
        <v>Easy</v>
      </c>
      <c r="J1546" s="17" t="str">
        <f>ROUND(Github!N$1545, 2)&amp;"%"</f>
        <v>0%</v>
      </c>
      <c r="K1546" s="17">
        <f>Github!O$1545</f>
        <v>56.37909343</v>
      </c>
      <c r="L1546" s="17">
        <f>Github!P$1545</f>
        <v>46156</v>
      </c>
    </row>
    <row r="1547">
      <c r="A1547" s="17">
        <f>Github!J$1546</f>
        <v>1545</v>
      </c>
      <c r="B1547" s="34" t="str">
        <f>HYPERLINK(CONCAT("http://leetcode.com/problems/",Github!C$1546), Github!B$1546)</f>
        <v>Find Kth Bit in Nth Binary String</v>
      </c>
      <c r="C1547" s="17">
        <f>Github!F$1546</f>
        <v>447</v>
      </c>
      <c r="D1547" s="17">
        <f>Github!G$1546</f>
        <v>38</v>
      </c>
      <c r="E1547" s="17">
        <f>Github!F$1546+Github!G$1546</f>
        <v>485</v>
      </c>
      <c r="F1547" s="18">
        <f t="shared" si="1"/>
        <v>11.76</v>
      </c>
      <c r="G1547" s="17" t="str">
        <f>Github!H$1546</f>
        <v>Algorithms</v>
      </c>
      <c r="H1547" s="17" t="b">
        <f>Github!D$1546</f>
        <v>0</v>
      </c>
      <c r="I1547" s="17" t="str">
        <f>Github!E$1546</f>
        <v>Medium</v>
      </c>
      <c r="J1547" s="17" t="str">
        <f>ROUND(Github!N$1546, 2)&amp;"%"</f>
        <v>0%</v>
      </c>
      <c r="K1547" s="17">
        <f>Github!O$1546</f>
        <v>58.03215434</v>
      </c>
      <c r="L1547" s="17">
        <f>Github!P$1546</f>
        <v>22560</v>
      </c>
    </row>
    <row r="1548">
      <c r="A1548" s="17">
        <f>Github!J$1547</f>
        <v>1546</v>
      </c>
      <c r="B1548" s="34" t="str">
        <f>HYPERLINK(CONCAT("http://leetcode.com/problems/",Github!C$1547), Github!B$1547)</f>
        <v>Maximum Number of Non-Overlapping Subarrays With Sum Equals Target</v>
      </c>
      <c r="C1548" s="17">
        <f>Github!F$1547</f>
        <v>701</v>
      </c>
      <c r="D1548" s="17">
        <f>Github!G$1547</f>
        <v>15</v>
      </c>
      <c r="E1548" s="17">
        <f>Github!F$1547+Github!G$1547</f>
        <v>716</v>
      </c>
      <c r="F1548" s="18">
        <f t="shared" si="1"/>
        <v>46.73</v>
      </c>
      <c r="G1548" s="17" t="str">
        <f>Github!H$1547</f>
        <v>Algorithms</v>
      </c>
      <c r="H1548" s="17" t="b">
        <f>Github!D$1547</f>
        <v>0</v>
      </c>
      <c r="I1548" s="17" t="str">
        <f>Github!E$1547</f>
        <v>Medium</v>
      </c>
      <c r="J1548" s="17" t="str">
        <f>ROUND(Github!N$1547, 2)&amp;"%"</f>
        <v>0%</v>
      </c>
      <c r="K1548" s="17">
        <f>Github!O$1547</f>
        <v>46.12413724</v>
      </c>
      <c r="L1548" s="17">
        <f>Github!P$1547</f>
        <v>18510</v>
      </c>
    </row>
    <row r="1549">
      <c r="A1549" s="17">
        <f>Github!J$1548</f>
        <v>1547</v>
      </c>
      <c r="B1549" s="34" t="str">
        <f>HYPERLINK(CONCAT("http://leetcode.com/problems/",Github!C$1548), Github!B$1548)</f>
        <v>Minimum Cost to Cut a Stick</v>
      </c>
      <c r="C1549" s="17">
        <f>Github!F$1548</f>
        <v>1068</v>
      </c>
      <c r="D1549" s="17">
        <f>Github!G$1548</f>
        <v>21</v>
      </c>
      <c r="E1549" s="17">
        <f>Github!F$1548+Github!G$1548</f>
        <v>1089</v>
      </c>
      <c r="F1549" s="18">
        <f t="shared" si="1"/>
        <v>50.86</v>
      </c>
      <c r="G1549" s="17" t="str">
        <f>Github!H$1548</f>
        <v>Algorithms</v>
      </c>
      <c r="H1549" s="17" t="b">
        <f>Github!D$1548</f>
        <v>0</v>
      </c>
      <c r="I1549" s="17" t="str">
        <f>Github!E$1548</f>
        <v>Hard</v>
      </c>
      <c r="J1549" s="17" t="str">
        <f>ROUND(Github!N$1548, 2)&amp;"%"</f>
        <v>0%</v>
      </c>
      <c r="K1549" s="17">
        <f>Github!O$1548</f>
        <v>54.98279982</v>
      </c>
      <c r="L1549" s="17">
        <f>Github!P$1548</f>
        <v>20938</v>
      </c>
    </row>
    <row r="1550">
      <c r="A1550" s="17">
        <f>Github!J$1549</f>
        <v>1548</v>
      </c>
      <c r="B1550" s="34" t="str">
        <f>HYPERLINK(CONCAT("http://leetcode.com/problems/",Github!C$1549), Github!B$1549)</f>
        <v>The Most Similar Path in a Graph</v>
      </c>
      <c r="C1550" s="17">
        <f>Github!F$1549</f>
        <v>279</v>
      </c>
      <c r="D1550" s="17">
        <f>Github!G$1549</f>
        <v>134</v>
      </c>
      <c r="E1550" s="17">
        <f>Github!F$1549+Github!G$1549</f>
        <v>413</v>
      </c>
      <c r="F1550" s="18">
        <f t="shared" si="1"/>
        <v>2.08</v>
      </c>
      <c r="G1550" s="17" t="str">
        <f>Github!H$1549</f>
        <v>Algorithms</v>
      </c>
      <c r="H1550" s="17" t="b">
        <f>Github!D$1549</f>
        <v>1</v>
      </c>
      <c r="I1550" s="17" t="str">
        <f>Github!E$1549</f>
        <v>Hard</v>
      </c>
      <c r="J1550" s="17" t="str">
        <f>ROUND(Github!N$1549, 2)&amp;"%"</f>
        <v>0%</v>
      </c>
      <c r="K1550" s="17">
        <f>Github!O$1549</f>
        <v>57.04721329</v>
      </c>
      <c r="L1550" s="17">
        <f>Github!P$1549</f>
        <v>13122</v>
      </c>
    </row>
    <row r="1551">
      <c r="A1551" s="17">
        <f>Github!J$1550</f>
        <v>1549</v>
      </c>
      <c r="B1551" s="34" t="str">
        <f>HYPERLINK(CONCAT("http://leetcode.com/problems/",Github!C$1550), Github!B$1550)</f>
        <v>The Most Recent Orders for Each Product</v>
      </c>
      <c r="C1551" s="17">
        <f>Github!F$1550</f>
        <v>57</v>
      </c>
      <c r="D1551" s="17">
        <f>Github!G$1550</f>
        <v>4</v>
      </c>
      <c r="E1551" s="17">
        <f>Github!F$1550+Github!G$1550</f>
        <v>61</v>
      </c>
      <c r="F1551" s="18">
        <f t="shared" si="1"/>
        <v>14.25</v>
      </c>
      <c r="G1551" s="17" t="str">
        <f>Github!H$1550</f>
        <v>Database</v>
      </c>
      <c r="H1551" s="17" t="b">
        <f>Github!D$1550</f>
        <v>1</v>
      </c>
      <c r="I1551" s="17" t="str">
        <f>Github!E$1550</f>
        <v>Medium</v>
      </c>
      <c r="J1551" s="17" t="str">
        <f>ROUND(Github!N$1550, 2)&amp;"%"</f>
        <v>0%</v>
      </c>
      <c r="K1551" s="17">
        <f>Github!O$1550</f>
        <v>67.76632302</v>
      </c>
      <c r="L1551" s="17">
        <f>Github!P$1550</f>
        <v>11832</v>
      </c>
    </row>
    <row r="1552">
      <c r="A1552" s="17">
        <f>Github!J$1551</f>
        <v>1550</v>
      </c>
      <c r="B1552" s="34" t="str">
        <f>HYPERLINK(CONCAT("http://leetcode.com/problems/",Github!C$1551), Github!B$1551)</f>
        <v>Three Consecutive Odds</v>
      </c>
      <c r="C1552" s="17">
        <f>Github!F$1551</f>
        <v>337</v>
      </c>
      <c r="D1552" s="17">
        <f>Github!G$1551</f>
        <v>46</v>
      </c>
      <c r="E1552" s="17">
        <f>Github!F$1551+Github!G$1551</f>
        <v>383</v>
      </c>
      <c r="F1552" s="18">
        <f t="shared" si="1"/>
        <v>7.33</v>
      </c>
      <c r="G1552" s="17" t="str">
        <f>Github!H$1551</f>
        <v>Algorithms</v>
      </c>
      <c r="H1552" s="17" t="b">
        <f>Github!D$1551</f>
        <v>0</v>
      </c>
      <c r="I1552" s="17" t="str">
        <f>Github!E$1551</f>
        <v>Easy</v>
      </c>
      <c r="J1552" s="17" t="str">
        <f>ROUND(Github!N$1551, 2)&amp;"%"</f>
        <v>0%</v>
      </c>
      <c r="K1552" s="17">
        <f>Github!O$1551</f>
        <v>64.22948936</v>
      </c>
      <c r="L1552" s="17">
        <f>Github!P$1551</f>
        <v>48060</v>
      </c>
    </row>
    <row r="1553">
      <c r="A1553" s="17">
        <f>Github!J$1552</f>
        <v>1551</v>
      </c>
      <c r="B1553" s="34" t="str">
        <f>HYPERLINK(CONCAT("http://leetcode.com/problems/",Github!C$1552), Github!B$1552)</f>
        <v>Minimum Operations to Make Array Equal</v>
      </c>
      <c r="C1553" s="17">
        <f>Github!F$1552</f>
        <v>764</v>
      </c>
      <c r="D1553" s="17">
        <f>Github!G$1552</f>
        <v>131</v>
      </c>
      <c r="E1553" s="17">
        <f>Github!F$1552+Github!G$1552</f>
        <v>895</v>
      </c>
      <c r="F1553" s="18">
        <f t="shared" si="1"/>
        <v>5.83</v>
      </c>
      <c r="G1553" s="17" t="str">
        <f>Github!H$1552</f>
        <v>Algorithms</v>
      </c>
      <c r="H1553" s="17" t="b">
        <f>Github!D$1552</f>
        <v>0</v>
      </c>
      <c r="I1553" s="17" t="str">
        <f>Github!E$1552</f>
        <v>Medium</v>
      </c>
      <c r="J1553" s="17" t="str">
        <f>ROUND(Github!N$1552, 2)&amp;"%"</f>
        <v>0%</v>
      </c>
      <c r="K1553" s="17">
        <f>Github!O$1552</f>
        <v>80.74490781</v>
      </c>
      <c r="L1553" s="17">
        <f>Github!P$1552</f>
        <v>63585</v>
      </c>
    </row>
    <row r="1554">
      <c r="A1554" s="17">
        <f>Github!J$1553</f>
        <v>1552</v>
      </c>
      <c r="B1554" s="34" t="str">
        <f>HYPERLINK(CONCAT("http://leetcode.com/problems/",Github!C$1553), Github!B$1553)</f>
        <v>Magnetic Force Between Two Balls</v>
      </c>
      <c r="C1554" s="17">
        <f>Github!F$1553</f>
        <v>1030</v>
      </c>
      <c r="D1554" s="17">
        <f>Github!G$1553</f>
        <v>76</v>
      </c>
      <c r="E1554" s="17">
        <f>Github!F$1553+Github!G$1553</f>
        <v>1106</v>
      </c>
      <c r="F1554" s="18">
        <f t="shared" si="1"/>
        <v>13.55</v>
      </c>
      <c r="G1554" s="17" t="str">
        <f>Github!H$1553</f>
        <v>Algorithms</v>
      </c>
      <c r="H1554" s="17" t="b">
        <f>Github!D$1553</f>
        <v>0</v>
      </c>
      <c r="I1554" s="17" t="str">
        <f>Github!E$1553</f>
        <v>Medium</v>
      </c>
      <c r="J1554" s="17" t="str">
        <f>ROUND(Github!N$1553, 2)&amp;"%"</f>
        <v>0%</v>
      </c>
      <c r="K1554" s="17">
        <f>Github!O$1553</f>
        <v>53.86676113</v>
      </c>
      <c r="L1554" s="17">
        <f>Github!P$1553</f>
        <v>24330</v>
      </c>
    </row>
    <row r="1555">
      <c r="A1555" s="17">
        <f>Github!J$1554</f>
        <v>1553</v>
      </c>
      <c r="B1555" s="34" t="str">
        <f>HYPERLINK(CONCAT("http://leetcode.com/problems/",Github!C$1554), Github!B$1554)</f>
        <v>Minimum Number of Days to Eat N Oranges</v>
      </c>
      <c r="C1555" s="17">
        <f>Github!F$1554</f>
        <v>616</v>
      </c>
      <c r="D1555" s="17">
        <f>Github!G$1554</f>
        <v>41</v>
      </c>
      <c r="E1555" s="17">
        <f>Github!F$1554+Github!G$1554</f>
        <v>657</v>
      </c>
      <c r="F1555" s="18">
        <f t="shared" si="1"/>
        <v>15.02</v>
      </c>
      <c r="G1555" s="17" t="str">
        <f>Github!H$1554</f>
        <v>Algorithms</v>
      </c>
      <c r="H1555" s="17" t="b">
        <f>Github!D$1554</f>
        <v>0</v>
      </c>
      <c r="I1555" s="17" t="str">
        <f>Github!E$1554</f>
        <v>Hard</v>
      </c>
      <c r="J1555" s="17" t="str">
        <f>ROUND(Github!N$1554, 2)&amp;"%"</f>
        <v>0%</v>
      </c>
      <c r="K1555" s="17">
        <f>Github!O$1554</f>
        <v>32.61063444</v>
      </c>
      <c r="L1555" s="17">
        <f>Github!P$1554</f>
        <v>21208</v>
      </c>
    </row>
    <row r="1556">
      <c r="A1556" s="17">
        <f>Github!J$1555</f>
        <v>1554</v>
      </c>
      <c r="B1556" s="34" t="str">
        <f>HYPERLINK(CONCAT("http://leetcode.com/problems/",Github!C$1555), Github!B$1555)</f>
        <v>Strings Differ by One Character</v>
      </c>
      <c r="C1556" s="17">
        <f>Github!F$1555</f>
        <v>191</v>
      </c>
      <c r="D1556" s="17">
        <f>Github!G$1555</f>
        <v>5</v>
      </c>
      <c r="E1556" s="17">
        <f>Github!F$1555+Github!G$1555</f>
        <v>196</v>
      </c>
      <c r="F1556" s="18">
        <f t="shared" si="1"/>
        <v>38.2</v>
      </c>
      <c r="G1556" s="17" t="str">
        <f>Github!H$1555</f>
        <v>Algorithms</v>
      </c>
      <c r="H1556" s="17" t="b">
        <f>Github!D$1555</f>
        <v>1</v>
      </c>
      <c r="I1556" s="17" t="str">
        <f>Github!E$1555</f>
        <v>Medium</v>
      </c>
      <c r="J1556" s="17" t="str">
        <f>ROUND(Github!N$1555, 2)&amp;"%"</f>
        <v>0%</v>
      </c>
      <c r="K1556" s="17">
        <f>Github!O$1555</f>
        <v>65.39351128</v>
      </c>
      <c r="L1556" s="17">
        <f>Github!P$1555</f>
        <v>10460</v>
      </c>
    </row>
    <row r="1557">
      <c r="A1557" s="17">
        <f>Github!J$1556</f>
        <v>1555</v>
      </c>
      <c r="B1557" s="34" t="str">
        <f>HYPERLINK(CONCAT("http://leetcode.com/problems/",Github!C$1556), Github!B$1556)</f>
        <v>Bank Account Summary</v>
      </c>
      <c r="C1557" s="17">
        <f>Github!F$1556</f>
        <v>84</v>
      </c>
      <c r="D1557" s="17">
        <f>Github!G$1556</f>
        <v>21</v>
      </c>
      <c r="E1557" s="17">
        <f>Github!F$1556+Github!G$1556</f>
        <v>105</v>
      </c>
      <c r="F1557" s="18">
        <f t="shared" si="1"/>
        <v>4</v>
      </c>
      <c r="G1557" s="17" t="str">
        <f>Github!H$1556</f>
        <v>Database</v>
      </c>
      <c r="H1557" s="17" t="b">
        <f>Github!D$1556</f>
        <v>1</v>
      </c>
      <c r="I1557" s="17" t="str">
        <f>Github!E$1556</f>
        <v>Medium</v>
      </c>
      <c r="J1557" s="17" t="str">
        <f>ROUND(Github!N$1556, 2)&amp;"%"</f>
        <v>0%</v>
      </c>
      <c r="K1557" s="17">
        <f>Github!O$1556</f>
        <v>53.31684765</v>
      </c>
      <c r="L1557" s="17">
        <f>Github!P$1556</f>
        <v>9918</v>
      </c>
    </row>
    <row r="1558">
      <c r="A1558" s="17">
        <f>Github!J$1557</f>
        <v>1556</v>
      </c>
      <c r="B1558" s="34" t="str">
        <f>HYPERLINK(CONCAT("http://leetcode.com/problems/",Github!C$1557), Github!B$1557)</f>
        <v>Thousand Separator</v>
      </c>
      <c r="C1558" s="17">
        <f>Github!F$1557</f>
        <v>319</v>
      </c>
      <c r="D1558" s="17">
        <f>Github!G$1557</f>
        <v>11</v>
      </c>
      <c r="E1558" s="17">
        <f>Github!F$1557+Github!G$1557</f>
        <v>330</v>
      </c>
      <c r="F1558" s="18">
        <f t="shared" si="1"/>
        <v>29</v>
      </c>
      <c r="G1558" s="17" t="str">
        <f>Github!H$1557</f>
        <v>Algorithms</v>
      </c>
      <c r="H1558" s="17" t="b">
        <f>Github!D$1557</f>
        <v>0</v>
      </c>
      <c r="I1558" s="17" t="str">
        <f>Github!E$1557</f>
        <v>Easy</v>
      </c>
      <c r="J1558" s="17" t="str">
        <f>ROUND(Github!N$1557, 2)&amp;"%"</f>
        <v>0%</v>
      </c>
      <c r="K1558" s="17">
        <f>Github!O$1557</f>
        <v>56.24447977</v>
      </c>
      <c r="L1558" s="17">
        <f>Github!P$1557</f>
        <v>31840</v>
      </c>
    </row>
    <row r="1559">
      <c r="A1559" s="17">
        <f>Github!J$1558</f>
        <v>1557</v>
      </c>
      <c r="B1559" s="34" t="str">
        <f>HYPERLINK(CONCAT("http://leetcode.com/problems/",Github!C$1558), Github!B$1558)</f>
        <v>Minimum Number of Vertices to Reach All Nodes</v>
      </c>
      <c r="C1559" s="17">
        <f>Github!F$1558</f>
        <v>1271</v>
      </c>
      <c r="D1559" s="17">
        <f>Github!G$1558</f>
        <v>58</v>
      </c>
      <c r="E1559" s="17">
        <f>Github!F$1558+Github!G$1558</f>
        <v>1329</v>
      </c>
      <c r="F1559" s="18">
        <f t="shared" si="1"/>
        <v>21.91</v>
      </c>
      <c r="G1559" s="17" t="str">
        <f>Github!H$1558</f>
        <v>Algorithms</v>
      </c>
      <c r="H1559" s="17" t="b">
        <f>Github!D$1558</f>
        <v>0</v>
      </c>
      <c r="I1559" s="17" t="str">
        <f>Github!E$1558</f>
        <v>Medium</v>
      </c>
      <c r="J1559" s="17" t="str">
        <f>ROUND(Github!N$1558, 2)&amp;"%"</f>
        <v>0%</v>
      </c>
      <c r="K1559" s="17">
        <f>Github!O$1558</f>
        <v>78.10254519</v>
      </c>
      <c r="L1559" s="17">
        <f>Github!P$1558</f>
        <v>52920</v>
      </c>
    </row>
    <row r="1560">
      <c r="A1560" s="17">
        <f>Github!J$1559</f>
        <v>1558</v>
      </c>
      <c r="B1560" s="34" t="str">
        <f>HYPERLINK(CONCAT("http://leetcode.com/problems/",Github!C$1559), Github!B$1559)</f>
        <v>Minimum Numbers of Function Calls to Make Target Array</v>
      </c>
      <c r="C1560" s="17">
        <f>Github!F$1559</f>
        <v>397</v>
      </c>
      <c r="D1560" s="17">
        <f>Github!G$1559</f>
        <v>22</v>
      </c>
      <c r="E1560" s="17">
        <f>Github!F$1559+Github!G$1559</f>
        <v>419</v>
      </c>
      <c r="F1560" s="18">
        <f t="shared" si="1"/>
        <v>18.05</v>
      </c>
      <c r="G1560" s="17" t="str">
        <f>Github!H$1559</f>
        <v>Algorithms</v>
      </c>
      <c r="H1560" s="17" t="b">
        <f>Github!D$1559</f>
        <v>0</v>
      </c>
      <c r="I1560" s="17" t="str">
        <f>Github!E$1559</f>
        <v>Medium</v>
      </c>
      <c r="J1560" s="17" t="str">
        <f>ROUND(Github!N$1559, 2)&amp;"%"</f>
        <v>0%</v>
      </c>
      <c r="K1560" s="17">
        <f>Github!O$1559</f>
        <v>63.85521302</v>
      </c>
      <c r="L1560" s="17">
        <f>Github!P$1559</f>
        <v>14748</v>
      </c>
    </row>
    <row r="1561">
      <c r="A1561" s="17">
        <f>Github!J$1560</f>
        <v>1559</v>
      </c>
      <c r="B1561" s="34" t="str">
        <f>HYPERLINK(CONCAT("http://leetcode.com/problems/",Github!C$1560), Github!B$1560)</f>
        <v>Detect Cycles in 2D Grid</v>
      </c>
      <c r="C1561" s="17">
        <f>Github!F$1560</f>
        <v>574</v>
      </c>
      <c r="D1561" s="17">
        <f>Github!G$1560</f>
        <v>21</v>
      </c>
      <c r="E1561" s="17">
        <f>Github!F$1560+Github!G$1560</f>
        <v>595</v>
      </c>
      <c r="F1561" s="18">
        <f t="shared" si="1"/>
        <v>27.33</v>
      </c>
      <c r="G1561" s="17" t="str">
        <f>Github!H$1560</f>
        <v>Algorithms</v>
      </c>
      <c r="H1561" s="17" t="b">
        <f>Github!D$1560</f>
        <v>0</v>
      </c>
      <c r="I1561" s="17" t="str">
        <f>Github!E$1560</f>
        <v>Medium</v>
      </c>
      <c r="J1561" s="17" t="str">
        <f>ROUND(Github!N$1560, 2)&amp;"%"</f>
        <v>0%</v>
      </c>
      <c r="K1561" s="17">
        <f>Github!O$1560</f>
        <v>47.83283765</v>
      </c>
      <c r="L1561" s="17">
        <f>Github!P$1560</f>
        <v>21871</v>
      </c>
    </row>
    <row r="1562">
      <c r="A1562" s="17">
        <f>Github!J$1561</f>
        <v>1560</v>
      </c>
      <c r="B1562" s="34" t="str">
        <f>HYPERLINK(CONCAT("http://leetcode.com/problems/",Github!C$1561), Github!B$1561)</f>
        <v>Most Visited Sector in  a Circular Track</v>
      </c>
      <c r="C1562" s="17">
        <f>Github!F$1561</f>
        <v>196</v>
      </c>
      <c r="D1562" s="17">
        <f>Github!G$1561</f>
        <v>414</v>
      </c>
      <c r="E1562" s="17">
        <f>Github!F$1561+Github!G$1561</f>
        <v>610</v>
      </c>
      <c r="F1562" s="18">
        <f t="shared" si="1"/>
        <v>0.47</v>
      </c>
      <c r="G1562" s="17" t="str">
        <f>Github!H$1561</f>
        <v>Algorithms</v>
      </c>
      <c r="H1562" s="17" t="b">
        <f>Github!D$1561</f>
        <v>0</v>
      </c>
      <c r="I1562" s="17" t="str">
        <f>Github!E$1561</f>
        <v>Easy</v>
      </c>
      <c r="J1562" s="17" t="str">
        <f>ROUND(Github!N$1561, 2)&amp;"%"</f>
        <v>0%</v>
      </c>
      <c r="K1562" s="17">
        <f>Github!O$1561</f>
        <v>58.00484289</v>
      </c>
      <c r="L1562" s="17">
        <f>Github!P$1561</f>
        <v>20600</v>
      </c>
    </row>
    <row r="1563">
      <c r="A1563" s="17">
        <f>Github!J$1562</f>
        <v>1561</v>
      </c>
      <c r="B1563" s="34" t="str">
        <f>HYPERLINK(CONCAT("http://leetcode.com/problems/",Github!C$1562), Github!B$1562)</f>
        <v>Maximum Number of Coins You Can Get</v>
      </c>
      <c r="C1563" s="17">
        <f>Github!F$1562</f>
        <v>583</v>
      </c>
      <c r="D1563" s="17">
        <f>Github!G$1562</f>
        <v>84</v>
      </c>
      <c r="E1563" s="17">
        <f>Github!F$1562+Github!G$1562</f>
        <v>667</v>
      </c>
      <c r="F1563" s="18">
        <f t="shared" si="1"/>
        <v>6.94</v>
      </c>
      <c r="G1563" s="17" t="str">
        <f>Github!H$1562</f>
        <v>Algorithms</v>
      </c>
      <c r="H1563" s="17" t="b">
        <f>Github!D$1562</f>
        <v>0</v>
      </c>
      <c r="I1563" s="17" t="str">
        <f>Github!E$1562</f>
        <v>Medium</v>
      </c>
      <c r="J1563" s="17" t="str">
        <f>ROUND(Github!N$1562, 2)&amp;"%"</f>
        <v>0%</v>
      </c>
      <c r="K1563" s="17">
        <f>Github!O$1562</f>
        <v>78.16425993</v>
      </c>
      <c r="L1563" s="17">
        <f>Github!P$1562</f>
        <v>43302</v>
      </c>
    </row>
    <row r="1564">
      <c r="A1564" s="17">
        <f>Github!J$1563</f>
        <v>1562</v>
      </c>
      <c r="B1564" s="34" t="str">
        <f>HYPERLINK(CONCAT("http://leetcode.com/problems/",Github!C$1563), Github!B$1563)</f>
        <v>Find Latest Group of Size M</v>
      </c>
      <c r="C1564" s="17">
        <f>Github!F$1563</f>
        <v>431</v>
      </c>
      <c r="D1564" s="17">
        <f>Github!G$1563</f>
        <v>90</v>
      </c>
      <c r="E1564" s="17">
        <f>Github!F$1563+Github!G$1563</f>
        <v>521</v>
      </c>
      <c r="F1564" s="18">
        <f t="shared" si="1"/>
        <v>4.79</v>
      </c>
      <c r="G1564" s="17" t="str">
        <f>Github!H$1563</f>
        <v>Algorithms</v>
      </c>
      <c r="H1564" s="17" t="b">
        <f>Github!D$1563</f>
        <v>0</v>
      </c>
      <c r="I1564" s="17" t="str">
        <f>Github!E$1563</f>
        <v>Medium</v>
      </c>
      <c r="J1564" s="17" t="str">
        <f>ROUND(Github!N$1563, 2)&amp;"%"</f>
        <v>0%</v>
      </c>
      <c r="K1564" s="17">
        <f>Github!O$1563</f>
        <v>40.71498169</v>
      </c>
      <c r="L1564" s="17">
        <f>Github!P$1563</f>
        <v>12118</v>
      </c>
    </row>
    <row r="1565">
      <c r="A1565" s="17">
        <f>Github!J$1564</f>
        <v>1563</v>
      </c>
      <c r="B1565" s="34" t="str">
        <f>HYPERLINK(CONCAT("http://leetcode.com/problems/",Github!C$1564), Github!B$1564)</f>
        <v>Stone Game V</v>
      </c>
      <c r="C1565" s="17">
        <f>Github!F$1564</f>
        <v>342</v>
      </c>
      <c r="D1565" s="17">
        <f>Github!G$1564</f>
        <v>58</v>
      </c>
      <c r="E1565" s="17">
        <f>Github!F$1564+Github!G$1564</f>
        <v>400</v>
      </c>
      <c r="F1565" s="18">
        <f t="shared" si="1"/>
        <v>5.9</v>
      </c>
      <c r="G1565" s="17" t="str">
        <f>Github!H$1564</f>
        <v>Algorithms</v>
      </c>
      <c r="H1565" s="17" t="b">
        <f>Github!D$1564</f>
        <v>0</v>
      </c>
      <c r="I1565" s="17" t="str">
        <f>Github!E$1564</f>
        <v>Hard</v>
      </c>
      <c r="J1565" s="17" t="str">
        <f>ROUND(Github!N$1564, 2)&amp;"%"</f>
        <v>0%</v>
      </c>
      <c r="K1565" s="17">
        <f>Github!O$1564</f>
        <v>40.92520794</v>
      </c>
      <c r="L1565" s="17">
        <f>Github!P$1564</f>
        <v>12348</v>
      </c>
    </row>
    <row r="1566">
      <c r="A1566" s="17">
        <f>Github!J$1565</f>
        <v>1564</v>
      </c>
      <c r="B1566" s="34" t="str">
        <f>HYPERLINK(CONCAT("http://leetcode.com/problems/",Github!C$1565), Github!B$1565)</f>
        <v>Put Boxes Into the Warehouse I</v>
      </c>
      <c r="C1566" s="17">
        <f>Github!F$1565</f>
        <v>222</v>
      </c>
      <c r="D1566" s="17">
        <f>Github!G$1565</f>
        <v>20</v>
      </c>
      <c r="E1566" s="17">
        <f>Github!F$1565+Github!G$1565</f>
        <v>242</v>
      </c>
      <c r="F1566" s="18">
        <f t="shared" si="1"/>
        <v>11.1</v>
      </c>
      <c r="G1566" s="17" t="str">
        <f>Github!H$1565</f>
        <v>Algorithms</v>
      </c>
      <c r="H1566" s="17" t="b">
        <f>Github!D$1565</f>
        <v>1</v>
      </c>
      <c r="I1566" s="17" t="str">
        <f>Github!E$1565</f>
        <v>Medium</v>
      </c>
      <c r="J1566" s="17" t="str">
        <f>ROUND(Github!N$1565, 2)&amp;"%"</f>
        <v>0%</v>
      </c>
      <c r="K1566" s="17">
        <f>Github!O$1565</f>
        <v>64.48185368</v>
      </c>
      <c r="L1566" s="17">
        <f>Github!P$1565</f>
        <v>10074</v>
      </c>
    </row>
    <row r="1567">
      <c r="A1567" s="17">
        <f>Github!J$1566</f>
        <v>1565</v>
      </c>
      <c r="B1567" s="34" t="str">
        <f>HYPERLINK(CONCAT("http://leetcode.com/problems/",Github!C$1566), Github!B$1566)</f>
        <v>Unique Orders and Customers Per Month</v>
      </c>
      <c r="C1567" s="17">
        <f>Github!F$1566</f>
        <v>52</v>
      </c>
      <c r="D1567" s="17">
        <f>Github!G$1566</f>
        <v>26</v>
      </c>
      <c r="E1567" s="17">
        <f>Github!F$1566+Github!G$1566</f>
        <v>78</v>
      </c>
      <c r="F1567" s="18">
        <f t="shared" si="1"/>
        <v>2</v>
      </c>
      <c r="G1567" s="17" t="str">
        <f>Github!H$1566</f>
        <v>Database</v>
      </c>
      <c r="H1567" s="17" t="b">
        <f>Github!D$1566</f>
        <v>1</v>
      </c>
      <c r="I1567" s="17" t="str">
        <f>Github!E$1566</f>
        <v>Easy</v>
      </c>
      <c r="J1567" s="17" t="str">
        <f>ROUND(Github!N$1566, 2)&amp;"%"</f>
        <v>0%</v>
      </c>
      <c r="K1567" s="17">
        <f>Github!O$1566</f>
        <v>83.10536044</v>
      </c>
      <c r="L1567" s="17">
        <f>Github!P$1566</f>
        <v>13488</v>
      </c>
    </row>
    <row r="1568">
      <c r="A1568" s="17">
        <f>Github!J$1567</f>
        <v>1566</v>
      </c>
      <c r="B1568" s="34" t="str">
        <f>HYPERLINK(CONCAT("http://leetcode.com/problems/",Github!C$1567), Github!B$1567)</f>
        <v>Detect Pattern of Length M Repeated K or More Times</v>
      </c>
      <c r="C1568" s="17">
        <f>Github!F$1567</f>
        <v>451</v>
      </c>
      <c r="D1568" s="17">
        <f>Github!G$1567</f>
        <v>79</v>
      </c>
      <c r="E1568" s="17">
        <f>Github!F$1567+Github!G$1567</f>
        <v>530</v>
      </c>
      <c r="F1568" s="18">
        <f t="shared" si="1"/>
        <v>5.71</v>
      </c>
      <c r="G1568" s="17" t="str">
        <f>Github!H$1567</f>
        <v>Algorithms</v>
      </c>
      <c r="H1568" s="17" t="b">
        <f>Github!D$1567</f>
        <v>0</v>
      </c>
      <c r="I1568" s="17" t="str">
        <f>Github!E$1567</f>
        <v>Easy</v>
      </c>
      <c r="J1568" s="17" t="str">
        <f>ROUND(Github!N$1567, 2)&amp;"%"</f>
        <v>0%</v>
      </c>
      <c r="K1568" s="17">
        <f>Github!O$1567</f>
        <v>43.6039567</v>
      </c>
      <c r="L1568" s="17">
        <f>Github!P$1567</f>
        <v>23363</v>
      </c>
    </row>
    <row r="1569">
      <c r="A1569" s="17">
        <f>Github!J$1568</f>
        <v>1567</v>
      </c>
      <c r="B1569" s="34" t="str">
        <f>HYPERLINK(CONCAT("http://leetcode.com/problems/",Github!C$1568), Github!B$1568)</f>
        <v>Maximum Length of Subarray With Positive Product</v>
      </c>
      <c r="C1569" s="17">
        <f>Github!F$1568</f>
        <v>1193</v>
      </c>
      <c r="D1569" s="17">
        <f>Github!G$1568</f>
        <v>18</v>
      </c>
      <c r="E1569" s="17">
        <f>Github!F$1568+Github!G$1568</f>
        <v>1211</v>
      </c>
      <c r="F1569" s="18">
        <f t="shared" si="1"/>
        <v>66.28</v>
      </c>
      <c r="G1569" s="17" t="str">
        <f>Github!H$1568</f>
        <v>Algorithms</v>
      </c>
      <c r="H1569" s="17" t="b">
        <f>Github!D$1568</f>
        <v>0</v>
      </c>
      <c r="I1569" s="17" t="str">
        <f>Github!E$1568</f>
        <v>Medium</v>
      </c>
      <c r="J1569" s="17" t="str">
        <f>ROUND(Github!N$1568, 2)&amp;"%"</f>
        <v>0%</v>
      </c>
      <c r="K1569" s="17">
        <f>Github!O$1568</f>
        <v>42.62185237</v>
      </c>
      <c r="L1569" s="17">
        <f>Github!P$1568</f>
        <v>39436</v>
      </c>
    </row>
    <row r="1570">
      <c r="A1570" s="17">
        <f>Github!J$1569</f>
        <v>1568</v>
      </c>
      <c r="B1570" s="34" t="str">
        <f>HYPERLINK(CONCAT("http://leetcode.com/problems/",Github!C$1569), Github!B$1569)</f>
        <v>Minimum Number of Days to Disconnect Island</v>
      </c>
      <c r="C1570" s="17">
        <f>Github!F$1569</f>
        <v>357</v>
      </c>
      <c r="D1570" s="17">
        <f>Github!G$1569</f>
        <v>118</v>
      </c>
      <c r="E1570" s="17">
        <f>Github!F$1569+Github!G$1569</f>
        <v>475</v>
      </c>
      <c r="F1570" s="18">
        <f t="shared" si="1"/>
        <v>3.03</v>
      </c>
      <c r="G1570" s="17" t="str">
        <f>Github!H$1569</f>
        <v>Algorithms</v>
      </c>
      <c r="H1570" s="17" t="b">
        <f>Github!D$1569</f>
        <v>0</v>
      </c>
      <c r="I1570" s="17" t="str">
        <f>Github!E$1569</f>
        <v>Hard</v>
      </c>
      <c r="J1570" s="17" t="str">
        <f>ROUND(Github!N$1569, 2)&amp;"%"</f>
        <v>0%</v>
      </c>
      <c r="K1570" s="17">
        <f>Github!O$1569</f>
        <v>48.76219512</v>
      </c>
      <c r="L1570" s="17">
        <f>Github!P$1569</f>
        <v>7997</v>
      </c>
    </row>
    <row r="1571">
      <c r="A1571" s="17">
        <f>Github!J$1570</f>
        <v>1569</v>
      </c>
      <c r="B1571" s="34" t="str">
        <f>HYPERLINK(CONCAT("http://leetcode.com/problems/",Github!C$1570), Github!B$1570)</f>
        <v>Number of Ways to Reorder Array to Get Same BST</v>
      </c>
      <c r="C1571" s="17">
        <f>Github!F$1570</f>
        <v>385</v>
      </c>
      <c r="D1571" s="17">
        <f>Github!G$1570</f>
        <v>42</v>
      </c>
      <c r="E1571" s="17">
        <f>Github!F$1570+Github!G$1570</f>
        <v>427</v>
      </c>
      <c r="F1571" s="18">
        <f t="shared" si="1"/>
        <v>9.17</v>
      </c>
      <c r="G1571" s="17" t="str">
        <f>Github!H$1570</f>
        <v>Algorithms</v>
      </c>
      <c r="H1571" s="17" t="b">
        <f>Github!D$1570</f>
        <v>0</v>
      </c>
      <c r="I1571" s="17" t="str">
        <f>Github!E$1570</f>
        <v>Hard</v>
      </c>
      <c r="J1571" s="17" t="str">
        <f>ROUND(Github!N$1570, 2)&amp;"%"</f>
        <v>0%</v>
      </c>
      <c r="K1571" s="17">
        <f>Github!O$1570</f>
        <v>49.11542611</v>
      </c>
      <c r="L1571" s="17">
        <f>Github!P$1570</f>
        <v>9103</v>
      </c>
    </row>
    <row r="1572">
      <c r="A1572" s="17">
        <f>Github!J$1571</f>
        <v>1570</v>
      </c>
      <c r="B1572" s="34" t="str">
        <f>HYPERLINK(CONCAT("http://leetcode.com/problems/",Github!C$1571), Github!B$1571)</f>
        <v>Dot Product of Two Sparse Vectors</v>
      </c>
      <c r="C1572" s="17">
        <f>Github!F$1571</f>
        <v>727</v>
      </c>
      <c r="D1572" s="17">
        <f>Github!G$1571</f>
        <v>94</v>
      </c>
      <c r="E1572" s="17">
        <f>Github!F$1571+Github!G$1571</f>
        <v>821</v>
      </c>
      <c r="F1572" s="18">
        <f t="shared" si="1"/>
        <v>7.73</v>
      </c>
      <c r="G1572" s="17" t="str">
        <f>Github!H$1571</f>
        <v>Algorithms</v>
      </c>
      <c r="H1572" s="17" t="b">
        <f>Github!D$1571</f>
        <v>1</v>
      </c>
      <c r="I1572" s="17" t="str">
        <f>Github!E$1571</f>
        <v>Medium</v>
      </c>
      <c r="J1572" s="17" t="str">
        <f>ROUND(Github!N$1571, 2)&amp;"%"</f>
        <v>0%</v>
      </c>
      <c r="K1572" s="17">
        <f>Github!O$1571</f>
        <v>90.50483488</v>
      </c>
      <c r="L1572" s="17">
        <f>Github!P$1571</f>
        <v>128027</v>
      </c>
    </row>
    <row r="1573">
      <c r="A1573" s="17">
        <f>Github!J$1572</f>
        <v>1571</v>
      </c>
      <c r="B1573" s="34" t="str">
        <f>HYPERLINK(CONCAT("http://leetcode.com/problems/",Github!C$1572), Github!B$1572)</f>
        <v>Warehouse Manager</v>
      </c>
      <c r="C1573" s="17">
        <f>Github!F$1572</f>
        <v>81</v>
      </c>
      <c r="D1573" s="17">
        <f>Github!G$1572</f>
        <v>7</v>
      </c>
      <c r="E1573" s="17">
        <f>Github!F$1572+Github!G$1572</f>
        <v>88</v>
      </c>
      <c r="F1573" s="18">
        <f t="shared" si="1"/>
        <v>11.57</v>
      </c>
      <c r="G1573" s="17" t="str">
        <f>Github!H$1572</f>
        <v>Database</v>
      </c>
      <c r="H1573" s="17" t="b">
        <f>Github!D$1572</f>
        <v>1</v>
      </c>
      <c r="I1573" s="17" t="str">
        <f>Github!E$1572</f>
        <v>Easy</v>
      </c>
      <c r="J1573" s="17" t="str">
        <f>ROUND(Github!N$1572, 2)&amp;"%"</f>
        <v>0%</v>
      </c>
      <c r="K1573" s="17">
        <f>Github!O$1572</f>
        <v>89.75312817</v>
      </c>
      <c r="L1573" s="17">
        <f>Github!P$1572</f>
        <v>18578</v>
      </c>
    </row>
    <row r="1574">
      <c r="A1574" s="17">
        <f>Github!J$1573</f>
        <v>1572</v>
      </c>
      <c r="B1574" s="34" t="str">
        <f>HYPERLINK(CONCAT("http://leetcode.com/problems/",Github!C$1573), Github!B$1573)</f>
        <v>Matrix Diagonal Sum</v>
      </c>
      <c r="C1574" s="17">
        <f>Github!F$1573</f>
        <v>972</v>
      </c>
      <c r="D1574" s="17">
        <f>Github!G$1573</f>
        <v>20</v>
      </c>
      <c r="E1574" s="17">
        <f>Github!F$1573+Github!G$1573</f>
        <v>992</v>
      </c>
      <c r="F1574" s="18">
        <f t="shared" si="1"/>
        <v>48.6</v>
      </c>
      <c r="G1574" s="17" t="str">
        <f>Github!H$1573</f>
        <v>Algorithms</v>
      </c>
      <c r="H1574" s="17" t="b">
        <f>Github!D$1573</f>
        <v>0</v>
      </c>
      <c r="I1574" s="17" t="str">
        <f>Github!E$1573</f>
        <v>Easy</v>
      </c>
      <c r="J1574" s="17" t="str">
        <f>ROUND(Github!N$1573, 2)&amp;"%"</f>
        <v>0%</v>
      </c>
      <c r="K1574" s="17">
        <f>Github!O$1573</f>
        <v>78.78303955</v>
      </c>
      <c r="L1574" s="17">
        <f>Github!P$1573</f>
        <v>91263</v>
      </c>
    </row>
    <row r="1575">
      <c r="A1575" s="17">
        <f>Github!J$1574</f>
        <v>1573</v>
      </c>
      <c r="B1575" s="34" t="str">
        <f>HYPERLINK(CONCAT("http://leetcode.com/problems/",Github!C$1574), Github!B$1574)</f>
        <v>Number of Ways to Split a String</v>
      </c>
      <c r="C1575" s="17">
        <f>Github!F$1574</f>
        <v>425</v>
      </c>
      <c r="D1575" s="17">
        <f>Github!G$1574</f>
        <v>55</v>
      </c>
      <c r="E1575" s="17">
        <f>Github!F$1574+Github!G$1574</f>
        <v>480</v>
      </c>
      <c r="F1575" s="18">
        <f t="shared" si="1"/>
        <v>7.73</v>
      </c>
      <c r="G1575" s="17" t="str">
        <f>Github!H$1574</f>
        <v>Algorithms</v>
      </c>
      <c r="H1575" s="17" t="b">
        <f>Github!D$1574</f>
        <v>0</v>
      </c>
      <c r="I1575" s="17" t="str">
        <f>Github!E$1574</f>
        <v>Medium</v>
      </c>
      <c r="J1575" s="17" t="str">
        <f>ROUND(Github!N$1574, 2)&amp;"%"</f>
        <v>0%</v>
      </c>
      <c r="K1575" s="17">
        <f>Github!O$1574</f>
        <v>32.02144216</v>
      </c>
      <c r="L1575" s="17">
        <f>Github!P$1574</f>
        <v>18518</v>
      </c>
    </row>
    <row r="1576">
      <c r="A1576" s="17">
        <f>Github!J$1575</f>
        <v>1574</v>
      </c>
      <c r="B1576" s="34" t="str">
        <f>HYPERLINK(CONCAT("http://leetcode.com/problems/",Github!C$1575), Github!B$1575)</f>
        <v>Shortest Subarray to be Removed to Make Array Sorted</v>
      </c>
      <c r="C1576" s="17">
        <f>Github!F$1575</f>
        <v>924</v>
      </c>
      <c r="D1576" s="17">
        <f>Github!G$1575</f>
        <v>28</v>
      </c>
      <c r="E1576" s="17">
        <f>Github!F$1575+Github!G$1575</f>
        <v>952</v>
      </c>
      <c r="F1576" s="18">
        <f t="shared" si="1"/>
        <v>33</v>
      </c>
      <c r="G1576" s="17" t="str">
        <f>Github!H$1575</f>
        <v>Algorithms</v>
      </c>
      <c r="H1576" s="17" t="b">
        <f>Github!D$1575</f>
        <v>0</v>
      </c>
      <c r="I1576" s="17" t="str">
        <f>Github!E$1575</f>
        <v>Medium</v>
      </c>
      <c r="J1576" s="17" t="str">
        <f>ROUND(Github!N$1575, 2)&amp;"%"</f>
        <v>0%</v>
      </c>
      <c r="K1576" s="17">
        <f>Github!O$1575</f>
        <v>35.32675709</v>
      </c>
      <c r="L1576" s="17">
        <f>Github!P$1575</f>
        <v>17190</v>
      </c>
    </row>
    <row r="1577">
      <c r="A1577" s="17">
        <f>Github!J$1576</f>
        <v>1575</v>
      </c>
      <c r="B1577" s="34" t="str">
        <f>HYPERLINK(CONCAT("http://leetcode.com/problems/",Github!C$1576), Github!B$1576)</f>
        <v>Count All Possible Routes</v>
      </c>
      <c r="C1577" s="17">
        <f>Github!F$1576</f>
        <v>340</v>
      </c>
      <c r="D1577" s="17">
        <f>Github!G$1576</f>
        <v>16</v>
      </c>
      <c r="E1577" s="17">
        <f>Github!F$1576+Github!G$1576</f>
        <v>356</v>
      </c>
      <c r="F1577" s="18">
        <f t="shared" si="1"/>
        <v>21.25</v>
      </c>
      <c r="G1577" s="17" t="str">
        <f>Github!H$1576</f>
        <v>Algorithms</v>
      </c>
      <c r="H1577" s="17" t="b">
        <f>Github!D$1576</f>
        <v>0</v>
      </c>
      <c r="I1577" s="17" t="str">
        <f>Github!E$1576</f>
        <v>Hard</v>
      </c>
      <c r="J1577" s="17" t="str">
        <f>ROUND(Github!N$1576, 2)&amp;"%"</f>
        <v>0%</v>
      </c>
      <c r="K1577" s="17">
        <f>Github!O$1576</f>
        <v>57.61852395</v>
      </c>
      <c r="L1577" s="17">
        <f>Github!P$1576</f>
        <v>9431</v>
      </c>
    </row>
    <row r="1578">
      <c r="A1578" s="17">
        <f>Github!J$1577</f>
        <v>1576</v>
      </c>
      <c r="B1578" s="34" t="str">
        <f>HYPERLINK(CONCAT("http://leetcode.com/problems/",Github!C$1577), Github!B$1577)</f>
        <v>Replace All ?'s to Avoid Consecutive Repeating Characters</v>
      </c>
      <c r="C1578" s="17">
        <f>Github!F$1577</f>
        <v>373</v>
      </c>
      <c r="D1578" s="17">
        <f>Github!G$1577</f>
        <v>141</v>
      </c>
      <c r="E1578" s="17">
        <f>Github!F$1577+Github!G$1577</f>
        <v>514</v>
      </c>
      <c r="F1578" s="18">
        <f t="shared" si="1"/>
        <v>2.65</v>
      </c>
      <c r="G1578" s="17" t="str">
        <f>Github!H$1577</f>
        <v>Algorithms</v>
      </c>
      <c r="H1578" s="17" t="b">
        <f>Github!D$1577</f>
        <v>0</v>
      </c>
      <c r="I1578" s="17" t="str">
        <f>Github!E$1577</f>
        <v>Easy</v>
      </c>
      <c r="J1578" s="17" t="str">
        <f>ROUND(Github!N$1577, 2)&amp;"%"</f>
        <v>0%</v>
      </c>
      <c r="K1578" s="17">
        <f>Github!O$1577</f>
        <v>50.00175379</v>
      </c>
      <c r="L1578" s="17">
        <f>Github!P$1577</f>
        <v>42766</v>
      </c>
    </row>
    <row r="1579">
      <c r="A1579" s="17">
        <f>Github!J$1578</f>
        <v>1577</v>
      </c>
      <c r="B1579" s="34" t="str">
        <f>HYPERLINK(CONCAT("http://leetcode.com/problems/",Github!C$1578), Github!B$1578)</f>
        <v>Number of Ways Where Square of Number Is Equal to Product of Two Numbers</v>
      </c>
      <c r="C1579" s="17">
        <f>Github!F$1578</f>
        <v>224</v>
      </c>
      <c r="D1579" s="17">
        <f>Github!G$1578</f>
        <v>44</v>
      </c>
      <c r="E1579" s="17">
        <f>Github!F$1578+Github!G$1578</f>
        <v>268</v>
      </c>
      <c r="F1579" s="18">
        <f t="shared" si="1"/>
        <v>5.09</v>
      </c>
      <c r="G1579" s="17" t="str">
        <f>Github!H$1578</f>
        <v>Algorithms</v>
      </c>
      <c r="H1579" s="17" t="b">
        <f>Github!D$1578</f>
        <v>0</v>
      </c>
      <c r="I1579" s="17" t="str">
        <f>Github!E$1578</f>
        <v>Medium</v>
      </c>
      <c r="J1579" s="17" t="str">
        <f>ROUND(Github!N$1578, 2)&amp;"%"</f>
        <v>0%</v>
      </c>
      <c r="K1579" s="17">
        <f>Github!O$1578</f>
        <v>39.06020558</v>
      </c>
      <c r="L1579" s="17">
        <f>Github!P$1578</f>
        <v>14896</v>
      </c>
    </row>
    <row r="1580">
      <c r="A1580" s="17">
        <f>Github!J$1579</f>
        <v>1578</v>
      </c>
      <c r="B1580" s="34" t="str">
        <f>HYPERLINK(CONCAT("http://leetcode.com/problems/",Github!C$1579), Github!B$1579)</f>
        <v>Minimum Time to Make Rope Colorful</v>
      </c>
      <c r="C1580" s="17">
        <f>Github!F$1579</f>
        <v>920</v>
      </c>
      <c r="D1580" s="17">
        <f>Github!G$1579</f>
        <v>37</v>
      </c>
      <c r="E1580" s="17">
        <f>Github!F$1579+Github!G$1579</f>
        <v>957</v>
      </c>
      <c r="F1580" s="18">
        <f t="shared" si="1"/>
        <v>24.86</v>
      </c>
      <c r="G1580" s="17" t="str">
        <f>Github!H$1579</f>
        <v>Algorithms</v>
      </c>
      <c r="H1580" s="17" t="b">
        <f>Github!D$1579</f>
        <v>0</v>
      </c>
      <c r="I1580" s="17" t="str">
        <f>Github!E$1579</f>
        <v>Medium</v>
      </c>
      <c r="J1580" s="17" t="str">
        <f>ROUND(Github!N$1579, 2)&amp;"%"</f>
        <v>0%</v>
      </c>
      <c r="K1580" s="17">
        <f>Github!O$1579</f>
        <v>61.27158473</v>
      </c>
      <c r="L1580" s="17">
        <f>Github!P$1579</f>
        <v>58013</v>
      </c>
    </row>
    <row r="1581">
      <c r="A1581" s="17">
        <f>Github!J$1580</f>
        <v>1579</v>
      </c>
      <c r="B1581" s="34" t="str">
        <f>HYPERLINK(CONCAT("http://leetcode.com/problems/",Github!C$1580), Github!B$1580)</f>
        <v>Remove Max Number of Edges to Keep Graph Fully Traversable</v>
      </c>
      <c r="C1581" s="17">
        <f>Github!F$1580</f>
        <v>577</v>
      </c>
      <c r="D1581" s="17">
        <f>Github!G$1580</f>
        <v>4</v>
      </c>
      <c r="E1581" s="17">
        <f>Github!F$1580+Github!G$1580</f>
        <v>581</v>
      </c>
      <c r="F1581" s="18">
        <f t="shared" si="1"/>
        <v>144.25</v>
      </c>
      <c r="G1581" s="17" t="str">
        <f>Github!H$1580</f>
        <v>Algorithms</v>
      </c>
      <c r="H1581" s="17" t="b">
        <f>Github!D$1580</f>
        <v>0</v>
      </c>
      <c r="I1581" s="17" t="str">
        <f>Github!E$1580</f>
        <v>Hard</v>
      </c>
      <c r="J1581" s="17" t="str">
        <f>ROUND(Github!N$1580, 2)&amp;"%"</f>
        <v>0%</v>
      </c>
      <c r="K1581" s="17">
        <f>Github!O$1580</f>
        <v>50.27681043</v>
      </c>
      <c r="L1581" s="17">
        <f>Github!P$1580</f>
        <v>11261</v>
      </c>
    </row>
    <row r="1582">
      <c r="A1582" s="17">
        <f>Github!J$1581</f>
        <v>1580</v>
      </c>
      <c r="B1582" s="34" t="str">
        <f>HYPERLINK(CONCAT("http://leetcode.com/problems/",Github!C$1581), Github!B$1581)</f>
        <v>Put Boxes Into the Warehouse II</v>
      </c>
      <c r="C1582" s="17">
        <f>Github!F$1581</f>
        <v>132</v>
      </c>
      <c r="D1582" s="17">
        <f>Github!G$1581</f>
        <v>2</v>
      </c>
      <c r="E1582" s="17">
        <f>Github!F$1581+Github!G$1581</f>
        <v>134</v>
      </c>
      <c r="F1582" s="18">
        <f t="shared" si="1"/>
        <v>66</v>
      </c>
      <c r="G1582" s="17" t="str">
        <f>Github!H$1581</f>
        <v>Algorithms</v>
      </c>
      <c r="H1582" s="17" t="b">
        <f>Github!D$1581</f>
        <v>1</v>
      </c>
      <c r="I1582" s="17" t="str">
        <f>Github!E$1581</f>
        <v>Medium</v>
      </c>
      <c r="J1582" s="17" t="str">
        <f>ROUND(Github!N$1581, 2)&amp;"%"</f>
        <v>0%</v>
      </c>
      <c r="K1582" s="17">
        <f>Github!O$1581</f>
        <v>63.61517271</v>
      </c>
      <c r="L1582" s="17">
        <f>Github!P$1581</f>
        <v>3002</v>
      </c>
    </row>
    <row r="1583">
      <c r="A1583" s="17">
        <f>Github!J$1582</f>
        <v>1581</v>
      </c>
      <c r="B1583" s="34" t="str">
        <f>HYPERLINK(CONCAT("http://leetcode.com/problems/",Github!C$1582), Github!B$1582)</f>
        <v>Customer Who Visited but Did Not Make Any Transactions</v>
      </c>
      <c r="C1583" s="17">
        <f>Github!F$1582</f>
        <v>68</v>
      </c>
      <c r="D1583" s="17">
        <f>Github!G$1582</f>
        <v>25</v>
      </c>
      <c r="E1583" s="17">
        <f>Github!F$1582+Github!G$1582</f>
        <v>93</v>
      </c>
      <c r="F1583" s="18">
        <f t="shared" si="1"/>
        <v>2.72</v>
      </c>
      <c r="G1583" s="17" t="str">
        <f>Github!H$1582</f>
        <v>Database</v>
      </c>
      <c r="H1583" s="17" t="b">
        <f>Github!D$1582</f>
        <v>1</v>
      </c>
      <c r="I1583" s="17" t="str">
        <f>Github!E$1582</f>
        <v>Easy</v>
      </c>
      <c r="J1583" s="17" t="str">
        <f>ROUND(Github!N$1582, 2)&amp;"%"</f>
        <v>0%</v>
      </c>
      <c r="K1583" s="17">
        <f>Github!O$1582</f>
        <v>89.71121002</v>
      </c>
      <c r="L1583" s="17">
        <f>Github!P$1582</f>
        <v>17334</v>
      </c>
    </row>
    <row r="1584">
      <c r="A1584" s="17">
        <f>Github!J$1583</f>
        <v>1582</v>
      </c>
      <c r="B1584" s="34" t="str">
        <f>HYPERLINK(CONCAT("http://leetcode.com/problems/",Github!C$1583), Github!B$1583)</f>
        <v>Special Positions in a Binary Matrix</v>
      </c>
      <c r="C1584" s="17">
        <f>Github!F$1583</f>
        <v>410</v>
      </c>
      <c r="D1584" s="17">
        <f>Github!G$1583</f>
        <v>17</v>
      </c>
      <c r="E1584" s="17">
        <f>Github!F$1583+Github!G$1583</f>
        <v>427</v>
      </c>
      <c r="F1584" s="18">
        <f t="shared" si="1"/>
        <v>24.12</v>
      </c>
      <c r="G1584" s="17" t="str">
        <f>Github!H$1583</f>
        <v>Algorithms</v>
      </c>
      <c r="H1584" s="17" t="b">
        <f>Github!D$1583</f>
        <v>0</v>
      </c>
      <c r="I1584" s="17" t="str">
        <f>Github!E$1583</f>
        <v>Easy</v>
      </c>
      <c r="J1584" s="17" t="str">
        <f>ROUND(Github!N$1583, 2)&amp;"%"</f>
        <v>0%</v>
      </c>
      <c r="K1584" s="17">
        <f>Github!O$1583</f>
        <v>64.96286967</v>
      </c>
      <c r="L1584" s="17">
        <f>Github!P$1583</f>
        <v>29918</v>
      </c>
    </row>
    <row r="1585">
      <c r="A1585" s="17">
        <f>Github!J$1584</f>
        <v>1583</v>
      </c>
      <c r="B1585" s="34" t="str">
        <f>HYPERLINK(CONCAT("http://leetcode.com/problems/",Github!C$1584), Github!B$1584)</f>
        <v>Count Unhappy Friends</v>
      </c>
      <c r="C1585" s="17">
        <f>Github!F$1584</f>
        <v>149</v>
      </c>
      <c r="D1585" s="17">
        <f>Github!G$1584</f>
        <v>548</v>
      </c>
      <c r="E1585" s="17">
        <f>Github!F$1584+Github!G$1584</f>
        <v>697</v>
      </c>
      <c r="F1585" s="18">
        <f t="shared" si="1"/>
        <v>0.27</v>
      </c>
      <c r="G1585" s="17" t="str">
        <f>Github!H$1584</f>
        <v>Algorithms</v>
      </c>
      <c r="H1585" s="17" t="b">
        <f>Github!D$1584</f>
        <v>0</v>
      </c>
      <c r="I1585" s="17" t="str">
        <f>Github!E$1584</f>
        <v>Medium</v>
      </c>
      <c r="J1585" s="17" t="str">
        <f>ROUND(Github!N$1584, 2)&amp;"%"</f>
        <v>0%</v>
      </c>
      <c r="K1585" s="17">
        <f>Github!O$1584</f>
        <v>57.48837209</v>
      </c>
      <c r="L1585" s="17">
        <f>Github!P$1584</f>
        <v>15450</v>
      </c>
    </row>
    <row r="1586">
      <c r="A1586" s="17">
        <f>Github!J$1585</f>
        <v>1584</v>
      </c>
      <c r="B1586" s="34" t="str">
        <f>HYPERLINK(CONCAT("http://leetcode.com/problems/",Github!C$1585), Github!B$1585)</f>
        <v>Min Cost to Connect All Points</v>
      </c>
      <c r="C1586" s="17">
        <f>Github!F$1585</f>
        <v>1104</v>
      </c>
      <c r="D1586" s="17">
        <f>Github!G$1585</f>
        <v>44</v>
      </c>
      <c r="E1586" s="17">
        <f>Github!F$1585+Github!G$1585</f>
        <v>1148</v>
      </c>
      <c r="F1586" s="18">
        <f t="shared" si="1"/>
        <v>25.09</v>
      </c>
      <c r="G1586" s="17" t="str">
        <f>Github!H$1585</f>
        <v>Algorithms</v>
      </c>
      <c r="H1586" s="17" t="b">
        <f>Github!D$1585</f>
        <v>0</v>
      </c>
      <c r="I1586" s="17" t="str">
        <f>Github!E$1585</f>
        <v>Medium</v>
      </c>
      <c r="J1586" s="17" t="str">
        <f>ROUND(Github!N$1585, 2)&amp;"%"</f>
        <v>0%</v>
      </c>
      <c r="K1586" s="17">
        <f>Github!O$1585</f>
        <v>61.07928339</v>
      </c>
      <c r="L1586" s="17">
        <f>Github!P$1585</f>
        <v>50321</v>
      </c>
    </row>
    <row r="1587">
      <c r="A1587" s="17">
        <f>Github!J$1586</f>
        <v>1585</v>
      </c>
      <c r="B1587" s="34" t="str">
        <f>HYPERLINK(CONCAT("http://leetcode.com/problems/",Github!C$1586), Github!B$1586)</f>
        <v>Check If String Is Transformable With Substring Sort Operations</v>
      </c>
      <c r="C1587" s="17">
        <f>Github!F$1586</f>
        <v>315</v>
      </c>
      <c r="D1587" s="17">
        <f>Github!G$1586</f>
        <v>5</v>
      </c>
      <c r="E1587" s="17">
        <f>Github!F$1586+Github!G$1586</f>
        <v>320</v>
      </c>
      <c r="F1587" s="18">
        <f t="shared" si="1"/>
        <v>63</v>
      </c>
      <c r="G1587" s="17" t="str">
        <f>Github!H$1586</f>
        <v>Algorithms</v>
      </c>
      <c r="H1587" s="17" t="b">
        <f>Github!D$1586</f>
        <v>0</v>
      </c>
      <c r="I1587" s="17" t="str">
        <f>Github!E$1586</f>
        <v>Hard</v>
      </c>
      <c r="J1587" s="17" t="str">
        <f>ROUND(Github!N$1586, 2)&amp;"%"</f>
        <v>0%</v>
      </c>
      <c r="K1587" s="17">
        <f>Github!O$1586</f>
        <v>48.32766205</v>
      </c>
      <c r="L1587" s="17">
        <f>Github!P$1586</f>
        <v>5823</v>
      </c>
    </row>
    <row r="1588">
      <c r="A1588" s="17">
        <f>Github!J$1587</f>
        <v>1586</v>
      </c>
      <c r="B1588" s="34" t="str">
        <f>HYPERLINK(CONCAT("http://leetcode.com/problems/",Github!C$1587), Github!B$1587)</f>
        <v>Binary Search Tree Iterator II</v>
      </c>
      <c r="C1588" s="17">
        <f>Github!F$1587</f>
        <v>142</v>
      </c>
      <c r="D1588" s="17">
        <f>Github!G$1587</f>
        <v>20</v>
      </c>
      <c r="E1588" s="17">
        <f>Github!F$1587+Github!G$1587</f>
        <v>162</v>
      </c>
      <c r="F1588" s="18">
        <f t="shared" si="1"/>
        <v>7.1</v>
      </c>
      <c r="G1588" s="17" t="str">
        <f>Github!H$1587</f>
        <v>Algorithms</v>
      </c>
      <c r="H1588" s="17" t="b">
        <f>Github!D$1587</f>
        <v>1</v>
      </c>
      <c r="I1588" s="17" t="str">
        <f>Github!E$1587</f>
        <v>Medium</v>
      </c>
      <c r="J1588" s="17" t="str">
        <f>ROUND(Github!N$1587, 2)&amp;"%"</f>
        <v>0%</v>
      </c>
      <c r="K1588" s="17">
        <f>Github!O$1587</f>
        <v>67.34497162</v>
      </c>
      <c r="L1588" s="17">
        <f>Github!P$1587</f>
        <v>6288</v>
      </c>
    </row>
    <row r="1589">
      <c r="A1589" s="17">
        <f>Github!J$1588</f>
        <v>1587</v>
      </c>
      <c r="B1589" s="34" t="str">
        <f>HYPERLINK(CONCAT("http://leetcode.com/problems/",Github!C$1588), Github!B$1588)</f>
        <v>Bank Account Summary II</v>
      </c>
      <c r="C1589" s="17">
        <f>Github!F$1588</f>
        <v>64</v>
      </c>
      <c r="D1589" s="17">
        <f>Github!G$1588</f>
        <v>2</v>
      </c>
      <c r="E1589" s="17">
        <f>Github!F$1588+Github!G$1588</f>
        <v>66</v>
      </c>
      <c r="F1589" s="18">
        <f t="shared" si="1"/>
        <v>32</v>
      </c>
      <c r="G1589" s="17" t="str">
        <f>Github!H$1588</f>
        <v>Database</v>
      </c>
      <c r="H1589" s="17" t="b">
        <f>Github!D$1588</f>
        <v>1</v>
      </c>
      <c r="I1589" s="17" t="str">
        <f>Github!E$1588</f>
        <v>Easy</v>
      </c>
      <c r="J1589" s="17" t="str">
        <f>ROUND(Github!N$1588, 2)&amp;"%"</f>
        <v>0%</v>
      </c>
      <c r="K1589" s="17">
        <f>Github!O$1588</f>
        <v>90.17349612</v>
      </c>
      <c r="L1589" s="17">
        <f>Github!P$1588</f>
        <v>18242</v>
      </c>
    </row>
    <row r="1590">
      <c r="A1590" s="17">
        <f>Github!J$1589</f>
        <v>1588</v>
      </c>
      <c r="B1590" s="34" t="str">
        <f>HYPERLINK(CONCAT("http://leetcode.com/problems/",Github!C$1589), Github!B$1589)</f>
        <v>Sum of All Odd Length Subarrays</v>
      </c>
      <c r="C1590" s="17">
        <f>Github!F$1589</f>
        <v>1778</v>
      </c>
      <c r="D1590" s="17">
        <f>Github!G$1589</f>
        <v>145</v>
      </c>
      <c r="E1590" s="17">
        <f>Github!F$1589+Github!G$1589</f>
        <v>1923</v>
      </c>
      <c r="F1590" s="18">
        <f t="shared" si="1"/>
        <v>12.26</v>
      </c>
      <c r="G1590" s="17" t="str">
        <f>Github!H$1589</f>
        <v>Algorithms</v>
      </c>
      <c r="H1590" s="17" t="b">
        <f>Github!D$1589</f>
        <v>0</v>
      </c>
      <c r="I1590" s="17" t="str">
        <f>Github!E$1589</f>
        <v>Easy</v>
      </c>
      <c r="J1590" s="17" t="str">
        <f>ROUND(Github!N$1589, 2)&amp;"%"</f>
        <v>0%</v>
      </c>
      <c r="K1590" s="17">
        <f>Github!O$1589</f>
        <v>83.14675754</v>
      </c>
      <c r="L1590" s="17">
        <f>Github!P$1589</f>
        <v>83918</v>
      </c>
    </row>
    <row r="1591">
      <c r="A1591" s="17">
        <f>Github!J$1590</f>
        <v>1589</v>
      </c>
      <c r="B1591" s="34" t="str">
        <f>HYPERLINK(CONCAT("http://leetcode.com/problems/",Github!C$1590), Github!B$1590)</f>
        <v>Maximum Sum Obtained of Any Permutation</v>
      </c>
      <c r="C1591" s="17">
        <f>Github!F$1590</f>
        <v>472</v>
      </c>
      <c r="D1591" s="17">
        <f>Github!G$1590</f>
        <v>25</v>
      </c>
      <c r="E1591" s="17">
        <f>Github!F$1590+Github!G$1590</f>
        <v>497</v>
      </c>
      <c r="F1591" s="18">
        <f t="shared" si="1"/>
        <v>18.88</v>
      </c>
      <c r="G1591" s="17" t="str">
        <f>Github!H$1590</f>
        <v>Algorithms</v>
      </c>
      <c r="H1591" s="17" t="b">
        <f>Github!D$1590</f>
        <v>0</v>
      </c>
      <c r="I1591" s="17" t="str">
        <f>Github!E$1590</f>
        <v>Medium</v>
      </c>
      <c r="J1591" s="17" t="str">
        <f>ROUND(Github!N$1590, 2)&amp;"%"</f>
        <v>0%</v>
      </c>
      <c r="K1591" s="17">
        <f>Github!O$1590</f>
        <v>36.21797829</v>
      </c>
      <c r="L1591" s="17">
        <f>Github!P$1590</f>
        <v>11777</v>
      </c>
    </row>
    <row r="1592">
      <c r="A1592" s="17">
        <f>Github!J$1591</f>
        <v>1590</v>
      </c>
      <c r="B1592" s="34" t="str">
        <f>HYPERLINK(CONCAT("http://leetcode.com/problems/",Github!C$1591), Github!B$1591)</f>
        <v>Make Sum Divisible by P</v>
      </c>
      <c r="C1592" s="17">
        <f>Github!F$1591</f>
        <v>835</v>
      </c>
      <c r="D1592" s="17">
        <f>Github!G$1591</f>
        <v>37</v>
      </c>
      <c r="E1592" s="17">
        <f>Github!F$1591+Github!G$1591</f>
        <v>872</v>
      </c>
      <c r="F1592" s="18">
        <f t="shared" si="1"/>
        <v>22.57</v>
      </c>
      <c r="G1592" s="17" t="str">
        <f>Github!H$1591</f>
        <v>Algorithms</v>
      </c>
      <c r="H1592" s="17" t="b">
        <f>Github!D$1591</f>
        <v>0</v>
      </c>
      <c r="I1592" s="17" t="str">
        <f>Github!E$1591</f>
        <v>Medium</v>
      </c>
      <c r="J1592" s="17" t="str">
        <f>ROUND(Github!N$1591, 2)&amp;"%"</f>
        <v>0%</v>
      </c>
      <c r="K1592" s="17">
        <f>Github!O$1591</f>
        <v>28.2549351</v>
      </c>
      <c r="L1592" s="17">
        <f>Github!P$1591</f>
        <v>15215</v>
      </c>
    </row>
    <row r="1593">
      <c r="A1593" s="17">
        <f>Github!J$1592</f>
        <v>1591</v>
      </c>
      <c r="B1593" s="34" t="str">
        <f>HYPERLINK(CONCAT("http://leetcode.com/problems/",Github!C$1592), Github!B$1592)</f>
        <v>Strange Printer II</v>
      </c>
      <c r="C1593" s="17">
        <f>Github!F$1592</f>
        <v>308</v>
      </c>
      <c r="D1593" s="17">
        <f>Github!G$1592</f>
        <v>9</v>
      </c>
      <c r="E1593" s="17">
        <f>Github!F$1592+Github!G$1592</f>
        <v>317</v>
      </c>
      <c r="F1593" s="18">
        <f t="shared" si="1"/>
        <v>34.22</v>
      </c>
      <c r="G1593" s="17" t="str">
        <f>Github!H$1592</f>
        <v>Algorithms</v>
      </c>
      <c r="H1593" s="17" t="b">
        <f>Github!D$1592</f>
        <v>0</v>
      </c>
      <c r="I1593" s="17" t="str">
        <f>Github!E$1592</f>
        <v>Hard</v>
      </c>
      <c r="J1593" s="17" t="str">
        <f>ROUND(Github!N$1592, 2)&amp;"%"</f>
        <v>0%</v>
      </c>
      <c r="K1593" s="17">
        <f>Github!O$1592</f>
        <v>56.15522745</v>
      </c>
      <c r="L1593" s="17">
        <f>Github!P$1592</f>
        <v>5629</v>
      </c>
    </row>
    <row r="1594">
      <c r="A1594" s="17">
        <f>Github!J$1593</f>
        <v>1592</v>
      </c>
      <c r="B1594" s="34" t="str">
        <f>HYPERLINK(CONCAT("http://leetcode.com/problems/",Github!C$1593), Github!B$1593)</f>
        <v>Rearrange Spaces Between Words</v>
      </c>
      <c r="C1594" s="17">
        <f>Github!F$1593</f>
        <v>252</v>
      </c>
      <c r="D1594" s="17">
        <f>Github!G$1593</f>
        <v>222</v>
      </c>
      <c r="E1594" s="17">
        <f>Github!F$1593+Github!G$1593</f>
        <v>474</v>
      </c>
      <c r="F1594" s="18">
        <f t="shared" si="1"/>
        <v>1.14</v>
      </c>
      <c r="G1594" s="17" t="str">
        <f>Github!H$1593</f>
        <v>Algorithms</v>
      </c>
      <c r="H1594" s="17" t="b">
        <f>Github!D$1593</f>
        <v>0</v>
      </c>
      <c r="I1594" s="17" t="str">
        <f>Github!E$1593</f>
        <v>Easy</v>
      </c>
      <c r="J1594" s="17" t="str">
        <f>ROUND(Github!N$1593, 2)&amp;"%"</f>
        <v>0%</v>
      </c>
      <c r="K1594" s="17">
        <f>Github!O$1593</f>
        <v>43.95013053</v>
      </c>
      <c r="L1594" s="17">
        <f>Github!P$1593</f>
        <v>32995</v>
      </c>
    </row>
    <row r="1595">
      <c r="A1595" s="17">
        <f>Github!J$1594</f>
        <v>1593</v>
      </c>
      <c r="B1595" s="34" t="str">
        <f>HYPERLINK(CONCAT("http://leetcode.com/problems/",Github!C$1594), Github!B$1594)</f>
        <v>Split a String Into the Max Number of Unique Substrings</v>
      </c>
      <c r="C1595" s="17">
        <f>Github!F$1594</f>
        <v>534</v>
      </c>
      <c r="D1595" s="17">
        <f>Github!G$1594</f>
        <v>23</v>
      </c>
      <c r="E1595" s="17">
        <f>Github!F$1594+Github!G$1594</f>
        <v>557</v>
      </c>
      <c r="F1595" s="18">
        <f t="shared" si="1"/>
        <v>23.22</v>
      </c>
      <c r="G1595" s="17" t="str">
        <f>Github!H$1594</f>
        <v>Algorithms</v>
      </c>
      <c r="H1595" s="17" t="b">
        <f>Github!D$1594</f>
        <v>0</v>
      </c>
      <c r="I1595" s="17" t="str">
        <f>Github!E$1594</f>
        <v>Medium</v>
      </c>
      <c r="J1595" s="17" t="str">
        <f>ROUND(Github!N$1594, 2)&amp;"%"</f>
        <v>0%</v>
      </c>
      <c r="K1595" s="17">
        <f>Github!O$1594</f>
        <v>54.02194037</v>
      </c>
      <c r="L1595" s="17">
        <f>Github!P$1594</f>
        <v>19550</v>
      </c>
    </row>
    <row r="1596">
      <c r="A1596" s="17">
        <f>Github!J$1595</f>
        <v>1594</v>
      </c>
      <c r="B1596" s="34" t="str">
        <f>HYPERLINK(CONCAT("http://leetcode.com/problems/",Github!C$1595), Github!B$1595)</f>
        <v>Maximum Non Negative Product in a Matrix</v>
      </c>
      <c r="C1596" s="17">
        <f>Github!F$1595</f>
        <v>499</v>
      </c>
      <c r="D1596" s="17">
        <f>Github!G$1595</f>
        <v>22</v>
      </c>
      <c r="E1596" s="17">
        <f>Github!F$1595+Github!G$1595</f>
        <v>521</v>
      </c>
      <c r="F1596" s="18">
        <f t="shared" si="1"/>
        <v>22.68</v>
      </c>
      <c r="G1596" s="17" t="str">
        <f>Github!H$1595</f>
        <v>Algorithms</v>
      </c>
      <c r="H1596" s="17" t="b">
        <f>Github!D$1595</f>
        <v>0</v>
      </c>
      <c r="I1596" s="17" t="str">
        <f>Github!E$1595</f>
        <v>Medium</v>
      </c>
      <c r="J1596" s="17" t="str">
        <f>ROUND(Github!N$1595, 2)&amp;"%"</f>
        <v>0%</v>
      </c>
      <c r="K1596" s="17">
        <f>Github!O$1595</f>
        <v>33.00588162</v>
      </c>
      <c r="L1596" s="17">
        <f>Github!P$1595</f>
        <v>15825</v>
      </c>
    </row>
    <row r="1597">
      <c r="A1597" s="17">
        <f>Github!J$1596</f>
        <v>1595</v>
      </c>
      <c r="B1597" s="34" t="str">
        <f>HYPERLINK(CONCAT("http://leetcode.com/problems/",Github!C$1596), Github!B$1596)</f>
        <v>Minimum Cost to Connect Two Groups of Points</v>
      </c>
      <c r="C1597" s="17">
        <f>Github!F$1596</f>
        <v>312</v>
      </c>
      <c r="D1597" s="17">
        <f>Github!G$1596</f>
        <v>11</v>
      </c>
      <c r="E1597" s="17">
        <f>Github!F$1596+Github!G$1596</f>
        <v>323</v>
      </c>
      <c r="F1597" s="18">
        <f t="shared" si="1"/>
        <v>28.36</v>
      </c>
      <c r="G1597" s="17" t="str">
        <f>Github!H$1596</f>
        <v>Algorithms</v>
      </c>
      <c r="H1597" s="17" t="b">
        <f>Github!D$1596</f>
        <v>0</v>
      </c>
      <c r="I1597" s="17" t="str">
        <f>Github!E$1596</f>
        <v>Hard</v>
      </c>
      <c r="J1597" s="17" t="str">
        <f>ROUND(Github!N$1596, 2)&amp;"%"</f>
        <v>0%</v>
      </c>
      <c r="K1597" s="17">
        <f>Github!O$1596</f>
        <v>45.75825826</v>
      </c>
      <c r="L1597" s="17">
        <f>Github!P$1596</f>
        <v>6095</v>
      </c>
    </row>
    <row r="1598">
      <c r="A1598" s="17">
        <f>Github!J$1597</f>
        <v>1596</v>
      </c>
      <c r="B1598" s="34" t="str">
        <f>HYPERLINK(CONCAT("http://leetcode.com/problems/",Github!C$1597), Github!B$1597)</f>
        <v>The Most Frequently Ordered Products for Each Customer</v>
      </c>
      <c r="C1598" s="17">
        <f>Github!F$1597</f>
        <v>147</v>
      </c>
      <c r="D1598" s="17">
        <f>Github!G$1597</f>
        <v>12</v>
      </c>
      <c r="E1598" s="17">
        <f>Github!F$1597+Github!G$1597</f>
        <v>159</v>
      </c>
      <c r="F1598" s="18">
        <f t="shared" si="1"/>
        <v>12.25</v>
      </c>
      <c r="G1598" s="17" t="str">
        <f>Github!H$1597</f>
        <v>Database</v>
      </c>
      <c r="H1598" s="17" t="b">
        <f>Github!D$1597</f>
        <v>1</v>
      </c>
      <c r="I1598" s="17" t="str">
        <f>Github!E$1597</f>
        <v>Medium</v>
      </c>
      <c r="J1598" s="17" t="str">
        <f>ROUND(Github!N$1597, 2)&amp;"%"</f>
        <v>0%</v>
      </c>
      <c r="K1598" s="17">
        <f>Github!O$1597</f>
        <v>84.77372263</v>
      </c>
      <c r="L1598" s="17">
        <f>Github!P$1597</f>
        <v>17421</v>
      </c>
    </row>
    <row r="1599">
      <c r="A1599" s="17">
        <f>Github!J$1598</f>
        <v>1597</v>
      </c>
      <c r="B1599" s="34" t="str">
        <f>HYPERLINK(CONCAT("http://leetcode.com/problems/",Github!C$1598), Github!B$1598)</f>
        <v>Build Binary Expression Tree From Infix Expression</v>
      </c>
      <c r="C1599" s="17">
        <f>Github!F$1598</f>
        <v>133</v>
      </c>
      <c r="D1599" s="17">
        <f>Github!G$1598</f>
        <v>26</v>
      </c>
      <c r="E1599" s="17">
        <f>Github!F$1598+Github!G$1598</f>
        <v>159</v>
      </c>
      <c r="F1599" s="18">
        <f t="shared" si="1"/>
        <v>5.12</v>
      </c>
      <c r="G1599" s="17" t="str">
        <f>Github!H$1598</f>
        <v>Algorithms</v>
      </c>
      <c r="H1599" s="17" t="b">
        <f>Github!D$1598</f>
        <v>1</v>
      </c>
      <c r="I1599" s="17" t="str">
        <f>Github!E$1598</f>
        <v>Hard</v>
      </c>
      <c r="J1599" s="17" t="str">
        <f>ROUND(Github!N$1598, 2)&amp;"%"</f>
        <v>0%</v>
      </c>
      <c r="K1599" s="17">
        <f>Github!O$1598</f>
        <v>59.53989232</v>
      </c>
      <c r="L1599" s="17">
        <f>Github!P$1598</f>
        <v>6082</v>
      </c>
    </row>
    <row r="1600">
      <c r="A1600" s="17">
        <f>Github!J$1599</f>
        <v>1598</v>
      </c>
      <c r="B1600" s="34" t="str">
        <f>HYPERLINK(CONCAT("http://leetcode.com/problems/",Github!C$1599), Github!B$1599)</f>
        <v>Crawler Log Folder</v>
      </c>
      <c r="C1600" s="17">
        <f>Github!F$1599</f>
        <v>452</v>
      </c>
      <c r="D1600" s="17">
        <f>Github!G$1599</f>
        <v>34</v>
      </c>
      <c r="E1600" s="17">
        <f>Github!F$1599+Github!G$1599</f>
        <v>486</v>
      </c>
      <c r="F1600" s="18">
        <f t="shared" si="1"/>
        <v>13.29</v>
      </c>
      <c r="G1600" s="17" t="str">
        <f>Github!H$1599</f>
        <v>Algorithms</v>
      </c>
      <c r="H1600" s="17" t="b">
        <f>Github!D$1599</f>
        <v>0</v>
      </c>
      <c r="I1600" s="17" t="str">
        <f>Github!E$1599</f>
        <v>Easy</v>
      </c>
      <c r="J1600" s="17" t="str">
        <f>ROUND(Github!N$1599, 2)&amp;"%"</f>
        <v>0%</v>
      </c>
      <c r="K1600" s="17">
        <f>Github!O$1599</f>
        <v>64.18459307</v>
      </c>
      <c r="L1600" s="17">
        <f>Github!P$1599</f>
        <v>37177</v>
      </c>
    </row>
    <row r="1601">
      <c r="A1601" s="17">
        <f>Github!J$1600</f>
        <v>1599</v>
      </c>
      <c r="B1601" s="34" t="str">
        <f>HYPERLINK(CONCAT("http://leetcode.com/problems/",Github!C$1600), Github!B$1600)</f>
        <v>Maximum Profit of Operating a Centennial Wheel</v>
      </c>
      <c r="C1601" s="17">
        <f>Github!F$1600</f>
        <v>67</v>
      </c>
      <c r="D1601" s="17">
        <f>Github!G$1600</f>
        <v>206</v>
      </c>
      <c r="E1601" s="17">
        <f>Github!F$1600+Github!G$1600</f>
        <v>273</v>
      </c>
      <c r="F1601" s="18">
        <f t="shared" si="1"/>
        <v>0.33</v>
      </c>
      <c r="G1601" s="17" t="str">
        <f>Github!H$1600</f>
        <v>Algorithms</v>
      </c>
      <c r="H1601" s="17" t="b">
        <f>Github!D$1600</f>
        <v>0</v>
      </c>
      <c r="I1601" s="17" t="str">
        <f>Github!E$1600</f>
        <v>Medium</v>
      </c>
      <c r="J1601" s="17" t="str">
        <f>ROUND(Github!N$1600, 2)&amp;"%"</f>
        <v>0%</v>
      </c>
      <c r="K1601" s="17">
        <f>Github!O$1600</f>
        <v>43.93792881</v>
      </c>
      <c r="L1601" s="17">
        <f>Github!P$1600</f>
        <v>9542</v>
      </c>
    </row>
    <row r="1602">
      <c r="A1602" s="17">
        <f>Github!J$1601</f>
        <v>1600</v>
      </c>
      <c r="B1602" s="34" t="str">
        <f>HYPERLINK(CONCAT("http://leetcode.com/problems/",Github!C$1601), Github!B$1601)</f>
        <v>Throne Inheritance</v>
      </c>
      <c r="C1602" s="17">
        <f>Github!F$1601</f>
        <v>172</v>
      </c>
      <c r="D1602" s="17">
        <f>Github!G$1601</f>
        <v>227</v>
      </c>
      <c r="E1602" s="17">
        <f>Github!F$1601+Github!G$1601</f>
        <v>399</v>
      </c>
      <c r="F1602" s="18">
        <f t="shared" si="1"/>
        <v>0.76</v>
      </c>
      <c r="G1602" s="17" t="str">
        <f>Github!H$1601</f>
        <v>Algorithms</v>
      </c>
      <c r="H1602" s="17" t="b">
        <f>Github!D$1601</f>
        <v>0</v>
      </c>
      <c r="I1602" s="17" t="str">
        <f>Github!E$1601</f>
        <v>Medium</v>
      </c>
      <c r="J1602" s="17" t="str">
        <f>ROUND(Github!N$1601, 2)&amp;"%"</f>
        <v>0%</v>
      </c>
      <c r="K1602" s="17">
        <f>Github!O$1601</f>
        <v>62.9074791</v>
      </c>
      <c r="L1602" s="17">
        <f>Github!P$1601</f>
        <v>11212</v>
      </c>
    </row>
    <row r="1603">
      <c r="A1603" s="17">
        <f>Github!J$1602</f>
        <v>1601</v>
      </c>
      <c r="B1603" s="34" t="str">
        <f>HYPERLINK(CONCAT("http://leetcode.com/problems/",Github!C$1602), Github!B$1602)</f>
        <v>Maximum Number of Achievable Transfer Requests</v>
      </c>
      <c r="C1603" s="17">
        <f>Github!F$1602</f>
        <v>212</v>
      </c>
      <c r="D1603" s="17">
        <f>Github!G$1602</f>
        <v>26</v>
      </c>
      <c r="E1603" s="17">
        <f>Github!F$1602+Github!G$1602</f>
        <v>238</v>
      </c>
      <c r="F1603" s="18">
        <f t="shared" si="1"/>
        <v>8.15</v>
      </c>
      <c r="G1603" s="17" t="str">
        <f>Github!H$1602</f>
        <v>Algorithms</v>
      </c>
      <c r="H1603" s="17" t="b">
        <f>Github!D$1602</f>
        <v>0</v>
      </c>
      <c r="I1603" s="17" t="str">
        <f>Github!E$1602</f>
        <v>Hard</v>
      </c>
      <c r="J1603" s="17" t="str">
        <f>ROUND(Github!N$1602, 2)&amp;"%"</f>
        <v>0%</v>
      </c>
      <c r="K1603" s="17">
        <f>Github!O$1602</f>
        <v>50.65404588</v>
      </c>
      <c r="L1603" s="17">
        <f>Github!P$1602</f>
        <v>7706</v>
      </c>
    </row>
    <row r="1604">
      <c r="A1604" s="17">
        <f>Github!J$1603</f>
        <v>1602</v>
      </c>
      <c r="B1604" s="34" t="str">
        <f>HYPERLINK(CONCAT("http://leetcode.com/problems/",Github!C$1603), Github!B$1603)</f>
        <v>Find Nearest Right Node in Binary Tree</v>
      </c>
      <c r="C1604" s="17">
        <f>Github!F$1603</f>
        <v>254</v>
      </c>
      <c r="D1604" s="17">
        <f>Github!G$1603</f>
        <v>9</v>
      </c>
      <c r="E1604" s="17">
        <f>Github!F$1603+Github!G$1603</f>
        <v>263</v>
      </c>
      <c r="F1604" s="18">
        <f t="shared" si="1"/>
        <v>28.22</v>
      </c>
      <c r="G1604" s="17" t="str">
        <f>Github!H$1603</f>
        <v>Algorithms</v>
      </c>
      <c r="H1604" s="17" t="b">
        <f>Github!D$1603</f>
        <v>1</v>
      </c>
      <c r="I1604" s="17" t="str">
        <f>Github!E$1603</f>
        <v>Medium</v>
      </c>
      <c r="J1604" s="17" t="str">
        <f>ROUND(Github!N$1603, 2)&amp;"%"</f>
        <v>1%</v>
      </c>
      <c r="K1604" s="17">
        <f>Github!O$1603</f>
        <v>75.27965633</v>
      </c>
      <c r="L1604" s="17">
        <f>Github!P$1603</f>
        <v>17699</v>
      </c>
    </row>
    <row r="1605">
      <c r="A1605" s="17">
        <f>Github!J$1604</f>
        <v>1603</v>
      </c>
      <c r="B1605" s="34" t="str">
        <f>HYPERLINK(CONCAT("http://leetcode.com/problems/",Github!C$1604), Github!B$1604)</f>
        <v>Design Parking System</v>
      </c>
      <c r="C1605" s="17">
        <f>Github!F$1604</f>
        <v>582</v>
      </c>
      <c r="D1605" s="17">
        <f>Github!G$1604</f>
        <v>267</v>
      </c>
      <c r="E1605" s="17">
        <f>Github!F$1604+Github!G$1604</f>
        <v>849</v>
      </c>
      <c r="F1605" s="18">
        <f t="shared" si="1"/>
        <v>2.18</v>
      </c>
      <c r="G1605" s="17" t="str">
        <f>Github!H$1604</f>
        <v>Algorithms</v>
      </c>
      <c r="H1605" s="17" t="b">
        <f>Github!D$1604</f>
        <v>0</v>
      </c>
      <c r="I1605" s="17" t="str">
        <f>Github!E$1604</f>
        <v>Easy</v>
      </c>
      <c r="J1605" s="17" t="str">
        <f>ROUND(Github!N$1604, 2)&amp;"%"</f>
        <v>0%</v>
      </c>
      <c r="K1605" s="17">
        <f>Github!O$1604</f>
        <v>87.32322247</v>
      </c>
      <c r="L1605" s="17">
        <f>Github!P$1604</f>
        <v>107437</v>
      </c>
    </row>
    <row r="1606">
      <c r="A1606" s="17">
        <f>Github!J$1605</f>
        <v>1604</v>
      </c>
      <c r="B1606" s="34" t="str">
        <f>HYPERLINK(CONCAT("http://leetcode.com/problems/",Github!C$1605), Github!B$1605)</f>
        <v>Alert Using Same Key-Card Three or More Times in a One Hour Period</v>
      </c>
      <c r="C1606" s="17">
        <f>Github!F$1605</f>
        <v>163</v>
      </c>
      <c r="D1606" s="17">
        <f>Github!G$1605</f>
        <v>257</v>
      </c>
      <c r="E1606" s="17">
        <f>Github!F$1605+Github!G$1605</f>
        <v>420</v>
      </c>
      <c r="F1606" s="18">
        <f t="shared" si="1"/>
        <v>0.63</v>
      </c>
      <c r="G1606" s="17" t="str">
        <f>Github!H$1605</f>
        <v>Algorithms</v>
      </c>
      <c r="H1606" s="17" t="b">
        <f>Github!D$1605</f>
        <v>0</v>
      </c>
      <c r="I1606" s="17" t="str">
        <f>Github!E$1605</f>
        <v>Medium</v>
      </c>
      <c r="J1606" s="17" t="str">
        <f>ROUND(Github!N$1605, 2)&amp;"%"</f>
        <v>0%</v>
      </c>
      <c r="K1606" s="17">
        <f>Github!O$1605</f>
        <v>47.11642231</v>
      </c>
      <c r="L1606" s="17">
        <f>Github!P$1605</f>
        <v>17900</v>
      </c>
    </row>
    <row r="1607">
      <c r="A1607" s="17">
        <f>Github!J$1606</f>
        <v>1605</v>
      </c>
      <c r="B1607" s="34" t="str">
        <f>HYPERLINK(CONCAT("http://leetcode.com/problems/",Github!C$1606), Github!B$1606)</f>
        <v>Find Valid Matrix Given Row and Column Sums</v>
      </c>
      <c r="C1607" s="17">
        <f>Github!F$1606</f>
        <v>844</v>
      </c>
      <c r="D1607" s="17">
        <f>Github!G$1606</f>
        <v>26</v>
      </c>
      <c r="E1607" s="17">
        <f>Github!F$1606+Github!G$1606</f>
        <v>870</v>
      </c>
      <c r="F1607" s="18">
        <f t="shared" si="1"/>
        <v>32.46</v>
      </c>
      <c r="G1607" s="17" t="str">
        <f>Github!H$1606</f>
        <v>Algorithms</v>
      </c>
      <c r="H1607" s="17" t="b">
        <f>Github!D$1606</f>
        <v>0</v>
      </c>
      <c r="I1607" s="17" t="str">
        <f>Github!E$1606</f>
        <v>Medium</v>
      </c>
      <c r="J1607" s="17" t="str">
        <f>ROUND(Github!N$1606, 2)&amp;"%"</f>
        <v>0%</v>
      </c>
      <c r="K1607" s="17">
        <f>Github!O$1606</f>
        <v>78.4626993</v>
      </c>
      <c r="L1607" s="17">
        <f>Github!P$1606</f>
        <v>23917</v>
      </c>
    </row>
    <row r="1608">
      <c r="A1608" s="17">
        <f>Github!J$1607</f>
        <v>1606</v>
      </c>
      <c r="B1608" s="34" t="str">
        <f>HYPERLINK(CONCAT("http://leetcode.com/problems/",Github!C$1607), Github!B$1607)</f>
        <v>Find Servers That Handled Most Number of Requests</v>
      </c>
      <c r="C1608" s="17">
        <f>Github!F$1607</f>
        <v>288</v>
      </c>
      <c r="D1608" s="17">
        <f>Github!G$1607</f>
        <v>11</v>
      </c>
      <c r="E1608" s="17">
        <f>Github!F$1607+Github!G$1607</f>
        <v>299</v>
      </c>
      <c r="F1608" s="18">
        <f t="shared" si="1"/>
        <v>26.18</v>
      </c>
      <c r="G1608" s="17" t="str">
        <f>Github!H$1607</f>
        <v>Algorithms</v>
      </c>
      <c r="H1608" s="17" t="b">
        <f>Github!D$1607</f>
        <v>0</v>
      </c>
      <c r="I1608" s="17" t="str">
        <f>Github!E$1607</f>
        <v>Hard</v>
      </c>
      <c r="J1608" s="17" t="str">
        <f>ROUND(Github!N$1607, 2)&amp;"%"</f>
        <v>0%</v>
      </c>
      <c r="K1608" s="17">
        <f>Github!O$1607</f>
        <v>40.48438727</v>
      </c>
      <c r="L1608" s="17">
        <f>Github!P$1607</f>
        <v>6703</v>
      </c>
    </row>
    <row r="1609">
      <c r="A1609" s="17">
        <f>Github!J$1608</f>
        <v>1607</v>
      </c>
      <c r="B1609" s="34" t="str">
        <f>HYPERLINK(CONCAT("http://leetcode.com/problems/",Github!C$1608), Github!B$1608)</f>
        <v>Sellers With No Sales</v>
      </c>
      <c r="C1609" s="17">
        <f>Github!F$1608</f>
        <v>50</v>
      </c>
      <c r="D1609" s="17">
        <f>Github!G$1608</f>
        <v>8</v>
      </c>
      <c r="E1609" s="17">
        <f>Github!F$1608+Github!G$1608</f>
        <v>58</v>
      </c>
      <c r="F1609" s="18">
        <f t="shared" si="1"/>
        <v>6.25</v>
      </c>
      <c r="G1609" s="17" t="str">
        <f>Github!H$1608</f>
        <v>Database</v>
      </c>
      <c r="H1609" s="17" t="b">
        <f>Github!D$1608</f>
        <v>1</v>
      </c>
      <c r="I1609" s="17" t="str">
        <f>Github!E$1608</f>
        <v>Easy</v>
      </c>
      <c r="J1609" s="17" t="str">
        <f>ROUND(Github!N$1608, 2)&amp;"%"</f>
        <v>0%</v>
      </c>
      <c r="K1609" s="17">
        <f>Github!O$1608</f>
        <v>54.47226794</v>
      </c>
      <c r="L1609" s="17">
        <f>Github!P$1608</f>
        <v>12247</v>
      </c>
    </row>
    <row r="1610">
      <c r="A1610" s="17">
        <f>Github!J$1609</f>
        <v>1608</v>
      </c>
      <c r="B1610" s="34" t="str">
        <f>HYPERLINK(CONCAT("http://leetcode.com/problems/",Github!C$1609), Github!B$1609)</f>
        <v>Special Array With X Elements Greater Than or Equal X</v>
      </c>
      <c r="C1610" s="17">
        <f>Github!F$1609</f>
        <v>630</v>
      </c>
      <c r="D1610" s="17">
        <f>Github!G$1609</f>
        <v>101</v>
      </c>
      <c r="E1610" s="17">
        <f>Github!F$1609+Github!G$1609</f>
        <v>731</v>
      </c>
      <c r="F1610" s="18">
        <f t="shared" si="1"/>
        <v>6.24</v>
      </c>
      <c r="G1610" s="17" t="str">
        <f>Github!H$1609</f>
        <v>Algorithms</v>
      </c>
      <c r="H1610" s="17" t="b">
        <f>Github!D$1609</f>
        <v>0</v>
      </c>
      <c r="I1610" s="17" t="str">
        <f>Github!E$1609</f>
        <v>Easy</v>
      </c>
      <c r="J1610" s="17" t="str">
        <f>ROUND(Github!N$1609, 2)&amp;"%"</f>
        <v>0%</v>
      </c>
      <c r="K1610" s="17">
        <f>Github!O$1609</f>
        <v>60.24724209</v>
      </c>
      <c r="L1610" s="17">
        <f>Github!P$1609</f>
        <v>32604</v>
      </c>
    </row>
    <row r="1611">
      <c r="A1611" s="17">
        <f>Github!J$1610</f>
        <v>1609</v>
      </c>
      <c r="B1611" s="34" t="str">
        <f>HYPERLINK(CONCAT("http://leetcode.com/problems/",Github!C$1610), Github!B$1610)</f>
        <v>Even Odd Tree</v>
      </c>
      <c r="C1611" s="17">
        <f>Github!F$1610</f>
        <v>596</v>
      </c>
      <c r="D1611" s="17">
        <f>Github!G$1610</f>
        <v>36</v>
      </c>
      <c r="E1611" s="17">
        <f>Github!F$1610+Github!G$1610</f>
        <v>632</v>
      </c>
      <c r="F1611" s="18">
        <f t="shared" si="1"/>
        <v>16.56</v>
      </c>
      <c r="G1611" s="17" t="str">
        <f>Github!H$1610</f>
        <v>Algorithms</v>
      </c>
      <c r="H1611" s="17" t="b">
        <f>Github!D$1610</f>
        <v>0</v>
      </c>
      <c r="I1611" s="17" t="str">
        <f>Github!E$1610</f>
        <v>Medium</v>
      </c>
      <c r="J1611" s="17" t="str">
        <f>ROUND(Github!N$1610, 2)&amp;"%"</f>
        <v>0%</v>
      </c>
      <c r="K1611" s="17">
        <f>Github!O$1610</f>
        <v>52.91087791</v>
      </c>
      <c r="L1611" s="17">
        <f>Github!P$1610</f>
        <v>30200</v>
      </c>
    </row>
    <row r="1612">
      <c r="A1612" s="17">
        <f>Github!J$1611</f>
        <v>1610</v>
      </c>
      <c r="B1612" s="34" t="str">
        <f>HYPERLINK(CONCAT("http://leetcode.com/problems/",Github!C$1611), Github!B$1611)</f>
        <v>Maximum Number of Visible Points</v>
      </c>
      <c r="C1612" s="17">
        <f>Github!F$1611</f>
        <v>348</v>
      </c>
      <c r="D1612" s="17">
        <f>Github!G$1611</f>
        <v>469</v>
      </c>
      <c r="E1612" s="17">
        <f>Github!F$1611+Github!G$1611</f>
        <v>817</v>
      </c>
      <c r="F1612" s="18">
        <f t="shared" si="1"/>
        <v>0.74</v>
      </c>
      <c r="G1612" s="17" t="str">
        <f>Github!H$1611</f>
        <v>Algorithms</v>
      </c>
      <c r="H1612" s="17" t="b">
        <f>Github!D$1611</f>
        <v>0</v>
      </c>
      <c r="I1612" s="17" t="str">
        <f>Github!E$1611</f>
        <v>Hard</v>
      </c>
      <c r="J1612" s="17" t="str">
        <f>ROUND(Github!N$1611, 2)&amp;"%"</f>
        <v>0%</v>
      </c>
      <c r="K1612" s="17">
        <f>Github!O$1611</f>
        <v>36.05257507</v>
      </c>
      <c r="L1612" s="17">
        <f>Github!P$1611</f>
        <v>23507</v>
      </c>
    </row>
    <row r="1613">
      <c r="A1613" s="17">
        <f>Github!J$1612</f>
        <v>1611</v>
      </c>
      <c r="B1613" s="34" t="str">
        <f>HYPERLINK(CONCAT("http://leetcode.com/problems/",Github!C$1612), Github!B$1612)</f>
        <v>Minimum One Bit Operations to Make Integers Zero</v>
      </c>
      <c r="C1613" s="17">
        <f>Github!F$1612</f>
        <v>273</v>
      </c>
      <c r="D1613" s="17">
        <f>Github!G$1612</f>
        <v>262</v>
      </c>
      <c r="E1613" s="17">
        <f>Github!F$1612+Github!G$1612</f>
        <v>535</v>
      </c>
      <c r="F1613" s="18">
        <f t="shared" si="1"/>
        <v>1.04</v>
      </c>
      <c r="G1613" s="17" t="str">
        <f>Github!H$1612</f>
        <v>Algorithms</v>
      </c>
      <c r="H1613" s="17" t="b">
        <f>Github!D$1612</f>
        <v>0</v>
      </c>
      <c r="I1613" s="17" t="str">
        <f>Github!E$1612</f>
        <v>Hard</v>
      </c>
      <c r="J1613" s="17" t="str">
        <f>ROUND(Github!N$1612, 2)&amp;"%"</f>
        <v>0%</v>
      </c>
      <c r="K1613" s="17">
        <f>Github!O$1612</f>
        <v>62.18188864</v>
      </c>
      <c r="L1613" s="17">
        <f>Github!P$1612</f>
        <v>9627</v>
      </c>
    </row>
    <row r="1614">
      <c r="A1614" s="17">
        <f>Github!J$1613</f>
        <v>1612</v>
      </c>
      <c r="B1614" s="34" t="str">
        <f>HYPERLINK(CONCAT("http://leetcode.com/problems/",Github!C$1613), Github!B$1613)</f>
        <v>Check If Two Expression Trees are Equivalent</v>
      </c>
      <c r="C1614" s="17">
        <f>Github!F$1613</f>
        <v>92</v>
      </c>
      <c r="D1614" s="17">
        <f>Github!G$1613</f>
        <v>17</v>
      </c>
      <c r="E1614" s="17">
        <f>Github!F$1613+Github!G$1613</f>
        <v>109</v>
      </c>
      <c r="F1614" s="18">
        <f t="shared" si="1"/>
        <v>5.41</v>
      </c>
      <c r="G1614" s="17" t="str">
        <f>Github!H$1613</f>
        <v>Algorithms</v>
      </c>
      <c r="H1614" s="17" t="b">
        <f>Github!D$1613</f>
        <v>1</v>
      </c>
      <c r="I1614" s="17" t="str">
        <f>Github!E$1613</f>
        <v>Medium</v>
      </c>
      <c r="J1614" s="17" t="str">
        <f>ROUND(Github!N$1613, 2)&amp;"%"</f>
        <v>0%</v>
      </c>
      <c r="K1614" s="17">
        <f>Github!O$1613</f>
        <v>69.25605019</v>
      </c>
      <c r="L1614" s="17">
        <f>Github!P$1613</f>
        <v>4636</v>
      </c>
    </row>
    <row r="1615">
      <c r="A1615" s="17">
        <f>Github!J$1614</f>
        <v>1613</v>
      </c>
      <c r="B1615" s="34" t="str">
        <f>HYPERLINK(CONCAT("http://leetcode.com/problems/",Github!C$1614), Github!B$1614)</f>
        <v>Find the Missing IDs</v>
      </c>
      <c r="C1615" s="17">
        <f>Github!F$1614</f>
        <v>121</v>
      </c>
      <c r="D1615" s="17">
        <f>Github!G$1614</f>
        <v>19</v>
      </c>
      <c r="E1615" s="17">
        <f>Github!F$1614+Github!G$1614</f>
        <v>140</v>
      </c>
      <c r="F1615" s="18">
        <f t="shared" si="1"/>
        <v>6.37</v>
      </c>
      <c r="G1615" s="17" t="str">
        <f>Github!H$1614</f>
        <v>Database</v>
      </c>
      <c r="H1615" s="17" t="b">
        <f>Github!D$1614</f>
        <v>1</v>
      </c>
      <c r="I1615" s="17" t="str">
        <f>Github!E$1614</f>
        <v>Medium</v>
      </c>
      <c r="J1615" s="17" t="str">
        <f>ROUND(Github!N$1614, 2)&amp;"%"</f>
        <v>0%</v>
      </c>
      <c r="K1615" s="17">
        <f>Github!O$1614</f>
        <v>75.92223727</v>
      </c>
      <c r="L1615" s="17">
        <f>Github!P$1614</f>
        <v>9529</v>
      </c>
    </row>
    <row r="1616">
      <c r="A1616" s="17">
        <f>Github!J$1615</f>
        <v>1614</v>
      </c>
      <c r="B1616" s="34" t="str">
        <f>HYPERLINK(CONCAT("http://leetcode.com/problems/",Github!C$1615), Github!B$1615)</f>
        <v>Maximum Nesting Depth of the Parentheses</v>
      </c>
      <c r="C1616" s="17">
        <f>Github!F$1615</f>
        <v>755</v>
      </c>
      <c r="D1616" s="17">
        <f>Github!G$1615</f>
        <v>163</v>
      </c>
      <c r="E1616" s="17">
        <f>Github!F$1615+Github!G$1615</f>
        <v>918</v>
      </c>
      <c r="F1616" s="18">
        <f t="shared" si="1"/>
        <v>4.63</v>
      </c>
      <c r="G1616" s="17" t="str">
        <f>Github!H$1615</f>
        <v>Algorithms</v>
      </c>
      <c r="H1616" s="17" t="b">
        <f>Github!D$1615</f>
        <v>0</v>
      </c>
      <c r="I1616" s="17" t="str">
        <f>Github!E$1615</f>
        <v>Easy</v>
      </c>
      <c r="J1616" s="17" t="str">
        <f>ROUND(Github!N$1615, 2)&amp;"%"</f>
        <v>0%</v>
      </c>
      <c r="K1616" s="17">
        <f>Github!O$1615</f>
        <v>82.99883056</v>
      </c>
      <c r="L1616" s="17">
        <f>Github!P$1615</f>
        <v>78778</v>
      </c>
    </row>
    <row r="1617">
      <c r="A1617" s="17">
        <f>Github!J$1616</f>
        <v>1615</v>
      </c>
      <c r="B1617" s="34" t="str">
        <f>HYPERLINK(CONCAT("http://leetcode.com/problems/",Github!C$1616), Github!B$1616)</f>
        <v>Maximal Network Rank</v>
      </c>
      <c r="C1617" s="17">
        <f>Github!F$1616</f>
        <v>593</v>
      </c>
      <c r="D1617" s="17">
        <f>Github!G$1616</f>
        <v>114</v>
      </c>
      <c r="E1617" s="17">
        <f>Github!F$1616+Github!G$1616</f>
        <v>707</v>
      </c>
      <c r="F1617" s="18">
        <f t="shared" si="1"/>
        <v>5.2</v>
      </c>
      <c r="G1617" s="17" t="str">
        <f>Github!H$1616</f>
        <v>Algorithms</v>
      </c>
      <c r="H1617" s="17" t="b">
        <f>Github!D$1616</f>
        <v>0</v>
      </c>
      <c r="I1617" s="17" t="str">
        <f>Github!E$1616</f>
        <v>Medium</v>
      </c>
      <c r="J1617" s="17" t="str">
        <f>ROUND(Github!N$1616, 2)&amp;"%"</f>
        <v>0%</v>
      </c>
      <c r="K1617" s="17">
        <f>Github!O$1616</f>
        <v>56.03807826</v>
      </c>
      <c r="L1617" s="17">
        <f>Github!P$1616</f>
        <v>35200</v>
      </c>
    </row>
    <row r="1618">
      <c r="A1618" s="17">
        <f>Github!J$1617</f>
        <v>1616</v>
      </c>
      <c r="B1618" s="34" t="str">
        <f>HYPERLINK(CONCAT("http://leetcode.com/problems/",Github!C$1617), Github!B$1617)</f>
        <v>Split Two Strings to Make Palindrome</v>
      </c>
      <c r="C1618" s="17">
        <f>Github!F$1617</f>
        <v>466</v>
      </c>
      <c r="D1618" s="17">
        <f>Github!G$1617</f>
        <v>197</v>
      </c>
      <c r="E1618" s="17">
        <f>Github!F$1617+Github!G$1617</f>
        <v>663</v>
      </c>
      <c r="F1618" s="18">
        <f t="shared" si="1"/>
        <v>2.37</v>
      </c>
      <c r="G1618" s="17" t="str">
        <f>Github!H$1617</f>
        <v>Algorithms</v>
      </c>
      <c r="H1618" s="17" t="b">
        <f>Github!D$1617</f>
        <v>0</v>
      </c>
      <c r="I1618" s="17" t="str">
        <f>Github!E$1617</f>
        <v>Medium</v>
      </c>
      <c r="J1618" s="17" t="str">
        <f>ROUND(Github!N$1617, 2)&amp;"%"</f>
        <v>0%</v>
      </c>
      <c r="K1618" s="17">
        <f>Github!O$1617</f>
        <v>31.43153121</v>
      </c>
      <c r="L1618" s="17">
        <f>Github!P$1617</f>
        <v>16081</v>
      </c>
    </row>
    <row r="1619">
      <c r="A1619" s="17">
        <f>Github!J$1618</f>
        <v>1617</v>
      </c>
      <c r="B1619" s="34" t="str">
        <f>HYPERLINK(CONCAT("http://leetcode.com/problems/",Github!C$1618), Github!B$1618)</f>
        <v>Count Subtrees With Max Distance Between Cities</v>
      </c>
      <c r="C1619" s="17">
        <f>Github!F$1618</f>
        <v>283</v>
      </c>
      <c r="D1619" s="17">
        <f>Github!G$1618</f>
        <v>27</v>
      </c>
      <c r="E1619" s="17">
        <f>Github!F$1618+Github!G$1618</f>
        <v>310</v>
      </c>
      <c r="F1619" s="18">
        <f t="shared" si="1"/>
        <v>10.48</v>
      </c>
      <c r="G1619" s="17" t="str">
        <f>Github!H$1618</f>
        <v>Algorithms</v>
      </c>
      <c r="H1619" s="17" t="b">
        <f>Github!D$1618</f>
        <v>0</v>
      </c>
      <c r="I1619" s="17" t="str">
        <f>Github!E$1618</f>
        <v>Hard</v>
      </c>
      <c r="J1619" s="17" t="str">
        <f>ROUND(Github!N$1618, 2)&amp;"%"</f>
        <v>0%</v>
      </c>
      <c r="K1619" s="17">
        <f>Github!O$1618</f>
        <v>65.04320503</v>
      </c>
      <c r="L1619" s="17">
        <f>Github!P$1618</f>
        <v>5796</v>
      </c>
    </row>
    <row r="1620">
      <c r="A1620" s="17">
        <f>Github!J$1619</f>
        <v>1618</v>
      </c>
      <c r="B1620" s="34" t="str">
        <f>HYPERLINK(CONCAT("http://leetcode.com/problems/",Github!C$1619), Github!B$1619)</f>
        <v>Maximum Font to Fit a Sentence in a Screen</v>
      </c>
      <c r="C1620" s="17">
        <f>Github!F$1619</f>
        <v>80</v>
      </c>
      <c r="D1620" s="17">
        <f>Github!G$1619</f>
        <v>14</v>
      </c>
      <c r="E1620" s="17">
        <f>Github!F$1619+Github!G$1619</f>
        <v>94</v>
      </c>
      <c r="F1620" s="18">
        <f t="shared" si="1"/>
        <v>5.71</v>
      </c>
      <c r="G1620" s="17" t="str">
        <f>Github!H$1619</f>
        <v>Algorithms</v>
      </c>
      <c r="H1620" s="17" t="b">
        <f>Github!D$1619</f>
        <v>1</v>
      </c>
      <c r="I1620" s="17" t="str">
        <f>Github!E$1619</f>
        <v>Medium</v>
      </c>
      <c r="J1620" s="17" t="str">
        <f>ROUND(Github!N$1619, 2)&amp;"%"</f>
        <v>0%</v>
      </c>
      <c r="K1620" s="17">
        <f>Github!O$1619</f>
        <v>57.77668228</v>
      </c>
      <c r="L1620" s="17">
        <f>Github!P$1619</f>
        <v>4688</v>
      </c>
    </row>
    <row r="1621">
      <c r="A1621" s="17">
        <f>Github!J$1620</f>
        <v>1619</v>
      </c>
      <c r="B1621" s="34" t="str">
        <f>HYPERLINK(CONCAT("http://leetcode.com/problems/",Github!C$1620), Github!B$1620)</f>
        <v>Mean of Array After Removing Some Elements</v>
      </c>
      <c r="C1621" s="17">
        <f>Github!F$1620</f>
        <v>252</v>
      </c>
      <c r="D1621" s="17">
        <f>Github!G$1620</f>
        <v>73</v>
      </c>
      <c r="E1621" s="17">
        <f>Github!F$1620+Github!G$1620</f>
        <v>325</v>
      </c>
      <c r="F1621" s="18">
        <f t="shared" si="1"/>
        <v>3.45</v>
      </c>
      <c r="G1621" s="17" t="str">
        <f>Github!H$1620</f>
        <v>Algorithms</v>
      </c>
      <c r="H1621" s="17" t="b">
        <f>Github!D$1620</f>
        <v>0</v>
      </c>
      <c r="I1621" s="17" t="str">
        <f>Github!E$1620</f>
        <v>Easy</v>
      </c>
      <c r="J1621" s="17" t="str">
        <f>ROUND(Github!N$1620, 2)&amp;"%"</f>
        <v>0%</v>
      </c>
      <c r="K1621" s="17">
        <f>Github!O$1620</f>
        <v>64.64927288</v>
      </c>
      <c r="L1621" s="17">
        <f>Github!P$1620</f>
        <v>30230</v>
      </c>
    </row>
    <row r="1622">
      <c r="A1622" s="17">
        <f>Github!J$1621</f>
        <v>1620</v>
      </c>
      <c r="B1622" s="34" t="str">
        <f>HYPERLINK(CONCAT("http://leetcode.com/problems/",Github!C$1621), Github!B$1621)</f>
        <v>Coordinate With Maximum Network Quality</v>
      </c>
      <c r="C1622" s="17">
        <f>Github!F$1621</f>
        <v>58</v>
      </c>
      <c r="D1622" s="17">
        <f>Github!G$1621</f>
        <v>196</v>
      </c>
      <c r="E1622" s="17">
        <f>Github!F$1621+Github!G$1621</f>
        <v>254</v>
      </c>
      <c r="F1622" s="18">
        <f t="shared" si="1"/>
        <v>0.3</v>
      </c>
      <c r="G1622" s="17" t="str">
        <f>Github!H$1621</f>
        <v>Algorithms</v>
      </c>
      <c r="H1622" s="17" t="b">
        <f>Github!D$1621</f>
        <v>0</v>
      </c>
      <c r="I1622" s="17" t="str">
        <f>Github!E$1621</f>
        <v>Medium</v>
      </c>
      <c r="J1622" s="17" t="str">
        <f>ROUND(Github!N$1621, 2)&amp;"%"</f>
        <v>0%</v>
      </c>
      <c r="K1622" s="17">
        <f>Github!O$1621</f>
        <v>37.05191047</v>
      </c>
      <c r="L1622" s="17">
        <f>Github!P$1621</f>
        <v>6274</v>
      </c>
    </row>
    <row r="1623">
      <c r="A1623" s="17">
        <f>Github!J$1622</f>
        <v>1621</v>
      </c>
      <c r="B1623" s="34" t="str">
        <f>HYPERLINK(CONCAT("http://leetcode.com/problems/",Github!C$1622), Github!B$1622)</f>
        <v>Number of Sets of K Non-Overlapping Line Segments</v>
      </c>
      <c r="C1623" s="17">
        <f>Github!F$1622</f>
        <v>306</v>
      </c>
      <c r="D1623" s="17">
        <f>Github!G$1622</f>
        <v>33</v>
      </c>
      <c r="E1623" s="17">
        <f>Github!F$1622+Github!G$1622</f>
        <v>339</v>
      </c>
      <c r="F1623" s="18">
        <f t="shared" si="1"/>
        <v>9.27</v>
      </c>
      <c r="G1623" s="17" t="str">
        <f>Github!H$1622</f>
        <v>Algorithms</v>
      </c>
      <c r="H1623" s="17" t="b">
        <f>Github!D$1622</f>
        <v>0</v>
      </c>
      <c r="I1623" s="17" t="str">
        <f>Github!E$1622</f>
        <v>Medium</v>
      </c>
      <c r="J1623" s="17" t="str">
        <f>ROUND(Github!N$1622, 2)&amp;"%"</f>
        <v>0%</v>
      </c>
      <c r="K1623" s="17">
        <f>Github!O$1622</f>
        <v>42.4670064</v>
      </c>
      <c r="L1623" s="17">
        <f>Github!P$1622</f>
        <v>6500</v>
      </c>
    </row>
    <row r="1624">
      <c r="A1624" s="17">
        <f>Github!J$1623</f>
        <v>1622</v>
      </c>
      <c r="B1624" s="34" t="str">
        <f>HYPERLINK(CONCAT("http://leetcode.com/problems/",Github!C$1623), Github!B$1623)</f>
        <v>Fancy Sequence</v>
      </c>
      <c r="C1624" s="17">
        <f>Github!F$1623</f>
        <v>235</v>
      </c>
      <c r="D1624" s="17">
        <f>Github!G$1623</f>
        <v>86</v>
      </c>
      <c r="E1624" s="17">
        <f>Github!F$1623+Github!G$1623</f>
        <v>321</v>
      </c>
      <c r="F1624" s="18">
        <f t="shared" si="1"/>
        <v>2.73</v>
      </c>
      <c r="G1624" s="17" t="str">
        <f>Github!H$1623</f>
        <v>Algorithms</v>
      </c>
      <c r="H1624" s="17" t="b">
        <f>Github!D$1623</f>
        <v>0</v>
      </c>
      <c r="I1624" s="17" t="str">
        <f>Github!E$1623</f>
        <v>Hard</v>
      </c>
      <c r="J1624" s="17" t="str">
        <f>ROUND(Github!N$1623, 2)&amp;"%"</f>
        <v>0%</v>
      </c>
      <c r="K1624" s="17">
        <f>Github!O$1623</f>
        <v>15.33987724</v>
      </c>
      <c r="L1624" s="17">
        <f>Github!P$1623</f>
        <v>6673</v>
      </c>
    </row>
    <row r="1625">
      <c r="A1625" s="17">
        <f>Github!J$1624</f>
        <v>1623</v>
      </c>
      <c r="B1625" s="34" t="str">
        <f>HYPERLINK(CONCAT("http://leetcode.com/problems/",Github!C$1624), Github!B$1624)</f>
        <v>All Valid Triplets That Can Represent a Country</v>
      </c>
      <c r="C1625" s="17">
        <f>Github!F$1624</f>
        <v>47</v>
      </c>
      <c r="D1625" s="17">
        <f>Github!G$1624</f>
        <v>83</v>
      </c>
      <c r="E1625" s="17">
        <f>Github!F$1624+Github!G$1624</f>
        <v>130</v>
      </c>
      <c r="F1625" s="18">
        <f t="shared" si="1"/>
        <v>0.57</v>
      </c>
      <c r="G1625" s="17" t="str">
        <f>Github!H$1624</f>
        <v>Database</v>
      </c>
      <c r="H1625" s="17" t="b">
        <f>Github!D$1624</f>
        <v>1</v>
      </c>
      <c r="I1625" s="17" t="str">
        <f>Github!E$1624</f>
        <v>Easy</v>
      </c>
      <c r="J1625" s="17" t="str">
        <f>ROUND(Github!N$1624, 2)&amp;"%"</f>
        <v>0%</v>
      </c>
      <c r="K1625" s="17">
        <f>Github!O$1624</f>
        <v>88.4504192</v>
      </c>
      <c r="L1625" s="17">
        <f>Github!P$1624</f>
        <v>12238</v>
      </c>
    </row>
    <row r="1626">
      <c r="A1626" s="17">
        <f>Github!J$1625</f>
        <v>1624</v>
      </c>
      <c r="B1626" s="34" t="str">
        <f>HYPERLINK(CONCAT("http://leetcode.com/problems/",Github!C$1625), Github!B$1625)</f>
        <v>Largest Substring Between Two Equal Characters</v>
      </c>
      <c r="C1626" s="17">
        <f>Github!F$1625</f>
        <v>365</v>
      </c>
      <c r="D1626" s="17">
        <f>Github!G$1625</f>
        <v>21</v>
      </c>
      <c r="E1626" s="17">
        <f>Github!F$1625+Github!G$1625</f>
        <v>386</v>
      </c>
      <c r="F1626" s="18">
        <f t="shared" si="1"/>
        <v>17.38</v>
      </c>
      <c r="G1626" s="17" t="str">
        <f>Github!H$1625</f>
        <v>Algorithms</v>
      </c>
      <c r="H1626" s="17" t="b">
        <f>Github!D$1625</f>
        <v>0</v>
      </c>
      <c r="I1626" s="17" t="str">
        <f>Github!E$1625</f>
        <v>Easy</v>
      </c>
      <c r="J1626" s="17" t="str">
        <f>ROUND(Github!N$1625, 2)&amp;"%"</f>
        <v>0%</v>
      </c>
      <c r="K1626" s="17">
        <f>Github!O$1625</f>
        <v>59.19124139</v>
      </c>
      <c r="L1626" s="17">
        <f>Github!P$1625</f>
        <v>30168</v>
      </c>
    </row>
    <row r="1627">
      <c r="A1627" s="17">
        <f>Github!J$1626</f>
        <v>1625</v>
      </c>
      <c r="B1627" s="34" t="str">
        <f>HYPERLINK(CONCAT("http://leetcode.com/problems/",Github!C$1626), Github!B$1626)</f>
        <v>Lexicographically Smallest String After Applying Operations</v>
      </c>
      <c r="C1627" s="17">
        <f>Github!F$1626</f>
        <v>220</v>
      </c>
      <c r="D1627" s="17">
        <f>Github!G$1626</f>
        <v>221</v>
      </c>
      <c r="E1627" s="17">
        <f>Github!F$1626+Github!G$1626</f>
        <v>441</v>
      </c>
      <c r="F1627" s="18">
        <f t="shared" si="1"/>
        <v>1</v>
      </c>
      <c r="G1627" s="17" t="str">
        <f>Github!H$1626</f>
        <v>Algorithms</v>
      </c>
      <c r="H1627" s="17" t="b">
        <f>Github!D$1626</f>
        <v>0</v>
      </c>
      <c r="I1627" s="17" t="str">
        <f>Github!E$1626</f>
        <v>Medium</v>
      </c>
      <c r="J1627" s="17" t="str">
        <f>ROUND(Github!N$1626, 2)&amp;"%"</f>
        <v>0%</v>
      </c>
      <c r="K1627" s="17">
        <f>Github!O$1626</f>
        <v>66.13357803</v>
      </c>
      <c r="L1627" s="17">
        <f>Github!P$1626</f>
        <v>10090</v>
      </c>
    </row>
    <row r="1628">
      <c r="A1628" s="17">
        <f>Github!J$1627</f>
        <v>1626</v>
      </c>
      <c r="B1628" s="34" t="str">
        <f>HYPERLINK(CONCAT("http://leetcode.com/problems/",Github!C$1627), Github!B$1627)</f>
        <v>Best Team With No Conflicts</v>
      </c>
      <c r="C1628" s="17">
        <f>Github!F$1627</f>
        <v>760</v>
      </c>
      <c r="D1628" s="17">
        <f>Github!G$1627</f>
        <v>27</v>
      </c>
      <c r="E1628" s="17">
        <f>Github!F$1627+Github!G$1627</f>
        <v>787</v>
      </c>
      <c r="F1628" s="18">
        <f t="shared" si="1"/>
        <v>28.15</v>
      </c>
      <c r="G1628" s="17" t="str">
        <f>Github!H$1627</f>
        <v>Algorithms</v>
      </c>
      <c r="H1628" s="17" t="b">
        <f>Github!D$1627</f>
        <v>0</v>
      </c>
      <c r="I1628" s="17" t="str">
        <f>Github!E$1627</f>
        <v>Medium</v>
      </c>
      <c r="J1628" s="17" t="str">
        <f>ROUND(Github!N$1627, 2)&amp;"%"</f>
        <v>0%</v>
      </c>
      <c r="K1628" s="17">
        <f>Github!O$1627</f>
        <v>40.46832853</v>
      </c>
      <c r="L1628" s="17">
        <f>Github!P$1627</f>
        <v>17403</v>
      </c>
    </row>
    <row r="1629">
      <c r="A1629" s="17">
        <f>Github!J$1628</f>
        <v>1627</v>
      </c>
      <c r="B1629" s="34" t="str">
        <f>HYPERLINK(CONCAT("http://leetcode.com/problems/",Github!C$1628), Github!B$1628)</f>
        <v>Graph Connectivity With Threshold</v>
      </c>
      <c r="C1629" s="17">
        <f>Github!F$1628</f>
        <v>301</v>
      </c>
      <c r="D1629" s="17">
        <f>Github!G$1628</f>
        <v>23</v>
      </c>
      <c r="E1629" s="17">
        <f>Github!F$1628+Github!G$1628</f>
        <v>324</v>
      </c>
      <c r="F1629" s="18">
        <f t="shared" si="1"/>
        <v>13.09</v>
      </c>
      <c r="G1629" s="17" t="str">
        <f>Github!H$1628</f>
        <v>Algorithms</v>
      </c>
      <c r="H1629" s="17" t="b">
        <f>Github!D$1628</f>
        <v>0</v>
      </c>
      <c r="I1629" s="17" t="str">
        <f>Github!E$1628</f>
        <v>Hard</v>
      </c>
      <c r="J1629" s="17" t="str">
        <f>ROUND(Github!N$1628, 2)&amp;"%"</f>
        <v>0%</v>
      </c>
      <c r="K1629" s="17">
        <f>Github!O$1628</f>
        <v>44.07654366</v>
      </c>
      <c r="L1629" s="17">
        <f>Github!P$1628</f>
        <v>9651</v>
      </c>
    </row>
    <row r="1630">
      <c r="A1630" s="17">
        <f>Github!J$1629</f>
        <v>1628</v>
      </c>
      <c r="B1630" s="34" t="str">
        <f>HYPERLINK(CONCAT("http://leetcode.com/problems/",Github!C$1629), Github!B$1629)</f>
        <v>Design an Expression Tree With Evaluate Function</v>
      </c>
      <c r="C1630" s="17">
        <f>Github!F$1629</f>
        <v>302</v>
      </c>
      <c r="D1630" s="17">
        <f>Github!G$1629</f>
        <v>48</v>
      </c>
      <c r="E1630" s="17">
        <f>Github!F$1629+Github!G$1629</f>
        <v>350</v>
      </c>
      <c r="F1630" s="18">
        <f t="shared" si="1"/>
        <v>6.29</v>
      </c>
      <c r="G1630" s="17" t="str">
        <f>Github!H$1629</f>
        <v>Algorithms</v>
      </c>
      <c r="H1630" s="17" t="b">
        <f>Github!D$1629</f>
        <v>1</v>
      </c>
      <c r="I1630" s="17" t="str">
        <f>Github!E$1629</f>
        <v>Medium</v>
      </c>
      <c r="J1630" s="17" t="str">
        <f>ROUND(Github!N$1629, 2)&amp;"%"</f>
        <v>0%</v>
      </c>
      <c r="K1630" s="17">
        <f>Github!O$1629</f>
        <v>81.51534564</v>
      </c>
      <c r="L1630" s="17">
        <f>Github!P$1629</f>
        <v>13997</v>
      </c>
    </row>
    <row r="1631">
      <c r="A1631" s="17">
        <f>Github!J$1630</f>
        <v>1629</v>
      </c>
      <c r="B1631" s="34" t="str">
        <f>HYPERLINK(CONCAT("http://leetcode.com/problems/",Github!C$1630), Github!B$1630)</f>
        <v>Slowest Key</v>
      </c>
      <c r="C1631" s="17">
        <f>Github!F$1630</f>
        <v>500</v>
      </c>
      <c r="D1631" s="17">
        <f>Github!G$1630</f>
        <v>83</v>
      </c>
      <c r="E1631" s="17">
        <f>Github!F$1630+Github!G$1630</f>
        <v>583</v>
      </c>
      <c r="F1631" s="18">
        <f t="shared" si="1"/>
        <v>6.02</v>
      </c>
      <c r="G1631" s="17" t="str">
        <f>Github!H$1630</f>
        <v>Algorithms</v>
      </c>
      <c r="H1631" s="17" t="b">
        <f>Github!D$1630</f>
        <v>0</v>
      </c>
      <c r="I1631" s="17" t="str">
        <f>Github!E$1630</f>
        <v>Easy</v>
      </c>
      <c r="J1631" s="17" t="str">
        <f>ROUND(Github!N$1630, 2)&amp;"%"</f>
        <v>0%</v>
      </c>
      <c r="K1631" s="17">
        <f>Github!O$1630</f>
        <v>59.67417066</v>
      </c>
      <c r="L1631" s="17">
        <f>Github!P$1630</f>
        <v>73770</v>
      </c>
    </row>
    <row r="1632">
      <c r="A1632" s="17">
        <f>Github!J$1631</f>
        <v>1630</v>
      </c>
      <c r="B1632" s="34" t="str">
        <f>HYPERLINK(CONCAT("http://leetcode.com/problems/",Github!C$1631), Github!B$1631)</f>
        <v>Arithmetic Subarrays</v>
      </c>
      <c r="C1632" s="17">
        <f>Github!F$1631</f>
        <v>556</v>
      </c>
      <c r="D1632" s="17">
        <f>Github!G$1631</f>
        <v>63</v>
      </c>
      <c r="E1632" s="17">
        <f>Github!F$1631+Github!G$1631</f>
        <v>619</v>
      </c>
      <c r="F1632" s="18">
        <f t="shared" si="1"/>
        <v>8.83</v>
      </c>
      <c r="G1632" s="17" t="str">
        <f>Github!H$1631</f>
        <v>Algorithms</v>
      </c>
      <c r="H1632" s="17" t="b">
        <f>Github!D$1631</f>
        <v>0</v>
      </c>
      <c r="I1632" s="17" t="str">
        <f>Github!E$1631</f>
        <v>Medium</v>
      </c>
      <c r="J1632" s="17" t="str">
        <f>ROUND(Github!N$1631, 2)&amp;"%"</f>
        <v>0%</v>
      </c>
      <c r="K1632" s="17">
        <f>Github!O$1631</f>
        <v>78.37745111</v>
      </c>
      <c r="L1632" s="17">
        <f>Github!P$1631</f>
        <v>29698</v>
      </c>
    </row>
    <row r="1633">
      <c r="A1633" s="17">
        <f>Github!J$1632</f>
        <v>1631</v>
      </c>
      <c r="B1633" s="34" t="str">
        <f>HYPERLINK(CONCAT("http://leetcode.com/problems/",Github!C$1632), Github!B$1632)</f>
        <v>Path With Minimum Effort</v>
      </c>
      <c r="C1633" s="17">
        <f>Github!F$1632</f>
        <v>1983</v>
      </c>
      <c r="D1633" s="17">
        <f>Github!G$1632</f>
        <v>95</v>
      </c>
      <c r="E1633" s="17">
        <f>Github!F$1632+Github!G$1632</f>
        <v>2078</v>
      </c>
      <c r="F1633" s="18">
        <f t="shared" si="1"/>
        <v>20.87</v>
      </c>
      <c r="G1633" s="17" t="str">
        <f>Github!H$1632</f>
        <v>Algorithms</v>
      </c>
      <c r="H1633" s="17" t="b">
        <f>Github!D$1632</f>
        <v>0</v>
      </c>
      <c r="I1633" s="17" t="str">
        <f>Github!E$1632</f>
        <v>Medium</v>
      </c>
      <c r="J1633" s="17" t="str">
        <f>ROUND(Github!N$1632, 2)&amp;"%"</f>
        <v>0%</v>
      </c>
      <c r="K1633" s="17">
        <f>Github!O$1632</f>
        <v>51.77424634</v>
      </c>
      <c r="L1633" s="17">
        <f>Github!P$1632</f>
        <v>71185</v>
      </c>
    </row>
    <row r="1634">
      <c r="A1634" s="17">
        <f>Github!J$1633</f>
        <v>1632</v>
      </c>
      <c r="B1634" s="34" t="str">
        <f>HYPERLINK(CONCAT("http://leetcode.com/problems/",Github!C$1633), Github!B$1633)</f>
        <v>Rank Transform of a Matrix</v>
      </c>
      <c r="C1634" s="17">
        <f>Github!F$1633</f>
        <v>576</v>
      </c>
      <c r="D1634" s="17">
        <f>Github!G$1633</f>
        <v>36</v>
      </c>
      <c r="E1634" s="17">
        <f>Github!F$1633+Github!G$1633</f>
        <v>612</v>
      </c>
      <c r="F1634" s="18">
        <f t="shared" si="1"/>
        <v>16</v>
      </c>
      <c r="G1634" s="17" t="str">
        <f>Github!H$1633</f>
        <v>Algorithms</v>
      </c>
      <c r="H1634" s="17" t="b">
        <f>Github!D$1633</f>
        <v>0</v>
      </c>
      <c r="I1634" s="17" t="str">
        <f>Github!E$1633</f>
        <v>Hard</v>
      </c>
      <c r="J1634" s="17" t="str">
        <f>ROUND(Github!N$1633, 2)&amp;"%"</f>
        <v>0%</v>
      </c>
      <c r="K1634" s="17">
        <f>Github!O$1633</f>
        <v>40.54866685</v>
      </c>
      <c r="L1634" s="17">
        <f>Github!P$1633</f>
        <v>16318</v>
      </c>
    </row>
    <row r="1635">
      <c r="A1635" s="17">
        <f>Github!J$1634</f>
        <v>1633</v>
      </c>
      <c r="B1635" s="34" t="str">
        <f>HYPERLINK(CONCAT("http://leetcode.com/problems/",Github!C$1634), Github!B$1634)</f>
        <v>Percentage of Users Attended a Contest</v>
      </c>
      <c r="C1635" s="17">
        <f>Github!F$1634</f>
        <v>46</v>
      </c>
      <c r="D1635" s="17">
        <f>Github!G$1634</f>
        <v>12</v>
      </c>
      <c r="E1635" s="17">
        <f>Github!F$1634+Github!G$1634</f>
        <v>58</v>
      </c>
      <c r="F1635" s="18">
        <f t="shared" si="1"/>
        <v>3.83</v>
      </c>
      <c r="G1635" s="17" t="str">
        <f>Github!H$1634</f>
        <v>Database</v>
      </c>
      <c r="H1635" s="17" t="b">
        <f>Github!D$1634</f>
        <v>1</v>
      </c>
      <c r="I1635" s="17" t="str">
        <f>Github!E$1634</f>
        <v>Easy</v>
      </c>
      <c r="J1635" s="17" t="str">
        <f>ROUND(Github!N$1634, 2)&amp;"%"</f>
        <v>0%</v>
      </c>
      <c r="K1635" s="17">
        <f>Github!O$1634</f>
        <v>69.33866464</v>
      </c>
      <c r="L1635" s="17">
        <f>Github!P$1634</f>
        <v>10925</v>
      </c>
    </row>
    <row r="1636">
      <c r="A1636" s="17">
        <f>Github!J$1635</f>
        <v>1634</v>
      </c>
      <c r="B1636" s="34" t="str">
        <f>HYPERLINK(CONCAT("http://leetcode.com/problems/",Github!C$1635), Github!B$1635)</f>
        <v>Add Two Polynomials Represented as Linked Lists</v>
      </c>
      <c r="C1636" s="17">
        <f>Github!F$1635</f>
        <v>76</v>
      </c>
      <c r="D1636" s="17">
        <f>Github!G$1635</f>
        <v>5</v>
      </c>
      <c r="E1636" s="17">
        <f>Github!F$1635+Github!G$1635</f>
        <v>81</v>
      </c>
      <c r="F1636" s="18">
        <f t="shared" si="1"/>
        <v>15.2</v>
      </c>
      <c r="G1636" s="17" t="str">
        <f>Github!H$1635</f>
        <v>Algorithms</v>
      </c>
      <c r="H1636" s="17" t="b">
        <f>Github!D$1635</f>
        <v>1</v>
      </c>
      <c r="I1636" s="17" t="str">
        <f>Github!E$1635</f>
        <v>Medium</v>
      </c>
      <c r="J1636" s="17" t="str">
        <f>ROUND(Github!N$1635, 2)&amp;"%"</f>
        <v>0%</v>
      </c>
      <c r="K1636" s="17">
        <f>Github!O$1635</f>
        <v>53.81136238</v>
      </c>
      <c r="L1636" s="17">
        <f>Github!P$1635</f>
        <v>4878</v>
      </c>
    </row>
    <row r="1637">
      <c r="A1637" s="17">
        <f>Github!J$1636</f>
        <v>1635</v>
      </c>
      <c r="B1637" s="34" t="str">
        <f>HYPERLINK(CONCAT("http://leetcode.com/problems/",Github!C$1636), Github!B$1636)</f>
        <v>Hopper Company Queries I</v>
      </c>
      <c r="C1637" s="17">
        <f>Github!F$1636</f>
        <v>54</v>
      </c>
      <c r="D1637" s="17">
        <f>Github!G$1636</f>
        <v>21</v>
      </c>
      <c r="E1637" s="17">
        <f>Github!F$1636+Github!G$1636</f>
        <v>75</v>
      </c>
      <c r="F1637" s="18">
        <f t="shared" si="1"/>
        <v>2.57</v>
      </c>
      <c r="G1637" s="17" t="str">
        <f>Github!H$1636</f>
        <v>Database</v>
      </c>
      <c r="H1637" s="17" t="b">
        <f>Github!D$1636</f>
        <v>1</v>
      </c>
      <c r="I1637" s="17" t="str">
        <f>Github!E$1636</f>
        <v>Hard</v>
      </c>
      <c r="J1637" s="17" t="str">
        <f>ROUND(Github!N$1636, 2)&amp;"%"</f>
        <v>0%</v>
      </c>
      <c r="K1637" s="17">
        <f>Github!O$1636</f>
        <v>53.9656312</v>
      </c>
      <c r="L1637" s="17">
        <f>Github!P$1636</f>
        <v>4899</v>
      </c>
    </row>
    <row r="1638">
      <c r="A1638" s="17">
        <f>Github!J$1637</f>
        <v>1636</v>
      </c>
      <c r="B1638" s="34" t="str">
        <f>HYPERLINK(CONCAT("http://leetcode.com/problems/",Github!C$1637), Github!B$1637)</f>
        <v>Sort Array by Increasing Frequency</v>
      </c>
      <c r="C1638" s="17">
        <f>Github!F$1637</f>
        <v>1202</v>
      </c>
      <c r="D1638" s="17">
        <f>Github!G$1637</f>
        <v>47</v>
      </c>
      <c r="E1638" s="17">
        <f>Github!F$1637+Github!G$1637</f>
        <v>1249</v>
      </c>
      <c r="F1638" s="18">
        <f t="shared" si="1"/>
        <v>25.57</v>
      </c>
      <c r="G1638" s="17" t="str">
        <f>Github!H$1637</f>
        <v>Algorithms</v>
      </c>
      <c r="H1638" s="17" t="b">
        <f>Github!D$1637</f>
        <v>0</v>
      </c>
      <c r="I1638" s="17" t="str">
        <f>Github!E$1637</f>
        <v>Easy</v>
      </c>
      <c r="J1638" s="17" t="str">
        <f>ROUND(Github!N$1637, 2)&amp;"%"</f>
        <v>0%</v>
      </c>
      <c r="K1638" s="17">
        <f>Github!O$1637</f>
        <v>68.33718741</v>
      </c>
      <c r="L1638" s="17">
        <f>Github!P$1637</f>
        <v>54080</v>
      </c>
    </row>
    <row r="1639">
      <c r="A1639" s="17">
        <f>Github!J$1638</f>
        <v>1637</v>
      </c>
      <c r="B1639" s="34" t="str">
        <f>HYPERLINK(CONCAT("http://leetcode.com/problems/",Github!C$1638), Github!B$1638)</f>
        <v>Widest Vertical Area Between Two Points Containing No Points</v>
      </c>
      <c r="C1639" s="17">
        <f>Github!F$1638</f>
        <v>161</v>
      </c>
      <c r="D1639" s="17">
        <f>Github!G$1638</f>
        <v>475</v>
      </c>
      <c r="E1639" s="17">
        <f>Github!F$1638+Github!G$1638</f>
        <v>636</v>
      </c>
      <c r="F1639" s="18">
        <f t="shared" si="1"/>
        <v>0.34</v>
      </c>
      <c r="G1639" s="17" t="str">
        <f>Github!H$1638</f>
        <v>Algorithms</v>
      </c>
      <c r="H1639" s="17" t="b">
        <f>Github!D$1638</f>
        <v>0</v>
      </c>
      <c r="I1639" s="17" t="str">
        <f>Github!E$1638</f>
        <v>Medium</v>
      </c>
      <c r="J1639" s="17" t="str">
        <f>ROUND(Github!N$1638, 2)&amp;"%"</f>
        <v>0%</v>
      </c>
      <c r="K1639" s="17">
        <f>Github!O$1638</f>
        <v>83.96805329</v>
      </c>
      <c r="L1639" s="17">
        <f>Github!P$1638</f>
        <v>27230</v>
      </c>
    </row>
    <row r="1640">
      <c r="A1640" s="17">
        <f>Github!J$1639</f>
        <v>1638</v>
      </c>
      <c r="B1640" s="34" t="str">
        <f>HYPERLINK(CONCAT("http://leetcode.com/problems/",Github!C$1639), Github!B$1639)</f>
        <v>Count Substrings That Differ by One Character</v>
      </c>
      <c r="C1640" s="17">
        <f>Github!F$1639</f>
        <v>608</v>
      </c>
      <c r="D1640" s="17">
        <f>Github!G$1639</f>
        <v>235</v>
      </c>
      <c r="E1640" s="17">
        <f>Github!F$1639+Github!G$1639</f>
        <v>843</v>
      </c>
      <c r="F1640" s="18">
        <f t="shared" si="1"/>
        <v>2.59</v>
      </c>
      <c r="G1640" s="17" t="str">
        <f>Github!H$1639</f>
        <v>Algorithms</v>
      </c>
      <c r="H1640" s="17" t="b">
        <f>Github!D$1639</f>
        <v>0</v>
      </c>
      <c r="I1640" s="17" t="str">
        <f>Github!E$1639</f>
        <v>Medium</v>
      </c>
      <c r="J1640" s="17" t="str">
        <f>ROUND(Github!N$1639, 2)&amp;"%"</f>
        <v>0%</v>
      </c>
      <c r="K1640" s="17">
        <f>Github!O$1639</f>
        <v>72.09777778</v>
      </c>
      <c r="L1640" s="17">
        <f>Github!P$1639</f>
        <v>16222</v>
      </c>
    </row>
    <row r="1641">
      <c r="A1641" s="17">
        <f>Github!J$1640</f>
        <v>1639</v>
      </c>
      <c r="B1641" s="34" t="str">
        <f>HYPERLINK(CONCAT("http://leetcode.com/problems/",Github!C$1640), Github!B$1640)</f>
        <v>Number of Ways to Form a Target String Given a Dictionary</v>
      </c>
      <c r="C1641" s="17">
        <f>Github!F$1640</f>
        <v>230</v>
      </c>
      <c r="D1641" s="17">
        <f>Github!G$1640</f>
        <v>12</v>
      </c>
      <c r="E1641" s="17">
        <f>Github!F$1640+Github!G$1640</f>
        <v>242</v>
      </c>
      <c r="F1641" s="18">
        <f t="shared" si="1"/>
        <v>19.17</v>
      </c>
      <c r="G1641" s="17" t="str">
        <f>Github!H$1640</f>
        <v>Algorithms</v>
      </c>
      <c r="H1641" s="17" t="b">
        <f>Github!D$1640</f>
        <v>0</v>
      </c>
      <c r="I1641" s="17" t="str">
        <f>Github!E$1640</f>
        <v>Hard</v>
      </c>
      <c r="J1641" s="17" t="str">
        <f>ROUND(Github!N$1640, 2)&amp;"%"</f>
        <v>0%</v>
      </c>
      <c r="K1641" s="17">
        <f>Github!O$1640</f>
        <v>42.29005544</v>
      </c>
      <c r="L1641" s="17">
        <f>Github!P$1640</f>
        <v>6179</v>
      </c>
    </row>
    <row r="1642">
      <c r="A1642" s="17">
        <f>Github!J$1641</f>
        <v>1640</v>
      </c>
      <c r="B1642" s="34" t="str">
        <f>HYPERLINK(CONCAT("http://leetcode.com/problems/",Github!C$1641), Github!B$1641)</f>
        <v>Check Array Formation Through Concatenation</v>
      </c>
      <c r="C1642" s="17">
        <f>Github!F$1641</f>
        <v>653</v>
      </c>
      <c r="D1642" s="17">
        <f>Github!G$1641</f>
        <v>111</v>
      </c>
      <c r="E1642" s="17">
        <f>Github!F$1641+Github!G$1641</f>
        <v>764</v>
      </c>
      <c r="F1642" s="18">
        <f t="shared" si="1"/>
        <v>5.88</v>
      </c>
      <c r="G1642" s="17" t="str">
        <f>Github!H$1641</f>
        <v>Algorithms</v>
      </c>
      <c r="H1642" s="17" t="b">
        <f>Github!D$1641</f>
        <v>0</v>
      </c>
      <c r="I1642" s="17" t="str">
        <f>Github!E$1641</f>
        <v>Easy</v>
      </c>
      <c r="J1642" s="17" t="str">
        <f>ROUND(Github!N$1641, 2)&amp;"%"</f>
        <v>0%</v>
      </c>
      <c r="K1642" s="17">
        <f>Github!O$1641</f>
        <v>55.71956972</v>
      </c>
      <c r="L1642" s="17">
        <f>Github!P$1641</f>
        <v>65680</v>
      </c>
    </row>
    <row r="1643">
      <c r="A1643" s="17">
        <f>Github!J$1642</f>
        <v>1641</v>
      </c>
      <c r="B1643" s="34" t="str">
        <f>HYPERLINK(CONCAT("http://leetcode.com/problems/",Github!C$1642), Github!B$1642)</f>
        <v>Count Sorted Vowel Strings</v>
      </c>
      <c r="C1643" s="17">
        <f>Github!F$1642</f>
        <v>1684</v>
      </c>
      <c r="D1643" s="17">
        <f>Github!G$1642</f>
        <v>37</v>
      </c>
      <c r="E1643" s="17">
        <f>Github!F$1642+Github!G$1642</f>
        <v>1721</v>
      </c>
      <c r="F1643" s="18">
        <f t="shared" si="1"/>
        <v>45.51</v>
      </c>
      <c r="G1643" s="17" t="str">
        <f>Github!H$1642</f>
        <v>Algorithms</v>
      </c>
      <c r="H1643" s="17" t="b">
        <f>Github!D$1642</f>
        <v>0</v>
      </c>
      <c r="I1643" s="17" t="str">
        <f>Github!E$1642</f>
        <v>Medium</v>
      </c>
      <c r="J1643" s="17" t="str">
        <f>ROUND(Github!N$1642, 2)&amp;"%"</f>
        <v>0%</v>
      </c>
      <c r="K1643" s="17">
        <f>Github!O$1642</f>
        <v>74.77643812</v>
      </c>
      <c r="L1643" s="17">
        <f>Github!P$1642</f>
        <v>80190</v>
      </c>
    </row>
    <row r="1644">
      <c r="A1644" s="17">
        <f>Github!J$1643</f>
        <v>1642</v>
      </c>
      <c r="B1644" s="34" t="str">
        <f>HYPERLINK(CONCAT("http://leetcode.com/problems/",Github!C$1643), Github!B$1643)</f>
        <v>Furthest Building You Can Reach</v>
      </c>
      <c r="C1644" s="17">
        <f>Github!F$1643</f>
        <v>1573</v>
      </c>
      <c r="D1644" s="17">
        <f>Github!G$1643</f>
        <v>48</v>
      </c>
      <c r="E1644" s="17">
        <f>Github!F$1643+Github!G$1643</f>
        <v>1621</v>
      </c>
      <c r="F1644" s="18">
        <f t="shared" si="1"/>
        <v>32.77</v>
      </c>
      <c r="G1644" s="17" t="str">
        <f>Github!H$1643</f>
        <v>Algorithms</v>
      </c>
      <c r="H1644" s="17" t="b">
        <f>Github!D$1643</f>
        <v>0</v>
      </c>
      <c r="I1644" s="17" t="str">
        <f>Github!E$1643</f>
        <v>Medium</v>
      </c>
      <c r="J1644" s="17" t="str">
        <f>ROUND(Github!N$1643, 2)&amp;"%"</f>
        <v>0%</v>
      </c>
      <c r="K1644" s="17">
        <f>Github!O$1643</f>
        <v>44.91812479</v>
      </c>
      <c r="L1644" s="17">
        <f>Github!P$1643</f>
        <v>44820</v>
      </c>
    </row>
    <row r="1645">
      <c r="A1645" s="17">
        <f>Github!J$1644</f>
        <v>1643</v>
      </c>
      <c r="B1645" s="34" t="str">
        <f>HYPERLINK(CONCAT("http://leetcode.com/problems/",Github!C$1644), Github!B$1644)</f>
        <v>Kth Smallest Instructions</v>
      </c>
      <c r="C1645" s="17">
        <f>Github!F$1644</f>
        <v>327</v>
      </c>
      <c r="D1645" s="17">
        <f>Github!G$1644</f>
        <v>3</v>
      </c>
      <c r="E1645" s="17">
        <f>Github!F$1644+Github!G$1644</f>
        <v>330</v>
      </c>
      <c r="F1645" s="18">
        <f t="shared" si="1"/>
        <v>109</v>
      </c>
      <c r="G1645" s="17" t="str">
        <f>Github!H$1644</f>
        <v>Algorithms</v>
      </c>
      <c r="H1645" s="17" t="b">
        <f>Github!D$1644</f>
        <v>0</v>
      </c>
      <c r="I1645" s="17" t="str">
        <f>Github!E$1644</f>
        <v>Hard</v>
      </c>
      <c r="J1645" s="17" t="str">
        <f>ROUND(Github!N$1644, 2)&amp;"%"</f>
        <v>0%</v>
      </c>
      <c r="K1645" s="17">
        <f>Github!O$1644</f>
        <v>45.50533584</v>
      </c>
      <c r="L1645" s="17">
        <f>Github!P$1644</f>
        <v>7249</v>
      </c>
    </row>
    <row r="1646">
      <c r="A1646" s="17">
        <f>Github!J$1645</f>
        <v>1644</v>
      </c>
      <c r="B1646" s="34" t="str">
        <f>HYPERLINK(CONCAT("http://leetcode.com/problems/",Github!C$1645), Github!B$1645)</f>
        <v>Lowest Common Ancestor of a Binary Tree II</v>
      </c>
      <c r="C1646" s="17">
        <f>Github!F$1645</f>
        <v>386</v>
      </c>
      <c r="D1646" s="17">
        <f>Github!G$1645</f>
        <v>19</v>
      </c>
      <c r="E1646" s="17">
        <f>Github!F$1645+Github!G$1645</f>
        <v>405</v>
      </c>
      <c r="F1646" s="18">
        <f t="shared" si="1"/>
        <v>20.32</v>
      </c>
      <c r="G1646" s="17" t="str">
        <f>Github!H$1645</f>
        <v>Algorithms</v>
      </c>
      <c r="H1646" s="17" t="b">
        <f>Github!D$1645</f>
        <v>1</v>
      </c>
      <c r="I1646" s="17" t="str">
        <f>Github!E$1645</f>
        <v>Medium</v>
      </c>
      <c r="J1646" s="17" t="str">
        <f>ROUND(Github!N$1645, 2)&amp;"%"</f>
        <v>0%</v>
      </c>
      <c r="K1646" s="17">
        <f>Github!O$1645</f>
        <v>58.6414285</v>
      </c>
      <c r="L1646" s="17">
        <f>Github!P$1645</f>
        <v>37732</v>
      </c>
    </row>
    <row r="1647">
      <c r="A1647" s="17">
        <f>Github!J$1646</f>
        <v>1645</v>
      </c>
      <c r="B1647" s="34" t="str">
        <f>HYPERLINK(CONCAT("http://leetcode.com/problems/",Github!C$1646), Github!B$1646)</f>
        <v>Hopper Company Queries II</v>
      </c>
      <c r="C1647" s="17">
        <f>Github!F$1646</f>
        <v>35</v>
      </c>
      <c r="D1647" s="17">
        <f>Github!G$1646</f>
        <v>10</v>
      </c>
      <c r="E1647" s="17">
        <f>Github!F$1646+Github!G$1646</f>
        <v>45</v>
      </c>
      <c r="F1647" s="18">
        <f t="shared" si="1"/>
        <v>3.5</v>
      </c>
      <c r="G1647" s="17" t="str">
        <f>Github!H$1646</f>
        <v>Database</v>
      </c>
      <c r="H1647" s="17" t="b">
        <f>Github!D$1646</f>
        <v>1</v>
      </c>
      <c r="I1647" s="17" t="str">
        <f>Github!E$1646</f>
        <v>Hard</v>
      </c>
      <c r="J1647" s="17" t="str">
        <f>ROUND(Github!N$1646, 2)&amp;"%"</f>
        <v>0%</v>
      </c>
      <c r="K1647" s="17">
        <f>Github!O$1646</f>
        <v>38.78426449</v>
      </c>
      <c r="L1647" s="17">
        <f>Github!P$1646</f>
        <v>3707</v>
      </c>
    </row>
    <row r="1648">
      <c r="A1648" s="17">
        <f>Github!J$1647</f>
        <v>1646</v>
      </c>
      <c r="B1648" s="34" t="str">
        <f>HYPERLINK(CONCAT("http://leetcode.com/problems/",Github!C$1647), Github!B$1647)</f>
        <v>Get Maximum in Generated Array</v>
      </c>
      <c r="C1648" s="17">
        <f>Github!F$1647</f>
        <v>345</v>
      </c>
      <c r="D1648" s="17">
        <f>Github!G$1647</f>
        <v>499</v>
      </c>
      <c r="E1648" s="17">
        <f>Github!F$1647+Github!G$1647</f>
        <v>844</v>
      </c>
      <c r="F1648" s="18">
        <f t="shared" si="1"/>
        <v>0.69</v>
      </c>
      <c r="G1648" s="17" t="str">
        <f>Github!H$1647</f>
        <v>Algorithms</v>
      </c>
      <c r="H1648" s="17" t="b">
        <f>Github!D$1647</f>
        <v>0</v>
      </c>
      <c r="I1648" s="17" t="str">
        <f>Github!E$1647</f>
        <v>Easy</v>
      </c>
      <c r="J1648" s="17" t="str">
        <f>ROUND(Github!N$1647, 2)&amp;"%"</f>
        <v>0%</v>
      </c>
      <c r="K1648" s="17">
        <f>Github!O$1647</f>
        <v>51.00812574</v>
      </c>
      <c r="L1648" s="17">
        <f>Github!P$1647</f>
        <v>55429</v>
      </c>
    </row>
    <row r="1649">
      <c r="A1649" s="17">
        <f>Github!J$1648</f>
        <v>1647</v>
      </c>
      <c r="B1649" s="34" t="str">
        <f>HYPERLINK(CONCAT("http://leetcode.com/problems/",Github!C$1648), Github!B$1648)</f>
        <v>Minimum Deletions to Make Character Frequencies Unique</v>
      </c>
      <c r="C1649" s="17">
        <f>Github!F$1648</f>
        <v>1162</v>
      </c>
      <c r="D1649" s="17">
        <f>Github!G$1648</f>
        <v>27</v>
      </c>
      <c r="E1649" s="17">
        <f>Github!F$1648+Github!G$1648</f>
        <v>1189</v>
      </c>
      <c r="F1649" s="18">
        <f t="shared" si="1"/>
        <v>43.04</v>
      </c>
      <c r="G1649" s="17" t="str">
        <f>Github!H$1648</f>
        <v>Algorithms</v>
      </c>
      <c r="H1649" s="17" t="b">
        <f>Github!D$1648</f>
        <v>0</v>
      </c>
      <c r="I1649" s="17" t="str">
        <f>Github!E$1648</f>
        <v>Medium</v>
      </c>
      <c r="J1649" s="17" t="str">
        <f>ROUND(Github!N$1648, 2)&amp;"%"</f>
        <v>0%</v>
      </c>
      <c r="K1649" s="17">
        <f>Github!O$1648</f>
        <v>56.35381438</v>
      </c>
      <c r="L1649" s="17">
        <f>Github!P$1648</f>
        <v>75315</v>
      </c>
    </row>
    <row r="1650">
      <c r="A1650" s="17">
        <f>Github!J$1649</f>
        <v>1648</v>
      </c>
      <c r="B1650" s="34" t="str">
        <f>HYPERLINK(CONCAT("http://leetcode.com/problems/",Github!C$1649), Github!B$1649)</f>
        <v>Sell Diminishing-Valued Colored Balls</v>
      </c>
      <c r="C1650" s="17">
        <f>Github!F$1649</f>
        <v>679</v>
      </c>
      <c r="D1650" s="17">
        <f>Github!G$1649</f>
        <v>253</v>
      </c>
      <c r="E1650" s="17">
        <f>Github!F$1649+Github!G$1649</f>
        <v>932</v>
      </c>
      <c r="F1650" s="18">
        <f t="shared" si="1"/>
        <v>2.68</v>
      </c>
      <c r="G1650" s="17" t="str">
        <f>Github!H$1649</f>
        <v>Algorithms</v>
      </c>
      <c r="H1650" s="17" t="b">
        <f>Github!D$1649</f>
        <v>0</v>
      </c>
      <c r="I1650" s="17" t="str">
        <f>Github!E$1649</f>
        <v>Medium</v>
      </c>
      <c r="J1650" s="17" t="str">
        <f>ROUND(Github!N$1649, 2)&amp;"%"</f>
        <v>0%</v>
      </c>
      <c r="K1650" s="17">
        <f>Github!O$1649</f>
        <v>30.86607896</v>
      </c>
      <c r="L1650" s="17">
        <f>Github!P$1649</f>
        <v>26330</v>
      </c>
    </row>
    <row r="1651">
      <c r="A1651" s="17">
        <f>Github!J$1650</f>
        <v>1649</v>
      </c>
      <c r="B1651" s="34" t="str">
        <f>HYPERLINK(CONCAT("http://leetcode.com/problems/",Github!C$1650), Github!B$1650)</f>
        <v>Create Sorted Array through Instructions</v>
      </c>
      <c r="C1651" s="17">
        <f>Github!F$1650</f>
        <v>442</v>
      </c>
      <c r="D1651" s="17">
        <f>Github!G$1650</f>
        <v>60</v>
      </c>
      <c r="E1651" s="17">
        <f>Github!F$1650+Github!G$1650</f>
        <v>502</v>
      </c>
      <c r="F1651" s="18">
        <f t="shared" si="1"/>
        <v>7.37</v>
      </c>
      <c r="G1651" s="17" t="str">
        <f>Github!H$1650</f>
        <v>Algorithms</v>
      </c>
      <c r="H1651" s="17" t="b">
        <f>Github!D$1650</f>
        <v>0</v>
      </c>
      <c r="I1651" s="17" t="str">
        <f>Github!E$1650</f>
        <v>Hard</v>
      </c>
      <c r="J1651" s="17" t="str">
        <f>ROUND(Github!N$1650, 2)&amp;"%"</f>
        <v>0%</v>
      </c>
      <c r="K1651" s="17">
        <f>Github!O$1650</f>
        <v>37.12151681</v>
      </c>
      <c r="L1651" s="17">
        <f>Github!P$1650</f>
        <v>19382</v>
      </c>
    </row>
    <row r="1652">
      <c r="A1652" s="17">
        <f>Github!J$1651</f>
        <v>1650</v>
      </c>
      <c r="B1652" s="34" t="str">
        <f>HYPERLINK(CONCAT("http://leetcode.com/problems/",Github!C$1651), Github!B$1651)</f>
        <v>Lowest Common Ancestor of a Binary Tree III</v>
      </c>
      <c r="C1652" s="17">
        <f>Github!F$1651</f>
        <v>787</v>
      </c>
      <c r="D1652" s="17">
        <f>Github!G$1651</f>
        <v>24</v>
      </c>
      <c r="E1652" s="17">
        <f>Github!F$1651+Github!G$1651</f>
        <v>811</v>
      </c>
      <c r="F1652" s="18">
        <f t="shared" si="1"/>
        <v>32.79</v>
      </c>
      <c r="G1652" s="17" t="str">
        <f>Github!H$1651</f>
        <v>Algorithms</v>
      </c>
      <c r="H1652" s="17" t="b">
        <f>Github!D$1651</f>
        <v>1</v>
      </c>
      <c r="I1652" s="17" t="str">
        <f>Github!E$1651</f>
        <v>Medium</v>
      </c>
      <c r="J1652" s="17" t="str">
        <f>ROUND(Github!N$1651, 2)&amp;"%"</f>
        <v>0%</v>
      </c>
      <c r="K1652" s="17">
        <f>Github!O$1651</f>
        <v>77.44814932</v>
      </c>
      <c r="L1652" s="17">
        <f>Github!P$1651</f>
        <v>102985</v>
      </c>
    </row>
    <row r="1653">
      <c r="A1653" s="17">
        <f>Github!J$1652</f>
        <v>1651</v>
      </c>
      <c r="B1653" s="34" t="str">
        <f>HYPERLINK(CONCAT("http://leetcode.com/problems/",Github!C$1652), Github!B$1652)</f>
        <v>Hopper Company Queries III</v>
      </c>
      <c r="C1653" s="17">
        <f>Github!F$1652</f>
        <v>16</v>
      </c>
      <c r="D1653" s="17">
        <f>Github!G$1652</f>
        <v>38</v>
      </c>
      <c r="E1653" s="17">
        <f>Github!F$1652+Github!G$1652</f>
        <v>54</v>
      </c>
      <c r="F1653" s="18">
        <f t="shared" si="1"/>
        <v>0.42</v>
      </c>
      <c r="G1653" s="17" t="str">
        <f>Github!H$1652</f>
        <v>Database</v>
      </c>
      <c r="H1653" s="17" t="b">
        <f>Github!D$1652</f>
        <v>1</v>
      </c>
      <c r="I1653" s="17" t="str">
        <f>Github!E$1652</f>
        <v>Hard</v>
      </c>
      <c r="J1653" s="17" t="str">
        <f>ROUND(Github!N$1652, 2)&amp;"%"</f>
        <v>0%</v>
      </c>
      <c r="K1653" s="17">
        <f>Github!O$1652</f>
        <v>66.82875999</v>
      </c>
      <c r="L1653" s="17">
        <f>Github!P$1652</f>
        <v>3848</v>
      </c>
    </row>
    <row r="1654">
      <c r="A1654" s="17">
        <f>Github!J$1653</f>
        <v>1652</v>
      </c>
      <c r="B1654" s="34" t="str">
        <f>HYPERLINK(CONCAT("http://leetcode.com/problems/",Github!C$1653), Github!B$1653)</f>
        <v>Defuse the Bomb</v>
      </c>
      <c r="C1654" s="17">
        <f>Github!F$1653</f>
        <v>398</v>
      </c>
      <c r="D1654" s="17">
        <f>Github!G$1653</f>
        <v>43</v>
      </c>
      <c r="E1654" s="17">
        <f>Github!F$1653+Github!G$1653</f>
        <v>441</v>
      </c>
      <c r="F1654" s="18">
        <f t="shared" si="1"/>
        <v>9.26</v>
      </c>
      <c r="G1654" s="17" t="str">
        <f>Github!H$1653</f>
        <v>Algorithms</v>
      </c>
      <c r="H1654" s="17" t="b">
        <f>Github!D$1653</f>
        <v>0</v>
      </c>
      <c r="I1654" s="17" t="str">
        <f>Github!E$1653</f>
        <v>Easy</v>
      </c>
      <c r="J1654" s="17" t="str">
        <f>ROUND(Github!N$1653, 2)&amp;"%"</f>
        <v>0%</v>
      </c>
      <c r="K1654" s="17">
        <f>Github!O$1653</f>
        <v>60.83458188</v>
      </c>
      <c r="L1654" s="17">
        <f>Github!P$1653</f>
        <v>21926</v>
      </c>
    </row>
    <row r="1655">
      <c r="A1655" s="17">
        <f>Github!J$1654</f>
        <v>1653</v>
      </c>
      <c r="B1655" s="34" t="str">
        <f>HYPERLINK(CONCAT("http://leetcode.com/problems/",Github!C$1654), Github!B$1654)</f>
        <v>Minimum Deletions to Make String Balanced</v>
      </c>
      <c r="C1655" s="17">
        <f>Github!F$1654</f>
        <v>620</v>
      </c>
      <c r="D1655" s="17">
        <f>Github!G$1654</f>
        <v>16</v>
      </c>
      <c r="E1655" s="17">
        <f>Github!F$1654+Github!G$1654</f>
        <v>636</v>
      </c>
      <c r="F1655" s="18">
        <f t="shared" si="1"/>
        <v>38.75</v>
      </c>
      <c r="G1655" s="17" t="str">
        <f>Github!H$1654</f>
        <v>Algorithms</v>
      </c>
      <c r="H1655" s="17" t="b">
        <f>Github!D$1654</f>
        <v>0</v>
      </c>
      <c r="I1655" s="17" t="str">
        <f>Github!E$1654</f>
        <v>Medium</v>
      </c>
      <c r="J1655" s="17" t="str">
        <f>ROUND(Github!N$1654, 2)&amp;"%"</f>
        <v>0%</v>
      </c>
      <c r="K1655" s="17">
        <f>Github!O$1654</f>
        <v>55.3592735</v>
      </c>
      <c r="L1655" s="17">
        <f>Github!P$1654</f>
        <v>16703</v>
      </c>
    </row>
    <row r="1656">
      <c r="A1656" s="17">
        <f>Github!J$1655</f>
        <v>1654</v>
      </c>
      <c r="B1656" s="34" t="str">
        <f>HYPERLINK(CONCAT("http://leetcode.com/problems/",Github!C$1655), Github!B$1655)</f>
        <v>Minimum Jumps to Reach Home</v>
      </c>
      <c r="C1656" s="17">
        <f>Github!F$1655</f>
        <v>683</v>
      </c>
      <c r="D1656" s="17">
        <f>Github!G$1655</f>
        <v>146</v>
      </c>
      <c r="E1656" s="17">
        <f>Github!F$1655+Github!G$1655</f>
        <v>829</v>
      </c>
      <c r="F1656" s="18">
        <f t="shared" si="1"/>
        <v>4.68</v>
      </c>
      <c r="G1656" s="17" t="str">
        <f>Github!H$1655</f>
        <v>Algorithms</v>
      </c>
      <c r="H1656" s="17" t="b">
        <f>Github!D$1655</f>
        <v>0</v>
      </c>
      <c r="I1656" s="17" t="str">
        <f>Github!E$1655</f>
        <v>Medium</v>
      </c>
      <c r="J1656" s="17" t="str">
        <f>ROUND(Github!N$1655, 2)&amp;"%"</f>
        <v>0%</v>
      </c>
      <c r="K1656" s="17">
        <f>Github!O$1655</f>
        <v>26.313606</v>
      </c>
      <c r="L1656" s="17">
        <f>Github!P$1655</f>
        <v>18394</v>
      </c>
    </row>
    <row r="1657">
      <c r="A1657" s="17">
        <f>Github!J$1656</f>
        <v>1655</v>
      </c>
      <c r="B1657" s="34" t="str">
        <f>HYPERLINK(CONCAT("http://leetcode.com/problems/",Github!C$1656), Github!B$1656)</f>
        <v>Distribute Repeating Integers</v>
      </c>
      <c r="C1657" s="17">
        <f>Github!F$1656</f>
        <v>199</v>
      </c>
      <c r="D1657" s="17">
        <f>Github!G$1656</f>
        <v>14</v>
      </c>
      <c r="E1657" s="17">
        <f>Github!F$1656+Github!G$1656</f>
        <v>213</v>
      </c>
      <c r="F1657" s="18">
        <f t="shared" si="1"/>
        <v>14.21</v>
      </c>
      <c r="G1657" s="17" t="str">
        <f>Github!H$1656</f>
        <v>Algorithms</v>
      </c>
      <c r="H1657" s="17" t="b">
        <f>Github!D$1656</f>
        <v>0</v>
      </c>
      <c r="I1657" s="17" t="str">
        <f>Github!E$1656</f>
        <v>Hard</v>
      </c>
      <c r="J1657" s="17" t="str">
        <f>ROUND(Github!N$1656, 2)&amp;"%"</f>
        <v>0%</v>
      </c>
      <c r="K1657" s="17">
        <f>Github!O$1656</f>
        <v>40.25870329</v>
      </c>
      <c r="L1657" s="17">
        <f>Github!P$1656</f>
        <v>7563</v>
      </c>
    </row>
    <row r="1658">
      <c r="A1658" s="17">
        <f>Github!J$1657</f>
        <v>1656</v>
      </c>
      <c r="B1658" s="34" t="str">
        <f>HYPERLINK(CONCAT("http://leetcode.com/problems/",Github!C$1657), Github!B$1657)</f>
        <v>Design an Ordered Stream</v>
      </c>
      <c r="C1658" s="17">
        <f>Github!F$1657</f>
        <v>188</v>
      </c>
      <c r="D1658" s="17">
        <f>Github!G$1657</f>
        <v>1610</v>
      </c>
      <c r="E1658" s="17">
        <f>Github!F$1657+Github!G$1657</f>
        <v>1798</v>
      </c>
      <c r="F1658" s="18">
        <f t="shared" si="1"/>
        <v>0.12</v>
      </c>
      <c r="G1658" s="17" t="str">
        <f>Github!H$1657</f>
        <v>Algorithms</v>
      </c>
      <c r="H1658" s="17" t="b">
        <f>Github!D$1657</f>
        <v>0</v>
      </c>
      <c r="I1658" s="17" t="str">
        <f>Github!E$1657</f>
        <v>Easy</v>
      </c>
      <c r="J1658" s="17" t="str">
        <f>ROUND(Github!N$1657, 2)&amp;"%"</f>
        <v>0%</v>
      </c>
      <c r="K1658" s="17">
        <f>Github!O$1657</f>
        <v>83.45309431</v>
      </c>
      <c r="L1658" s="17">
        <f>Github!P$1657</f>
        <v>33564</v>
      </c>
    </row>
    <row r="1659">
      <c r="A1659" s="17">
        <f>Github!J$1658</f>
        <v>1657</v>
      </c>
      <c r="B1659" s="34" t="str">
        <f>HYPERLINK(CONCAT("http://leetcode.com/problems/",Github!C$1658), Github!B$1658)</f>
        <v>Determine if Two Strings Are Close</v>
      </c>
      <c r="C1659" s="17">
        <f>Github!F$1658</f>
        <v>639</v>
      </c>
      <c r="D1659" s="17">
        <f>Github!G$1658</f>
        <v>36</v>
      </c>
      <c r="E1659" s="17">
        <f>Github!F$1658+Github!G$1658</f>
        <v>675</v>
      </c>
      <c r="F1659" s="18">
        <f t="shared" si="1"/>
        <v>17.75</v>
      </c>
      <c r="G1659" s="17" t="str">
        <f>Github!H$1658</f>
        <v>Algorithms</v>
      </c>
      <c r="H1659" s="17" t="b">
        <f>Github!D$1658</f>
        <v>0</v>
      </c>
      <c r="I1659" s="17" t="str">
        <f>Github!E$1658</f>
        <v>Medium</v>
      </c>
      <c r="J1659" s="17" t="str">
        <f>ROUND(Github!N$1658, 2)&amp;"%"</f>
        <v>0%</v>
      </c>
      <c r="K1659" s="17">
        <f>Github!O$1658</f>
        <v>54.55445125</v>
      </c>
      <c r="L1659" s="17">
        <f>Github!P$1658</f>
        <v>38587</v>
      </c>
    </row>
    <row r="1660">
      <c r="A1660" s="17">
        <f>Github!J$1659</f>
        <v>1658</v>
      </c>
      <c r="B1660" s="34" t="str">
        <f>HYPERLINK(CONCAT("http://leetcode.com/problems/",Github!C$1659), Github!B$1659)</f>
        <v>Minimum Operations to Reduce X to Zero</v>
      </c>
      <c r="C1660" s="17">
        <f>Github!F$1659</f>
        <v>1501</v>
      </c>
      <c r="D1660" s="17">
        <f>Github!G$1659</f>
        <v>28</v>
      </c>
      <c r="E1660" s="17">
        <f>Github!F$1659+Github!G$1659</f>
        <v>1529</v>
      </c>
      <c r="F1660" s="18">
        <f t="shared" si="1"/>
        <v>53.61</v>
      </c>
      <c r="G1660" s="17" t="str">
        <f>Github!H$1659</f>
        <v>Algorithms</v>
      </c>
      <c r="H1660" s="17" t="b">
        <f>Github!D$1659</f>
        <v>0</v>
      </c>
      <c r="I1660" s="17" t="str">
        <f>Github!E$1659</f>
        <v>Medium</v>
      </c>
      <c r="J1660" s="17" t="str">
        <f>ROUND(Github!N$1659, 2)&amp;"%"</f>
        <v>0%</v>
      </c>
      <c r="K1660" s="17">
        <f>Github!O$1659</f>
        <v>33.4910727</v>
      </c>
      <c r="L1660" s="17">
        <f>Github!P$1659</f>
        <v>44584</v>
      </c>
    </row>
    <row r="1661">
      <c r="A1661" s="17">
        <f>Github!J$1660</f>
        <v>1659</v>
      </c>
      <c r="B1661" s="34" t="str">
        <f>HYPERLINK(CONCAT("http://leetcode.com/problems/",Github!C$1660), Github!B$1660)</f>
        <v>Maximize Grid Happiness</v>
      </c>
      <c r="C1661" s="17">
        <f>Github!F$1660</f>
        <v>212</v>
      </c>
      <c r="D1661" s="17">
        <f>Github!G$1660</f>
        <v>46</v>
      </c>
      <c r="E1661" s="17">
        <f>Github!F$1660+Github!G$1660</f>
        <v>258</v>
      </c>
      <c r="F1661" s="18">
        <f t="shared" si="1"/>
        <v>4.61</v>
      </c>
      <c r="G1661" s="17" t="str">
        <f>Github!H$1660</f>
        <v>Algorithms</v>
      </c>
      <c r="H1661" s="17" t="b">
        <f>Github!D$1660</f>
        <v>0</v>
      </c>
      <c r="I1661" s="17" t="str">
        <f>Github!E$1660</f>
        <v>Hard</v>
      </c>
      <c r="J1661" s="17" t="str">
        <f>ROUND(Github!N$1660, 2)&amp;"%"</f>
        <v>0%</v>
      </c>
      <c r="K1661" s="17">
        <f>Github!O$1660</f>
        <v>37.43925629</v>
      </c>
      <c r="L1661" s="17">
        <f>Github!P$1660</f>
        <v>3544</v>
      </c>
    </row>
    <row r="1662">
      <c r="A1662" s="17">
        <f>Github!J$1661</f>
        <v>1660</v>
      </c>
      <c r="B1662" s="34" t="str">
        <f>HYPERLINK(CONCAT("http://leetcode.com/problems/",Github!C$1661), Github!B$1661)</f>
        <v>Correct a Binary Tree</v>
      </c>
      <c r="C1662" s="17">
        <f>Github!F$1661</f>
        <v>158</v>
      </c>
      <c r="D1662" s="17">
        <f>Github!G$1661</f>
        <v>22</v>
      </c>
      <c r="E1662" s="17">
        <f>Github!F$1661+Github!G$1661</f>
        <v>180</v>
      </c>
      <c r="F1662" s="18">
        <f t="shared" si="1"/>
        <v>7.18</v>
      </c>
      <c r="G1662" s="17" t="str">
        <f>Github!H$1661</f>
        <v>Algorithms</v>
      </c>
      <c r="H1662" s="17" t="b">
        <f>Github!D$1661</f>
        <v>1</v>
      </c>
      <c r="I1662" s="17" t="str">
        <f>Github!E$1661</f>
        <v>Medium</v>
      </c>
      <c r="J1662" s="17" t="str">
        <f>ROUND(Github!N$1661, 2)&amp;"%"</f>
        <v>0%</v>
      </c>
      <c r="K1662" s="17">
        <f>Github!O$1661</f>
        <v>72.62140189</v>
      </c>
      <c r="L1662" s="17">
        <f>Github!P$1661</f>
        <v>9915</v>
      </c>
    </row>
    <row r="1663">
      <c r="A1663" s="17">
        <f>Github!J$1662</f>
        <v>1661</v>
      </c>
      <c r="B1663" s="34" t="str">
        <f>HYPERLINK(CONCAT("http://leetcode.com/problems/",Github!C$1662), Github!B$1662)</f>
        <v>Average Time of Process per Machine</v>
      </c>
      <c r="C1663" s="17">
        <f>Github!F$1662</f>
        <v>84</v>
      </c>
      <c r="D1663" s="17">
        <f>Github!G$1662</f>
        <v>19</v>
      </c>
      <c r="E1663" s="17">
        <f>Github!F$1662+Github!G$1662</f>
        <v>103</v>
      </c>
      <c r="F1663" s="18">
        <f t="shared" si="1"/>
        <v>4.42</v>
      </c>
      <c r="G1663" s="17" t="str">
        <f>Github!H$1662</f>
        <v>Database</v>
      </c>
      <c r="H1663" s="17" t="b">
        <f>Github!D$1662</f>
        <v>1</v>
      </c>
      <c r="I1663" s="17" t="str">
        <f>Github!E$1662</f>
        <v>Easy</v>
      </c>
      <c r="J1663" s="17" t="str">
        <f>ROUND(Github!N$1662, 2)&amp;"%"</f>
        <v>0%</v>
      </c>
      <c r="K1663" s="17">
        <f>Github!O$1662</f>
        <v>79.75009591</v>
      </c>
      <c r="L1663" s="17">
        <f>Github!P$1662</f>
        <v>14552</v>
      </c>
    </row>
    <row r="1664">
      <c r="A1664" s="17">
        <f>Github!J$1663</f>
        <v>1662</v>
      </c>
      <c r="B1664" s="34" t="str">
        <f>HYPERLINK(CONCAT("http://leetcode.com/problems/",Github!C$1663), Github!B$1663)</f>
        <v>Check If Two String Arrays are Equivalent</v>
      </c>
      <c r="C1664" s="17">
        <f>Github!F$1663</f>
        <v>720</v>
      </c>
      <c r="D1664" s="17">
        <f>Github!G$1663</f>
        <v>107</v>
      </c>
      <c r="E1664" s="17">
        <f>Github!F$1663+Github!G$1663</f>
        <v>827</v>
      </c>
      <c r="F1664" s="18">
        <f t="shared" si="1"/>
        <v>6.73</v>
      </c>
      <c r="G1664" s="17" t="str">
        <f>Github!H$1663</f>
        <v>Algorithms</v>
      </c>
      <c r="H1664" s="17" t="b">
        <f>Github!D$1663</f>
        <v>0</v>
      </c>
      <c r="I1664" s="17" t="str">
        <f>Github!E$1663</f>
        <v>Easy</v>
      </c>
      <c r="J1664" s="17" t="str">
        <f>ROUND(Github!N$1663, 2)&amp;"%"</f>
        <v>0%</v>
      </c>
      <c r="K1664" s="17">
        <f>Github!O$1663</f>
        <v>81.96540707</v>
      </c>
      <c r="L1664" s="17">
        <f>Github!P$1663</f>
        <v>133918</v>
      </c>
    </row>
    <row r="1665">
      <c r="A1665" s="17">
        <f>Github!J$1664</f>
        <v>1663</v>
      </c>
      <c r="B1665" s="34" t="str">
        <f>HYPERLINK(CONCAT("http://leetcode.com/problems/",Github!C$1664), Github!B$1664)</f>
        <v>Smallest String With A Given Numeric Value</v>
      </c>
      <c r="C1665" s="17">
        <f>Github!F$1664</f>
        <v>561</v>
      </c>
      <c r="D1665" s="17">
        <f>Github!G$1664</f>
        <v>19</v>
      </c>
      <c r="E1665" s="17">
        <f>Github!F$1664+Github!G$1664</f>
        <v>580</v>
      </c>
      <c r="F1665" s="18">
        <f t="shared" si="1"/>
        <v>29.53</v>
      </c>
      <c r="G1665" s="17" t="str">
        <f>Github!H$1664</f>
        <v>Algorithms</v>
      </c>
      <c r="H1665" s="17" t="b">
        <f>Github!D$1664</f>
        <v>0</v>
      </c>
      <c r="I1665" s="17" t="str">
        <f>Github!E$1664</f>
        <v>Medium</v>
      </c>
      <c r="J1665" s="17" t="str">
        <f>ROUND(Github!N$1664, 2)&amp;"%"</f>
        <v>0%</v>
      </c>
      <c r="K1665" s="17">
        <f>Github!O$1664</f>
        <v>64.07072268</v>
      </c>
      <c r="L1665" s="17">
        <f>Github!P$1664</f>
        <v>36890</v>
      </c>
    </row>
    <row r="1666">
      <c r="A1666" s="17">
        <f>Github!J$1665</f>
        <v>1664</v>
      </c>
      <c r="B1666" s="34" t="str">
        <f>HYPERLINK(CONCAT("http://leetcode.com/problems/",Github!C$1665), Github!B$1665)</f>
        <v>Ways to Make a Fair Array</v>
      </c>
      <c r="C1666" s="17">
        <f>Github!F$1665</f>
        <v>769</v>
      </c>
      <c r="D1666" s="17">
        <f>Github!G$1665</f>
        <v>19</v>
      </c>
      <c r="E1666" s="17">
        <f>Github!F$1665+Github!G$1665</f>
        <v>788</v>
      </c>
      <c r="F1666" s="18">
        <f t="shared" si="1"/>
        <v>40.47</v>
      </c>
      <c r="G1666" s="17" t="str">
        <f>Github!H$1665</f>
        <v>Algorithms</v>
      </c>
      <c r="H1666" s="17" t="b">
        <f>Github!D$1665</f>
        <v>0</v>
      </c>
      <c r="I1666" s="17" t="str">
        <f>Github!E$1665</f>
        <v>Medium</v>
      </c>
      <c r="J1666" s="17" t="str">
        <f>ROUND(Github!N$1665, 2)&amp;"%"</f>
        <v>0%</v>
      </c>
      <c r="K1666" s="17">
        <f>Github!O$1665</f>
        <v>63.08058198</v>
      </c>
      <c r="L1666" s="17">
        <f>Github!P$1665</f>
        <v>22545</v>
      </c>
    </row>
    <row r="1667">
      <c r="A1667" s="17">
        <f>Github!J$1666</f>
        <v>1665</v>
      </c>
      <c r="B1667" s="34" t="str">
        <f>HYPERLINK(CONCAT("http://leetcode.com/problems/",Github!C$1666), Github!B$1666)</f>
        <v>Minimum Initial Energy to Finish Tasks</v>
      </c>
      <c r="C1667" s="17">
        <f>Github!F$1666</f>
        <v>340</v>
      </c>
      <c r="D1667" s="17">
        <f>Github!G$1666</f>
        <v>27</v>
      </c>
      <c r="E1667" s="17">
        <f>Github!F$1666+Github!G$1666</f>
        <v>367</v>
      </c>
      <c r="F1667" s="18">
        <f t="shared" si="1"/>
        <v>12.59</v>
      </c>
      <c r="G1667" s="17" t="str">
        <f>Github!H$1666</f>
        <v>Algorithms</v>
      </c>
      <c r="H1667" s="17" t="b">
        <f>Github!D$1666</f>
        <v>0</v>
      </c>
      <c r="I1667" s="17" t="str">
        <f>Github!E$1666</f>
        <v>Hard</v>
      </c>
      <c r="J1667" s="17" t="str">
        <f>ROUND(Github!N$1666, 2)&amp;"%"</f>
        <v>0%</v>
      </c>
      <c r="K1667" s="17">
        <f>Github!O$1666</f>
        <v>55.73331987</v>
      </c>
      <c r="L1667" s="17">
        <f>Github!P$1666</f>
        <v>11043</v>
      </c>
    </row>
    <row r="1668">
      <c r="A1668" s="17">
        <f>Github!J$1667</f>
        <v>1666</v>
      </c>
      <c r="B1668" s="34" t="str">
        <f>HYPERLINK(CONCAT("http://leetcode.com/problems/",Github!C$1667), Github!B$1667)</f>
        <v>Change the Root of a Binary Tree</v>
      </c>
      <c r="C1668" s="17">
        <f>Github!F$1667</f>
        <v>43</v>
      </c>
      <c r="D1668" s="17">
        <f>Github!G$1667</f>
        <v>106</v>
      </c>
      <c r="E1668" s="17">
        <f>Github!F$1667+Github!G$1667</f>
        <v>149</v>
      </c>
      <c r="F1668" s="18">
        <f t="shared" si="1"/>
        <v>0.41</v>
      </c>
      <c r="G1668" s="17" t="str">
        <f>Github!H$1667</f>
        <v>Algorithms</v>
      </c>
      <c r="H1668" s="17" t="b">
        <f>Github!D$1667</f>
        <v>1</v>
      </c>
      <c r="I1668" s="17" t="str">
        <f>Github!E$1667</f>
        <v>Medium</v>
      </c>
      <c r="J1668" s="17" t="str">
        <f>ROUND(Github!N$1667, 2)&amp;"%"</f>
        <v>0%</v>
      </c>
      <c r="K1668" s="17">
        <f>Github!O$1667</f>
        <v>67.66848816</v>
      </c>
      <c r="L1668" s="17">
        <f>Github!P$1667</f>
        <v>2228</v>
      </c>
    </row>
    <row r="1669">
      <c r="A1669" s="17">
        <f>Github!J$1668</f>
        <v>1667</v>
      </c>
      <c r="B1669" s="34" t="str">
        <f>HYPERLINK(CONCAT("http://leetcode.com/problems/",Github!C$1668), Github!B$1668)</f>
        <v>Fix Names in a Table</v>
      </c>
      <c r="C1669" s="17">
        <f>Github!F$1668</f>
        <v>38</v>
      </c>
      <c r="D1669" s="17">
        <f>Github!G$1668</f>
        <v>33</v>
      </c>
      <c r="E1669" s="17">
        <f>Github!F$1668+Github!G$1668</f>
        <v>71</v>
      </c>
      <c r="F1669" s="18">
        <f t="shared" si="1"/>
        <v>1.15</v>
      </c>
      <c r="G1669" s="17" t="str">
        <f>Github!H$1668</f>
        <v>Database</v>
      </c>
      <c r="H1669" s="17" t="b">
        <f>Github!D$1668</f>
        <v>1</v>
      </c>
      <c r="I1669" s="17" t="str">
        <f>Github!E$1668</f>
        <v>Easy</v>
      </c>
      <c r="J1669" s="17" t="str">
        <f>ROUND(Github!N$1668, 2)&amp;"%"</f>
        <v>0%</v>
      </c>
      <c r="K1669" s="17">
        <f>Github!O$1668</f>
        <v>62.57104541</v>
      </c>
      <c r="L1669" s="17">
        <f>Github!P$1668</f>
        <v>9798</v>
      </c>
    </row>
    <row r="1670">
      <c r="A1670" s="17">
        <f>Github!J$1669</f>
        <v>1668</v>
      </c>
      <c r="B1670" s="34" t="str">
        <f>HYPERLINK(CONCAT("http://leetcode.com/problems/",Github!C$1669), Github!B$1669)</f>
        <v>Maximum Repeating Substring</v>
      </c>
      <c r="C1670" s="17">
        <f>Github!F$1669</f>
        <v>357</v>
      </c>
      <c r="D1670" s="17">
        <f>Github!G$1669</f>
        <v>117</v>
      </c>
      <c r="E1670" s="17">
        <f>Github!F$1669+Github!G$1669</f>
        <v>474</v>
      </c>
      <c r="F1670" s="18">
        <f t="shared" si="1"/>
        <v>3.05</v>
      </c>
      <c r="G1670" s="17" t="str">
        <f>Github!H$1669</f>
        <v>Algorithms</v>
      </c>
      <c r="H1670" s="17" t="b">
        <f>Github!D$1669</f>
        <v>0</v>
      </c>
      <c r="I1670" s="17" t="str">
        <f>Github!E$1669</f>
        <v>Easy</v>
      </c>
      <c r="J1670" s="17" t="str">
        <f>ROUND(Github!N$1669, 2)&amp;"%"</f>
        <v>0%</v>
      </c>
      <c r="K1670" s="17">
        <f>Github!O$1669</f>
        <v>39.49757341</v>
      </c>
      <c r="L1670" s="17">
        <f>Github!P$1669</f>
        <v>22625</v>
      </c>
    </row>
    <row r="1671">
      <c r="A1671" s="17">
        <f>Github!J$1670</f>
        <v>1669</v>
      </c>
      <c r="B1671" s="34" t="str">
        <f>HYPERLINK(CONCAT("http://leetcode.com/problems/",Github!C$1670), Github!B$1670)</f>
        <v>Merge In Between Linked Lists</v>
      </c>
      <c r="C1671" s="17">
        <f>Github!F$1670</f>
        <v>807</v>
      </c>
      <c r="D1671" s="17">
        <f>Github!G$1670</f>
        <v>117</v>
      </c>
      <c r="E1671" s="17">
        <f>Github!F$1670+Github!G$1670</f>
        <v>924</v>
      </c>
      <c r="F1671" s="18">
        <f t="shared" si="1"/>
        <v>6.9</v>
      </c>
      <c r="G1671" s="17" t="str">
        <f>Github!H$1670</f>
        <v>Algorithms</v>
      </c>
      <c r="H1671" s="17" t="b">
        <f>Github!D$1670</f>
        <v>0</v>
      </c>
      <c r="I1671" s="17" t="str">
        <f>Github!E$1670</f>
        <v>Medium</v>
      </c>
      <c r="J1671" s="17" t="str">
        <f>ROUND(Github!N$1670, 2)&amp;"%"</f>
        <v>0%</v>
      </c>
      <c r="K1671" s="17">
        <f>Github!O$1670</f>
        <v>74.62773065</v>
      </c>
      <c r="L1671" s="17">
        <f>Github!P$1670</f>
        <v>46357</v>
      </c>
    </row>
    <row r="1672">
      <c r="A1672" s="17">
        <f>Github!J$1671</f>
        <v>1670</v>
      </c>
      <c r="B1672" s="34" t="str">
        <f>HYPERLINK(CONCAT("http://leetcode.com/problems/",Github!C$1671), Github!B$1671)</f>
        <v>Design Front Middle Back Queue</v>
      </c>
      <c r="C1672" s="17">
        <f>Github!F$1671</f>
        <v>404</v>
      </c>
      <c r="D1672" s="17">
        <f>Github!G$1671</f>
        <v>70</v>
      </c>
      <c r="E1672" s="17">
        <f>Github!F$1671+Github!G$1671</f>
        <v>474</v>
      </c>
      <c r="F1672" s="18">
        <f t="shared" si="1"/>
        <v>5.77</v>
      </c>
      <c r="G1672" s="17" t="str">
        <f>Github!H$1671</f>
        <v>Algorithms</v>
      </c>
      <c r="H1672" s="17" t="b">
        <f>Github!D$1671</f>
        <v>0</v>
      </c>
      <c r="I1672" s="17" t="str">
        <f>Github!E$1671</f>
        <v>Medium</v>
      </c>
      <c r="J1672" s="17" t="str">
        <f>ROUND(Github!N$1671, 2)&amp;"%"</f>
        <v>0%</v>
      </c>
      <c r="K1672" s="17">
        <f>Github!O$1671</f>
        <v>55.36993801</v>
      </c>
      <c r="L1672" s="17">
        <f>Github!P$1671</f>
        <v>13755</v>
      </c>
    </row>
    <row r="1673">
      <c r="A1673" s="17">
        <f>Github!J$1672</f>
        <v>1671</v>
      </c>
      <c r="B1673" s="34" t="str">
        <f>HYPERLINK(CONCAT("http://leetcode.com/problems/",Github!C$1672), Github!B$1672)</f>
        <v>Minimum Number of Removals to Make Mountain Array</v>
      </c>
      <c r="C1673" s="17">
        <f>Github!F$1672</f>
        <v>679</v>
      </c>
      <c r="D1673" s="17">
        <f>Github!G$1672</f>
        <v>10</v>
      </c>
      <c r="E1673" s="17">
        <f>Github!F$1672+Github!G$1672</f>
        <v>689</v>
      </c>
      <c r="F1673" s="18">
        <f t="shared" si="1"/>
        <v>67.9</v>
      </c>
      <c r="G1673" s="17" t="str">
        <f>Github!H$1672</f>
        <v>Algorithms</v>
      </c>
      <c r="H1673" s="17" t="b">
        <f>Github!D$1672</f>
        <v>0</v>
      </c>
      <c r="I1673" s="17" t="str">
        <f>Github!E$1672</f>
        <v>Hard</v>
      </c>
      <c r="J1673" s="17" t="str">
        <f>ROUND(Github!N$1672, 2)&amp;"%"</f>
        <v>0%</v>
      </c>
      <c r="K1673" s="17">
        <f>Github!O$1672</f>
        <v>43.22496182</v>
      </c>
      <c r="L1673" s="17">
        <f>Github!P$1672</f>
        <v>11886</v>
      </c>
    </row>
    <row r="1674">
      <c r="A1674" s="17">
        <f>Github!J$1673</f>
        <v>1672</v>
      </c>
      <c r="B1674" s="34" t="str">
        <f>HYPERLINK(CONCAT("http://leetcode.com/problems/",Github!C$1673), Github!B$1673)</f>
        <v>Richest Customer Wealth</v>
      </c>
      <c r="C1674" s="17">
        <f>Github!F$1673</f>
        <v>1660</v>
      </c>
      <c r="D1674" s="17">
        <f>Github!G$1673</f>
        <v>249</v>
      </c>
      <c r="E1674" s="17">
        <f>Github!F$1673+Github!G$1673</f>
        <v>1909</v>
      </c>
      <c r="F1674" s="18">
        <f t="shared" si="1"/>
        <v>6.67</v>
      </c>
      <c r="G1674" s="17" t="str">
        <f>Github!H$1673</f>
        <v>Algorithms</v>
      </c>
      <c r="H1674" s="17" t="b">
        <f>Github!D$1673</f>
        <v>0</v>
      </c>
      <c r="I1674" s="17" t="str">
        <f>Github!E$1673</f>
        <v>Easy</v>
      </c>
      <c r="J1674" s="17" t="str">
        <f>ROUND(Github!N$1673, 2)&amp;"%"</f>
        <v>0%</v>
      </c>
      <c r="K1674" s="17">
        <f>Github!O$1673</f>
        <v>89.35254504</v>
      </c>
      <c r="L1674" s="17">
        <f>Github!P$1673</f>
        <v>256598</v>
      </c>
    </row>
    <row r="1675">
      <c r="A1675" s="17">
        <f>Github!J$1674</f>
        <v>1673</v>
      </c>
      <c r="B1675" s="34" t="str">
        <f>HYPERLINK(CONCAT("http://leetcode.com/problems/",Github!C$1674), Github!B$1674)</f>
        <v>Find the Most Competitive Subsequence</v>
      </c>
      <c r="C1675" s="17">
        <f>Github!F$1674</f>
        <v>1198</v>
      </c>
      <c r="D1675" s="17">
        <f>Github!G$1674</f>
        <v>59</v>
      </c>
      <c r="E1675" s="17">
        <f>Github!F$1674+Github!G$1674</f>
        <v>1257</v>
      </c>
      <c r="F1675" s="18">
        <f t="shared" si="1"/>
        <v>20.31</v>
      </c>
      <c r="G1675" s="17" t="str">
        <f>Github!H$1674</f>
        <v>Algorithms</v>
      </c>
      <c r="H1675" s="17" t="b">
        <f>Github!D$1674</f>
        <v>0</v>
      </c>
      <c r="I1675" s="17" t="str">
        <f>Github!E$1674</f>
        <v>Medium</v>
      </c>
      <c r="J1675" s="17" t="str">
        <f>ROUND(Github!N$1674, 2)&amp;"%"</f>
        <v>0%</v>
      </c>
      <c r="K1675" s="17">
        <f>Github!O$1674</f>
        <v>48.10398564</v>
      </c>
      <c r="L1675" s="17">
        <f>Github!P$1674</f>
        <v>40746</v>
      </c>
    </row>
    <row r="1676">
      <c r="A1676" s="17">
        <f>Github!J$1675</f>
        <v>1674</v>
      </c>
      <c r="B1676" s="34" t="str">
        <f>HYPERLINK(CONCAT("http://leetcode.com/problems/",Github!C$1675), Github!B$1675)</f>
        <v>Minimum Moves to Make Array Complementary</v>
      </c>
      <c r="C1676" s="17">
        <f>Github!F$1675</f>
        <v>416</v>
      </c>
      <c r="D1676" s="17">
        <f>Github!G$1675</f>
        <v>52</v>
      </c>
      <c r="E1676" s="17">
        <f>Github!F$1675+Github!G$1675</f>
        <v>468</v>
      </c>
      <c r="F1676" s="18">
        <f t="shared" si="1"/>
        <v>8</v>
      </c>
      <c r="G1676" s="17" t="str">
        <f>Github!H$1675</f>
        <v>Algorithms</v>
      </c>
      <c r="H1676" s="17" t="b">
        <f>Github!D$1675</f>
        <v>0</v>
      </c>
      <c r="I1676" s="17" t="str">
        <f>Github!E$1675</f>
        <v>Medium</v>
      </c>
      <c r="J1676" s="17" t="str">
        <f>ROUND(Github!N$1675, 2)&amp;"%"</f>
        <v>0%</v>
      </c>
      <c r="K1676" s="17">
        <f>Github!O$1675</f>
        <v>37.34582152</v>
      </c>
      <c r="L1676" s="17">
        <f>Github!P$1675</f>
        <v>5662</v>
      </c>
    </row>
    <row r="1677">
      <c r="A1677" s="17">
        <f>Github!J$1676</f>
        <v>1675</v>
      </c>
      <c r="B1677" s="34" t="str">
        <f>HYPERLINK(CONCAT("http://leetcode.com/problems/",Github!C$1676), Github!B$1676)</f>
        <v>Minimize Deviation in Array</v>
      </c>
      <c r="C1677" s="17">
        <f>Github!F$1676</f>
        <v>1556</v>
      </c>
      <c r="D1677" s="17">
        <f>Github!G$1676</f>
        <v>79</v>
      </c>
      <c r="E1677" s="17">
        <f>Github!F$1676+Github!G$1676</f>
        <v>1635</v>
      </c>
      <c r="F1677" s="18">
        <f t="shared" si="1"/>
        <v>19.7</v>
      </c>
      <c r="G1677" s="17" t="str">
        <f>Github!H$1676</f>
        <v>Algorithms</v>
      </c>
      <c r="H1677" s="17" t="b">
        <f>Github!D$1676</f>
        <v>0</v>
      </c>
      <c r="I1677" s="17" t="str">
        <f>Github!E$1676</f>
        <v>Hard</v>
      </c>
      <c r="J1677" s="17" t="str">
        <f>ROUND(Github!N$1676, 2)&amp;"%"</f>
        <v>0%</v>
      </c>
      <c r="K1677" s="17">
        <f>Github!O$1676</f>
        <v>52.57924641</v>
      </c>
      <c r="L1677" s="17">
        <f>Github!P$1676</f>
        <v>42198</v>
      </c>
    </row>
    <row r="1678">
      <c r="A1678" s="17">
        <f>Github!J$1677</f>
        <v>1676</v>
      </c>
      <c r="B1678" s="34" t="str">
        <f>HYPERLINK(CONCAT("http://leetcode.com/problems/",Github!C$1677), Github!B$1677)</f>
        <v>Lowest Common Ancestor of a Binary Tree IV</v>
      </c>
      <c r="C1678" s="17">
        <f>Github!F$1677</f>
        <v>269</v>
      </c>
      <c r="D1678" s="17">
        <f>Github!G$1677</f>
        <v>9</v>
      </c>
      <c r="E1678" s="17">
        <f>Github!F$1677+Github!G$1677</f>
        <v>278</v>
      </c>
      <c r="F1678" s="18">
        <f t="shared" si="1"/>
        <v>29.89</v>
      </c>
      <c r="G1678" s="17" t="str">
        <f>Github!H$1677</f>
        <v>Algorithms</v>
      </c>
      <c r="H1678" s="17" t="b">
        <f>Github!D$1677</f>
        <v>1</v>
      </c>
      <c r="I1678" s="17" t="str">
        <f>Github!E$1677</f>
        <v>Medium</v>
      </c>
      <c r="J1678" s="17" t="str">
        <f>ROUND(Github!N$1677, 2)&amp;"%"</f>
        <v>0%</v>
      </c>
      <c r="K1678" s="17">
        <f>Github!O$1677</f>
        <v>79.50469684</v>
      </c>
      <c r="L1678" s="17">
        <f>Github!P$1677</f>
        <v>18620</v>
      </c>
    </row>
    <row r="1679">
      <c r="A1679" s="17">
        <f>Github!J$1678</f>
        <v>1677</v>
      </c>
      <c r="B1679" s="34" t="str">
        <f>HYPERLINK(CONCAT("http://leetcode.com/problems/",Github!C$1678), Github!B$1678)</f>
        <v>Product's Worth Over Invoices</v>
      </c>
      <c r="C1679" s="17">
        <f>Github!F$1678</f>
        <v>17</v>
      </c>
      <c r="D1679" s="17">
        <f>Github!G$1678</f>
        <v>81</v>
      </c>
      <c r="E1679" s="17">
        <f>Github!F$1678+Github!G$1678</f>
        <v>98</v>
      </c>
      <c r="F1679" s="18">
        <f t="shared" si="1"/>
        <v>0.21</v>
      </c>
      <c r="G1679" s="17" t="str">
        <f>Github!H$1678</f>
        <v>Database</v>
      </c>
      <c r="H1679" s="17" t="b">
        <f>Github!D$1678</f>
        <v>1</v>
      </c>
      <c r="I1679" s="17" t="str">
        <f>Github!E$1678</f>
        <v>Easy</v>
      </c>
      <c r="J1679" s="17" t="str">
        <f>ROUND(Github!N$1678, 2)&amp;"%"</f>
        <v>0%</v>
      </c>
      <c r="K1679" s="17">
        <f>Github!O$1678</f>
        <v>41.24330396</v>
      </c>
      <c r="L1679" s="17">
        <f>Github!P$1678</f>
        <v>9547</v>
      </c>
    </row>
    <row r="1680">
      <c r="A1680" s="17">
        <f>Github!J$1679</f>
        <v>1678</v>
      </c>
      <c r="B1680" s="34" t="str">
        <f>HYPERLINK(CONCAT("http://leetcode.com/problems/",Github!C$1679), Github!B$1679)</f>
        <v>Goal Parser Interpretation</v>
      </c>
      <c r="C1680" s="17">
        <f>Github!F$1679</f>
        <v>627</v>
      </c>
      <c r="D1680" s="17">
        <f>Github!G$1679</f>
        <v>58</v>
      </c>
      <c r="E1680" s="17">
        <f>Github!F$1679+Github!G$1679</f>
        <v>685</v>
      </c>
      <c r="F1680" s="18">
        <f t="shared" si="1"/>
        <v>10.81</v>
      </c>
      <c r="G1680" s="17" t="str">
        <f>Github!H$1679</f>
        <v>Algorithms</v>
      </c>
      <c r="H1680" s="17" t="b">
        <f>Github!D$1679</f>
        <v>0</v>
      </c>
      <c r="I1680" s="17" t="str">
        <f>Github!E$1679</f>
        <v>Easy</v>
      </c>
      <c r="J1680" s="17" t="str">
        <f>ROUND(Github!N$1679, 2)&amp;"%"</f>
        <v>0%</v>
      </c>
      <c r="K1680" s="17">
        <f>Github!O$1679</f>
        <v>85.54075412</v>
      </c>
      <c r="L1680" s="17">
        <f>Github!P$1679</f>
        <v>94710</v>
      </c>
    </row>
    <row r="1681">
      <c r="A1681" s="17">
        <f>Github!J$1680</f>
        <v>1679</v>
      </c>
      <c r="B1681" s="34" t="str">
        <f>HYPERLINK(CONCAT("http://leetcode.com/problems/",Github!C$1680), Github!B$1680)</f>
        <v>Max Number of K-Sum Pairs</v>
      </c>
      <c r="C1681" s="17">
        <f>Github!F$1680</f>
        <v>663</v>
      </c>
      <c r="D1681" s="17">
        <f>Github!G$1680</f>
        <v>24</v>
      </c>
      <c r="E1681" s="17">
        <f>Github!F$1680+Github!G$1680</f>
        <v>687</v>
      </c>
      <c r="F1681" s="18">
        <f t="shared" si="1"/>
        <v>27.63</v>
      </c>
      <c r="G1681" s="17" t="str">
        <f>Github!H$1680</f>
        <v>Algorithms</v>
      </c>
      <c r="H1681" s="17" t="b">
        <f>Github!D$1680</f>
        <v>0</v>
      </c>
      <c r="I1681" s="17" t="str">
        <f>Github!E$1680</f>
        <v>Medium</v>
      </c>
      <c r="J1681" s="17" t="str">
        <f>ROUND(Github!N$1680, 2)&amp;"%"</f>
        <v>0%</v>
      </c>
      <c r="K1681" s="17">
        <f>Github!O$1680</f>
        <v>53.55826634</v>
      </c>
      <c r="L1681" s="17">
        <f>Github!P$1680</f>
        <v>49700</v>
      </c>
    </row>
    <row r="1682">
      <c r="A1682" s="17">
        <f>Github!J$1681</f>
        <v>1680</v>
      </c>
      <c r="B1682" s="34" t="str">
        <f>HYPERLINK(CONCAT("http://leetcode.com/problems/",Github!C$1681), Github!B$1681)</f>
        <v>Concatenation of Consecutive Binary Numbers</v>
      </c>
      <c r="C1682" s="17">
        <f>Github!F$1681</f>
        <v>332</v>
      </c>
      <c r="D1682" s="17">
        <f>Github!G$1681</f>
        <v>203</v>
      </c>
      <c r="E1682" s="17">
        <f>Github!F$1681+Github!G$1681</f>
        <v>535</v>
      </c>
      <c r="F1682" s="18">
        <f t="shared" si="1"/>
        <v>1.64</v>
      </c>
      <c r="G1682" s="17" t="str">
        <f>Github!H$1681</f>
        <v>Algorithms</v>
      </c>
      <c r="H1682" s="17" t="b">
        <f>Github!D$1681</f>
        <v>0</v>
      </c>
      <c r="I1682" s="17" t="str">
        <f>Github!E$1681</f>
        <v>Medium</v>
      </c>
      <c r="J1682" s="17" t="str">
        <f>ROUND(Github!N$1681, 2)&amp;"%"</f>
        <v>0%</v>
      </c>
      <c r="K1682" s="17">
        <f>Github!O$1681</f>
        <v>52.54298785</v>
      </c>
      <c r="L1682" s="17">
        <f>Github!P$1681</f>
        <v>33307</v>
      </c>
    </row>
    <row r="1683">
      <c r="A1683" s="17">
        <f>Github!J$1682</f>
        <v>1681</v>
      </c>
      <c r="B1683" s="34" t="str">
        <f>HYPERLINK(CONCAT("http://leetcode.com/problems/",Github!C$1682), Github!B$1682)</f>
        <v>Minimum Incompatibility</v>
      </c>
      <c r="C1683" s="17">
        <f>Github!F$1682</f>
        <v>173</v>
      </c>
      <c r="D1683" s="17">
        <f>Github!G$1682</f>
        <v>81</v>
      </c>
      <c r="E1683" s="17">
        <f>Github!F$1682+Github!G$1682</f>
        <v>254</v>
      </c>
      <c r="F1683" s="18">
        <f t="shared" si="1"/>
        <v>2.14</v>
      </c>
      <c r="G1683" s="17" t="str">
        <f>Github!H$1682</f>
        <v>Algorithms</v>
      </c>
      <c r="H1683" s="17" t="b">
        <f>Github!D$1682</f>
        <v>0</v>
      </c>
      <c r="I1683" s="17" t="str">
        <f>Github!E$1682</f>
        <v>Hard</v>
      </c>
      <c r="J1683" s="17" t="str">
        <f>ROUND(Github!N$1682, 2)&amp;"%"</f>
        <v>0%</v>
      </c>
      <c r="K1683" s="17">
        <f>Github!O$1682</f>
        <v>37.0336551</v>
      </c>
      <c r="L1683" s="17">
        <f>Github!P$1682</f>
        <v>5678</v>
      </c>
    </row>
    <row r="1684">
      <c r="A1684" s="17">
        <f>Github!J$1683</f>
        <v>1682</v>
      </c>
      <c r="B1684" s="34" t="str">
        <f>HYPERLINK(CONCAT("http://leetcode.com/problems/",Github!C$1683), Github!B$1683)</f>
        <v>Longest Palindromic Subsequence II</v>
      </c>
      <c r="C1684" s="17">
        <f>Github!F$1683</f>
        <v>93</v>
      </c>
      <c r="D1684" s="17">
        <f>Github!G$1683</f>
        <v>18</v>
      </c>
      <c r="E1684" s="17">
        <f>Github!F$1683+Github!G$1683</f>
        <v>111</v>
      </c>
      <c r="F1684" s="18">
        <f t="shared" si="1"/>
        <v>5.17</v>
      </c>
      <c r="G1684" s="17" t="str">
        <f>Github!H$1683</f>
        <v>Algorithms</v>
      </c>
      <c r="H1684" s="17" t="b">
        <f>Github!D$1683</f>
        <v>1</v>
      </c>
      <c r="I1684" s="17" t="str">
        <f>Github!E$1683</f>
        <v>Medium</v>
      </c>
      <c r="J1684" s="17" t="str">
        <f>ROUND(Github!N$1683, 2)&amp;"%"</f>
        <v>0%</v>
      </c>
      <c r="K1684" s="17">
        <f>Github!O$1683</f>
        <v>50.8253549</v>
      </c>
      <c r="L1684" s="17">
        <f>Github!P$1683</f>
        <v>3079</v>
      </c>
    </row>
    <row r="1685">
      <c r="A1685" s="17">
        <f>Github!J$1684</f>
        <v>1683</v>
      </c>
      <c r="B1685" s="34" t="str">
        <f>HYPERLINK(CONCAT("http://leetcode.com/problems/",Github!C$1684), Github!B$1684)</f>
        <v>Invalid Tweets</v>
      </c>
      <c r="C1685" s="17">
        <f>Github!F$1684</f>
        <v>55</v>
      </c>
      <c r="D1685" s="17">
        <f>Github!G$1684</f>
        <v>64</v>
      </c>
      <c r="E1685" s="17">
        <f>Github!F$1684+Github!G$1684</f>
        <v>119</v>
      </c>
      <c r="F1685" s="18">
        <f t="shared" si="1"/>
        <v>0.86</v>
      </c>
      <c r="G1685" s="17" t="str">
        <f>Github!H$1684</f>
        <v>Database</v>
      </c>
      <c r="H1685" s="17" t="b">
        <f>Github!D$1684</f>
        <v>1</v>
      </c>
      <c r="I1685" s="17" t="str">
        <f>Github!E$1684</f>
        <v>Easy</v>
      </c>
      <c r="J1685" s="17" t="str">
        <f>ROUND(Github!N$1684, 2)&amp;"%"</f>
        <v>0%</v>
      </c>
      <c r="K1685" s="17">
        <f>Github!O$1684</f>
        <v>90.9371045</v>
      </c>
      <c r="L1685" s="17">
        <f>Github!P$1684</f>
        <v>16526</v>
      </c>
    </row>
    <row r="1686">
      <c r="A1686" s="17">
        <f>Github!J$1685</f>
        <v>1684</v>
      </c>
      <c r="B1686" s="34" t="str">
        <f>HYPERLINK(CONCAT("http://leetcode.com/problems/",Github!C$1685), Github!B$1685)</f>
        <v>Count the Number of Consistent Strings</v>
      </c>
      <c r="C1686" s="17">
        <f>Github!F$1685</f>
        <v>777</v>
      </c>
      <c r="D1686" s="17">
        <f>Github!G$1685</f>
        <v>39</v>
      </c>
      <c r="E1686" s="17">
        <f>Github!F$1685+Github!G$1685</f>
        <v>816</v>
      </c>
      <c r="F1686" s="18">
        <f t="shared" si="1"/>
        <v>19.92</v>
      </c>
      <c r="G1686" s="17" t="str">
        <f>Github!H$1685</f>
        <v>Algorithms</v>
      </c>
      <c r="H1686" s="17" t="b">
        <f>Github!D$1685</f>
        <v>0</v>
      </c>
      <c r="I1686" s="17" t="str">
        <f>Github!E$1685</f>
        <v>Easy</v>
      </c>
      <c r="J1686" s="17" t="str">
        <f>ROUND(Github!N$1685, 2)&amp;"%"</f>
        <v>0%</v>
      </c>
      <c r="K1686" s="17">
        <f>Github!O$1685</f>
        <v>81.7916918</v>
      </c>
      <c r="L1686" s="17">
        <f>Github!P$1685</f>
        <v>79995</v>
      </c>
    </row>
    <row r="1687">
      <c r="A1687" s="17">
        <f>Github!J$1686</f>
        <v>1685</v>
      </c>
      <c r="B1687" s="34" t="str">
        <f>HYPERLINK(CONCAT("http://leetcode.com/problems/",Github!C$1686), Github!B$1686)</f>
        <v>Sum of Absolute Differences in a Sorted Array</v>
      </c>
      <c r="C1687" s="17">
        <f>Github!F$1686</f>
        <v>645</v>
      </c>
      <c r="D1687" s="17">
        <f>Github!G$1686</f>
        <v>21</v>
      </c>
      <c r="E1687" s="17">
        <f>Github!F$1686+Github!G$1686</f>
        <v>666</v>
      </c>
      <c r="F1687" s="18">
        <f t="shared" si="1"/>
        <v>30.71</v>
      </c>
      <c r="G1687" s="17" t="str">
        <f>Github!H$1686</f>
        <v>Algorithms</v>
      </c>
      <c r="H1687" s="17" t="b">
        <f>Github!D$1686</f>
        <v>0</v>
      </c>
      <c r="I1687" s="17" t="str">
        <f>Github!E$1686</f>
        <v>Medium</v>
      </c>
      <c r="J1687" s="17" t="str">
        <f>ROUND(Github!N$1686, 2)&amp;"%"</f>
        <v>0%</v>
      </c>
      <c r="K1687" s="17">
        <f>Github!O$1686</f>
        <v>65.59094719</v>
      </c>
      <c r="L1687" s="17">
        <f>Github!P$1686</f>
        <v>18778</v>
      </c>
    </row>
    <row r="1688">
      <c r="A1688" s="17">
        <f>Github!J$1687</f>
        <v>1686</v>
      </c>
      <c r="B1688" s="34" t="str">
        <f>HYPERLINK(CONCAT("http://leetcode.com/problems/",Github!C$1687), Github!B$1687)</f>
        <v>Stone Game VI</v>
      </c>
      <c r="C1688" s="17">
        <f>Github!F$1687</f>
        <v>443</v>
      </c>
      <c r="D1688" s="17">
        <f>Github!G$1687</f>
        <v>37</v>
      </c>
      <c r="E1688" s="17">
        <f>Github!F$1687+Github!G$1687</f>
        <v>480</v>
      </c>
      <c r="F1688" s="18">
        <f t="shared" si="1"/>
        <v>11.97</v>
      </c>
      <c r="G1688" s="17" t="str">
        <f>Github!H$1687</f>
        <v>Algorithms</v>
      </c>
      <c r="H1688" s="17" t="b">
        <f>Github!D$1687</f>
        <v>0</v>
      </c>
      <c r="I1688" s="17" t="str">
        <f>Github!E$1687</f>
        <v>Medium</v>
      </c>
      <c r="J1688" s="17" t="str">
        <f>ROUND(Github!N$1687, 2)&amp;"%"</f>
        <v>0%</v>
      </c>
      <c r="K1688" s="17">
        <f>Github!O$1687</f>
        <v>53.493179</v>
      </c>
      <c r="L1688" s="17">
        <f>Github!P$1687</f>
        <v>10352</v>
      </c>
    </row>
    <row r="1689">
      <c r="A1689" s="17">
        <f>Github!J$1688</f>
        <v>1687</v>
      </c>
      <c r="B1689" s="34" t="str">
        <f>HYPERLINK(CONCAT("http://leetcode.com/problems/",Github!C$1688), Github!B$1688)</f>
        <v>Delivering Boxes from Storage to Ports</v>
      </c>
      <c r="C1689" s="17">
        <f>Github!F$1688</f>
        <v>227</v>
      </c>
      <c r="D1689" s="17">
        <f>Github!G$1688</f>
        <v>14</v>
      </c>
      <c r="E1689" s="17">
        <f>Github!F$1688+Github!G$1688</f>
        <v>241</v>
      </c>
      <c r="F1689" s="18">
        <f t="shared" si="1"/>
        <v>16.21</v>
      </c>
      <c r="G1689" s="17" t="str">
        <f>Github!H$1688</f>
        <v>Algorithms</v>
      </c>
      <c r="H1689" s="17" t="b">
        <f>Github!D$1688</f>
        <v>0</v>
      </c>
      <c r="I1689" s="17" t="str">
        <f>Github!E$1688</f>
        <v>Hard</v>
      </c>
      <c r="J1689" s="17" t="str">
        <f>ROUND(Github!N$1688, 2)&amp;"%"</f>
        <v>0%</v>
      </c>
      <c r="K1689" s="17">
        <f>Github!O$1688</f>
        <v>36.87036838</v>
      </c>
      <c r="L1689" s="17">
        <f>Github!P$1688</f>
        <v>3433</v>
      </c>
    </row>
    <row r="1690">
      <c r="A1690" s="17">
        <f>Github!J$1689</f>
        <v>1688</v>
      </c>
      <c r="B1690" s="34" t="str">
        <f>HYPERLINK(CONCAT("http://leetcode.com/problems/",Github!C$1689), Github!B$1689)</f>
        <v>Count of Matches in Tournament</v>
      </c>
      <c r="C1690" s="17">
        <f>Github!F$1689</f>
        <v>551</v>
      </c>
      <c r="D1690" s="17">
        <f>Github!G$1689</f>
        <v>104</v>
      </c>
      <c r="E1690" s="17">
        <f>Github!F$1689+Github!G$1689</f>
        <v>655</v>
      </c>
      <c r="F1690" s="18">
        <f t="shared" si="1"/>
        <v>5.3</v>
      </c>
      <c r="G1690" s="17" t="str">
        <f>Github!H$1689</f>
        <v>Algorithms</v>
      </c>
      <c r="H1690" s="17" t="b">
        <f>Github!D$1689</f>
        <v>0</v>
      </c>
      <c r="I1690" s="17" t="str">
        <f>Github!E$1689</f>
        <v>Easy</v>
      </c>
      <c r="J1690" s="17" t="str">
        <f>ROUND(Github!N$1689, 2)&amp;"%"</f>
        <v>0%</v>
      </c>
      <c r="K1690" s="17">
        <f>Github!O$1689</f>
        <v>82.6016429</v>
      </c>
      <c r="L1690" s="17">
        <f>Github!P$1689</f>
        <v>63652</v>
      </c>
    </row>
    <row r="1691">
      <c r="A1691" s="17">
        <f>Github!J$1690</f>
        <v>1689</v>
      </c>
      <c r="B1691" s="34" t="str">
        <f>HYPERLINK(CONCAT("http://leetcode.com/problems/",Github!C$1690), Github!B$1690)</f>
        <v>Partitioning Into Minimum Number Of Deci-Binary Numbers</v>
      </c>
      <c r="C1691" s="17">
        <f>Github!F$1690</f>
        <v>751</v>
      </c>
      <c r="D1691" s="17">
        <f>Github!G$1690</f>
        <v>537</v>
      </c>
      <c r="E1691" s="17">
        <f>Github!F$1690+Github!G$1690</f>
        <v>1288</v>
      </c>
      <c r="F1691" s="18">
        <f t="shared" si="1"/>
        <v>1.4</v>
      </c>
      <c r="G1691" s="17" t="str">
        <f>Github!H$1690</f>
        <v>Algorithms</v>
      </c>
      <c r="H1691" s="17" t="b">
        <f>Github!D$1690</f>
        <v>0</v>
      </c>
      <c r="I1691" s="17" t="str">
        <f>Github!E$1690</f>
        <v>Medium</v>
      </c>
      <c r="J1691" s="17" t="str">
        <f>ROUND(Github!N$1690, 2)&amp;"%"</f>
        <v>0%</v>
      </c>
      <c r="K1691" s="17">
        <f>Github!O$1690</f>
        <v>87.78558349</v>
      </c>
      <c r="L1691" s="17">
        <f>Github!P$1690</f>
        <v>73350</v>
      </c>
    </row>
    <row r="1692">
      <c r="A1692" s="17">
        <f>Github!J$1691</f>
        <v>1690</v>
      </c>
      <c r="B1692" s="34" t="str">
        <f>HYPERLINK(CONCAT("http://leetcode.com/problems/",Github!C$1691), Github!B$1691)</f>
        <v>Stone Game VII</v>
      </c>
      <c r="C1692" s="17">
        <f>Github!F$1691</f>
        <v>630</v>
      </c>
      <c r="D1692" s="17">
        <f>Github!G$1691</f>
        <v>125</v>
      </c>
      <c r="E1692" s="17">
        <f>Github!F$1691+Github!G$1691</f>
        <v>755</v>
      </c>
      <c r="F1692" s="18">
        <f t="shared" si="1"/>
        <v>5.04</v>
      </c>
      <c r="G1692" s="17" t="str">
        <f>Github!H$1691</f>
        <v>Algorithms</v>
      </c>
      <c r="H1692" s="17" t="b">
        <f>Github!D$1691</f>
        <v>0</v>
      </c>
      <c r="I1692" s="17" t="str">
        <f>Github!E$1691</f>
        <v>Medium</v>
      </c>
      <c r="J1692" s="17" t="str">
        <f>ROUND(Github!N$1691, 2)&amp;"%"</f>
        <v>0%</v>
      </c>
      <c r="K1692" s="17">
        <f>Github!O$1691</f>
        <v>58.6916701</v>
      </c>
      <c r="L1692" s="17">
        <f>Github!P$1691</f>
        <v>25633</v>
      </c>
    </row>
    <row r="1693">
      <c r="A1693" s="17">
        <f>Github!J$1692</f>
        <v>1691</v>
      </c>
      <c r="B1693" s="34" t="str">
        <f>HYPERLINK(CONCAT("http://leetcode.com/problems/",Github!C$1692), Github!B$1692)</f>
        <v>Maximum Height by Stacking Cuboids </v>
      </c>
      <c r="C1693" s="17">
        <f>Github!F$1692</f>
        <v>453</v>
      </c>
      <c r="D1693" s="17">
        <f>Github!G$1692</f>
        <v>14</v>
      </c>
      <c r="E1693" s="17">
        <f>Github!F$1692+Github!G$1692</f>
        <v>467</v>
      </c>
      <c r="F1693" s="18">
        <f t="shared" si="1"/>
        <v>32.36</v>
      </c>
      <c r="G1693" s="17" t="str">
        <f>Github!H$1692</f>
        <v>Algorithms</v>
      </c>
      <c r="H1693" s="17" t="b">
        <f>Github!D$1692</f>
        <v>0</v>
      </c>
      <c r="I1693" s="17" t="str">
        <f>Github!E$1692</f>
        <v>Hard</v>
      </c>
      <c r="J1693" s="17" t="str">
        <f>ROUND(Github!N$1692, 2)&amp;"%"</f>
        <v>0%</v>
      </c>
      <c r="K1693" s="17">
        <f>Github!O$1692</f>
        <v>53.55624676</v>
      </c>
      <c r="L1693" s="17">
        <f>Github!P$1692</f>
        <v>10331</v>
      </c>
    </row>
    <row r="1694">
      <c r="A1694" s="17">
        <f>Github!J$1693</f>
        <v>1692</v>
      </c>
      <c r="B1694" s="34" t="str">
        <f>HYPERLINK(CONCAT("http://leetcode.com/problems/",Github!C$1693), Github!B$1693)</f>
        <v>Count Ways to Distribute Candies</v>
      </c>
      <c r="C1694" s="17">
        <f>Github!F$1693</f>
        <v>38</v>
      </c>
      <c r="D1694" s="17">
        <f>Github!G$1693</f>
        <v>5</v>
      </c>
      <c r="E1694" s="17">
        <f>Github!F$1693+Github!G$1693</f>
        <v>43</v>
      </c>
      <c r="F1694" s="18">
        <f t="shared" si="1"/>
        <v>7.6</v>
      </c>
      <c r="G1694" s="17" t="str">
        <f>Github!H$1693</f>
        <v>Algorithms</v>
      </c>
      <c r="H1694" s="17" t="b">
        <f>Github!D$1693</f>
        <v>1</v>
      </c>
      <c r="I1694" s="17" t="str">
        <f>Github!E$1693</f>
        <v>Hard</v>
      </c>
      <c r="J1694" s="17" t="str">
        <f>ROUND(Github!N$1693, 2)&amp;"%"</f>
        <v>0%</v>
      </c>
      <c r="K1694" s="17">
        <f>Github!O$1693</f>
        <v>60.7364685</v>
      </c>
      <c r="L1694" s="17">
        <f>Github!P$1693</f>
        <v>1369</v>
      </c>
    </row>
    <row r="1695">
      <c r="A1695" s="17">
        <f>Github!J$1694</f>
        <v>1693</v>
      </c>
      <c r="B1695" s="34" t="str">
        <f>HYPERLINK(CONCAT("http://leetcode.com/problems/",Github!C$1694), Github!B$1694)</f>
        <v>Daily Leads and Partners</v>
      </c>
      <c r="C1695" s="17">
        <f>Github!F$1694</f>
        <v>60</v>
      </c>
      <c r="D1695" s="17">
        <f>Github!G$1694</f>
        <v>9</v>
      </c>
      <c r="E1695" s="17">
        <f>Github!F$1694+Github!G$1694</f>
        <v>69</v>
      </c>
      <c r="F1695" s="18">
        <f t="shared" si="1"/>
        <v>6.67</v>
      </c>
      <c r="G1695" s="17" t="str">
        <f>Github!H$1694</f>
        <v>Database</v>
      </c>
      <c r="H1695" s="17" t="b">
        <f>Github!D$1694</f>
        <v>1</v>
      </c>
      <c r="I1695" s="17" t="str">
        <f>Github!E$1694</f>
        <v>Easy</v>
      </c>
      <c r="J1695" s="17" t="str">
        <f>ROUND(Github!N$1694, 2)&amp;"%"</f>
        <v>0%</v>
      </c>
      <c r="K1695" s="17">
        <f>Github!O$1694</f>
        <v>91.41427984</v>
      </c>
      <c r="L1695" s="17">
        <f>Github!P$1694</f>
        <v>13341</v>
      </c>
    </row>
    <row r="1696">
      <c r="A1696" s="17">
        <f>Github!J$1695</f>
        <v>1694</v>
      </c>
      <c r="B1696" s="34" t="str">
        <f>HYPERLINK(CONCAT("http://leetcode.com/problems/",Github!C$1695), Github!B$1695)</f>
        <v>Reformat Phone Number</v>
      </c>
      <c r="C1696" s="17">
        <f>Github!F$1695</f>
        <v>195</v>
      </c>
      <c r="D1696" s="17">
        <f>Github!G$1695</f>
        <v>153</v>
      </c>
      <c r="E1696" s="17">
        <f>Github!F$1695+Github!G$1695</f>
        <v>348</v>
      </c>
      <c r="F1696" s="18">
        <f t="shared" si="1"/>
        <v>1.27</v>
      </c>
      <c r="G1696" s="17" t="str">
        <f>Github!H$1695</f>
        <v>Algorithms</v>
      </c>
      <c r="H1696" s="17" t="b">
        <f>Github!D$1695</f>
        <v>0</v>
      </c>
      <c r="I1696" s="17" t="str">
        <f>Github!E$1695</f>
        <v>Easy</v>
      </c>
      <c r="J1696" s="17" t="str">
        <f>ROUND(Github!N$1695, 2)&amp;"%"</f>
        <v>0%</v>
      </c>
      <c r="K1696" s="17">
        <f>Github!O$1695</f>
        <v>65.15752949</v>
      </c>
      <c r="L1696" s="17">
        <f>Github!P$1695</f>
        <v>23473</v>
      </c>
    </row>
    <row r="1697">
      <c r="A1697" s="17">
        <f>Github!J$1696</f>
        <v>1695</v>
      </c>
      <c r="B1697" s="34" t="str">
        <f>HYPERLINK(CONCAT("http://leetcode.com/problems/",Github!C$1696), Github!B$1696)</f>
        <v>Maximum Erasure Value</v>
      </c>
      <c r="C1697" s="17">
        <f>Github!F$1696</f>
        <v>791</v>
      </c>
      <c r="D1697" s="17">
        <f>Github!G$1696</f>
        <v>13</v>
      </c>
      <c r="E1697" s="17">
        <f>Github!F$1696+Github!G$1696</f>
        <v>804</v>
      </c>
      <c r="F1697" s="18">
        <f t="shared" si="1"/>
        <v>60.85</v>
      </c>
      <c r="G1697" s="17" t="str">
        <f>Github!H$1696</f>
        <v>Algorithms</v>
      </c>
      <c r="H1697" s="17" t="b">
        <f>Github!D$1696</f>
        <v>0</v>
      </c>
      <c r="I1697" s="17" t="str">
        <f>Github!E$1696</f>
        <v>Medium</v>
      </c>
      <c r="J1697" s="17" t="str">
        <f>ROUND(Github!N$1696, 2)&amp;"%"</f>
        <v>0%</v>
      </c>
      <c r="K1697" s="17">
        <f>Github!O$1696</f>
        <v>52.34718666</v>
      </c>
      <c r="L1697" s="17">
        <f>Github!P$1696</f>
        <v>39862</v>
      </c>
    </row>
    <row r="1698">
      <c r="A1698" s="17">
        <f>Github!J$1697</f>
        <v>1696</v>
      </c>
      <c r="B1698" s="34" t="str">
        <f>HYPERLINK(CONCAT("http://leetcode.com/problems/",Github!C$1697), Github!B$1697)</f>
        <v>Jump Game VI</v>
      </c>
      <c r="C1698" s="17">
        <f>Github!F$1697</f>
        <v>1241</v>
      </c>
      <c r="D1698" s="17">
        <f>Github!G$1697</f>
        <v>51</v>
      </c>
      <c r="E1698" s="17">
        <f>Github!F$1697+Github!G$1697</f>
        <v>1292</v>
      </c>
      <c r="F1698" s="18">
        <f t="shared" si="1"/>
        <v>24.33</v>
      </c>
      <c r="G1698" s="17" t="str">
        <f>Github!H$1697</f>
        <v>Algorithms</v>
      </c>
      <c r="H1698" s="17" t="b">
        <f>Github!D$1697</f>
        <v>0</v>
      </c>
      <c r="I1698" s="17" t="str">
        <f>Github!E$1697</f>
        <v>Medium</v>
      </c>
      <c r="J1698" s="17" t="str">
        <f>ROUND(Github!N$1697, 2)&amp;"%"</f>
        <v>0%</v>
      </c>
      <c r="K1698" s="17">
        <f>Github!O$1697</f>
        <v>42.54891757</v>
      </c>
      <c r="L1698" s="17">
        <f>Github!P$1697</f>
        <v>40879</v>
      </c>
    </row>
    <row r="1699">
      <c r="A1699" s="17">
        <f>Github!J$1698</f>
        <v>1697</v>
      </c>
      <c r="B1699" s="34" t="str">
        <f>HYPERLINK(CONCAT("http://leetcode.com/problems/",Github!C$1698), Github!B$1698)</f>
        <v>Checking Existence of Edge Length Limited Paths</v>
      </c>
      <c r="C1699" s="17">
        <f>Github!F$1698</f>
        <v>428</v>
      </c>
      <c r="D1699" s="17">
        <f>Github!G$1698</f>
        <v>7</v>
      </c>
      <c r="E1699" s="17">
        <f>Github!F$1698+Github!G$1698</f>
        <v>435</v>
      </c>
      <c r="F1699" s="18">
        <f t="shared" si="1"/>
        <v>61.14</v>
      </c>
      <c r="G1699" s="17" t="str">
        <f>Github!H$1698</f>
        <v>Algorithms</v>
      </c>
      <c r="H1699" s="17" t="b">
        <f>Github!D$1698</f>
        <v>0</v>
      </c>
      <c r="I1699" s="17" t="str">
        <f>Github!E$1698</f>
        <v>Hard</v>
      </c>
      <c r="J1699" s="17" t="str">
        <f>ROUND(Github!N$1698, 2)&amp;"%"</f>
        <v>0%</v>
      </c>
      <c r="K1699" s="17">
        <f>Github!O$1698</f>
        <v>48.49970962</v>
      </c>
      <c r="L1699" s="17">
        <f>Github!P$1698</f>
        <v>7516</v>
      </c>
    </row>
    <row r="1700">
      <c r="A1700" s="17">
        <f>Github!J$1699</f>
        <v>1698</v>
      </c>
      <c r="B1700" s="34" t="str">
        <f>HYPERLINK(CONCAT("http://leetcode.com/problems/",Github!C$1699), Github!B$1699)</f>
        <v>Number of Distinct Substrings in a String</v>
      </c>
      <c r="C1700" s="17">
        <f>Github!F$1699</f>
        <v>98</v>
      </c>
      <c r="D1700" s="17">
        <f>Github!G$1699</f>
        <v>24</v>
      </c>
      <c r="E1700" s="17">
        <f>Github!F$1699+Github!G$1699</f>
        <v>122</v>
      </c>
      <c r="F1700" s="18">
        <f t="shared" si="1"/>
        <v>4.08</v>
      </c>
      <c r="G1700" s="17" t="str">
        <f>Github!H$1699</f>
        <v>Algorithms</v>
      </c>
      <c r="H1700" s="17" t="b">
        <f>Github!D$1699</f>
        <v>1</v>
      </c>
      <c r="I1700" s="17" t="str">
        <f>Github!E$1699</f>
        <v>Medium</v>
      </c>
      <c r="J1700" s="17" t="str">
        <f>ROUND(Github!N$1699, 2)&amp;"%"</f>
        <v>0%</v>
      </c>
      <c r="K1700" s="17">
        <f>Github!O$1699</f>
        <v>62.5</v>
      </c>
      <c r="L1700" s="17">
        <f>Github!P$1699</f>
        <v>4060</v>
      </c>
    </row>
    <row r="1701">
      <c r="A1701" s="17">
        <f>Github!J$1700</f>
        <v>1699</v>
      </c>
      <c r="B1701" s="34" t="str">
        <f>HYPERLINK(CONCAT("http://leetcode.com/problems/",Github!C$1700), Github!B$1700)</f>
        <v>Number of Calls Between Two Persons</v>
      </c>
      <c r="C1701" s="17">
        <f>Github!F$1700</f>
        <v>104</v>
      </c>
      <c r="D1701" s="17">
        <f>Github!G$1700</f>
        <v>3</v>
      </c>
      <c r="E1701" s="17">
        <f>Github!F$1700+Github!G$1700</f>
        <v>107</v>
      </c>
      <c r="F1701" s="18">
        <f t="shared" si="1"/>
        <v>34.67</v>
      </c>
      <c r="G1701" s="17" t="str">
        <f>Github!H$1700</f>
        <v>Database</v>
      </c>
      <c r="H1701" s="17" t="b">
        <f>Github!D$1700</f>
        <v>1</v>
      </c>
      <c r="I1701" s="17" t="str">
        <f>Github!E$1700</f>
        <v>Medium</v>
      </c>
      <c r="J1701" s="17" t="str">
        <f>ROUND(Github!N$1700, 2)&amp;"%"</f>
        <v>0%</v>
      </c>
      <c r="K1701" s="17">
        <f>Github!O$1700</f>
        <v>86.14146061</v>
      </c>
      <c r="L1701" s="17">
        <f>Github!P$1700</f>
        <v>14980</v>
      </c>
    </row>
    <row r="1702">
      <c r="A1702" s="17">
        <f>Github!J$1701</f>
        <v>1700</v>
      </c>
      <c r="B1702" s="34" t="str">
        <f>HYPERLINK(CONCAT("http://leetcode.com/problems/",Github!C$1701), Github!B$1701)</f>
        <v>Number of Students Unable to Eat Lunch</v>
      </c>
      <c r="C1702" s="17">
        <f>Github!F$1701</f>
        <v>725</v>
      </c>
      <c r="D1702" s="17">
        <f>Github!G$1701</f>
        <v>37</v>
      </c>
      <c r="E1702" s="17">
        <f>Github!F$1701+Github!G$1701</f>
        <v>762</v>
      </c>
      <c r="F1702" s="18">
        <f t="shared" si="1"/>
        <v>19.59</v>
      </c>
      <c r="G1702" s="17" t="str">
        <f>Github!H$1701</f>
        <v>Algorithms</v>
      </c>
      <c r="H1702" s="17" t="b">
        <f>Github!D$1701</f>
        <v>0</v>
      </c>
      <c r="I1702" s="17" t="str">
        <f>Github!E$1701</f>
        <v>Easy</v>
      </c>
      <c r="J1702" s="17" t="str">
        <f>ROUND(Github!N$1701, 2)&amp;"%"</f>
        <v>0%</v>
      </c>
      <c r="K1702" s="17">
        <f>Github!O$1701</f>
        <v>67.89736087</v>
      </c>
      <c r="L1702" s="17">
        <f>Github!P$1701</f>
        <v>35272</v>
      </c>
    </row>
    <row r="1703">
      <c r="A1703" s="17">
        <f>Github!J$1702</f>
        <v>1701</v>
      </c>
      <c r="B1703" s="34" t="str">
        <f>HYPERLINK(CONCAT("http://leetcode.com/problems/",Github!C$1702), Github!B$1702)</f>
        <v>Average Waiting Time</v>
      </c>
      <c r="C1703" s="17">
        <f>Github!F$1702</f>
        <v>311</v>
      </c>
      <c r="D1703" s="17">
        <f>Github!G$1702</f>
        <v>37</v>
      </c>
      <c r="E1703" s="17">
        <f>Github!F$1702+Github!G$1702</f>
        <v>348</v>
      </c>
      <c r="F1703" s="18">
        <f t="shared" si="1"/>
        <v>8.41</v>
      </c>
      <c r="G1703" s="17" t="str">
        <f>Github!H$1702</f>
        <v>Algorithms</v>
      </c>
      <c r="H1703" s="17" t="b">
        <f>Github!D$1702</f>
        <v>0</v>
      </c>
      <c r="I1703" s="17" t="str">
        <f>Github!E$1702</f>
        <v>Medium</v>
      </c>
      <c r="J1703" s="17" t="str">
        <f>ROUND(Github!N$1702, 2)&amp;"%"</f>
        <v>0%</v>
      </c>
      <c r="K1703" s="17">
        <f>Github!O$1702</f>
        <v>61.59337329</v>
      </c>
      <c r="L1703" s="17">
        <f>Github!P$1702</f>
        <v>18292</v>
      </c>
    </row>
    <row r="1704">
      <c r="A1704" s="17">
        <f>Github!J$1703</f>
        <v>1702</v>
      </c>
      <c r="B1704" s="34" t="str">
        <f>HYPERLINK(CONCAT("http://leetcode.com/problems/",Github!C$1703), Github!B$1703)</f>
        <v>Maximum Binary String After Change</v>
      </c>
      <c r="C1704" s="17">
        <f>Github!F$1703</f>
        <v>300</v>
      </c>
      <c r="D1704" s="17">
        <f>Github!G$1703</f>
        <v>36</v>
      </c>
      <c r="E1704" s="17">
        <f>Github!F$1703+Github!G$1703</f>
        <v>336</v>
      </c>
      <c r="F1704" s="18">
        <f t="shared" si="1"/>
        <v>8.33</v>
      </c>
      <c r="G1704" s="17" t="str">
        <f>Github!H$1703</f>
        <v>Algorithms</v>
      </c>
      <c r="H1704" s="17" t="b">
        <f>Github!D$1703</f>
        <v>0</v>
      </c>
      <c r="I1704" s="17" t="str">
        <f>Github!E$1703</f>
        <v>Medium</v>
      </c>
      <c r="J1704" s="17" t="str">
        <f>ROUND(Github!N$1703, 2)&amp;"%"</f>
        <v>0%</v>
      </c>
      <c r="K1704" s="17">
        <f>Github!O$1703</f>
        <v>45.07003721</v>
      </c>
      <c r="L1704" s="17">
        <f>Github!P$1703</f>
        <v>8237</v>
      </c>
    </row>
    <row r="1705">
      <c r="A1705" s="17">
        <f>Github!J$1704</f>
        <v>1703</v>
      </c>
      <c r="B1705" s="34" t="str">
        <f>HYPERLINK(CONCAT("http://leetcode.com/problems/",Github!C$1704), Github!B$1704)</f>
        <v>Minimum Adjacent Swaps for K Consecutive Ones</v>
      </c>
      <c r="C1705" s="17">
        <f>Github!F$1704</f>
        <v>404</v>
      </c>
      <c r="D1705" s="17">
        <f>Github!G$1704</f>
        <v>16</v>
      </c>
      <c r="E1705" s="17">
        <f>Github!F$1704+Github!G$1704</f>
        <v>420</v>
      </c>
      <c r="F1705" s="18">
        <f t="shared" si="1"/>
        <v>25.25</v>
      </c>
      <c r="G1705" s="17" t="str">
        <f>Github!H$1704</f>
        <v>Algorithms</v>
      </c>
      <c r="H1705" s="17" t="b">
        <f>Github!D$1704</f>
        <v>0</v>
      </c>
      <c r="I1705" s="17" t="str">
        <f>Github!E$1704</f>
        <v>Hard</v>
      </c>
      <c r="J1705" s="17" t="str">
        <f>ROUND(Github!N$1704, 2)&amp;"%"</f>
        <v>0%</v>
      </c>
      <c r="K1705" s="17">
        <f>Github!O$1704</f>
        <v>40.27433241</v>
      </c>
      <c r="L1705" s="17">
        <f>Github!P$1704</f>
        <v>5520</v>
      </c>
    </row>
    <row r="1706">
      <c r="A1706" s="17">
        <f>Github!J$1705</f>
        <v>1704</v>
      </c>
      <c r="B1706" s="34" t="str">
        <f>HYPERLINK(CONCAT("http://leetcode.com/problems/",Github!C$1705), Github!B$1705)</f>
        <v>Determine if String Halves Are Alike</v>
      </c>
      <c r="C1706" s="17">
        <f>Github!F$1705</f>
        <v>487</v>
      </c>
      <c r="D1706" s="17">
        <f>Github!G$1705</f>
        <v>35</v>
      </c>
      <c r="E1706" s="17">
        <f>Github!F$1705+Github!G$1705</f>
        <v>522</v>
      </c>
      <c r="F1706" s="18">
        <f t="shared" si="1"/>
        <v>13.91</v>
      </c>
      <c r="G1706" s="17" t="str">
        <f>Github!H$1705</f>
        <v>Algorithms</v>
      </c>
      <c r="H1706" s="17" t="b">
        <f>Github!D$1705</f>
        <v>0</v>
      </c>
      <c r="I1706" s="17" t="str">
        <f>Github!E$1705</f>
        <v>Easy</v>
      </c>
      <c r="J1706" s="17" t="str">
        <f>ROUND(Github!N$1705, 2)&amp;"%"</f>
        <v>0%</v>
      </c>
      <c r="K1706" s="17">
        <f>Github!O$1705</f>
        <v>78.1170557</v>
      </c>
      <c r="L1706" s="17">
        <f>Github!P$1705</f>
        <v>81121</v>
      </c>
    </row>
    <row r="1707">
      <c r="A1707" s="17">
        <f>Github!J$1706</f>
        <v>1705</v>
      </c>
      <c r="B1707" s="34" t="str">
        <f>HYPERLINK(CONCAT("http://leetcode.com/problems/",Github!C$1706), Github!B$1706)</f>
        <v>Maximum Number of Eaten Apples</v>
      </c>
      <c r="C1707" s="17">
        <f>Github!F$1706</f>
        <v>474</v>
      </c>
      <c r="D1707" s="17">
        <f>Github!G$1706</f>
        <v>142</v>
      </c>
      <c r="E1707" s="17">
        <f>Github!F$1706+Github!G$1706</f>
        <v>616</v>
      </c>
      <c r="F1707" s="18">
        <f t="shared" si="1"/>
        <v>3.34</v>
      </c>
      <c r="G1707" s="17" t="str">
        <f>Github!H$1706</f>
        <v>Algorithms</v>
      </c>
      <c r="H1707" s="17" t="b">
        <f>Github!D$1706</f>
        <v>0</v>
      </c>
      <c r="I1707" s="17" t="str">
        <f>Github!E$1706</f>
        <v>Medium</v>
      </c>
      <c r="J1707" s="17" t="str">
        <f>ROUND(Github!N$1706, 2)&amp;"%"</f>
        <v>0%</v>
      </c>
      <c r="K1707" s="17">
        <f>Github!O$1706</f>
        <v>36.08461984</v>
      </c>
      <c r="L1707" s="17">
        <f>Github!P$1706</f>
        <v>13697</v>
      </c>
    </row>
    <row r="1708">
      <c r="A1708" s="17">
        <f>Github!J$1707</f>
        <v>1706</v>
      </c>
      <c r="B1708" s="34" t="str">
        <f>HYPERLINK(CONCAT("http://leetcode.com/problems/",Github!C$1707), Github!B$1707)</f>
        <v>Where Will the Ball Fall</v>
      </c>
      <c r="C1708" s="17">
        <f>Github!F$1707</f>
        <v>702</v>
      </c>
      <c r="D1708" s="17">
        <f>Github!G$1707</f>
        <v>52</v>
      </c>
      <c r="E1708" s="17">
        <f>Github!F$1707+Github!G$1707</f>
        <v>754</v>
      </c>
      <c r="F1708" s="18">
        <f t="shared" si="1"/>
        <v>13.5</v>
      </c>
      <c r="G1708" s="17" t="str">
        <f>Github!H$1707</f>
        <v>Algorithms</v>
      </c>
      <c r="H1708" s="17" t="b">
        <f>Github!D$1707</f>
        <v>0</v>
      </c>
      <c r="I1708" s="17" t="str">
        <f>Github!E$1707</f>
        <v>Medium</v>
      </c>
      <c r="J1708" s="17" t="str">
        <f>ROUND(Github!N$1707, 2)&amp;"%"</f>
        <v>0%</v>
      </c>
      <c r="K1708" s="17">
        <f>Github!O$1707</f>
        <v>66.37767683</v>
      </c>
      <c r="L1708" s="17">
        <f>Github!P$1707</f>
        <v>25572</v>
      </c>
    </row>
    <row r="1709">
      <c r="A1709" s="17">
        <f>Github!J$1708</f>
        <v>1707</v>
      </c>
      <c r="B1709" s="34" t="str">
        <f>HYPERLINK(CONCAT("http://leetcode.com/problems/",Github!C$1708), Github!B$1708)</f>
        <v>Maximum XOR With an Element From Array</v>
      </c>
      <c r="C1709" s="17">
        <f>Github!F$1708</f>
        <v>457</v>
      </c>
      <c r="D1709" s="17">
        <f>Github!G$1708</f>
        <v>15</v>
      </c>
      <c r="E1709" s="17">
        <f>Github!F$1708+Github!G$1708</f>
        <v>472</v>
      </c>
      <c r="F1709" s="18">
        <f t="shared" si="1"/>
        <v>30.47</v>
      </c>
      <c r="G1709" s="17" t="str">
        <f>Github!H$1708</f>
        <v>Algorithms</v>
      </c>
      <c r="H1709" s="17" t="b">
        <f>Github!D$1708</f>
        <v>0</v>
      </c>
      <c r="I1709" s="17" t="str">
        <f>Github!E$1708</f>
        <v>Hard</v>
      </c>
      <c r="J1709" s="17" t="str">
        <f>ROUND(Github!N$1708, 2)&amp;"%"</f>
        <v>0%</v>
      </c>
      <c r="K1709" s="17">
        <f>Github!O$1708</f>
        <v>43.12367865</v>
      </c>
      <c r="L1709" s="17">
        <f>Github!P$1708</f>
        <v>8158</v>
      </c>
    </row>
    <row r="1710">
      <c r="A1710" s="17">
        <f>Github!J$1709</f>
        <v>1708</v>
      </c>
      <c r="B1710" s="34" t="str">
        <f>HYPERLINK(CONCAT("http://leetcode.com/problems/",Github!C$1709), Github!B$1709)</f>
        <v>Largest Subarray Length K</v>
      </c>
      <c r="C1710" s="17">
        <f>Github!F$1709</f>
        <v>63</v>
      </c>
      <c r="D1710" s="17">
        <f>Github!G$1709</f>
        <v>75</v>
      </c>
      <c r="E1710" s="17">
        <f>Github!F$1709+Github!G$1709</f>
        <v>138</v>
      </c>
      <c r="F1710" s="18">
        <f t="shared" si="1"/>
        <v>0.84</v>
      </c>
      <c r="G1710" s="17" t="str">
        <f>Github!H$1709</f>
        <v>Algorithms</v>
      </c>
      <c r="H1710" s="17" t="b">
        <f>Github!D$1709</f>
        <v>1</v>
      </c>
      <c r="I1710" s="17" t="str">
        <f>Github!E$1709</f>
        <v>Easy</v>
      </c>
      <c r="J1710" s="17" t="str">
        <f>ROUND(Github!N$1709, 2)&amp;"%"</f>
        <v>0%</v>
      </c>
      <c r="K1710" s="17">
        <f>Github!O$1709</f>
        <v>63.56386293</v>
      </c>
      <c r="L1710" s="17">
        <f>Github!P$1709</f>
        <v>5101</v>
      </c>
    </row>
    <row r="1711">
      <c r="A1711" s="17">
        <f>Github!J$1710</f>
        <v>1709</v>
      </c>
      <c r="B1711" s="34" t="str">
        <f>HYPERLINK(CONCAT("http://leetcode.com/problems/",Github!C$1710), Github!B$1710)</f>
        <v>Biggest Window Between Visits</v>
      </c>
      <c r="C1711" s="17">
        <f>Github!F$1710</f>
        <v>88</v>
      </c>
      <c r="D1711" s="17">
        <f>Github!G$1710</f>
        <v>4</v>
      </c>
      <c r="E1711" s="17">
        <f>Github!F$1710+Github!G$1710</f>
        <v>92</v>
      </c>
      <c r="F1711" s="18">
        <f t="shared" si="1"/>
        <v>22</v>
      </c>
      <c r="G1711" s="17" t="str">
        <f>Github!H$1710</f>
        <v>Database</v>
      </c>
      <c r="H1711" s="17" t="b">
        <f>Github!D$1710</f>
        <v>1</v>
      </c>
      <c r="I1711" s="17" t="str">
        <f>Github!E$1710</f>
        <v>Medium</v>
      </c>
      <c r="J1711" s="17" t="str">
        <f>ROUND(Github!N$1710, 2)&amp;"%"</f>
        <v>0%</v>
      </c>
      <c r="K1711" s="17">
        <f>Github!O$1710</f>
        <v>78.08633965</v>
      </c>
      <c r="L1711" s="17">
        <f>Github!P$1710</f>
        <v>9026</v>
      </c>
    </row>
    <row r="1712">
      <c r="A1712" s="17">
        <f>Github!J$1711</f>
        <v>1710</v>
      </c>
      <c r="B1712" s="34" t="str">
        <f>HYPERLINK(CONCAT("http://leetcode.com/problems/",Github!C$1711), Github!B$1711)</f>
        <v>Maximum Units on a Truck</v>
      </c>
      <c r="C1712" s="17">
        <f>Github!F$1711</f>
        <v>1436</v>
      </c>
      <c r="D1712" s="17">
        <f>Github!G$1711</f>
        <v>100</v>
      </c>
      <c r="E1712" s="17">
        <f>Github!F$1711+Github!G$1711</f>
        <v>1536</v>
      </c>
      <c r="F1712" s="18">
        <f t="shared" si="1"/>
        <v>14.36</v>
      </c>
      <c r="G1712" s="17" t="str">
        <f>Github!H$1711</f>
        <v>Algorithms</v>
      </c>
      <c r="H1712" s="17" t="b">
        <f>Github!D$1711</f>
        <v>0</v>
      </c>
      <c r="I1712" s="17" t="str">
        <f>Github!E$1711</f>
        <v>Easy</v>
      </c>
      <c r="J1712" s="17" t="str">
        <f>ROUND(Github!N$1711, 2)&amp;"%"</f>
        <v>0%</v>
      </c>
      <c r="K1712" s="17">
        <f>Github!O$1711</f>
        <v>72.08095192</v>
      </c>
      <c r="L1712" s="17">
        <f>Github!P$1711</f>
        <v>127755</v>
      </c>
    </row>
    <row r="1713">
      <c r="A1713" s="17">
        <f>Github!J$1712</f>
        <v>1711</v>
      </c>
      <c r="B1713" s="34" t="str">
        <f>HYPERLINK(CONCAT("http://leetcode.com/problems/",Github!C$1712), Github!B$1712)</f>
        <v>Count Good Meals</v>
      </c>
      <c r="C1713" s="17">
        <f>Github!F$1712</f>
        <v>498</v>
      </c>
      <c r="D1713" s="17">
        <f>Github!G$1712</f>
        <v>185</v>
      </c>
      <c r="E1713" s="17">
        <f>Github!F$1712+Github!G$1712</f>
        <v>683</v>
      </c>
      <c r="F1713" s="18">
        <f t="shared" si="1"/>
        <v>2.69</v>
      </c>
      <c r="G1713" s="17" t="str">
        <f>Github!H$1712</f>
        <v>Algorithms</v>
      </c>
      <c r="H1713" s="17" t="b">
        <f>Github!D$1712</f>
        <v>0</v>
      </c>
      <c r="I1713" s="17" t="str">
        <f>Github!E$1712</f>
        <v>Medium</v>
      </c>
      <c r="J1713" s="17" t="str">
        <f>ROUND(Github!N$1712, 2)&amp;"%"</f>
        <v>0%</v>
      </c>
      <c r="K1713" s="17">
        <f>Github!O$1712</f>
        <v>28.18332152</v>
      </c>
      <c r="L1713" s="17">
        <f>Github!P$1712</f>
        <v>22667</v>
      </c>
    </row>
    <row r="1714">
      <c r="A1714" s="17">
        <f>Github!J$1713</f>
        <v>1712</v>
      </c>
      <c r="B1714" s="34" t="str">
        <f>HYPERLINK(CONCAT("http://leetcode.com/problems/",Github!C$1713), Github!B$1713)</f>
        <v>Ways to Split Array Into Three Subarrays</v>
      </c>
      <c r="C1714" s="17">
        <f>Github!F$1713</f>
        <v>724</v>
      </c>
      <c r="D1714" s="17">
        <f>Github!G$1713</f>
        <v>68</v>
      </c>
      <c r="E1714" s="17">
        <f>Github!F$1713+Github!G$1713</f>
        <v>792</v>
      </c>
      <c r="F1714" s="18">
        <f t="shared" si="1"/>
        <v>10.65</v>
      </c>
      <c r="G1714" s="17" t="str">
        <f>Github!H$1713</f>
        <v>Algorithms</v>
      </c>
      <c r="H1714" s="17" t="b">
        <f>Github!D$1713</f>
        <v>0</v>
      </c>
      <c r="I1714" s="17" t="str">
        <f>Github!E$1713</f>
        <v>Medium</v>
      </c>
      <c r="J1714" s="17" t="str">
        <f>ROUND(Github!N$1713, 2)&amp;"%"</f>
        <v>0%</v>
      </c>
      <c r="K1714" s="17">
        <f>Github!O$1713</f>
        <v>30.80481358</v>
      </c>
      <c r="L1714" s="17">
        <f>Github!P$1713</f>
        <v>17712</v>
      </c>
    </row>
    <row r="1715">
      <c r="A1715" s="17">
        <f>Github!J$1714</f>
        <v>1713</v>
      </c>
      <c r="B1715" s="34" t="str">
        <f>HYPERLINK(CONCAT("http://leetcode.com/problems/",Github!C$1714), Github!B$1714)</f>
        <v>Minimum Operations to Make a Subsequence</v>
      </c>
      <c r="C1715" s="17">
        <f>Github!F$1714</f>
        <v>394</v>
      </c>
      <c r="D1715" s="17">
        <f>Github!G$1714</f>
        <v>5</v>
      </c>
      <c r="E1715" s="17">
        <f>Github!F$1714+Github!G$1714</f>
        <v>399</v>
      </c>
      <c r="F1715" s="18">
        <f t="shared" si="1"/>
        <v>78.8</v>
      </c>
      <c r="G1715" s="17" t="str">
        <f>Github!H$1714</f>
        <v>Algorithms</v>
      </c>
      <c r="H1715" s="17" t="b">
        <f>Github!D$1714</f>
        <v>0</v>
      </c>
      <c r="I1715" s="17" t="str">
        <f>Github!E$1714</f>
        <v>Hard</v>
      </c>
      <c r="J1715" s="17" t="str">
        <f>ROUND(Github!N$1714, 2)&amp;"%"</f>
        <v>0%</v>
      </c>
      <c r="K1715" s="17">
        <f>Github!O$1714</f>
        <v>48.7219763</v>
      </c>
      <c r="L1715" s="17">
        <f>Github!P$1714</f>
        <v>6824</v>
      </c>
    </row>
    <row r="1716">
      <c r="A1716" s="17">
        <f>Github!J$1715</f>
        <v>1714</v>
      </c>
      <c r="B1716" s="34" t="str">
        <f>HYPERLINK(CONCAT("http://leetcode.com/problems/",Github!C$1715), Github!B$1715)</f>
        <v>Sum Of Special Evenly-Spaced Elements In Array</v>
      </c>
      <c r="C1716" s="17">
        <f>Github!F$1715</f>
        <v>17</v>
      </c>
      <c r="D1716" s="17">
        <f>Github!G$1715</f>
        <v>16</v>
      </c>
      <c r="E1716" s="17">
        <f>Github!F$1715+Github!G$1715</f>
        <v>33</v>
      </c>
      <c r="F1716" s="18">
        <f t="shared" si="1"/>
        <v>1.06</v>
      </c>
      <c r="G1716" s="17" t="str">
        <f>Github!H$1715</f>
        <v>Algorithms</v>
      </c>
      <c r="H1716" s="17" t="b">
        <f>Github!D$1715</f>
        <v>1</v>
      </c>
      <c r="I1716" s="17" t="str">
        <f>Github!E$1715</f>
        <v>Hard</v>
      </c>
      <c r="J1716" s="17" t="str">
        <f>ROUND(Github!N$1715, 2)&amp;"%"</f>
        <v>0%</v>
      </c>
      <c r="K1716" s="17">
        <f>Github!O$1715</f>
        <v>52.09251101</v>
      </c>
      <c r="L1716" s="17">
        <f>Github!P$1715</f>
        <v>946</v>
      </c>
    </row>
    <row r="1717">
      <c r="A1717" s="17">
        <f>Github!J$1716</f>
        <v>1715</v>
      </c>
      <c r="B1717" s="34" t="str">
        <f>HYPERLINK(CONCAT("http://leetcode.com/problems/",Github!C$1716), Github!B$1716)</f>
        <v>Count Apples and Oranges</v>
      </c>
      <c r="C1717" s="17">
        <f>Github!F$1716</f>
        <v>47</v>
      </c>
      <c r="D1717" s="17">
        <f>Github!G$1716</f>
        <v>7</v>
      </c>
      <c r="E1717" s="17">
        <f>Github!F$1716+Github!G$1716</f>
        <v>54</v>
      </c>
      <c r="F1717" s="18">
        <f t="shared" si="1"/>
        <v>6.71</v>
      </c>
      <c r="G1717" s="17" t="str">
        <f>Github!H$1716</f>
        <v>Database</v>
      </c>
      <c r="H1717" s="17" t="b">
        <f>Github!D$1716</f>
        <v>1</v>
      </c>
      <c r="I1717" s="17" t="str">
        <f>Github!E$1716</f>
        <v>Medium</v>
      </c>
      <c r="J1717" s="17" t="str">
        <f>ROUND(Github!N$1716, 2)&amp;"%"</f>
        <v>0%</v>
      </c>
      <c r="K1717" s="17">
        <f>Github!O$1716</f>
        <v>77.95095801</v>
      </c>
      <c r="L1717" s="17">
        <f>Github!P$1716</f>
        <v>7852</v>
      </c>
    </row>
    <row r="1718">
      <c r="A1718" s="17">
        <f>Github!J$1717</f>
        <v>1716</v>
      </c>
      <c r="B1718" s="34" t="str">
        <f>HYPERLINK(CONCAT("http://leetcode.com/problems/",Github!C$1717), Github!B$1717)</f>
        <v>Calculate Money in Leetcode Bank</v>
      </c>
      <c r="C1718" s="17">
        <f>Github!F$1717</f>
        <v>412</v>
      </c>
      <c r="D1718" s="17">
        <f>Github!G$1717</f>
        <v>14</v>
      </c>
      <c r="E1718" s="17">
        <f>Github!F$1717+Github!G$1717</f>
        <v>426</v>
      </c>
      <c r="F1718" s="18">
        <f t="shared" si="1"/>
        <v>29.43</v>
      </c>
      <c r="G1718" s="17" t="str">
        <f>Github!H$1717</f>
        <v>Algorithms</v>
      </c>
      <c r="H1718" s="17" t="b">
        <f>Github!D$1717</f>
        <v>0</v>
      </c>
      <c r="I1718" s="17" t="str">
        <f>Github!E$1717</f>
        <v>Easy</v>
      </c>
      <c r="J1718" s="17" t="str">
        <f>ROUND(Github!N$1717, 2)&amp;"%"</f>
        <v>0%</v>
      </c>
      <c r="K1718" s="17">
        <f>Github!O$1717</f>
        <v>64.85067956</v>
      </c>
      <c r="L1718" s="17">
        <f>Github!P$1717</f>
        <v>28295</v>
      </c>
    </row>
    <row r="1719">
      <c r="A1719" s="17">
        <f>Github!J$1718</f>
        <v>1717</v>
      </c>
      <c r="B1719" s="34" t="str">
        <f>HYPERLINK(CONCAT("http://leetcode.com/problems/",Github!C$1718), Github!B$1718)</f>
        <v>Maximum Score From Removing Substrings</v>
      </c>
      <c r="C1719" s="17">
        <f>Github!F$1718</f>
        <v>379</v>
      </c>
      <c r="D1719" s="17">
        <f>Github!G$1718</f>
        <v>18</v>
      </c>
      <c r="E1719" s="17">
        <f>Github!F$1718+Github!G$1718</f>
        <v>397</v>
      </c>
      <c r="F1719" s="18">
        <f t="shared" si="1"/>
        <v>21.06</v>
      </c>
      <c r="G1719" s="17" t="str">
        <f>Github!H$1718</f>
        <v>Algorithms</v>
      </c>
      <c r="H1719" s="17" t="b">
        <f>Github!D$1718</f>
        <v>0</v>
      </c>
      <c r="I1719" s="17" t="str">
        <f>Github!E$1718</f>
        <v>Medium</v>
      </c>
      <c r="J1719" s="17" t="str">
        <f>ROUND(Github!N$1718, 2)&amp;"%"</f>
        <v>0%</v>
      </c>
      <c r="K1719" s="17">
        <f>Github!O$1718</f>
        <v>44.43785813</v>
      </c>
      <c r="L1719" s="17">
        <f>Github!P$1718</f>
        <v>8996</v>
      </c>
    </row>
    <row r="1720">
      <c r="A1720" s="17">
        <f>Github!J$1719</f>
        <v>1718</v>
      </c>
      <c r="B1720" s="34" t="str">
        <f>HYPERLINK(CONCAT("http://leetcode.com/problems/",Github!C$1719), Github!B$1719)</f>
        <v>Construct the Lexicographically Largest Valid Sequence</v>
      </c>
      <c r="C1720" s="17">
        <f>Github!F$1719</f>
        <v>362</v>
      </c>
      <c r="D1720" s="17">
        <f>Github!G$1719</f>
        <v>33</v>
      </c>
      <c r="E1720" s="17">
        <f>Github!F$1719+Github!G$1719</f>
        <v>395</v>
      </c>
      <c r="F1720" s="18">
        <f t="shared" si="1"/>
        <v>10.97</v>
      </c>
      <c r="G1720" s="17" t="str">
        <f>Github!H$1719</f>
        <v>Algorithms</v>
      </c>
      <c r="H1720" s="17" t="b">
        <f>Github!D$1719</f>
        <v>0</v>
      </c>
      <c r="I1720" s="17" t="str">
        <f>Github!E$1719</f>
        <v>Medium</v>
      </c>
      <c r="J1720" s="17" t="str">
        <f>ROUND(Github!N$1719, 2)&amp;"%"</f>
        <v>0%</v>
      </c>
      <c r="K1720" s="17">
        <f>Github!O$1719</f>
        <v>51.08426457</v>
      </c>
      <c r="L1720" s="17">
        <f>Github!P$1719</f>
        <v>8457</v>
      </c>
    </row>
    <row r="1721">
      <c r="A1721" s="17">
        <f>Github!J$1720</f>
        <v>1719</v>
      </c>
      <c r="B1721" s="34" t="str">
        <f>HYPERLINK(CONCAT("http://leetcode.com/problems/",Github!C$1720), Github!B$1720)</f>
        <v>Number Of Ways To Reconstruct A Tree</v>
      </c>
      <c r="C1721" s="17">
        <f>Github!F$1720</f>
        <v>112</v>
      </c>
      <c r="D1721" s="17">
        <f>Github!G$1720</f>
        <v>86</v>
      </c>
      <c r="E1721" s="17">
        <f>Github!F$1720+Github!G$1720</f>
        <v>198</v>
      </c>
      <c r="F1721" s="18">
        <f t="shared" si="1"/>
        <v>1.3</v>
      </c>
      <c r="G1721" s="17" t="str">
        <f>Github!H$1720</f>
        <v>Algorithms</v>
      </c>
      <c r="H1721" s="17" t="b">
        <f>Github!D$1720</f>
        <v>0</v>
      </c>
      <c r="I1721" s="17" t="str">
        <f>Github!E$1720</f>
        <v>Hard</v>
      </c>
      <c r="J1721" s="17" t="str">
        <f>ROUND(Github!N$1720, 2)&amp;"%"</f>
        <v>0%</v>
      </c>
      <c r="K1721" s="17">
        <f>Github!O$1720</f>
        <v>42.07630878</v>
      </c>
      <c r="L1721" s="17">
        <f>Github!P$1720</f>
        <v>2371</v>
      </c>
    </row>
    <row r="1722">
      <c r="A1722" s="17">
        <f>Github!J$1721</f>
        <v>1720</v>
      </c>
      <c r="B1722" s="34" t="str">
        <f>HYPERLINK(CONCAT("http://leetcode.com/problems/",Github!C$1721), Github!B$1721)</f>
        <v>Decode XORed Array</v>
      </c>
      <c r="C1722" s="17">
        <f>Github!F$1721</f>
        <v>678</v>
      </c>
      <c r="D1722" s="17">
        <f>Github!G$1721</f>
        <v>130</v>
      </c>
      <c r="E1722" s="17">
        <f>Github!F$1721+Github!G$1721</f>
        <v>808</v>
      </c>
      <c r="F1722" s="18">
        <f t="shared" si="1"/>
        <v>5.22</v>
      </c>
      <c r="G1722" s="17" t="str">
        <f>Github!H$1721</f>
        <v>Algorithms</v>
      </c>
      <c r="H1722" s="17" t="b">
        <f>Github!D$1721</f>
        <v>0</v>
      </c>
      <c r="I1722" s="17" t="str">
        <f>Github!E$1721</f>
        <v>Easy</v>
      </c>
      <c r="J1722" s="17" t="str">
        <f>ROUND(Github!N$1721, 2)&amp;"%"</f>
        <v>0%</v>
      </c>
      <c r="K1722" s="17">
        <f>Github!O$1721</f>
        <v>85.92518504</v>
      </c>
      <c r="L1722" s="17">
        <f>Github!P$1721</f>
        <v>64430</v>
      </c>
    </row>
    <row r="1723">
      <c r="A1723" s="17">
        <f>Github!J$1722</f>
        <v>1721</v>
      </c>
      <c r="B1723" s="34" t="str">
        <f>HYPERLINK(CONCAT("http://leetcode.com/problems/",Github!C$1722), Github!B$1722)</f>
        <v>Swapping Nodes in a Linked List</v>
      </c>
      <c r="C1723" s="17">
        <f>Github!F$1722</f>
        <v>1597</v>
      </c>
      <c r="D1723" s="17">
        <f>Github!G$1722</f>
        <v>73</v>
      </c>
      <c r="E1723" s="17">
        <f>Github!F$1722+Github!G$1722</f>
        <v>1670</v>
      </c>
      <c r="F1723" s="18">
        <f t="shared" si="1"/>
        <v>21.88</v>
      </c>
      <c r="G1723" s="17" t="str">
        <f>Github!H$1722</f>
        <v>Algorithms</v>
      </c>
      <c r="H1723" s="17" t="b">
        <f>Github!D$1722</f>
        <v>0</v>
      </c>
      <c r="I1723" s="17" t="str">
        <f>Github!E$1722</f>
        <v>Medium</v>
      </c>
      <c r="J1723" s="17" t="str">
        <f>ROUND(Github!N$1722, 2)&amp;"%"</f>
        <v>0%</v>
      </c>
      <c r="K1723" s="17">
        <f>Github!O$1722</f>
        <v>65.4329076</v>
      </c>
      <c r="L1723" s="17">
        <f>Github!P$1722</f>
        <v>96876</v>
      </c>
    </row>
    <row r="1724">
      <c r="A1724" s="17">
        <f>Github!J$1723</f>
        <v>1722</v>
      </c>
      <c r="B1724" s="34" t="str">
        <f>HYPERLINK(CONCAT("http://leetcode.com/problems/",Github!C$1723), Github!B$1723)</f>
        <v>Minimize Hamming Distance After Swap Operations</v>
      </c>
      <c r="C1724" s="17">
        <f>Github!F$1723</f>
        <v>533</v>
      </c>
      <c r="D1724" s="17">
        <f>Github!G$1723</f>
        <v>16</v>
      </c>
      <c r="E1724" s="17">
        <f>Github!F$1723+Github!G$1723</f>
        <v>549</v>
      </c>
      <c r="F1724" s="18">
        <f t="shared" si="1"/>
        <v>33.31</v>
      </c>
      <c r="G1724" s="17" t="str">
        <f>Github!H$1723</f>
        <v>Algorithms</v>
      </c>
      <c r="H1724" s="17" t="b">
        <f>Github!D$1723</f>
        <v>0</v>
      </c>
      <c r="I1724" s="17" t="str">
        <f>Github!E$1723</f>
        <v>Medium</v>
      </c>
      <c r="J1724" s="17" t="str">
        <f>ROUND(Github!N$1723, 2)&amp;"%"</f>
        <v>0%</v>
      </c>
      <c r="K1724" s="17">
        <f>Github!O$1723</f>
        <v>47.33693394</v>
      </c>
      <c r="L1724" s="17">
        <f>Github!P$1723</f>
        <v>11394</v>
      </c>
    </row>
    <row r="1725">
      <c r="A1725" s="17">
        <f>Github!J$1724</f>
        <v>1723</v>
      </c>
      <c r="B1725" s="34" t="str">
        <f>HYPERLINK(CONCAT("http://leetcode.com/problems/",Github!C$1724), Github!B$1724)</f>
        <v>Find Minimum Time to Finish All Jobs</v>
      </c>
      <c r="C1725" s="17">
        <f>Github!F$1724</f>
        <v>467</v>
      </c>
      <c r="D1725" s="17">
        <f>Github!G$1724</f>
        <v>14</v>
      </c>
      <c r="E1725" s="17">
        <f>Github!F$1724+Github!G$1724</f>
        <v>481</v>
      </c>
      <c r="F1725" s="18">
        <f t="shared" si="1"/>
        <v>33.36</v>
      </c>
      <c r="G1725" s="17" t="str">
        <f>Github!H$1724</f>
        <v>Algorithms</v>
      </c>
      <c r="H1725" s="17" t="b">
        <f>Github!D$1724</f>
        <v>0</v>
      </c>
      <c r="I1725" s="17" t="str">
        <f>Github!E$1724</f>
        <v>Hard</v>
      </c>
      <c r="J1725" s="17" t="str">
        <f>ROUND(Github!N$1724, 2)&amp;"%"</f>
        <v>0%</v>
      </c>
      <c r="K1725" s="17">
        <f>Github!O$1724</f>
        <v>42.81832171</v>
      </c>
      <c r="L1725" s="17">
        <f>Github!P$1724</f>
        <v>13078</v>
      </c>
    </row>
    <row r="1726">
      <c r="A1726" s="17">
        <f>Github!J$1725</f>
        <v>1724</v>
      </c>
      <c r="B1726" s="34" t="str">
        <f>HYPERLINK(CONCAT("http://leetcode.com/problems/",Github!C$1725), Github!B$1725)</f>
        <v>Checking Existence of Edge Length Limited Paths II</v>
      </c>
      <c r="C1726" s="17">
        <f>Github!F$1725</f>
        <v>43</v>
      </c>
      <c r="D1726" s="17">
        <f>Github!G$1725</f>
        <v>6</v>
      </c>
      <c r="E1726" s="17">
        <f>Github!F$1725+Github!G$1725</f>
        <v>49</v>
      </c>
      <c r="F1726" s="18">
        <f t="shared" si="1"/>
        <v>7.17</v>
      </c>
      <c r="G1726" s="17" t="str">
        <f>Github!H$1725</f>
        <v>Algorithms</v>
      </c>
      <c r="H1726" s="17" t="b">
        <f>Github!D$1725</f>
        <v>1</v>
      </c>
      <c r="I1726" s="17" t="str">
        <f>Github!E$1725</f>
        <v>Hard</v>
      </c>
      <c r="J1726" s="17" t="str">
        <f>ROUND(Github!N$1725, 2)&amp;"%"</f>
        <v>0%</v>
      </c>
      <c r="K1726" s="17">
        <f>Github!O$1725</f>
        <v>52.30769231</v>
      </c>
      <c r="L1726" s="17">
        <f>Github!P$1725</f>
        <v>1564</v>
      </c>
    </row>
    <row r="1727">
      <c r="A1727" s="17">
        <f>Github!J$1726</f>
        <v>1725</v>
      </c>
      <c r="B1727" s="34" t="str">
        <f>HYPERLINK(CONCAT("http://leetcode.com/problems/",Github!C$1726), Github!B$1726)</f>
        <v>Number Of Rectangles That Can Form The Largest Square</v>
      </c>
      <c r="C1727" s="17">
        <f>Github!F$1726</f>
        <v>320</v>
      </c>
      <c r="D1727" s="17">
        <f>Github!G$1726</f>
        <v>40</v>
      </c>
      <c r="E1727" s="17">
        <f>Github!F$1726+Github!G$1726</f>
        <v>360</v>
      </c>
      <c r="F1727" s="18">
        <f t="shared" si="1"/>
        <v>8</v>
      </c>
      <c r="G1727" s="17" t="str">
        <f>Github!H$1726</f>
        <v>Algorithms</v>
      </c>
      <c r="H1727" s="17" t="b">
        <f>Github!D$1726</f>
        <v>0</v>
      </c>
      <c r="I1727" s="17" t="str">
        <f>Github!E$1726</f>
        <v>Easy</v>
      </c>
      <c r="J1727" s="17" t="str">
        <f>ROUND(Github!N$1726, 2)&amp;"%"</f>
        <v>0%</v>
      </c>
      <c r="K1727" s="17">
        <f>Github!O$1726</f>
        <v>78.70879672</v>
      </c>
      <c r="L1727" s="17">
        <f>Github!P$1726</f>
        <v>39207</v>
      </c>
    </row>
    <row r="1728">
      <c r="A1728" s="17">
        <f>Github!J$1727</f>
        <v>1726</v>
      </c>
      <c r="B1728" s="34" t="str">
        <f>HYPERLINK(CONCAT("http://leetcode.com/problems/",Github!C$1727), Github!B$1727)</f>
        <v>Tuple with Same Product</v>
      </c>
      <c r="C1728" s="17">
        <f>Github!F$1727</f>
        <v>389</v>
      </c>
      <c r="D1728" s="17">
        <f>Github!G$1727</f>
        <v>17</v>
      </c>
      <c r="E1728" s="17">
        <f>Github!F$1727+Github!G$1727</f>
        <v>406</v>
      </c>
      <c r="F1728" s="18">
        <f t="shared" si="1"/>
        <v>22.88</v>
      </c>
      <c r="G1728" s="17" t="str">
        <f>Github!H$1727</f>
        <v>Algorithms</v>
      </c>
      <c r="H1728" s="17" t="b">
        <f>Github!D$1727</f>
        <v>0</v>
      </c>
      <c r="I1728" s="17" t="str">
        <f>Github!E$1727</f>
        <v>Medium</v>
      </c>
      <c r="J1728" s="17" t="str">
        <f>ROUND(Github!N$1727, 2)&amp;"%"</f>
        <v>0%</v>
      </c>
      <c r="K1728" s="17">
        <f>Github!O$1727</f>
        <v>60.31301649</v>
      </c>
      <c r="L1728" s="17">
        <f>Github!P$1727</f>
        <v>17881</v>
      </c>
    </row>
    <row r="1729">
      <c r="A1729" s="17">
        <f>Github!J$1728</f>
        <v>1727</v>
      </c>
      <c r="B1729" s="34" t="str">
        <f>HYPERLINK(CONCAT("http://leetcode.com/problems/",Github!C$1728), Github!B$1728)</f>
        <v>Largest Submatrix With Rearrangements</v>
      </c>
      <c r="C1729" s="17">
        <f>Github!F$1728</f>
        <v>617</v>
      </c>
      <c r="D1729" s="17">
        <f>Github!G$1728</f>
        <v>16</v>
      </c>
      <c r="E1729" s="17">
        <f>Github!F$1728+Github!G$1728</f>
        <v>633</v>
      </c>
      <c r="F1729" s="18">
        <f t="shared" si="1"/>
        <v>38.56</v>
      </c>
      <c r="G1729" s="17" t="str">
        <f>Github!H$1728</f>
        <v>Algorithms</v>
      </c>
      <c r="H1729" s="17" t="b">
        <f>Github!D$1728</f>
        <v>0</v>
      </c>
      <c r="I1729" s="17" t="str">
        <f>Github!E$1728</f>
        <v>Medium</v>
      </c>
      <c r="J1729" s="17" t="str">
        <f>ROUND(Github!N$1728, 2)&amp;"%"</f>
        <v>0%</v>
      </c>
      <c r="K1729" s="17">
        <f>Github!O$1728</f>
        <v>60.20554875</v>
      </c>
      <c r="L1729" s="17">
        <f>Github!P$1728</f>
        <v>11306</v>
      </c>
    </row>
    <row r="1730">
      <c r="A1730" s="17">
        <f>Github!J$1729</f>
        <v>1728</v>
      </c>
      <c r="B1730" s="34" t="str">
        <f>HYPERLINK(CONCAT("http://leetcode.com/problems/",Github!C$1729), Github!B$1729)</f>
        <v>Cat and Mouse II</v>
      </c>
      <c r="C1730" s="17">
        <f>Github!F$1729</f>
        <v>144</v>
      </c>
      <c r="D1730" s="17">
        <f>Github!G$1729</f>
        <v>24</v>
      </c>
      <c r="E1730" s="17">
        <f>Github!F$1729+Github!G$1729</f>
        <v>168</v>
      </c>
      <c r="F1730" s="18">
        <f t="shared" si="1"/>
        <v>6</v>
      </c>
      <c r="G1730" s="17" t="str">
        <f>Github!H$1729</f>
        <v>Algorithms</v>
      </c>
      <c r="H1730" s="17" t="b">
        <f>Github!D$1729</f>
        <v>0</v>
      </c>
      <c r="I1730" s="17" t="str">
        <f>Github!E$1729</f>
        <v>Hard</v>
      </c>
      <c r="J1730" s="17" t="str">
        <f>ROUND(Github!N$1729, 2)&amp;"%"</f>
        <v>0%</v>
      </c>
      <c r="K1730" s="17">
        <f>Github!O$1729</f>
        <v>40.31335022</v>
      </c>
      <c r="L1730" s="17">
        <f>Github!P$1729</f>
        <v>4297</v>
      </c>
    </row>
    <row r="1731">
      <c r="A1731" s="17">
        <f>Github!J$1730</f>
        <v>1729</v>
      </c>
      <c r="B1731" s="34" t="str">
        <f>HYPERLINK(CONCAT("http://leetcode.com/problems/",Github!C$1730), Github!B$1730)</f>
        <v>Find Followers Count</v>
      </c>
      <c r="C1731" s="17">
        <f>Github!F$1730</f>
        <v>37</v>
      </c>
      <c r="D1731" s="17">
        <f>Github!G$1730</f>
        <v>7</v>
      </c>
      <c r="E1731" s="17">
        <f>Github!F$1730+Github!G$1730</f>
        <v>44</v>
      </c>
      <c r="F1731" s="18">
        <f t="shared" si="1"/>
        <v>5.29</v>
      </c>
      <c r="G1731" s="17" t="str">
        <f>Github!H$1730</f>
        <v>Database</v>
      </c>
      <c r="H1731" s="17" t="b">
        <f>Github!D$1730</f>
        <v>1</v>
      </c>
      <c r="I1731" s="17" t="str">
        <f>Github!E$1730</f>
        <v>Easy</v>
      </c>
      <c r="J1731" s="17" t="str">
        <f>ROUND(Github!N$1730, 2)&amp;"%"</f>
        <v>0%</v>
      </c>
      <c r="K1731" s="17">
        <f>Github!O$1730</f>
        <v>71.42230668</v>
      </c>
      <c r="L1731" s="17">
        <f>Github!P$1730</f>
        <v>9772</v>
      </c>
    </row>
    <row r="1732">
      <c r="A1732" s="17">
        <f>Github!J$1731</f>
        <v>1730</v>
      </c>
      <c r="B1732" s="34" t="str">
        <f>HYPERLINK(CONCAT("http://leetcode.com/problems/",Github!C$1731), Github!B$1731)</f>
        <v>Shortest Path to Get Food</v>
      </c>
      <c r="C1732" s="17">
        <f>Github!F$1731</f>
        <v>333</v>
      </c>
      <c r="D1732" s="17">
        <f>Github!G$1731</f>
        <v>15</v>
      </c>
      <c r="E1732" s="17">
        <f>Github!F$1731+Github!G$1731</f>
        <v>348</v>
      </c>
      <c r="F1732" s="18">
        <f t="shared" si="1"/>
        <v>22.2</v>
      </c>
      <c r="G1732" s="17" t="str">
        <f>Github!H$1731</f>
        <v>Algorithms</v>
      </c>
      <c r="H1732" s="17" t="b">
        <f>Github!D$1731</f>
        <v>1</v>
      </c>
      <c r="I1732" s="17" t="str">
        <f>Github!E$1731</f>
        <v>Medium</v>
      </c>
      <c r="J1732" s="17" t="str">
        <f>ROUND(Github!N$1731, 2)&amp;"%"</f>
        <v>0%</v>
      </c>
      <c r="K1732" s="17">
        <f>Github!O$1731</f>
        <v>54.30101858</v>
      </c>
      <c r="L1732" s="17">
        <f>Github!P$1731</f>
        <v>25748</v>
      </c>
    </row>
    <row r="1733">
      <c r="A1733" s="17">
        <f>Github!J$1732</f>
        <v>1731</v>
      </c>
      <c r="B1733" s="34" t="str">
        <f>HYPERLINK(CONCAT("http://leetcode.com/problems/",Github!C$1732), Github!B$1732)</f>
        <v>The Number of Employees Which Report to Each Employee</v>
      </c>
      <c r="C1733" s="17">
        <f>Github!F$1732</f>
        <v>53</v>
      </c>
      <c r="D1733" s="17">
        <f>Github!G$1732</f>
        <v>14</v>
      </c>
      <c r="E1733" s="17">
        <f>Github!F$1732+Github!G$1732</f>
        <v>67</v>
      </c>
      <c r="F1733" s="18">
        <f t="shared" si="1"/>
        <v>3.79</v>
      </c>
      <c r="G1733" s="17" t="str">
        <f>Github!H$1732</f>
        <v>Database</v>
      </c>
      <c r="H1733" s="17" t="b">
        <f>Github!D$1732</f>
        <v>1</v>
      </c>
      <c r="I1733" s="17" t="str">
        <f>Github!E$1732</f>
        <v>Easy</v>
      </c>
      <c r="J1733" s="17" t="str">
        <f>ROUND(Github!N$1732, 2)&amp;"%"</f>
        <v>0%</v>
      </c>
      <c r="K1733" s="17">
        <f>Github!O$1732</f>
        <v>48.89061892</v>
      </c>
      <c r="L1733" s="17">
        <f>Github!P$1732</f>
        <v>8790</v>
      </c>
    </row>
    <row r="1734">
      <c r="A1734" s="17">
        <f>Github!J$1733</f>
        <v>1732</v>
      </c>
      <c r="B1734" s="34" t="str">
        <f>HYPERLINK(CONCAT("http://leetcode.com/problems/",Github!C$1733), Github!B$1733)</f>
        <v>Find the Highest Altitude</v>
      </c>
      <c r="C1734" s="17">
        <f>Github!F$1733</f>
        <v>724</v>
      </c>
      <c r="D1734" s="17">
        <f>Github!G$1733</f>
        <v>73</v>
      </c>
      <c r="E1734" s="17">
        <f>Github!F$1733+Github!G$1733</f>
        <v>797</v>
      </c>
      <c r="F1734" s="18">
        <f t="shared" si="1"/>
        <v>9.92</v>
      </c>
      <c r="G1734" s="17" t="str">
        <f>Github!H$1733</f>
        <v>Algorithms</v>
      </c>
      <c r="H1734" s="17" t="b">
        <f>Github!D$1733</f>
        <v>0</v>
      </c>
      <c r="I1734" s="17" t="str">
        <f>Github!E$1733</f>
        <v>Easy</v>
      </c>
      <c r="J1734" s="17" t="str">
        <f>ROUND(Github!N$1733, 2)&amp;"%"</f>
        <v>0%</v>
      </c>
      <c r="K1734" s="17">
        <f>Github!O$1733</f>
        <v>78.93233351</v>
      </c>
      <c r="L1734" s="17">
        <f>Github!P$1733</f>
        <v>66314</v>
      </c>
    </row>
    <row r="1735">
      <c r="A1735" s="17">
        <f>Github!J$1734</f>
        <v>1733</v>
      </c>
      <c r="B1735" s="34" t="str">
        <f>HYPERLINK(CONCAT("http://leetcode.com/problems/",Github!C$1734), Github!B$1734)</f>
        <v>Minimum Number of People to Teach</v>
      </c>
      <c r="C1735" s="17">
        <f>Github!F$1734</f>
        <v>130</v>
      </c>
      <c r="D1735" s="17">
        <f>Github!G$1734</f>
        <v>293</v>
      </c>
      <c r="E1735" s="17">
        <f>Github!F$1734+Github!G$1734</f>
        <v>423</v>
      </c>
      <c r="F1735" s="18">
        <f t="shared" si="1"/>
        <v>0.44</v>
      </c>
      <c r="G1735" s="17" t="str">
        <f>Github!H$1734</f>
        <v>Algorithms</v>
      </c>
      <c r="H1735" s="17" t="b">
        <f>Github!D$1734</f>
        <v>0</v>
      </c>
      <c r="I1735" s="17" t="str">
        <f>Github!E$1734</f>
        <v>Medium</v>
      </c>
      <c r="J1735" s="17" t="str">
        <f>ROUND(Github!N$1734, 2)&amp;"%"</f>
        <v>0%</v>
      </c>
      <c r="K1735" s="17">
        <f>Github!O$1734</f>
        <v>40.56069604</v>
      </c>
      <c r="L1735" s="17">
        <f>Github!P$1734</f>
        <v>5874</v>
      </c>
    </row>
    <row r="1736">
      <c r="A1736" s="17">
        <f>Github!J$1735</f>
        <v>1734</v>
      </c>
      <c r="B1736" s="34" t="str">
        <f>HYPERLINK(CONCAT("http://leetcode.com/problems/",Github!C$1735), Github!B$1735)</f>
        <v>Decode XORed Permutation</v>
      </c>
      <c r="C1736" s="17">
        <f>Github!F$1735</f>
        <v>465</v>
      </c>
      <c r="D1736" s="17">
        <f>Github!G$1735</f>
        <v>18</v>
      </c>
      <c r="E1736" s="17">
        <f>Github!F$1735+Github!G$1735</f>
        <v>483</v>
      </c>
      <c r="F1736" s="18">
        <f t="shared" si="1"/>
        <v>25.83</v>
      </c>
      <c r="G1736" s="17" t="str">
        <f>Github!H$1735</f>
        <v>Algorithms</v>
      </c>
      <c r="H1736" s="17" t="b">
        <f>Github!D$1735</f>
        <v>0</v>
      </c>
      <c r="I1736" s="17" t="str">
        <f>Github!E$1735</f>
        <v>Medium</v>
      </c>
      <c r="J1736" s="17" t="str">
        <f>ROUND(Github!N$1735, 2)&amp;"%"</f>
        <v>0%</v>
      </c>
      <c r="K1736" s="17">
        <f>Github!O$1735</f>
        <v>60.20787445</v>
      </c>
      <c r="L1736" s="17">
        <f>Github!P$1735</f>
        <v>8747</v>
      </c>
    </row>
    <row r="1737">
      <c r="A1737" s="17">
        <f>Github!J$1736</f>
        <v>1735</v>
      </c>
      <c r="B1737" s="34" t="str">
        <f>HYPERLINK(CONCAT("http://leetcode.com/problems/",Github!C$1736), Github!B$1736)</f>
        <v>Count Ways to Make Array With Product</v>
      </c>
      <c r="C1737" s="17">
        <f>Github!F$1736</f>
        <v>147</v>
      </c>
      <c r="D1737" s="17">
        <f>Github!G$1736</f>
        <v>24</v>
      </c>
      <c r="E1737" s="17">
        <f>Github!F$1736+Github!G$1736</f>
        <v>171</v>
      </c>
      <c r="F1737" s="18">
        <f t="shared" si="1"/>
        <v>6.13</v>
      </c>
      <c r="G1737" s="17" t="str">
        <f>Github!H$1736</f>
        <v>Algorithms</v>
      </c>
      <c r="H1737" s="17" t="b">
        <f>Github!D$1736</f>
        <v>0</v>
      </c>
      <c r="I1737" s="17" t="str">
        <f>Github!E$1736</f>
        <v>Hard</v>
      </c>
      <c r="J1737" s="17" t="str">
        <f>ROUND(Github!N$1736, 2)&amp;"%"</f>
        <v>0%</v>
      </c>
      <c r="K1737" s="17">
        <f>Github!O$1736</f>
        <v>49.48979592</v>
      </c>
      <c r="L1737" s="17">
        <f>Github!P$1736</f>
        <v>3104</v>
      </c>
    </row>
    <row r="1738">
      <c r="A1738" s="17">
        <f>Github!J$1737</f>
        <v>1736</v>
      </c>
      <c r="B1738" s="34" t="str">
        <f>HYPERLINK(CONCAT("http://leetcode.com/problems/",Github!C$1737), Github!B$1737)</f>
        <v>Latest Time by Replacing Hidden Digits</v>
      </c>
      <c r="C1738" s="17">
        <f>Github!F$1737</f>
        <v>191</v>
      </c>
      <c r="D1738" s="17">
        <f>Github!G$1737</f>
        <v>112</v>
      </c>
      <c r="E1738" s="17">
        <f>Github!F$1737+Github!G$1737</f>
        <v>303</v>
      </c>
      <c r="F1738" s="18">
        <f t="shared" si="1"/>
        <v>1.71</v>
      </c>
      <c r="G1738" s="17" t="str">
        <f>Github!H$1737</f>
        <v>Algorithms</v>
      </c>
      <c r="H1738" s="17" t="b">
        <f>Github!D$1737</f>
        <v>0</v>
      </c>
      <c r="I1738" s="17" t="str">
        <f>Github!E$1737</f>
        <v>Easy</v>
      </c>
      <c r="J1738" s="17" t="str">
        <f>ROUND(Github!N$1737, 2)&amp;"%"</f>
        <v>0%</v>
      </c>
      <c r="K1738" s="17">
        <f>Github!O$1737</f>
        <v>41.93795857</v>
      </c>
      <c r="L1738" s="17">
        <f>Github!P$1737</f>
        <v>21320</v>
      </c>
    </row>
    <row r="1739">
      <c r="A1739" s="17">
        <f>Github!J$1738</f>
        <v>1737</v>
      </c>
      <c r="B1739" s="34" t="str">
        <f>HYPERLINK(CONCAT("http://leetcode.com/problems/",Github!C$1738), Github!B$1738)</f>
        <v>Change Minimum Characters to Satisfy One of Three Conditions</v>
      </c>
      <c r="C1739" s="17">
        <f>Github!F$1738</f>
        <v>229</v>
      </c>
      <c r="D1739" s="17">
        <f>Github!G$1738</f>
        <v>247</v>
      </c>
      <c r="E1739" s="17">
        <f>Github!F$1738+Github!G$1738</f>
        <v>476</v>
      </c>
      <c r="F1739" s="18">
        <f t="shared" si="1"/>
        <v>0.93</v>
      </c>
      <c r="G1739" s="17" t="str">
        <f>Github!H$1738</f>
        <v>Algorithms</v>
      </c>
      <c r="H1739" s="17" t="b">
        <f>Github!D$1738</f>
        <v>0</v>
      </c>
      <c r="I1739" s="17" t="str">
        <f>Github!E$1738</f>
        <v>Medium</v>
      </c>
      <c r="J1739" s="17" t="str">
        <f>ROUND(Github!N$1738, 2)&amp;"%"</f>
        <v>0%</v>
      </c>
      <c r="K1739" s="17">
        <f>Github!O$1738</f>
        <v>33.62091901</v>
      </c>
      <c r="L1739" s="17">
        <f>Github!P$1738</f>
        <v>8846</v>
      </c>
    </row>
    <row r="1740">
      <c r="A1740" s="17">
        <f>Github!J$1739</f>
        <v>1738</v>
      </c>
      <c r="B1740" s="34" t="str">
        <f>HYPERLINK(CONCAT("http://leetcode.com/problems/",Github!C$1739), Github!B$1739)</f>
        <v>Find Kth Largest XOR Coordinate Value</v>
      </c>
      <c r="C1740" s="17">
        <f>Github!F$1739</f>
        <v>286</v>
      </c>
      <c r="D1740" s="17">
        <f>Github!G$1739</f>
        <v>43</v>
      </c>
      <c r="E1740" s="17">
        <f>Github!F$1739+Github!G$1739</f>
        <v>329</v>
      </c>
      <c r="F1740" s="18">
        <f t="shared" si="1"/>
        <v>6.65</v>
      </c>
      <c r="G1740" s="17" t="str">
        <f>Github!H$1739</f>
        <v>Algorithms</v>
      </c>
      <c r="H1740" s="17" t="b">
        <f>Github!D$1739</f>
        <v>0</v>
      </c>
      <c r="I1740" s="17" t="str">
        <f>Github!E$1739</f>
        <v>Medium</v>
      </c>
      <c r="J1740" s="17" t="str">
        <f>ROUND(Github!N$1739, 2)&amp;"%"</f>
        <v>0%</v>
      </c>
      <c r="K1740" s="17">
        <f>Github!O$1739</f>
        <v>62.19600726</v>
      </c>
      <c r="L1740" s="17">
        <f>Github!P$1739</f>
        <v>13708</v>
      </c>
    </row>
    <row r="1741">
      <c r="A1741" s="17">
        <f>Github!J$1740</f>
        <v>1739</v>
      </c>
      <c r="B1741" s="34" t="str">
        <f>HYPERLINK(CONCAT("http://leetcode.com/problems/",Github!C$1740), Github!B$1740)</f>
        <v>Building Boxes</v>
      </c>
      <c r="C1741" s="17">
        <f>Github!F$1740</f>
        <v>192</v>
      </c>
      <c r="D1741" s="17">
        <f>Github!G$1740</f>
        <v>33</v>
      </c>
      <c r="E1741" s="17">
        <f>Github!F$1740+Github!G$1740</f>
        <v>225</v>
      </c>
      <c r="F1741" s="18">
        <f t="shared" si="1"/>
        <v>5.82</v>
      </c>
      <c r="G1741" s="17" t="str">
        <f>Github!H$1740</f>
        <v>Algorithms</v>
      </c>
      <c r="H1741" s="17" t="b">
        <f>Github!D$1740</f>
        <v>0</v>
      </c>
      <c r="I1741" s="17" t="str">
        <f>Github!E$1740</f>
        <v>Hard</v>
      </c>
      <c r="J1741" s="17" t="str">
        <f>ROUND(Github!N$1740, 2)&amp;"%"</f>
        <v>0%</v>
      </c>
      <c r="K1741" s="17">
        <f>Github!O$1740</f>
        <v>50.66724064</v>
      </c>
      <c r="L1741" s="17">
        <f>Github!P$1740</f>
        <v>4708</v>
      </c>
    </row>
    <row r="1742">
      <c r="A1742" s="17">
        <f>Github!J$1741</f>
        <v>1740</v>
      </c>
      <c r="B1742" s="34" t="str">
        <f>HYPERLINK(CONCAT("http://leetcode.com/problems/",Github!C$1741), Github!B$1741)</f>
        <v>Find Distance in a Binary Tree</v>
      </c>
      <c r="C1742" s="17">
        <f>Github!F$1741</f>
        <v>215</v>
      </c>
      <c r="D1742" s="17">
        <f>Github!G$1741</f>
        <v>9</v>
      </c>
      <c r="E1742" s="17">
        <f>Github!F$1741+Github!G$1741</f>
        <v>224</v>
      </c>
      <c r="F1742" s="18">
        <f t="shared" si="1"/>
        <v>23.89</v>
      </c>
      <c r="G1742" s="17" t="str">
        <f>Github!H$1741</f>
        <v>Algorithms</v>
      </c>
      <c r="H1742" s="17" t="b">
        <f>Github!D$1741</f>
        <v>1</v>
      </c>
      <c r="I1742" s="17" t="str">
        <f>Github!E$1741</f>
        <v>Medium</v>
      </c>
      <c r="J1742" s="17" t="str">
        <f>ROUND(Github!N$1741, 2)&amp;"%"</f>
        <v>0%</v>
      </c>
      <c r="K1742" s="17">
        <f>Github!O$1741</f>
        <v>68.25396825</v>
      </c>
      <c r="L1742" s="17">
        <f>Github!P$1741</f>
        <v>9890</v>
      </c>
    </row>
    <row r="1743">
      <c r="A1743" s="17">
        <f>Github!J$1742</f>
        <v>1741</v>
      </c>
      <c r="B1743" s="34" t="str">
        <f>HYPERLINK(CONCAT("http://leetcode.com/problems/",Github!C$1742), Github!B$1742)</f>
        <v>Find Total Time Spent by Each Employee</v>
      </c>
      <c r="C1743" s="17">
        <f>Github!F$1742</f>
        <v>70</v>
      </c>
      <c r="D1743" s="17">
        <f>Github!G$1742</f>
        <v>3</v>
      </c>
      <c r="E1743" s="17">
        <f>Github!F$1742+Github!G$1742</f>
        <v>73</v>
      </c>
      <c r="F1743" s="18">
        <f t="shared" si="1"/>
        <v>23.33</v>
      </c>
      <c r="G1743" s="17" t="str">
        <f>Github!H$1742</f>
        <v>Database</v>
      </c>
      <c r="H1743" s="17" t="b">
        <f>Github!D$1742</f>
        <v>1</v>
      </c>
      <c r="I1743" s="17" t="str">
        <f>Github!E$1742</f>
        <v>Easy</v>
      </c>
      <c r="J1743" s="17" t="str">
        <f>ROUND(Github!N$1742, 2)&amp;"%"</f>
        <v>0%</v>
      </c>
      <c r="K1743" s="17">
        <f>Github!O$1742</f>
        <v>91.39108555</v>
      </c>
      <c r="L1743" s="17">
        <f>Github!P$1742</f>
        <v>15254</v>
      </c>
    </row>
    <row r="1744">
      <c r="A1744" s="17">
        <f>Github!J$1743</f>
        <v>1742</v>
      </c>
      <c r="B1744" s="34" t="str">
        <f>HYPERLINK(CONCAT("http://leetcode.com/problems/",Github!C$1743), Github!B$1743)</f>
        <v>Maximum Number of Balls in a Box</v>
      </c>
      <c r="C1744" s="17">
        <f>Github!F$1743</f>
        <v>347</v>
      </c>
      <c r="D1744" s="17">
        <f>Github!G$1743</f>
        <v>80</v>
      </c>
      <c r="E1744" s="17">
        <f>Github!F$1743+Github!G$1743</f>
        <v>427</v>
      </c>
      <c r="F1744" s="18">
        <f t="shared" si="1"/>
        <v>4.34</v>
      </c>
      <c r="G1744" s="17" t="str">
        <f>Github!H$1743</f>
        <v>Algorithms</v>
      </c>
      <c r="H1744" s="17" t="b">
        <f>Github!D$1743</f>
        <v>0</v>
      </c>
      <c r="I1744" s="17" t="str">
        <f>Github!E$1743</f>
        <v>Easy</v>
      </c>
      <c r="J1744" s="17" t="str">
        <f>ROUND(Github!N$1743, 2)&amp;"%"</f>
        <v>0%</v>
      </c>
      <c r="K1744" s="17">
        <f>Github!O$1743</f>
        <v>73.68083657</v>
      </c>
      <c r="L1744" s="17">
        <f>Github!P$1743</f>
        <v>36780</v>
      </c>
    </row>
    <row r="1745">
      <c r="A1745" s="17">
        <f>Github!J$1744</f>
        <v>1743</v>
      </c>
      <c r="B1745" s="34" t="str">
        <f>HYPERLINK(CONCAT("http://leetcode.com/problems/",Github!C$1744), Github!B$1744)</f>
        <v>Restore the Array From Adjacent Pairs</v>
      </c>
      <c r="C1745" s="17">
        <f>Github!F$1744</f>
        <v>592</v>
      </c>
      <c r="D1745" s="17">
        <f>Github!G$1744</f>
        <v>9</v>
      </c>
      <c r="E1745" s="17">
        <f>Github!F$1744+Github!G$1744</f>
        <v>601</v>
      </c>
      <c r="F1745" s="18">
        <f t="shared" si="1"/>
        <v>65.78</v>
      </c>
      <c r="G1745" s="17" t="str">
        <f>Github!H$1744</f>
        <v>Algorithms</v>
      </c>
      <c r="H1745" s="17" t="b">
        <f>Github!D$1744</f>
        <v>0</v>
      </c>
      <c r="I1745" s="17" t="str">
        <f>Github!E$1744</f>
        <v>Medium</v>
      </c>
      <c r="J1745" s="17" t="str">
        <f>ROUND(Github!N$1744, 2)&amp;"%"</f>
        <v>0%</v>
      </c>
      <c r="K1745" s="17">
        <f>Github!O$1744</f>
        <v>68.05643173</v>
      </c>
      <c r="L1745" s="17">
        <f>Github!P$1744</f>
        <v>23734</v>
      </c>
    </row>
    <row r="1746">
      <c r="A1746" s="17">
        <f>Github!J$1745</f>
        <v>1744</v>
      </c>
      <c r="B1746" s="34" t="str">
        <f>HYPERLINK(CONCAT("http://leetcode.com/problems/",Github!C$1745), Github!B$1745)</f>
        <v>Can You Eat Your Favorite Candy on Your Favorite Day?</v>
      </c>
      <c r="C1746" s="17">
        <f>Github!F$1745</f>
        <v>81</v>
      </c>
      <c r="D1746" s="17">
        <f>Github!G$1745</f>
        <v>257</v>
      </c>
      <c r="E1746" s="17">
        <f>Github!F$1745+Github!G$1745</f>
        <v>338</v>
      </c>
      <c r="F1746" s="18">
        <f t="shared" si="1"/>
        <v>0.32</v>
      </c>
      <c r="G1746" s="17" t="str">
        <f>Github!H$1745</f>
        <v>Algorithms</v>
      </c>
      <c r="H1746" s="17" t="b">
        <f>Github!D$1745</f>
        <v>0</v>
      </c>
      <c r="I1746" s="17" t="str">
        <f>Github!E$1745</f>
        <v>Medium</v>
      </c>
      <c r="J1746" s="17" t="str">
        <f>ROUND(Github!N$1745, 2)&amp;"%"</f>
        <v>0%</v>
      </c>
      <c r="K1746" s="17">
        <f>Github!O$1745</f>
        <v>32.06893674</v>
      </c>
      <c r="L1746" s="17">
        <f>Github!P$1745</f>
        <v>7685</v>
      </c>
    </row>
    <row r="1747">
      <c r="A1747" s="17">
        <f>Github!J$1746</f>
        <v>1745</v>
      </c>
      <c r="B1747" s="34" t="str">
        <f>HYPERLINK(CONCAT("http://leetcode.com/problems/",Github!C$1746), Github!B$1746)</f>
        <v>Palindrome Partitioning IV</v>
      </c>
      <c r="C1747" s="17">
        <f>Github!F$1746</f>
        <v>470</v>
      </c>
      <c r="D1747" s="17">
        <f>Github!G$1746</f>
        <v>14</v>
      </c>
      <c r="E1747" s="17">
        <f>Github!F$1746+Github!G$1746</f>
        <v>484</v>
      </c>
      <c r="F1747" s="18">
        <f t="shared" si="1"/>
        <v>33.57</v>
      </c>
      <c r="G1747" s="17" t="str">
        <f>Github!H$1746</f>
        <v>Algorithms</v>
      </c>
      <c r="H1747" s="17" t="b">
        <f>Github!D$1746</f>
        <v>0</v>
      </c>
      <c r="I1747" s="17" t="str">
        <f>Github!E$1746</f>
        <v>Hard</v>
      </c>
      <c r="J1747" s="17" t="str">
        <f>ROUND(Github!N$1746, 2)&amp;"%"</f>
        <v>0%</v>
      </c>
      <c r="K1747" s="17">
        <f>Github!O$1746</f>
        <v>49.25949323</v>
      </c>
      <c r="L1747" s="17">
        <f>Github!P$1746</f>
        <v>14036</v>
      </c>
    </row>
    <row r="1748">
      <c r="A1748" s="17">
        <f>Github!J$1747</f>
        <v>1746</v>
      </c>
      <c r="B1748" s="34" t="str">
        <f>HYPERLINK(CONCAT("http://leetcode.com/problems/",Github!C$1747), Github!B$1747)</f>
        <v>Maximum Subarray Sum After One Operation</v>
      </c>
      <c r="C1748" s="17">
        <f>Github!F$1747</f>
        <v>181</v>
      </c>
      <c r="D1748" s="17">
        <f>Github!G$1747</f>
        <v>3</v>
      </c>
      <c r="E1748" s="17">
        <f>Github!F$1747+Github!G$1747</f>
        <v>184</v>
      </c>
      <c r="F1748" s="18">
        <f t="shared" si="1"/>
        <v>60.33</v>
      </c>
      <c r="G1748" s="17" t="str">
        <f>Github!H$1747</f>
        <v>Algorithms</v>
      </c>
      <c r="H1748" s="17" t="b">
        <f>Github!D$1747</f>
        <v>1</v>
      </c>
      <c r="I1748" s="17" t="str">
        <f>Github!E$1747</f>
        <v>Medium</v>
      </c>
      <c r="J1748" s="17" t="str">
        <f>ROUND(Github!N$1747, 2)&amp;"%"</f>
        <v>0%</v>
      </c>
      <c r="K1748" s="17">
        <f>Github!O$1747</f>
        <v>62.04595997</v>
      </c>
      <c r="L1748" s="17">
        <f>Github!P$1747</f>
        <v>5019</v>
      </c>
    </row>
    <row r="1749">
      <c r="A1749" s="17">
        <f>Github!J$1748</f>
        <v>1747</v>
      </c>
      <c r="B1749" s="34" t="str">
        <f>HYPERLINK(CONCAT("http://leetcode.com/problems/",Github!C$1748), Github!B$1748)</f>
        <v>Leetflex Banned Accounts</v>
      </c>
      <c r="C1749" s="17">
        <f>Github!F$1748</f>
        <v>68</v>
      </c>
      <c r="D1749" s="17">
        <f>Github!G$1748</f>
        <v>4</v>
      </c>
      <c r="E1749" s="17">
        <f>Github!F$1748+Github!G$1748</f>
        <v>72</v>
      </c>
      <c r="F1749" s="18">
        <f t="shared" si="1"/>
        <v>17</v>
      </c>
      <c r="G1749" s="17" t="str">
        <f>Github!H$1748</f>
        <v>Database</v>
      </c>
      <c r="H1749" s="17" t="b">
        <f>Github!D$1748</f>
        <v>1</v>
      </c>
      <c r="I1749" s="17" t="str">
        <f>Github!E$1748</f>
        <v>Medium</v>
      </c>
      <c r="J1749" s="17" t="str">
        <f>ROUND(Github!N$1748, 2)&amp;"%"</f>
        <v>0%</v>
      </c>
      <c r="K1749" s="17">
        <f>Github!O$1748</f>
        <v>67.40357929</v>
      </c>
      <c r="L1749" s="17">
        <f>Github!P$1748</f>
        <v>7043</v>
      </c>
    </row>
    <row r="1750">
      <c r="A1750" s="17">
        <f>Github!J$1749</f>
        <v>1748</v>
      </c>
      <c r="B1750" s="34" t="str">
        <f>HYPERLINK(CONCAT("http://leetcode.com/problems/",Github!C$1749), Github!B$1749)</f>
        <v>Sum of Unique Elements</v>
      </c>
      <c r="C1750" s="17">
        <f>Github!F$1749</f>
        <v>683</v>
      </c>
      <c r="D1750" s="17">
        <f>Github!G$1749</f>
        <v>17</v>
      </c>
      <c r="E1750" s="17">
        <f>Github!F$1749+Github!G$1749</f>
        <v>700</v>
      </c>
      <c r="F1750" s="18">
        <f t="shared" si="1"/>
        <v>40.18</v>
      </c>
      <c r="G1750" s="17" t="str">
        <f>Github!H$1749</f>
        <v>Algorithms</v>
      </c>
      <c r="H1750" s="17" t="b">
        <f>Github!D$1749</f>
        <v>0</v>
      </c>
      <c r="I1750" s="17" t="str">
        <f>Github!E$1749</f>
        <v>Easy</v>
      </c>
      <c r="J1750" s="17" t="str">
        <f>ROUND(Github!N$1749, 2)&amp;"%"</f>
        <v>0%</v>
      </c>
      <c r="K1750" s="17">
        <f>Github!O$1749</f>
        <v>75.38608031</v>
      </c>
      <c r="L1750" s="17">
        <f>Github!P$1749</f>
        <v>68877</v>
      </c>
    </row>
    <row r="1751">
      <c r="A1751" s="17">
        <f>Github!J$1750</f>
        <v>1749</v>
      </c>
      <c r="B1751" s="34" t="str">
        <f>HYPERLINK(CONCAT("http://leetcode.com/problems/",Github!C$1750), Github!B$1750)</f>
        <v>Maximum Absolute Sum of Any Subarray</v>
      </c>
      <c r="C1751" s="17">
        <f>Github!F$1750</f>
        <v>667</v>
      </c>
      <c r="D1751" s="17">
        <f>Github!G$1750</f>
        <v>10</v>
      </c>
      <c r="E1751" s="17">
        <f>Github!F$1750+Github!G$1750</f>
        <v>677</v>
      </c>
      <c r="F1751" s="18">
        <f t="shared" si="1"/>
        <v>66.7</v>
      </c>
      <c r="G1751" s="17" t="str">
        <f>Github!H$1750</f>
        <v>Algorithms</v>
      </c>
      <c r="H1751" s="17" t="b">
        <f>Github!D$1750</f>
        <v>0</v>
      </c>
      <c r="I1751" s="17" t="str">
        <f>Github!E$1750</f>
        <v>Medium</v>
      </c>
      <c r="J1751" s="17" t="str">
        <f>ROUND(Github!N$1750, 2)&amp;"%"</f>
        <v>0%</v>
      </c>
      <c r="K1751" s="17">
        <f>Github!O$1750</f>
        <v>56.59838153</v>
      </c>
      <c r="L1751" s="17">
        <f>Github!P$1750</f>
        <v>20002</v>
      </c>
    </row>
    <row r="1752">
      <c r="A1752" s="17">
        <f>Github!J$1751</f>
        <v>1750</v>
      </c>
      <c r="B1752" s="34" t="str">
        <f>HYPERLINK(CONCAT("http://leetcode.com/problems/",Github!C$1751), Github!B$1751)</f>
        <v>Minimum Length of String After Deleting Similar Ends</v>
      </c>
      <c r="C1752" s="17">
        <f>Github!F$1751</f>
        <v>261</v>
      </c>
      <c r="D1752" s="17">
        <f>Github!G$1751</f>
        <v>17</v>
      </c>
      <c r="E1752" s="17">
        <f>Github!F$1751+Github!G$1751</f>
        <v>278</v>
      </c>
      <c r="F1752" s="18">
        <f t="shared" si="1"/>
        <v>15.35</v>
      </c>
      <c r="G1752" s="17" t="str">
        <f>Github!H$1751</f>
        <v>Algorithms</v>
      </c>
      <c r="H1752" s="17" t="b">
        <f>Github!D$1751</f>
        <v>0</v>
      </c>
      <c r="I1752" s="17" t="str">
        <f>Github!E$1751</f>
        <v>Medium</v>
      </c>
      <c r="J1752" s="17" t="str">
        <f>ROUND(Github!N$1751, 2)&amp;"%"</f>
        <v>0%</v>
      </c>
      <c r="K1752" s="17">
        <f>Github!O$1751</f>
        <v>43.04539764</v>
      </c>
      <c r="L1752" s="17">
        <f>Github!P$1751</f>
        <v>13066</v>
      </c>
    </row>
    <row r="1753">
      <c r="A1753" s="17">
        <f>Github!J$1752</f>
        <v>1751</v>
      </c>
      <c r="B1753" s="34" t="str">
        <f>HYPERLINK(CONCAT("http://leetcode.com/problems/",Github!C$1752), Github!B$1752)</f>
        <v>Maximum Number of Events That Can Be Attended II</v>
      </c>
      <c r="C1753" s="17">
        <f>Github!F$1752</f>
        <v>438</v>
      </c>
      <c r="D1753" s="17">
        <f>Github!G$1752</f>
        <v>8</v>
      </c>
      <c r="E1753" s="17">
        <f>Github!F$1752+Github!G$1752</f>
        <v>446</v>
      </c>
      <c r="F1753" s="18">
        <f t="shared" si="1"/>
        <v>54.75</v>
      </c>
      <c r="G1753" s="17" t="str">
        <f>Github!H$1752</f>
        <v>Algorithms</v>
      </c>
      <c r="H1753" s="17" t="b">
        <f>Github!D$1752</f>
        <v>0</v>
      </c>
      <c r="I1753" s="17" t="str">
        <f>Github!E$1752</f>
        <v>Hard</v>
      </c>
      <c r="J1753" s="17" t="str">
        <f>ROUND(Github!N$1752, 2)&amp;"%"</f>
        <v>0%</v>
      </c>
      <c r="K1753" s="17">
        <f>Github!O$1752</f>
        <v>54.57169574</v>
      </c>
      <c r="L1753" s="17">
        <f>Github!P$1752</f>
        <v>13423</v>
      </c>
    </row>
    <row r="1754">
      <c r="A1754" s="17">
        <f>Github!J$1753</f>
        <v>1752</v>
      </c>
      <c r="B1754" s="34" t="str">
        <f>HYPERLINK(CONCAT("http://leetcode.com/problems/",Github!C$1753), Github!B$1753)</f>
        <v>Check if Array Is Sorted and Rotated</v>
      </c>
      <c r="C1754" s="17">
        <f>Github!F$1753</f>
        <v>507</v>
      </c>
      <c r="D1754" s="17">
        <f>Github!G$1753</f>
        <v>47</v>
      </c>
      <c r="E1754" s="17">
        <f>Github!F$1753+Github!G$1753</f>
        <v>554</v>
      </c>
      <c r="F1754" s="18">
        <f t="shared" si="1"/>
        <v>10.79</v>
      </c>
      <c r="G1754" s="17" t="str">
        <f>Github!H$1753</f>
        <v>Algorithms</v>
      </c>
      <c r="H1754" s="17" t="b">
        <f>Github!D$1753</f>
        <v>0</v>
      </c>
      <c r="I1754" s="17" t="str">
        <f>Github!E$1753</f>
        <v>Easy</v>
      </c>
      <c r="J1754" s="17" t="str">
        <f>ROUND(Github!N$1753, 2)&amp;"%"</f>
        <v>0%</v>
      </c>
      <c r="K1754" s="17">
        <f>Github!O$1753</f>
        <v>47.41455264</v>
      </c>
      <c r="L1754" s="17">
        <f>Github!P$1753</f>
        <v>31213</v>
      </c>
    </row>
    <row r="1755">
      <c r="A1755" s="17">
        <f>Github!J$1754</f>
        <v>1753</v>
      </c>
      <c r="B1755" s="34" t="str">
        <f>HYPERLINK(CONCAT("http://leetcode.com/problems/",Github!C$1754), Github!B$1754)</f>
        <v>Maximum Score From Removing Stones</v>
      </c>
      <c r="C1755" s="17">
        <f>Github!F$1754</f>
        <v>458</v>
      </c>
      <c r="D1755" s="17">
        <f>Github!G$1754</f>
        <v>33</v>
      </c>
      <c r="E1755" s="17">
        <f>Github!F$1754+Github!G$1754</f>
        <v>491</v>
      </c>
      <c r="F1755" s="18">
        <f t="shared" si="1"/>
        <v>13.88</v>
      </c>
      <c r="G1755" s="17" t="str">
        <f>Github!H$1754</f>
        <v>Algorithms</v>
      </c>
      <c r="H1755" s="17" t="b">
        <f>Github!D$1754</f>
        <v>0</v>
      </c>
      <c r="I1755" s="17" t="str">
        <f>Github!E$1754</f>
        <v>Medium</v>
      </c>
      <c r="J1755" s="17" t="str">
        <f>ROUND(Github!N$1754, 2)&amp;"%"</f>
        <v>0%</v>
      </c>
      <c r="K1755" s="17">
        <f>Github!O$1754</f>
        <v>64.86277042</v>
      </c>
      <c r="L1755" s="17">
        <f>Github!P$1754</f>
        <v>20088</v>
      </c>
    </row>
    <row r="1756">
      <c r="A1756" s="17">
        <f>Github!J$1755</f>
        <v>1754</v>
      </c>
      <c r="B1756" s="34" t="str">
        <f>HYPERLINK(CONCAT("http://leetcode.com/problems/",Github!C$1755), Github!B$1755)</f>
        <v>Largest Merge Of Two Strings</v>
      </c>
      <c r="C1756" s="17">
        <f>Github!F$1755</f>
        <v>329</v>
      </c>
      <c r="D1756" s="17">
        <f>Github!G$1755</f>
        <v>50</v>
      </c>
      <c r="E1756" s="17">
        <f>Github!F$1755+Github!G$1755</f>
        <v>379</v>
      </c>
      <c r="F1756" s="18">
        <f t="shared" si="1"/>
        <v>6.58</v>
      </c>
      <c r="G1756" s="17" t="str">
        <f>Github!H$1755</f>
        <v>Algorithms</v>
      </c>
      <c r="H1756" s="17" t="b">
        <f>Github!D$1755</f>
        <v>0</v>
      </c>
      <c r="I1756" s="17" t="str">
        <f>Github!E$1755</f>
        <v>Medium</v>
      </c>
      <c r="J1756" s="17" t="str">
        <f>ROUND(Github!N$1755, 2)&amp;"%"</f>
        <v>0%</v>
      </c>
      <c r="K1756" s="17">
        <f>Github!O$1755</f>
        <v>43.68624692</v>
      </c>
      <c r="L1756" s="17">
        <f>Github!P$1755</f>
        <v>13662</v>
      </c>
    </row>
    <row r="1757">
      <c r="A1757" s="17">
        <f>Github!J$1756</f>
        <v>1755</v>
      </c>
      <c r="B1757" s="34" t="str">
        <f>HYPERLINK(CONCAT("http://leetcode.com/problems/",Github!C$1756), Github!B$1756)</f>
        <v>Closest Subsequence Sum</v>
      </c>
      <c r="C1757" s="17">
        <f>Github!F$1756</f>
        <v>421</v>
      </c>
      <c r="D1757" s="17">
        <f>Github!G$1756</f>
        <v>54</v>
      </c>
      <c r="E1757" s="17">
        <f>Github!F$1756+Github!G$1756</f>
        <v>475</v>
      </c>
      <c r="F1757" s="18">
        <f t="shared" si="1"/>
        <v>7.8</v>
      </c>
      <c r="G1757" s="17" t="str">
        <f>Github!H$1756</f>
        <v>Algorithms</v>
      </c>
      <c r="H1757" s="17" t="b">
        <f>Github!D$1756</f>
        <v>0</v>
      </c>
      <c r="I1757" s="17" t="str">
        <f>Github!E$1756</f>
        <v>Hard</v>
      </c>
      <c r="J1757" s="17" t="str">
        <f>ROUND(Github!N$1756, 2)&amp;"%"</f>
        <v>0%</v>
      </c>
      <c r="K1757" s="17">
        <f>Github!O$1756</f>
        <v>36.3913293</v>
      </c>
      <c r="L1757" s="17">
        <f>Github!P$1756</f>
        <v>8243</v>
      </c>
    </row>
    <row r="1758">
      <c r="A1758" s="17">
        <f>Github!J$1757</f>
        <v>1756</v>
      </c>
      <c r="B1758" s="34" t="str">
        <f>HYPERLINK(CONCAT("http://leetcode.com/problems/",Github!C$1757), Github!B$1757)</f>
        <v>Design Most Recently Used Queue</v>
      </c>
      <c r="C1758" s="17">
        <f>Github!F$1757</f>
        <v>142</v>
      </c>
      <c r="D1758" s="17">
        <f>Github!G$1757</f>
        <v>12</v>
      </c>
      <c r="E1758" s="17">
        <f>Github!F$1757+Github!G$1757</f>
        <v>154</v>
      </c>
      <c r="F1758" s="18">
        <f t="shared" si="1"/>
        <v>11.83</v>
      </c>
      <c r="G1758" s="17" t="str">
        <f>Github!H$1757</f>
        <v>Algorithms</v>
      </c>
      <c r="H1758" s="17" t="b">
        <f>Github!D$1757</f>
        <v>1</v>
      </c>
      <c r="I1758" s="17" t="str">
        <f>Github!E$1757</f>
        <v>Medium</v>
      </c>
      <c r="J1758" s="17" t="str">
        <f>ROUND(Github!N$1757, 2)&amp;"%"</f>
        <v>0%</v>
      </c>
      <c r="K1758" s="17">
        <f>Github!O$1757</f>
        <v>78.98506553</v>
      </c>
      <c r="L1758" s="17">
        <f>Github!P$1757</f>
        <v>5183</v>
      </c>
    </row>
    <row r="1759">
      <c r="A1759" s="17">
        <f>Github!J$1758</f>
        <v>1757</v>
      </c>
      <c r="B1759" s="34" t="str">
        <f>HYPERLINK(CONCAT("http://leetcode.com/problems/",Github!C$1758), Github!B$1758)</f>
        <v>Recyclable and Low Fat Products</v>
      </c>
      <c r="C1759" s="17">
        <f>Github!F$1758</f>
        <v>99</v>
      </c>
      <c r="D1759" s="17">
        <f>Github!G$1758</f>
        <v>50</v>
      </c>
      <c r="E1759" s="17">
        <f>Github!F$1758+Github!G$1758</f>
        <v>149</v>
      </c>
      <c r="F1759" s="18">
        <f t="shared" si="1"/>
        <v>1.98</v>
      </c>
      <c r="G1759" s="17" t="str">
        <f>Github!H$1758</f>
        <v>Database</v>
      </c>
      <c r="H1759" s="17" t="b">
        <f>Github!D$1758</f>
        <v>1</v>
      </c>
      <c r="I1759" s="17" t="str">
        <f>Github!E$1758</f>
        <v>Easy</v>
      </c>
      <c r="J1759" s="17" t="str">
        <f>ROUND(Github!N$1758, 2)&amp;"%"</f>
        <v>0%</v>
      </c>
      <c r="K1759" s="17">
        <f>Github!O$1758</f>
        <v>95.80516966</v>
      </c>
      <c r="L1759" s="17">
        <f>Github!P$1758</f>
        <v>28204</v>
      </c>
    </row>
    <row r="1760">
      <c r="A1760" s="17">
        <f>Github!J$1759</f>
        <v>1758</v>
      </c>
      <c r="B1760" s="34" t="str">
        <f>HYPERLINK(CONCAT("http://leetcode.com/problems/",Github!C$1759), Github!B$1759)</f>
        <v>Minimum Changes To Make Alternating Binary String</v>
      </c>
      <c r="C1760" s="17">
        <f>Github!F$1759</f>
        <v>383</v>
      </c>
      <c r="D1760" s="17">
        <f>Github!G$1759</f>
        <v>11</v>
      </c>
      <c r="E1760" s="17">
        <f>Github!F$1759+Github!G$1759</f>
        <v>394</v>
      </c>
      <c r="F1760" s="18">
        <f t="shared" si="1"/>
        <v>34.82</v>
      </c>
      <c r="G1760" s="17" t="str">
        <f>Github!H$1759</f>
        <v>Algorithms</v>
      </c>
      <c r="H1760" s="17" t="b">
        <f>Github!D$1759</f>
        <v>0</v>
      </c>
      <c r="I1760" s="17" t="str">
        <f>Github!E$1759</f>
        <v>Easy</v>
      </c>
      <c r="J1760" s="17" t="str">
        <f>ROUND(Github!N$1759, 2)&amp;"%"</f>
        <v>0%</v>
      </c>
      <c r="K1760" s="17">
        <f>Github!O$1759</f>
        <v>59.26982316</v>
      </c>
      <c r="L1760" s="17">
        <f>Github!P$1759</f>
        <v>25975</v>
      </c>
    </row>
    <row r="1761">
      <c r="A1761" s="17">
        <f>Github!J$1760</f>
        <v>1759</v>
      </c>
      <c r="B1761" s="34" t="str">
        <f>HYPERLINK(CONCAT("http://leetcode.com/problems/",Github!C$1760), Github!B$1760)</f>
        <v>Count Number of Homogenous Substrings</v>
      </c>
      <c r="C1761" s="17">
        <f>Github!F$1760</f>
        <v>359</v>
      </c>
      <c r="D1761" s="17">
        <f>Github!G$1760</f>
        <v>35</v>
      </c>
      <c r="E1761" s="17">
        <f>Github!F$1760+Github!G$1760</f>
        <v>394</v>
      </c>
      <c r="F1761" s="18">
        <f t="shared" si="1"/>
        <v>10.26</v>
      </c>
      <c r="G1761" s="17" t="str">
        <f>Github!H$1760</f>
        <v>Algorithms</v>
      </c>
      <c r="H1761" s="17" t="b">
        <f>Github!D$1760</f>
        <v>0</v>
      </c>
      <c r="I1761" s="17" t="str">
        <f>Github!E$1760</f>
        <v>Medium</v>
      </c>
      <c r="J1761" s="17" t="str">
        <f>ROUND(Github!N$1760, 2)&amp;"%"</f>
        <v>0%</v>
      </c>
      <c r="K1761" s="17">
        <f>Github!O$1760</f>
        <v>46.05214252</v>
      </c>
      <c r="L1761" s="17">
        <f>Github!P$1760</f>
        <v>17345</v>
      </c>
    </row>
    <row r="1762">
      <c r="A1762" s="17">
        <f>Github!J$1761</f>
        <v>1760</v>
      </c>
      <c r="B1762" s="34" t="str">
        <f>HYPERLINK(CONCAT("http://leetcode.com/problems/",Github!C$1761), Github!B$1761)</f>
        <v>Minimum Limit of Balls in a Bag</v>
      </c>
      <c r="C1762" s="17">
        <f>Github!F$1761</f>
        <v>861</v>
      </c>
      <c r="D1762" s="17">
        <f>Github!G$1761</f>
        <v>30</v>
      </c>
      <c r="E1762" s="17">
        <f>Github!F$1761+Github!G$1761</f>
        <v>891</v>
      </c>
      <c r="F1762" s="18">
        <f t="shared" si="1"/>
        <v>28.7</v>
      </c>
      <c r="G1762" s="17" t="str">
        <f>Github!H$1761</f>
        <v>Algorithms</v>
      </c>
      <c r="H1762" s="17" t="b">
        <f>Github!D$1761</f>
        <v>0</v>
      </c>
      <c r="I1762" s="17" t="str">
        <f>Github!E$1761</f>
        <v>Medium</v>
      </c>
      <c r="J1762" s="17" t="str">
        <f>ROUND(Github!N$1761, 2)&amp;"%"</f>
        <v>0%</v>
      </c>
      <c r="K1762" s="17">
        <f>Github!O$1761</f>
        <v>56.43984962</v>
      </c>
      <c r="L1762" s="17">
        <f>Github!P$1761</f>
        <v>15013</v>
      </c>
    </row>
    <row r="1763">
      <c r="A1763" s="17">
        <f>Github!J$1762</f>
        <v>1761</v>
      </c>
      <c r="B1763" s="34" t="str">
        <f>HYPERLINK(CONCAT("http://leetcode.com/problems/",Github!C$1762), Github!B$1762)</f>
        <v>Minimum Degree of a Connected Trio in a Graph</v>
      </c>
      <c r="C1763" s="17">
        <f>Github!F$1762</f>
        <v>181</v>
      </c>
      <c r="D1763" s="17">
        <f>Github!G$1762</f>
        <v>199</v>
      </c>
      <c r="E1763" s="17">
        <f>Github!F$1762+Github!G$1762</f>
        <v>380</v>
      </c>
      <c r="F1763" s="18">
        <f t="shared" si="1"/>
        <v>0.91</v>
      </c>
      <c r="G1763" s="17" t="str">
        <f>Github!H$1762</f>
        <v>Algorithms</v>
      </c>
      <c r="H1763" s="17" t="b">
        <f>Github!D$1762</f>
        <v>0</v>
      </c>
      <c r="I1763" s="17" t="str">
        <f>Github!E$1762</f>
        <v>Hard</v>
      </c>
      <c r="J1763" s="17" t="str">
        <f>ROUND(Github!N$1762, 2)&amp;"%"</f>
        <v>0%</v>
      </c>
      <c r="K1763" s="17">
        <f>Github!O$1762</f>
        <v>41.39780245</v>
      </c>
      <c r="L1763" s="17">
        <f>Github!P$1762</f>
        <v>14204</v>
      </c>
    </row>
    <row r="1764">
      <c r="A1764" s="17">
        <f>Github!J$1763</f>
        <v>1762</v>
      </c>
      <c r="B1764" s="34" t="str">
        <f>HYPERLINK(CONCAT("http://leetcode.com/problems/",Github!C$1763), Github!B$1763)</f>
        <v>Buildings With an Ocean View</v>
      </c>
      <c r="C1764" s="17">
        <f>Github!F$1763</f>
        <v>681</v>
      </c>
      <c r="D1764" s="17">
        <f>Github!G$1763</f>
        <v>95</v>
      </c>
      <c r="E1764" s="17">
        <f>Github!F$1763+Github!G$1763</f>
        <v>776</v>
      </c>
      <c r="F1764" s="18">
        <f t="shared" si="1"/>
        <v>7.17</v>
      </c>
      <c r="G1764" s="17" t="str">
        <f>Github!H$1763</f>
        <v>Algorithms</v>
      </c>
      <c r="H1764" s="17" t="b">
        <f>Github!D$1763</f>
        <v>1</v>
      </c>
      <c r="I1764" s="17" t="str">
        <f>Github!E$1763</f>
        <v>Medium</v>
      </c>
      <c r="J1764" s="17" t="str">
        <f>ROUND(Github!N$1763, 2)&amp;"%"</f>
        <v>0%</v>
      </c>
      <c r="K1764" s="17">
        <f>Github!O$1763</f>
        <v>80.33373923</v>
      </c>
      <c r="L1764" s="17">
        <f>Github!P$1763</f>
        <v>89055</v>
      </c>
    </row>
    <row r="1765">
      <c r="A1765" s="17">
        <f>Github!J$1764</f>
        <v>1763</v>
      </c>
      <c r="B1765" s="34" t="str">
        <f>HYPERLINK(CONCAT("http://leetcode.com/problems/",Github!C$1764), Github!B$1764)</f>
        <v>Longest Nice Substring</v>
      </c>
      <c r="C1765" s="17">
        <f>Github!F$1764</f>
        <v>522</v>
      </c>
      <c r="D1765" s="17">
        <f>Github!G$1764</f>
        <v>394</v>
      </c>
      <c r="E1765" s="17">
        <f>Github!F$1764+Github!G$1764</f>
        <v>916</v>
      </c>
      <c r="F1765" s="18">
        <f t="shared" si="1"/>
        <v>1.32</v>
      </c>
      <c r="G1765" s="17" t="str">
        <f>Github!H$1764</f>
        <v>Algorithms</v>
      </c>
      <c r="H1765" s="17" t="b">
        <f>Github!D$1764</f>
        <v>0</v>
      </c>
      <c r="I1765" s="17" t="str">
        <f>Github!E$1764</f>
        <v>Easy</v>
      </c>
      <c r="J1765" s="17" t="str">
        <f>ROUND(Github!N$1764, 2)&amp;"%"</f>
        <v>0%</v>
      </c>
      <c r="K1765" s="17">
        <f>Github!O$1764</f>
        <v>62.01777778</v>
      </c>
      <c r="L1765" s="17">
        <f>Github!P$1764</f>
        <v>20931</v>
      </c>
    </row>
    <row r="1766">
      <c r="A1766" s="17">
        <f>Github!J$1765</f>
        <v>1764</v>
      </c>
      <c r="B1766" s="34" t="str">
        <f>HYPERLINK(CONCAT("http://leetcode.com/problems/",Github!C$1765), Github!B$1765)</f>
        <v>Form Array by Concatenating Subarrays of Another Array</v>
      </c>
      <c r="C1766" s="17">
        <f>Github!F$1765</f>
        <v>193</v>
      </c>
      <c r="D1766" s="17">
        <f>Github!G$1765</f>
        <v>21</v>
      </c>
      <c r="E1766" s="17">
        <f>Github!F$1765+Github!G$1765</f>
        <v>214</v>
      </c>
      <c r="F1766" s="18">
        <f t="shared" si="1"/>
        <v>9.19</v>
      </c>
      <c r="G1766" s="17" t="str">
        <f>Github!H$1765</f>
        <v>Algorithms</v>
      </c>
      <c r="H1766" s="17" t="b">
        <f>Github!D$1765</f>
        <v>0</v>
      </c>
      <c r="I1766" s="17" t="str">
        <f>Github!E$1765</f>
        <v>Medium</v>
      </c>
      <c r="J1766" s="17" t="str">
        <f>ROUND(Github!N$1765, 2)&amp;"%"</f>
        <v>0%</v>
      </c>
      <c r="K1766" s="17">
        <f>Github!O$1765</f>
        <v>52.93307191</v>
      </c>
      <c r="L1766" s="17">
        <f>Github!P$1765</f>
        <v>9989</v>
      </c>
    </row>
    <row r="1767">
      <c r="A1767" s="17">
        <f>Github!J$1766</f>
        <v>1765</v>
      </c>
      <c r="B1767" s="34" t="str">
        <f>HYPERLINK(CONCAT("http://leetcode.com/problems/",Github!C$1766), Github!B$1766)</f>
        <v>Map of Highest Peak</v>
      </c>
      <c r="C1767" s="17">
        <f>Github!F$1766</f>
        <v>466</v>
      </c>
      <c r="D1767" s="17">
        <f>Github!G$1766</f>
        <v>30</v>
      </c>
      <c r="E1767" s="17">
        <f>Github!F$1766+Github!G$1766</f>
        <v>496</v>
      </c>
      <c r="F1767" s="18">
        <f t="shared" si="1"/>
        <v>15.53</v>
      </c>
      <c r="G1767" s="17" t="str">
        <f>Github!H$1766</f>
        <v>Algorithms</v>
      </c>
      <c r="H1767" s="17" t="b">
        <f>Github!D$1766</f>
        <v>0</v>
      </c>
      <c r="I1767" s="17" t="str">
        <f>Github!E$1766</f>
        <v>Medium</v>
      </c>
      <c r="J1767" s="17" t="str">
        <f>ROUND(Github!N$1766, 2)&amp;"%"</f>
        <v>0%</v>
      </c>
      <c r="K1767" s="17">
        <f>Github!O$1766</f>
        <v>59.51031425</v>
      </c>
      <c r="L1767" s="17">
        <f>Github!P$1766</f>
        <v>15430</v>
      </c>
    </row>
    <row r="1768">
      <c r="A1768" s="17">
        <f>Github!J$1767</f>
        <v>1766</v>
      </c>
      <c r="B1768" s="34" t="str">
        <f>HYPERLINK(CONCAT("http://leetcode.com/problems/",Github!C$1767), Github!B$1767)</f>
        <v>Tree of Coprimes</v>
      </c>
      <c r="C1768" s="17">
        <f>Github!F$1767</f>
        <v>220</v>
      </c>
      <c r="D1768" s="17">
        <f>Github!G$1767</f>
        <v>17</v>
      </c>
      <c r="E1768" s="17">
        <f>Github!F$1767+Github!G$1767</f>
        <v>237</v>
      </c>
      <c r="F1768" s="18">
        <f t="shared" si="1"/>
        <v>12.94</v>
      </c>
      <c r="G1768" s="17" t="str">
        <f>Github!H$1767</f>
        <v>Algorithms</v>
      </c>
      <c r="H1768" s="17" t="b">
        <f>Github!D$1767</f>
        <v>0</v>
      </c>
      <c r="I1768" s="17" t="str">
        <f>Github!E$1767</f>
        <v>Hard</v>
      </c>
      <c r="J1768" s="17" t="str">
        <f>ROUND(Github!N$1767, 2)&amp;"%"</f>
        <v>0%</v>
      </c>
      <c r="K1768" s="17">
        <f>Github!O$1767</f>
        <v>38.00218739</v>
      </c>
      <c r="L1768" s="17">
        <f>Github!P$1767</f>
        <v>5212</v>
      </c>
    </row>
    <row r="1769">
      <c r="A1769" s="17">
        <f>Github!J$1768</f>
        <v>1767</v>
      </c>
      <c r="B1769" s="34" t="str">
        <f>HYPERLINK(CONCAT("http://leetcode.com/problems/",Github!C$1768), Github!B$1768)</f>
        <v>Find the Subtasks That Did Not Execute</v>
      </c>
      <c r="C1769" s="17">
        <f>Github!F$1768</f>
        <v>79</v>
      </c>
      <c r="D1769" s="17">
        <f>Github!G$1768</f>
        <v>7</v>
      </c>
      <c r="E1769" s="17">
        <f>Github!F$1768+Github!G$1768</f>
        <v>86</v>
      </c>
      <c r="F1769" s="18">
        <f t="shared" si="1"/>
        <v>11.29</v>
      </c>
      <c r="G1769" s="17" t="str">
        <f>Github!H$1768</f>
        <v>Database</v>
      </c>
      <c r="H1769" s="17" t="b">
        <f>Github!D$1768</f>
        <v>1</v>
      </c>
      <c r="I1769" s="17" t="str">
        <f>Github!E$1768</f>
        <v>Hard</v>
      </c>
      <c r="J1769" s="17" t="str">
        <f>ROUND(Github!N$1768, 2)&amp;"%"</f>
        <v>0%</v>
      </c>
      <c r="K1769" s="17">
        <f>Github!O$1768</f>
        <v>83.75564722</v>
      </c>
      <c r="L1769" s="17">
        <f>Github!P$1768</f>
        <v>4264</v>
      </c>
    </row>
    <row r="1770">
      <c r="A1770" s="17">
        <f>Github!J$1769</f>
        <v>1768</v>
      </c>
      <c r="B1770" s="34" t="str">
        <f>HYPERLINK(CONCAT("http://leetcode.com/problems/",Github!C$1769), Github!B$1769)</f>
        <v>Merge Strings Alternately</v>
      </c>
      <c r="C1770" s="17">
        <f>Github!F$1769</f>
        <v>489</v>
      </c>
      <c r="D1770" s="17">
        <f>Github!G$1769</f>
        <v>8</v>
      </c>
      <c r="E1770" s="17">
        <f>Github!F$1769+Github!G$1769</f>
        <v>497</v>
      </c>
      <c r="F1770" s="18">
        <f t="shared" si="1"/>
        <v>61.13</v>
      </c>
      <c r="G1770" s="17" t="str">
        <f>Github!H$1769</f>
        <v>Algorithms</v>
      </c>
      <c r="H1770" s="17" t="b">
        <f>Github!D$1769</f>
        <v>0</v>
      </c>
      <c r="I1770" s="17" t="str">
        <f>Github!E$1769</f>
        <v>Easy</v>
      </c>
      <c r="J1770" s="17" t="str">
        <f>ROUND(Github!N$1769, 2)&amp;"%"</f>
        <v>0%</v>
      </c>
      <c r="K1770" s="17">
        <f>Github!O$1769</f>
        <v>75.23698364</v>
      </c>
      <c r="L1770" s="17">
        <f>Github!P$1769</f>
        <v>47699</v>
      </c>
    </row>
    <row r="1771">
      <c r="A1771" s="17">
        <f>Github!J$1770</f>
        <v>1769</v>
      </c>
      <c r="B1771" s="34" t="str">
        <f>HYPERLINK(CONCAT("http://leetcode.com/problems/",Github!C$1770), Github!B$1770)</f>
        <v>Minimum Number of Operations to Move All Balls to Each Box</v>
      </c>
      <c r="C1771" s="17">
        <f>Github!F$1770</f>
        <v>1276</v>
      </c>
      <c r="D1771" s="17">
        <f>Github!G$1770</f>
        <v>47</v>
      </c>
      <c r="E1771" s="17">
        <f>Github!F$1770+Github!G$1770</f>
        <v>1323</v>
      </c>
      <c r="F1771" s="18">
        <f t="shared" si="1"/>
        <v>27.15</v>
      </c>
      <c r="G1771" s="17" t="str">
        <f>Github!H$1770</f>
        <v>Algorithms</v>
      </c>
      <c r="H1771" s="17" t="b">
        <f>Github!D$1770</f>
        <v>0</v>
      </c>
      <c r="I1771" s="17" t="str">
        <f>Github!E$1770</f>
        <v>Medium</v>
      </c>
      <c r="J1771" s="17" t="str">
        <f>ROUND(Github!N$1770, 2)&amp;"%"</f>
        <v>0%</v>
      </c>
      <c r="K1771" s="17">
        <f>Github!O$1770</f>
        <v>85.65037594</v>
      </c>
      <c r="L1771" s="17">
        <f>Github!P$1770</f>
        <v>68349</v>
      </c>
    </row>
    <row r="1772">
      <c r="A1772" s="17">
        <f>Github!J$1771</f>
        <v>1770</v>
      </c>
      <c r="B1772" s="34" t="str">
        <f>HYPERLINK(CONCAT("http://leetcode.com/problems/",Github!C$1771), Github!B$1771)</f>
        <v>Maximum Score from Performing Multiplication Operations</v>
      </c>
      <c r="C1772" s="17">
        <f>Github!F$1771</f>
        <v>683</v>
      </c>
      <c r="D1772" s="17">
        <f>Github!G$1771</f>
        <v>160</v>
      </c>
      <c r="E1772" s="17">
        <f>Github!F$1771+Github!G$1771</f>
        <v>843</v>
      </c>
      <c r="F1772" s="18">
        <f t="shared" si="1"/>
        <v>4.27</v>
      </c>
      <c r="G1772" s="17" t="str">
        <f>Github!H$1771</f>
        <v>Algorithms</v>
      </c>
      <c r="H1772" s="17" t="b">
        <f>Github!D$1771</f>
        <v>0</v>
      </c>
      <c r="I1772" s="17" t="str">
        <f>Github!E$1771</f>
        <v>Medium</v>
      </c>
      <c r="J1772" s="17" t="str">
        <f>ROUND(Github!N$1771, 2)&amp;"%"</f>
        <v>0%</v>
      </c>
      <c r="K1772" s="17">
        <f>Github!O$1771</f>
        <v>35.45030544</v>
      </c>
      <c r="L1772" s="17">
        <f>Github!P$1771</f>
        <v>27969</v>
      </c>
    </row>
    <row r="1773">
      <c r="A1773" s="17">
        <f>Github!J$1772</f>
        <v>1771</v>
      </c>
      <c r="B1773" s="34" t="str">
        <f>HYPERLINK(CONCAT("http://leetcode.com/problems/",Github!C$1772), Github!B$1772)</f>
        <v>Maximize Palindrome Length From Subsequences</v>
      </c>
      <c r="C1773" s="17">
        <f>Github!F$1772</f>
        <v>336</v>
      </c>
      <c r="D1773" s="17">
        <f>Github!G$1772</f>
        <v>6</v>
      </c>
      <c r="E1773" s="17">
        <f>Github!F$1772+Github!G$1772</f>
        <v>342</v>
      </c>
      <c r="F1773" s="18">
        <f t="shared" si="1"/>
        <v>56</v>
      </c>
      <c r="G1773" s="17" t="str">
        <f>Github!H$1772</f>
        <v>Algorithms</v>
      </c>
      <c r="H1773" s="17" t="b">
        <f>Github!D$1772</f>
        <v>0</v>
      </c>
      <c r="I1773" s="17" t="str">
        <f>Github!E$1772</f>
        <v>Hard</v>
      </c>
      <c r="J1773" s="17" t="str">
        <f>ROUND(Github!N$1772, 2)&amp;"%"</f>
        <v>0%</v>
      </c>
      <c r="K1773" s="17">
        <f>Github!O$1772</f>
        <v>34.66067328</v>
      </c>
      <c r="L1773" s="17">
        <f>Github!P$1772</f>
        <v>7094</v>
      </c>
    </row>
    <row r="1774">
      <c r="A1774" s="17">
        <f>Github!J$1773</f>
        <v>1772</v>
      </c>
      <c r="B1774" s="34" t="str">
        <f>HYPERLINK(CONCAT("http://leetcode.com/problems/",Github!C$1773), Github!B$1773)</f>
        <v>Sort Features by Popularity</v>
      </c>
      <c r="C1774" s="17">
        <f>Github!F$1773</f>
        <v>43</v>
      </c>
      <c r="D1774" s="17">
        <f>Github!G$1773</f>
        <v>35</v>
      </c>
      <c r="E1774" s="17">
        <f>Github!F$1773+Github!G$1773</f>
        <v>78</v>
      </c>
      <c r="F1774" s="18">
        <f t="shared" si="1"/>
        <v>1.23</v>
      </c>
      <c r="G1774" s="17" t="str">
        <f>Github!H$1773</f>
        <v>Algorithms</v>
      </c>
      <c r="H1774" s="17" t="b">
        <f>Github!D$1773</f>
        <v>1</v>
      </c>
      <c r="I1774" s="17" t="str">
        <f>Github!E$1773</f>
        <v>Medium</v>
      </c>
      <c r="J1774" s="17" t="str">
        <f>ROUND(Github!N$1773, 2)&amp;"%"</f>
        <v>0%</v>
      </c>
      <c r="K1774" s="17">
        <f>Github!O$1773</f>
        <v>65.29907975</v>
      </c>
      <c r="L1774" s="17">
        <f>Github!P$1773</f>
        <v>3406</v>
      </c>
    </row>
    <row r="1775">
      <c r="A1775" s="17">
        <f>Github!J$1774</f>
        <v>1773</v>
      </c>
      <c r="B1775" s="34" t="str">
        <f>HYPERLINK(CONCAT("http://leetcode.com/problems/",Github!C$1774), Github!B$1774)</f>
        <v>Count Items Matching a Rule</v>
      </c>
      <c r="C1775" s="17">
        <f>Github!F$1774</f>
        <v>770</v>
      </c>
      <c r="D1775" s="17">
        <f>Github!G$1774</f>
        <v>101</v>
      </c>
      <c r="E1775" s="17">
        <f>Github!F$1774+Github!G$1774</f>
        <v>871</v>
      </c>
      <c r="F1775" s="18">
        <f t="shared" si="1"/>
        <v>7.62</v>
      </c>
      <c r="G1775" s="17" t="str">
        <f>Github!H$1774</f>
        <v>Algorithms</v>
      </c>
      <c r="H1775" s="17" t="b">
        <f>Github!D$1774</f>
        <v>0</v>
      </c>
      <c r="I1775" s="17" t="str">
        <f>Github!E$1774</f>
        <v>Easy</v>
      </c>
      <c r="J1775" s="17" t="str">
        <f>ROUND(Github!N$1774, 2)&amp;"%"</f>
        <v>0%</v>
      </c>
      <c r="K1775" s="17">
        <f>Github!O$1774</f>
        <v>84.47580829</v>
      </c>
      <c r="L1775" s="17">
        <f>Github!P$1774</f>
        <v>92832</v>
      </c>
    </row>
    <row r="1776">
      <c r="A1776" s="17">
        <f>Github!J$1775</f>
        <v>1774</v>
      </c>
      <c r="B1776" s="34" t="str">
        <f>HYPERLINK(CONCAT("http://leetcode.com/problems/",Github!C$1775), Github!B$1775)</f>
        <v>Closest Dessert Cost</v>
      </c>
      <c r="C1776" s="17">
        <f>Github!F$1775</f>
        <v>389</v>
      </c>
      <c r="D1776" s="17">
        <f>Github!G$1775</f>
        <v>40</v>
      </c>
      <c r="E1776" s="17">
        <f>Github!F$1775+Github!G$1775</f>
        <v>429</v>
      </c>
      <c r="F1776" s="18">
        <f t="shared" si="1"/>
        <v>9.73</v>
      </c>
      <c r="G1776" s="17" t="str">
        <f>Github!H$1775</f>
        <v>Algorithms</v>
      </c>
      <c r="H1776" s="17" t="b">
        <f>Github!D$1775</f>
        <v>0</v>
      </c>
      <c r="I1776" s="17" t="str">
        <f>Github!E$1775</f>
        <v>Medium</v>
      </c>
      <c r="J1776" s="17" t="str">
        <f>ROUND(Github!N$1775, 2)&amp;"%"</f>
        <v>0%</v>
      </c>
      <c r="K1776" s="17">
        <f>Github!O$1775</f>
        <v>45.98802777</v>
      </c>
      <c r="L1776" s="17">
        <f>Github!P$1775</f>
        <v>14443</v>
      </c>
    </row>
    <row r="1777">
      <c r="A1777" s="17">
        <f>Github!J$1776</f>
        <v>1775</v>
      </c>
      <c r="B1777" s="34" t="str">
        <f>HYPERLINK(CONCAT("http://leetcode.com/problems/",Github!C$1776), Github!B$1776)</f>
        <v>Equal Sum Arrays With Minimum Number of Operations</v>
      </c>
      <c r="C1777" s="17">
        <f>Github!F$1776</f>
        <v>470</v>
      </c>
      <c r="D1777" s="17">
        <f>Github!G$1776</f>
        <v>13</v>
      </c>
      <c r="E1777" s="17">
        <f>Github!F$1776+Github!G$1776</f>
        <v>483</v>
      </c>
      <c r="F1777" s="18">
        <f t="shared" si="1"/>
        <v>36.15</v>
      </c>
      <c r="G1777" s="17" t="str">
        <f>Github!H$1776</f>
        <v>Algorithms</v>
      </c>
      <c r="H1777" s="17" t="b">
        <f>Github!D$1776</f>
        <v>0</v>
      </c>
      <c r="I1777" s="17" t="str">
        <f>Github!E$1776</f>
        <v>Medium</v>
      </c>
      <c r="J1777" s="17" t="str">
        <f>ROUND(Github!N$1776, 2)&amp;"%"</f>
        <v>0%</v>
      </c>
      <c r="K1777" s="17">
        <f>Github!O$1776</f>
        <v>51.27594046</v>
      </c>
      <c r="L1777" s="17">
        <f>Github!P$1776</f>
        <v>13985</v>
      </c>
    </row>
    <row r="1778">
      <c r="A1778" s="17">
        <f>Github!J$1777</f>
        <v>1776</v>
      </c>
      <c r="B1778" s="34" t="str">
        <f>HYPERLINK(CONCAT("http://leetcode.com/problems/",Github!C$1777), Github!B$1777)</f>
        <v>Car Fleet II</v>
      </c>
      <c r="C1778" s="17">
        <f>Github!F$1777</f>
        <v>552</v>
      </c>
      <c r="D1778" s="17">
        <f>Github!G$1777</f>
        <v>15</v>
      </c>
      <c r="E1778" s="17">
        <f>Github!F$1777+Github!G$1777</f>
        <v>567</v>
      </c>
      <c r="F1778" s="18">
        <f t="shared" si="1"/>
        <v>36.8</v>
      </c>
      <c r="G1778" s="17" t="str">
        <f>Github!H$1777</f>
        <v>Algorithms</v>
      </c>
      <c r="H1778" s="17" t="b">
        <f>Github!D$1777</f>
        <v>0</v>
      </c>
      <c r="I1778" s="17" t="str">
        <f>Github!E$1777</f>
        <v>Hard</v>
      </c>
      <c r="J1778" s="17" t="str">
        <f>ROUND(Github!N$1777, 2)&amp;"%"</f>
        <v>0%</v>
      </c>
      <c r="K1778" s="17">
        <f>Github!O$1777</f>
        <v>52.62907305</v>
      </c>
      <c r="L1778" s="17">
        <f>Github!P$1777</f>
        <v>17686</v>
      </c>
    </row>
    <row r="1779">
      <c r="A1779" s="17">
        <f>Github!J$1778</f>
        <v>1777</v>
      </c>
      <c r="B1779" s="34" t="str">
        <f>HYPERLINK(CONCAT("http://leetcode.com/problems/",Github!C$1778), Github!B$1778)</f>
        <v>Product's Price for Each Store</v>
      </c>
      <c r="C1779" s="17">
        <f>Github!F$1778</f>
        <v>72</v>
      </c>
      <c r="D1779" s="17">
        <f>Github!G$1778</f>
        <v>6</v>
      </c>
      <c r="E1779" s="17">
        <f>Github!F$1778+Github!G$1778</f>
        <v>78</v>
      </c>
      <c r="F1779" s="18">
        <f t="shared" si="1"/>
        <v>12</v>
      </c>
      <c r="G1779" s="17" t="str">
        <f>Github!H$1778</f>
        <v>Database</v>
      </c>
      <c r="H1779" s="17" t="b">
        <f>Github!D$1778</f>
        <v>1</v>
      </c>
      <c r="I1779" s="17" t="str">
        <f>Github!E$1778</f>
        <v>Easy</v>
      </c>
      <c r="J1779" s="17" t="str">
        <f>ROUND(Github!N$1778, 2)&amp;"%"</f>
        <v>0%</v>
      </c>
      <c r="K1779" s="17">
        <f>Github!O$1778</f>
        <v>85.92372951</v>
      </c>
      <c r="L1779" s="17">
        <f>Github!P$1778</f>
        <v>10432</v>
      </c>
    </row>
    <row r="1780">
      <c r="A1780" s="17">
        <f>Github!J$1779</f>
        <v>1778</v>
      </c>
      <c r="B1780" s="34" t="str">
        <f>HYPERLINK(CONCAT("http://leetcode.com/problems/",Github!C$1779), Github!B$1779)</f>
        <v>Shortest Path in a Hidden Grid</v>
      </c>
      <c r="C1780" s="17">
        <f>Github!F$1779</f>
        <v>109</v>
      </c>
      <c r="D1780" s="17">
        <f>Github!G$1779</f>
        <v>43</v>
      </c>
      <c r="E1780" s="17">
        <f>Github!F$1779+Github!G$1779</f>
        <v>152</v>
      </c>
      <c r="F1780" s="18">
        <f t="shared" si="1"/>
        <v>2.53</v>
      </c>
      <c r="G1780" s="17" t="str">
        <f>Github!H$1779</f>
        <v>Algorithms</v>
      </c>
      <c r="H1780" s="17" t="b">
        <f>Github!D$1779</f>
        <v>1</v>
      </c>
      <c r="I1780" s="17" t="str">
        <f>Github!E$1779</f>
        <v>Medium</v>
      </c>
      <c r="J1780" s="17" t="str">
        <f>ROUND(Github!N$1779, 2)&amp;"%"</f>
        <v>0%</v>
      </c>
      <c r="K1780" s="17">
        <f>Github!O$1779</f>
        <v>41.632289</v>
      </c>
      <c r="L1780" s="17">
        <f>Github!P$1779</f>
        <v>3734</v>
      </c>
    </row>
    <row r="1781">
      <c r="A1781" s="17">
        <f>Github!J$1780</f>
        <v>1779</v>
      </c>
      <c r="B1781" s="34" t="str">
        <f>HYPERLINK(CONCAT("http://leetcode.com/problems/",Github!C$1780), Github!B$1780)</f>
        <v>Find Nearest Point That Has the Same X or Y Coordinate</v>
      </c>
      <c r="C1781" s="17">
        <f>Github!F$1780</f>
        <v>311</v>
      </c>
      <c r="D1781" s="17">
        <f>Github!G$1780</f>
        <v>49</v>
      </c>
      <c r="E1781" s="17">
        <f>Github!F$1780+Github!G$1780</f>
        <v>360</v>
      </c>
      <c r="F1781" s="18">
        <f t="shared" si="1"/>
        <v>6.35</v>
      </c>
      <c r="G1781" s="17" t="str">
        <f>Github!H$1780</f>
        <v>Algorithms</v>
      </c>
      <c r="H1781" s="17" t="b">
        <f>Github!D$1780</f>
        <v>0</v>
      </c>
      <c r="I1781" s="17" t="str">
        <f>Github!E$1780</f>
        <v>Easy</v>
      </c>
      <c r="J1781" s="17" t="str">
        <f>ROUND(Github!N$1780, 2)&amp;"%"</f>
        <v>0%</v>
      </c>
      <c r="K1781" s="17">
        <f>Github!O$1780</f>
        <v>68.44065993</v>
      </c>
      <c r="L1781" s="17">
        <f>Github!P$1780</f>
        <v>34710</v>
      </c>
    </row>
    <row r="1782">
      <c r="A1782" s="17">
        <f>Github!J$1781</f>
        <v>1780</v>
      </c>
      <c r="B1782" s="34" t="str">
        <f>HYPERLINK(CONCAT("http://leetcode.com/problems/",Github!C$1781), Github!B$1781)</f>
        <v>Check if Number is a Sum of Powers of Three</v>
      </c>
      <c r="C1782" s="17">
        <f>Github!F$1781</f>
        <v>486</v>
      </c>
      <c r="D1782" s="17">
        <f>Github!G$1781</f>
        <v>17</v>
      </c>
      <c r="E1782" s="17">
        <f>Github!F$1781+Github!G$1781</f>
        <v>503</v>
      </c>
      <c r="F1782" s="18">
        <f t="shared" si="1"/>
        <v>28.59</v>
      </c>
      <c r="G1782" s="17" t="str">
        <f>Github!H$1781</f>
        <v>Algorithms</v>
      </c>
      <c r="H1782" s="17" t="b">
        <f>Github!D$1781</f>
        <v>0</v>
      </c>
      <c r="I1782" s="17" t="str">
        <f>Github!E$1781</f>
        <v>Medium</v>
      </c>
      <c r="J1782" s="17" t="str">
        <f>ROUND(Github!N$1781, 2)&amp;"%"</f>
        <v>0%</v>
      </c>
      <c r="K1782" s="17">
        <f>Github!O$1781</f>
        <v>64.76135857</v>
      </c>
      <c r="L1782" s="17">
        <f>Github!P$1781</f>
        <v>20326</v>
      </c>
    </row>
    <row r="1783">
      <c r="A1783" s="17">
        <f>Github!J$1782</f>
        <v>1781</v>
      </c>
      <c r="B1783" s="34" t="str">
        <f>HYPERLINK(CONCAT("http://leetcode.com/problems/",Github!C$1782), Github!B$1782)</f>
        <v>Sum of Beauty of All Substrings</v>
      </c>
      <c r="C1783" s="17">
        <f>Github!F$1782</f>
        <v>293</v>
      </c>
      <c r="D1783" s="17">
        <f>Github!G$1782</f>
        <v>79</v>
      </c>
      <c r="E1783" s="17">
        <f>Github!F$1782+Github!G$1782</f>
        <v>372</v>
      </c>
      <c r="F1783" s="18">
        <f t="shared" si="1"/>
        <v>3.71</v>
      </c>
      <c r="G1783" s="17" t="str">
        <f>Github!H$1782</f>
        <v>Algorithms</v>
      </c>
      <c r="H1783" s="17" t="b">
        <f>Github!D$1782</f>
        <v>0</v>
      </c>
      <c r="I1783" s="17" t="str">
        <f>Github!E$1782</f>
        <v>Medium</v>
      </c>
      <c r="J1783" s="17" t="str">
        <f>ROUND(Github!N$1782, 2)&amp;"%"</f>
        <v>0%</v>
      </c>
      <c r="K1783" s="17">
        <f>Github!O$1782</f>
        <v>59.82305117</v>
      </c>
      <c r="L1783" s="17">
        <f>Github!P$1782</f>
        <v>12509</v>
      </c>
    </row>
    <row r="1784">
      <c r="A1784" s="17">
        <f>Github!J$1783</f>
        <v>1782</v>
      </c>
      <c r="B1784" s="34" t="str">
        <f>HYPERLINK(CONCAT("http://leetcode.com/problems/",Github!C$1783), Github!B$1783)</f>
        <v>Count Pairs Of Nodes</v>
      </c>
      <c r="C1784" s="17">
        <f>Github!F$1783</f>
        <v>192</v>
      </c>
      <c r="D1784" s="17">
        <f>Github!G$1783</f>
        <v>122</v>
      </c>
      <c r="E1784" s="17">
        <f>Github!F$1783+Github!G$1783</f>
        <v>314</v>
      </c>
      <c r="F1784" s="18">
        <f t="shared" si="1"/>
        <v>1.57</v>
      </c>
      <c r="G1784" s="17" t="str">
        <f>Github!H$1783</f>
        <v>Algorithms</v>
      </c>
      <c r="H1784" s="17" t="b">
        <f>Github!D$1783</f>
        <v>0</v>
      </c>
      <c r="I1784" s="17" t="str">
        <f>Github!E$1783</f>
        <v>Hard</v>
      </c>
      <c r="J1784" s="17" t="str">
        <f>ROUND(Github!N$1783, 2)&amp;"%"</f>
        <v>0%</v>
      </c>
      <c r="K1784" s="17">
        <f>Github!O$1783</f>
        <v>37.09891276</v>
      </c>
      <c r="L1784" s="17">
        <f>Github!P$1783</f>
        <v>4197</v>
      </c>
    </row>
    <row r="1785">
      <c r="A1785" s="17">
        <f>Github!J$1784</f>
        <v>1783</v>
      </c>
      <c r="B1785" s="34" t="str">
        <f>HYPERLINK(CONCAT("http://leetcode.com/problems/",Github!C$1784), Github!B$1784)</f>
        <v>Grand Slam Titles</v>
      </c>
      <c r="C1785" s="17">
        <f>Github!F$1784</f>
        <v>93</v>
      </c>
      <c r="D1785" s="17">
        <f>Github!G$1784</f>
        <v>2</v>
      </c>
      <c r="E1785" s="17">
        <f>Github!F$1784+Github!G$1784</f>
        <v>95</v>
      </c>
      <c r="F1785" s="18">
        <f t="shared" si="1"/>
        <v>46.5</v>
      </c>
      <c r="G1785" s="17" t="str">
        <f>Github!H$1784</f>
        <v>Database</v>
      </c>
      <c r="H1785" s="17" t="b">
        <f>Github!D$1784</f>
        <v>1</v>
      </c>
      <c r="I1785" s="17" t="str">
        <f>Github!E$1784</f>
        <v>Medium</v>
      </c>
      <c r="J1785" s="17" t="str">
        <f>ROUND(Github!N$1784, 2)&amp;"%"</f>
        <v>0%</v>
      </c>
      <c r="K1785" s="17">
        <f>Github!O$1784</f>
        <v>89.36713651</v>
      </c>
      <c r="L1785" s="17">
        <f>Github!P$1784</f>
        <v>9447</v>
      </c>
    </row>
    <row r="1786">
      <c r="A1786" s="17">
        <f>Github!J$1785</f>
        <v>1784</v>
      </c>
      <c r="B1786" s="34" t="str">
        <f>HYPERLINK(CONCAT("http://leetcode.com/problems/",Github!C$1785), Github!B$1785)</f>
        <v>Check if Binary String Has at Most One Segment of Ones</v>
      </c>
      <c r="C1786" s="17">
        <f>Github!F$1785</f>
        <v>155</v>
      </c>
      <c r="D1786" s="17">
        <f>Github!G$1785</f>
        <v>488</v>
      </c>
      <c r="E1786" s="17">
        <f>Github!F$1785+Github!G$1785</f>
        <v>643</v>
      </c>
      <c r="F1786" s="18">
        <f t="shared" si="1"/>
        <v>0.32</v>
      </c>
      <c r="G1786" s="17" t="str">
        <f>Github!H$1785</f>
        <v>Algorithms</v>
      </c>
      <c r="H1786" s="17" t="b">
        <f>Github!D$1785</f>
        <v>0</v>
      </c>
      <c r="I1786" s="17" t="str">
        <f>Github!E$1785</f>
        <v>Easy</v>
      </c>
      <c r="J1786" s="17" t="str">
        <f>ROUND(Github!N$1785, 2)&amp;"%"</f>
        <v>0%</v>
      </c>
      <c r="K1786" s="17">
        <f>Github!O$1785</f>
        <v>40.95994811</v>
      </c>
      <c r="L1786" s="17">
        <f>Github!P$1785</f>
        <v>22734</v>
      </c>
    </row>
    <row r="1787">
      <c r="A1787" s="17">
        <f>Github!J$1786</f>
        <v>1785</v>
      </c>
      <c r="B1787" s="34" t="str">
        <f>HYPERLINK(CONCAT("http://leetcode.com/problems/",Github!C$1786), Github!B$1786)</f>
        <v>Minimum Elements to Add to Form a Given Sum</v>
      </c>
      <c r="C1787" s="17">
        <f>Github!F$1786</f>
        <v>144</v>
      </c>
      <c r="D1787" s="17">
        <f>Github!G$1786</f>
        <v>140</v>
      </c>
      <c r="E1787" s="17">
        <f>Github!F$1786+Github!G$1786</f>
        <v>284</v>
      </c>
      <c r="F1787" s="18">
        <f t="shared" si="1"/>
        <v>1.03</v>
      </c>
      <c r="G1787" s="17" t="str">
        <f>Github!H$1786</f>
        <v>Algorithms</v>
      </c>
      <c r="H1787" s="17" t="b">
        <f>Github!D$1786</f>
        <v>0</v>
      </c>
      <c r="I1787" s="17" t="str">
        <f>Github!E$1786</f>
        <v>Medium</v>
      </c>
      <c r="J1787" s="17" t="str">
        <f>ROUND(Github!N$1786, 2)&amp;"%"</f>
        <v>0%</v>
      </c>
      <c r="K1787" s="17">
        <f>Github!O$1786</f>
        <v>41.4191519</v>
      </c>
      <c r="L1787" s="17">
        <f>Github!P$1786</f>
        <v>13694</v>
      </c>
    </row>
    <row r="1788">
      <c r="A1788" s="17">
        <f>Github!J$1787</f>
        <v>1786</v>
      </c>
      <c r="B1788" s="34" t="str">
        <f>HYPERLINK(CONCAT("http://leetcode.com/problems/",Github!C$1787), Github!B$1787)</f>
        <v>Number of Restricted Paths From First to Last Node</v>
      </c>
      <c r="C1788" s="17">
        <f>Github!F$1787</f>
        <v>545</v>
      </c>
      <c r="D1788" s="17">
        <f>Github!G$1787</f>
        <v>97</v>
      </c>
      <c r="E1788" s="17">
        <f>Github!F$1787+Github!G$1787</f>
        <v>642</v>
      </c>
      <c r="F1788" s="18">
        <f t="shared" si="1"/>
        <v>5.62</v>
      </c>
      <c r="G1788" s="17" t="str">
        <f>Github!H$1787</f>
        <v>Algorithms</v>
      </c>
      <c r="H1788" s="17" t="b">
        <f>Github!D$1787</f>
        <v>0</v>
      </c>
      <c r="I1788" s="17" t="str">
        <f>Github!E$1787</f>
        <v>Medium</v>
      </c>
      <c r="J1788" s="17" t="str">
        <f>ROUND(Github!N$1787, 2)&amp;"%"</f>
        <v>0%</v>
      </c>
      <c r="K1788" s="17">
        <f>Github!O$1787</f>
        <v>38.0717416</v>
      </c>
      <c r="L1788" s="17">
        <f>Github!P$1787</f>
        <v>11728</v>
      </c>
    </row>
    <row r="1789">
      <c r="A1789" s="17">
        <f>Github!J$1788</f>
        <v>1787</v>
      </c>
      <c r="B1789" s="34" t="str">
        <f>HYPERLINK(CONCAT("http://leetcode.com/problems/",Github!C$1788), Github!B$1788)</f>
        <v>Make the XOR of All Segments Equal to Zero</v>
      </c>
      <c r="C1789" s="17">
        <f>Github!F$1788</f>
        <v>251</v>
      </c>
      <c r="D1789" s="17">
        <f>Github!G$1788</f>
        <v>12</v>
      </c>
      <c r="E1789" s="17">
        <f>Github!F$1788+Github!G$1788</f>
        <v>263</v>
      </c>
      <c r="F1789" s="18">
        <f t="shared" si="1"/>
        <v>20.92</v>
      </c>
      <c r="G1789" s="17" t="str">
        <f>Github!H$1788</f>
        <v>Algorithms</v>
      </c>
      <c r="H1789" s="17" t="b">
        <f>Github!D$1788</f>
        <v>0</v>
      </c>
      <c r="I1789" s="17" t="str">
        <f>Github!E$1788</f>
        <v>Hard</v>
      </c>
      <c r="J1789" s="17" t="str">
        <f>ROUND(Github!N$1788, 2)&amp;"%"</f>
        <v>0%</v>
      </c>
      <c r="K1789" s="17">
        <f>Github!O$1788</f>
        <v>39.20834751</v>
      </c>
      <c r="L1789" s="17">
        <f>Github!P$1788</f>
        <v>3457</v>
      </c>
    </row>
    <row r="1790">
      <c r="A1790" s="17">
        <f>Github!J$1789</f>
        <v>1788</v>
      </c>
      <c r="B1790" s="34" t="str">
        <f>HYPERLINK(CONCAT("http://leetcode.com/problems/",Github!C$1789), Github!B$1789)</f>
        <v>Maximize the Beauty of the Garden</v>
      </c>
      <c r="C1790" s="17">
        <f>Github!F$1789</f>
        <v>43</v>
      </c>
      <c r="D1790" s="17">
        <f>Github!G$1789</f>
        <v>4</v>
      </c>
      <c r="E1790" s="17">
        <f>Github!F$1789+Github!G$1789</f>
        <v>47</v>
      </c>
      <c r="F1790" s="18">
        <f t="shared" si="1"/>
        <v>10.75</v>
      </c>
      <c r="G1790" s="17" t="str">
        <f>Github!H$1789</f>
        <v>Algorithms</v>
      </c>
      <c r="H1790" s="17" t="b">
        <f>Github!D$1789</f>
        <v>1</v>
      </c>
      <c r="I1790" s="17" t="str">
        <f>Github!E$1789</f>
        <v>Hard</v>
      </c>
      <c r="J1790" s="17" t="str">
        <f>ROUND(Github!N$1789, 2)&amp;"%"</f>
        <v>0%</v>
      </c>
      <c r="K1790" s="17">
        <f>Github!O$1789</f>
        <v>67.14950854</v>
      </c>
      <c r="L1790" s="17">
        <f>Github!P$1789</f>
        <v>1298</v>
      </c>
    </row>
    <row r="1791">
      <c r="A1791" s="17">
        <f>Github!J$1790</f>
        <v>1789</v>
      </c>
      <c r="B1791" s="34" t="str">
        <f>HYPERLINK(CONCAT("http://leetcode.com/problems/",Github!C$1790), Github!B$1790)</f>
        <v>Primary Department for Each Employee</v>
      </c>
      <c r="C1791" s="17">
        <f>Github!F$1790</f>
        <v>55</v>
      </c>
      <c r="D1791" s="17">
        <f>Github!G$1790</f>
        <v>23</v>
      </c>
      <c r="E1791" s="17">
        <f>Github!F$1790+Github!G$1790</f>
        <v>78</v>
      </c>
      <c r="F1791" s="18">
        <f t="shared" si="1"/>
        <v>2.39</v>
      </c>
      <c r="G1791" s="17" t="str">
        <f>Github!H$1790</f>
        <v>Database</v>
      </c>
      <c r="H1791" s="17" t="b">
        <f>Github!D$1790</f>
        <v>1</v>
      </c>
      <c r="I1791" s="17" t="str">
        <f>Github!E$1790</f>
        <v>Easy</v>
      </c>
      <c r="J1791" s="17" t="str">
        <f>ROUND(Github!N$1790, 2)&amp;"%"</f>
        <v>0%</v>
      </c>
      <c r="K1791" s="17">
        <f>Github!O$1790</f>
        <v>78.58300753</v>
      </c>
      <c r="L1791" s="17">
        <f>Github!P$1790</f>
        <v>8241</v>
      </c>
    </row>
    <row r="1792">
      <c r="A1792" s="17">
        <f>Github!J$1791</f>
        <v>1790</v>
      </c>
      <c r="B1792" s="34" t="str">
        <f>HYPERLINK(CONCAT("http://leetcode.com/problems/",Github!C$1791), Github!B$1791)</f>
        <v>Check if One String Swap Can Make Strings Equal</v>
      </c>
      <c r="C1792" s="17">
        <f>Github!F$1791</f>
        <v>378</v>
      </c>
      <c r="D1792" s="17">
        <f>Github!G$1791</f>
        <v>15</v>
      </c>
      <c r="E1792" s="17">
        <f>Github!F$1791+Github!G$1791</f>
        <v>393</v>
      </c>
      <c r="F1792" s="18">
        <f t="shared" si="1"/>
        <v>25.2</v>
      </c>
      <c r="G1792" s="17" t="str">
        <f>Github!H$1791</f>
        <v>Algorithms</v>
      </c>
      <c r="H1792" s="17" t="b">
        <f>Github!D$1791</f>
        <v>0</v>
      </c>
      <c r="I1792" s="17" t="str">
        <f>Github!E$1791</f>
        <v>Easy</v>
      </c>
      <c r="J1792" s="17" t="str">
        <f>ROUND(Github!N$1791, 2)&amp;"%"</f>
        <v>0%</v>
      </c>
      <c r="K1792" s="17">
        <f>Github!O$1791</f>
        <v>45.96014922</v>
      </c>
      <c r="L1792" s="17">
        <f>Github!P$1791</f>
        <v>31042</v>
      </c>
    </row>
    <row r="1793">
      <c r="A1793" s="17">
        <f>Github!J$1792</f>
        <v>1791</v>
      </c>
      <c r="B1793" s="34" t="str">
        <f>HYPERLINK(CONCAT("http://leetcode.com/problems/",Github!C$1792), Github!B$1792)</f>
        <v>Find Center of Star Graph</v>
      </c>
      <c r="C1793" s="17">
        <f>Github!F$1792</f>
        <v>474</v>
      </c>
      <c r="D1793" s="17">
        <f>Github!G$1792</f>
        <v>65</v>
      </c>
      <c r="E1793" s="17">
        <f>Github!F$1792+Github!G$1792</f>
        <v>539</v>
      </c>
      <c r="F1793" s="18">
        <f t="shared" si="1"/>
        <v>7.29</v>
      </c>
      <c r="G1793" s="17" t="str">
        <f>Github!H$1792</f>
        <v>Algorithms</v>
      </c>
      <c r="H1793" s="17" t="b">
        <f>Github!D$1792</f>
        <v>0</v>
      </c>
      <c r="I1793" s="17" t="str">
        <f>Github!E$1792</f>
        <v>Easy</v>
      </c>
      <c r="J1793" s="17" t="str">
        <f>ROUND(Github!N$1792, 2)&amp;"%"</f>
        <v>0%</v>
      </c>
      <c r="K1793" s="17">
        <f>Github!O$1792</f>
        <v>83.73549964</v>
      </c>
      <c r="L1793" s="17">
        <f>Github!P$1792</f>
        <v>72976</v>
      </c>
    </row>
    <row r="1794">
      <c r="A1794" s="17">
        <f>Github!J$1793</f>
        <v>1792</v>
      </c>
      <c r="B1794" s="34" t="str">
        <f>HYPERLINK(CONCAT("http://leetcode.com/problems/",Github!C$1793), Github!B$1793)</f>
        <v>Maximum Average Pass Ratio</v>
      </c>
      <c r="C1794" s="17">
        <f>Github!F$1793</f>
        <v>461</v>
      </c>
      <c r="D1794" s="17">
        <f>Github!G$1793</f>
        <v>57</v>
      </c>
      <c r="E1794" s="17">
        <f>Github!F$1793+Github!G$1793</f>
        <v>518</v>
      </c>
      <c r="F1794" s="18">
        <f t="shared" si="1"/>
        <v>8.09</v>
      </c>
      <c r="G1794" s="17" t="str">
        <f>Github!H$1793</f>
        <v>Algorithms</v>
      </c>
      <c r="H1794" s="17" t="b">
        <f>Github!D$1793</f>
        <v>0</v>
      </c>
      <c r="I1794" s="17" t="str">
        <f>Github!E$1793</f>
        <v>Medium</v>
      </c>
      <c r="J1794" s="17" t="str">
        <f>ROUND(Github!N$1793, 2)&amp;"%"</f>
        <v>0%</v>
      </c>
      <c r="K1794" s="17">
        <f>Github!O$1793</f>
        <v>50.36389583</v>
      </c>
      <c r="L1794" s="17">
        <f>Github!P$1793</f>
        <v>14117</v>
      </c>
    </row>
    <row r="1795">
      <c r="A1795" s="17">
        <f>Github!J$1794</f>
        <v>1793</v>
      </c>
      <c r="B1795" s="34" t="str">
        <f>HYPERLINK(CONCAT("http://leetcode.com/problems/",Github!C$1794), Github!B$1794)</f>
        <v>Maximum Score of a Good Subarray</v>
      </c>
      <c r="C1795" s="17">
        <f>Github!F$1794</f>
        <v>550</v>
      </c>
      <c r="D1795" s="17">
        <f>Github!G$1794</f>
        <v>24</v>
      </c>
      <c r="E1795" s="17">
        <f>Github!F$1794+Github!G$1794</f>
        <v>574</v>
      </c>
      <c r="F1795" s="18">
        <f t="shared" si="1"/>
        <v>22.92</v>
      </c>
      <c r="G1795" s="17" t="str">
        <f>Github!H$1794</f>
        <v>Algorithms</v>
      </c>
      <c r="H1795" s="17" t="b">
        <f>Github!D$1794</f>
        <v>0</v>
      </c>
      <c r="I1795" s="17" t="str">
        <f>Github!E$1794</f>
        <v>Hard</v>
      </c>
      <c r="J1795" s="17" t="str">
        <f>ROUND(Github!N$1794, 2)&amp;"%"</f>
        <v>0%</v>
      </c>
      <c r="K1795" s="17">
        <f>Github!O$1794</f>
        <v>51.33497597</v>
      </c>
      <c r="L1795" s="17">
        <f>Github!P$1794</f>
        <v>12709</v>
      </c>
    </row>
    <row r="1796">
      <c r="A1796" s="17">
        <f>Github!J$1795</f>
        <v>1794</v>
      </c>
      <c r="B1796" s="34" t="str">
        <f>HYPERLINK(CONCAT("http://leetcode.com/problems/",Github!C$1795), Github!B$1795)</f>
        <v>Count Pairs of Equal Substrings With Minimum Difference</v>
      </c>
      <c r="C1796" s="17">
        <f>Github!F$1795</f>
        <v>28</v>
      </c>
      <c r="D1796" s="17">
        <f>Github!G$1795</f>
        <v>33</v>
      </c>
      <c r="E1796" s="17">
        <f>Github!F$1795+Github!G$1795</f>
        <v>61</v>
      </c>
      <c r="F1796" s="18">
        <f t="shared" si="1"/>
        <v>0.85</v>
      </c>
      <c r="G1796" s="17" t="str">
        <f>Github!H$1795</f>
        <v>Algorithms</v>
      </c>
      <c r="H1796" s="17" t="b">
        <f>Github!D$1795</f>
        <v>1</v>
      </c>
      <c r="I1796" s="17" t="str">
        <f>Github!E$1795</f>
        <v>Medium</v>
      </c>
      <c r="J1796" s="17" t="str">
        <f>ROUND(Github!N$1795, 2)&amp;"%"</f>
        <v>0%</v>
      </c>
      <c r="K1796" s="17">
        <f>Github!O$1795</f>
        <v>64.62952948</v>
      </c>
      <c r="L1796" s="17">
        <f>Github!P$1795</f>
        <v>1195</v>
      </c>
    </row>
    <row r="1797">
      <c r="A1797" s="17">
        <f>Github!J$1796</f>
        <v>1795</v>
      </c>
      <c r="B1797" s="34" t="str">
        <f>HYPERLINK(CONCAT("http://leetcode.com/problems/",Github!C$1796), Github!B$1796)</f>
        <v>Rearrange Products Table</v>
      </c>
      <c r="C1797" s="17">
        <f>Github!F$1796</f>
        <v>72</v>
      </c>
      <c r="D1797" s="17">
        <f>Github!G$1796</f>
        <v>5</v>
      </c>
      <c r="E1797" s="17">
        <f>Github!F$1796+Github!G$1796</f>
        <v>77</v>
      </c>
      <c r="F1797" s="18">
        <f t="shared" si="1"/>
        <v>14.4</v>
      </c>
      <c r="G1797" s="17" t="str">
        <f>Github!H$1796</f>
        <v>Database</v>
      </c>
      <c r="H1797" s="17" t="b">
        <f>Github!D$1796</f>
        <v>1</v>
      </c>
      <c r="I1797" s="17" t="str">
        <f>Github!E$1796</f>
        <v>Easy</v>
      </c>
      <c r="J1797" s="17" t="str">
        <f>ROUND(Github!N$1796, 2)&amp;"%"</f>
        <v>0%</v>
      </c>
      <c r="K1797" s="17">
        <f>Github!O$1796</f>
        <v>90.21958002</v>
      </c>
      <c r="L1797" s="17">
        <f>Github!P$1796</f>
        <v>9409</v>
      </c>
    </row>
    <row r="1798">
      <c r="A1798" s="17">
        <f>Github!J$1797</f>
        <v>1796</v>
      </c>
      <c r="B1798" s="34" t="str">
        <f>HYPERLINK(CONCAT("http://leetcode.com/problems/",Github!C$1797), Github!B$1797)</f>
        <v>Second Largest Digit in a String</v>
      </c>
      <c r="C1798" s="17">
        <f>Github!F$1797</f>
        <v>234</v>
      </c>
      <c r="D1798" s="17">
        <f>Github!G$1797</f>
        <v>69</v>
      </c>
      <c r="E1798" s="17">
        <f>Github!F$1797+Github!G$1797</f>
        <v>303</v>
      </c>
      <c r="F1798" s="18">
        <f t="shared" si="1"/>
        <v>3.39</v>
      </c>
      <c r="G1798" s="17" t="str">
        <f>Github!H$1797</f>
        <v>Algorithms</v>
      </c>
      <c r="H1798" s="17" t="b">
        <f>Github!D$1797</f>
        <v>0</v>
      </c>
      <c r="I1798" s="17" t="str">
        <f>Github!E$1797</f>
        <v>Easy</v>
      </c>
      <c r="J1798" s="17" t="str">
        <f>ROUND(Github!N$1797, 2)&amp;"%"</f>
        <v>0%</v>
      </c>
      <c r="K1798" s="17">
        <f>Github!O$1797</f>
        <v>49.0064302</v>
      </c>
      <c r="L1798" s="17">
        <f>Github!P$1797</f>
        <v>23625</v>
      </c>
    </row>
    <row r="1799">
      <c r="A1799" s="17">
        <f>Github!J$1798</f>
        <v>1797</v>
      </c>
      <c r="B1799" s="34" t="str">
        <f>HYPERLINK(CONCAT("http://leetcode.com/problems/",Github!C$1798), Github!B$1798)</f>
        <v>Design Authentication Manager</v>
      </c>
      <c r="C1799" s="17">
        <f>Github!F$1798</f>
        <v>137</v>
      </c>
      <c r="D1799" s="17">
        <f>Github!G$1798</f>
        <v>25</v>
      </c>
      <c r="E1799" s="17">
        <f>Github!F$1798+Github!G$1798</f>
        <v>162</v>
      </c>
      <c r="F1799" s="18">
        <f t="shared" si="1"/>
        <v>5.48</v>
      </c>
      <c r="G1799" s="17" t="str">
        <f>Github!H$1798</f>
        <v>Algorithms</v>
      </c>
      <c r="H1799" s="17" t="b">
        <f>Github!D$1798</f>
        <v>0</v>
      </c>
      <c r="I1799" s="17" t="str">
        <f>Github!E$1798</f>
        <v>Medium</v>
      </c>
      <c r="J1799" s="17" t="str">
        <f>ROUND(Github!N$1798, 2)&amp;"%"</f>
        <v>0%</v>
      </c>
      <c r="K1799" s="17">
        <f>Github!O$1798</f>
        <v>52.62473866</v>
      </c>
      <c r="L1799" s="17">
        <f>Github!P$1798</f>
        <v>9313</v>
      </c>
    </row>
    <row r="1800">
      <c r="A1800" s="17">
        <f>Github!J$1799</f>
        <v>1798</v>
      </c>
      <c r="B1800" s="34" t="str">
        <f>HYPERLINK(CONCAT("http://leetcode.com/problems/",Github!C$1799), Github!B$1799)</f>
        <v>Maximum Number of Consecutive Values You Can Make</v>
      </c>
      <c r="C1800" s="17">
        <f>Github!F$1799</f>
        <v>444</v>
      </c>
      <c r="D1800" s="17">
        <f>Github!G$1799</f>
        <v>33</v>
      </c>
      <c r="E1800" s="17">
        <f>Github!F$1799+Github!G$1799</f>
        <v>477</v>
      </c>
      <c r="F1800" s="18">
        <f t="shared" si="1"/>
        <v>13.45</v>
      </c>
      <c r="G1800" s="17" t="str">
        <f>Github!H$1799</f>
        <v>Algorithms</v>
      </c>
      <c r="H1800" s="17" t="b">
        <f>Github!D$1799</f>
        <v>0</v>
      </c>
      <c r="I1800" s="17" t="str">
        <f>Github!E$1799</f>
        <v>Medium</v>
      </c>
      <c r="J1800" s="17" t="str">
        <f>ROUND(Github!N$1799, 2)&amp;"%"</f>
        <v>0%</v>
      </c>
      <c r="K1800" s="17">
        <f>Github!O$1799</f>
        <v>51.0031679</v>
      </c>
      <c r="L1800" s="17">
        <f>Github!P$1799</f>
        <v>9177</v>
      </c>
    </row>
    <row r="1801">
      <c r="A1801" s="17">
        <f>Github!J$1800</f>
        <v>1799</v>
      </c>
      <c r="B1801" s="34" t="str">
        <f>HYPERLINK(CONCAT("http://leetcode.com/problems/",Github!C$1800), Github!B$1800)</f>
        <v>Maximize Score After N Operations</v>
      </c>
      <c r="C1801" s="17">
        <f>Github!F$1800</f>
        <v>348</v>
      </c>
      <c r="D1801" s="17">
        <f>Github!G$1800</f>
        <v>33</v>
      </c>
      <c r="E1801" s="17">
        <f>Github!F$1800+Github!G$1800</f>
        <v>381</v>
      </c>
      <c r="F1801" s="18">
        <f t="shared" si="1"/>
        <v>10.55</v>
      </c>
      <c r="G1801" s="17" t="str">
        <f>Github!H$1800</f>
        <v>Algorithms</v>
      </c>
      <c r="H1801" s="17" t="b">
        <f>Github!D$1800</f>
        <v>0</v>
      </c>
      <c r="I1801" s="17" t="str">
        <f>Github!E$1800</f>
        <v>Hard</v>
      </c>
      <c r="J1801" s="17" t="str">
        <f>ROUND(Github!N$1800, 2)&amp;"%"</f>
        <v>0%</v>
      </c>
      <c r="K1801" s="17">
        <f>Github!O$1800</f>
        <v>46.34065616</v>
      </c>
      <c r="L1801" s="17">
        <f>Github!P$1800</f>
        <v>11201</v>
      </c>
    </row>
    <row r="1802">
      <c r="A1802" s="17">
        <f>Github!J$1801</f>
        <v>1800</v>
      </c>
      <c r="B1802" s="34" t="str">
        <f>HYPERLINK(CONCAT("http://leetcode.com/problems/",Github!C$1801), Github!B$1801)</f>
        <v>Maximum Ascending Subarray Sum</v>
      </c>
      <c r="C1802" s="17">
        <f>Github!F$1801</f>
        <v>352</v>
      </c>
      <c r="D1802" s="17">
        <f>Github!G$1801</f>
        <v>12</v>
      </c>
      <c r="E1802" s="17">
        <f>Github!F$1801+Github!G$1801</f>
        <v>364</v>
      </c>
      <c r="F1802" s="18">
        <f t="shared" si="1"/>
        <v>29.33</v>
      </c>
      <c r="G1802" s="17" t="str">
        <f>Github!H$1801</f>
        <v>Algorithms</v>
      </c>
      <c r="H1802" s="17" t="b">
        <f>Github!D$1801</f>
        <v>0</v>
      </c>
      <c r="I1802" s="17" t="str">
        <f>Github!E$1801</f>
        <v>Easy</v>
      </c>
      <c r="J1802" s="17" t="str">
        <f>ROUND(Github!N$1801, 2)&amp;"%"</f>
        <v>0%</v>
      </c>
      <c r="K1802" s="17">
        <f>Github!O$1801</f>
        <v>64.51241686</v>
      </c>
      <c r="L1802" s="17">
        <f>Github!P$1801</f>
        <v>28030</v>
      </c>
    </row>
    <row r="1803">
      <c r="A1803" s="17">
        <f>Github!J$1802</f>
        <v>1801</v>
      </c>
      <c r="B1803" s="34" t="str">
        <f>HYPERLINK(CONCAT("http://leetcode.com/problems/",Github!C$1802), Github!B$1802)</f>
        <v>Number of Orders in the Backlog</v>
      </c>
      <c r="C1803" s="17">
        <f>Github!F$1802</f>
        <v>162</v>
      </c>
      <c r="D1803" s="17">
        <f>Github!G$1802</f>
        <v>174</v>
      </c>
      <c r="E1803" s="17">
        <f>Github!F$1802+Github!G$1802</f>
        <v>336</v>
      </c>
      <c r="F1803" s="18">
        <f t="shared" si="1"/>
        <v>0.93</v>
      </c>
      <c r="G1803" s="17" t="str">
        <f>Github!H$1802</f>
        <v>Algorithms</v>
      </c>
      <c r="H1803" s="17" t="b">
        <f>Github!D$1802</f>
        <v>0</v>
      </c>
      <c r="I1803" s="17" t="str">
        <f>Github!E$1802</f>
        <v>Medium</v>
      </c>
      <c r="J1803" s="17" t="str">
        <f>ROUND(Github!N$1802, 2)&amp;"%"</f>
        <v>0%</v>
      </c>
      <c r="K1803" s="17">
        <f>Github!O$1802</f>
        <v>45.71954211</v>
      </c>
      <c r="L1803" s="17">
        <f>Github!P$1802</f>
        <v>11182</v>
      </c>
    </row>
    <row r="1804">
      <c r="A1804" s="17">
        <f>Github!J$1803</f>
        <v>1802</v>
      </c>
      <c r="B1804" s="34" t="str">
        <f>HYPERLINK(CONCAT("http://leetcode.com/problems/",Github!C$1803), Github!B$1803)</f>
        <v>Maximum Value at a Given Index in a Bounded Array</v>
      </c>
      <c r="C1804" s="17">
        <f>Github!F$1803</f>
        <v>472</v>
      </c>
      <c r="D1804" s="17">
        <f>Github!G$1803</f>
        <v>66</v>
      </c>
      <c r="E1804" s="17">
        <f>Github!F$1803+Github!G$1803</f>
        <v>538</v>
      </c>
      <c r="F1804" s="18">
        <f t="shared" si="1"/>
        <v>7.15</v>
      </c>
      <c r="G1804" s="17" t="str">
        <f>Github!H$1803</f>
        <v>Algorithms</v>
      </c>
      <c r="H1804" s="17" t="b">
        <f>Github!D$1803</f>
        <v>0</v>
      </c>
      <c r="I1804" s="17" t="str">
        <f>Github!E$1803</f>
        <v>Medium</v>
      </c>
      <c r="J1804" s="17" t="str">
        <f>ROUND(Github!N$1803, 2)&amp;"%"</f>
        <v>0%</v>
      </c>
      <c r="K1804" s="17">
        <f>Github!O$1803</f>
        <v>29.65882536</v>
      </c>
      <c r="L1804" s="17">
        <f>Github!P$1803</f>
        <v>9519</v>
      </c>
    </row>
    <row r="1805">
      <c r="A1805" s="17">
        <f>Github!J$1804</f>
        <v>1803</v>
      </c>
      <c r="B1805" s="34" t="str">
        <f>HYPERLINK(CONCAT("http://leetcode.com/problems/",Github!C$1804), Github!B$1804)</f>
        <v>Count Pairs With XOR in a Range</v>
      </c>
      <c r="C1805" s="17">
        <f>Github!F$1804</f>
        <v>263</v>
      </c>
      <c r="D1805" s="17">
        <f>Github!G$1804</f>
        <v>10</v>
      </c>
      <c r="E1805" s="17">
        <f>Github!F$1804+Github!G$1804</f>
        <v>273</v>
      </c>
      <c r="F1805" s="18">
        <f t="shared" si="1"/>
        <v>26.3</v>
      </c>
      <c r="G1805" s="17" t="str">
        <f>Github!H$1804</f>
        <v>Algorithms</v>
      </c>
      <c r="H1805" s="17" t="b">
        <f>Github!D$1804</f>
        <v>0</v>
      </c>
      <c r="I1805" s="17" t="str">
        <f>Github!E$1804</f>
        <v>Hard</v>
      </c>
      <c r="J1805" s="17" t="str">
        <f>ROUND(Github!N$1804, 2)&amp;"%"</f>
        <v>0%</v>
      </c>
      <c r="K1805" s="17">
        <f>Github!O$1804</f>
        <v>46.37877211</v>
      </c>
      <c r="L1805" s="17">
        <f>Github!P$1804</f>
        <v>4457</v>
      </c>
    </row>
    <row r="1806">
      <c r="A1806" s="17">
        <f>Github!J$1805</f>
        <v>1804</v>
      </c>
      <c r="B1806" s="34" t="str">
        <f>HYPERLINK(CONCAT("http://leetcode.com/problems/",Github!C$1805), Github!B$1805)</f>
        <v>Implement Trie II (Prefix Tree)</v>
      </c>
      <c r="C1806" s="17">
        <f>Github!F$1805</f>
        <v>142</v>
      </c>
      <c r="D1806" s="17">
        <f>Github!G$1805</f>
        <v>7</v>
      </c>
      <c r="E1806" s="17">
        <f>Github!F$1805+Github!G$1805</f>
        <v>149</v>
      </c>
      <c r="F1806" s="18">
        <f t="shared" si="1"/>
        <v>20.29</v>
      </c>
      <c r="G1806" s="17" t="str">
        <f>Github!H$1805</f>
        <v>Algorithms</v>
      </c>
      <c r="H1806" s="17" t="b">
        <f>Github!D$1805</f>
        <v>1</v>
      </c>
      <c r="I1806" s="17" t="str">
        <f>Github!E$1805</f>
        <v>Medium</v>
      </c>
      <c r="J1806" s="17" t="str">
        <f>ROUND(Github!N$1805, 2)&amp;"%"</f>
        <v>0%</v>
      </c>
      <c r="K1806" s="17">
        <f>Github!O$1805</f>
        <v>58.790119</v>
      </c>
      <c r="L1806" s="17">
        <f>Github!P$1805</f>
        <v>6520</v>
      </c>
    </row>
    <row r="1807">
      <c r="A1807" s="17">
        <f>Github!J$1806</f>
        <v>1805</v>
      </c>
      <c r="B1807" s="34" t="str">
        <f>HYPERLINK(CONCAT("http://leetcode.com/problems/",Github!C$1806), Github!B$1806)</f>
        <v>Number of Different Integers in a String</v>
      </c>
      <c r="C1807" s="17">
        <f>Github!F$1806</f>
        <v>300</v>
      </c>
      <c r="D1807" s="17">
        <f>Github!G$1806</f>
        <v>54</v>
      </c>
      <c r="E1807" s="17">
        <f>Github!F$1806+Github!G$1806</f>
        <v>354</v>
      </c>
      <c r="F1807" s="18">
        <f t="shared" si="1"/>
        <v>5.56</v>
      </c>
      <c r="G1807" s="17" t="str">
        <f>Github!H$1806</f>
        <v>Algorithms</v>
      </c>
      <c r="H1807" s="17" t="b">
        <f>Github!D$1806</f>
        <v>0</v>
      </c>
      <c r="I1807" s="17" t="str">
        <f>Github!E$1806</f>
        <v>Easy</v>
      </c>
      <c r="J1807" s="17" t="str">
        <f>ROUND(Github!N$1806, 2)&amp;"%"</f>
        <v>0%</v>
      </c>
      <c r="K1807" s="17">
        <f>Github!O$1806</f>
        <v>35.47917188</v>
      </c>
      <c r="L1807" s="17">
        <f>Github!P$1806</f>
        <v>24112</v>
      </c>
    </row>
    <row r="1808">
      <c r="A1808" s="17">
        <f>Github!J$1807</f>
        <v>1806</v>
      </c>
      <c r="B1808" s="34" t="str">
        <f>HYPERLINK(CONCAT("http://leetcode.com/problems/",Github!C$1807), Github!B$1807)</f>
        <v>Minimum Number of Operations to Reinitialize a Permutation</v>
      </c>
      <c r="C1808" s="17">
        <f>Github!F$1807</f>
        <v>194</v>
      </c>
      <c r="D1808" s="17">
        <f>Github!G$1807</f>
        <v>107</v>
      </c>
      <c r="E1808" s="17">
        <f>Github!F$1807+Github!G$1807</f>
        <v>301</v>
      </c>
      <c r="F1808" s="18">
        <f t="shared" si="1"/>
        <v>1.81</v>
      </c>
      <c r="G1808" s="17" t="str">
        <f>Github!H$1807</f>
        <v>Algorithms</v>
      </c>
      <c r="H1808" s="17" t="b">
        <f>Github!D$1807</f>
        <v>0</v>
      </c>
      <c r="I1808" s="17" t="str">
        <f>Github!E$1807</f>
        <v>Medium</v>
      </c>
      <c r="J1808" s="17" t="str">
        <f>ROUND(Github!N$1807, 2)&amp;"%"</f>
        <v>0%</v>
      </c>
      <c r="K1808" s="17">
        <f>Github!O$1807</f>
        <v>70.87100578</v>
      </c>
      <c r="L1808" s="17">
        <f>Github!P$1807</f>
        <v>12620</v>
      </c>
    </row>
    <row r="1809">
      <c r="A1809" s="17">
        <f>Github!J$1808</f>
        <v>1807</v>
      </c>
      <c r="B1809" s="34" t="str">
        <f>HYPERLINK(CONCAT("http://leetcode.com/problems/",Github!C$1808), Github!B$1808)</f>
        <v>Evaluate the Bracket Pairs of a String</v>
      </c>
      <c r="C1809" s="17">
        <f>Github!F$1808</f>
        <v>277</v>
      </c>
      <c r="D1809" s="17">
        <f>Github!G$1808</f>
        <v>26</v>
      </c>
      <c r="E1809" s="17">
        <f>Github!F$1808+Github!G$1808</f>
        <v>303</v>
      </c>
      <c r="F1809" s="18">
        <f t="shared" si="1"/>
        <v>10.65</v>
      </c>
      <c r="G1809" s="17" t="str">
        <f>Github!H$1808</f>
        <v>Algorithms</v>
      </c>
      <c r="H1809" s="17" t="b">
        <f>Github!D$1808</f>
        <v>0</v>
      </c>
      <c r="I1809" s="17" t="str">
        <f>Github!E$1808</f>
        <v>Medium</v>
      </c>
      <c r="J1809" s="17" t="str">
        <f>ROUND(Github!N$1808, 2)&amp;"%"</f>
        <v>0%</v>
      </c>
      <c r="K1809" s="17">
        <f>Github!O$1808</f>
        <v>66.74179722</v>
      </c>
      <c r="L1809" s="17">
        <f>Github!P$1808</f>
        <v>18063</v>
      </c>
    </row>
    <row r="1810">
      <c r="A1810" s="17">
        <f>Github!J$1809</f>
        <v>1808</v>
      </c>
      <c r="B1810" s="34" t="str">
        <f>HYPERLINK(CONCAT("http://leetcode.com/problems/",Github!C$1809), Github!B$1809)</f>
        <v>Maximize Number of Nice Divisors</v>
      </c>
      <c r="C1810" s="17">
        <f>Github!F$1809</f>
        <v>136</v>
      </c>
      <c r="D1810" s="17">
        <f>Github!G$1809</f>
        <v>133</v>
      </c>
      <c r="E1810" s="17">
        <f>Github!F$1809+Github!G$1809</f>
        <v>269</v>
      </c>
      <c r="F1810" s="18">
        <f t="shared" si="1"/>
        <v>1.02</v>
      </c>
      <c r="G1810" s="17" t="str">
        <f>Github!H$1809</f>
        <v>Algorithms</v>
      </c>
      <c r="H1810" s="17" t="b">
        <f>Github!D$1809</f>
        <v>0</v>
      </c>
      <c r="I1810" s="17" t="str">
        <f>Github!E$1809</f>
        <v>Hard</v>
      </c>
      <c r="J1810" s="17" t="str">
        <f>ROUND(Github!N$1809, 2)&amp;"%"</f>
        <v>0%</v>
      </c>
      <c r="K1810" s="17">
        <f>Github!O$1809</f>
        <v>30.06876293</v>
      </c>
      <c r="L1810" s="17">
        <f>Github!P$1809</f>
        <v>4504</v>
      </c>
    </row>
    <row r="1811">
      <c r="A1811" s="17">
        <f>Github!J$1810</f>
        <v>1809</v>
      </c>
      <c r="B1811" s="34" t="str">
        <f>HYPERLINK(CONCAT("http://leetcode.com/problems/",Github!C$1810), Github!B$1810)</f>
        <v>Ad-Free Sessions</v>
      </c>
      <c r="C1811" s="17">
        <f>Github!F$1810</f>
        <v>47</v>
      </c>
      <c r="D1811" s="17">
        <f>Github!G$1810</f>
        <v>23</v>
      </c>
      <c r="E1811" s="17">
        <f>Github!F$1810+Github!G$1810</f>
        <v>70</v>
      </c>
      <c r="F1811" s="18">
        <f t="shared" si="1"/>
        <v>2.04</v>
      </c>
      <c r="G1811" s="17" t="str">
        <f>Github!H$1810</f>
        <v>Database</v>
      </c>
      <c r="H1811" s="17" t="b">
        <f>Github!D$1810</f>
        <v>1</v>
      </c>
      <c r="I1811" s="17" t="str">
        <f>Github!E$1810</f>
        <v>Easy</v>
      </c>
      <c r="J1811" s="17" t="str">
        <f>ROUND(Github!N$1810, 2)&amp;"%"</f>
        <v>0%</v>
      </c>
      <c r="K1811" s="17">
        <f>Github!O$1810</f>
        <v>59.9656229</v>
      </c>
      <c r="L1811" s="17">
        <f>Github!P$1810</f>
        <v>8023</v>
      </c>
    </row>
    <row r="1812">
      <c r="A1812" s="17">
        <f>Github!J$1811</f>
        <v>1810</v>
      </c>
      <c r="B1812" s="34" t="str">
        <f>HYPERLINK(CONCAT("http://leetcode.com/problems/",Github!C$1811), Github!B$1811)</f>
        <v>Minimum Path Cost in a Hidden Grid</v>
      </c>
      <c r="C1812" s="17">
        <f>Github!F$1811</f>
        <v>51</v>
      </c>
      <c r="D1812" s="17">
        <f>Github!G$1811</f>
        <v>16</v>
      </c>
      <c r="E1812" s="17">
        <f>Github!F$1811+Github!G$1811</f>
        <v>67</v>
      </c>
      <c r="F1812" s="18">
        <f t="shared" si="1"/>
        <v>3.19</v>
      </c>
      <c r="G1812" s="17" t="str">
        <f>Github!H$1811</f>
        <v>Algorithms</v>
      </c>
      <c r="H1812" s="17" t="b">
        <f>Github!D$1811</f>
        <v>1</v>
      </c>
      <c r="I1812" s="17" t="str">
        <f>Github!E$1811</f>
        <v>Medium</v>
      </c>
      <c r="J1812" s="17" t="str">
        <f>ROUND(Github!N$1811, 2)&amp;"%"</f>
        <v>0%</v>
      </c>
      <c r="K1812" s="17">
        <f>Github!O$1811</f>
        <v>53.64176305</v>
      </c>
      <c r="L1812" s="17">
        <f>Github!P$1811</f>
        <v>1716</v>
      </c>
    </row>
    <row r="1813">
      <c r="A1813" s="17">
        <f>Github!J$1812</f>
        <v>1811</v>
      </c>
      <c r="B1813" s="34" t="str">
        <f>HYPERLINK(CONCAT("http://leetcode.com/problems/",Github!C$1812), Github!B$1812)</f>
        <v>Find Interview Candidates</v>
      </c>
      <c r="C1813" s="17">
        <f>Github!F$1812</f>
        <v>103</v>
      </c>
      <c r="D1813" s="17">
        <f>Github!G$1812</f>
        <v>15</v>
      </c>
      <c r="E1813" s="17">
        <f>Github!F$1812+Github!G$1812</f>
        <v>118</v>
      </c>
      <c r="F1813" s="18">
        <f t="shared" si="1"/>
        <v>6.87</v>
      </c>
      <c r="G1813" s="17" t="str">
        <f>Github!H$1812</f>
        <v>Database</v>
      </c>
      <c r="H1813" s="17" t="b">
        <f>Github!D$1812</f>
        <v>1</v>
      </c>
      <c r="I1813" s="17" t="str">
        <f>Github!E$1812</f>
        <v>Medium</v>
      </c>
      <c r="J1813" s="17" t="str">
        <f>ROUND(Github!N$1812, 2)&amp;"%"</f>
        <v>0%</v>
      </c>
      <c r="K1813" s="17">
        <f>Github!O$1812</f>
        <v>65.37836373</v>
      </c>
      <c r="L1813" s="17">
        <f>Github!P$1812</f>
        <v>7240</v>
      </c>
    </row>
    <row r="1814">
      <c r="A1814" s="17">
        <f>Github!J$1813</f>
        <v>1812</v>
      </c>
      <c r="B1814" s="34" t="str">
        <f>HYPERLINK(CONCAT("http://leetcode.com/problems/",Github!C$1813), Github!B$1813)</f>
        <v>Determine Color of a Chessboard Square</v>
      </c>
      <c r="C1814" s="17">
        <f>Github!F$1813</f>
        <v>386</v>
      </c>
      <c r="D1814" s="17">
        <f>Github!G$1813</f>
        <v>13</v>
      </c>
      <c r="E1814" s="17">
        <f>Github!F$1813+Github!G$1813</f>
        <v>399</v>
      </c>
      <c r="F1814" s="18">
        <f t="shared" si="1"/>
        <v>29.69</v>
      </c>
      <c r="G1814" s="17" t="str">
        <f>Github!H$1813</f>
        <v>Algorithms</v>
      </c>
      <c r="H1814" s="17" t="b">
        <f>Github!D$1813</f>
        <v>0</v>
      </c>
      <c r="I1814" s="17" t="str">
        <f>Github!E$1813</f>
        <v>Easy</v>
      </c>
      <c r="J1814" s="17" t="str">
        <f>ROUND(Github!N$1813, 2)&amp;"%"</f>
        <v>0%</v>
      </c>
      <c r="K1814" s="17">
        <f>Github!O$1813</f>
        <v>77.62618748</v>
      </c>
      <c r="L1814" s="17">
        <f>Github!P$1813</f>
        <v>33909</v>
      </c>
    </row>
    <row r="1815">
      <c r="A1815" s="17">
        <f>Github!J$1814</f>
        <v>1813</v>
      </c>
      <c r="B1815" s="34" t="str">
        <f>HYPERLINK(CONCAT("http://leetcode.com/problems/",Github!C$1814), Github!B$1814)</f>
        <v>Sentence Similarity III</v>
      </c>
      <c r="C1815" s="17">
        <f>Github!F$1814</f>
        <v>207</v>
      </c>
      <c r="D1815" s="17">
        <f>Github!G$1814</f>
        <v>38</v>
      </c>
      <c r="E1815" s="17">
        <f>Github!F$1814+Github!G$1814</f>
        <v>245</v>
      </c>
      <c r="F1815" s="18">
        <f t="shared" si="1"/>
        <v>5.45</v>
      </c>
      <c r="G1815" s="17" t="str">
        <f>Github!H$1814</f>
        <v>Algorithms</v>
      </c>
      <c r="H1815" s="17" t="b">
        <f>Github!D$1814</f>
        <v>0</v>
      </c>
      <c r="I1815" s="17" t="str">
        <f>Github!E$1814</f>
        <v>Medium</v>
      </c>
      <c r="J1815" s="17" t="str">
        <f>ROUND(Github!N$1814, 2)&amp;"%"</f>
        <v>0%</v>
      </c>
      <c r="K1815" s="17">
        <f>Github!O$1814</f>
        <v>32.23519453</v>
      </c>
      <c r="L1815" s="17">
        <f>Github!P$1814</f>
        <v>9139</v>
      </c>
    </row>
    <row r="1816">
      <c r="A1816" s="17">
        <f>Github!J$1815</f>
        <v>1814</v>
      </c>
      <c r="B1816" s="34" t="str">
        <f>HYPERLINK(CONCAT("http://leetcode.com/problems/",Github!C$1815), Github!B$1815)</f>
        <v>Count Nice Pairs in an Array</v>
      </c>
      <c r="C1816" s="17">
        <f>Github!F$1815</f>
        <v>389</v>
      </c>
      <c r="D1816" s="17">
        <f>Github!G$1815</f>
        <v>19</v>
      </c>
      <c r="E1816" s="17">
        <f>Github!F$1815+Github!G$1815</f>
        <v>408</v>
      </c>
      <c r="F1816" s="18">
        <f t="shared" si="1"/>
        <v>20.47</v>
      </c>
      <c r="G1816" s="17" t="str">
        <f>Github!H$1815</f>
        <v>Algorithms</v>
      </c>
      <c r="H1816" s="17" t="b">
        <f>Github!D$1815</f>
        <v>0</v>
      </c>
      <c r="I1816" s="17" t="str">
        <f>Github!E$1815</f>
        <v>Medium</v>
      </c>
      <c r="J1816" s="17" t="str">
        <f>ROUND(Github!N$1815, 2)&amp;"%"</f>
        <v>0%</v>
      </c>
      <c r="K1816" s="17">
        <f>Github!O$1815</f>
        <v>40.08973344</v>
      </c>
      <c r="L1816" s="17">
        <f>Github!P$1815</f>
        <v>13671</v>
      </c>
    </row>
    <row r="1817">
      <c r="A1817" s="17">
        <f>Github!J$1816</f>
        <v>1815</v>
      </c>
      <c r="B1817" s="34" t="str">
        <f>HYPERLINK(CONCAT("http://leetcode.com/problems/",Github!C$1816), Github!B$1816)</f>
        <v>Maximum Number of Groups Getting Fresh Donuts</v>
      </c>
      <c r="C1817" s="17">
        <f>Github!F$1816</f>
        <v>212</v>
      </c>
      <c r="D1817" s="17">
        <f>Github!G$1816</f>
        <v>13</v>
      </c>
      <c r="E1817" s="17">
        <f>Github!F$1816+Github!G$1816</f>
        <v>225</v>
      </c>
      <c r="F1817" s="18">
        <f t="shared" si="1"/>
        <v>16.31</v>
      </c>
      <c r="G1817" s="17" t="str">
        <f>Github!H$1816</f>
        <v>Algorithms</v>
      </c>
      <c r="H1817" s="17" t="b">
        <f>Github!D$1816</f>
        <v>0</v>
      </c>
      <c r="I1817" s="17" t="str">
        <f>Github!E$1816</f>
        <v>Hard</v>
      </c>
      <c r="J1817" s="17" t="str">
        <f>ROUND(Github!N$1816, 2)&amp;"%"</f>
        <v>0%</v>
      </c>
      <c r="K1817" s="17">
        <f>Github!O$1816</f>
        <v>39.91133005</v>
      </c>
      <c r="L1817" s="17">
        <f>Github!P$1816</f>
        <v>4051</v>
      </c>
    </row>
    <row r="1818">
      <c r="A1818" s="17">
        <f>Github!J$1817</f>
        <v>1816</v>
      </c>
      <c r="B1818" s="34" t="str">
        <f>HYPERLINK(CONCAT("http://leetcode.com/problems/",Github!C$1817), Github!B$1817)</f>
        <v>Truncate Sentence</v>
      </c>
      <c r="C1818" s="17">
        <f>Github!F$1817</f>
        <v>442</v>
      </c>
      <c r="D1818" s="17">
        <f>Github!G$1817</f>
        <v>15</v>
      </c>
      <c r="E1818" s="17">
        <f>Github!F$1817+Github!G$1817</f>
        <v>457</v>
      </c>
      <c r="F1818" s="18">
        <f t="shared" si="1"/>
        <v>29.47</v>
      </c>
      <c r="G1818" s="17" t="str">
        <f>Github!H$1817</f>
        <v>Algorithms</v>
      </c>
      <c r="H1818" s="17" t="b">
        <f>Github!D$1817</f>
        <v>0</v>
      </c>
      <c r="I1818" s="17" t="str">
        <f>Github!E$1817</f>
        <v>Easy</v>
      </c>
      <c r="J1818" s="17" t="str">
        <f>ROUND(Github!N$1817, 2)&amp;"%"</f>
        <v>0%</v>
      </c>
      <c r="K1818" s="17">
        <f>Github!O$1817</f>
        <v>81.07248991</v>
      </c>
      <c r="L1818" s="17">
        <f>Github!P$1817</f>
        <v>54833</v>
      </c>
    </row>
    <row r="1819">
      <c r="A1819" s="17">
        <f>Github!J$1818</f>
        <v>1817</v>
      </c>
      <c r="B1819" s="34" t="str">
        <f>HYPERLINK(CONCAT("http://leetcode.com/problems/",Github!C$1818), Github!B$1818)</f>
        <v>Finding the Users Active Minutes</v>
      </c>
      <c r="C1819" s="17">
        <f>Github!F$1818</f>
        <v>378</v>
      </c>
      <c r="D1819" s="17">
        <f>Github!G$1818</f>
        <v>146</v>
      </c>
      <c r="E1819" s="17">
        <f>Github!F$1818+Github!G$1818</f>
        <v>524</v>
      </c>
      <c r="F1819" s="18">
        <f t="shared" si="1"/>
        <v>2.59</v>
      </c>
      <c r="G1819" s="17" t="str">
        <f>Github!H$1818</f>
        <v>Algorithms</v>
      </c>
      <c r="H1819" s="17" t="b">
        <f>Github!D$1818</f>
        <v>0</v>
      </c>
      <c r="I1819" s="17" t="str">
        <f>Github!E$1818</f>
        <v>Medium</v>
      </c>
      <c r="J1819" s="17" t="str">
        <f>ROUND(Github!N$1818, 2)&amp;"%"</f>
        <v>0%</v>
      </c>
      <c r="K1819" s="17">
        <f>Github!O$1818</f>
        <v>80.50180168</v>
      </c>
      <c r="L1819" s="17">
        <f>Github!P$1818</f>
        <v>30159</v>
      </c>
    </row>
    <row r="1820">
      <c r="A1820" s="17">
        <f>Github!J$1819</f>
        <v>1818</v>
      </c>
      <c r="B1820" s="34" t="str">
        <f>HYPERLINK(CONCAT("http://leetcode.com/problems/",Github!C$1819), Github!B$1819)</f>
        <v>Minimum Absolute Sum Difference</v>
      </c>
      <c r="C1820" s="17">
        <f>Github!F$1819</f>
        <v>459</v>
      </c>
      <c r="D1820" s="17">
        <f>Github!G$1819</f>
        <v>45</v>
      </c>
      <c r="E1820" s="17">
        <f>Github!F$1819+Github!G$1819</f>
        <v>504</v>
      </c>
      <c r="F1820" s="18">
        <f t="shared" si="1"/>
        <v>10.2</v>
      </c>
      <c r="G1820" s="17" t="str">
        <f>Github!H$1819</f>
        <v>Algorithms</v>
      </c>
      <c r="H1820" s="17" t="b">
        <f>Github!D$1819</f>
        <v>0</v>
      </c>
      <c r="I1820" s="17" t="str">
        <f>Github!E$1819</f>
        <v>Medium</v>
      </c>
      <c r="J1820" s="17" t="str">
        <f>ROUND(Github!N$1819, 2)&amp;"%"</f>
        <v>0%</v>
      </c>
      <c r="K1820" s="17">
        <f>Github!O$1819</f>
        <v>28.7335187</v>
      </c>
      <c r="L1820" s="17">
        <f>Github!P$1819</f>
        <v>12814</v>
      </c>
    </row>
    <row r="1821">
      <c r="A1821" s="17">
        <f>Github!J$1820</f>
        <v>1819</v>
      </c>
      <c r="B1821" s="34" t="str">
        <f>HYPERLINK(CONCAT("http://leetcode.com/problems/",Github!C$1820), Github!B$1820)</f>
        <v>Number of Different Subsequences GCDs</v>
      </c>
      <c r="C1821" s="17">
        <f>Github!F$1820</f>
        <v>243</v>
      </c>
      <c r="D1821" s="17">
        <f>Github!G$1820</f>
        <v>33</v>
      </c>
      <c r="E1821" s="17">
        <f>Github!F$1820+Github!G$1820</f>
        <v>276</v>
      </c>
      <c r="F1821" s="18">
        <f t="shared" si="1"/>
        <v>7.36</v>
      </c>
      <c r="G1821" s="17" t="str">
        <f>Github!H$1820</f>
        <v>Algorithms</v>
      </c>
      <c r="H1821" s="17" t="b">
        <f>Github!D$1820</f>
        <v>0</v>
      </c>
      <c r="I1821" s="17" t="str">
        <f>Github!E$1820</f>
        <v>Hard</v>
      </c>
      <c r="J1821" s="17" t="str">
        <f>ROUND(Github!N$1820, 2)&amp;"%"</f>
        <v>0%</v>
      </c>
      <c r="K1821" s="17">
        <f>Github!O$1820</f>
        <v>36.87445127</v>
      </c>
      <c r="L1821" s="17">
        <f>Github!P$1820</f>
        <v>5460</v>
      </c>
    </row>
    <row r="1822">
      <c r="A1822" s="17">
        <f>Github!J$1821</f>
        <v>1820</v>
      </c>
      <c r="B1822" s="34" t="str">
        <f>HYPERLINK(CONCAT("http://leetcode.com/problems/",Github!C$1821), Github!B$1821)</f>
        <v>Maximum Number of Accepted Invitations</v>
      </c>
      <c r="C1822" s="17">
        <f>Github!F$1821</f>
        <v>57</v>
      </c>
      <c r="D1822" s="17">
        <f>Github!G$1821</f>
        <v>13</v>
      </c>
      <c r="E1822" s="17">
        <f>Github!F$1821+Github!G$1821</f>
        <v>70</v>
      </c>
      <c r="F1822" s="18">
        <f t="shared" si="1"/>
        <v>4.38</v>
      </c>
      <c r="G1822" s="17" t="str">
        <f>Github!H$1821</f>
        <v>Algorithms</v>
      </c>
      <c r="H1822" s="17" t="b">
        <f>Github!D$1821</f>
        <v>1</v>
      </c>
      <c r="I1822" s="17" t="str">
        <f>Github!E$1821</f>
        <v>Medium</v>
      </c>
      <c r="J1822" s="17" t="str">
        <f>ROUND(Github!N$1821, 2)&amp;"%"</f>
        <v>0%</v>
      </c>
      <c r="K1822" s="17">
        <f>Github!O$1821</f>
        <v>46.60238751</v>
      </c>
      <c r="L1822" s="17">
        <f>Github!P$1821</f>
        <v>1015</v>
      </c>
    </row>
    <row r="1823">
      <c r="A1823" s="17">
        <f>Github!J$1822</f>
        <v>1821</v>
      </c>
      <c r="B1823" s="34" t="str">
        <f>HYPERLINK(CONCAT("http://leetcode.com/problems/",Github!C$1822), Github!B$1822)</f>
        <v>Find Customers With Positive Revenue this Year</v>
      </c>
      <c r="C1823" s="17">
        <f>Github!F$1822</f>
        <v>21</v>
      </c>
      <c r="D1823" s="17">
        <f>Github!G$1822</f>
        <v>14</v>
      </c>
      <c r="E1823" s="17">
        <f>Github!F$1822+Github!G$1822</f>
        <v>35</v>
      </c>
      <c r="F1823" s="18">
        <f t="shared" si="1"/>
        <v>1.5</v>
      </c>
      <c r="G1823" s="17" t="str">
        <f>Github!H$1822</f>
        <v>Database</v>
      </c>
      <c r="H1823" s="17" t="b">
        <f>Github!D$1822</f>
        <v>1</v>
      </c>
      <c r="I1823" s="17" t="str">
        <f>Github!E$1822</f>
        <v>Easy</v>
      </c>
      <c r="J1823" s="17" t="str">
        <f>ROUND(Github!N$1822, 2)&amp;"%"</f>
        <v>0%</v>
      </c>
      <c r="K1823" s="17">
        <f>Github!O$1822</f>
        <v>89.76074615</v>
      </c>
      <c r="L1823" s="17">
        <f>Github!P$1822</f>
        <v>8854</v>
      </c>
    </row>
    <row r="1824">
      <c r="A1824" s="17">
        <f>Github!J$1823</f>
        <v>1822</v>
      </c>
      <c r="B1824" s="34" t="str">
        <f>HYPERLINK(CONCAT("http://leetcode.com/problems/",Github!C$1823), Github!B$1823)</f>
        <v>Sign of the Product of an Array</v>
      </c>
      <c r="C1824" s="17">
        <f>Github!F$1823</f>
        <v>447</v>
      </c>
      <c r="D1824" s="17">
        <f>Github!G$1823</f>
        <v>65</v>
      </c>
      <c r="E1824" s="17">
        <f>Github!F$1823+Github!G$1823</f>
        <v>512</v>
      </c>
      <c r="F1824" s="18">
        <f t="shared" si="1"/>
        <v>6.88</v>
      </c>
      <c r="G1824" s="17" t="str">
        <f>Github!H$1823</f>
        <v>Algorithms</v>
      </c>
      <c r="H1824" s="17" t="b">
        <f>Github!D$1823</f>
        <v>0</v>
      </c>
      <c r="I1824" s="17" t="str">
        <f>Github!E$1823</f>
        <v>Easy</v>
      </c>
      <c r="J1824" s="17" t="str">
        <f>ROUND(Github!N$1823, 2)&amp;"%"</f>
        <v>0%</v>
      </c>
      <c r="K1824" s="17">
        <f>Github!O$1823</f>
        <v>67.30845146</v>
      </c>
      <c r="L1824" s="17">
        <f>Github!P$1823</f>
        <v>75016</v>
      </c>
    </row>
    <row r="1825">
      <c r="A1825" s="17">
        <f>Github!J$1824</f>
        <v>1823</v>
      </c>
      <c r="B1825" s="34" t="str">
        <f>HYPERLINK(CONCAT("http://leetcode.com/problems/",Github!C$1824), Github!B$1824)</f>
        <v>Find the Winner of the Circular Game</v>
      </c>
      <c r="C1825" s="17">
        <f>Github!F$1824</f>
        <v>1007</v>
      </c>
      <c r="D1825" s="17">
        <f>Github!G$1824</f>
        <v>29</v>
      </c>
      <c r="E1825" s="17">
        <f>Github!F$1824+Github!G$1824</f>
        <v>1036</v>
      </c>
      <c r="F1825" s="18">
        <f t="shared" si="1"/>
        <v>34.72</v>
      </c>
      <c r="G1825" s="17" t="str">
        <f>Github!H$1824</f>
        <v>Algorithms</v>
      </c>
      <c r="H1825" s="17" t="b">
        <f>Github!D$1824</f>
        <v>0</v>
      </c>
      <c r="I1825" s="17" t="str">
        <f>Github!E$1824</f>
        <v>Medium</v>
      </c>
      <c r="J1825" s="17" t="str">
        <f>ROUND(Github!N$1824, 2)&amp;"%"</f>
        <v>0%</v>
      </c>
      <c r="K1825" s="17">
        <f>Github!O$1824</f>
        <v>76.20776977</v>
      </c>
      <c r="L1825" s="17">
        <f>Github!P$1824</f>
        <v>38818</v>
      </c>
    </row>
    <row r="1826">
      <c r="A1826" s="17">
        <f>Github!J$1825</f>
        <v>1824</v>
      </c>
      <c r="B1826" s="34" t="str">
        <f>HYPERLINK(CONCAT("http://leetcode.com/problems/",Github!C$1825), Github!B$1825)</f>
        <v>Minimum Sideway Jumps</v>
      </c>
      <c r="C1826" s="17">
        <f>Github!F$1825</f>
        <v>536</v>
      </c>
      <c r="D1826" s="17">
        <f>Github!G$1825</f>
        <v>26</v>
      </c>
      <c r="E1826" s="17">
        <f>Github!F$1825+Github!G$1825</f>
        <v>562</v>
      </c>
      <c r="F1826" s="18">
        <f t="shared" si="1"/>
        <v>20.62</v>
      </c>
      <c r="G1826" s="17" t="str">
        <f>Github!H$1825</f>
        <v>Algorithms</v>
      </c>
      <c r="H1826" s="17" t="b">
        <f>Github!D$1825</f>
        <v>0</v>
      </c>
      <c r="I1826" s="17" t="str">
        <f>Github!E$1825</f>
        <v>Medium</v>
      </c>
      <c r="J1826" s="17" t="str">
        <f>ROUND(Github!N$1825, 2)&amp;"%"</f>
        <v>0%</v>
      </c>
      <c r="K1826" s="17">
        <f>Github!O$1825</f>
        <v>49.22087794</v>
      </c>
      <c r="L1826" s="17">
        <f>Github!P$1825</f>
        <v>15541</v>
      </c>
    </row>
    <row r="1827">
      <c r="A1827" s="17">
        <f>Github!J$1826</f>
        <v>1825</v>
      </c>
      <c r="B1827" s="34" t="str">
        <f>HYPERLINK(CONCAT("http://leetcode.com/problems/",Github!C$1826), Github!B$1826)</f>
        <v>Finding MK Average</v>
      </c>
      <c r="C1827" s="17">
        <f>Github!F$1826</f>
        <v>190</v>
      </c>
      <c r="D1827" s="17">
        <f>Github!G$1826</f>
        <v>79</v>
      </c>
      <c r="E1827" s="17">
        <f>Github!F$1826+Github!G$1826</f>
        <v>269</v>
      </c>
      <c r="F1827" s="18">
        <f t="shared" si="1"/>
        <v>2.41</v>
      </c>
      <c r="G1827" s="17" t="str">
        <f>Github!H$1826</f>
        <v>Algorithms</v>
      </c>
      <c r="H1827" s="17" t="b">
        <f>Github!D$1826</f>
        <v>0</v>
      </c>
      <c r="I1827" s="17" t="str">
        <f>Github!E$1826</f>
        <v>Hard</v>
      </c>
      <c r="J1827" s="17" t="str">
        <f>ROUND(Github!N$1826, 2)&amp;"%"</f>
        <v>0%</v>
      </c>
      <c r="K1827" s="17">
        <f>Github!O$1826</f>
        <v>32.89900629</v>
      </c>
      <c r="L1827" s="17">
        <f>Github!P$1826</f>
        <v>6489</v>
      </c>
    </row>
    <row r="1828">
      <c r="A1828" s="17">
        <f>Github!J$1827</f>
        <v>1826</v>
      </c>
      <c r="B1828" s="34" t="str">
        <f>HYPERLINK(CONCAT("http://leetcode.com/problems/",Github!C$1827), Github!B$1827)</f>
        <v>Faulty Sensor</v>
      </c>
      <c r="C1828" s="17">
        <f>Github!F$1827</f>
        <v>43</v>
      </c>
      <c r="D1828" s="17">
        <f>Github!G$1827</f>
        <v>35</v>
      </c>
      <c r="E1828" s="17">
        <f>Github!F$1827+Github!G$1827</f>
        <v>78</v>
      </c>
      <c r="F1828" s="18">
        <f t="shared" si="1"/>
        <v>1.23</v>
      </c>
      <c r="G1828" s="17" t="str">
        <f>Github!H$1827</f>
        <v>Algorithms</v>
      </c>
      <c r="H1828" s="17" t="b">
        <f>Github!D$1827</f>
        <v>1</v>
      </c>
      <c r="I1828" s="17" t="str">
        <f>Github!E$1827</f>
        <v>Easy</v>
      </c>
      <c r="J1828" s="17" t="str">
        <f>ROUND(Github!N$1827, 2)&amp;"%"</f>
        <v>0%</v>
      </c>
      <c r="K1828" s="17">
        <f>Github!O$1827</f>
        <v>49.87049213</v>
      </c>
      <c r="L1828" s="17">
        <f>Github!P$1827</f>
        <v>2503</v>
      </c>
    </row>
    <row r="1829">
      <c r="A1829" s="17">
        <f>Github!J$1828</f>
        <v>1827</v>
      </c>
      <c r="B1829" s="34" t="str">
        <f>HYPERLINK(CONCAT("http://leetcode.com/problems/",Github!C$1828), Github!B$1828)</f>
        <v>Minimum Operations to Make the Array Increasing</v>
      </c>
      <c r="C1829" s="17">
        <f>Github!F$1828</f>
        <v>516</v>
      </c>
      <c r="D1829" s="17">
        <f>Github!G$1828</f>
        <v>27</v>
      </c>
      <c r="E1829" s="17">
        <f>Github!F$1828+Github!G$1828</f>
        <v>543</v>
      </c>
      <c r="F1829" s="18">
        <f t="shared" si="1"/>
        <v>19.11</v>
      </c>
      <c r="G1829" s="17" t="str">
        <f>Github!H$1828</f>
        <v>Algorithms</v>
      </c>
      <c r="H1829" s="17" t="b">
        <f>Github!D$1828</f>
        <v>0</v>
      </c>
      <c r="I1829" s="17" t="str">
        <f>Github!E$1828</f>
        <v>Easy</v>
      </c>
      <c r="J1829" s="17" t="str">
        <f>ROUND(Github!N$1828, 2)&amp;"%"</f>
        <v>0%</v>
      </c>
      <c r="K1829" s="17">
        <f>Github!O$1828</f>
        <v>78.21526023</v>
      </c>
      <c r="L1829" s="17">
        <f>Github!P$1828</f>
        <v>38697</v>
      </c>
    </row>
    <row r="1830">
      <c r="A1830" s="17">
        <f>Github!J$1829</f>
        <v>1828</v>
      </c>
      <c r="B1830" s="34" t="str">
        <f>HYPERLINK(CONCAT("http://leetcode.com/problems/",Github!C$1829), Github!B$1829)</f>
        <v>Queries on Number of Points Inside a Circle</v>
      </c>
      <c r="C1830" s="17">
        <f>Github!F$1829</f>
        <v>487</v>
      </c>
      <c r="D1830" s="17">
        <f>Github!G$1829</f>
        <v>52</v>
      </c>
      <c r="E1830" s="17">
        <f>Github!F$1829+Github!G$1829</f>
        <v>539</v>
      </c>
      <c r="F1830" s="18">
        <f t="shared" si="1"/>
        <v>9.37</v>
      </c>
      <c r="G1830" s="17" t="str">
        <f>Github!H$1829</f>
        <v>Algorithms</v>
      </c>
      <c r="H1830" s="17" t="b">
        <f>Github!D$1829</f>
        <v>0</v>
      </c>
      <c r="I1830" s="17" t="str">
        <f>Github!E$1829</f>
        <v>Medium</v>
      </c>
      <c r="J1830" s="17" t="str">
        <f>ROUND(Github!N$1829, 2)&amp;"%"</f>
        <v>0%</v>
      </c>
      <c r="K1830" s="17">
        <f>Github!O$1829</f>
        <v>86.63717675</v>
      </c>
      <c r="L1830" s="17">
        <f>Github!P$1829</f>
        <v>35645</v>
      </c>
    </row>
    <row r="1831">
      <c r="A1831" s="17">
        <f>Github!J$1830</f>
        <v>1829</v>
      </c>
      <c r="B1831" s="34" t="str">
        <f>HYPERLINK(CONCAT("http://leetcode.com/problems/",Github!C$1830), Github!B$1830)</f>
        <v>Maximum XOR for Each Query</v>
      </c>
      <c r="C1831" s="17">
        <f>Github!F$1830</f>
        <v>364</v>
      </c>
      <c r="D1831" s="17">
        <f>Github!G$1830</f>
        <v>28</v>
      </c>
      <c r="E1831" s="17">
        <f>Github!F$1830+Github!G$1830</f>
        <v>392</v>
      </c>
      <c r="F1831" s="18">
        <f t="shared" si="1"/>
        <v>13</v>
      </c>
      <c r="G1831" s="17" t="str">
        <f>Github!H$1830</f>
        <v>Algorithms</v>
      </c>
      <c r="H1831" s="17" t="b">
        <f>Github!D$1830</f>
        <v>0</v>
      </c>
      <c r="I1831" s="17" t="str">
        <f>Github!E$1830</f>
        <v>Medium</v>
      </c>
      <c r="J1831" s="17" t="str">
        <f>ROUND(Github!N$1830, 2)&amp;"%"</f>
        <v>0%</v>
      </c>
      <c r="K1831" s="17">
        <f>Github!O$1830</f>
        <v>76.015625</v>
      </c>
      <c r="L1831" s="17">
        <f>Github!P$1830</f>
        <v>14595</v>
      </c>
    </row>
    <row r="1832">
      <c r="A1832" s="17">
        <f>Github!J$1831</f>
        <v>1830</v>
      </c>
      <c r="B1832" s="34" t="str">
        <f>HYPERLINK(CONCAT("http://leetcode.com/problems/",Github!C$1831), Github!B$1831)</f>
        <v>Minimum Number of Operations to Make String Sorted</v>
      </c>
      <c r="C1832" s="17">
        <f>Github!F$1831</f>
        <v>113</v>
      </c>
      <c r="D1832" s="17">
        <f>Github!G$1831</f>
        <v>90</v>
      </c>
      <c r="E1832" s="17">
        <f>Github!F$1831+Github!G$1831</f>
        <v>203</v>
      </c>
      <c r="F1832" s="18">
        <f t="shared" si="1"/>
        <v>1.26</v>
      </c>
      <c r="G1832" s="17" t="str">
        <f>Github!H$1831</f>
        <v>Algorithms</v>
      </c>
      <c r="H1832" s="17" t="b">
        <f>Github!D$1831</f>
        <v>0</v>
      </c>
      <c r="I1832" s="17" t="str">
        <f>Github!E$1831</f>
        <v>Hard</v>
      </c>
      <c r="J1832" s="17" t="str">
        <f>ROUND(Github!N$1831, 2)&amp;"%"</f>
        <v>0%</v>
      </c>
      <c r="K1832" s="17">
        <f>Github!O$1831</f>
        <v>47.76019612</v>
      </c>
      <c r="L1832" s="17">
        <f>Github!P$1831</f>
        <v>2143</v>
      </c>
    </row>
    <row r="1833">
      <c r="A1833" s="17">
        <f>Github!J$1832</f>
        <v>1831</v>
      </c>
      <c r="B1833" s="34" t="str">
        <f>HYPERLINK(CONCAT("http://leetcode.com/problems/",Github!C$1832), Github!B$1832)</f>
        <v>Maximum Transaction Each Day</v>
      </c>
      <c r="C1833" s="17">
        <f>Github!F$1832</f>
        <v>35</v>
      </c>
      <c r="D1833" s="17">
        <f>Github!G$1832</f>
        <v>1</v>
      </c>
      <c r="E1833" s="17">
        <f>Github!F$1832+Github!G$1832</f>
        <v>36</v>
      </c>
      <c r="F1833" s="18">
        <f t="shared" si="1"/>
        <v>35</v>
      </c>
      <c r="G1833" s="17" t="str">
        <f>Github!H$1832</f>
        <v>Database</v>
      </c>
      <c r="H1833" s="17" t="b">
        <f>Github!D$1832</f>
        <v>1</v>
      </c>
      <c r="I1833" s="17" t="str">
        <f>Github!E$1832</f>
        <v>Medium</v>
      </c>
      <c r="J1833" s="17" t="str">
        <f>ROUND(Github!N$1832, 2)&amp;"%"</f>
        <v>0%</v>
      </c>
      <c r="K1833" s="17">
        <f>Github!O$1832</f>
        <v>83.25456636</v>
      </c>
      <c r="L1833" s="17">
        <f>Github!P$1832</f>
        <v>6516</v>
      </c>
    </row>
    <row r="1834">
      <c r="A1834" s="17">
        <f>Github!J$1833</f>
        <v>1832</v>
      </c>
      <c r="B1834" s="34" t="str">
        <f>HYPERLINK(CONCAT("http://leetcode.com/problems/",Github!C$1833), Github!B$1833)</f>
        <v>Check if the Sentence Is Pangram</v>
      </c>
      <c r="C1834" s="17">
        <f>Github!F$1833</f>
        <v>648</v>
      </c>
      <c r="D1834" s="17">
        <f>Github!G$1833</f>
        <v>18</v>
      </c>
      <c r="E1834" s="17">
        <f>Github!F$1833+Github!G$1833</f>
        <v>666</v>
      </c>
      <c r="F1834" s="18">
        <f t="shared" si="1"/>
        <v>36</v>
      </c>
      <c r="G1834" s="17" t="str">
        <f>Github!H$1833</f>
        <v>Algorithms</v>
      </c>
      <c r="H1834" s="17" t="b">
        <f>Github!D$1833</f>
        <v>0</v>
      </c>
      <c r="I1834" s="17" t="str">
        <f>Github!E$1833</f>
        <v>Easy</v>
      </c>
      <c r="J1834" s="17" t="str">
        <f>ROUND(Github!N$1833, 2)&amp;"%"</f>
        <v>0%</v>
      </c>
      <c r="K1834" s="17">
        <f>Github!O$1833</f>
        <v>81.4090317</v>
      </c>
      <c r="L1834" s="17">
        <f>Github!P$1833</f>
        <v>74992</v>
      </c>
    </row>
    <row r="1835">
      <c r="A1835" s="17">
        <f>Github!J$1834</f>
        <v>1833</v>
      </c>
      <c r="B1835" s="34" t="str">
        <f>HYPERLINK(CONCAT("http://leetcode.com/problems/",Github!C$1834), Github!B$1834)</f>
        <v>Maximum Ice Cream Bars</v>
      </c>
      <c r="C1835" s="17">
        <f>Github!F$1834</f>
        <v>312</v>
      </c>
      <c r="D1835" s="17">
        <f>Github!G$1834</f>
        <v>131</v>
      </c>
      <c r="E1835" s="17">
        <f>Github!F$1834+Github!G$1834</f>
        <v>443</v>
      </c>
      <c r="F1835" s="18">
        <f t="shared" si="1"/>
        <v>2.38</v>
      </c>
      <c r="G1835" s="17" t="str">
        <f>Github!H$1834</f>
        <v>Algorithms</v>
      </c>
      <c r="H1835" s="17" t="b">
        <f>Github!D$1834</f>
        <v>0</v>
      </c>
      <c r="I1835" s="17" t="str">
        <f>Github!E$1834</f>
        <v>Medium</v>
      </c>
      <c r="J1835" s="17" t="str">
        <f>ROUND(Github!N$1834, 2)&amp;"%"</f>
        <v>0%</v>
      </c>
      <c r="K1835" s="17">
        <f>Github!O$1834</f>
        <v>64.67137402</v>
      </c>
      <c r="L1835" s="17">
        <f>Github!P$1834</f>
        <v>30314</v>
      </c>
    </row>
    <row r="1836">
      <c r="A1836" s="17">
        <f>Github!J$1835</f>
        <v>1834</v>
      </c>
      <c r="B1836" s="34" t="str">
        <f>HYPERLINK(CONCAT("http://leetcode.com/problems/",Github!C$1835), Github!B$1835)</f>
        <v>Single-Threaded CPU</v>
      </c>
      <c r="C1836" s="17">
        <f>Github!F$1835</f>
        <v>800</v>
      </c>
      <c r="D1836" s="17">
        <f>Github!G$1835</f>
        <v>100</v>
      </c>
      <c r="E1836" s="17">
        <f>Github!F$1835+Github!G$1835</f>
        <v>900</v>
      </c>
      <c r="F1836" s="18">
        <f t="shared" si="1"/>
        <v>8</v>
      </c>
      <c r="G1836" s="17" t="str">
        <f>Github!H$1835</f>
        <v>Algorithms</v>
      </c>
      <c r="H1836" s="17" t="b">
        <f>Github!D$1835</f>
        <v>0</v>
      </c>
      <c r="I1836" s="17" t="str">
        <f>Github!E$1835</f>
        <v>Medium</v>
      </c>
      <c r="J1836" s="17" t="str">
        <f>ROUND(Github!N$1835, 2)&amp;"%"</f>
        <v>0%</v>
      </c>
      <c r="K1836" s="17">
        <f>Github!O$1835</f>
        <v>40.47320568</v>
      </c>
      <c r="L1836" s="17">
        <f>Github!P$1835</f>
        <v>30670</v>
      </c>
    </row>
    <row r="1837">
      <c r="A1837" s="17">
        <f>Github!J$1836</f>
        <v>1835</v>
      </c>
      <c r="B1837" s="34" t="str">
        <f>HYPERLINK(CONCAT("http://leetcode.com/problems/",Github!C$1836), Github!B$1836)</f>
        <v>Find XOR Sum of All Pairs Bitwise AND</v>
      </c>
      <c r="C1837" s="17">
        <f>Github!F$1836</f>
        <v>294</v>
      </c>
      <c r="D1837" s="17">
        <f>Github!G$1836</f>
        <v>32</v>
      </c>
      <c r="E1837" s="17">
        <f>Github!F$1836+Github!G$1836</f>
        <v>326</v>
      </c>
      <c r="F1837" s="18">
        <f t="shared" si="1"/>
        <v>9.19</v>
      </c>
      <c r="G1837" s="17" t="str">
        <f>Github!H$1836</f>
        <v>Algorithms</v>
      </c>
      <c r="H1837" s="17" t="b">
        <f>Github!D$1836</f>
        <v>0</v>
      </c>
      <c r="I1837" s="17" t="str">
        <f>Github!E$1836</f>
        <v>Hard</v>
      </c>
      <c r="J1837" s="17" t="str">
        <f>ROUND(Github!N$1836, 2)&amp;"%"</f>
        <v>0%</v>
      </c>
      <c r="K1837" s="17">
        <f>Github!O$1836</f>
        <v>58.76186014</v>
      </c>
      <c r="L1837" s="17">
        <f>Github!P$1836</f>
        <v>10033</v>
      </c>
    </row>
    <row r="1838">
      <c r="A1838" s="17">
        <f>Github!J$1837</f>
        <v>1836</v>
      </c>
      <c r="B1838" s="34" t="str">
        <f>HYPERLINK(CONCAT("http://leetcode.com/problems/",Github!C$1837), Github!B$1837)</f>
        <v>Remove Duplicates From an Unsorted Linked List</v>
      </c>
      <c r="C1838" s="17">
        <f>Github!F$1837</f>
        <v>180</v>
      </c>
      <c r="D1838" s="17">
        <f>Github!G$1837</f>
        <v>5</v>
      </c>
      <c r="E1838" s="17">
        <f>Github!F$1837+Github!G$1837</f>
        <v>185</v>
      </c>
      <c r="F1838" s="18">
        <f t="shared" si="1"/>
        <v>36</v>
      </c>
      <c r="G1838" s="17" t="str">
        <f>Github!H$1837</f>
        <v>Algorithms</v>
      </c>
      <c r="H1838" s="17" t="b">
        <f>Github!D$1837</f>
        <v>1</v>
      </c>
      <c r="I1838" s="17" t="str">
        <f>Github!E$1837</f>
        <v>Medium</v>
      </c>
      <c r="J1838" s="17" t="str">
        <f>ROUND(Github!N$1837, 2)&amp;"%"</f>
        <v>0%</v>
      </c>
      <c r="K1838" s="17">
        <f>Github!O$1837</f>
        <v>69.83366935</v>
      </c>
      <c r="L1838" s="17">
        <f>Github!P$1837</f>
        <v>11081</v>
      </c>
    </row>
    <row r="1839">
      <c r="A1839" s="17">
        <f>Github!J$1838</f>
        <v>1837</v>
      </c>
      <c r="B1839" s="34" t="str">
        <f>HYPERLINK(CONCAT("http://leetcode.com/problems/",Github!C$1838), Github!B$1838)</f>
        <v>Sum of Digits in Base K</v>
      </c>
      <c r="C1839" s="17">
        <f>Github!F$1838</f>
        <v>273</v>
      </c>
      <c r="D1839" s="17">
        <f>Github!G$1838</f>
        <v>22</v>
      </c>
      <c r="E1839" s="17">
        <f>Github!F$1838+Github!G$1838</f>
        <v>295</v>
      </c>
      <c r="F1839" s="18">
        <f t="shared" si="1"/>
        <v>12.41</v>
      </c>
      <c r="G1839" s="17" t="str">
        <f>Github!H$1838</f>
        <v>Algorithms</v>
      </c>
      <c r="H1839" s="17" t="b">
        <f>Github!D$1838</f>
        <v>0</v>
      </c>
      <c r="I1839" s="17" t="str">
        <f>Github!E$1838</f>
        <v>Easy</v>
      </c>
      <c r="J1839" s="17" t="str">
        <f>ROUND(Github!N$1838, 2)&amp;"%"</f>
        <v>0%</v>
      </c>
      <c r="K1839" s="17">
        <f>Github!O$1838</f>
        <v>76.25566795</v>
      </c>
      <c r="L1839" s="17">
        <f>Github!P$1838</f>
        <v>26235</v>
      </c>
    </row>
    <row r="1840">
      <c r="A1840" s="17">
        <f>Github!J$1839</f>
        <v>1838</v>
      </c>
      <c r="B1840" s="34" t="str">
        <f>HYPERLINK(CONCAT("http://leetcode.com/problems/",Github!C$1839), Github!B$1839)</f>
        <v>Frequency of the Most Frequent Element</v>
      </c>
      <c r="C1840" s="17">
        <f>Github!F$1839</f>
        <v>1064</v>
      </c>
      <c r="D1840" s="17">
        <f>Github!G$1839</f>
        <v>22</v>
      </c>
      <c r="E1840" s="17">
        <f>Github!F$1839+Github!G$1839</f>
        <v>1086</v>
      </c>
      <c r="F1840" s="18">
        <f t="shared" si="1"/>
        <v>48.36</v>
      </c>
      <c r="G1840" s="17" t="str">
        <f>Github!H$1839</f>
        <v>Algorithms</v>
      </c>
      <c r="H1840" s="17" t="b">
        <f>Github!D$1839</f>
        <v>0</v>
      </c>
      <c r="I1840" s="17" t="str">
        <f>Github!E$1839</f>
        <v>Medium</v>
      </c>
      <c r="J1840" s="17" t="str">
        <f>ROUND(Github!N$1839, 2)&amp;"%"</f>
        <v>0%</v>
      </c>
      <c r="K1840" s="17">
        <f>Github!O$1839</f>
        <v>36.27269289</v>
      </c>
      <c r="L1840" s="17">
        <f>Github!P$1839</f>
        <v>19180</v>
      </c>
    </row>
    <row r="1841">
      <c r="A1841" s="17">
        <f>Github!J$1840</f>
        <v>1839</v>
      </c>
      <c r="B1841" s="34" t="str">
        <f>HYPERLINK(CONCAT("http://leetcode.com/problems/",Github!C$1840), Github!B$1840)</f>
        <v>Longest Substring Of All Vowels in Order</v>
      </c>
      <c r="C1841" s="17">
        <f>Github!F$1840</f>
        <v>370</v>
      </c>
      <c r="D1841" s="17">
        <f>Github!G$1840</f>
        <v>11</v>
      </c>
      <c r="E1841" s="17">
        <f>Github!F$1840+Github!G$1840</f>
        <v>381</v>
      </c>
      <c r="F1841" s="18">
        <f t="shared" si="1"/>
        <v>33.64</v>
      </c>
      <c r="G1841" s="17" t="str">
        <f>Github!H$1840</f>
        <v>Algorithms</v>
      </c>
      <c r="H1841" s="17" t="b">
        <f>Github!D$1840</f>
        <v>0</v>
      </c>
      <c r="I1841" s="17" t="str">
        <f>Github!E$1840</f>
        <v>Medium</v>
      </c>
      <c r="J1841" s="17" t="str">
        <f>ROUND(Github!N$1840, 2)&amp;"%"</f>
        <v>0%</v>
      </c>
      <c r="K1841" s="17">
        <f>Github!O$1840</f>
        <v>47.88085481</v>
      </c>
      <c r="L1841" s="17">
        <f>Github!P$1840</f>
        <v>17409</v>
      </c>
    </row>
    <row r="1842">
      <c r="A1842" s="17">
        <f>Github!J$1841</f>
        <v>1840</v>
      </c>
      <c r="B1842" s="34" t="str">
        <f>HYPERLINK(CONCAT("http://leetcode.com/problems/",Github!C$1841), Github!B$1841)</f>
        <v>Maximum Building Height</v>
      </c>
      <c r="C1842" s="17">
        <f>Github!F$1841</f>
        <v>242</v>
      </c>
      <c r="D1842" s="17">
        <f>Github!G$1841</f>
        <v>9</v>
      </c>
      <c r="E1842" s="17">
        <f>Github!F$1841+Github!G$1841</f>
        <v>251</v>
      </c>
      <c r="F1842" s="18">
        <f t="shared" si="1"/>
        <v>26.89</v>
      </c>
      <c r="G1842" s="17" t="str">
        <f>Github!H$1841</f>
        <v>Algorithms</v>
      </c>
      <c r="H1842" s="17" t="b">
        <f>Github!D$1841</f>
        <v>0</v>
      </c>
      <c r="I1842" s="17" t="str">
        <f>Github!E$1841</f>
        <v>Hard</v>
      </c>
      <c r="J1842" s="17" t="str">
        <f>ROUND(Github!N$1841, 2)&amp;"%"</f>
        <v>0%</v>
      </c>
      <c r="K1842" s="17">
        <f>Github!O$1841</f>
        <v>34.83104619</v>
      </c>
      <c r="L1842" s="17">
        <f>Github!P$1841</f>
        <v>4721</v>
      </c>
    </row>
    <row r="1843">
      <c r="A1843" s="17">
        <f>Github!J$1842</f>
        <v>1841</v>
      </c>
      <c r="B1843" s="34" t="str">
        <f>HYPERLINK(CONCAT("http://leetcode.com/problems/",Github!C$1842), Github!B$1842)</f>
        <v>League Statistics</v>
      </c>
      <c r="C1843" s="17">
        <f>Github!F$1842</f>
        <v>48</v>
      </c>
      <c r="D1843" s="17">
        <f>Github!G$1842</f>
        <v>29</v>
      </c>
      <c r="E1843" s="17">
        <f>Github!F$1842+Github!G$1842</f>
        <v>77</v>
      </c>
      <c r="F1843" s="18">
        <f t="shared" si="1"/>
        <v>1.66</v>
      </c>
      <c r="G1843" s="17" t="str">
        <f>Github!H$1842</f>
        <v>Database</v>
      </c>
      <c r="H1843" s="17" t="b">
        <f>Github!D$1842</f>
        <v>1</v>
      </c>
      <c r="I1843" s="17" t="str">
        <f>Github!E$1842</f>
        <v>Medium</v>
      </c>
      <c r="J1843" s="17" t="str">
        <f>ROUND(Github!N$1842, 2)&amp;"%"</f>
        <v>0%</v>
      </c>
      <c r="K1843" s="17">
        <f>Github!O$1842</f>
        <v>58.74806984</v>
      </c>
      <c r="L1843" s="17">
        <f>Github!P$1842</f>
        <v>4946</v>
      </c>
    </row>
    <row r="1844">
      <c r="A1844" s="17">
        <f>Github!J$1843</f>
        <v>1842</v>
      </c>
      <c r="B1844" s="34" t="str">
        <f>HYPERLINK(CONCAT("http://leetcode.com/problems/",Github!C$1843), Github!B$1843)</f>
        <v>Next Palindrome Using Same Digits</v>
      </c>
      <c r="C1844" s="17">
        <f>Github!F$1843</f>
        <v>40</v>
      </c>
      <c r="D1844" s="17">
        <f>Github!G$1843</f>
        <v>5</v>
      </c>
      <c r="E1844" s="17">
        <f>Github!F$1843+Github!G$1843</f>
        <v>45</v>
      </c>
      <c r="F1844" s="18">
        <f t="shared" si="1"/>
        <v>8</v>
      </c>
      <c r="G1844" s="17" t="str">
        <f>Github!H$1843</f>
        <v>Algorithms</v>
      </c>
      <c r="H1844" s="17" t="b">
        <f>Github!D$1843</f>
        <v>1</v>
      </c>
      <c r="I1844" s="17" t="str">
        <f>Github!E$1843</f>
        <v>Hard</v>
      </c>
      <c r="J1844" s="17" t="str">
        <f>ROUND(Github!N$1843, 2)&amp;"%"</f>
        <v>0%</v>
      </c>
      <c r="K1844" s="17">
        <f>Github!O$1843</f>
        <v>56.87782805</v>
      </c>
      <c r="L1844" s="17">
        <f>Github!P$1843</f>
        <v>1257</v>
      </c>
    </row>
    <row r="1845">
      <c r="A1845" s="17">
        <f>Github!J$1844</f>
        <v>1843</v>
      </c>
      <c r="B1845" s="34" t="str">
        <f>HYPERLINK(CONCAT("http://leetcode.com/problems/",Github!C$1844), Github!B$1844)</f>
        <v>Suspicious Bank Accounts</v>
      </c>
      <c r="C1845" s="17">
        <f>Github!F$1844</f>
        <v>40</v>
      </c>
      <c r="D1845" s="17">
        <f>Github!G$1844</f>
        <v>23</v>
      </c>
      <c r="E1845" s="17">
        <f>Github!F$1844+Github!G$1844</f>
        <v>63</v>
      </c>
      <c r="F1845" s="18">
        <f t="shared" si="1"/>
        <v>1.74</v>
      </c>
      <c r="G1845" s="17" t="str">
        <f>Github!H$1844</f>
        <v>Database</v>
      </c>
      <c r="H1845" s="17" t="b">
        <f>Github!D$1844</f>
        <v>1</v>
      </c>
      <c r="I1845" s="17" t="str">
        <f>Github!E$1844</f>
        <v>Medium</v>
      </c>
      <c r="J1845" s="17" t="str">
        <f>ROUND(Github!N$1844, 2)&amp;"%"</f>
        <v>0%</v>
      </c>
      <c r="K1845" s="17">
        <f>Github!O$1844</f>
        <v>49.07786885</v>
      </c>
      <c r="L1845" s="17">
        <f>Github!P$1844</f>
        <v>4790</v>
      </c>
    </row>
    <row r="1846">
      <c r="A1846" s="17">
        <f>Github!J$1845</f>
        <v>1844</v>
      </c>
      <c r="B1846" s="34" t="str">
        <f>HYPERLINK(CONCAT("http://leetcode.com/problems/",Github!C$1845), Github!B$1845)</f>
        <v>Replace All Digits with Characters</v>
      </c>
      <c r="C1846" s="17">
        <f>Github!F$1845</f>
        <v>357</v>
      </c>
      <c r="D1846" s="17">
        <f>Github!G$1845</f>
        <v>45</v>
      </c>
      <c r="E1846" s="17">
        <f>Github!F$1845+Github!G$1845</f>
        <v>402</v>
      </c>
      <c r="F1846" s="18">
        <f t="shared" si="1"/>
        <v>7.93</v>
      </c>
      <c r="G1846" s="17" t="str">
        <f>Github!H$1845</f>
        <v>Algorithms</v>
      </c>
      <c r="H1846" s="17" t="b">
        <f>Github!D$1845</f>
        <v>0</v>
      </c>
      <c r="I1846" s="17" t="str">
        <f>Github!E$1845</f>
        <v>Easy</v>
      </c>
      <c r="J1846" s="17" t="str">
        <f>ROUND(Github!N$1845, 2)&amp;"%"</f>
        <v>0%</v>
      </c>
      <c r="K1846" s="17">
        <f>Github!O$1845</f>
        <v>80.10933742</v>
      </c>
      <c r="L1846" s="17">
        <f>Github!P$1845</f>
        <v>36631</v>
      </c>
    </row>
    <row r="1847">
      <c r="A1847" s="17">
        <f>Github!J$1846</f>
        <v>1845</v>
      </c>
      <c r="B1847" s="34" t="str">
        <f>HYPERLINK(CONCAT("http://leetcode.com/problems/",Github!C$1846), Github!B$1846)</f>
        <v>Seat Reservation Manager</v>
      </c>
      <c r="C1847" s="17">
        <f>Github!F$1846</f>
        <v>269</v>
      </c>
      <c r="D1847" s="17">
        <f>Github!G$1846</f>
        <v>21</v>
      </c>
      <c r="E1847" s="17">
        <f>Github!F$1846+Github!G$1846</f>
        <v>290</v>
      </c>
      <c r="F1847" s="18">
        <f t="shared" si="1"/>
        <v>12.81</v>
      </c>
      <c r="G1847" s="17" t="str">
        <f>Github!H$1846</f>
        <v>Algorithms</v>
      </c>
      <c r="H1847" s="17" t="b">
        <f>Github!D$1846</f>
        <v>0</v>
      </c>
      <c r="I1847" s="17" t="str">
        <f>Github!E$1846</f>
        <v>Medium</v>
      </c>
      <c r="J1847" s="17" t="str">
        <f>ROUND(Github!N$1846, 2)&amp;"%"</f>
        <v>0%</v>
      </c>
      <c r="K1847" s="17">
        <f>Github!O$1846</f>
        <v>59.93652434</v>
      </c>
      <c r="L1847" s="17">
        <f>Github!P$1846</f>
        <v>16240</v>
      </c>
    </row>
    <row r="1848">
      <c r="A1848" s="17">
        <f>Github!J$1847</f>
        <v>1846</v>
      </c>
      <c r="B1848" s="34" t="str">
        <f>HYPERLINK(CONCAT("http://leetcode.com/problems/",Github!C$1847), Github!B$1847)</f>
        <v>Maximum Element After Decreasing and Rearranging</v>
      </c>
      <c r="C1848" s="17">
        <f>Github!F$1847</f>
        <v>191</v>
      </c>
      <c r="D1848" s="17">
        <f>Github!G$1847</f>
        <v>43</v>
      </c>
      <c r="E1848" s="17">
        <f>Github!F$1847+Github!G$1847</f>
        <v>234</v>
      </c>
      <c r="F1848" s="18">
        <f t="shared" si="1"/>
        <v>4.44</v>
      </c>
      <c r="G1848" s="17" t="str">
        <f>Github!H$1847</f>
        <v>Algorithms</v>
      </c>
      <c r="H1848" s="17" t="b">
        <f>Github!D$1847</f>
        <v>0</v>
      </c>
      <c r="I1848" s="17" t="str">
        <f>Github!E$1847</f>
        <v>Medium</v>
      </c>
      <c r="J1848" s="17" t="str">
        <f>ROUND(Github!N$1847, 2)&amp;"%"</f>
        <v>0%</v>
      </c>
      <c r="K1848" s="17">
        <f>Github!O$1847</f>
        <v>57.42434283</v>
      </c>
      <c r="L1848" s="17">
        <f>Github!P$1847</f>
        <v>12998</v>
      </c>
    </row>
    <row r="1849">
      <c r="A1849" s="17">
        <f>Github!J$1848</f>
        <v>1847</v>
      </c>
      <c r="B1849" s="34" t="str">
        <f>HYPERLINK(CONCAT("http://leetcode.com/problems/",Github!C$1848), Github!B$1848)</f>
        <v>Closest Room</v>
      </c>
      <c r="C1849" s="17">
        <f>Github!F$1848</f>
        <v>303</v>
      </c>
      <c r="D1849" s="17">
        <f>Github!G$1848</f>
        <v>12</v>
      </c>
      <c r="E1849" s="17">
        <f>Github!F$1848+Github!G$1848</f>
        <v>315</v>
      </c>
      <c r="F1849" s="18">
        <f t="shared" si="1"/>
        <v>25.25</v>
      </c>
      <c r="G1849" s="17" t="str">
        <f>Github!H$1848</f>
        <v>Algorithms</v>
      </c>
      <c r="H1849" s="17" t="b">
        <f>Github!D$1848</f>
        <v>0</v>
      </c>
      <c r="I1849" s="17" t="str">
        <f>Github!E$1848</f>
        <v>Hard</v>
      </c>
      <c r="J1849" s="17" t="str">
        <f>ROUND(Github!N$1848, 2)&amp;"%"</f>
        <v>0%</v>
      </c>
      <c r="K1849" s="17">
        <f>Github!O$1848</f>
        <v>32.91886062</v>
      </c>
      <c r="L1849" s="17">
        <f>Github!P$1848</f>
        <v>5189</v>
      </c>
    </row>
    <row r="1850">
      <c r="A1850" s="17">
        <f>Github!J$1849</f>
        <v>1848</v>
      </c>
      <c r="B1850" s="34" t="str">
        <f>HYPERLINK(CONCAT("http://leetcode.com/problems/",Github!C$1849), Github!B$1849)</f>
        <v>Minimum Distance to the Target Element</v>
      </c>
      <c r="C1850" s="17">
        <f>Github!F$1849</f>
        <v>160</v>
      </c>
      <c r="D1850" s="17">
        <f>Github!G$1849</f>
        <v>37</v>
      </c>
      <c r="E1850" s="17">
        <f>Github!F$1849+Github!G$1849</f>
        <v>197</v>
      </c>
      <c r="F1850" s="18">
        <f t="shared" si="1"/>
        <v>4.32</v>
      </c>
      <c r="G1850" s="17" t="str">
        <f>Github!H$1849</f>
        <v>Algorithms</v>
      </c>
      <c r="H1850" s="17" t="b">
        <f>Github!D$1849</f>
        <v>0</v>
      </c>
      <c r="I1850" s="17" t="str">
        <f>Github!E$1849</f>
        <v>Easy</v>
      </c>
      <c r="J1850" s="17" t="str">
        <f>ROUND(Github!N$1849, 2)&amp;"%"</f>
        <v>0%</v>
      </c>
      <c r="K1850" s="17">
        <f>Github!O$1849</f>
        <v>59.81014252</v>
      </c>
      <c r="L1850" s="17">
        <f>Github!P$1849</f>
        <v>23753</v>
      </c>
    </row>
    <row r="1851">
      <c r="A1851" s="17">
        <f>Github!J$1850</f>
        <v>1849</v>
      </c>
      <c r="B1851" s="34" t="str">
        <f>HYPERLINK(CONCAT("http://leetcode.com/problems/",Github!C$1850), Github!B$1850)</f>
        <v>Splitting a String Into Descending Consecutive Values</v>
      </c>
      <c r="C1851" s="17">
        <f>Github!F$1850</f>
        <v>299</v>
      </c>
      <c r="D1851" s="17">
        <f>Github!G$1850</f>
        <v>79</v>
      </c>
      <c r="E1851" s="17">
        <f>Github!F$1850+Github!G$1850</f>
        <v>378</v>
      </c>
      <c r="F1851" s="18">
        <f t="shared" si="1"/>
        <v>3.78</v>
      </c>
      <c r="G1851" s="17" t="str">
        <f>Github!H$1850</f>
        <v>Algorithms</v>
      </c>
      <c r="H1851" s="17" t="b">
        <f>Github!D$1850</f>
        <v>0</v>
      </c>
      <c r="I1851" s="17" t="str">
        <f>Github!E$1850</f>
        <v>Medium</v>
      </c>
      <c r="J1851" s="17" t="str">
        <f>ROUND(Github!N$1850, 2)&amp;"%"</f>
        <v>0%</v>
      </c>
      <c r="K1851" s="17">
        <f>Github!O$1850</f>
        <v>30.90419286</v>
      </c>
      <c r="L1851" s="17">
        <f>Github!P$1850</f>
        <v>13422</v>
      </c>
    </row>
    <row r="1852">
      <c r="A1852" s="17">
        <f>Github!J$1851</f>
        <v>1850</v>
      </c>
      <c r="B1852" s="34" t="str">
        <f>HYPERLINK(CONCAT("http://leetcode.com/problems/",Github!C$1851), Github!B$1851)</f>
        <v>Minimum Adjacent Swaps to Reach the Kth Smallest Number</v>
      </c>
      <c r="C1852" s="17">
        <f>Github!F$1851</f>
        <v>395</v>
      </c>
      <c r="D1852" s="17">
        <f>Github!G$1851</f>
        <v>53</v>
      </c>
      <c r="E1852" s="17">
        <f>Github!F$1851+Github!G$1851</f>
        <v>448</v>
      </c>
      <c r="F1852" s="18">
        <f t="shared" si="1"/>
        <v>7.45</v>
      </c>
      <c r="G1852" s="17" t="str">
        <f>Github!H$1851</f>
        <v>Algorithms</v>
      </c>
      <c r="H1852" s="17" t="b">
        <f>Github!D$1851</f>
        <v>0</v>
      </c>
      <c r="I1852" s="17" t="str">
        <f>Github!E$1851</f>
        <v>Medium</v>
      </c>
      <c r="J1852" s="17" t="str">
        <f>ROUND(Github!N$1851, 2)&amp;"%"</f>
        <v>0%</v>
      </c>
      <c r="K1852" s="17">
        <f>Github!O$1851</f>
        <v>72.5643958</v>
      </c>
      <c r="L1852" s="17">
        <f>Github!P$1851</f>
        <v>13314</v>
      </c>
    </row>
    <row r="1853">
      <c r="A1853" s="17">
        <f>Github!J$1852</f>
        <v>1851</v>
      </c>
      <c r="B1853" s="34" t="str">
        <f>HYPERLINK(CONCAT("http://leetcode.com/problems/",Github!C$1852), Github!B$1852)</f>
        <v>Minimum Interval to Include Each Query</v>
      </c>
      <c r="C1853" s="17">
        <f>Github!F$1852</f>
        <v>324</v>
      </c>
      <c r="D1853" s="17">
        <f>Github!G$1852</f>
        <v>5</v>
      </c>
      <c r="E1853" s="17">
        <f>Github!F$1852+Github!G$1852</f>
        <v>329</v>
      </c>
      <c r="F1853" s="18">
        <f t="shared" si="1"/>
        <v>64.8</v>
      </c>
      <c r="G1853" s="17" t="str">
        <f>Github!H$1852</f>
        <v>Algorithms</v>
      </c>
      <c r="H1853" s="17" t="b">
        <f>Github!D$1852</f>
        <v>0</v>
      </c>
      <c r="I1853" s="17" t="str">
        <f>Github!E$1852</f>
        <v>Hard</v>
      </c>
      <c r="J1853" s="17" t="str">
        <f>ROUND(Github!N$1852, 2)&amp;"%"</f>
        <v>0%</v>
      </c>
      <c r="K1853" s="17">
        <f>Github!O$1852</f>
        <v>45.39535557</v>
      </c>
      <c r="L1853" s="17">
        <f>Github!P$1852</f>
        <v>6275</v>
      </c>
    </row>
    <row r="1854">
      <c r="A1854" s="17">
        <f>Github!J$1853</f>
        <v>1852</v>
      </c>
      <c r="B1854" s="34" t="str">
        <f>HYPERLINK(CONCAT("http://leetcode.com/problems/",Github!C$1853), Github!B$1853)</f>
        <v>Distinct Numbers in Each Subarray</v>
      </c>
      <c r="C1854" s="17">
        <f>Github!F$1853</f>
        <v>72</v>
      </c>
      <c r="D1854" s="17">
        <f>Github!G$1853</f>
        <v>3</v>
      </c>
      <c r="E1854" s="17">
        <f>Github!F$1853+Github!G$1853</f>
        <v>75</v>
      </c>
      <c r="F1854" s="18">
        <f t="shared" si="1"/>
        <v>24</v>
      </c>
      <c r="G1854" s="17" t="str">
        <f>Github!H$1853</f>
        <v>Algorithms</v>
      </c>
      <c r="H1854" s="17" t="b">
        <f>Github!D$1853</f>
        <v>1</v>
      </c>
      <c r="I1854" s="17" t="str">
        <f>Github!E$1853</f>
        <v>Medium</v>
      </c>
      <c r="J1854" s="17" t="str">
        <f>ROUND(Github!N$1853, 2)&amp;"%"</f>
        <v>0%</v>
      </c>
      <c r="K1854" s="17">
        <f>Github!O$1853</f>
        <v>72.72917102</v>
      </c>
      <c r="L1854" s="17">
        <f>Github!P$1853</f>
        <v>3482</v>
      </c>
    </row>
    <row r="1855">
      <c r="A1855" s="17">
        <f>Github!J$1854</f>
        <v>1853</v>
      </c>
      <c r="B1855" s="34" t="str">
        <f>HYPERLINK(CONCAT("http://leetcode.com/problems/",Github!C$1854), Github!B$1854)</f>
        <v>Convert Date Format</v>
      </c>
      <c r="C1855" s="17">
        <f>Github!F$1854</f>
        <v>25</v>
      </c>
      <c r="D1855" s="17">
        <f>Github!G$1854</f>
        <v>27</v>
      </c>
      <c r="E1855" s="17">
        <f>Github!F$1854+Github!G$1854</f>
        <v>52</v>
      </c>
      <c r="F1855" s="18">
        <f t="shared" si="1"/>
        <v>0.93</v>
      </c>
      <c r="G1855" s="17" t="str">
        <f>Github!H$1854</f>
        <v>Database</v>
      </c>
      <c r="H1855" s="17" t="b">
        <f>Github!D$1854</f>
        <v>1</v>
      </c>
      <c r="I1855" s="17" t="str">
        <f>Github!E$1854</f>
        <v>Easy</v>
      </c>
      <c r="J1855" s="17" t="str">
        <f>ROUND(Github!N$1854, 2)&amp;"%"</f>
        <v>0%</v>
      </c>
      <c r="K1855" s="17">
        <f>Github!O$1854</f>
        <v>87.59050101</v>
      </c>
      <c r="L1855" s="17">
        <f>Github!P$1854</f>
        <v>6047</v>
      </c>
    </row>
    <row r="1856">
      <c r="A1856" s="17">
        <f>Github!J$1855</f>
        <v>1854</v>
      </c>
      <c r="B1856" s="34" t="str">
        <f>HYPERLINK(CONCAT("http://leetcode.com/problems/",Github!C$1855), Github!B$1855)</f>
        <v>Maximum Population Year</v>
      </c>
      <c r="C1856" s="17">
        <f>Github!F$1855</f>
        <v>497</v>
      </c>
      <c r="D1856" s="17">
        <f>Github!G$1855</f>
        <v>74</v>
      </c>
      <c r="E1856" s="17">
        <f>Github!F$1855+Github!G$1855</f>
        <v>571</v>
      </c>
      <c r="F1856" s="18">
        <f t="shared" si="1"/>
        <v>6.72</v>
      </c>
      <c r="G1856" s="17" t="str">
        <f>Github!H$1855</f>
        <v>Algorithms</v>
      </c>
      <c r="H1856" s="17" t="b">
        <f>Github!D$1855</f>
        <v>0</v>
      </c>
      <c r="I1856" s="17" t="str">
        <f>Github!E$1855</f>
        <v>Easy</v>
      </c>
      <c r="J1856" s="17" t="str">
        <f>ROUND(Github!N$1855, 2)&amp;"%"</f>
        <v>0%</v>
      </c>
      <c r="K1856" s="17">
        <f>Github!O$1855</f>
        <v>58.61516477</v>
      </c>
      <c r="L1856" s="17">
        <f>Github!P$1855</f>
        <v>27072</v>
      </c>
    </row>
    <row r="1857">
      <c r="A1857" s="17">
        <f>Github!J$1856</f>
        <v>1855</v>
      </c>
      <c r="B1857" s="34" t="str">
        <f>HYPERLINK(CONCAT("http://leetcode.com/problems/",Github!C$1856), Github!B$1856)</f>
        <v>Maximum Distance Between a Pair of Values</v>
      </c>
      <c r="C1857" s="17">
        <f>Github!F$1856</f>
        <v>481</v>
      </c>
      <c r="D1857" s="17">
        <f>Github!G$1856</f>
        <v>9</v>
      </c>
      <c r="E1857" s="17">
        <f>Github!F$1856+Github!G$1856</f>
        <v>490</v>
      </c>
      <c r="F1857" s="18">
        <f t="shared" si="1"/>
        <v>53.44</v>
      </c>
      <c r="G1857" s="17" t="str">
        <f>Github!H$1856</f>
        <v>Algorithms</v>
      </c>
      <c r="H1857" s="17" t="b">
        <f>Github!D$1856</f>
        <v>0</v>
      </c>
      <c r="I1857" s="17" t="str">
        <f>Github!E$1856</f>
        <v>Medium</v>
      </c>
      <c r="J1857" s="17" t="str">
        <f>ROUND(Github!N$1856, 2)&amp;"%"</f>
        <v>0%</v>
      </c>
      <c r="K1857" s="17">
        <f>Github!O$1856</f>
        <v>48.95196507</v>
      </c>
      <c r="L1857" s="17">
        <f>Github!P$1856</f>
        <v>19057</v>
      </c>
    </row>
    <row r="1858">
      <c r="A1858" s="17">
        <f>Github!J$1857</f>
        <v>1856</v>
      </c>
      <c r="B1858" s="34" t="str">
        <f>HYPERLINK(CONCAT("http://leetcode.com/problems/",Github!C$1857), Github!B$1857)</f>
        <v>Maximum Subarray Min-Product</v>
      </c>
      <c r="C1858" s="17">
        <f>Github!F$1857</f>
        <v>719</v>
      </c>
      <c r="D1858" s="17">
        <f>Github!G$1857</f>
        <v>41</v>
      </c>
      <c r="E1858" s="17">
        <f>Github!F$1857+Github!G$1857</f>
        <v>760</v>
      </c>
      <c r="F1858" s="18">
        <f t="shared" si="1"/>
        <v>17.54</v>
      </c>
      <c r="G1858" s="17" t="str">
        <f>Github!H$1857</f>
        <v>Algorithms</v>
      </c>
      <c r="H1858" s="17" t="b">
        <f>Github!D$1857</f>
        <v>0</v>
      </c>
      <c r="I1858" s="17" t="str">
        <f>Github!E$1857</f>
        <v>Medium</v>
      </c>
      <c r="J1858" s="17" t="str">
        <f>ROUND(Github!N$1857, 2)&amp;"%"</f>
        <v>0%</v>
      </c>
      <c r="K1858" s="17">
        <f>Github!O$1857</f>
        <v>35.24582429</v>
      </c>
      <c r="L1858" s="17">
        <f>Github!P$1857</f>
        <v>11205</v>
      </c>
    </row>
    <row r="1859">
      <c r="A1859" s="17">
        <f>Github!J$1858</f>
        <v>1857</v>
      </c>
      <c r="B1859" s="34" t="str">
        <f>HYPERLINK(CONCAT("http://leetcode.com/problems/",Github!C$1858), Github!B$1858)</f>
        <v>Largest Color Value in a Directed Graph</v>
      </c>
      <c r="C1859" s="17">
        <f>Github!F$1858</f>
        <v>415</v>
      </c>
      <c r="D1859" s="17">
        <f>Github!G$1858</f>
        <v>15</v>
      </c>
      <c r="E1859" s="17">
        <f>Github!F$1858+Github!G$1858</f>
        <v>430</v>
      </c>
      <c r="F1859" s="18">
        <f t="shared" si="1"/>
        <v>27.67</v>
      </c>
      <c r="G1859" s="17" t="str">
        <f>Github!H$1858</f>
        <v>Algorithms</v>
      </c>
      <c r="H1859" s="17" t="b">
        <f>Github!D$1858</f>
        <v>0</v>
      </c>
      <c r="I1859" s="17" t="str">
        <f>Github!E$1858</f>
        <v>Hard</v>
      </c>
      <c r="J1859" s="17" t="str">
        <f>ROUND(Github!N$1858, 2)&amp;"%"</f>
        <v>0%</v>
      </c>
      <c r="K1859" s="17">
        <f>Github!O$1858</f>
        <v>39.63116009</v>
      </c>
      <c r="L1859" s="17">
        <f>Github!P$1858</f>
        <v>10358</v>
      </c>
    </row>
    <row r="1860">
      <c r="A1860" s="17">
        <f>Github!J$1859</f>
        <v>1858</v>
      </c>
      <c r="B1860" s="34" t="str">
        <f>HYPERLINK(CONCAT("http://leetcode.com/problems/",Github!C$1859), Github!B$1859)</f>
        <v>Longest Word With All Prefixes</v>
      </c>
      <c r="C1860" s="17">
        <f>Github!F$1859</f>
        <v>92</v>
      </c>
      <c r="D1860" s="17">
        <f>Github!G$1859</f>
        <v>3</v>
      </c>
      <c r="E1860" s="17">
        <f>Github!F$1859+Github!G$1859</f>
        <v>95</v>
      </c>
      <c r="F1860" s="18">
        <f t="shared" si="1"/>
        <v>30.67</v>
      </c>
      <c r="G1860" s="17" t="str">
        <f>Github!H$1859</f>
        <v>Algorithms</v>
      </c>
      <c r="H1860" s="17" t="b">
        <f>Github!D$1859</f>
        <v>1</v>
      </c>
      <c r="I1860" s="17" t="str">
        <f>Github!E$1859</f>
        <v>Medium</v>
      </c>
      <c r="J1860" s="17" t="str">
        <f>ROUND(Github!N$1859, 2)&amp;"%"</f>
        <v>0%</v>
      </c>
      <c r="K1860" s="17">
        <f>Github!O$1859</f>
        <v>66.23097932</v>
      </c>
      <c r="L1860" s="17">
        <f>Github!P$1859</f>
        <v>3395</v>
      </c>
    </row>
    <row r="1861">
      <c r="A1861" s="17">
        <f>Github!J$1860</f>
        <v>1859</v>
      </c>
      <c r="B1861" s="34" t="str">
        <f>HYPERLINK(CONCAT("http://leetcode.com/problems/",Github!C$1860), Github!B$1860)</f>
        <v>Sorting the Sentence</v>
      </c>
      <c r="C1861" s="17">
        <f>Github!F$1860</f>
        <v>845</v>
      </c>
      <c r="D1861" s="17">
        <f>Github!G$1860</f>
        <v>24</v>
      </c>
      <c r="E1861" s="17">
        <f>Github!F$1860+Github!G$1860</f>
        <v>869</v>
      </c>
      <c r="F1861" s="18">
        <f t="shared" si="1"/>
        <v>35.21</v>
      </c>
      <c r="G1861" s="17" t="str">
        <f>Github!H$1860</f>
        <v>Algorithms</v>
      </c>
      <c r="H1861" s="17" t="b">
        <f>Github!D$1860</f>
        <v>0</v>
      </c>
      <c r="I1861" s="17" t="str">
        <f>Github!E$1860</f>
        <v>Easy</v>
      </c>
      <c r="J1861" s="17" t="str">
        <f>ROUND(Github!N$1860, 2)&amp;"%"</f>
        <v>0%</v>
      </c>
      <c r="K1861" s="17">
        <f>Github!O$1860</f>
        <v>84.46024333</v>
      </c>
      <c r="L1861" s="17">
        <f>Github!P$1860</f>
        <v>56784</v>
      </c>
    </row>
    <row r="1862">
      <c r="A1862" s="17">
        <f>Github!J$1861</f>
        <v>1860</v>
      </c>
      <c r="B1862" s="34" t="str">
        <f>HYPERLINK(CONCAT("http://leetcode.com/problems/",Github!C$1861), Github!B$1861)</f>
        <v>Incremental Memory Leak</v>
      </c>
      <c r="C1862" s="17">
        <f>Github!F$1861</f>
        <v>128</v>
      </c>
      <c r="D1862" s="17">
        <f>Github!G$1861</f>
        <v>56</v>
      </c>
      <c r="E1862" s="17">
        <f>Github!F$1861+Github!G$1861</f>
        <v>184</v>
      </c>
      <c r="F1862" s="18">
        <f t="shared" si="1"/>
        <v>2.29</v>
      </c>
      <c r="G1862" s="17" t="str">
        <f>Github!H$1861</f>
        <v>Algorithms</v>
      </c>
      <c r="H1862" s="17" t="b">
        <f>Github!D$1861</f>
        <v>0</v>
      </c>
      <c r="I1862" s="17" t="str">
        <f>Github!E$1861</f>
        <v>Medium</v>
      </c>
      <c r="J1862" s="17" t="str">
        <f>ROUND(Github!N$1861, 2)&amp;"%"</f>
        <v>0%</v>
      </c>
      <c r="K1862" s="17">
        <f>Github!O$1861</f>
        <v>70.82237628</v>
      </c>
      <c r="L1862" s="17">
        <f>Github!P$1861</f>
        <v>11850</v>
      </c>
    </row>
    <row r="1863">
      <c r="A1863" s="17">
        <f>Github!J$1862</f>
        <v>1861</v>
      </c>
      <c r="B1863" s="34" t="str">
        <f>HYPERLINK(CONCAT("http://leetcode.com/problems/",Github!C$1862), Github!B$1862)</f>
        <v>Rotating the Box</v>
      </c>
      <c r="C1863" s="17">
        <f>Github!F$1862</f>
        <v>531</v>
      </c>
      <c r="D1863" s="17">
        <f>Github!G$1862</f>
        <v>29</v>
      </c>
      <c r="E1863" s="17">
        <f>Github!F$1862+Github!G$1862</f>
        <v>560</v>
      </c>
      <c r="F1863" s="18">
        <f t="shared" si="1"/>
        <v>18.31</v>
      </c>
      <c r="G1863" s="17" t="str">
        <f>Github!H$1862</f>
        <v>Algorithms</v>
      </c>
      <c r="H1863" s="17" t="b">
        <f>Github!D$1862</f>
        <v>0</v>
      </c>
      <c r="I1863" s="17" t="str">
        <f>Github!E$1862</f>
        <v>Medium</v>
      </c>
      <c r="J1863" s="17" t="str">
        <f>ROUND(Github!N$1862, 2)&amp;"%"</f>
        <v>0%</v>
      </c>
      <c r="K1863" s="17">
        <f>Github!O$1862</f>
        <v>64.24603603</v>
      </c>
      <c r="L1863" s="17">
        <f>Github!P$1862</f>
        <v>23825</v>
      </c>
    </row>
    <row r="1864">
      <c r="A1864" s="17">
        <f>Github!J$1863</f>
        <v>1862</v>
      </c>
      <c r="B1864" s="34" t="str">
        <f>HYPERLINK(CONCAT("http://leetcode.com/problems/",Github!C$1863), Github!B$1863)</f>
        <v>Sum of Floored Pairs</v>
      </c>
      <c r="C1864" s="17">
        <f>Github!F$1863</f>
        <v>275</v>
      </c>
      <c r="D1864" s="17">
        <f>Github!G$1863</f>
        <v>22</v>
      </c>
      <c r="E1864" s="17">
        <f>Github!F$1863+Github!G$1863</f>
        <v>297</v>
      </c>
      <c r="F1864" s="18">
        <f t="shared" si="1"/>
        <v>12.5</v>
      </c>
      <c r="G1864" s="17" t="str">
        <f>Github!H$1863</f>
        <v>Algorithms</v>
      </c>
      <c r="H1864" s="17" t="b">
        <f>Github!D$1863</f>
        <v>0</v>
      </c>
      <c r="I1864" s="17" t="str">
        <f>Github!E$1863</f>
        <v>Hard</v>
      </c>
      <c r="J1864" s="17" t="str">
        <f>ROUND(Github!N$1863, 2)&amp;"%"</f>
        <v>0%</v>
      </c>
      <c r="K1864" s="17">
        <f>Github!O$1863</f>
        <v>27.7576233</v>
      </c>
      <c r="L1864" s="17">
        <f>Github!P$1863</f>
        <v>5662</v>
      </c>
    </row>
    <row r="1865">
      <c r="A1865" s="17">
        <f>Github!J$1864</f>
        <v>1863</v>
      </c>
      <c r="B1865" s="34" t="str">
        <f>HYPERLINK(CONCAT("http://leetcode.com/problems/",Github!C$1864), Github!B$1864)</f>
        <v>Sum of All Subset XOR Totals</v>
      </c>
      <c r="C1865" s="17">
        <f>Github!F$1864</f>
        <v>687</v>
      </c>
      <c r="D1865" s="17">
        <f>Github!G$1864</f>
        <v>71</v>
      </c>
      <c r="E1865" s="17">
        <f>Github!F$1864+Github!G$1864</f>
        <v>758</v>
      </c>
      <c r="F1865" s="18">
        <f t="shared" si="1"/>
        <v>9.68</v>
      </c>
      <c r="G1865" s="17" t="str">
        <f>Github!H$1864</f>
        <v>Algorithms</v>
      </c>
      <c r="H1865" s="17" t="b">
        <f>Github!D$1864</f>
        <v>0</v>
      </c>
      <c r="I1865" s="17" t="str">
        <f>Github!E$1864</f>
        <v>Easy</v>
      </c>
      <c r="J1865" s="17" t="str">
        <f>ROUND(Github!N$1864, 2)&amp;"%"</f>
        <v>0%</v>
      </c>
      <c r="K1865" s="17">
        <f>Github!O$1864</f>
        <v>78.61805321</v>
      </c>
      <c r="L1865" s="17">
        <f>Github!P$1864</f>
        <v>30229</v>
      </c>
    </row>
    <row r="1866">
      <c r="A1866" s="17">
        <f>Github!J$1865</f>
        <v>1864</v>
      </c>
      <c r="B1866" s="34" t="str">
        <f>HYPERLINK(CONCAT("http://leetcode.com/problems/",Github!C$1865), Github!B$1865)</f>
        <v>Minimum Number of Swaps to Make the Binary String Alternating</v>
      </c>
      <c r="C1866" s="17">
        <f>Github!F$1865</f>
        <v>280</v>
      </c>
      <c r="D1866" s="17">
        <f>Github!G$1865</f>
        <v>22</v>
      </c>
      <c r="E1866" s="17">
        <f>Github!F$1865+Github!G$1865</f>
        <v>302</v>
      </c>
      <c r="F1866" s="18">
        <f t="shared" si="1"/>
        <v>12.73</v>
      </c>
      <c r="G1866" s="17" t="str">
        <f>Github!H$1865</f>
        <v>Algorithms</v>
      </c>
      <c r="H1866" s="17" t="b">
        <f>Github!D$1865</f>
        <v>0</v>
      </c>
      <c r="I1866" s="17" t="str">
        <f>Github!E$1865</f>
        <v>Medium</v>
      </c>
      <c r="J1866" s="17" t="str">
        <f>ROUND(Github!N$1865, 2)&amp;"%"</f>
        <v>0%</v>
      </c>
      <c r="K1866" s="17">
        <f>Github!O$1865</f>
        <v>38.3072407</v>
      </c>
      <c r="L1866" s="17">
        <f>Github!P$1865</f>
        <v>12528</v>
      </c>
    </row>
    <row r="1867">
      <c r="A1867" s="17">
        <f>Github!J$1866</f>
        <v>1865</v>
      </c>
      <c r="B1867" s="34" t="str">
        <f>HYPERLINK(CONCAT("http://leetcode.com/problems/",Github!C$1866), Github!B$1866)</f>
        <v>Finding Pairs With a Certain Sum</v>
      </c>
      <c r="C1867" s="17">
        <f>Github!F$1866</f>
        <v>285</v>
      </c>
      <c r="D1867" s="17">
        <f>Github!G$1866</f>
        <v>73</v>
      </c>
      <c r="E1867" s="17">
        <f>Github!F$1866+Github!G$1866</f>
        <v>358</v>
      </c>
      <c r="F1867" s="18">
        <f t="shared" si="1"/>
        <v>3.9</v>
      </c>
      <c r="G1867" s="17" t="str">
        <f>Github!H$1866</f>
        <v>Algorithms</v>
      </c>
      <c r="H1867" s="17" t="b">
        <f>Github!D$1866</f>
        <v>0</v>
      </c>
      <c r="I1867" s="17" t="str">
        <f>Github!E$1866</f>
        <v>Medium</v>
      </c>
      <c r="J1867" s="17" t="str">
        <f>ROUND(Github!N$1866, 2)&amp;"%"</f>
        <v>0%</v>
      </c>
      <c r="K1867" s="17">
        <f>Github!O$1866</f>
        <v>48.79597047</v>
      </c>
      <c r="L1867" s="17">
        <f>Github!P$1866</f>
        <v>14144</v>
      </c>
    </row>
    <row r="1868">
      <c r="A1868" s="17">
        <f>Github!J$1867</f>
        <v>1866</v>
      </c>
      <c r="B1868" s="34" t="str">
        <f>HYPERLINK(CONCAT("http://leetcode.com/problems/",Github!C$1867), Github!B$1867)</f>
        <v>Number of Ways to Rearrange Sticks With K Sticks Visible</v>
      </c>
      <c r="C1868" s="17">
        <f>Github!F$1867</f>
        <v>423</v>
      </c>
      <c r="D1868" s="17">
        <f>Github!G$1867</f>
        <v>9</v>
      </c>
      <c r="E1868" s="17">
        <f>Github!F$1867+Github!G$1867</f>
        <v>432</v>
      </c>
      <c r="F1868" s="18">
        <f t="shared" si="1"/>
        <v>47</v>
      </c>
      <c r="G1868" s="17" t="str">
        <f>Github!H$1867</f>
        <v>Algorithms</v>
      </c>
      <c r="H1868" s="17" t="b">
        <f>Github!D$1867</f>
        <v>0</v>
      </c>
      <c r="I1868" s="17" t="str">
        <f>Github!E$1867</f>
        <v>Hard</v>
      </c>
      <c r="J1868" s="17" t="str">
        <f>ROUND(Github!N$1867, 2)&amp;"%"</f>
        <v>0%</v>
      </c>
      <c r="K1868" s="17">
        <f>Github!O$1867</f>
        <v>55.28787553</v>
      </c>
      <c r="L1868" s="17">
        <f>Github!P$1867</f>
        <v>7711</v>
      </c>
    </row>
    <row r="1869">
      <c r="A1869" s="17">
        <f>Github!J$1868</f>
        <v>1867</v>
      </c>
      <c r="B1869" s="34" t="str">
        <f>HYPERLINK(CONCAT("http://leetcode.com/problems/",Github!C$1868), Github!B$1868)</f>
        <v>Orders With Maximum Quantity Above Average</v>
      </c>
      <c r="C1869" s="17">
        <f>Github!F$1868</f>
        <v>27</v>
      </c>
      <c r="D1869" s="17">
        <f>Github!G$1868</f>
        <v>99</v>
      </c>
      <c r="E1869" s="17">
        <f>Github!F$1868+Github!G$1868</f>
        <v>126</v>
      </c>
      <c r="F1869" s="18">
        <f t="shared" si="1"/>
        <v>0.27</v>
      </c>
      <c r="G1869" s="17" t="str">
        <f>Github!H$1868</f>
        <v>Database</v>
      </c>
      <c r="H1869" s="17" t="b">
        <f>Github!D$1868</f>
        <v>1</v>
      </c>
      <c r="I1869" s="17" t="str">
        <f>Github!E$1868</f>
        <v>Medium</v>
      </c>
      <c r="J1869" s="17" t="str">
        <f>ROUND(Github!N$1868, 2)&amp;"%"</f>
        <v>0%</v>
      </c>
      <c r="K1869" s="17">
        <f>Github!O$1868</f>
        <v>76.12745728</v>
      </c>
      <c r="L1869" s="17">
        <f>Github!P$1868</f>
        <v>5925</v>
      </c>
    </row>
    <row r="1870">
      <c r="A1870" s="17">
        <f>Github!J$1869</f>
        <v>1868</v>
      </c>
      <c r="B1870" s="34" t="str">
        <f>HYPERLINK(CONCAT("http://leetcode.com/problems/",Github!C$1869), Github!B$1869)</f>
        <v>Product of Two Run-Length Encoded Arrays</v>
      </c>
      <c r="C1870" s="17">
        <f>Github!F$1869</f>
        <v>195</v>
      </c>
      <c r="D1870" s="17">
        <f>Github!G$1869</f>
        <v>26</v>
      </c>
      <c r="E1870" s="17">
        <f>Github!F$1869+Github!G$1869</f>
        <v>221</v>
      </c>
      <c r="F1870" s="18">
        <f t="shared" si="1"/>
        <v>7.5</v>
      </c>
      <c r="G1870" s="17" t="str">
        <f>Github!H$1869</f>
        <v>Algorithms</v>
      </c>
      <c r="H1870" s="17" t="b">
        <f>Github!D$1869</f>
        <v>1</v>
      </c>
      <c r="I1870" s="17" t="str">
        <f>Github!E$1869</f>
        <v>Medium</v>
      </c>
      <c r="J1870" s="17" t="str">
        <f>ROUND(Github!N$1869, 2)&amp;"%"</f>
        <v>0%</v>
      </c>
      <c r="K1870" s="17">
        <f>Github!O$1869</f>
        <v>58.38577492</v>
      </c>
      <c r="L1870" s="17">
        <f>Github!P$1869</f>
        <v>15958</v>
      </c>
    </row>
    <row r="1871">
      <c r="A1871" s="17">
        <f>Github!J$1870</f>
        <v>1869</v>
      </c>
      <c r="B1871" s="34" t="str">
        <f>HYPERLINK(CONCAT("http://leetcode.com/problems/",Github!C$1870), Github!B$1870)</f>
        <v>Longer Contiguous Segments of Ones than Zeros</v>
      </c>
      <c r="C1871" s="17">
        <f>Github!F$1870</f>
        <v>269</v>
      </c>
      <c r="D1871" s="17">
        <f>Github!G$1870</f>
        <v>6</v>
      </c>
      <c r="E1871" s="17">
        <f>Github!F$1870+Github!G$1870</f>
        <v>275</v>
      </c>
      <c r="F1871" s="18">
        <f t="shared" si="1"/>
        <v>44.83</v>
      </c>
      <c r="G1871" s="17" t="str">
        <f>Github!H$1870</f>
        <v>Algorithms</v>
      </c>
      <c r="H1871" s="17" t="b">
        <f>Github!D$1870</f>
        <v>0</v>
      </c>
      <c r="I1871" s="17" t="str">
        <f>Github!E$1870</f>
        <v>Easy</v>
      </c>
      <c r="J1871" s="17" t="str">
        <f>ROUND(Github!N$1870, 2)&amp;"%"</f>
        <v>0%</v>
      </c>
      <c r="K1871" s="17">
        <f>Github!O$1870</f>
        <v>60.08907995</v>
      </c>
      <c r="L1871" s="17">
        <f>Github!P$1870</f>
        <v>27117</v>
      </c>
    </row>
    <row r="1872">
      <c r="A1872" s="17">
        <f>Github!J$1871</f>
        <v>1870</v>
      </c>
      <c r="B1872" s="34" t="str">
        <f>HYPERLINK(CONCAT("http://leetcode.com/problems/",Github!C$1871), Github!B$1871)</f>
        <v>Minimum Speed to Arrive on Time</v>
      </c>
      <c r="C1872" s="17">
        <f>Github!F$1871</f>
        <v>419</v>
      </c>
      <c r="D1872" s="17">
        <f>Github!G$1871</f>
        <v>73</v>
      </c>
      <c r="E1872" s="17">
        <f>Github!F$1871+Github!G$1871</f>
        <v>492</v>
      </c>
      <c r="F1872" s="18">
        <f t="shared" si="1"/>
        <v>5.74</v>
      </c>
      <c r="G1872" s="17" t="str">
        <f>Github!H$1871</f>
        <v>Algorithms</v>
      </c>
      <c r="H1872" s="17" t="b">
        <f>Github!D$1871</f>
        <v>0</v>
      </c>
      <c r="I1872" s="17" t="str">
        <f>Github!E$1871</f>
        <v>Medium</v>
      </c>
      <c r="J1872" s="17" t="str">
        <f>ROUND(Github!N$1871, 2)&amp;"%"</f>
        <v>0%</v>
      </c>
      <c r="K1872" s="17">
        <f>Github!O$1871</f>
        <v>35.16695251</v>
      </c>
      <c r="L1872" s="17">
        <f>Github!P$1871</f>
        <v>16609</v>
      </c>
    </row>
    <row r="1873">
      <c r="A1873" s="17">
        <f>Github!J$1872</f>
        <v>1871</v>
      </c>
      <c r="B1873" s="34" t="str">
        <f>HYPERLINK(CONCAT("http://leetcode.com/problems/",Github!C$1872), Github!B$1872)</f>
        <v>Jump Game VII</v>
      </c>
      <c r="C1873" s="17">
        <f>Github!F$1872</f>
        <v>781</v>
      </c>
      <c r="D1873" s="17">
        <f>Github!G$1872</f>
        <v>45</v>
      </c>
      <c r="E1873" s="17">
        <f>Github!F$1872+Github!G$1872</f>
        <v>826</v>
      </c>
      <c r="F1873" s="18">
        <f t="shared" si="1"/>
        <v>17.36</v>
      </c>
      <c r="G1873" s="17" t="str">
        <f>Github!H$1872</f>
        <v>Algorithms</v>
      </c>
      <c r="H1873" s="17" t="b">
        <f>Github!D$1872</f>
        <v>0</v>
      </c>
      <c r="I1873" s="17" t="str">
        <f>Github!E$1872</f>
        <v>Medium</v>
      </c>
      <c r="J1873" s="17" t="str">
        <f>ROUND(Github!N$1872, 2)&amp;"%"</f>
        <v>0%</v>
      </c>
      <c r="K1873" s="17">
        <f>Github!O$1872</f>
        <v>24.70170606</v>
      </c>
      <c r="L1873" s="17">
        <f>Github!P$1872</f>
        <v>20806</v>
      </c>
    </row>
    <row r="1874">
      <c r="A1874" s="17">
        <f>Github!J$1873</f>
        <v>1872</v>
      </c>
      <c r="B1874" s="34" t="str">
        <f>HYPERLINK(CONCAT("http://leetcode.com/problems/",Github!C$1873), Github!B$1873)</f>
        <v>Stone Game VIII</v>
      </c>
      <c r="C1874" s="17">
        <f>Github!F$1873</f>
        <v>252</v>
      </c>
      <c r="D1874" s="17">
        <f>Github!G$1873</f>
        <v>11</v>
      </c>
      <c r="E1874" s="17">
        <f>Github!F$1873+Github!G$1873</f>
        <v>263</v>
      </c>
      <c r="F1874" s="18">
        <f t="shared" si="1"/>
        <v>22.91</v>
      </c>
      <c r="G1874" s="17" t="str">
        <f>Github!H$1873</f>
        <v>Algorithms</v>
      </c>
      <c r="H1874" s="17" t="b">
        <f>Github!D$1873</f>
        <v>0</v>
      </c>
      <c r="I1874" s="17" t="str">
        <f>Github!E$1873</f>
        <v>Hard</v>
      </c>
      <c r="J1874" s="17" t="str">
        <f>ROUND(Github!N$1873, 2)&amp;"%"</f>
        <v>0%</v>
      </c>
      <c r="K1874" s="17">
        <f>Github!O$1873</f>
        <v>52.45999404</v>
      </c>
      <c r="L1874" s="17">
        <f>Github!P$1873</f>
        <v>5278</v>
      </c>
    </row>
    <row r="1875">
      <c r="A1875" s="17">
        <f>Github!J$1874</f>
        <v>1873</v>
      </c>
      <c r="B1875" s="34" t="str">
        <f>HYPERLINK(CONCAT("http://leetcode.com/problems/",Github!C$1874), Github!B$1874)</f>
        <v>Calculate Special Bonus</v>
      </c>
      <c r="C1875" s="17">
        <f>Github!F$1874</f>
        <v>47</v>
      </c>
      <c r="D1875" s="17">
        <f>Github!G$1874</f>
        <v>1</v>
      </c>
      <c r="E1875" s="17">
        <f>Github!F$1874+Github!G$1874</f>
        <v>48</v>
      </c>
      <c r="F1875" s="18">
        <f t="shared" si="1"/>
        <v>47</v>
      </c>
      <c r="G1875" s="17" t="str">
        <f>Github!H$1874</f>
        <v>Database</v>
      </c>
      <c r="H1875" s="17" t="b">
        <f>Github!D$1874</f>
        <v>1</v>
      </c>
      <c r="I1875" s="17" t="str">
        <f>Github!E$1874</f>
        <v>Easy</v>
      </c>
      <c r="J1875" s="17" t="str">
        <f>ROUND(Github!N$1874, 2)&amp;"%"</f>
        <v>0%</v>
      </c>
      <c r="K1875" s="17">
        <f>Github!O$1874</f>
        <v>91.10405083</v>
      </c>
      <c r="L1875" s="17">
        <f>Github!P$1874</f>
        <v>8029</v>
      </c>
    </row>
    <row r="1876">
      <c r="A1876" s="17">
        <f>Github!J$1875</f>
        <v>1874</v>
      </c>
      <c r="B1876" s="34" t="str">
        <f>HYPERLINK(CONCAT("http://leetcode.com/problems/",Github!C$1875), Github!B$1875)</f>
        <v>Minimize Product Sum of Two Arrays</v>
      </c>
      <c r="C1876" s="17">
        <f>Github!F$1875</f>
        <v>83</v>
      </c>
      <c r="D1876" s="17">
        <f>Github!G$1875</f>
        <v>9</v>
      </c>
      <c r="E1876" s="17">
        <f>Github!F$1875+Github!G$1875</f>
        <v>92</v>
      </c>
      <c r="F1876" s="18">
        <f t="shared" si="1"/>
        <v>9.22</v>
      </c>
      <c r="G1876" s="17" t="str">
        <f>Github!H$1875</f>
        <v>Algorithms</v>
      </c>
      <c r="H1876" s="17" t="b">
        <f>Github!D$1875</f>
        <v>1</v>
      </c>
      <c r="I1876" s="17" t="str">
        <f>Github!E$1875</f>
        <v>Medium</v>
      </c>
      <c r="J1876" s="17" t="str">
        <f>ROUND(Github!N$1875, 2)&amp;"%"</f>
        <v>0%</v>
      </c>
      <c r="K1876" s="17">
        <f>Github!O$1875</f>
        <v>89.48587309</v>
      </c>
      <c r="L1876" s="17">
        <f>Github!P$1875</f>
        <v>5796</v>
      </c>
    </row>
    <row r="1877">
      <c r="A1877" s="17">
        <f>Github!J$1876</f>
        <v>1875</v>
      </c>
      <c r="B1877" s="34" t="str">
        <f>HYPERLINK(CONCAT("http://leetcode.com/problems/",Github!C$1876), Github!B$1876)</f>
        <v>Group Employees of the Same Salary</v>
      </c>
      <c r="C1877" s="17">
        <f>Github!F$1876</f>
        <v>36</v>
      </c>
      <c r="D1877" s="17">
        <f>Github!G$1876</f>
        <v>3</v>
      </c>
      <c r="E1877" s="17">
        <f>Github!F$1876+Github!G$1876</f>
        <v>39</v>
      </c>
      <c r="F1877" s="18">
        <f t="shared" si="1"/>
        <v>12</v>
      </c>
      <c r="G1877" s="17" t="str">
        <f>Github!H$1876</f>
        <v>Database</v>
      </c>
      <c r="H1877" s="17" t="b">
        <f>Github!D$1876</f>
        <v>1</v>
      </c>
      <c r="I1877" s="17" t="str">
        <f>Github!E$1876</f>
        <v>Medium</v>
      </c>
      <c r="J1877" s="17" t="str">
        <f>ROUND(Github!N$1876, 2)&amp;"%"</f>
        <v>0%</v>
      </c>
      <c r="K1877" s="17">
        <f>Github!O$1876</f>
        <v>75.30319735</v>
      </c>
      <c r="L1877" s="17">
        <f>Github!P$1876</f>
        <v>4781</v>
      </c>
    </row>
    <row r="1878">
      <c r="A1878" s="17">
        <f>Github!J$1877</f>
        <v>1876</v>
      </c>
      <c r="B1878" s="34" t="str">
        <f>HYPERLINK(CONCAT("http://leetcode.com/problems/",Github!C$1877), Github!B$1877)</f>
        <v>Substrings of Size Three with Distinct Characters</v>
      </c>
      <c r="C1878" s="17">
        <f>Github!F$1877</f>
        <v>514</v>
      </c>
      <c r="D1878" s="17">
        <f>Github!G$1877</f>
        <v>17</v>
      </c>
      <c r="E1878" s="17">
        <f>Github!F$1877+Github!G$1877</f>
        <v>531</v>
      </c>
      <c r="F1878" s="18">
        <f t="shared" si="1"/>
        <v>30.24</v>
      </c>
      <c r="G1878" s="17" t="str">
        <f>Github!H$1877</f>
        <v>Algorithms</v>
      </c>
      <c r="H1878" s="17" t="b">
        <f>Github!D$1877</f>
        <v>0</v>
      </c>
      <c r="I1878" s="17" t="str">
        <f>Github!E$1877</f>
        <v>Easy</v>
      </c>
      <c r="J1878" s="17" t="str">
        <f>ROUND(Github!N$1877, 2)&amp;"%"</f>
        <v>0%</v>
      </c>
      <c r="K1878" s="17">
        <f>Github!O$1877</f>
        <v>69.49959386</v>
      </c>
      <c r="L1878" s="17">
        <f>Github!P$1877</f>
        <v>36791</v>
      </c>
    </row>
    <row r="1879">
      <c r="A1879" s="17">
        <f>Github!J$1878</f>
        <v>1877</v>
      </c>
      <c r="B1879" s="34" t="str">
        <f>HYPERLINK(CONCAT("http://leetcode.com/problems/",Github!C$1878), Github!B$1878)</f>
        <v>Minimize Maximum Pair Sum in Array</v>
      </c>
      <c r="C1879" s="17">
        <f>Github!F$1878</f>
        <v>572</v>
      </c>
      <c r="D1879" s="17">
        <f>Github!G$1878</f>
        <v>148</v>
      </c>
      <c r="E1879" s="17">
        <f>Github!F$1878+Github!G$1878</f>
        <v>720</v>
      </c>
      <c r="F1879" s="18">
        <f t="shared" si="1"/>
        <v>3.86</v>
      </c>
      <c r="G1879" s="17" t="str">
        <f>Github!H$1878</f>
        <v>Algorithms</v>
      </c>
      <c r="H1879" s="17" t="b">
        <f>Github!D$1878</f>
        <v>0</v>
      </c>
      <c r="I1879" s="17" t="str">
        <f>Github!E$1878</f>
        <v>Medium</v>
      </c>
      <c r="J1879" s="17" t="str">
        <f>ROUND(Github!N$1878, 2)&amp;"%"</f>
        <v>0%</v>
      </c>
      <c r="K1879" s="17">
        <f>Github!O$1878</f>
        <v>80.60883241</v>
      </c>
      <c r="L1879" s="17">
        <f>Github!P$1878</f>
        <v>44592</v>
      </c>
    </row>
    <row r="1880">
      <c r="A1880" s="17">
        <f>Github!J$1879</f>
        <v>1878</v>
      </c>
      <c r="B1880" s="34" t="str">
        <f>HYPERLINK(CONCAT("http://leetcode.com/problems/",Github!C$1879), Github!B$1879)</f>
        <v>Get Biggest Three Rhombus Sums in a Grid</v>
      </c>
      <c r="C1880" s="17">
        <f>Github!F$1879</f>
        <v>124</v>
      </c>
      <c r="D1880" s="17">
        <f>Github!G$1879</f>
        <v>323</v>
      </c>
      <c r="E1880" s="17">
        <f>Github!F$1879+Github!G$1879</f>
        <v>447</v>
      </c>
      <c r="F1880" s="18">
        <f t="shared" si="1"/>
        <v>0.38</v>
      </c>
      <c r="G1880" s="17" t="str">
        <f>Github!H$1879</f>
        <v>Algorithms</v>
      </c>
      <c r="H1880" s="17" t="b">
        <f>Github!D$1879</f>
        <v>0</v>
      </c>
      <c r="I1880" s="17" t="str">
        <f>Github!E$1879</f>
        <v>Medium</v>
      </c>
      <c r="J1880" s="17" t="str">
        <f>ROUND(Github!N$1879, 2)&amp;"%"</f>
        <v>0%</v>
      </c>
      <c r="K1880" s="17">
        <f>Github!O$1879</f>
        <v>44.70755762</v>
      </c>
      <c r="L1880" s="17">
        <f>Github!P$1879</f>
        <v>8476</v>
      </c>
    </row>
    <row r="1881">
      <c r="A1881" s="17">
        <f>Github!J$1880</f>
        <v>1879</v>
      </c>
      <c r="B1881" s="34" t="str">
        <f>HYPERLINK(CONCAT("http://leetcode.com/problems/",Github!C$1880), Github!B$1880)</f>
        <v>Minimum XOR Sum of Two Arrays</v>
      </c>
      <c r="C1881" s="17">
        <f>Github!F$1880</f>
        <v>386</v>
      </c>
      <c r="D1881" s="17">
        <f>Github!G$1880</f>
        <v>7</v>
      </c>
      <c r="E1881" s="17">
        <f>Github!F$1880+Github!G$1880</f>
        <v>393</v>
      </c>
      <c r="F1881" s="18">
        <f t="shared" si="1"/>
        <v>55.14</v>
      </c>
      <c r="G1881" s="17" t="str">
        <f>Github!H$1880</f>
        <v>Algorithms</v>
      </c>
      <c r="H1881" s="17" t="b">
        <f>Github!D$1880</f>
        <v>0</v>
      </c>
      <c r="I1881" s="17" t="str">
        <f>Github!E$1880</f>
        <v>Hard</v>
      </c>
      <c r="J1881" s="17" t="str">
        <f>ROUND(Github!N$1880, 2)&amp;"%"</f>
        <v>0%</v>
      </c>
      <c r="K1881" s="17">
        <f>Github!O$1880</f>
        <v>41.84041474</v>
      </c>
      <c r="L1881" s="17">
        <f>Github!P$1880</f>
        <v>7424</v>
      </c>
    </row>
    <row r="1882">
      <c r="A1882" s="17">
        <f>Github!J$1881</f>
        <v>1880</v>
      </c>
      <c r="B1882" s="34" t="str">
        <f>HYPERLINK(CONCAT("http://leetcode.com/problems/",Github!C$1881), Github!B$1881)</f>
        <v>Check if Word Equals Summation of Two Words</v>
      </c>
      <c r="C1882" s="17">
        <f>Github!F$1881</f>
        <v>306</v>
      </c>
      <c r="D1882" s="17">
        <f>Github!G$1881</f>
        <v>18</v>
      </c>
      <c r="E1882" s="17">
        <f>Github!F$1881+Github!G$1881</f>
        <v>324</v>
      </c>
      <c r="F1882" s="18">
        <f t="shared" si="1"/>
        <v>17</v>
      </c>
      <c r="G1882" s="17" t="str">
        <f>Github!H$1881</f>
        <v>Algorithms</v>
      </c>
      <c r="H1882" s="17" t="b">
        <f>Github!D$1881</f>
        <v>0</v>
      </c>
      <c r="I1882" s="17" t="str">
        <f>Github!E$1881</f>
        <v>Easy</v>
      </c>
      <c r="J1882" s="17" t="str">
        <f>ROUND(Github!N$1881, 2)&amp;"%"</f>
        <v>0%</v>
      </c>
      <c r="K1882" s="17">
        <f>Github!O$1881</f>
        <v>73.10701421</v>
      </c>
      <c r="L1882" s="17">
        <f>Github!P$1881</f>
        <v>37750</v>
      </c>
    </row>
    <row r="1883">
      <c r="A1883" s="17">
        <f>Github!J$1882</f>
        <v>1881</v>
      </c>
      <c r="B1883" s="34" t="str">
        <f>HYPERLINK(CONCAT("http://leetcode.com/problems/",Github!C$1882), Github!B$1882)</f>
        <v>Maximum Value after Insertion</v>
      </c>
      <c r="C1883" s="17">
        <f>Github!F$1882</f>
        <v>226</v>
      </c>
      <c r="D1883" s="17">
        <f>Github!G$1882</f>
        <v>40</v>
      </c>
      <c r="E1883" s="17">
        <f>Github!F$1882+Github!G$1882</f>
        <v>266</v>
      </c>
      <c r="F1883" s="18">
        <f t="shared" si="1"/>
        <v>5.65</v>
      </c>
      <c r="G1883" s="17" t="str">
        <f>Github!H$1882</f>
        <v>Algorithms</v>
      </c>
      <c r="H1883" s="17" t="b">
        <f>Github!D$1882</f>
        <v>0</v>
      </c>
      <c r="I1883" s="17" t="str">
        <f>Github!E$1882</f>
        <v>Medium</v>
      </c>
      <c r="J1883" s="17" t="str">
        <f>ROUND(Github!N$1882, 2)&amp;"%"</f>
        <v>0%</v>
      </c>
      <c r="K1883" s="17">
        <f>Github!O$1882</f>
        <v>35.55429484</v>
      </c>
      <c r="L1883" s="17">
        <f>Github!P$1882</f>
        <v>16921</v>
      </c>
    </row>
    <row r="1884">
      <c r="A1884" s="17">
        <f>Github!J$1883</f>
        <v>1882</v>
      </c>
      <c r="B1884" s="34" t="str">
        <f>HYPERLINK(CONCAT("http://leetcode.com/problems/",Github!C$1883), Github!B$1883)</f>
        <v>Process Tasks Using Servers</v>
      </c>
      <c r="C1884" s="17">
        <f>Github!F$1883</f>
        <v>533</v>
      </c>
      <c r="D1884" s="17">
        <f>Github!G$1883</f>
        <v>155</v>
      </c>
      <c r="E1884" s="17">
        <f>Github!F$1883+Github!G$1883</f>
        <v>688</v>
      </c>
      <c r="F1884" s="18">
        <f t="shared" si="1"/>
        <v>3.44</v>
      </c>
      <c r="G1884" s="17" t="str">
        <f>Github!H$1883</f>
        <v>Algorithms</v>
      </c>
      <c r="H1884" s="17" t="b">
        <f>Github!D$1883</f>
        <v>0</v>
      </c>
      <c r="I1884" s="17" t="str">
        <f>Github!E$1883</f>
        <v>Medium</v>
      </c>
      <c r="J1884" s="17" t="str">
        <f>ROUND(Github!N$1883, 2)&amp;"%"</f>
        <v>0%</v>
      </c>
      <c r="K1884" s="17">
        <f>Github!O$1883</f>
        <v>36.94720482</v>
      </c>
      <c r="L1884" s="17">
        <f>Github!P$1883</f>
        <v>15690</v>
      </c>
    </row>
    <row r="1885">
      <c r="A1885" s="17">
        <f>Github!J$1884</f>
        <v>1883</v>
      </c>
      <c r="B1885" s="34" t="str">
        <f>HYPERLINK(CONCAT("http://leetcode.com/problems/",Github!C$1884), Github!B$1884)</f>
        <v>Minimum Skips to Arrive at Meeting On Time</v>
      </c>
      <c r="C1885" s="17">
        <f>Github!F$1884</f>
        <v>200</v>
      </c>
      <c r="D1885" s="17">
        <f>Github!G$1884</f>
        <v>39</v>
      </c>
      <c r="E1885" s="17">
        <f>Github!F$1884+Github!G$1884</f>
        <v>239</v>
      </c>
      <c r="F1885" s="18">
        <f t="shared" si="1"/>
        <v>5.13</v>
      </c>
      <c r="G1885" s="17" t="str">
        <f>Github!H$1884</f>
        <v>Algorithms</v>
      </c>
      <c r="H1885" s="17" t="b">
        <f>Github!D$1884</f>
        <v>0</v>
      </c>
      <c r="I1885" s="17" t="str">
        <f>Github!E$1884</f>
        <v>Hard</v>
      </c>
      <c r="J1885" s="17" t="str">
        <f>ROUND(Github!N$1884, 2)&amp;"%"</f>
        <v>0%</v>
      </c>
      <c r="K1885" s="17">
        <f>Github!O$1884</f>
        <v>38.67849925</v>
      </c>
      <c r="L1885" s="17">
        <f>Github!P$1884</f>
        <v>4402</v>
      </c>
    </row>
    <row r="1886">
      <c r="A1886" s="17">
        <f>Github!J$1885</f>
        <v>1884</v>
      </c>
      <c r="B1886" s="34" t="str">
        <f>HYPERLINK(CONCAT("http://leetcode.com/problems/",Github!C$1885), Github!B$1885)</f>
        <v>Egg Drop With 2 Eggs and N Floors</v>
      </c>
      <c r="C1886" s="17">
        <f>Github!F$1885</f>
        <v>642</v>
      </c>
      <c r="D1886" s="17">
        <f>Github!G$1885</f>
        <v>56</v>
      </c>
      <c r="E1886" s="17">
        <f>Github!F$1885+Github!G$1885</f>
        <v>698</v>
      </c>
      <c r="F1886" s="18">
        <f t="shared" si="1"/>
        <v>11.46</v>
      </c>
      <c r="G1886" s="17" t="str">
        <f>Github!H$1885</f>
        <v>Algorithms</v>
      </c>
      <c r="H1886" s="17" t="b">
        <f>Github!D$1885</f>
        <v>0</v>
      </c>
      <c r="I1886" s="17" t="str">
        <f>Github!E$1885</f>
        <v>Medium</v>
      </c>
      <c r="J1886" s="17" t="str">
        <f>ROUND(Github!N$1885, 2)&amp;"%"</f>
        <v>0%</v>
      </c>
      <c r="K1886" s="17">
        <f>Github!O$1885</f>
        <v>70.14151495</v>
      </c>
      <c r="L1886" s="17">
        <f>Github!P$1885</f>
        <v>17992</v>
      </c>
    </row>
    <row r="1887">
      <c r="A1887" s="17">
        <f>Github!J$1886</f>
        <v>1885</v>
      </c>
      <c r="B1887" s="34" t="str">
        <f>HYPERLINK(CONCAT("http://leetcode.com/problems/",Github!C$1886), Github!B$1886)</f>
        <v>Count Pairs in Two Arrays</v>
      </c>
      <c r="C1887" s="17">
        <f>Github!F$1886</f>
        <v>71</v>
      </c>
      <c r="D1887" s="17">
        <f>Github!G$1886</f>
        <v>4</v>
      </c>
      <c r="E1887" s="17">
        <f>Github!F$1886+Github!G$1886</f>
        <v>75</v>
      </c>
      <c r="F1887" s="18">
        <f t="shared" si="1"/>
        <v>17.75</v>
      </c>
      <c r="G1887" s="17" t="str">
        <f>Github!H$1886</f>
        <v>Algorithms</v>
      </c>
      <c r="H1887" s="17" t="b">
        <f>Github!D$1886</f>
        <v>1</v>
      </c>
      <c r="I1887" s="17" t="str">
        <f>Github!E$1886</f>
        <v>Medium</v>
      </c>
      <c r="J1887" s="17" t="str">
        <f>ROUND(Github!N$1886, 2)&amp;"%"</f>
        <v>0%</v>
      </c>
      <c r="K1887" s="17">
        <f>Github!O$1886</f>
        <v>57.79552716</v>
      </c>
      <c r="L1887" s="17">
        <f>Github!P$1886</f>
        <v>1809</v>
      </c>
    </row>
    <row r="1888">
      <c r="A1888" s="17">
        <f>Github!J$1887</f>
        <v>1886</v>
      </c>
      <c r="B1888" s="34" t="str">
        <f>HYPERLINK(CONCAT("http://leetcode.com/problems/",Github!C$1887), Github!B$1887)</f>
        <v>Determine Whether Matrix Can Be Obtained By Rotation</v>
      </c>
      <c r="C1888" s="17">
        <f>Github!F$1887</f>
        <v>505</v>
      </c>
      <c r="D1888" s="17">
        <f>Github!G$1887</f>
        <v>46</v>
      </c>
      <c r="E1888" s="17">
        <f>Github!F$1887+Github!G$1887</f>
        <v>551</v>
      </c>
      <c r="F1888" s="18">
        <f t="shared" si="1"/>
        <v>10.98</v>
      </c>
      <c r="G1888" s="17" t="str">
        <f>Github!H$1887</f>
        <v>Algorithms</v>
      </c>
      <c r="H1888" s="17" t="b">
        <f>Github!D$1887</f>
        <v>0</v>
      </c>
      <c r="I1888" s="17" t="str">
        <f>Github!E$1887</f>
        <v>Easy</v>
      </c>
      <c r="J1888" s="17" t="str">
        <f>ROUND(Github!N$1887, 2)&amp;"%"</f>
        <v>0%</v>
      </c>
      <c r="K1888" s="17">
        <f>Github!O$1887</f>
        <v>54.68677689</v>
      </c>
      <c r="L1888" s="17">
        <f>Github!P$1887</f>
        <v>25995</v>
      </c>
    </row>
    <row r="1889">
      <c r="A1889" s="17">
        <f>Github!J$1888</f>
        <v>1887</v>
      </c>
      <c r="B1889" s="34" t="str">
        <f>HYPERLINK(CONCAT("http://leetcode.com/problems/",Github!C$1888), Github!B$1888)</f>
        <v>Reduction Operations to Make the Array Elements Equal</v>
      </c>
      <c r="C1889" s="17">
        <f>Github!F$1888</f>
        <v>316</v>
      </c>
      <c r="D1889" s="17">
        <f>Github!G$1888</f>
        <v>11</v>
      </c>
      <c r="E1889" s="17">
        <f>Github!F$1888+Github!G$1888</f>
        <v>327</v>
      </c>
      <c r="F1889" s="18">
        <f t="shared" si="1"/>
        <v>28.73</v>
      </c>
      <c r="G1889" s="17" t="str">
        <f>Github!H$1888</f>
        <v>Algorithms</v>
      </c>
      <c r="H1889" s="17" t="b">
        <f>Github!D$1888</f>
        <v>0</v>
      </c>
      <c r="I1889" s="17" t="str">
        <f>Github!E$1888</f>
        <v>Medium</v>
      </c>
      <c r="J1889" s="17" t="str">
        <f>ROUND(Github!N$1888, 2)&amp;"%"</f>
        <v>0%</v>
      </c>
      <c r="K1889" s="17">
        <f>Github!O$1888</f>
        <v>61.37825421</v>
      </c>
      <c r="L1889" s="17">
        <f>Github!P$1888</f>
        <v>16032</v>
      </c>
    </row>
    <row r="1890">
      <c r="A1890" s="17">
        <f>Github!J$1889</f>
        <v>1888</v>
      </c>
      <c r="B1890" s="34" t="str">
        <f>HYPERLINK(CONCAT("http://leetcode.com/problems/",Github!C$1889), Github!B$1889)</f>
        <v>Minimum Number of Flips to Make the Binary String Alternating</v>
      </c>
      <c r="C1890" s="17">
        <f>Github!F$1889</f>
        <v>597</v>
      </c>
      <c r="D1890" s="17">
        <f>Github!G$1889</f>
        <v>18</v>
      </c>
      <c r="E1890" s="17">
        <f>Github!F$1889+Github!G$1889</f>
        <v>615</v>
      </c>
      <c r="F1890" s="18">
        <f t="shared" si="1"/>
        <v>33.17</v>
      </c>
      <c r="G1890" s="17" t="str">
        <f>Github!H$1889</f>
        <v>Algorithms</v>
      </c>
      <c r="H1890" s="17" t="b">
        <f>Github!D$1889</f>
        <v>0</v>
      </c>
      <c r="I1890" s="17" t="str">
        <f>Github!E$1889</f>
        <v>Medium</v>
      </c>
      <c r="J1890" s="17" t="str">
        <f>ROUND(Github!N$1889, 2)&amp;"%"</f>
        <v>0%</v>
      </c>
      <c r="K1890" s="17">
        <f>Github!O$1889</f>
        <v>36.69306221</v>
      </c>
      <c r="L1890" s="17">
        <f>Github!P$1889</f>
        <v>11258</v>
      </c>
    </row>
    <row r="1891">
      <c r="A1891" s="17">
        <f>Github!J$1890</f>
        <v>1889</v>
      </c>
      <c r="B1891" s="34" t="str">
        <f>HYPERLINK(CONCAT("http://leetcode.com/problems/",Github!C$1890), Github!B$1890)</f>
        <v>Minimum Space Wasted From Packaging</v>
      </c>
      <c r="C1891" s="17">
        <f>Github!F$1890</f>
        <v>234</v>
      </c>
      <c r="D1891" s="17">
        <f>Github!G$1890</f>
        <v>27</v>
      </c>
      <c r="E1891" s="17">
        <f>Github!F$1890+Github!G$1890</f>
        <v>261</v>
      </c>
      <c r="F1891" s="18">
        <f t="shared" si="1"/>
        <v>8.67</v>
      </c>
      <c r="G1891" s="17" t="str">
        <f>Github!H$1890</f>
        <v>Algorithms</v>
      </c>
      <c r="H1891" s="17" t="b">
        <f>Github!D$1890</f>
        <v>0</v>
      </c>
      <c r="I1891" s="17" t="str">
        <f>Github!E$1890</f>
        <v>Hard</v>
      </c>
      <c r="J1891" s="17" t="str">
        <f>ROUND(Github!N$1890, 2)&amp;"%"</f>
        <v>0%</v>
      </c>
      <c r="K1891" s="17">
        <f>Github!O$1890</f>
        <v>29.92065107</v>
      </c>
      <c r="L1891" s="17">
        <f>Github!P$1890</f>
        <v>7353</v>
      </c>
    </row>
    <row r="1892">
      <c r="A1892" s="17">
        <f>Github!J$1891</f>
        <v>1890</v>
      </c>
      <c r="B1892" s="34" t="str">
        <f>HYPERLINK(CONCAT("http://leetcode.com/problems/",Github!C$1891), Github!B$1891)</f>
        <v>The Latest Login in 2020</v>
      </c>
      <c r="C1892" s="17">
        <f>Github!F$1891</f>
        <v>31</v>
      </c>
      <c r="D1892" s="17">
        <f>Github!G$1891</f>
        <v>0</v>
      </c>
      <c r="E1892" s="17">
        <f>Github!F$1891+Github!G$1891</f>
        <v>31</v>
      </c>
      <c r="F1892" s="18" t="str">
        <f t="shared" si="1"/>
        <v>#DIV/0!</v>
      </c>
      <c r="G1892" s="17" t="str">
        <f>Github!H$1891</f>
        <v>Database</v>
      </c>
      <c r="H1892" s="17" t="b">
        <f>Github!D$1891</f>
        <v>1</v>
      </c>
      <c r="I1892" s="17" t="str">
        <f>Github!E$1891</f>
        <v>Easy</v>
      </c>
      <c r="J1892" s="17" t="str">
        <f>ROUND(Github!N$1891, 2)&amp;"%"</f>
        <v>0%</v>
      </c>
      <c r="K1892" s="17">
        <f>Github!O$1891</f>
        <v>83.92067533</v>
      </c>
      <c r="L1892" s="17">
        <f>Github!P$1891</f>
        <v>6263</v>
      </c>
    </row>
    <row r="1893">
      <c r="A1893" s="17">
        <f>Github!J$1892</f>
        <v>1891</v>
      </c>
      <c r="B1893" s="34" t="str">
        <f>HYPERLINK(CONCAT("http://leetcode.com/problems/",Github!C$1892), Github!B$1892)</f>
        <v>Cutting Ribbons</v>
      </c>
      <c r="C1893" s="17">
        <f>Github!F$1892</f>
        <v>310</v>
      </c>
      <c r="D1893" s="17">
        <f>Github!G$1892</f>
        <v>17</v>
      </c>
      <c r="E1893" s="17">
        <f>Github!F$1892+Github!G$1892</f>
        <v>327</v>
      </c>
      <c r="F1893" s="18">
        <f t="shared" si="1"/>
        <v>18.24</v>
      </c>
      <c r="G1893" s="17" t="str">
        <f>Github!H$1892</f>
        <v>Algorithms</v>
      </c>
      <c r="H1893" s="17" t="b">
        <f>Github!D$1892</f>
        <v>1</v>
      </c>
      <c r="I1893" s="17" t="str">
        <f>Github!E$1892</f>
        <v>Medium</v>
      </c>
      <c r="J1893" s="17" t="str">
        <f>ROUND(Github!N$1892, 2)&amp;"%"</f>
        <v>0%</v>
      </c>
      <c r="K1893" s="17">
        <f>Github!O$1892</f>
        <v>48.45450728</v>
      </c>
      <c r="L1893" s="17">
        <f>Github!P$1892</f>
        <v>30004</v>
      </c>
    </row>
    <row r="1894">
      <c r="A1894" s="17">
        <f>Github!J$1893</f>
        <v>1892</v>
      </c>
      <c r="B1894" s="34" t="str">
        <f>HYPERLINK(CONCAT("http://leetcode.com/problems/",Github!C$1893), Github!B$1893)</f>
        <v>Page Recommendations II</v>
      </c>
      <c r="C1894" s="17">
        <f>Github!F$1893</f>
        <v>47</v>
      </c>
      <c r="D1894" s="17">
        <f>Github!G$1893</f>
        <v>11</v>
      </c>
      <c r="E1894" s="17">
        <f>Github!F$1893+Github!G$1893</f>
        <v>58</v>
      </c>
      <c r="F1894" s="18">
        <f t="shared" si="1"/>
        <v>4.27</v>
      </c>
      <c r="G1894" s="17" t="str">
        <f>Github!H$1893</f>
        <v>Database</v>
      </c>
      <c r="H1894" s="17" t="b">
        <f>Github!D$1893</f>
        <v>1</v>
      </c>
      <c r="I1894" s="17" t="str">
        <f>Github!E$1893</f>
        <v>Hard</v>
      </c>
      <c r="J1894" s="17" t="str">
        <f>ROUND(Github!N$1893, 2)&amp;"%"</f>
        <v>0%</v>
      </c>
      <c r="K1894" s="17">
        <f>Github!O$1893</f>
        <v>43.99126995</v>
      </c>
      <c r="L1894" s="17">
        <f>Github!P$1893</f>
        <v>3225</v>
      </c>
    </row>
    <row r="1895">
      <c r="A1895" s="17">
        <f>Github!J$1894</f>
        <v>1893</v>
      </c>
      <c r="B1895" s="34" t="str">
        <f>HYPERLINK(CONCAT("http://leetcode.com/problems/",Github!C$1894), Github!B$1894)</f>
        <v>Check if All the Integers in a Range Are Covered</v>
      </c>
      <c r="C1895" s="17">
        <f>Github!F$1894</f>
        <v>240</v>
      </c>
      <c r="D1895" s="17">
        <f>Github!G$1894</f>
        <v>51</v>
      </c>
      <c r="E1895" s="17">
        <f>Github!F$1894+Github!G$1894</f>
        <v>291</v>
      </c>
      <c r="F1895" s="18">
        <f t="shared" si="1"/>
        <v>4.71</v>
      </c>
      <c r="G1895" s="17" t="str">
        <f>Github!H$1894</f>
        <v>Algorithms</v>
      </c>
      <c r="H1895" s="17" t="b">
        <f>Github!D$1894</f>
        <v>0</v>
      </c>
      <c r="I1895" s="17" t="str">
        <f>Github!E$1894</f>
        <v>Easy</v>
      </c>
      <c r="J1895" s="17" t="str">
        <f>ROUND(Github!N$1894, 2)&amp;"%"</f>
        <v>0%</v>
      </c>
      <c r="K1895" s="17">
        <f>Github!O$1894</f>
        <v>50.82178703</v>
      </c>
      <c r="L1895" s="17">
        <f>Github!P$1894</f>
        <v>19697</v>
      </c>
    </row>
    <row r="1896">
      <c r="A1896" s="17">
        <f>Github!J$1895</f>
        <v>1894</v>
      </c>
      <c r="B1896" s="34" t="str">
        <f>HYPERLINK(CONCAT("http://leetcode.com/problems/",Github!C$1895), Github!B$1895)</f>
        <v>Find the Student that Will Replace the Chalk</v>
      </c>
      <c r="C1896" s="17">
        <f>Github!F$1895</f>
        <v>204</v>
      </c>
      <c r="D1896" s="17">
        <f>Github!G$1895</f>
        <v>34</v>
      </c>
      <c r="E1896" s="17">
        <f>Github!F$1895+Github!G$1895</f>
        <v>238</v>
      </c>
      <c r="F1896" s="18">
        <f t="shared" si="1"/>
        <v>6</v>
      </c>
      <c r="G1896" s="17" t="str">
        <f>Github!H$1895</f>
        <v>Algorithms</v>
      </c>
      <c r="H1896" s="17" t="b">
        <f>Github!D$1895</f>
        <v>0</v>
      </c>
      <c r="I1896" s="17" t="str">
        <f>Github!E$1895</f>
        <v>Medium</v>
      </c>
      <c r="J1896" s="17" t="str">
        <f>ROUND(Github!N$1895, 2)&amp;"%"</f>
        <v>0%</v>
      </c>
      <c r="K1896" s="17">
        <f>Github!O$1895</f>
        <v>40.46098158</v>
      </c>
      <c r="L1896" s="17">
        <f>Github!P$1895</f>
        <v>15202</v>
      </c>
    </row>
    <row r="1897">
      <c r="A1897" s="17">
        <f>Github!J$1896</f>
        <v>1895</v>
      </c>
      <c r="B1897" s="34" t="str">
        <f>HYPERLINK(CONCAT("http://leetcode.com/problems/",Github!C$1896), Github!B$1896)</f>
        <v>Largest Magic Square</v>
      </c>
      <c r="C1897" s="17">
        <f>Github!F$1896</f>
        <v>176</v>
      </c>
      <c r="D1897" s="17">
        <f>Github!G$1896</f>
        <v>195</v>
      </c>
      <c r="E1897" s="17">
        <f>Github!F$1896+Github!G$1896</f>
        <v>371</v>
      </c>
      <c r="F1897" s="18">
        <f t="shared" si="1"/>
        <v>0.9</v>
      </c>
      <c r="G1897" s="17" t="str">
        <f>Github!H$1896</f>
        <v>Algorithms</v>
      </c>
      <c r="H1897" s="17" t="b">
        <f>Github!D$1896</f>
        <v>0</v>
      </c>
      <c r="I1897" s="17" t="str">
        <f>Github!E$1896</f>
        <v>Medium</v>
      </c>
      <c r="J1897" s="17" t="str">
        <f>ROUND(Github!N$1896, 2)&amp;"%"</f>
        <v>0%</v>
      </c>
      <c r="K1897" s="17">
        <f>Github!O$1896</f>
        <v>51.12148871</v>
      </c>
      <c r="L1897" s="17">
        <f>Github!P$1896</f>
        <v>7224</v>
      </c>
    </row>
    <row r="1898">
      <c r="A1898" s="17">
        <f>Github!J$1897</f>
        <v>1896</v>
      </c>
      <c r="B1898" s="34" t="str">
        <f>HYPERLINK(CONCAT("http://leetcode.com/problems/",Github!C$1897), Github!B$1897)</f>
        <v>Minimum Cost to Change the Final Value of Expression</v>
      </c>
      <c r="C1898" s="17">
        <f>Github!F$1897</f>
        <v>149</v>
      </c>
      <c r="D1898" s="17">
        <f>Github!G$1897</f>
        <v>33</v>
      </c>
      <c r="E1898" s="17">
        <f>Github!F$1897+Github!G$1897</f>
        <v>182</v>
      </c>
      <c r="F1898" s="18">
        <f t="shared" si="1"/>
        <v>4.52</v>
      </c>
      <c r="G1898" s="17" t="str">
        <f>Github!H$1897</f>
        <v>Algorithms</v>
      </c>
      <c r="H1898" s="17" t="b">
        <f>Github!D$1897</f>
        <v>0</v>
      </c>
      <c r="I1898" s="17" t="str">
        <f>Github!E$1897</f>
        <v>Hard</v>
      </c>
      <c r="J1898" s="17" t="str">
        <f>ROUND(Github!N$1897, 2)&amp;"%"</f>
        <v>0%</v>
      </c>
      <c r="K1898" s="17">
        <f>Github!O$1897</f>
        <v>53.33480079</v>
      </c>
      <c r="L1898" s="17">
        <f>Github!P$1897</f>
        <v>2423</v>
      </c>
    </row>
    <row r="1899">
      <c r="A1899" s="17">
        <f>Github!J$1898</f>
        <v>1897</v>
      </c>
      <c r="B1899" s="34" t="str">
        <f>HYPERLINK(CONCAT("http://leetcode.com/problems/",Github!C$1898), Github!B$1898)</f>
        <v>Redistribute Characters to Make All Strings Equal</v>
      </c>
      <c r="C1899" s="17">
        <f>Github!F$1898</f>
        <v>244</v>
      </c>
      <c r="D1899" s="17">
        <f>Github!G$1898</f>
        <v>31</v>
      </c>
      <c r="E1899" s="17">
        <f>Github!F$1898+Github!G$1898</f>
        <v>275</v>
      </c>
      <c r="F1899" s="18">
        <f t="shared" si="1"/>
        <v>7.87</v>
      </c>
      <c r="G1899" s="17" t="str">
        <f>Github!H$1898</f>
        <v>Algorithms</v>
      </c>
      <c r="H1899" s="17" t="b">
        <f>Github!D$1898</f>
        <v>0</v>
      </c>
      <c r="I1899" s="17" t="str">
        <f>Github!E$1898</f>
        <v>Easy</v>
      </c>
      <c r="J1899" s="17" t="str">
        <f>ROUND(Github!N$1898, 2)&amp;"%"</f>
        <v>0%</v>
      </c>
      <c r="K1899" s="17">
        <f>Github!O$1898</f>
        <v>60.00230136</v>
      </c>
      <c r="L1899" s="17">
        <f>Github!P$1898</f>
        <v>20858</v>
      </c>
    </row>
    <row r="1900">
      <c r="A1900" s="17">
        <f>Github!J$1899</f>
        <v>1898</v>
      </c>
      <c r="B1900" s="34" t="str">
        <f>HYPERLINK(CONCAT("http://leetcode.com/problems/",Github!C$1899), Github!B$1899)</f>
        <v>Maximum Number of Removable Characters</v>
      </c>
      <c r="C1900" s="17">
        <f>Github!F$1899</f>
        <v>504</v>
      </c>
      <c r="D1900" s="17">
        <f>Github!G$1899</f>
        <v>61</v>
      </c>
      <c r="E1900" s="17">
        <f>Github!F$1899+Github!G$1899</f>
        <v>565</v>
      </c>
      <c r="F1900" s="18">
        <f t="shared" si="1"/>
        <v>8.26</v>
      </c>
      <c r="G1900" s="17" t="str">
        <f>Github!H$1899</f>
        <v>Algorithms</v>
      </c>
      <c r="H1900" s="17" t="b">
        <f>Github!D$1899</f>
        <v>0</v>
      </c>
      <c r="I1900" s="17" t="str">
        <f>Github!E$1899</f>
        <v>Medium</v>
      </c>
      <c r="J1900" s="17" t="str">
        <f>ROUND(Github!N$1899, 2)&amp;"%"</f>
        <v>0%</v>
      </c>
      <c r="K1900" s="17">
        <f>Github!O$1899</f>
        <v>35.14356866</v>
      </c>
      <c r="L1900" s="17">
        <f>Github!P$1899</f>
        <v>11713</v>
      </c>
    </row>
    <row r="1901">
      <c r="A1901" s="17">
        <f>Github!J$1900</f>
        <v>1899</v>
      </c>
      <c r="B1901" s="34" t="str">
        <f>HYPERLINK(CONCAT("http://leetcode.com/problems/",Github!C$1900), Github!B$1900)</f>
        <v>Merge Triplets to Form Target Triplet</v>
      </c>
      <c r="C1901" s="17">
        <f>Github!F$1900</f>
        <v>274</v>
      </c>
      <c r="D1901" s="17">
        <f>Github!G$1900</f>
        <v>23</v>
      </c>
      <c r="E1901" s="17">
        <f>Github!F$1900+Github!G$1900</f>
        <v>297</v>
      </c>
      <c r="F1901" s="18">
        <f t="shared" si="1"/>
        <v>11.91</v>
      </c>
      <c r="G1901" s="17" t="str">
        <f>Github!H$1900</f>
        <v>Algorithms</v>
      </c>
      <c r="H1901" s="17" t="b">
        <f>Github!D$1900</f>
        <v>0</v>
      </c>
      <c r="I1901" s="17" t="str">
        <f>Github!E$1900</f>
        <v>Medium</v>
      </c>
      <c r="J1901" s="17" t="str">
        <f>ROUND(Github!N$1900, 2)&amp;"%"</f>
        <v>0%</v>
      </c>
      <c r="K1901" s="17">
        <f>Github!O$1900</f>
        <v>60.83610451</v>
      </c>
      <c r="L1901" s="17">
        <f>Github!P$1900</f>
        <v>12806</v>
      </c>
    </row>
    <row r="1902">
      <c r="A1902" s="17">
        <f>Github!J$1901</f>
        <v>1900</v>
      </c>
      <c r="B1902" s="34" t="str">
        <f>HYPERLINK(CONCAT("http://leetcode.com/problems/",Github!C$1901), Github!B$1901)</f>
        <v>The Earliest and Latest Rounds Where Players Compete</v>
      </c>
      <c r="C1902" s="17">
        <f>Github!F$1901</f>
        <v>157</v>
      </c>
      <c r="D1902" s="17">
        <f>Github!G$1901</f>
        <v>13</v>
      </c>
      <c r="E1902" s="17">
        <f>Github!F$1901+Github!G$1901</f>
        <v>170</v>
      </c>
      <c r="F1902" s="18">
        <f t="shared" si="1"/>
        <v>12.08</v>
      </c>
      <c r="G1902" s="17" t="str">
        <f>Github!H$1901</f>
        <v>Algorithms</v>
      </c>
      <c r="H1902" s="17" t="b">
        <f>Github!D$1901</f>
        <v>0</v>
      </c>
      <c r="I1902" s="17" t="str">
        <f>Github!E$1901</f>
        <v>Hard</v>
      </c>
      <c r="J1902" s="17" t="str">
        <f>ROUND(Github!N$1901, 2)&amp;"%"</f>
        <v>0%</v>
      </c>
      <c r="K1902" s="17">
        <f>Github!O$1901</f>
        <v>51.38566553</v>
      </c>
      <c r="L1902" s="17">
        <f>Github!P$1901</f>
        <v>3764</v>
      </c>
    </row>
    <row r="1903">
      <c r="A1903" s="17">
        <f>Github!J$1902</f>
        <v>1901</v>
      </c>
      <c r="B1903" s="34" t="str">
        <f>HYPERLINK(CONCAT("http://leetcode.com/problems/",Github!C$1902), Github!B$1902)</f>
        <v>Find a Peak Element II</v>
      </c>
      <c r="C1903" s="17">
        <f>Github!F$1902</f>
        <v>612</v>
      </c>
      <c r="D1903" s="17">
        <f>Github!G$1902</f>
        <v>48</v>
      </c>
      <c r="E1903" s="17">
        <f>Github!F$1902+Github!G$1902</f>
        <v>660</v>
      </c>
      <c r="F1903" s="18">
        <f t="shared" si="1"/>
        <v>12.75</v>
      </c>
      <c r="G1903" s="17" t="str">
        <f>Github!H$1902</f>
        <v>Algorithms</v>
      </c>
      <c r="H1903" s="17" t="b">
        <f>Github!D$1902</f>
        <v>0</v>
      </c>
      <c r="I1903" s="17" t="str">
        <f>Github!E$1902</f>
        <v>Medium</v>
      </c>
      <c r="J1903" s="17" t="str">
        <f>ROUND(Github!N$1902, 2)&amp;"%"</f>
        <v>0%</v>
      </c>
      <c r="K1903" s="17">
        <f>Github!O$1902</f>
        <v>53.56649339</v>
      </c>
      <c r="L1903" s="17">
        <f>Github!P$1902</f>
        <v>16279</v>
      </c>
    </row>
    <row r="1904">
      <c r="A1904" s="17">
        <f>Github!J$1903</f>
        <v>1902</v>
      </c>
      <c r="B1904" s="34" t="str">
        <f>HYPERLINK(CONCAT("http://leetcode.com/problems/",Github!C$1903), Github!B$1903)</f>
        <v>Depth of BST Given Insertion Order</v>
      </c>
      <c r="C1904" s="17">
        <f>Github!F$1903</f>
        <v>57</v>
      </c>
      <c r="D1904" s="17">
        <f>Github!G$1903</f>
        <v>5</v>
      </c>
      <c r="E1904" s="17">
        <f>Github!F$1903+Github!G$1903</f>
        <v>62</v>
      </c>
      <c r="F1904" s="18">
        <f t="shared" si="1"/>
        <v>11.4</v>
      </c>
      <c r="G1904" s="17" t="str">
        <f>Github!H$1903</f>
        <v>Algorithms</v>
      </c>
      <c r="H1904" s="17" t="b">
        <f>Github!D$1903</f>
        <v>1</v>
      </c>
      <c r="I1904" s="17" t="str">
        <f>Github!E$1903</f>
        <v>Medium</v>
      </c>
      <c r="J1904" s="17" t="str">
        <f>ROUND(Github!N$1903, 2)&amp;"%"</f>
        <v>0%</v>
      </c>
      <c r="K1904" s="17">
        <f>Github!O$1903</f>
        <v>46.55929722</v>
      </c>
      <c r="L1904" s="17">
        <f>Github!P$1903</f>
        <v>1272</v>
      </c>
    </row>
    <row r="1905">
      <c r="A1905" s="17">
        <f>Github!J$1904</f>
        <v>1903</v>
      </c>
      <c r="B1905" s="34" t="str">
        <f>HYPERLINK(CONCAT("http://leetcode.com/problems/",Github!C$1904), Github!B$1904)</f>
        <v>Largest Odd Number in String</v>
      </c>
      <c r="C1905" s="17">
        <f>Github!F$1904</f>
        <v>332</v>
      </c>
      <c r="D1905" s="17">
        <f>Github!G$1904</f>
        <v>26</v>
      </c>
      <c r="E1905" s="17">
        <f>Github!F$1904+Github!G$1904</f>
        <v>358</v>
      </c>
      <c r="F1905" s="18">
        <f t="shared" si="1"/>
        <v>12.77</v>
      </c>
      <c r="G1905" s="17" t="str">
        <f>Github!H$1904</f>
        <v>Algorithms</v>
      </c>
      <c r="H1905" s="17" t="b">
        <f>Github!D$1904</f>
        <v>0</v>
      </c>
      <c r="I1905" s="17" t="str">
        <f>Github!E$1904</f>
        <v>Easy</v>
      </c>
      <c r="J1905" s="17" t="str">
        <f>ROUND(Github!N$1904, 2)&amp;"%"</f>
        <v>0%</v>
      </c>
      <c r="K1905" s="17">
        <f>Github!O$1904</f>
        <v>56.98034567</v>
      </c>
      <c r="L1905" s="17">
        <f>Github!P$1904</f>
        <v>29802</v>
      </c>
    </row>
    <row r="1906">
      <c r="A1906" s="17">
        <f>Github!J$1905</f>
        <v>1904</v>
      </c>
      <c r="B1906" s="34" t="str">
        <f>HYPERLINK(CONCAT("http://leetcode.com/problems/",Github!C$1905), Github!B$1905)</f>
        <v>The Number of Full Rounds You Have Played</v>
      </c>
      <c r="C1906" s="17">
        <f>Github!F$1905</f>
        <v>144</v>
      </c>
      <c r="D1906" s="17">
        <f>Github!G$1905</f>
        <v>201</v>
      </c>
      <c r="E1906" s="17">
        <f>Github!F$1905+Github!G$1905</f>
        <v>345</v>
      </c>
      <c r="F1906" s="18">
        <f t="shared" si="1"/>
        <v>0.72</v>
      </c>
      <c r="G1906" s="17" t="str">
        <f>Github!H$1905</f>
        <v>Algorithms</v>
      </c>
      <c r="H1906" s="17" t="b">
        <f>Github!D$1905</f>
        <v>0</v>
      </c>
      <c r="I1906" s="17" t="str">
        <f>Github!E$1905</f>
        <v>Medium</v>
      </c>
      <c r="J1906" s="17" t="str">
        <f>ROUND(Github!N$1905, 2)&amp;"%"</f>
        <v>0%</v>
      </c>
      <c r="K1906" s="17">
        <f>Github!O$1905</f>
        <v>47.39063463</v>
      </c>
      <c r="L1906" s="17">
        <f>Github!P$1905</f>
        <v>15383</v>
      </c>
    </row>
    <row r="1907">
      <c r="A1907" s="17">
        <f>Github!J$1906</f>
        <v>1905</v>
      </c>
      <c r="B1907" s="34" t="str">
        <f>HYPERLINK(CONCAT("http://leetcode.com/problems/",Github!C$1906), Github!B$1906)</f>
        <v>Count Sub Islands</v>
      </c>
      <c r="C1907" s="17">
        <f>Github!F$1906</f>
        <v>742</v>
      </c>
      <c r="D1907" s="17">
        <f>Github!G$1906</f>
        <v>25</v>
      </c>
      <c r="E1907" s="17">
        <f>Github!F$1906+Github!G$1906</f>
        <v>767</v>
      </c>
      <c r="F1907" s="18">
        <f t="shared" si="1"/>
        <v>29.68</v>
      </c>
      <c r="G1907" s="17" t="str">
        <f>Github!H$1906</f>
        <v>Algorithms</v>
      </c>
      <c r="H1907" s="17" t="b">
        <f>Github!D$1906</f>
        <v>0</v>
      </c>
      <c r="I1907" s="17" t="str">
        <f>Github!E$1906</f>
        <v>Medium</v>
      </c>
      <c r="J1907" s="17" t="str">
        <f>ROUND(Github!N$1906, 2)&amp;"%"</f>
        <v>0%</v>
      </c>
      <c r="K1907" s="17">
        <f>Github!O$1906</f>
        <v>64.24644801</v>
      </c>
      <c r="L1907" s="17">
        <f>Github!P$1906</f>
        <v>24192</v>
      </c>
    </row>
    <row r="1908">
      <c r="A1908" s="17">
        <f>Github!J$1907</f>
        <v>1906</v>
      </c>
      <c r="B1908" s="34" t="str">
        <f>HYPERLINK(CONCAT("http://leetcode.com/problems/",Github!C$1907), Github!B$1907)</f>
        <v>Minimum Absolute Difference Queries</v>
      </c>
      <c r="C1908" s="17">
        <f>Github!F$1907</f>
        <v>346</v>
      </c>
      <c r="D1908" s="17">
        <f>Github!G$1907</f>
        <v>28</v>
      </c>
      <c r="E1908" s="17">
        <f>Github!F$1907+Github!G$1907</f>
        <v>374</v>
      </c>
      <c r="F1908" s="18">
        <f t="shared" si="1"/>
        <v>12.36</v>
      </c>
      <c r="G1908" s="17" t="str">
        <f>Github!H$1907</f>
        <v>Algorithms</v>
      </c>
      <c r="H1908" s="17" t="b">
        <f>Github!D$1907</f>
        <v>0</v>
      </c>
      <c r="I1908" s="17" t="str">
        <f>Github!E$1907</f>
        <v>Medium</v>
      </c>
      <c r="J1908" s="17" t="str">
        <f>ROUND(Github!N$1907, 2)&amp;"%"</f>
        <v>0%</v>
      </c>
      <c r="K1908" s="17">
        <f>Github!O$1907</f>
        <v>42.72469588</v>
      </c>
      <c r="L1908" s="17">
        <f>Github!P$1907</f>
        <v>7235</v>
      </c>
    </row>
    <row r="1909">
      <c r="A1909" s="17">
        <f>Github!J$1908</f>
        <v>1907</v>
      </c>
      <c r="B1909" s="34" t="str">
        <f>HYPERLINK(CONCAT("http://leetcode.com/problems/",Github!C$1908), Github!B$1908)</f>
        <v>Count Salary Categories</v>
      </c>
      <c r="C1909" s="17">
        <f>Github!F$1908</f>
        <v>28</v>
      </c>
      <c r="D1909" s="17">
        <f>Github!G$1908</f>
        <v>13</v>
      </c>
      <c r="E1909" s="17">
        <f>Github!F$1908+Github!G$1908</f>
        <v>41</v>
      </c>
      <c r="F1909" s="18">
        <f t="shared" si="1"/>
        <v>2.15</v>
      </c>
      <c r="G1909" s="17" t="str">
        <f>Github!H$1908</f>
        <v>Database</v>
      </c>
      <c r="H1909" s="17" t="b">
        <f>Github!D$1908</f>
        <v>1</v>
      </c>
      <c r="I1909" s="17" t="str">
        <f>Github!E$1908</f>
        <v>Medium</v>
      </c>
      <c r="J1909" s="17" t="str">
        <f>ROUND(Github!N$1908, 2)&amp;"%"</f>
        <v>0%</v>
      </c>
      <c r="K1909" s="17">
        <f>Github!O$1908</f>
        <v>66.98240866</v>
      </c>
      <c r="L1909" s="17">
        <f>Github!P$1908</f>
        <v>4455</v>
      </c>
    </row>
    <row r="1910">
      <c r="A1910" s="17">
        <f>Github!J$1909</f>
        <v>1908</v>
      </c>
      <c r="B1910" s="34" t="str">
        <f>HYPERLINK(CONCAT("http://leetcode.com/problems/",Github!C$1909), Github!B$1909)</f>
        <v>Game of Nim</v>
      </c>
      <c r="C1910" s="17">
        <f>Github!F$1909</f>
        <v>24</v>
      </c>
      <c r="D1910" s="17">
        <f>Github!G$1909</f>
        <v>12</v>
      </c>
      <c r="E1910" s="17">
        <f>Github!F$1909+Github!G$1909</f>
        <v>36</v>
      </c>
      <c r="F1910" s="18">
        <f t="shared" si="1"/>
        <v>2</v>
      </c>
      <c r="G1910" s="17" t="str">
        <f>Github!H$1909</f>
        <v>Algorithms</v>
      </c>
      <c r="H1910" s="17" t="b">
        <f>Github!D$1909</f>
        <v>1</v>
      </c>
      <c r="I1910" s="17" t="str">
        <f>Github!E$1909</f>
        <v>Medium</v>
      </c>
      <c r="J1910" s="17" t="str">
        <f>ROUND(Github!N$1909, 2)&amp;"%"</f>
        <v>0%</v>
      </c>
      <c r="K1910" s="17">
        <f>Github!O$1909</f>
        <v>58.1733951</v>
      </c>
      <c r="L1910" s="17">
        <f>Github!P$1909</f>
        <v>879</v>
      </c>
    </row>
    <row r="1911">
      <c r="A1911" s="17">
        <f>Github!J$1910</f>
        <v>1909</v>
      </c>
      <c r="B1911" s="34" t="str">
        <f>HYPERLINK(CONCAT("http://leetcode.com/problems/",Github!C$1910), Github!B$1910)</f>
        <v>Remove One Element to Make the Array Strictly Increasing</v>
      </c>
      <c r="C1911" s="17">
        <f>Github!F$1910</f>
        <v>436</v>
      </c>
      <c r="D1911" s="17">
        <f>Github!G$1910</f>
        <v>191</v>
      </c>
      <c r="E1911" s="17">
        <f>Github!F$1910+Github!G$1910</f>
        <v>627</v>
      </c>
      <c r="F1911" s="18">
        <f t="shared" si="1"/>
        <v>2.28</v>
      </c>
      <c r="G1911" s="17" t="str">
        <f>Github!H$1910</f>
        <v>Algorithms</v>
      </c>
      <c r="H1911" s="17" t="b">
        <f>Github!D$1910</f>
        <v>0</v>
      </c>
      <c r="I1911" s="17" t="str">
        <f>Github!E$1910</f>
        <v>Easy</v>
      </c>
      <c r="J1911" s="17" t="str">
        <f>ROUND(Github!N$1910, 2)&amp;"%"</f>
        <v>0%</v>
      </c>
      <c r="K1911" s="17">
        <f>Github!O$1910</f>
        <v>27.51754333</v>
      </c>
      <c r="L1911" s="17">
        <f>Github!P$1910</f>
        <v>22939</v>
      </c>
    </row>
    <row r="1912">
      <c r="A1912" s="17">
        <f>Github!J$1911</f>
        <v>1910</v>
      </c>
      <c r="B1912" s="34" t="str">
        <f>HYPERLINK(CONCAT("http://leetcode.com/problems/",Github!C$1911), Github!B$1911)</f>
        <v>Remove All Occurrences of a Substring</v>
      </c>
      <c r="C1912" s="17">
        <f>Github!F$1911</f>
        <v>515</v>
      </c>
      <c r="D1912" s="17">
        <f>Github!G$1911</f>
        <v>30</v>
      </c>
      <c r="E1912" s="17">
        <f>Github!F$1911+Github!G$1911</f>
        <v>545</v>
      </c>
      <c r="F1912" s="18">
        <f t="shared" si="1"/>
        <v>17.17</v>
      </c>
      <c r="G1912" s="17" t="str">
        <f>Github!H$1911</f>
        <v>Algorithms</v>
      </c>
      <c r="H1912" s="17" t="b">
        <f>Github!D$1911</f>
        <v>0</v>
      </c>
      <c r="I1912" s="17" t="str">
        <f>Github!E$1911</f>
        <v>Medium</v>
      </c>
      <c r="J1912" s="17" t="str">
        <f>ROUND(Github!N$1911, 2)&amp;"%"</f>
        <v>0%</v>
      </c>
      <c r="K1912" s="17">
        <f>Github!O$1911</f>
        <v>71.85278503</v>
      </c>
      <c r="L1912" s="17">
        <f>Github!P$1911</f>
        <v>23955</v>
      </c>
    </row>
    <row r="1913">
      <c r="A1913" s="17">
        <f>Github!J$1912</f>
        <v>1911</v>
      </c>
      <c r="B1913" s="34" t="str">
        <f>HYPERLINK(CONCAT("http://leetcode.com/problems/",Github!C$1912), Github!B$1912)</f>
        <v>Maximum Alternating Subsequence Sum</v>
      </c>
      <c r="C1913" s="17">
        <f>Github!F$1912</f>
        <v>599</v>
      </c>
      <c r="D1913" s="17">
        <f>Github!G$1912</f>
        <v>10</v>
      </c>
      <c r="E1913" s="17">
        <f>Github!F$1912+Github!G$1912</f>
        <v>609</v>
      </c>
      <c r="F1913" s="18">
        <f t="shared" si="1"/>
        <v>59.9</v>
      </c>
      <c r="G1913" s="17" t="str">
        <f>Github!H$1912</f>
        <v>Algorithms</v>
      </c>
      <c r="H1913" s="17" t="b">
        <f>Github!D$1912</f>
        <v>0</v>
      </c>
      <c r="I1913" s="17" t="str">
        <f>Github!E$1912</f>
        <v>Medium</v>
      </c>
      <c r="J1913" s="17" t="str">
        <f>ROUND(Github!N$1912, 2)&amp;"%"</f>
        <v>0%</v>
      </c>
      <c r="K1913" s="17">
        <f>Github!O$1912</f>
        <v>58.77055921</v>
      </c>
      <c r="L1913" s="17">
        <f>Github!P$1912</f>
        <v>14289</v>
      </c>
    </row>
    <row r="1914">
      <c r="A1914" s="17">
        <f>Github!J$1913</f>
        <v>1912</v>
      </c>
      <c r="B1914" s="34" t="str">
        <f>HYPERLINK(CONCAT("http://leetcode.com/problems/",Github!C$1913), Github!B$1913)</f>
        <v>Design Movie Rental System</v>
      </c>
      <c r="C1914" s="17">
        <f>Github!F$1913</f>
        <v>138</v>
      </c>
      <c r="D1914" s="17">
        <f>Github!G$1913</f>
        <v>27</v>
      </c>
      <c r="E1914" s="17">
        <f>Github!F$1913+Github!G$1913</f>
        <v>165</v>
      </c>
      <c r="F1914" s="18">
        <f t="shared" si="1"/>
        <v>5.11</v>
      </c>
      <c r="G1914" s="17" t="str">
        <f>Github!H$1913</f>
        <v>Algorithms</v>
      </c>
      <c r="H1914" s="17" t="b">
        <f>Github!D$1913</f>
        <v>0</v>
      </c>
      <c r="I1914" s="17" t="str">
        <f>Github!E$1913</f>
        <v>Hard</v>
      </c>
      <c r="J1914" s="17" t="str">
        <f>ROUND(Github!N$1913, 2)&amp;"%"</f>
        <v>0%</v>
      </c>
      <c r="K1914" s="17">
        <f>Github!O$1913</f>
        <v>42.7297668</v>
      </c>
      <c r="L1914" s="17">
        <f>Github!P$1913</f>
        <v>3738</v>
      </c>
    </row>
    <row r="1915">
      <c r="A1915" s="17">
        <f>Github!J$1914</f>
        <v>1913</v>
      </c>
      <c r="B1915" s="34" t="str">
        <f>HYPERLINK(CONCAT("http://leetcode.com/problems/",Github!C$1914), Github!B$1914)</f>
        <v>Maximum Product Difference Between Two Pairs</v>
      </c>
      <c r="C1915" s="17">
        <f>Github!F$1914</f>
        <v>373</v>
      </c>
      <c r="D1915" s="17">
        <f>Github!G$1914</f>
        <v>18</v>
      </c>
      <c r="E1915" s="17">
        <f>Github!F$1914+Github!G$1914</f>
        <v>391</v>
      </c>
      <c r="F1915" s="18">
        <f t="shared" si="1"/>
        <v>20.72</v>
      </c>
      <c r="G1915" s="17" t="str">
        <f>Github!H$1914</f>
        <v>Algorithms</v>
      </c>
      <c r="H1915" s="17" t="b">
        <f>Github!D$1914</f>
        <v>0</v>
      </c>
      <c r="I1915" s="17" t="str">
        <f>Github!E$1914</f>
        <v>Easy</v>
      </c>
      <c r="J1915" s="17" t="str">
        <f>ROUND(Github!N$1914, 2)&amp;"%"</f>
        <v>0%</v>
      </c>
      <c r="K1915" s="17">
        <f>Github!O$1914</f>
        <v>81.24920999</v>
      </c>
      <c r="L1915" s="17">
        <f>Github!P$1914</f>
        <v>44994</v>
      </c>
    </row>
    <row r="1916">
      <c r="A1916" s="17">
        <f>Github!J$1915</f>
        <v>1914</v>
      </c>
      <c r="B1916" s="34" t="str">
        <f>HYPERLINK(CONCAT("http://leetcode.com/problems/",Github!C$1915), Github!B$1915)</f>
        <v>Cyclically Rotating a Grid</v>
      </c>
      <c r="C1916" s="17">
        <f>Github!F$1915</f>
        <v>164</v>
      </c>
      <c r="D1916" s="17">
        <f>Github!G$1915</f>
        <v>222</v>
      </c>
      <c r="E1916" s="17">
        <f>Github!F$1915+Github!G$1915</f>
        <v>386</v>
      </c>
      <c r="F1916" s="18">
        <f t="shared" si="1"/>
        <v>0.74</v>
      </c>
      <c r="G1916" s="17" t="str">
        <f>Github!H$1915</f>
        <v>Algorithms</v>
      </c>
      <c r="H1916" s="17" t="b">
        <f>Github!D$1915</f>
        <v>0</v>
      </c>
      <c r="I1916" s="17" t="str">
        <f>Github!E$1915</f>
        <v>Medium</v>
      </c>
      <c r="J1916" s="17" t="str">
        <f>ROUND(Github!N$1915, 2)&amp;"%"</f>
        <v>0%</v>
      </c>
      <c r="K1916" s="17">
        <f>Github!O$1915</f>
        <v>46.5148016</v>
      </c>
      <c r="L1916" s="17">
        <f>Github!P$1915</f>
        <v>8862</v>
      </c>
    </row>
    <row r="1917">
      <c r="A1917" s="17">
        <f>Github!J$1916</f>
        <v>1915</v>
      </c>
      <c r="B1917" s="34" t="str">
        <f>HYPERLINK(CONCAT("http://leetcode.com/problems/",Github!C$1916), Github!B$1916)</f>
        <v>Number of Wonderful Substrings</v>
      </c>
      <c r="C1917" s="17">
        <f>Github!F$1916</f>
        <v>580</v>
      </c>
      <c r="D1917" s="17">
        <f>Github!G$1916</f>
        <v>42</v>
      </c>
      <c r="E1917" s="17">
        <f>Github!F$1916+Github!G$1916</f>
        <v>622</v>
      </c>
      <c r="F1917" s="18">
        <f t="shared" si="1"/>
        <v>13.81</v>
      </c>
      <c r="G1917" s="17" t="str">
        <f>Github!H$1916</f>
        <v>Algorithms</v>
      </c>
      <c r="H1917" s="17" t="b">
        <f>Github!D$1916</f>
        <v>0</v>
      </c>
      <c r="I1917" s="17" t="str">
        <f>Github!E$1916</f>
        <v>Medium</v>
      </c>
      <c r="J1917" s="17" t="str">
        <f>ROUND(Github!N$1916, 2)&amp;"%"</f>
        <v>0%</v>
      </c>
      <c r="K1917" s="17">
        <f>Github!O$1916</f>
        <v>43.23358404</v>
      </c>
      <c r="L1917" s="17">
        <f>Github!P$1916</f>
        <v>8105</v>
      </c>
    </row>
    <row r="1918">
      <c r="A1918" s="17">
        <f>Github!J$1917</f>
        <v>1916</v>
      </c>
      <c r="B1918" s="34" t="str">
        <f>HYPERLINK(CONCAT("http://leetcode.com/problems/",Github!C$1917), Github!B$1917)</f>
        <v>Count Ways to Build Rooms in an Ant Colony</v>
      </c>
      <c r="C1918" s="17">
        <f>Github!F$1917</f>
        <v>238</v>
      </c>
      <c r="D1918" s="17">
        <f>Github!G$1917</f>
        <v>30</v>
      </c>
      <c r="E1918" s="17">
        <f>Github!F$1917+Github!G$1917</f>
        <v>268</v>
      </c>
      <c r="F1918" s="18">
        <f t="shared" si="1"/>
        <v>7.93</v>
      </c>
      <c r="G1918" s="17" t="str">
        <f>Github!H$1917</f>
        <v>Algorithms</v>
      </c>
      <c r="H1918" s="17" t="b">
        <f>Github!D$1917</f>
        <v>0</v>
      </c>
      <c r="I1918" s="17" t="str">
        <f>Github!E$1917</f>
        <v>Hard</v>
      </c>
      <c r="J1918" s="17" t="str">
        <f>ROUND(Github!N$1917, 2)&amp;"%"</f>
        <v>0%</v>
      </c>
      <c r="K1918" s="17">
        <f>Github!O$1917</f>
        <v>48.29846583</v>
      </c>
      <c r="L1918" s="17">
        <f>Github!P$1917</f>
        <v>3463</v>
      </c>
    </row>
    <row r="1919">
      <c r="A1919" s="17">
        <f>Github!J$1918</f>
        <v>1917</v>
      </c>
      <c r="B1919" s="34" t="str">
        <f>HYPERLINK(CONCAT("http://leetcode.com/problems/",Github!C$1918), Github!B$1918)</f>
        <v>Leetcodify Friends Recommendations</v>
      </c>
      <c r="C1919" s="17">
        <f>Github!F$1918</f>
        <v>31</v>
      </c>
      <c r="D1919" s="17">
        <f>Github!G$1918</f>
        <v>18</v>
      </c>
      <c r="E1919" s="17">
        <f>Github!F$1918+Github!G$1918</f>
        <v>49</v>
      </c>
      <c r="F1919" s="18">
        <f t="shared" si="1"/>
        <v>1.72</v>
      </c>
      <c r="G1919" s="17" t="str">
        <f>Github!H$1918</f>
        <v>Database</v>
      </c>
      <c r="H1919" s="17" t="b">
        <f>Github!D$1918</f>
        <v>1</v>
      </c>
      <c r="I1919" s="17" t="str">
        <f>Github!E$1918</f>
        <v>Hard</v>
      </c>
      <c r="J1919" s="17" t="str">
        <f>ROUND(Github!N$1918, 2)&amp;"%"</f>
        <v>0%</v>
      </c>
      <c r="K1919" s="17">
        <f>Github!O$1918</f>
        <v>30.21955261</v>
      </c>
      <c r="L1919" s="17">
        <f>Github!P$1918</f>
        <v>2918</v>
      </c>
    </row>
    <row r="1920">
      <c r="A1920" s="17">
        <f>Github!J$1919</f>
        <v>1918</v>
      </c>
      <c r="B1920" s="34" t="str">
        <f>HYPERLINK(CONCAT("http://leetcode.com/problems/",Github!C$1919), Github!B$1919)</f>
        <v>Kth Smallest Subarray Sum</v>
      </c>
      <c r="C1920" s="17">
        <f>Github!F$1919</f>
        <v>99</v>
      </c>
      <c r="D1920" s="17">
        <f>Github!G$1919</f>
        <v>4</v>
      </c>
      <c r="E1920" s="17">
        <f>Github!F$1919+Github!G$1919</f>
        <v>103</v>
      </c>
      <c r="F1920" s="18">
        <f t="shared" si="1"/>
        <v>24.75</v>
      </c>
      <c r="G1920" s="17" t="str">
        <f>Github!H$1919</f>
        <v>Algorithms</v>
      </c>
      <c r="H1920" s="17" t="b">
        <f>Github!D$1919</f>
        <v>1</v>
      </c>
      <c r="I1920" s="17" t="str">
        <f>Github!E$1919</f>
        <v>Medium</v>
      </c>
      <c r="J1920" s="17" t="str">
        <f>ROUND(Github!N$1919, 2)&amp;"%"</f>
        <v>0%</v>
      </c>
      <c r="K1920" s="17">
        <f>Github!O$1919</f>
        <v>54.69935785</v>
      </c>
      <c r="L1920" s="17">
        <f>Github!P$1919</f>
        <v>1874</v>
      </c>
    </row>
    <row r="1921">
      <c r="A1921" s="17">
        <f>Github!J$1920</f>
        <v>1919</v>
      </c>
      <c r="B1921" s="34" t="str">
        <f>HYPERLINK(CONCAT("http://leetcode.com/problems/",Github!C$1920), Github!B$1920)</f>
        <v>Leetcodify Similar Friends</v>
      </c>
      <c r="C1921" s="17">
        <f>Github!F$1920</f>
        <v>28</v>
      </c>
      <c r="D1921" s="17">
        <f>Github!G$1920</f>
        <v>4</v>
      </c>
      <c r="E1921" s="17">
        <f>Github!F$1920+Github!G$1920</f>
        <v>32</v>
      </c>
      <c r="F1921" s="18">
        <f t="shared" si="1"/>
        <v>7</v>
      </c>
      <c r="G1921" s="17" t="str">
        <f>Github!H$1920</f>
        <v>Database</v>
      </c>
      <c r="H1921" s="17" t="b">
        <f>Github!D$1920</f>
        <v>1</v>
      </c>
      <c r="I1921" s="17" t="str">
        <f>Github!E$1920</f>
        <v>Hard</v>
      </c>
      <c r="J1921" s="17" t="str">
        <f>ROUND(Github!N$1920, 2)&amp;"%"</f>
        <v>0%</v>
      </c>
      <c r="K1921" s="17">
        <f>Github!O$1920</f>
        <v>42.16275259</v>
      </c>
      <c r="L1921" s="17">
        <f>Github!P$1920</f>
        <v>2316</v>
      </c>
    </row>
    <row r="1922">
      <c r="A1922" s="17">
        <f>Github!J$1921</f>
        <v>1920</v>
      </c>
      <c r="B1922" s="34" t="str">
        <f>HYPERLINK(CONCAT("http://leetcode.com/problems/",Github!C$1921), Github!B$1921)</f>
        <v>Build Array from Permutation</v>
      </c>
      <c r="C1922" s="17">
        <f>Github!F$1921</f>
        <v>1050</v>
      </c>
      <c r="D1922" s="17">
        <f>Github!G$1921</f>
        <v>146</v>
      </c>
      <c r="E1922" s="17">
        <f>Github!F$1921+Github!G$1921</f>
        <v>1196</v>
      </c>
      <c r="F1922" s="18">
        <f t="shared" si="1"/>
        <v>7.19</v>
      </c>
      <c r="G1922" s="17" t="str">
        <f>Github!H$1921</f>
        <v>Algorithms</v>
      </c>
      <c r="H1922" s="17" t="b">
        <f>Github!D$1921</f>
        <v>0</v>
      </c>
      <c r="I1922" s="17" t="str">
        <f>Github!E$1921</f>
        <v>Easy</v>
      </c>
      <c r="J1922" s="17" t="str">
        <f>ROUND(Github!N$1921, 2)&amp;"%"</f>
        <v>0%</v>
      </c>
      <c r="K1922" s="17">
        <f>Github!O$1921</f>
        <v>91.75852021</v>
      </c>
      <c r="L1922" s="17">
        <f>Github!P$1921</f>
        <v>130357</v>
      </c>
    </row>
    <row r="1923">
      <c r="A1923" s="17">
        <f>Github!J$1922</f>
        <v>1921</v>
      </c>
      <c r="B1923" s="34" t="str">
        <f>HYPERLINK(CONCAT("http://leetcode.com/problems/",Github!C$1922), Github!B$1922)</f>
        <v>Eliminate Maximum Number of Monsters</v>
      </c>
      <c r="C1923" s="17">
        <f>Github!F$1922</f>
        <v>294</v>
      </c>
      <c r="D1923" s="17">
        <f>Github!G$1922</f>
        <v>47</v>
      </c>
      <c r="E1923" s="17">
        <f>Github!F$1922+Github!G$1922</f>
        <v>341</v>
      </c>
      <c r="F1923" s="18">
        <f t="shared" si="1"/>
        <v>6.26</v>
      </c>
      <c r="G1923" s="17" t="str">
        <f>Github!H$1922</f>
        <v>Algorithms</v>
      </c>
      <c r="H1923" s="17" t="b">
        <f>Github!D$1922</f>
        <v>0</v>
      </c>
      <c r="I1923" s="17" t="str">
        <f>Github!E$1922</f>
        <v>Medium</v>
      </c>
      <c r="J1923" s="17" t="str">
        <f>ROUND(Github!N$1922, 2)&amp;"%"</f>
        <v>0%</v>
      </c>
      <c r="K1923" s="17">
        <f>Github!O$1922</f>
        <v>37.45494667</v>
      </c>
      <c r="L1923" s="17">
        <f>Github!P$1922</f>
        <v>15276</v>
      </c>
    </row>
    <row r="1924">
      <c r="A1924" s="17">
        <f>Github!J$1923</f>
        <v>1922</v>
      </c>
      <c r="B1924" s="34" t="str">
        <f>HYPERLINK(CONCAT("http://leetcode.com/problems/",Github!C$1923), Github!B$1923)</f>
        <v>Count Good Numbers</v>
      </c>
      <c r="C1924" s="17">
        <f>Github!F$1923</f>
        <v>297</v>
      </c>
      <c r="D1924" s="17">
        <f>Github!G$1923</f>
        <v>211</v>
      </c>
      <c r="E1924" s="17">
        <f>Github!F$1923+Github!G$1923</f>
        <v>508</v>
      </c>
      <c r="F1924" s="18">
        <f t="shared" si="1"/>
        <v>1.41</v>
      </c>
      <c r="G1924" s="17" t="str">
        <f>Github!H$1923</f>
        <v>Algorithms</v>
      </c>
      <c r="H1924" s="17" t="b">
        <f>Github!D$1923</f>
        <v>0</v>
      </c>
      <c r="I1924" s="17" t="str">
        <f>Github!E$1923</f>
        <v>Medium</v>
      </c>
      <c r="J1924" s="17" t="str">
        <f>ROUND(Github!N$1923, 2)&amp;"%"</f>
        <v>0%</v>
      </c>
      <c r="K1924" s="17">
        <f>Github!O$1923</f>
        <v>38.32733909</v>
      </c>
      <c r="L1924" s="17">
        <f>Github!P$1923</f>
        <v>14279</v>
      </c>
    </row>
    <row r="1925">
      <c r="A1925" s="17">
        <f>Github!J$1924</f>
        <v>1923</v>
      </c>
      <c r="B1925" s="34" t="str">
        <f>HYPERLINK(CONCAT("http://leetcode.com/problems/",Github!C$1924), Github!B$1924)</f>
        <v>Longest Common Subpath</v>
      </c>
      <c r="C1925" s="17">
        <f>Github!F$1924</f>
        <v>254</v>
      </c>
      <c r="D1925" s="17">
        <f>Github!G$1924</f>
        <v>23</v>
      </c>
      <c r="E1925" s="17">
        <f>Github!F$1924+Github!G$1924</f>
        <v>277</v>
      </c>
      <c r="F1925" s="18">
        <f t="shared" si="1"/>
        <v>11.04</v>
      </c>
      <c r="G1925" s="17" t="str">
        <f>Github!H$1924</f>
        <v>Algorithms</v>
      </c>
      <c r="H1925" s="17" t="b">
        <f>Github!D$1924</f>
        <v>0</v>
      </c>
      <c r="I1925" s="17" t="str">
        <f>Github!E$1924</f>
        <v>Hard</v>
      </c>
      <c r="J1925" s="17" t="str">
        <f>ROUND(Github!N$1924, 2)&amp;"%"</f>
        <v>0%</v>
      </c>
      <c r="K1925" s="17">
        <f>Github!O$1924</f>
        <v>27.96669421</v>
      </c>
      <c r="L1925" s="17">
        <f>Github!P$1924</f>
        <v>4400</v>
      </c>
    </row>
    <row r="1926">
      <c r="A1926" s="17">
        <f>Github!J$1925</f>
        <v>1924</v>
      </c>
      <c r="B1926" s="34" t="str">
        <f>HYPERLINK(CONCAT("http://leetcode.com/problems/",Github!C$1925), Github!B$1925)</f>
        <v>Erect the Fence II</v>
      </c>
      <c r="C1926" s="17">
        <f>Github!F$1925</f>
        <v>8</v>
      </c>
      <c r="D1926" s="17">
        <f>Github!G$1925</f>
        <v>31</v>
      </c>
      <c r="E1926" s="17">
        <f>Github!F$1925+Github!G$1925</f>
        <v>39</v>
      </c>
      <c r="F1926" s="18">
        <f t="shared" si="1"/>
        <v>0.26</v>
      </c>
      <c r="G1926" s="17" t="str">
        <f>Github!H$1925</f>
        <v>Algorithms</v>
      </c>
      <c r="H1926" s="17" t="b">
        <f>Github!D$1925</f>
        <v>1</v>
      </c>
      <c r="I1926" s="17" t="str">
        <f>Github!E$1925</f>
        <v>Hard</v>
      </c>
      <c r="J1926" s="17" t="str">
        <f>ROUND(Github!N$1925, 2)&amp;"%"</f>
        <v>0%</v>
      </c>
      <c r="K1926" s="17">
        <f>Github!O$1925</f>
        <v>58.32167832</v>
      </c>
      <c r="L1926" s="17">
        <f>Github!P$1925</f>
        <v>417</v>
      </c>
    </row>
    <row r="1927">
      <c r="A1927" s="17">
        <f>Github!J$1926</f>
        <v>1925</v>
      </c>
      <c r="B1927" s="34" t="str">
        <f>HYPERLINK(CONCAT("http://leetcode.com/problems/",Github!C$1926), Github!B$1926)</f>
        <v>Count Square Sum Triples</v>
      </c>
      <c r="C1927" s="17">
        <f>Github!F$1926</f>
        <v>167</v>
      </c>
      <c r="D1927" s="17">
        <f>Github!G$1926</f>
        <v>18</v>
      </c>
      <c r="E1927" s="17">
        <f>Github!F$1926+Github!G$1926</f>
        <v>185</v>
      </c>
      <c r="F1927" s="18">
        <f t="shared" si="1"/>
        <v>9.28</v>
      </c>
      <c r="G1927" s="17" t="str">
        <f>Github!H$1926</f>
        <v>Algorithms</v>
      </c>
      <c r="H1927" s="17" t="b">
        <f>Github!D$1926</f>
        <v>0</v>
      </c>
      <c r="I1927" s="17" t="str">
        <f>Github!E$1926</f>
        <v>Easy</v>
      </c>
      <c r="J1927" s="17" t="str">
        <f>ROUND(Github!N$1926, 2)&amp;"%"</f>
        <v>0%</v>
      </c>
      <c r="K1927" s="17">
        <f>Github!O$1926</f>
        <v>67.13018874</v>
      </c>
      <c r="L1927" s="17">
        <f>Github!P$1926</f>
        <v>19455</v>
      </c>
    </row>
    <row r="1928">
      <c r="A1928" s="17">
        <f>Github!J$1927</f>
        <v>1926</v>
      </c>
      <c r="B1928" s="34" t="str">
        <f>HYPERLINK(CONCAT("http://leetcode.com/problems/",Github!C$1927), Github!B$1927)</f>
        <v>Nearest Exit from Entrance in Maze</v>
      </c>
      <c r="C1928" s="17">
        <f>Github!F$1927</f>
        <v>390</v>
      </c>
      <c r="D1928" s="17">
        <f>Github!G$1927</f>
        <v>18</v>
      </c>
      <c r="E1928" s="17">
        <f>Github!F$1927+Github!G$1927</f>
        <v>408</v>
      </c>
      <c r="F1928" s="18">
        <f t="shared" si="1"/>
        <v>21.67</v>
      </c>
      <c r="G1928" s="17" t="str">
        <f>Github!H$1927</f>
        <v>Algorithms</v>
      </c>
      <c r="H1928" s="17" t="b">
        <f>Github!D$1927</f>
        <v>0</v>
      </c>
      <c r="I1928" s="17" t="str">
        <f>Github!E$1927</f>
        <v>Medium</v>
      </c>
      <c r="J1928" s="17" t="str">
        <f>ROUND(Github!N$1927, 2)&amp;"%"</f>
        <v>0%</v>
      </c>
      <c r="K1928" s="17">
        <f>Github!O$1927</f>
        <v>38.46420847</v>
      </c>
      <c r="L1928" s="17">
        <f>Github!P$1927</f>
        <v>14406</v>
      </c>
    </row>
    <row r="1929">
      <c r="A1929" s="17">
        <f>Github!J$1928</f>
        <v>1927</v>
      </c>
      <c r="B1929" s="34" t="str">
        <f>HYPERLINK(CONCAT("http://leetcode.com/problems/",Github!C$1928), Github!B$1928)</f>
        <v>Sum Game</v>
      </c>
      <c r="C1929" s="17">
        <f>Github!F$1928</f>
        <v>295</v>
      </c>
      <c r="D1929" s="17">
        <f>Github!G$1928</f>
        <v>42</v>
      </c>
      <c r="E1929" s="17">
        <f>Github!F$1928+Github!G$1928</f>
        <v>337</v>
      </c>
      <c r="F1929" s="18">
        <f t="shared" si="1"/>
        <v>7.02</v>
      </c>
      <c r="G1929" s="17" t="str">
        <f>Github!H$1928</f>
        <v>Algorithms</v>
      </c>
      <c r="H1929" s="17" t="b">
        <f>Github!D$1928</f>
        <v>0</v>
      </c>
      <c r="I1929" s="17" t="str">
        <f>Github!E$1928</f>
        <v>Medium</v>
      </c>
      <c r="J1929" s="17" t="str">
        <f>ROUND(Github!N$1928, 2)&amp;"%"</f>
        <v>0%</v>
      </c>
      <c r="K1929" s="17">
        <f>Github!O$1928</f>
        <v>46.8041394</v>
      </c>
      <c r="L1929" s="17">
        <f>Github!P$1928</f>
        <v>6151</v>
      </c>
    </row>
    <row r="1930">
      <c r="A1930" s="17">
        <f>Github!J$1929</f>
        <v>1928</v>
      </c>
      <c r="B1930" s="34" t="str">
        <f>HYPERLINK(CONCAT("http://leetcode.com/problems/",Github!C$1929), Github!B$1929)</f>
        <v>Minimum Cost to Reach Destination in Time</v>
      </c>
      <c r="C1930" s="17">
        <f>Github!F$1929</f>
        <v>407</v>
      </c>
      <c r="D1930" s="17">
        <f>Github!G$1929</f>
        <v>6</v>
      </c>
      <c r="E1930" s="17">
        <f>Github!F$1929+Github!G$1929</f>
        <v>413</v>
      </c>
      <c r="F1930" s="18">
        <f t="shared" si="1"/>
        <v>67.83</v>
      </c>
      <c r="G1930" s="17" t="str">
        <f>Github!H$1929</f>
        <v>Algorithms</v>
      </c>
      <c r="H1930" s="17" t="b">
        <f>Github!D$1929</f>
        <v>0</v>
      </c>
      <c r="I1930" s="17" t="str">
        <f>Github!E$1929</f>
        <v>Hard</v>
      </c>
      <c r="J1930" s="17" t="str">
        <f>ROUND(Github!N$1929, 2)&amp;"%"</f>
        <v>0%</v>
      </c>
      <c r="K1930" s="17">
        <f>Github!O$1929</f>
        <v>37.13827012</v>
      </c>
      <c r="L1930" s="17">
        <f>Github!P$1929</f>
        <v>9253</v>
      </c>
    </row>
    <row r="1931">
      <c r="A1931" s="17">
        <f>Github!J$1930</f>
        <v>1929</v>
      </c>
      <c r="B1931" s="34" t="str">
        <f>HYPERLINK(CONCAT("http://leetcode.com/problems/",Github!C$1930), Github!B$1930)</f>
        <v>Concatenation of Array</v>
      </c>
      <c r="C1931" s="17">
        <f>Github!F$1930</f>
        <v>825</v>
      </c>
      <c r="D1931" s="17">
        <f>Github!G$1930</f>
        <v>168</v>
      </c>
      <c r="E1931" s="17">
        <f>Github!F$1930+Github!G$1930</f>
        <v>993</v>
      </c>
      <c r="F1931" s="18">
        <f t="shared" si="1"/>
        <v>4.91</v>
      </c>
      <c r="G1931" s="17" t="str">
        <f>Github!H$1930</f>
        <v>Algorithms</v>
      </c>
      <c r="H1931" s="17" t="b">
        <f>Github!D$1930</f>
        <v>0</v>
      </c>
      <c r="I1931" s="17" t="str">
        <f>Github!E$1930</f>
        <v>Easy</v>
      </c>
      <c r="J1931" s="17" t="str">
        <f>ROUND(Github!N$1930, 2)&amp;"%"</f>
        <v>0%</v>
      </c>
      <c r="K1931" s="17">
        <f>Github!O$1930</f>
        <v>91.71163024</v>
      </c>
      <c r="L1931" s="17">
        <f>Github!P$1930</f>
        <v>150078</v>
      </c>
    </row>
    <row r="1932">
      <c r="A1932" s="17">
        <f>Github!J$1931</f>
        <v>1930</v>
      </c>
      <c r="B1932" s="34" t="str">
        <f>HYPERLINK(CONCAT("http://leetcode.com/problems/",Github!C$1931), Github!B$1931)</f>
        <v>Unique Length-3 Palindromic Subsequences</v>
      </c>
      <c r="C1932" s="17">
        <f>Github!F$1931</f>
        <v>400</v>
      </c>
      <c r="D1932" s="17">
        <f>Github!G$1931</f>
        <v>11</v>
      </c>
      <c r="E1932" s="17">
        <f>Github!F$1931+Github!G$1931</f>
        <v>411</v>
      </c>
      <c r="F1932" s="18">
        <f t="shared" si="1"/>
        <v>36.36</v>
      </c>
      <c r="G1932" s="17" t="str">
        <f>Github!H$1931</f>
        <v>Algorithms</v>
      </c>
      <c r="H1932" s="17" t="b">
        <f>Github!D$1931</f>
        <v>0</v>
      </c>
      <c r="I1932" s="17" t="str">
        <f>Github!E$1931</f>
        <v>Medium</v>
      </c>
      <c r="J1932" s="17" t="str">
        <f>ROUND(Github!N$1931, 2)&amp;"%"</f>
        <v>0%</v>
      </c>
      <c r="K1932" s="17">
        <f>Github!O$1931</f>
        <v>50.86140568</v>
      </c>
      <c r="L1932" s="17">
        <f>Github!P$1931</f>
        <v>15204</v>
      </c>
    </row>
    <row r="1933">
      <c r="A1933" s="17">
        <f>Github!J$1932</f>
        <v>1931</v>
      </c>
      <c r="B1933" s="34" t="str">
        <f>HYPERLINK(CONCAT("http://leetcode.com/problems/",Github!C$1932), Github!B$1932)</f>
        <v>Painting a Grid With Three Different Colors</v>
      </c>
      <c r="C1933" s="17">
        <f>Github!F$1932</f>
        <v>280</v>
      </c>
      <c r="D1933" s="17">
        <f>Github!G$1932</f>
        <v>13</v>
      </c>
      <c r="E1933" s="17">
        <f>Github!F$1932+Github!G$1932</f>
        <v>293</v>
      </c>
      <c r="F1933" s="18">
        <f t="shared" si="1"/>
        <v>21.54</v>
      </c>
      <c r="G1933" s="17" t="str">
        <f>Github!H$1932</f>
        <v>Algorithms</v>
      </c>
      <c r="H1933" s="17" t="b">
        <f>Github!D$1932</f>
        <v>0</v>
      </c>
      <c r="I1933" s="17" t="str">
        <f>Github!E$1932</f>
        <v>Hard</v>
      </c>
      <c r="J1933" s="17" t="str">
        <f>ROUND(Github!N$1932, 2)&amp;"%"</f>
        <v>0%</v>
      </c>
      <c r="K1933" s="17">
        <f>Github!O$1932</f>
        <v>56.69722942</v>
      </c>
      <c r="L1933" s="17">
        <f>Github!P$1932</f>
        <v>5689</v>
      </c>
    </row>
    <row r="1934">
      <c r="A1934" s="17">
        <f>Github!J$1933</f>
        <v>1932</v>
      </c>
      <c r="B1934" s="34" t="str">
        <f>HYPERLINK(CONCAT("http://leetcode.com/problems/",Github!C$1933), Github!B$1933)</f>
        <v>Merge BSTs to Create Single BST</v>
      </c>
      <c r="C1934" s="17">
        <f>Github!F$1933</f>
        <v>212</v>
      </c>
      <c r="D1934" s="17">
        <f>Github!G$1933</f>
        <v>22</v>
      </c>
      <c r="E1934" s="17">
        <f>Github!F$1933+Github!G$1933</f>
        <v>234</v>
      </c>
      <c r="F1934" s="18">
        <f t="shared" si="1"/>
        <v>9.64</v>
      </c>
      <c r="G1934" s="17" t="str">
        <f>Github!H$1933</f>
        <v>Algorithms</v>
      </c>
      <c r="H1934" s="17" t="b">
        <f>Github!D$1933</f>
        <v>0</v>
      </c>
      <c r="I1934" s="17" t="str">
        <f>Github!E$1933</f>
        <v>Hard</v>
      </c>
      <c r="J1934" s="17" t="str">
        <f>ROUND(Github!N$1933, 2)&amp;"%"</f>
        <v>0%</v>
      </c>
      <c r="K1934" s="17">
        <f>Github!O$1933</f>
        <v>34.95204882</v>
      </c>
      <c r="L1934" s="17">
        <f>Github!P$1933</f>
        <v>4009</v>
      </c>
    </row>
    <row r="1935">
      <c r="A1935" s="17">
        <f>Github!J$1934</f>
        <v>1933</v>
      </c>
      <c r="B1935" s="34" t="str">
        <f>HYPERLINK(CONCAT("http://leetcode.com/problems/",Github!C$1934), Github!B$1934)</f>
        <v>Check if String Is Decomposable Into Value-Equal Substrings</v>
      </c>
      <c r="C1935" s="17">
        <f>Github!F$1934</f>
        <v>31</v>
      </c>
      <c r="D1935" s="17">
        <f>Github!G$1934</f>
        <v>6</v>
      </c>
      <c r="E1935" s="17">
        <f>Github!F$1934+Github!G$1934</f>
        <v>37</v>
      </c>
      <c r="F1935" s="18">
        <f t="shared" si="1"/>
        <v>5.17</v>
      </c>
      <c r="G1935" s="17" t="str">
        <f>Github!H$1934</f>
        <v>Algorithms</v>
      </c>
      <c r="H1935" s="17" t="b">
        <f>Github!D$1934</f>
        <v>1</v>
      </c>
      <c r="I1935" s="17" t="str">
        <f>Github!E$1934</f>
        <v>Easy</v>
      </c>
      <c r="J1935" s="17" t="str">
        <f>ROUND(Github!N$1934, 2)&amp;"%"</f>
        <v>0%</v>
      </c>
      <c r="K1935" s="17">
        <f>Github!O$1934</f>
        <v>51.63487738</v>
      </c>
      <c r="L1935" s="17">
        <f>Github!P$1934</f>
        <v>1895</v>
      </c>
    </row>
    <row r="1936">
      <c r="A1936" s="17">
        <f>Github!J$1935</f>
        <v>1934</v>
      </c>
      <c r="B1936" s="34" t="str">
        <f>HYPERLINK(CONCAT("http://leetcode.com/problems/",Github!C$1935), Github!B$1935)</f>
        <v>Confirmation Rate</v>
      </c>
      <c r="C1936" s="17">
        <f>Github!F$1935</f>
        <v>28</v>
      </c>
      <c r="D1936" s="17">
        <f>Github!G$1935</f>
        <v>9</v>
      </c>
      <c r="E1936" s="17">
        <f>Github!F$1935+Github!G$1935</f>
        <v>37</v>
      </c>
      <c r="F1936" s="18">
        <f t="shared" si="1"/>
        <v>3.11</v>
      </c>
      <c r="G1936" s="17" t="str">
        <f>Github!H$1935</f>
        <v>Database</v>
      </c>
      <c r="H1936" s="17" t="b">
        <f>Github!D$1935</f>
        <v>1</v>
      </c>
      <c r="I1936" s="17" t="str">
        <f>Github!E$1935</f>
        <v>Medium</v>
      </c>
      <c r="J1936" s="17" t="str">
        <f>ROUND(Github!N$1935, 2)&amp;"%"</f>
        <v>0%</v>
      </c>
      <c r="K1936" s="17">
        <f>Github!O$1935</f>
        <v>77.3476597</v>
      </c>
      <c r="L1936" s="17">
        <f>Github!P$1935</f>
        <v>5255</v>
      </c>
    </row>
    <row r="1937">
      <c r="A1937" s="17">
        <f>Github!J$1936</f>
        <v>1935</v>
      </c>
      <c r="B1937" s="34" t="str">
        <f>HYPERLINK(CONCAT("http://leetcode.com/problems/",Github!C$1936), Github!B$1936)</f>
        <v>Maximum Number of Words You Can Type</v>
      </c>
      <c r="C1937" s="17">
        <f>Github!F$1936</f>
        <v>253</v>
      </c>
      <c r="D1937" s="17">
        <f>Github!G$1936</f>
        <v>11</v>
      </c>
      <c r="E1937" s="17">
        <f>Github!F$1936+Github!G$1936</f>
        <v>264</v>
      </c>
      <c r="F1937" s="18">
        <f t="shared" si="1"/>
        <v>23</v>
      </c>
      <c r="G1937" s="17" t="str">
        <f>Github!H$1936</f>
        <v>Algorithms</v>
      </c>
      <c r="H1937" s="17" t="b">
        <f>Github!D$1936</f>
        <v>0</v>
      </c>
      <c r="I1937" s="17" t="str">
        <f>Github!E$1936</f>
        <v>Easy</v>
      </c>
      <c r="J1937" s="17" t="str">
        <f>ROUND(Github!N$1936, 2)&amp;"%"</f>
        <v>0%</v>
      </c>
      <c r="K1937" s="17">
        <f>Github!O$1936</f>
        <v>71.60916793</v>
      </c>
      <c r="L1937" s="17">
        <f>Github!P$1936</f>
        <v>26963</v>
      </c>
    </row>
    <row r="1938">
      <c r="A1938" s="17">
        <f>Github!J$1937</f>
        <v>1936</v>
      </c>
      <c r="B1938" s="34" t="str">
        <f>HYPERLINK(CONCAT("http://leetcode.com/problems/",Github!C$1937), Github!B$1937)</f>
        <v>Add Minimum Number of Rungs</v>
      </c>
      <c r="C1938" s="17">
        <f>Github!F$1937</f>
        <v>212</v>
      </c>
      <c r="D1938" s="17">
        <f>Github!G$1937</f>
        <v>17</v>
      </c>
      <c r="E1938" s="17">
        <f>Github!F$1937+Github!G$1937</f>
        <v>229</v>
      </c>
      <c r="F1938" s="18">
        <f t="shared" si="1"/>
        <v>12.47</v>
      </c>
      <c r="G1938" s="17" t="str">
        <f>Github!H$1937</f>
        <v>Algorithms</v>
      </c>
      <c r="H1938" s="17" t="b">
        <f>Github!D$1937</f>
        <v>0</v>
      </c>
      <c r="I1938" s="17" t="str">
        <f>Github!E$1937</f>
        <v>Medium</v>
      </c>
      <c r="J1938" s="17" t="str">
        <f>ROUND(Github!N$1937, 2)&amp;"%"</f>
        <v>0%</v>
      </c>
      <c r="K1938" s="17">
        <f>Github!O$1937</f>
        <v>42.24058553</v>
      </c>
      <c r="L1938" s="17">
        <f>Github!P$1937</f>
        <v>17891</v>
      </c>
    </row>
    <row r="1939">
      <c r="A1939" s="17">
        <f>Github!J$1938</f>
        <v>1937</v>
      </c>
      <c r="B1939" s="34" t="str">
        <f>HYPERLINK(CONCAT("http://leetcode.com/problems/",Github!C$1938), Github!B$1938)</f>
        <v>Maximum Number of Points with Cost</v>
      </c>
      <c r="C1939" s="17">
        <f>Github!F$1938</f>
        <v>1274</v>
      </c>
      <c r="D1939" s="17">
        <f>Github!G$1938</f>
        <v>67</v>
      </c>
      <c r="E1939" s="17">
        <f>Github!F$1938+Github!G$1938</f>
        <v>1341</v>
      </c>
      <c r="F1939" s="18">
        <f t="shared" si="1"/>
        <v>19.01</v>
      </c>
      <c r="G1939" s="17" t="str">
        <f>Github!H$1938</f>
        <v>Algorithms</v>
      </c>
      <c r="H1939" s="17" t="b">
        <f>Github!D$1938</f>
        <v>0</v>
      </c>
      <c r="I1939" s="17" t="str">
        <f>Github!E$1938</f>
        <v>Medium</v>
      </c>
      <c r="J1939" s="17" t="str">
        <f>ROUND(Github!N$1938, 2)&amp;"%"</f>
        <v>0%</v>
      </c>
      <c r="K1939" s="17">
        <f>Github!O$1938</f>
        <v>34.96269826</v>
      </c>
      <c r="L1939" s="17">
        <f>Github!P$1938</f>
        <v>30131</v>
      </c>
    </row>
    <row r="1940">
      <c r="A1940" s="17">
        <f>Github!J$1939</f>
        <v>1938</v>
      </c>
      <c r="B1940" s="34" t="str">
        <f>HYPERLINK(CONCAT("http://leetcode.com/problems/",Github!C$1939), Github!B$1939)</f>
        <v>Maximum Genetic Difference Query</v>
      </c>
      <c r="C1940" s="17">
        <f>Github!F$1939</f>
        <v>213</v>
      </c>
      <c r="D1940" s="17">
        <f>Github!G$1939</f>
        <v>10</v>
      </c>
      <c r="E1940" s="17">
        <f>Github!F$1939+Github!G$1939</f>
        <v>223</v>
      </c>
      <c r="F1940" s="18">
        <f t="shared" si="1"/>
        <v>21.3</v>
      </c>
      <c r="G1940" s="17" t="str">
        <f>Github!H$1939</f>
        <v>Algorithms</v>
      </c>
      <c r="H1940" s="17" t="b">
        <f>Github!D$1939</f>
        <v>0</v>
      </c>
      <c r="I1940" s="17" t="str">
        <f>Github!E$1939</f>
        <v>Hard</v>
      </c>
      <c r="J1940" s="17" t="str">
        <f>ROUND(Github!N$1939, 2)&amp;"%"</f>
        <v>0%</v>
      </c>
      <c r="K1940" s="17">
        <f>Github!O$1939</f>
        <v>39.24944266</v>
      </c>
      <c r="L1940" s="17">
        <f>Github!P$1939</f>
        <v>3169</v>
      </c>
    </row>
    <row r="1941">
      <c r="A1941" s="17">
        <f>Github!J$1940</f>
        <v>1939</v>
      </c>
      <c r="B1941" s="34" t="str">
        <f>HYPERLINK(CONCAT("http://leetcode.com/problems/",Github!C$1940), Github!B$1940)</f>
        <v>Users That Actively Request Confirmation Messages</v>
      </c>
      <c r="C1941" s="17">
        <f>Github!F$1940</f>
        <v>24</v>
      </c>
      <c r="D1941" s="17">
        <f>Github!G$1940</f>
        <v>19</v>
      </c>
      <c r="E1941" s="17">
        <f>Github!F$1940+Github!G$1940</f>
        <v>43</v>
      </c>
      <c r="F1941" s="18">
        <f t="shared" si="1"/>
        <v>1.26</v>
      </c>
      <c r="G1941" s="17" t="str">
        <f>Github!H$1940</f>
        <v>Database</v>
      </c>
      <c r="H1941" s="17" t="b">
        <f>Github!D$1940</f>
        <v>1</v>
      </c>
      <c r="I1941" s="17" t="str">
        <f>Github!E$1940</f>
        <v>Easy</v>
      </c>
      <c r="J1941" s="17" t="str">
        <f>ROUND(Github!N$1940, 2)&amp;"%"</f>
        <v>0%</v>
      </c>
      <c r="K1941" s="17">
        <f>Github!O$1940</f>
        <v>61.66157428</v>
      </c>
      <c r="L1941" s="17">
        <f>Github!P$1940</f>
        <v>4238</v>
      </c>
    </row>
    <row r="1942">
      <c r="A1942" s="17">
        <f>Github!J$1941</f>
        <v>1940</v>
      </c>
      <c r="B1942" s="34" t="str">
        <f>HYPERLINK(CONCAT("http://leetcode.com/problems/",Github!C$1941), Github!B$1941)</f>
        <v>Longest Common Subsequence Between Sorted Arrays</v>
      </c>
      <c r="C1942" s="17">
        <f>Github!F$1941</f>
        <v>89</v>
      </c>
      <c r="D1942" s="17">
        <f>Github!G$1941</f>
        <v>3</v>
      </c>
      <c r="E1942" s="17">
        <f>Github!F$1941+Github!G$1941</f>
        <v>92</v>
      </c>
      <c r="F1942" s="18">
        <f t="shared" si="1"/>
        <v>29.67</v>
      </c>
      <c r="G1942" s="17" t="str">
        <f>Github!H$1941</f>
        <v>Algorithms</v>
      </c>
      <c r="H1942" s="17" t="b">
        <f>Github!D$1941</f>
        <v>1</v>
      </c>
      <c r="I1942" s="17" t="str">
        <f>Github!E$1941</f>
        <v>Medium</v>
      </c>
      <c r="J1942" s="17" t="str">
        <f>ROUND(Github!N$1941, 2)&amp;"%"</f>
        <v>0%</v>
      </c>
      <c r="K1942" s="17">
        <f>Github!O$1941</f>
        <v>79.73624144</v>
      </c>
      <c r="L1942" s="17">
        <f>Github!P$1941</f>
        <v>3144</v>
      </c>
    </row>
    <row r="1943">
      <c r="A1943" s="17">
        <f>Github!J$1942</f>
        <v>1941</v>
      </c>
      <c r="B1943" s="34" t="str">
        <f>HYPERLINK(CONCAT("http://leetcode.com/problems/",Github!C$1942), Github!B$1942)</f>
        <v>Check if All Characters Have Equal Number of Occurrences</v>
      </c>
      <c r="C1943" s="17">
        <f>Github!F$1942</f>
        <v>297</v>
      </c>
      <c r="D1943" s="17">
        <f>Github!G$1942</f>
        <v>10</v>
      </c>
      <c r="E1943" s="17">
        <f>Github!F$1942+Github!G$1942</f>
        <v>307</v>
      </c>
      <c r="F1943" s="18">
        <f t="shared" si="1"/>
        <v>29.7</v>
      </c>
      <c r="G1943" s="17" t="str">
        <f>Github!H$1942</f>
        <v>Algorithms</v>
      </c>
      <c r="H1943" s="17" t="b">
        <f>Github!D$1942</f>
        <v>0</v>
      </c>
      <c r="I1943" s="17" t="str">
        <f>Github!E$1942</f>
        <v>Easy</v>
      </c>
      <c r="J1943" s="17" t="str">
        <f>ROUND(Github!N$1942, 2)&amp;"%"</f>
        <v>0%</v>
      </c>
      <c r="K1943" s="17">
        <f>Github!O$1942</f>
        <v>77.10798263</v>
      </c>
      <c r="L1943" s="17">
        <f>Github!P$1942</f>
        <v>30891</v>
      </c>
    </row>
    <row r="1944">
      <c r="A1944" s="17">
        <f>Github!J$1943</f>
        <v>1942</v>
      </c>
      <c r="B1944" s="34" t="str">
        <f>HYPERLINK(CONCAT("http://leetcode.com/problems/",Github!C$1943), Github!B$1943)</f>
        <v>The Number of the Smallest Unoccupied Chair</v>
      </c>
      <c r="C1944" s="17">
        <f>Github!F$1943</f>
        <v>363</v>
      </c>
      <c r="D1944" s="17">
        <f>Github!G$1943</f>
        <v>18</v>
      </c>
      <c r="E1944" s="17">
        <f>Github!F$1943+Github!G$1943</f>
        <v>381</v>
      </c>
      <c r="F1944" s="18">
        <f t="shared" si="1"/>
        <v>20.17</v>
      </c>
      <c r="G1944" s="17" t="str">
        <f>Github!H$1943</f>
        <v>Algorithms</v>
      </c>
      <c r="H1944" s="17" t="b">
        <f>Github!D$1943</f>
        <v>0</v>
      </c>
      <c r="I1944" s="17" t="str">
        <f>Github!E$1943</f>
        <v>Medium</v>
      </c>
      <c r="J1944" s="17" t="str">
        <f>ROUND(Github!N$1943, 2)&amp;"%"</f>
        <v>0%</v>
      </c>
      <c r="K1944" s="17">
        <f>Github!O$1943</f>
        <v>38.59099948</v>
      </c>
      <c r="L1944" s="17">
        <f>Github!P$1943</f>
        <v>10479</v>
      </c>
    </row>
    <row r="1945">
      <c r="A1945" s="17">
        <f>Github!J$1944</f>
        <v>1943</v>
      </c>
      <c r="B1945" s="34" t="str">
        <f>HYPERLINK(CONCAT("http://leetcode.com/problems/",Github!C$1944), Github!B$1944)</f>
        <v>Describe the Painting</v>
      </c>
      <c r="C1945" s="17">
        <f>Github!F$1944</f>
        <v>264</v>
      </c>
      <c r="D1945" s="17">
        <f>Github!G$1944</f>
        <v>16</v>
      </c>
      <c r="E1945" s="17">
        <f>Github!F$1944+Github!G$1944</f>
        <v>280</v>
      </c>
      <c r="F1945" s="18">
        <f t="shared" si="1"/>
        <v>16.5</v>
      </c>
      <c r="G1945" s="17" t="str">
        <f>Github!H$1944</f>
        <v>Algorithms</v>
      </c>
      <c r="H1945" s="17" t="b">
        <f>Github!D$1944</f>
        <v>0</v>
      </c>
      <c r="I1945" s="17" t="str">
        <f>Github!E$1944</f>
        <v>Medium</v>
      </c>
      <c r="J1945" s="17" t="str">
        <f>ROUND(Github!N$1944, 2)&amp;"%"</f>
        <v>0%</v>
      </c>
      <c r="K1945" s="17">
        <f>Github!O$1944</f>
        <v>46.11460749</v>
      </c>
      <c r="L1945" s="17">
        <f>Github!P$1944</f>
        <v>6961</v>
      </c>
    </row>
    <row r="1946">
      <c r="A1946" s="17">
        <f>Github!J$1945</f>
        <v>1944</v>
      </c>
      <c r="B1946" s="34" t="str">
        <f>HYPERLINK(CONCAT("http://leetcode.com/problems/",Github!C$1945), Github!B$1945)</f>
        <v>Number of Visible People in a Queue</v>
      </c>
      <c r="C1946" s="17">
        <f>Github!F$1945</f>
        <v>664</v>
      </c>
      <c r="D1946" s="17">
        <f>Github!G$1945</f>
        <v>13</v>
      </c>
      <c r="E1946" s="17">
        <f>Github!F$1945+Github!G$1945</f>
        <v>677</v>
      </c>
      <c r="F1946" s="18">
        <f t="shared" si="1"/>
        <v>51.08</v>
      </c>
      <c r="G1946" s="17" t="str">
        <f>Github!H$1945</f>
        <v>Algorithms</v>
      </c>
      <c r="H1946" s="17" t="b">
        <f>Github!D$1945</f>
        <v>0</v>
      </c>
      <c r="I1946" s="17" t="str">
        <f>Github!E$1945</f>
        <v>Hard</v>
      </c>
      <c r="J1946" s="17" t="str">
        <f>ROUND(Github!N$1945, 2)&amp;"%"</f>
        <v>0%</v>
      </c>
      <c r="K1946" s="17">
        <f>Github!O$1945</f>
        <v>69.82184632</v>
      </c>
      <c r="L1946" s="17">
        <f>Github!P$1945</f>
        <v>15520</v>
      </c>
    </row>
    <row r="1947">
      <c r="A1947" s="17">
        <f>Github!J$1946</f>
        <v>1945</v>
      </c>
      <c r="B1947" s="34" t="str">
        <f>HYPERLINK(CONCAT("http://leetcode.com/problems/",Github!C$1946), Github!B$1946)</f>
        <v>Sum of Digits of String After Convert</v>
      </c>
      <c r="C1947" s="17">
        <f>Github!F$1946</f>
        <v>248</v>
      </c>
      <c r="D1947" s="17">
        <f>Github!G$1946</f>
        <v>29</v>
      </c>
      <c r="E1947" s="17">
        <f>Github!F$1946+Github!G$1946</f>
        <v>277</v>
      </c>
      <c r="F1947" s="18">
        <f t="shared" si="1"/>
        <v>8.55</v>
      </c>
      <c r="G1947" s="17" t="str">
        <f>Github!H$1946</f>
        <v>Algorithms</v>
      </c>
      <c r="H1947" s="17" t="b">
        <f>Github!D$1946</f>
        <v>0</v>
      </c>
      <c r="I1947" s="17" t="str">
        <f>Github!E$1946</f>
        <v>Easy</v>
      </c>
      <c r="J1947" s="17" t="str">
        <f>ROUND(Github!N$1946, 2)&amp;"%"</f>
        <v>0%</v>
      </c>
      <c r="K1947" s="17">
        <f>Github!O$1946</f>
        <v>61.47014655</v>
      </c>
      <c r="L1947" s="17">
        <f>Github!P$1946</f>
        <v>23741</v>
      </c>
    </row>
    <row r="1948">
      <c r="A1948" s="17">
        <f>Github!J$1947</f>
        <v>1946</v>
      </c>
      <c r="B1948" s="34" t="str">
        <f>HYPERLINK(CONCAT("http://leetcode.com/problems/",Github!C$1947), Github!B$1947)</f>
        <v>Largest Number After Mutating Substring</v>
      </c>
      <c r="C1948" s="17">
        <f>Github!F$1947</f>
        <v>131</v>
      </c>
      <c r="D1948" s="17">
        <f>Github!G$1947</f>
        <v>159</v>
      </c>
      <c r="E1948" s="17">
        <f>Github!F$1947+Github!G$1947</f>
        <v>290</v>
      </c>
      <c r="F1948" s="18">
        <f t="shared" si="1"/>
        <v>0.82</v>
      </c>
      <c r="G1948" s="17" t="str">
        <f>Github!H$1947</f>
        <v>Algorithms</v>
      </c>
      <c r="H1948" s="17" t="b">
        <f>Github!D$1947</f>
        <v>0</v>
      </c>
      <c r="I1948" s="17" t="str">
        <f>Github!E$1947</f>
        <v>Medium</v>
      </c>
      <c r="J1948" s="17" t="str">
        <f>ROUND(Github!N$1947, 2)&amp;"%"</f>
        <v>0%</v>
      </c>
      <c r="K1948" s="17">
        <f>Github!O$1947</f>
        <v>33.76394166</v>
      </c>
      <c r="L1948" s="17">
        <f>Github!P$1947</f>
        <v>13774</v>
      </c>
    </row>
    <row r="1949">
      <c r="A1949" s="17">
        <f>Github!J$1948</f>
        <v>1947</v>
      </c>
      <c r="B1949" s="34" t="str">
        <f>HYPERLINK(CONCAT("http://leetcode.com/problems/",Github!C$1948), Github!B$1948)</f>
        <v>Maximum Compatibility Score Sum</v>
      </c>
      <c r="C1949" s="17">
        <f>Github!F$1948</f>
        <v>428</v>
      </c>
      <c r="D1949" s="17">
        <f>Github!G$1948</f>
        <v>10</v>
      </c>
      <c r="E1949" s="17">
        <f>Github!F$1948+Github!G$1948</f>
        <v>438</v>
      </c>
      <c r="F1949" s="18">
        <f t="shared" si="1"/>
        <v>42.8</v>
      </c>
      <c r="G1949" s="17" t="str">
        <f>Github!H$1948</f>
        <v>Algorithms</v>
      </c>
      <c r="H1949" s="17" t="b">
        <f>Github!D$1948</f>
        <v>0</v>
      </c>
      <c r="I1949" s="17" t="str">
        <f>Github!E$1948</f>
        <v>Medium</v>
      </c>
      <c r="J1949" s="17" t="str">
        <f>ROUND(Github!N$1948, 2)&amp;"%"</f>
        <v>0%</v>
      </c>
      <c r="K1949" s="17">
        <f>Github!O$1948</f>
        <v>59.73019901</v>
      </c>
      <c r="L1949" s="17">
        <f>Github!P$1948</f>
        <v>13416</v>
      </c>
    </row>
    <row r="1950">
      <c r="A1950" s="17">
        <f>Github!J$1949</f>
        <v>1948</v>
      </c>
      <c r="B1950" s="34" t="str">
        <f>HYPERLINK(CONCAT("http://leetcode.com/problems/",Github!C$1949), Github!B$1949)</f>
        <v>Delete Duplicate Folders in System</v>
      </c>
      <c r="C1950" s="17">
        <f>Github!F$1949</f>
        <v>157</v>
      </c>
      <c r="D1950" s="17">
        <f>Github!G$1949</f>
        <v>46</v>
      </c>
      <c r="E1950" s="17">
        <f>Github!F$1949+Github!G$1949</f>
        <v>203</v>
      </c>
      <c r="F1950" s="18">
        <f t="shared" si="1"/>
        <v>3.41</v>
      </c>
      <c r="G1950" s="17" t="str">
        <f>Github!H$1949</f>
        <v>Algorithms</v>
      </c>
      <c r="H1950" s="17" t="b">
        <f>Github!D$1949</f>
        <v>0</v>
      </c>
      <c r="I1950" s="17" t="str">
        <f>Github!E$1949</f>
        <v>Hard</v>
      </c>
      <c r="J1950" s="17" t="str">
        <f>ROUND(Github!N$1949, 2)&amp;"%"</f>
        <v>0%</v>
      </c>
      <c r="K1950" s="17">
        <f>Github!O$1949</f>
        <v>58.91922478</v>
      </c>
      <c r="L1950" s="17">
        <f>Github!P$1949</f>
        <v>4165</v>
      </c>
    </row>
    <row r="1951">
      <c r="A1951" s="17">
        <f>Github!J$1950</f>
        <v>1949</v>
      </c>
      <c r="B1951" s="34" t="str">
        <f>HYPERLINK(CONCAT("http://leetcode.com/problems/",Github!C$1950), Github!B$1950)</f>
        <v>Strong Friendship</v>
      </c>
      <c r="C1951" s="17">
        <f>Github!F$1950</f>
        <v>70</v>
      </c>
      <c r="D1951" s="17">
        <f>Github!G$1950</f>
        <v>25</v>
      </c>
      <c r="E1951" s="17">
        <f>Github!F$1950+Github!G$1950</f>
        <v>95</v>
      </c>
      <c r="F1951" s="18">
        <f t="shared" si="1"/>
        <v>2.8</v>
      </c>
      <c r="G1951" s="17" t="str">
        <f>Github!H$1950</f>
        <v>Database</v>
      </c>
      <c r="H1951" s="17" t="b">
        <f>Github!D$1950</f>
        <v>1</v>
      </c>
      <c r="I1951" s="17" t="str">
        <f>Github!E$1950</f>
        <v>Medium</v>
      </c>
      <c r="J1951" s="17" t="str">
        <f>ROUND(Github!N$1950, 2)&amp;"%"</f>
        <v>0%</v>
      </c>
      <c r="K1951" s="17">
        <f>Github!O$1950</f>
        <v>60.16961762</v>
      </c>
      <c r="L1951" s="17">
        <f>Github!P$1950</f>
        <v>4044</v>
      </c>
    </row>
    <row r="1952">
      <c r="A1952" s="17">
        <f>Github!J$1951</f>
        <v>1950</v>
      </c>
      <c r="B1952" s="34" t="str">
        <f>HYPERLINK(CONCAT("http://leetcode.com/problems/",Github!C$1951), Github!B$1951)</f>
        <v>Maximum of Minimum Values in All Subarrays</v>
      </c>
      <c r="C1952" s="17">
        <f>Github!F$1951</f>
        <v>75</v>
      </c>
      <c r="D1952" s="17">
        <f>Github!G$1951</f>
        <v>11</v>
      </c>
      <c r="E1952" s="17">
        <f>Github!F$1951+Github!G$1951</f>
        <v>86</v>
      </c>
      <c r="F1952" s="18">
        <f t="shared" si="1"/>
        <v>6.82</v>
      </c>
      <c r="G1952" s="17" t="str">
        <f>Github!H$1951</f>
        <v>Algorithms</v>
      </c>
      <c r="H1952" s="17" t="b">
        <f>Github!D$1951</f>
        <v>1</v>
      </c>
      <c r="I1952" s="17" t="str">
        <f>Github!E$1951</f>
        <v>Medium</v>
      </c>
      <c r="J1952" s="17" t="str">
        <f>ROUND(Github!N$1951, 2)&amp;"%"</f>
        <v>0%</v>
      </c>
      <c r="K1952" s="17">
        <f>Github!O$1951</f>
        <v>51.79671458</v>
      </c>
      <c r="L1952" s="17">
        <f>Github!P$1951</f>
        <v>1009</v>
      </c>
    </row>
    <row r="1953">
      <c r="A1953" s="17">
        <f>Github!J$1952</f>
        <v>1951</v>
      </c>
      <c r="B1953" s="34" t="str">
        <f>HYPERLINK(CONCAT("http://leetcode.com/problems/",Github!C$1952), Github!B$1952)</f>
        <v>All the Pairs With the Maximum Number of Common Followers</v>
      </c>
      <c r="C1953" s="17">
        <f>Github!F$1952</f>
        <v>27</v>
      </c>
      <c r="D1953" s="17">
        <f>Github!G$1952</f>
        <v>2</v>
      </c>
      <c r="E1953" s="17">
        <f>Github!F$1952+Github!G$1952</f>
        <v>29</v>
      </c>
      <c r="F1953" s="18">
        <f t="shared" si="1"/>
        <v>13.5</v>
      </c>
      <c r="G1953" s="17" t="str">
        <f>Github!H$1952</f>
        <v>Database</v>
      </c>
      <c r="H1953" s="17" t="b">
        <f>Github!D$1952</f>
        <v>1</v>
      </c>
      <c r="I1953" s="17" t="str">
        <f>Github!E$1952</f>
        <v>Medium</v>
      </c>
      <c r="J1953" s="17" t="str">
        <f>ROUND(Github!N$1952, 2)&amp;"%"</f>
        <v>0%</v>
      </c>
      <c r="K1953" s="17">
        <f>Github!O$1952</f>
        <v>71.19666048</v>
      </c>
      <c r="L1953" s="17">
        <f>Github!P$1952</f>
        <v>3070</v>
      </c>
    </row>
    <row r="1954">
      <c r="A1954" s="17">
        <f>Github!J$1953</f>
        <v>1952</v>
      </c>
      <c r="B1954" s="34" t="str">
        <f>HYPERLINK(CONCAT("http://leetcode.com/problems/",Github!C$1953), Github!B$1953)</f>
        <v>Three Divisors</v>
      </c>
      <c r="C1954" s="17">
        <f>Github!F$1953</f>
        <v>206</v>
      </c>
      <c r="D1954" s="17">
        <f>Github!G$1953</f>
        <v>15</v>
      </c>
      <c r="E1954" s="17">
        <f>Github!F$1953+Github!G$1953</f>
        <v>221</v>
      </c>
      <c r="F1954" s="18">
        <f t="shared" si="1"/>
        <v>13.73</v>
      </c>
      <c r="G1954" s="17" t="str">
        <f>Github!H$1953</f>
        <v>Algorithms</v>
      </c>
      <c r="H1954" s="17" t="b">
        <f>Github!D$1953</f>
        <v>0</v>
      </c>
      <c r="I1954" s="17" t="str">
        <f>Github!E$1953</f>
        <v>Easy</v>
      </c>
      <c r="J1954" s="17" t="str">
        <f>ROUND(Github!N$1953, 2)&amp;"%"</f>
        <v>0%</v>
      </c>
      <c r="K1954" s="17">
        <f>Github!O$1953</f>
        <v>56.50334697</v>
      </c>
      <c r="L1954" s="17">
        <f>Github!P$1953</f>
        <v>24310</v>
      </c>
    </row>
    <row r="1955">
      <c r="A1955" s="17">
        <f>Github!J$1954</f>
        <v>1953</v>
      </c>
      <c r="B1955" s="34" t="str">
        <f>HYPERLINK(CONCAT("http://leetcode.com/problems/",Github!C$1954), Github!B$1954)</f>
        <v>Maximum Number of Weeks for Which You Can Work</v>
      </c>
      <c r="C1955" s="17">
        <f>Github!F$1954</f>
        <v>360</v>
      </c>
      <c r="D1955" s="17">
        <f>Github!G$1954</f>
        <v>92</v>
      </c>
      <c r="E1955" s="17">
        <f>Github!F$1954+Github!G$1954</f>
        <v>452</v>
      </c>
      <c r="F1955" s="18">
        <f t="shared" si="1"/>
        <v>3.91</v>
      </c>
      <c r="G1955" s="17" t="str">
        <f>Github!H$1954</f>
        <v>Algorithms</v>
      </c>
      <c r="H1955" s="17" t="b">
        <f>Github!D$1954</f>
        <v>0</v>
      </c>
      <c r="I1955" s="17" t="str">
        <f>Github!E$1954</f>
        <v>Medium</v>
      </c>
      <c r="J1955" s="17" t="str">
        <f>ROUND(Github!N$1954, 2)&amp;"%"</f>
        <v>0%</v>
      </c>
      <c r="K1955" s="17">
        <f>Github!O$1954</f>
        <v>37.11668984</v>
      </c>
      <c r="L1955" s="17">
        <f>Github!P$1954</f>
        <v>13617</v>
      </c>
    </row>
    <row r="1956">
      <c r="A1956" s="17">
        <f>Github!J$1955</f>
        <v>1954</v>
      </c>
      <c r="B1956" s="34" t="str">
        <f>HYPERLINK(CONCAT("http://leetcode.com/problems/",Github!C$1955), Github!B$1955)</f>
        <v>Minimum Garden Perimeter to Collect Enough Apples</v>
      </c>
      <c r="C1956" s="17">
        <f>Github!F$1955</f>
        <v>197</v>
      </c>
      <c r="D1956" s="17">
        <f>Github!G$1955</f>
        <v>64</v>
      </c>
      <c r="E1956" s="17">
        <f>Github!F$1955+Github!G$1955</f>
        <v>261</v>
      </c>
      <c r="F1956" s="18">
        <f t="shared" si="1"/>
        <v>3.08</v>
      </c>
      <c r="G1956" s="17" t="str">
        <f>Github!H$1955</f>
        <v>Algorithms</v>
      </c>
      <c r="H1956" s="17" t="b">
        <f>Github!D$1955</f>
        <v>0</v>
      </c>
      <c r="I1956" s="17" t="str">
        <f>Github!E$1955</f>
        <v>Medium</v>
      </c>
      <c r="J1956" s="17" t="str">
        <f>ROUND(Github!N$1955, 2)&amp;"%"</f>
        <v>0%</v>
      </c>
      <c r="K1956" s="17">
        <f>Github!O$1955</f>
        <v>52.4202776</v>
      </c>
      <c r="L1956" s="17">
        <f>Github!P$1955</f>
        <v>10537</v>
      </c>
    </row>
    <row r="1957">
      <c r="A1957" s="17">
        <f>Github!J$1956</f>
        <v>1955</v>
      </c>
      <c r="B1957" s="34" t="str">
        <f>HYPERLINK(CONCAT("http://leetcode.com/problems/",Github!C$1956), Github!B$1956)</f>
        <v>Count Number of Special Subsequences</v>
      </c>
      <c r="C1957" s="17">
        <f>Github!F$1956</f>
        <v>326</v>
      </c>
      <c r="D1957" s="17">
        <f>Github!G$1956</f>
        <v>6</v>
      </c>
      <c r="E1957" s="17">
        <f>Github!F$1956+Github!G$1956</f>
        <v>332</v>
      </c>
      <c r="F1957" s="18">
        <f t="shared" si="1"/>
        <v>54.33</v>
      </c>
      <c r="G1957" s="17" t="str">
        <f>Github!H$1956</f>
        <v>Algorithms</v>
      </c>
      <c r="H1957" s="17" t="b">
        <f>Github!D$1956</f>
        <v>0</v>
      </c>
      <c r="I1957" s="17" t="str">
        <f>Github!E$1956</f>
        <v>Hard</v>
      </c>
      <c r="J1957" s="17" t="str">
        <f>ROUND(Github!N$1956, 2)&amp;"%"</f>
        <v>0%</v>
      </c>
      <c r="K1957" s="17">
        <f>Github!O$1956</f>
        <v>50.80133913</v>
      </c>
      <c r="L1957" s="17">
        <f>Github!P$1956</f>
        <v>7132</v>
      </c>
    </row>
    <row r="1958">
      <c r="A1958" s="17">
        <f>Github!J$1957</f>
        <v>1956</v>
      </c>
      <c r="B1958" s="34" t="str">
        <f>HYPERLINK(CONCAT("http://leetcode.com/problems/",Github!C$1957), Github!B$1957)</f>
        <v>Minimum Time For K Virus Variants to Spread</v>
      </c>
      <c r="C1958" s="17">
        <f>Github!F$1957</f>
        <v>16</v>
      </c>
      <c r="D1958" s="17">
        <f>Github!G$1957</f>
        <v>4</v>
      </c>
      <c r="E1958" s="17">
        <f>Github!F$1957+Github!G$1957</f>
        <v>20</v>
      </c>
      <c r="F1958" s="18">
        <f t="shared" si="1"/>
        <v>4</v>
      </c>
      <c r="G1958" s="17" t="str">
        <f>Github!H$1957</f>
        <v>Algorithms</v>
      </c>
      <c r="H1958" s="17" t="b">
        <f>Github!D$1957</f>
        <v>1</v>
      </c>
      <c r="I1958" s="17" t="str">
        <f>Github!E$1957</f>
        <v>Hard</v>
      </c>
      <c r="J1958" s="17" t="str">
        <f>ROUND(Github!N$1957, 2)&amp;"%"</f>
        <v>0%</v>
      </c>
      <c r="K1958" s="17">
        <f>Github!O$1957</f>
        <v>43.94273128</v>
      </c>
      <c r="L1958" s="17">
        <f>Github!P$1957</f>
        <v>399</v>
      </c>
    </row>
    <row r="1959">
      <c r="A1959" s="17">
        <f>Github!J$1958</f>
        <v>1957</v>
      </c>
      <c r="B1959" s="34" t="str">
        <f>HYPERLINK(CONCAT("http://leetcode.com/problems/",Github!C$1958), Github!B$1958)</f>
        <v>Delete Characters to Make Fancy String</v>
      </c>
      <c r="C1959" s="17">
        <f>Github!F$1958</f>
        <v>204</v>
      </c>
      <c r="D1959" s="17">
        <f>Github!G$1958</f>
        <v>10</v>
      </c>
      <c r="E1959" s="17">
        <f>Github!F$1958+Github!G$1958</f>
        <v>214</v>
      </c>
      <c r="F1959" s="18">
        <f t="shared" si="1"/>
        <v>20.4</v>
      </c>
      <c r="G1959" s="17" t="str">
        <f>Github!H$1958</f>
        <v>Algorithms</v>
      </c>
      <c r="H1959" s="17" t="b">
        <f>Github!D$1958</f>
        <v>0</v>
      </c>
      <c r="I1959" s="17" t="str">
        <f>Github!E$1958</f>
        <v>Easy</v>
      </c>
      <c r="J1959" s="17" t="str">
        <f>ROUND(Github!N$1958, 2)&amp;"%"</f>
        <v>0%</v>
      </c>
      <c r="K1959" s="17">
        <f>Github!O$1958</f>
        <v>56.51672434</v>
      </c>
      <c r="L1959" s="17">
        <f>Github!P$1958</f>
        <v>17640</v>
      </c>
    </row>
    <row r="1960">
      <c r="A1960" s="17">
        <f>Github!J$1959</f>
        <v>1958</v>
      </c>
      <c r="B1960" s="34" t="str">
        <f>HYPERLINK(CONCAT("http://leetcode.com/problems/",Github!C$1959), Github!B$1959)</f>
        <v>Check if Move is Legal</v>
      </c>
      <c r="C1960" s="17">
        <f>Github!F$1959</f>
        <v>78</v>
      </c>
      <c r="D1960" s="17">
        <f>Github!G$1959</f>
        <v>166</v>
      </c>
      <c r="E1960" s="17">
        <f>Github!F$1959+Github!G$1959</f>
        <v>244</v>
      </c>
      <c r="F1960" s="18">
        <f t="shared" si="1"/>
        <v>0.47</v>
      </c>
      <c r="G1960" s="17" t="str">
        <f>Github!H$1959</f>
        <v>Algorithms</v>
      </c>
      <c r="H1960" s="17" t="b">
        <f>Github!D$1959</f>
        <v>0</v>
      </c>
      <c r="I1960" s="17" t="str">
        <f>Github!E$1959</f>
        <v>Medium</v>
      </c>
      <c r="J1960" s="17" t="str">
        <f>ROUND(Github!N$1959, 2)&amp;"%"</f>
        <v>0%</v>
      </c>
      <c r="K1960" s="17">
        <f>Github!O$1959</f>
        <v>43.08743874</v>
      </c>
      <c r="L1960" s="17">
        <f>Github!P$1959</f>
        <v>6682</v>
      </c>
    </row>
    <row r="1961">
      <c r="A1961" s="17">
        <f>Github!J$1960</f>
        <v>1959</v>
      </c>
      <c r="B1961" s="34" t="str">
        <f>HYPERLINK(CONCAT("http://leetcode.com/problems/",Github!C$1960), Github!B$1960)</f>
        <v>Minimum Total Space Wasted With K Resizing Operations</v>
      </c>
      <c r="C1961" s="17">
        <f>Github!F$1960</f>
        <v>363</v>
      </c>
      <c r="D1961" s="17">
        <f>Github!G$1960</f>
        <v>29</v>
      </c>
      <c r="E1961" s="17">
        <f>Github!F$1960+Github!G$1960</f>
        <v>392</v>
      </c>
      <c r="F1961" s="18">
        <f t="shared" si="1"/>
        <v>12.52</v>
      </c>
      <c r="G1961" s="17" t="str">
        <f>Github!H$1960</f>
        <v>Algorithms</v>
      </c>
      <c r="H1961" s="17" t="b">
        <f>Github!D$1960</f>
        <v>0</v>
      </c>
      <c r="I1961" s="17" t="str">
        <f>Github!E$1960</f>
        <v>Medium</v>
      </c>
      <c r="J1961" s="17" t="str">
        <f>ROUND(Github!N$1960, 2)&amp;"%"</f>
        <v>0%</v>
      </c>
      <c r="K1961" s="17">
        <f>Github!O$1960</f>
        <v>41.7113644</v>
      </c>
      <c r="L1961" s="17">
        <f>Github!P$1960</f>
        <v>4977</v>
      </c>
    </row>
    <row r="1962">
      <c r="A1962" s="17">
        <f>Github!J$1961</f>
        <v>1960</v>
      </c>
      <c r="B1962" s="34" t="str">
        <f>HYPERLINK(CONCAT("http://leetcode.com/problems/",Github!C$1961), Github!B$1961)</f>
        <v>Maximum Product of the Length of Two Palindromic Substrings</v>
      </c>
      <c r="C1962" s="17">
        <f>Github!F$1961</f>
        <v>116</v>
      </c>
      <c r="D1962" s="17">
        <f>Github!G$1961</f>
        <v>25</v>
      </c>
      <c r="E1962" s="17">
        <f>Github!F$1961+Github!G$1961</f>
        <v>141</v>
      </c>
      <c r="F1962" s="18">
        <f t="shared" si="1"/>
        <v>4.64</v>
      </c>
      <c r="G1962" s="17" t="str">
        <f>Github!H$1961</f>
        <v>Algorithms</v>
      </c>
      <c r="H1962" s="17" t="b">
        <f>Github!D$1961</f>
        <v>0</v>
      </c>
      <c r="I1962" s="17" t="str">
        <f>Github!E$1961</f>
        <v>Hard</v>
      </c>
      <c r="J1962" s="17" t="str">
        <f>ROUND(Github!N$1961, 2)&amp;"%"</f>
        <v>0%</v>
      </c>
      <c r="K1962" s="17">
        <f>Github!O$1961</f>
        <v>28.79842615</v>
      </c>
      <c r="L1962" s="17">
        <f>Github!P$1961</f>
        <v>1903</v>
      </c>
    </row>
    <row r="1963">
      <c r="A1963" s="17">
        <f>Github!J$1962</f>
        <v>1961</v>
      </c>
      <c r="B1963" s="34" t="str">
        <f>HYPERLINK(CONCAT("http://leetcode.com/problems/",Github!C$1962), Github!B$1962)</f>
        <v>Check If String Is a Prefix of Array</v>
      </c>
      <c r="C1963" s="17">
        <f>Github!F$1962</f>
        <v>198</v>
      </c>
      <c r="D1963" s="17">
        <f>Github!G$1962</f>
        <v>29</v>
      </c>
      <c r="E1963" s="17">
        <f>Github!F$1962+Github!G$1962</f>
        <v>227</v>
      </c>
      <c r="F1963" s="18">
        <f t="shared" si="1"/>
        <v>6.83</v>
      </c>
      <c r="G1963" s="17" t="str">
        <f>Github!H$1962</f>
        <v>Algorithms</v>
      </c>
      <c r="H1963" s="17" t="b">
        <f>Github!D$1962</f>
        <v>0</v>
      </c>
      <c r="I1963" s="17" t="str">
        <f>Github!E$1962</f>
        <v>Easy</v>
      </c>
      <c r="J1963" s="17" t="str">
        <f>ROUND(Github!N$1962, 2)&amp;"%"</f>
        <v>0%</v>
      </c>
      <c r="K1963" s="17">
        <f>Github!O$1962</f>
        <v>54.7254494</v>
      </c>
      <c r="L1963" s="17">
        <f>Github!P$1962</f>
        <v>23409</v>
      </c>
    </row>
    <row r="1964">
      <c r="A1964" s="17">
        <f>Github!J$1963</f>
        <v>1962</v>
      </c>
      <c r="B1964" s="34" t="str">
        <f>HYPERLINK(CONCAT("http://leetcode.com/problems/",Github!C$1963), Github!B$1963)</f>
        <v>Remove Stones to Minimize the Total</v>
      </c>
      <c r="C1964" s="17">
        <f>Github!F$1963</f>
        <v>262</v>
      </c>
      <c r="D1964" s="17">
        <f>Github!G$1963</f>
        <v>12</v>
      </c>
      <c r="E1964" s="17">
        <f>Github!F$1963+Github!G$1963</f>
        <v>274</v>
      </c>
      <c r="F1964" s="18">
        <f t="shared" si="1"/>
        <v>21.83</v>
      </c>
      <c r="G1964" s="17" t="str">
        <f>Github!H$1963</f>
        <v>Algorithms</v>
      </c>
      <c r="H1964" s="17" t="b">
        <f>Github!D$1963</f>
        <v>0</v>
      </c>
      <c r="I1964" s="17" t="str">
        <f>Github!E$1963</f>
        <v>Medium</v>
      </c>
      <c r="J1964" s="17" t="str">
        <f>ROUND(Github!N$1963, 2)&amp;"%"</f>
        <v>0%</v>
      </c>
      <c r="K1964" s="17">
        <f>Github!O$1963</f>
        <v>55.98423356</v>
      </c>
      <c r="L1964" s="17">
        <f>Github!P$1963</f>
        <v>16760</v>
      </c>
    </row>
    <row r="1965">
      <c r="A1965" s="17">
        <f>Github!J$1964</f>
        <v>1963</v>
      </c>
      <c r="B1965" s="34" t="str">
        <f>HYPERLINK(CONCAT("http://leetcode.com/problems/",Github!C$1964), Github!B$1964)</f>
        <v>Minimum Number of Swaps to Make the String Balanced</v>
      </c>
      <c r="C1965" s="17">
        <f>Github!F$1964</f>
        <v>634</v>
      </c>
      <c r="D1965" s="17">
        <f>Github!G$1964</f>
        <v>28</v>
      </c>
      <c r="E1965" s="17">
        <f>Github!F$1964+Github!G$1964</f>
        <v>662</v>
      </c>
      <c r="F1965" s="18">
        <f t="shared" si="1"/>
        <v>22.64</v>
      </c>
      <c r="G1965" s="17" t="str">
        <f>Github!H$1964</f>
        <v>Algorithms</v>
      </c>
      <c r="H1965" s="17" t="b">
        <f>Github!D$1964</f>
        <v>0</v>
      </c>
      <c r="I1965" s="17" t="str">
        <f>Github!E$1964</f>
        <v>Medium</v>
      </c>
      <c r="J1965" s="17" t="str">
        <f>ROUND(Github!N$1964, 2)&amp;"%"</f>
        <v>0%</v>
      </c>
      <c r="K1965" s="17">
        <f>Github!O$1964</f>
        <v>66.5559605</v>
      </c>
      <c r="L1965" s="17">
        <f>Github!P$1964</f>
        <v>22645</v>
      </c>
    </row>
    <row r="1966">
      <c r="A1966" s="17">
        <f>Github!J$1965</f>
        <v>1964</v>
      </c>
      <c r="B1966" s="34" t="str">
        <f>HYPERLINK(CONCAT("http://leetcode.com/problems/",Github!C$1965), Github!B$1965)</f>
        <v>Find the Longest Valid Obstacle Course at Each Position</v>
      </c>
      <c r="C1966" s="17">
        <f>Github!F$1965</f>
        <v>339</v>
      </c>
      <c r="D1966" s="17">
        <f>Github!G$1965</f>
        <v>5</v>
      </c>
      <c r="E1966" s="17">
        <f>Github!F$1965+Github!G$1965</f>
        <v>344</v>
      </c>
      <c r="F1966" s="18">
        <f t="shared" si="1"/>
        <v>67.8</v>
      </c>
      <c r="G1966" s="17" t="str">
        <f>Github!H$1965</f>
        <v>Algorithms</v>
      </c>
      <c r="H1966" s="17" t="b">
        <f>Github!D$1965</f>
        <v>0</v>
      </c>
      <c r="I1966" s="17" t="str">
        <f>Github!E$1965</f>
        <v>Hard</v>
      </c>
      <c r="J1966" s="17" t="str">
        <f>ROUND(Github!N$1965, 2)&amp;"%"</f>
        <v>0%</v>
      </c>
      <c r="K1966" s="17">
        <f>Github!O$1965</f>
        <v>45.17878326</v>
      </c>
      <c r="L1966" s="17">
        <f>Github!P$1965</f>
        <v>7998</v>
      </c>
    </row>
    <row r="1967">
      <c r="A1967" s="17">
        <f>Github!J$1966</f>
        <v>1965</v>
      </c>
      <c r="B1967" s="34" t="str">
        <f>HYPERLINK(CONCAT("http://leetcode.com/problems/",Github!C$1966), Github!B$1966)</f>
        <v>Employees With Missing Information</v>
      </c>
      <c r="C1967" s="17">
        <f>Github!F$1966</f>
        <v>30</v>
      </c>
      <c r="D1967" s="17">
        <f>Github!G$1966</f>
        <v>0</v>
      </c>
      <c r="E1967" s="17">
        <f>Github!F$1966+Github!G$1966</f>
        <v>30</v>
      </c>
      <c r="F1967" s="18" t="str">
        <f t="shared" si="1"/>
        <v>#DIV/0!</v>
      </c>
      <c r="G1967" s="17" t="str">
        <f>Github!H$1966</f>
        <v>Database</v>
      </c>
      <c r="H1967" s="17" t="b">
        <f>Github!D$1966</f>
        <v>1</v>
      </c>
      <c r="I1967" s="17" t="str">
        <f>Github!E$1966</f>
        <v>Easy</v>
      </c>
      <c r="J1967" s="17" t="str">
        <f>ROUND(Github!N$1966, 2)&amp;"%"</f>
        <v>0%</v>
      </c>
      <c r="K1967" s="17">
        <f>Github!O$1966</f>
        <v>80.73770492</v>
      </c>
      <c r="L1967" s="17">
        <f>Github!P$1966</f>
        <v>4925</v>
      </c>
    </row>
    <row r="1968">
      <c r="A1968" s="17">
        <f>Github!J$1967</f>
        <v>1966</v>
      </c>
      <c r="B1968" s="34" t="str">
        <f>HYPERLINK(CONCAT("http://leetcode.com/problems/",Github!C$1967), Github!B$1967)</f>
        <v>Binary Searchable Numbers in an Unsorted Array</v>
      </c>
      <c r="C1968" s="17">
        <f>Github!F$1967</f>
        <v>39</v>
      </c>
      <c r="D1968" s="17">
        <f>Github!G$1967</f>
        <v>5</v>
      </c>
      <c r="E1968" s="17">
        <f>Github!F$1967+Github!G$1967</f>
        <v>44</v>
      </c>
      <c r="F1968" s="18">
        <f t="shared" si="1"/>
        <v>7.8</v>
      </c>
      <c r="G1968" s="17" t="str">
        <f>Github!H$1967</f>
        <v>Algorithms</v>
      </c>
      <c r="H1968" s="17" t="b">
        <f>Github!D$1967</f>
        <v>1</v>
      </c>
      <c r="I1968" s="17" t="str">
        <f>Github!E$1967</f>
        <v>Medium</v>
      </c>
      <c r="J1968" s="17" t="str">
        <f>ROUND(Github!N$1967, 2)&amp;"%"</f>
        <v>0%</v>
      </c>
      <c r="K1968" s="17">
        <f>Github!O$1967</f>
        <v>66.33165829</v>
      </c>
      <c r="L1968" s="17">
        <f>Github!P$1967</f>
        <v>1320</v>
      </c>
    </row>
    <row r="1969">
      <c r="A1969" s="17">
        <f>Github!J$1968</f>
        <v>1967</v>
      </c>
      <c r="B1969" s="34" t="str">
        <f>HYPERLINK(CONCAT("http://leetcode.com/problems/",Github!C$1968), Github!B$1968)</f>
        <v>Number of Strings That Appear as Substrings in Word</v>
      </c>
      <c r="C1969" s="17">
        <f>Github!F$1968</f>
        <v>254</v>
      </c>
      <c r="D1969" s="17">
        <f>Github!G$1968</f>
        <v>10</v>
      </c>
      <c r="E1969" s="17">
        <f>Github!F$1968+Github!G$1968</f>
        <v>264</v>
      </c>
      <c r="F1969" s="18">
        <f t="shared" si="1"/>
        <v>25.4</v>
      </c>
      <c r="G1969" s="17" t="str">
        <f>Github!H$1968</f>
        <v>Algorithms</v>
      </c>
      <c r="H1969" s="17" t="b">
        <f>Github!D$1968</f>
        <v>0</v>
      </c>
      <c r="I1969" s="17" t="str">
        <f>Github!E$1968</f>
        <v>Easy</v>
      </c>
      <c r="J1969" s="17" t="str">
        <f>ROUND(Github!N$1968, 2)&amp;"%"</f>
        <v>0%</v>
      </c>
      <c r="K1969" s="17">
        <f>Github!O$1968</f>
        <v>79.34712247</v>
      </c>
      <c r="L1969" s="17">
        <f>Github!P$1968</f>
        <v>25740</v>
      </c>
    </row>
    <row r="1970">
      <c r="A1970" s="17">
        <f>Github!J$1969</f>
        <v>1968</v>
      </c>
      <c r="B1970" s="34" t="str">
        <f>HYPERLINK(CONCAT("http://leetcode.com/problems/",Github!C$1969), Github!B$1969)</f>
        <v>Array With Elements Not Equal to Average of Neighbors</v>
      </c>
      <c r="C1970" s="17">
        <f>Github!F$1969</f>
        <v>246</v>
      </c>
      <c r="D1970" s="17">
        <f>Github!G$1969</f>
        <v>16</v>
      </c>
      <c r="E1970" s="17">
        <f>Github!F$1969+Github!G$1969</f>
        <v>262</v>
      </c>
      <c r="F1970" s="18">
        <f t="shared" si="1"/>
        <v>15.38</v>
      </c>
      <c r="G1970" s="17" t="str">
        <f>Github!H$1969</f>
        <v>Algorithms</v>
      </c>
      <c r="H1970" s="17" t="b">
        <f>Github!D$1969</f>
        <v>0</v>
      </c>
      <c r="I1970" s="17" t="str">
        <f>Github!E$1969</f>
        <v>Medium</v>
      </c>
      <c r="J1970" s="17" t="str">
        <f>ROUND(Github!N$1969, 2)&amp;"%"</f>
        <v>0%</v>
      </c>
      <c r="K1970" s="17">
        <f>Github!O$1969</f>
        <v>48.22077202</v>
      </c>
      <c r="L1970" s="17">
        <f>Github!P$1969</f>
        <v>15665</v>
      </c>
    </row>
    <row r="1971">
      <c r="A1971" s="17">
        <f>Github!J$1970</f>
        <v>1969</v>
      </c>
      <c r="B1971" s="34" t="str">
        <f>HYPERLINK(CONCAT("http://leetcode.com/problems/",Github!C$1970), Github!B$1970)</f>
        <v>Minimum Non-Zero Product of the Array Elements</v>
      </c>
      <c r="C1971" s="17">
        <f>Github!F$1970</f>
        <v>102</v>
      </c>
      <c r="D1971" s="17">
        <f>Github!G$1970</f>
        <v>272</v>
      </c>
      <c r="E1971" s="17">
        <f>Github!F$1970+Github!G$1970</f>
        <v>374</v>
      </c>
      <c r="F1971" s="18">
        <f t="shared" si="1"/>
        <v>0.38</v>
      </c>
      <c r="G1971" s="17" t="str">
        <f>Github!H$1970</f>
        <v>Algorithms</v>
      </c>
      <c r="H1971" s="17" t="b">
        <f>Github!D$1970</f>
        <v>0</v>
      </c>
      <c r="I1971" s="17" t="str">
        <f>Github!E$1970</f>
        <v>Medium</v>
      </c>
      <c r="J1971" s="17" t="str">
        <f>ROUND(Github!N$1970, 2)&amp;"%"</f>
        <v>0%</v>
      </c>
      <c r="K1971" s="17">
        <f>Github!O$1970</f>
        <v>32.18088986</v>
      </c>
      <c r="L1971" s="17">
        <f>Github!P$1970</f>
        <v>6618</v>
      </c>
    </row>
    <row r="1972">
      <c r="A1972" s="17">
        <f>Github!J$1971</f>
        <v>1970</v>
      </c>
      <c r="B1972" s="34" t="str">
        <f>HYPERLINK(CONCAT("http://leetcode.com/problems/",Github!C$1971), Github!B$1971)</f>
        <v>Last Day Where You Can Still Cross</v>
      </c>
      <c r="C1972" s="17">
        <f>Github!F$1971</f>
        <v>405</v>
      </c>
      <c r="D1972" s="17">
        <f>Github!G$1971</f>
        <v>7</v>
      </c>
      <c r="E1972" s="17">
        <f>Github!F$1971+Github!G$1971</f>
        <v>412</v>
      </c>
      <c r="F1972" s="18">
        <f t="shared" si="1"/>
        <v>57.86</v>
      </c>
      <c r="G1972" s="17" t="str">
        <f>Github!H$1971</f>
        <v>Algorithms</v>
      </c>
      <c r="H1972" s="17" t="b">
        <f>Github!D$1971</f>
        <v>0</v>
      </c>
      <c r="I1972" s="17" t="str">
        <f>Github!E$1971</f>
        <v>Hard</v>
      </c>
      <c r="J1972" s="17" t="str">
        <f>ROUND(Github!N$1971, 2)&amp;"%"</f>
        <v>0%</v>
      </c>
      <c r="K1972" s="17">
        <f>Github!O$1971</f>
        <v>48.41853623</v>
      </c>
      <c r="L1972" s="17">
        <f>Github!P$1971</f>
        <v>7899</v>
      </c>
    </row>
    <row r="1973">
      <c r="A1973" s="17">
        <f>Github!J$1972</f>
        <v>1971</v>
      </c>
      <c r="B1973" s="34" t="str">
        <f>HYPERLINK(CONCAT("http://leetcode.com/problems/",Github!C$1972), Github!B$1972)</f>
        <v>Find if Path Exists in Graph</v>
      </c>
      <c r="C1973" s="17">
        <f>Github!F$1972</f>
        <v>774</v>
      </c>
      <c r="D1973" s="17">
        <f>Github!G$1972</f>
        <v>42</v>
      </c>
      <c r="E1973" s="17">
        <f>Github!F$1972+Github!G$1972</f>
        <v>816</v>
      </c>
      <c r="F1973" s="18">
        <f t="shared" si="1"/>
        <v>18.43</v>
      </c>
      <c r="G1973" s="17" t="str">
        <f>Github!H$1972</f>
        <v>Algorithms</v>
      </c>
      <c r="H1973" s="17" t="b">
        <f>Github!D$1972</f>
        <v>0</v>
      </c>
      <c r="I1973" s="17" t="str">
        <f>Github!E$1972</f>
        <v>Easy</v>
      </c>
      <c r="J1973" s="17" t="str">
        <f>ROUND(Github!N$1972, 2)&amp;"%"</f>
        <v>0%</v>
      </c>
      <c r="K1973" s="17">
        <f>Github!O$1972</f>
        <v>50.40564798</v>
      </c>
      <c r="L1973" s="17">
        <f>Github!P$1972</f>
        <v>71323</v>
      </c>
    </row>
    <row r="1974">
      <c r="A1974" s="17">
        <f>Github!J$1973</f>
        <v>1972</v>
      </c>
      <c r="B1974" s="34" t="str">
        <f>HYPERLINK(CONCAT("http://leetcode.com/problems/",Github!C$1973), Github!B$1973)</f>
        <v>First and Last Call On the Same Day</v>
      </c>
      <c r="C1974" s="17">
        <f>Github!F$1973</f>
        <v>46</v>
      </c>
      <c r="D1974" s="17">
        <f>Github!G$1973</f>
        <v>8</v>
      </c>
      <c r="E1974" s="17">
        <f>Github!F$1973+Github!G$1973</f>
        <v>54</v>
      </c>
      <c r="F1974" s="18">
        <f t="shared" si="1"/>
        <v>5.75</v>
      </c>
      <c r="G1974" s="17" t="str">
        <f>Github!H$1973</f>
        <v>Database</v>
      </c>
      <c r="H1974" s="17" t="b">
        <f>Github!D$1973</f>
        <v>1</v>
      </c>
      <c r="I1974" s="17" t="str">
        <f>Github!E$1973</f>
        <v>Hard</v>
      </c>
      <c r="J1974" s="17" t="str">
        <f>ROUND(Github!N$1973, 2)&amp;"%"</f>
        <v>0%</v>
      </c>
      <c r="K1974" s="17">
        <f>Github!O$1973</f>
        <v>51.38156507</v>
      </c>
      <c r="L1974" s="17">
        <f>Github!P$1973</f>
        <v>2436</v>
      </c>
    </row>
    <row r="1975">
      <c r="A1975" s="17">
        <f>Github!J$1974</f>
        <v>1973</v>
      </c>
      <c r="B1975" s="34" t="str">
        <f>HYPERLINK(CONCAT("http://leetcode.com/problems/",Github!C$1974), Github!B$1974)</f>
        <v>Count Nodes Equal to Sum of Descendants</v>
      </c>
      <c r="C1975" s="17">
        <f>Github!F$1974</f>
        <v>84</v>
      </c>
      <c r="D1975" s="17">
        <f>Github!G$1974</f>
        <v>2</v>
      </c>
      <c r="E1975" s="17">
        <f>Github!F$1974+Github!G$1974</f>
        <v>86</v>
      </c>
      <c r="F1975" s="18">
        <f t="shared" si="1"/>
        <v>42</v>
      </c>
      <c r="G1975" s="17" t="str">
        <f>Github!H$1974</f>
        <v>Algorithms</v>
      </c>
      <c r="H1975" s="17" t="b">
        <f>Github!D$1974</f>
        <v>1</v>
      </c>
      <c r="I1975" s="17" t="str">
        <f>Github!E$1974</f>
        <v>Medium</v>
      </c>
      <c r="J1975" s="17" t="str">
        <f>ROUND(Github!N$1974, 2)&amp;"%"</f>
        <v>0%</v>
      </c>
      <c r="K1975" s="17">
        <f>Github!O$1974</f>
        <v>74.88095238</v>
      </c>
      <c r="L1975" s="17">
        <f>Github!P$1974</f>
        <v>4403</v>
      </c>
    </row>
    <row r="1976">
      <c r="A1976" s="17">
        <f>Github!J$1975</f>
        <v>1974</v>
      </c>
      <c r="B1976" s="34" t="str">
        <f>HYPERLINK(CONCAT("http://leetcode.com/problems/",Github!C$1975), Github!B$1975)</f>
        <v>Minimum Time to Type Word Using Special Typewriter</v>
      </c>
      <c r="C1976" s="17">
        <f>Github!F$1975</f>
        <v>299</v>
      </c>
      <c r="D1976" s="17">
        <f>Github!G$1975</f>
        <v>14</v>
      </c>
      <c r="E1976" s="17">
        <f>Github!F$1975+Github!G$1975</f>
        <v>313</v>
      </c>
      <c r="F1976" s="18">
        <f t="shared" si="1"/>
        <v>21.36</v>
      </c>
      <c r="G1976" s="17" t="str">
        <f>Github!H$1975</f>
        <v>Algorithms</v>
      </c>
      <c r="H1976" s="17" t="b">
        <f>Github!D$1975</f>
        <v>0</v>
      </c>
      <c r="I1976" s="17" t="str">
        <f>Github!E$1975</f>
        <v>Easy</v>
      </c>
      <c r="J1976" s="17" t="str">
        <f>ROUND(Github!N$1975, 2)&amp;"%"</f>
        <v>0%</v>
      </c>
      <c r="K1976" s="17">
        <f>Github!O$1975</f>
        <v>71.90139701</v>
      </c>
      <c r="L1976" s="17">
        <f>Github!P$1975</f>
        <v>17704</v>
      </c>
    </row>
    <row r="1977">
      <c r="A1977" s="17">
        <f>Github!J$1976</f>
        <v>1975</v>
      </c>
      <c r="B1977" s="34" t="str">
        <f>HYPERLINK(CONCAT("http://leetcode.com/problems/",Github!C$1976), Github!B$1976)</f>
        <v>Maximum Matrix Sum</v>
      </c>
      <c r="C1977" s="17">
        <f>Github!F$1976</f>
        <v>271</v>
      </c>
      <c r="D1977" s="17">
        <f>Github!G$1976</f>
        <v>9</v>
      </c>
      <c r="E1977" s="17">
        <f>Github!F$1976+Github!G$1976</f>
        <v>280</v>
      </c>
      <c r="F1977" s="18">
        <f t="shared" si="1"/>
        <v>30.11</v>
      </c>
      <c r="G1977" s="17" t="str">
        <f>Github!H$1976</f>
        <v>Algorithms</v>
      </c>
      <c r="H1977" s="17" t="b">
        <f>Github!D$1976</f>
        <v>0</v>
      </c>
      <c r="I1977" s="17" t="str">
        <f>Github!E$1976</f>
        <v>Medium</v>
      </c>
      <c r="J1977" s="17" t="str">
        <f>ROUND(Github!N$1976, 2)&amp;"%"</f>
        <v>0%</v>
      </c>
      <c r="K1977" s="17">
        <f>Github!O$1976</f>
        <v>44.32042022</v>
      </c>
      <c r="L1977" s="17">
        <f>Github!P$1976</f>
        <v>9449</v>
      </c>
    </row>
    <row r="1978">
      <c r="A1978" s="17">
        <f>Github!J$1977</f>
        <v>1976</v>
      </c>
      <c r="B1978" s="34" t="str">
        <f>HYPERLINK(CONCAT("http://leetcode.com/problems/",Github!C$1977), Github!B$1977)</f>
        <v>Number of Ways to Arrive at Destination</v>
      </c>
      <c r="C1978" s="17">
        <f>Github!F$1977</f>
        <v>728</v>
      </c>
      <c r="D1978" s="17">
        <f>Github!G$1977</f>
        <v>22</v>
      </c>
      <c r="E1978" s="17">
        <f>Github!F$1977+Github!G$1977</f>
        <v>750</v>
      </c>
      <c r="F1978" s="18">
        <f t="shared" si="1"/>
        <v>33.09</v>
      </c>
      <c r="G1978" s="17" t="str">
        <f>Github!H$1977</f>
        <v>Algorithms</v>
      </c>
      <c r="H1978" s="17" t="b">
        <f>Github!D$1977</f>
        <v>0</v>
      </c>
      <c r="I1978" s="17" t="str">
        <f>Github!E$1977</f>
        <v>Medium</v>
      </c>
      <c r="J1978" s="17" t="str">
        <f>ROUND(Github!N$1977, 2)&amp;"%"</f>
        <v>0%</v>
      </c>
      <c r="K1978" s="17">
        <f>Github!O$1977</f>
        <v>32.50751146</v>
      </c>
      <c r="L1978" s="17">
        <f>Github!P$1977</f>
        <v>12333</v>
      </c>
    </row>
    <row r="1979">
      <c r="A1979" s="17">
        <f>Github!J$1978</f>
        <v>1977</v>
      </c>
      <c r="B1979" s="34" t="str">
        <f>HYPERLINK(CONCAT("http://leetcode.com/problems/",Github!C$1978), Github!B$1978)</f>
        <v>Number of Ways to Separate Numbers</v>
      </c>
      <c r="C1979" s="17">
        <f>Github!F$1978</f>
        <v>211</v>
      </c>
      <c r="D1979" s="17">
        <f>Github!G$1978</f>
        <v>26</v>
      </c>
      <c r="E1979" s="17">
        <f>Github!F$1978+Github!G$1978</f>
        <v>237</v>
      </c>
      <c r="F1979" s="18">
        <f t="shared" si="1"/>
        <v>8.12</v>
      </c>
      <c r="G1979" s="17" t="str">
        <f>Github!H$1978</f>
        <v>Algorithms</v>
      </c>
      <c r="H1979" s="17" t="b">
        <f>Github!D$1978</f>
        <v>0</v>
      </c>
      <c r="I1979" s="17" t="str">
        <f>Github!E$1978</f>
        <v>Hard</v>
      </c>
      <c r="J1979" s="17" t="str">
        <f>ROUND(Github!N$1978, 2)&amp;"%"</f>
        <v>0%</v>
      </c>
      <c r="K1979" s="17">
        <f>Github!O$1978</f>
        <v>22.63920405</v>
      </c>
      <c r="L1979" s="17">
        <f>Github!P$1978</f>
        <v>2594</v>
      </c>
    </row>
    <row r="1980">
      <c r="A1980" s="17">
        <f>Github!J$1979</f>
        <v>1978</v>
      </c>
      <c r="B1980" s="34" t="str">
        <f>HYPERLINK(CONCAT("http://leetcode.com/problems/",Github!C$1979), Github!B$1979)</f>
        <v>Employees Whose Manager Left the Company</v>
      </c>
      <c r="C1980" s="17">
        <f>Github!F$1979</f>
        <v>22</v>
      </c>
      <c r="D1980" s="17">
        <f>Github!G$1979</f>
        <v>4</v>
      </c>
      <c r="E1980" s="17">
        <f>Github!F$1979+Github!G$1979</f>
        <v>26</v>
      </c>
      <c r="F1980" s="18">
        <f t="shared" si="1"/>
        <v>5.5</v>
      </c>
      <c r="G1980" s="17" t="str">
        <f>Github!H$1979</f>
        <v>Database</v>
      </c>
      <c r="H1980" s="17" t="b">
        <f>Github!D$1979</f>
        <v>1</v>
      </c>
      <c r="I1980" s="17" t="str">
        <f>Github!E$1979</f>
        <v>Easy</v>
      </c>
      <c r="J1980" s="17" t="str">
        <f>ROUND(Github!N$1979, 2)&amp;"%"</f>
        <v>0%</v>
      </c>
      <c r="K1980" s="17">
        <f>Github!O$1979</f>
        <v>49.78655934</v>
      </c>
      <c r="L1980" s="17">
        <f>Github!P$1979</f>
        <v>4082</v>
      </c>
    </row>
    <row r="1981">
      <c r="A1981" s="17">
        <f>Github!J$1980</f>
        <v>1979</v>
      </c>
      <c r="B1981" s="34" t="str">
        <f>HYPERLINK(CONCAT("http://leetcode.com/problems/",Github!C$1980), Github!B$1980)</f>
        <v>Find Greatest Common Divisor of Array</v>
      </c>
      <c r="C1981" s="17">
        <f>Github!F$1980</f>
        <v>320</v>
      </c>
      <c r="D1981" s="17">
        <f>Github!G$1980</f>
        <v>14</v>
      </c>
      <c r="E1981" s="17">
        <f>Github!F$1980+Github!G$1980</f>
        <v>334</v>
      </c>
      <c r="F1981" s="18">
        <f t="shared" si="1"/>
        <v>22.86</v>
      </c>
      <c r="G1981" s="17" t="str">
        <f>Github!H$1980</f>
        <v>Algorithms</v>
      </c>
      <c r="H1981" s="17" t="b">
        <f>Github!D$1980</f>
        <v>0</v>
      </c>
      <c r="I1981" s="17" t="str">
        <f>Github!E$1980</f>
        <v>Easy</v>
      </c>
      <c r="J1981" s="17" t="str">
        <f>ROUND(Github!N$1980, 2)&amp;"%"</f>
        <v>0%</v>
      </c>
      <c r="K1981" s="17">
        <f>Github!O$1980</f>
        <v>78.17157279</v>
      </c>
      <c r="L1981" s="17">
        <f>Github!P$1980</f>
        <v>35930</v>
      </c>
    </row>
    <row r="1982">
      <c r="A1982" s="17">
        <f>Github!J$1981</f>
        <v>1980</v>
      </c>
      <c r="B1982" s="34" t="str">
        <f>HYPERLINK(CONCAT("http://leetcode.com/problems/",Github!C$1981), Github!B$1981)</f>
        <v>Find Unique Binary String</v>
      </c>
      <c r="C1982" s="17">
        <f>Github!F$1981</f>
        <v>454</v>
      </c>
      <c r="D1982" s="17">
        <f>Github!G$1981</f>
        <v>23</v>
      </c>
      <c r="E1982" s="17">
        <f>Github!F$1981+Github!G$1981</f>
        <v>477</v>
      </c>
      <c r="F1982" s="18">
        <f t="shared" si="1"/>
        <v>19.74</v>
      </c>
      <c r="G1982" s="17" t="str">
        <f>Github!H$1981</f>
        <v>Algorithms</v>
      </c>
      <c r="H1982" s="17" t="b">
        <f>Github!D$1981</f>
        <v>0</v>
      </c>
      <c r="I1982" s="17" t="str">
        <f>Github!E$1981</f>
        <v>Medium</v>
      </c>
      <c r="J1982" s="17" t="str">
        <f>ROUND(Github!N$1981, 2)&amp;"%"</f>
        <v>0%</v>
      </c>
      <c r="K1982" s="17">
        <f>Github!O$1981</f>
        <v>62.92169042</v>
      </c>
      <c r="L1982" s="17">
        <f>Github!P$1981</f>
        <v>20666</v>
      </c>
    </row>
    <row r="1983">
      <c r="A1983" s="17">
        <f>Github!J$1982</f>
        <v>1981</v>
      </c>
      <c r="B1983" s="34" t="str">
        <f>HYPERLINK(CONCAT("http://leetcode.com/problems/",Github!C$1982), Github!B$1982)</f>
        <v>Minimize the Difference Between Target and Chosen Elements</v>
      </c>
      <c r="C1983" s="17">
        <f>Github!F$1982</f>
        <v>446</v>
      </c>
      <c r="D1983" s="17">
        <f>Github!G$1982</f>
        <v>81</v>
      </c>
      <c r="E1983" s="17">
        <f>Github!F$1982+Github!G$1982</f>
        <v>527</v>
      </c>
      <c r="F1983" s="18">
        <f t="shared" si="1"/>
        <v>5.51</v>
      </c>
      <c r="G1983" s="17" t="str">
        <f>Github!H$1982</f>
        <v>Algorithms</v>
      </c>
      <c r="H1983" s="17" t="b">
        <f>Github!D$1982</f>
        <v>0</v>
      </c>
      <c r="I1983" s="17" t="str">
        <f>Github!E$1982</f>
        <v>Medium</v>
      </c>
      <c r="J1983" s="17" t="str">
        <f>ROUND(Github!N$1982, 2)&amp;"%"</f>
        <v>0%</v>
      </c>
      <c r="K1983" s="17">
        <f>Github!O$1982</f>
        <v>32.75589084</v>
      </c>
      <c r="L1983" s="17">
        <f>Github!P$1982</f>
        <v>14068</v>
      </c>
    </row>
    <row r="1984">
      <c r="A1984" s="17">
        <f>Github!J$1983</f>
        <v>1982</v>
      </c>
      <c r="B1984" s="34" t="str">
        <f>HYPERLINK(CONCAT("http://leetcode.com/problems/",Github!C$1983), Github!B$1983)</f>
        <v>Find Array Given Subset Sums</v>
      </c>
      <c r="C1984" s="17">
        <f>Github!F$1983</f>
        <v>232</v>
      </c>
      <c r="D1984" s="17">
        <f>Github!G$1983</f>
        <v>18</v>
      </c>
      <c r="E1984" s="17">
        <f>Github!F$1983+Github!G$1983</f>
        <v>250</v>
      </c>
      <c r="F1984" s="18">
        <f t="shared" si="1"/>
        <v>12.89</v>
      </c>
      <c r="G1984" s="17" t="str">
        <f>Github!H$1983</f>
        <v>Algorithms</v>
      </c>
      <c r="H1984" s="17" t="b">
        <f>Github!D$1983</f>
        <v>0</v>
      </c>
      <c r="I1984" s="17" t="str">
        <f>Github!E$1983</f>
        <v>Hard</v>
      </c>
      <c r="J1984" s="17" t="str">
        <f>ROUND(Github!N$1983, 2)&amp;"%"</f>
        <v>0%</v>
      </c>
      <c r="K1984" s="17">
        <f>Github!O$1983</f>
        <v>48.39630563</v>
      </c>
      <c r="L1984" s="17">
        <f>Github!P$1983</f>
        <v>2882</v>
      </c>
    </row>
    <row r="1985">
      <c r="A1985" s="17">
        <f>Github!J$1984</f>
        <v>1983</v>
      </c>
      <c r="B1985" s="34" t="str">
        <f>HYPERLINK(CONCAT("http://leetcode.com/problems/",Github!C$1984), Github!B$1984)</f>
        <v>Widest Pair of Indices With Equal Range Sum</v>
      </c>
      <c r="C1985" s="17">
        <f>Github!F$1984</f>
        <v>40</v>
      </c>
      <c r="D1985" s="17">
        <f>Github!G$1984</f>
        <v>0</v>
      </c>
      <c r="E1985" s="17">
        <f>Github!F$1984+Github!G$1984</f>
        <v>40</v>
      </c>
      <c r="F1985" s="18" t="str">
        <f t="shared" si="1"/>
        <v>#DIV/0!</v>
      </c>
      <c r="G1985" s="17" t="str">
        <f>Github!H$1984</f>
        <v>Algorithms</v>
      </c>
      <c r="H1985" s="17" t="b">
        <f>Github!D$1984</f>
        <v>1</v>
      </c>
      <c r="I1985" s="17" t="str">
        <f>Github!E$1984</f>
        <v>Medium</v>
      </c>
      <c r="J1985" s="17" t="str">
        <f>ROUND(Github!N$1984, 2)&amp;"%"</f>
        <v>0%</v>
      </c>
      <c r="K1985" s="17">
        <f>Github!O$1984</f>
        <v>54.10996189</v>
      </c>
      <c r="L1985" s="17">
        <f>Github!P$1984</f>
        <v>994</v>
      </c>
    </row>
    <row r="1986">
      <c r="A1986" s="17">
        <f>Github!J$1985</f>
        <v>1984</v>
      </c>
      <c r="B1986" s="34" t="str">
        <f>HYPERLINK(CONCAT("http://leetcode.com/problems/",Github!C$1985), Github!B$1985)</f>
        <v>Minimum Difference Between Highest and Lowest of K Scores</v>
      </c>
      <c r="C1986" s="17">
        <f>Github!F$1985</f>
        <v>259</v>
      </c>
      <c r="D1986" s="17">
        <f>Github!G$1985</f>
        <v>37</v>
      </c>
      <c r="E1986" s="17">
        <f>Github!F$1985+Github!G$1985</f>
        <v>296</v>
      </c>
      <c r="F1986" s="18">
        <f t="shared" si="1"/>
        <v>7</v>
      </c>
      <c r="G1986" s="17" t="str">
        <f>Github!H$1985</f>
        <v>Algorithms</v>
      </c>
      <c r="H1986" s="17" t="b">
        <f>Github!D$1985</f>
        <v>0</v>
      </c>
      <c r="I1986" s="17" t="str">
        <f>Github!E$1985</f>
        <v>Easy</v>
      </c>
      <c r="J1986" s="17" t="str">
        <f>ROUND(Github!N$1985, 2)&amp;"%"</f>
        <v>0%</v>
      </c>
      <c r="K1986" s="17">
        <f>Github!O$1985</f>
        <v>54.10113921</v>
      </c>
      <c r="L1986" s="17">
        <f>Github!P$1985</f>
        <v>19471</v>
      </c>
    </row>
    <row r="1987">
      <c r="A1987" s="17">
        <f>Github!J$1986</f>
        <v>1985</v>
      </c>
      <c r="B1987" s="34" t="str">
        <f>HYPERLINK(CONCAT("http://leetcode.com/problems/",Github!C$1986), Github!B$1986)</f>
        <v>Find the Kth Largest Integer in the Array</v>
      </c>
      <c r="C1987" s="17">
        <f>Github!F$1986</f>
        <v>386</v>
      </c>
      <c r="D1987" s="17">
        <f>Github!G$1986</f>
        <v>62</v>
      </c>
      <c r="E1987" s="17">
        <f>Github!F$1986+Github!G$1986</f>
        <v>448</v>
      </c>
      <c r="F1987" s="18">
        <f t="shared" si="1"/>
        <v>6.23</v>
      </c>
      <c r="G1987" s="17" t="str">
        <f>Github!H$1986</f>
        <v>Algorithms</v>
      </c>
      <c r="H1987" s="17" t="b">
        <f>Github!D$1986</f>
        <v>0</v>
      </c>
      <c r="I1987" s="17" t="str">
        <f>Github!E$1986</f>
        <v>Medium</v>
      </c>
      <c r="J1987" s="17" t="str">
        <f>ROUND(Github!N$1986, 2)&amp;"%"</f>
        <v>0%</v>
      </c>
      <c r="K1987" s="17">
        <f>Github!O$1986</f>
        <v>44.74717155</v>
      </c>
      <c r="L1987" s="17">
        <f>Github!P$1986</f>
        <v>25194</v>
      </c>
    </row>
    <row r="1988">
      <c r="A1988" s="17">
        <f>Github!J$1987</f>
        <v>1986</v>
      </c>
      <c r="B1988" s="34" t="str">
        <f>HYPERLINK(CONCAT("http://leetcode.com/problems/",Github!C$1987), Github!B$1987)</f>
        <v>Minimum Number of Work Sessions to Finish the Tasks</v>
      </c>
      <c r="C1988" s="17">
        <f>Github!F$1987</f>
        <v>464</v>
      </c>
      <c r="D1988" s="17">
        <f>Github!G$1987</f>
        <v>27</v>
      </c>
      <c r="E1988" s="17">
        <f>Github!F$1987+Github!G$1987</f>
        <v>491</v>
      </c>
      <c r="F1988" s="18">
        <f t="shared" si="1"/>
        <v>17.19</v>
      </c>
      <c r="G1988" s="17" t="str">
        <f>Github!H$1987</f>
        <v>Algorithms</v>
      </c>
      <c r="H1988" s="17" t="b">
        <f>Github!D$1987</f>
        <v>0</v>
      </c>
      <c r="I1988" s="17" t="str">
        <f>Github!E$1987</f>
        <v>Medium</v>
      </c>
      <c r="J1988" s="17" t="str">
        <f>ROUND(Github!N$1987, 2)&amp;"%"</f>
        <v>0%</v>
      </c>
      <c r="K1988" s="17">
        <f>Github!O$1987</f>
        <v>31.5483871</v>
      </c>
      <c r="L1988" s="17">
        <f>Github!P$1987</f>
        <v>10758</v>
      </c>
    </row>
    <row r="1989">
      <c r="A1989" s="17">
        <f>Github!J$1988</f>
        <v>1987</v>
      </c>
      <c r="B1989" s="34" t="str">
        <f>HYPERLINK(CONCAT("http://leetcode.com/problems/",Github!C$1988), Github!B$1988)</f>
        <v>Number of Unique Good Subsequences</v>
      </c>
      <c r="C1989" s="17">
        <f>Github!F$1988</f>
        <v>354</v>
      </c>
      <c r="D1989" s="17">
        <f>Github!G$1988</f>
        <v>7</v>
      </c>
      <c r="E1989" s="17">
        <f>Github!F$1988+Github!G$1988</f>
        <v>361</v>
      </c>
      <c r="F1989" s="18">
        <f t="shared" si="1"/>
        <v>50.57</v>
      </c>
      <c r="G1989" s="17" t="str">
        <f>Github!H$1988</f>
        <v>Algorithms</v>
      </c>
      <c r="H1989" s="17" t="b">
        <f>Github!D$1988</f>
        <v>0</v>
      </c>
      <c r="I1989" s="17" t="str">
        <f>Github!E$1988</f>
        <v>Hard</v>
      </c>
      <c r="J1989" s="17" t="str">
        <f>ROUND(Github!N$1988, 2)&amp;"%"</f>
        <v>0%</v>
      </c>
      <c r="K1989" s="17">
        <f>Github!O$1988</f>
        <v>51.90072259</v>
      </c>
      <c r="L1989" s="17">
        <f>Github!P$1988</f>
        <v>6607</v>
      </c>
    </row>
    <row r="1990">
      <c r="A1990" s="17">
        <f>Github!J$1989</f>
        <v>1988</v>
      </c>
      <c r="B1990" s="34" t="str">
        <f>HYPERLINK(CONCAT("http://leetcode.com/problems/",Github!C$1989), Github!B$1989)</f>
        <v>Find Cutoff Score for Each School</v>
      </c>
      <c r="C1990" s="17">
        <f>Github!F$1989</f>
        <v>23</v>
      </c>
      <c r="D1990" s="17">
        <f>Github!G$1989</f>
        <v>50</v>
      </c>
      <c r="E1990" s="17">
        <f>Github!F$1989+Github!G$1989</f>
        <v>73</v>
      </c>
      <c r="F1990" s="18">
        <f t="shared" si="1"/>
        <v>0.46</v>
      </c>
      <c r="G1990" s="17" t="str">
        <f>Github!H$1989</f>
        <v>Database</v>
      </c>
      <c r="H1990" s="17" t="b">
        <f>Github!D$1989</f>
        <v>1</v>
      </c>
      <c r="I1990" s="17" t="str">
        <f>Github!E$1989</f>
        <v>Medium</v>
      </c>
      <c r="J1990" s="17" t="str">
        <f>ROUND(Github!N$1989, 2)&amp;"%"</f>
        <v>0%</v>
      </c>
      <c r="K1990" s="17">
        <f>Github!O$1989</f>
        <v>69.10282258</v>
      </c>
      <c r="L1990" s="17">
        <f>Github!P$1989</f>
        <v>2740</v>
      </c>
    </row>
    <row r="1991">
      <c r="A1991" s="17">
        <f>Github!J$1990</f>
        <v>1989</v>
      </c>
      <c r="B1991" s="34" t="str">
        <f>HYPERLINK(CONCAT("http://leetcode.com/problems/",Github!C$1990), Github!B$1990)</f>
        <v>Maximum Number of People That Can Be Caught in Tag</v>
      </c>
      <c r="C1991" s="17">
        <f>Github!F$1990</f>
        <v>38</v>
      </c>
      <c r="D1991" s="17">
        <f>Github!G$1990</f>
        <v>5</v>
      </c>
      <c r="E1991" s="17">
        <f>Github!F$1990+Github!G$1990</f>
        <v>43</v>
      </c>
      <c r="F1991" s="18">
        <f t="shared" si="1"/>
        <v>7.6</v>
      </c>
      <c r="G1991" s="17" t="str">
        <f>Github!H$1990</f>
        <v>Algorithms</v>
      </c>
      <c r="H1991" s="17" t="b">
        <f>Github!D$1990</f>
        <v>1</v>
      </c>
      <c r="I1991" s="17" t="str">
        <f>Github!E$1990</f>
        <v>Medium</v>
      </c>
      <c r="J1991" s="17" t="str">
        <f>ROUND(Github!N$1990, 2)&amp;"%"</f>
        <v>0%</v>
      </c>
      <c r="K1991" s="17">
        <f>Github!O$1990</f>
        <v>55.49065421</v>
      </c>
      <c r="L1991" s="17">
        <f>Github!P$1990</f>
        <v>950</v>
      </c>
    </row>
    <row r="1992">
      <c r="A1992" s="17">
        <f>Github!J$1991</f>
        <v>1990</v>
      </c>
      <c r="B1992" s="34" t="str">
        <f>HYPERLINK(CONCAT("http://leetcode.com/problems/",Github!C$1991), Github!B$1991)</f>
        <v>Count the Number of Experiments</v>
      </c>
      <c r="C1992" s="17">
        <f>Github!F$1991</f>
        <v>6</v>
      </c>
      <c r="D1992" s="17">
        <f>Github!G$1991</f>
        <v>75</v>
      </c>
      <c r="E1992" s="17">
        <f>Github!F$1991+Github!G$1991</f>
        <v>81</v>
      </c>
      <c r="F1992" s="18">
        <f t="shared" si="1"/>
        <v>0.08</v>
      </c>
      <c r="G1992" s="17" t="str">
        <f>Github!H$1991</f>
        <v>Database</v>
      </c>
      <c r="H1992" s="17" t="b">
        <f>Github!D$1991</f>
        <v>1</v>
      </c>
      <c r="I1992" s="17" t="str">
        <f>Github!E$1991</f>
        <v>Medium</v>
      </c>
      <c r="J1992" s="17" t="str">
        <f>ROUND(Github!N$1991, 2)&amp;"%"</f>
        <v>0%</v>
      </c>
      <c r="K1992" s="17">
        <f>Github!O$1991</f>
        <v>50.62162796</v>
      </c>
      <c r="L1992" s="17">
        <f>Github!P$1991</f>
        <v>2158</v>
      </c>
    </row>
    <row r="1993">
      <c r="A1993" s="17">
        <f>Github!J$1992</f>
        <v>1991</v>
      </c>
      <c r="B1993" s="34" t="str">
        <f>HYPERLINK(CONCAT("http://leetcode.com/problems/",Github!C$1992), Github!B$1992)</f>
        <v>Find the Middle Index in Array</v>
      </c>
      <c r="C1993" s="17">
        <f>Github!F$1992</f>
        <v>349</v>
      </c>
      <c r="D1993" s="17">
        <f>Github!G$1992</f>
        <v>18</v>
      </c>
      <c r="E1993" s="17">
        <f>Github!F$1992+Github!G$1992</f>
        <v>367</v>
      </c>
      <c r="F1993" s="18">
        <f t="shared" si="1"/>
        <v>19.39</v>
      </c>
      <c r="G1993" s="17" t="str">
        <f>Github!H$1992</f>
        <v>Algorithms</v>
      </c>
      <c r="H1993" s="17" t="b">
        <f>Github!D$1992</f>
        <v>0</v>
      </c>
      <c r="I1993" s="17" t="str">
        <f>Github!E$1992</f>
        <v>Easy</v>
      </c>
      <c r="J1993" s="17" t="str">
        <f>ROUND(Github!N$1992, 2)&amp;"%"</f>
        <v>0%</v>
      </c>
      <c r="K1993" s="17">
        <f>Github!O$1992</f>
        <v>66.33738602</v>
      </c>
      <c r="L1993" s="17">
        <f>Github!P$1992</f>
        <v>23571</v>
      </c>
    </row>
    <row r="1994">
      <c r="A1994" s="17">
        <f>Github!J$1993</f>
        <v>1992</v>
      </c>
      <c r="B1994" s="34" t="str">
        <f>HYPERLINK(CONCAT("http://leetcode.com/problems/",Github!C$1993), Github!B$1993)</f>
        <v>Find All Groups of Farmland</v>
      </c>
      <c r="C1994" s="17">
        <f>Github!F$1993</f>
        <v>323</v>
      </c>
      <c r="D1994" s="17">
        <f>Github!G$1993</f>
        <v>16</v>
      </c>
      <c r="E1994" s="17">
        <f>Github!F$1993+Github!G$1993</f>
        <v>339</v>
      </c>
      <c r="F1994" s="18">
        <f t="shared" si="1"/>
        <v>20.19</v>
      </c>
      <c r="G1994" s="17" t="str">
        <f>Github!H$1993</f>
        <v>Algorithms</v>
      </c>
      <c r="H1994" s="17" t="b">
        <f>Github!D$1993</f>
        <v>0</v>
      </c>
      <c r="I1994" s="17" t="str">
        <f>Github!E$1993</f>
        <v>Medium</v>
      </c>
      <c r="J1994" s="17" t="str">
        <f>ROUND(Github!N$1993, 2)&amp;"%"</f>
        <v>0%</v>
      </c>
      <c r="K1994" s="17">
        <f>Github!O$1993</f>
        <v>66.99634487</v>
      </c>
      <c r="L1994" s="17">
        <f>Github!P$1993</f>
        <v>12464</v>
      </c>
    </row>
    <row r="1995">
      <c r="A1995" s="17">
        <f>Github!J$1994</f>
        <v>1993</v>
      </c>
      <c r="B1995" s="34" t="str">
        <f>HYPERLINK(CONCAT("http://leetcode.com/problems/",Github!C$1994), Github!B$1994)</f>
        <v>Operations on Tree</v>
      </c>
      <c r="C1995" s="17">
        <f>Github!F$1994</f>
        <v>195</v>
      </c>
      <c r="D1995" s="17">
        <f>Github!G$1994</f>
        <v>35</v>
      </c>
      <c r="E1995" s="17">
        <f>Github!F$1994+Github!G$1994</f>
        <v>230</v>
      </c>
      <c r="F1995" s="18">
        <f t="shared" si="1"/>
        <v>5.57</v>
      </c>
      <c r="G1995" s="17" t="str">
        <f>Github!H$1994</f>
        <v>Algorithms</v>
      </c>
      <c r="H1995" s="17" t="b">
        <f>Github!D$1994</f>
        <v>0</v>
      </c>
      <c r="I1995" s="17" t="str">
        <f>Github!E$1994</f>
        <v>Medium</v>
      </c>
      <c r="J1995" s="17" t="str">
        <f>ROUND(Github!N$1994, 2)&amp;"%"</f>
        <v>0%</v>
      </c>
      <c r="K1995" s="17">
        <f>Github!O$1994</f>
        <v>41.86262787</v>
      </c>
      <c r="L1995" s="17">
        <f>Github!P$1994</f>
        <v>6302</v>
      </c>
    </row>
    <row r="1996">
      <c r="A1996" s="17">
        <f>Github!J$1995</f>
        <v>1994</v>
      </c>
      <c r="B1996" s="34" t="str">
        <f>HYPERLINK(CONCAT("http://leetcode.com/problems/",Github!C$1995), Github!B$1995)</f>
        <v>The Number of Good Subsets</v>
      </c>
      <c r="C1996" s="17">
        <f>Github!F$1995</f>
        <v>199</v>
      </c>
      <c r="D1996" s="17">
        <f>Github!G$1995</f>
        <v>4</v>
      </c>
      <c r="E1996" s="17">
        <f>Github!F$1995+Github!G$1995</f>
        <v>203</v>
      </c>
      <c r="F1996" s="18">
        <f t="shared" si="1"/>
        <v>49.75</v>
      </c>
      <c r="G1996" s="17" t="str">
        <f>Github!H$1995</f>
        <v>Algorithms</v>
      </c>
      <c r="H1996" s="17" t="b">
        <f>Github!D$1995</f>
        <v>0</v>
      </c>
      <c r="I1996" s="17" t="str">
        <f>Github!E$1995</f>
        <v>Hard</v>
      </c>
      <c r="J1996" s="17" t="str">
        <f>ROUND(Github!N$1995, 2)&amp;"%"</f>
        <v>0%</v>
      </c>
      <c r="K1996" s="17">
        <f>Github!O$1995</f>
        <v>33.97991335</v>
      </c>
      <c r="L1996" s="17">
        <f>Github!P$1995</f>
        <v>3451</v>
      </c>
    </row>
    <row r="1997">
      <c r="A1997" s="17">
        <f>Github!J$1996</f>
        <v>1995</v>
      </c>
      <c r="B1997" s="34" t="str">
        <f>HYPERLINK(CONCAT("http://leetcode.com/problems/",Github!C$1996), Github!B$1996)</f>
        <v>Count Special Quadruplets</v>
      </c>
      <c r="C1997" s="17">
        <f>Github!F$1996</f>
        <v>235</v>
      </c>
      <c r="D1997" s="17">
        <f>Github!G$1996</f>
        <v>121</v>
      </c>
      <c r="E1997" s="17">
        <f>Github!F$1996+Github!G$1996</f>
        <v>356</v>
      </c>
      <c r="F1997" s="18">
        <f t="shared" si="1"/>
        <v>1.94</v>
      </c>
      <c r="G1997" s="17" t="str">
        <f>Github!H$1996</f>
        <v>Algorithms</v>
      </c>
      <c r="H1997" s="17" t="b">
        <f>Github!D$1996</f>
        <v>0</v>
      </c>
      <c r="I1997" s="17" t="str">
        <f>Github!E$1996</f>
        <v>Easy</v>
      </c>
      <c r="J1997" s="17" t="str">
        <f>ROUND(Github!N$1996, 2)&amp;"%"</f>
        <v>0%</v>
      </c>
      <c r="K1997" s="17">
        <f>Github!O$1996</f>
        <v>57.72810719</v>
      </c>
      <c r="L1997" s="17">
        <f>Github!P$1996</f>
        <v>17924</v>
      </c>
    </row>
    <row r="1998">
      <c r="A1998" s="17">
        <f>Github!J$1997</f>
        <v>1996</v>
      </c>
      <c r="B1998" s="34" t="str">
        <f>HYPERLINK(CONCAT("http://leetcode.com/problems/",Github!C$1997), Github!B$1997)</f>
        <v>The Number of Weak Characters in the Game</v>
      </c>
      <c r="C1998" s="17">
        <f>Github!F$1997</f>
        <v>560</v>
      </c>
      <c r="D1998" s="17">
        <f>Github!G$1997</f>
        <v>20</v>
      </c>
      <c r="E1998" s="17">
        <f>Github!F$1997+Github!G$1997</f>
        <v>580</v>
      </c>
      <c r="F1998" s="18">
        <f t="shared" si="1"/>
        <v>28</v>
      </c>
      <c r="G1998" s="17" t="str">
        <f>Github!H$1997</f>
        <v>Algorithms</v>
      </c>
      <c r="H1998" s="17" t="b">
        <f>Github!D$1997</f>
        <v>0</v>
      </c>
      <c r="I1998" s="17" t="str">
        <f>Github!E$1997</f>
        <v>Medium</v>
      </c>
      <c r="J1998" s="17" t="str">
        <f>ROUND(Github!N$1997, 2)&amp;"%"</f>
        <v>0%</v>
      </c>
      <c r="K1998" s="17">
        <f>Github!O$1997</f>
        <v>32.45498368</v>
      </c>
      <c r="L1998" s="17">
        <f>Github!P$1997</f>
        <v>15014</v>
      </c>
    </row>
    <row r="1999">
      <c r="A1999" s="17">
        <f>Github!J$1998</f>
        <v>1997</v>
      </c>
      <c r="B1999" s="34" t="str">
        <f>HYPERLINK(CONCAT("http://leetcode.com/problems/",Github!C$1998), Github!B$1998)</f>
        <v>First Day Where You Have Been in All the Rooms</v>
      </c>
      <c r="C1999" s="17">
        <f>Github!F$1998</f>
        <v>309</v>
      </c>
      <c r="D1999" s="17">
        <f>Github!G$1998</f>
        <v>51</v>
      </c>
      <c r="E1999" s="17">
        <f>Github!F$1998+Github!G$1998</f>
        <v>360</v>
      </c>
      <c r="F1999" s="18">
        <f t="shared" si="1"/>
        <v>6.06</v>
      </c>
      <c r="G1999" s="17" t="str">
        <f>Github!H$1998</f>
        <v>Algorithms</v>
      </c>
      <c r="H1999" s="17" t="b">
        <f>Github!D$1998</f>
        <v>0</v>
      </c>
      <c r="I1999" s="17" t="str">
        <f>Github!E$1998</f>
        <v>Medium</v>
      </c>
      <c r="J1999" s="17" t="str">
        <f>ROUND(Github!N$1998, 2)&amp;"%"</f>
        <v>0%</v>
      </c>
      <c r="K1999" s="17">
        <f>Github!O$1998</f>
        <v>35.22201213</v>
      </c>
      <c r="L1999" s="17">
        <f>Github!P$1998</f>
        <v>5402</v>
      </c>
    </row>
    <row r="2000">
      <c r="A2000" s="17">
        <f>Github!J$1999</f>
        <v>1998</v>
      </c>
      <c r="B2000" s="34" t="str">
        <f>HYPERLINK(CONCAT("http://leetcode.com/problems/",Github!C$1999), Github!B$1999)</f>
        <v>GCD Sort of an Array</v>
      </c>
      <c r="C2000" s="17">
        <f>Github!F$1999</f>
        <v>240</v>
      </c>
      <c r="D2000" s="17">
        <f>Github!G$1999</f>
        <v>4</v>
      </c>
      <c r="E2000" s="17">
        <f>Github!F$1999+Github!G$1999</f>
        <v>244</v>
      </c>
      <c r="F2000" s="18">
        <f t="shared" si="1"/>
        <v>60</v>
      </c>
      <c r="G2000" s="17" t="str">
        <f>Github!H$1999</f>
        <v>Algorithms</v>
      </c>
      <c r="H2000" s="17" t="b">
        <f>Github!D$1999</f>
        <v>0</v>
      </c>
      <c r="I2000" s="17" t="str">
        <f>Github!E$1999</f>
        <v>Hard</v>
      </c>
      <c r="J2000" s="17" t="str">
        <f>ROUND(Github!N$1999, 2)&amp;"%"</f>
        <v>0%</v>
      </c>
      <c r="K2000" s="17">
        <f>Github!O$1999</f>
        <v>45.68512218</v>
      </c>
      <c r="L2000" s="17">
        <f>Github!P$1999</f>
        <v>4431</v>
      </c>
    </row>
    <row r="2001">
      <c r="A2001" s="17">
        <f>Github!J$2000</f>
        <v>1999</v>
      </c>
      <c r="B2001" s="34" t="str">
        <f>HYPERLINK(CONCAT("http://leetcode.com/problems/",Github!C$2000), Github!B$2000)</f>
        <v>Smallest Greater Multiple Made of Two Digits</v>
      </c>
      <c r="C2001" s="17">
        <f>Github!F$2000</f>
        <v>18</v>
      </c>
      <c r="D2001" s="17">
        <f>Github!G$2000</f>
        <v>3</v>
      </c>
      <c r="E2001" s="17">
        <f>Github!F$2000+Github!G$2000</f>
        <v>21</v>
      </c>
      <c r="F2001" s="18">
        <f t="shared" si="1"/>
        <v>6</v>
      </c>
      <c r="G2001" s="17" t="str">
        <f>Github!H$2000</f>
        <v>Algorithms</v>
      </c>
      <c r="H2001" s="17" t="b">
        <f>Github!D$2000</f>
        <v>1</v>
      </c>
      <c r="I2001" s="17" t="str">
        <f>Github!E$2000</f>
        <v>Medium</v>
      </c>
      <c r="J2001" s="17" t="str">
        <f>ROUND(Github!N$2000, 2)&amp;"%"</f>
        <v>0%</v>
      </c>
      <c r="K2001" s="17">
        <f>Github!O$2000</f>
        <v>52.27710071</v>
      </c>
      <c r="L2001" s="17">
        <f>Github!P$2000</f>
        <v>815</v>
      </c>
    </row>
    <row r="2002">
      <c r="A2002" s="17">
        <f>Github!J$2001</f>
        <v>2000</v>
      </c>
      <c r="B2002" s="34" t="str">
        <f>HYPERLINK(CONCAT("http://leetcode.com/problems/",Github!C$2001), Github!B$2001)</f>
        <v>Reverse Prefix of Word</v>
      </c>
      <c r="C2002" s="17">
        <f>Github!F$2001</f>
        <v>272</v>
      </c>
      <c r="D2002" s="17">
        <f>Github!G$2001</f>
        <v>6</v>
      </c>
      <c r="E2002" s="17">
        <f>Github!F$2001+Github!G$2001</f>
        <v>278</v>
      </c>
      <c r="F2002" s="18">
        <f t="shared" si="1"/>
        <v>45.33</v>
      </c>
      <c r="G2002" s="17" t="str">
        <f>Github!H$2001</f>
        <v>Algorithms</v>
      </c>
      <c r="H2002" s="17" t="b">
        <f>Github!D$2001</f>
        <v>0</v>
      </c>
      <c r="I2002" s="17" t="str">
        <f>Github!E$2001</f>
        <v>Easy</v>
      </c>
      <c r="J2002" s="17" t="str">
        <f>ROUND(Github!N$2001, 2)&amp;"%"</f>
        <v>0%</v>
      </c>
      <c r="K2002" s="17">
        <f>Github!O$2001</f>
        <v>78.09284486</v>
      </c>
      <c r="L2002" s="17">
        <f>Github!P$2001</f>
        <v>29519</v>
      </c>
    </row>
    <row r="2003">
      <c r="A2003" s="17">
        <f>Github!J$2002</f>
        <v>2001</v>
      </c>
      <c r="B2003" s="34" t="str">
        <f>HYPERLINK(CONCAT("http://leetcode.com/problems/",Github!C$2002), Github!B$2002)</f>
        <v>Number of Pairs of Interchangeable Rectangles</v>
      </c>
      <c r="C2003" s="17">
        <f>Github!F$2002</f>
        <v>206</v>
      </c>
      <c r="D2003" s="17">
        <f>Github!G$2002</f>
        <v>20</v>
      </c>
      <c r="E2003" s="17">
        <f>Github!F$2002+Github!G$2002</f>
        <v>226</v>
      </c>
      <c r="F2003" s="18">
        <f t="shared" si="1"/>
        <v>10.3</v>
      </c>
      <c r="G2003" s="17" t="str">
        <f>Github!H$2002</f>
        <v>Algorithms</v>
      </c>
      <c r="H2003" s="17" t="b">
        <f>Github!D$2002</f>
        <v>0</v>
      </c>
      <c r="I2003" s="17" t="str">
        <f>Github!E$2002</f>
        <v>Medium</v>
      </c>
      <c r="J2003" s="17" t="str">
        <f>ROUND(Github!N$2002, 2)&amp;"%"</f>
        <v>0%</v>
      </c>
      <c r="K2003" s="17">
        <f>Github!O$2002</f>
        <v>42.51907742</v>
      </c>
      <c r="L2003" s="17">
        <f>Github!P$2002</f>
        <v>14877</v>
      </c>
    </row>
    <row r="2004">
      <c r="A2004" s="17">
        <f>Github!J$2003</f>
        <v>2002</v>
      </c>
      <c r="B2004" s="34" t="str">
        <f>HYPERLINK(CONCAT("http://leetcode.com/problems/",Github!C$2003), Github!B$2003)</f>
        <v>Maximum Product of the Length of Two Palindromic Subsequences</v>
      </c>
      <c r="C2004" s="17">
        <f>Github!F$2003</f>
        <v>405</v>
      </c>
      <c r="D2004" s="17">
        <f>Github!G$2003</f>
        <v>27</v>
      </c>
      <c r="E2004" s="17">
        <f>Github!F$2003+Github!G$2003</f>
        <v>432</v>
      </c>
      <c r="F2004" s="18">
        <f t="shared" si="1"/>
        <v>15</v>
      </c>
      <c r="G2004" s="17" t="str">
        <f>Github!H$2003</f>
        <v>Algorithms</v>
      </c>
      <c r="H2004" s="17" t="b">
        <f>Github!D$2003</f>
        <v>0</v>
      </c>
      <c r="I2004" s="17" t="str">
        <f>Github!E$2003</f>
        <v>Medium</v>
      </c>
      <c r="J2004" s="17" t="str">
        <f>ROUND(Github!N$2003, 2)&amp;"%"</f>
        <v>0%</v>
      </c>
      <c r="K2004" s="17">
        <f>Github!O$2003</f>
        <v>52.6936689</v>
      </c>
      <c r="L2004" s="17">
        <f>Github!P$2003</f>
        <v>10720</v>
      </c>
    </row>
    <row r="2005">
      <c r="A2005" s="17">
        <f>Github!J$2004</f>
        <v>2003</v>
      </c>
      <c r="B2005" s="34" t="str">
        <f>HYPERLINK(CONCAT("http://leetcode.com/problems/",Github!C$2004), Github!B$2004)</f>
        <v>Smallest Missing Genetic Value in Each Subtree</v>
      </c>
      <c r="C2005" s="17">
        <f>Github!F$2004</f>
        <v>254</v>
      </c>
      <c r="D2005" s="17">
        <f>Github!G$2004</f>
        <v>16</v>
      </c>
      <c r="E2005" s="17">
        <f>Github!F$2004+Github!G$2004</f>
        <v>270</v>
      </c>
      <c r="F2005" s="18">
        <f t="shared" si="1"/>
        <v>15.88</v>
      </c>
      <c r="G2005" s="17" t="str">
        <f>Github!H$2004</f>
        <v>Algorithms</v>
      </c>
      <c r="H2005" s="17" t="b">
        <f>Github!D$2004</f>
        <v>0</v>
      </c>
      <c r="I2005" s="17" t="str">
        <f>Github!E$2004</f>
        <v>Hard</v>
      </c>
      <c r="J2005" s="17" t="str">
        <f>ROUND(Github!N$2004, 2)&amp;"%"</f>
        <v>0%</v>
      </c>
      <c r="K2005" s="17">
        <f>Github!O$2004</f>
        <v>42.10285505</v>
      </c>
      <c r="L2005" s="17">
        <f>Github!P$2004</f>
        <v>4601</v>
      </c>
    </row>
    <row r="2006">
      <c r="A2006" s="17">
        <f>Github!J$2005</f>
        <v>2004</v>
      </c>
      <c r="B2006" s="34" t="str">
        <f>HYPERLINK(CONCAT("http://leetcode.com/problems/",Github!C$2005), Github!B$2005)</f>
        <v>The Number of Seniors and Juniors to Join the Company</v>
      </c>
      <c r="C2006" s="17">
        <f>Github!F$2005</f>
        <v>49</v>
      </c>
      <c r="D2006" s="17">
        <f>Github!G$2005</f>
        <v>4</v>
      </c>
      <c r="E2006" s="17">
        <f>Github!F$2005+Github!G$2005</f>
        <v>53</v>
      </c>
      <c r="F2006" s="18">
        <f t="shared" si="1"/>
        <v>12.25</v>
      </c>
      <c r="G2006" s="17" t="str">
        <f>Github!H$2005</f>
        <v>Database</v>
      </c>
      <c r="H2006" s="17" t="b">
        <f>Github!D$2005</f>
        <v>1</v>
      </c>
      <c r="I2006" s="17" t="str">
        <f>Github!E$2005</f>
        <v>Hard</v>
      </c>
      <c r="J2006" s="17" t="str">
        <f>ROUND(Github!N$2005, 2)&amp;"%"</f>
        <v>0%</v>
      </c>
      <c r="K2006" s="17">
        <f>Github!O$2005</f>
        <v>37.94771044</v>
      </c>
      <c r="L2006" s="17">
        <f>Github!P$2005</f>
        <v>2511</v>
      </c>
    </row>
    <row r="2007">
      <c r="A2007" s="17">
        <f>Github!J$2006</f>
        <v>2005</v>
      </c>
      <c r="B2007" s="34" t="str">
        <f>HYPERLINK(CONCAT("http://leetcode.com/problems/",Github!C$2006), Github!B$2006)</f>
        <v>Subtree Removal Game with Fibonacci Tree</v>
      </c>
      <c r="C2007" s="17">
        <f>Github!F$2006</f>
        <v>9</v>
      </c>
      <c r="D2007" s="17">
        <f>Github!G$2006</f>
        <v>25</v>
      </c>
      <c r="E2007" s="17">
        <f>Github!F$2006+Github!G$2006</f>
        <v>34</v>
      </c>
      <c r="F2007" s="18">
        <f t="shared" si="1"/>
        <v>0.36</v>
      </c>
      <c r="G2007" s="17" t="str">
        <f>Github!H$2006</f>
        <v>Algorithms</v>
      </c>
      <c r="H2007" s="17" t="b">
        <f>Github!D$2006</f>
        <v>1</v>
      </c>
      <c r="I2007" s="17" t="str">
        <f>Github!E$2006</f>
        <v>Hard</v>
      </c>
      <c r="J2007" s="17" t="str">
        <f>ROUND(Github!N$2006, 2)&amp;"%"</f>
        <v>0%</v>
      </c>
      <c r="K2007" s="17">
        <f>Github!O$2006</f>
        <v>63.59447005</v>
      </c>
      <c r="L2007" s="17">
        <f>Github!P$2006</f>
        <v>276</v>
      </c>
    </row>
    <row r="2008">
      <c r="A2008" s="17">
        <f>Github!J$2007</f>
        <v>2006</v>
      </c>
      <c r="B2008" s="34" t="str">
        <f>HYPERLINK(CONCAT("http://leetcode.com/problems/",Github!C$2007), Github!B$2007)</f>
        <v>Count Number of Pairs With Absolute Difference K</v>
      </c>
      <c r="C2008" s="17">
        <f>Github!F$2007</f>
        <v>523</v>
      </c>
      <c r="D2008" s="17">
        <f>Github!G$2007</f>
        <v>13</v>
      </c>
      <c r="E2008" s="17">
        <f>Github!F$2007+Github!G$2007</f>
        <v>536</v>
      </c>
      <c r="F2008" s="18">
        <f t="shared" si="1"/>
        <v>40.23</v>
      </c>
      <c r="G2008" s="17" t="str">
        <f>Github!H$2007</f>
        <v>Algorithms</v>
      </c>
      <c r="H2008" s="17" t="b">
        <f>Github!D$2007</f>
        <v>0</v>
      </c>
      <c r="I2008" s="17" t="str">
        <f>Github!E$2007</f>
        <v>Easy</v>
      </c>
      <c r="J2008" s="17" t="str">
        <f>ROUND(Github!N$2007, 2)&amp;"%"</f>
        <v>0%</v>
      </c>
      <c r="K2008" s="17">
        <f>Github!O$2007</f>
        <v>83.14079718</v>
      </c>
      <c r="L2008" s="17">
        <f>Github!P$2007</f>
        <v>40587</v>
      </c>
    </row>
    <row r="2009">
      <c r="A2009" s="17">
        <f>Github!J$2008</f>
        <v>2007</v>
      </c>
      <c r="B2009" s="34" t="str">
        <f>HYPERLINK(CONCAT("http://leetcode.com/problems/",Github!C$2008), Github!B$2008)</f>
        <v>Find Original Array From Doubled Array</v>
      </c>
      <c r="C2009" s="17">
        <f>Github!F$2008</f>
        <v>517</v>
      </c>
      <c r="D2009" s="17">
        <f>Github!G$2008</f>
        <v>40</v>
      </c>
      <c r="E2009" s="17">
        <f>Github!F$2008+Github!G$2008</f>
        <v>557</v>
      </c>
      <c r="F2009" s="18">
        <f t="shared" si="1"/>
        <v>12.93</v>
      </c>
      <c r="G2009" s="17" t="str">
        <f>Github!H$2008</f>
        <v>Algorithms</v>
      </c>
      <c r="H2009" s="17" t="b">
        <f>Github!D$2008</f>
        <v>0</v>
      </c>
      <c r="I2009" s="17" t="str">
        <f>Github!E$2008</f>
        <v>Medium</v>
      </c>
      <c r="J2009" s="17" t="str">
        <f>ROUND(Github!N$2008, 2)&amp;"%"</f>
        <v>0%</v>
      </c>
      <c r="K2009" s="17">
        <f>Github!O$2008</f>
        <v>37.43305829</v>
      </c>
      <c r="L2009" s="17">
        <f>Github!P$2008</f>
        <v>35159</v>
      </c>
    </row>
    <row r="2010">
      <c r="A2010" s="17">
        <f>Github!J$2009</f>
        <v>2008</v>
      </c>
      <c r="B2010" s="34" t="str">
        <f>HYPERLINK(CONCAT("http://leetcode.com/problems/",Github!C$2009), Github!B$2009)</f>
        <v>Maximum Earnings From Taxi</v>
      </c>
      <c r="C2010" s="17">
        <f>Github!F$2009</f>
        <v>503</v>
      </c>
      <c r="D2010" s="17">
        <f>Github!G$2009</f>
        <v>11</v>
      </c>
      <c r="E2010" s="17">
        <f>Github!F$2009+Github!G$2009</f>
        <v>514</v>
      </c>
      <c r="F2010" s="18">
        <f t="shared" si="1"/>
        <v>45.73</v>
      </c>
      <c r="G2010" s="17" t="str">
        <f>Github!H$2009</f>
        <v>Algorithms</v>
      </c>
      <c r="H2010" s="17" t="b">
        <f>Github!D$2009</f>
        <v>0</v>
      </c>
      <c r="I2010" s="17" t="str">
        <f>Github!E$2009</f>
        <v>Medium</v>
      </c>
      <c r="J2010" s="17" t="str">
        <f>ROUND(Github!N$2009, 2)&amp;"%"</f>
        <v>0%</v>
      </c>
      <c r="K2010" s="17">
        <f>Github!O$2009</f>
        <v>42.55681598</v>
      </c>
      <c r="L2010" s="17">
        <f>Github!P$2009</f>
        <v>10991</v>
      </c>
    </row>
    <row r="2011">
      <c r="A2011" s="17">
        <f>Github!J$2010</f>
        <v>2009</v>
      </c>
      <c r="B2011" s="34" t="str">
        <f>HYPERLINK(CONCAT("http://leetcode.com/problems/",Github!C$2010), Github!B$2010)</f>
        <v>Minimum Number of Operations to Make Array Continuous</v>
      </c>
      <c r="C2011" s="17">
        <f>Github!F$2010</f>
        <v>375</v>
      </c>
      <c r="D2011" s="17">
        <f>Github!G$2010</f>
        <v>4</v>
      </c>
      <c r="E2011" s="17">
        <f>Github!F$2010+Github!G$2010</f>
        <v>379</v>
      </c>
      <c r="F2011" s="18">
        <f t="shared" si="1"/>
        <v>93.75</v>
      </c>
      <c r="G2011" s="17" t="str">
        <f>Github!H$2010</f>
        <v>Algorithms</v>
      </c>
      <c r="H2011" s="17" t="b">
        <f>Github!D$2010</f>
        <v>0</v>
      </c>
      <c r="I2011" s="17" t="str">
        <f>Github!E$2010</f>
        <v>Hard</v>
      </c>
      <c r="J2011" s="17" t="str">
        <f>ROUND(Github!N$2010, 2)&amp;"%"</f>
        <v>0%</v>
      </c>
      <c r="K2011" s="17">
        <f>Github!O$2010</f>
        <v>45.6005087</v>
      </c>
      <c r="L2011" s="17">
        <f>Github!P$2010</f>
        <v>5737</v>
      </c>
    </row>
    <row r="2012">
      <c r="A2012" s="17">
        <f>Github!J$2011</f>
        <v>2010</v>
      </c>
      <c r="B2012" s="34" t="str">
        <f>HYPERLINK(CONCAT("http://leetcode.com/problems/",Github!C$2011), Github!B$2011)</f>
        <v>The Number of Seniors and Juniors to Join the Company II</v>
      </c>
      <c r="C2012" s="17">
        <f>Github!F$2011</f>
        <v>9</v>
      </c>
      <c r="D2012" s="17">
        <f>Github!G$2011</f>
        <v>4</v>
      </c>
      <c r="E2012" s="17">
        <f>Github!F$2011+Github!G$2011</f>
        <v>13</v>
      </c>
      <c r="F2012" s="18">
        <f t="shared" si="1"/>
        <v>2.25</v>
      </c>
      <c r="G2012" s="17" t="str">
        <f>Github!H$2011</f>
        <v>Database</v>
      </c>
      <c r="H2012" s="17" t="b">
        <f>Github!D$2011</f>
        <v>1</v>
      </c>
      <c r="I2012" s="17" t="str">
        <f>Github!E$2011</f>
        <v>Hard</v>
      </c>
      <c r="J2012" s="17" t="str">
        <f>ROUND(Github!N$2011, 2)&amp;"%"</f>
        <v>0%</v>
      </c>
      <c r="K2012" s="17">
        <f>Github!O$2011</f>
        <v>56.46518745</v>
      </c>
      <c r="L2012" s="17">
        <f>Github!P$2011</f>
        <v>1476</v>
      </c>
    </row>
    <row r="2013">
      <c r="A2013" s="17">
        <f>Github!J$2012</f>
        <v>2011</v>
      </c>
      <c r="B2013" s="34" t="str">
        <f>HYPERLINK(CONCAT("http://leetcode.com/problems/",Github!C$2012), Github!B$2012)</f>
        <v>Final Value of Variable After Performing Operations</v>
      </c>
      <c r="C2013" s="17">
        <f>Github!F$2012</f>
        <v>411</v>
      </c>
      <c r="D2013" s="17">
        <f>Github!G$2012</f>
        <v>82</v>
      </c>
      <c r="E2013" s="17">
        <f>Github!F$2012+Github!G$2012</f>
        <v>493</v>
      </c>
      <c r="F2013" s="18">
        <f t="shared" si="1"/>
        <v>5.01</v>
      </c>
      <c r="G2013" s="17" t="str">
        <f>Github!H$2012</f>
        <v>Algorithms</v>
      </c>
      <c r="H2013" s="17" t="b">
        <f>Github!D$2012</f>
        <v>0</v>
      </c>
      <c r="I2013" s="17" t="str">
        <f>Github!E$2012</f>
        <v>Easy</v>
      </c>
      <c r="J2013" s="17" t="str">
        <f>ROUND(Github!N$2012, 2)&amp;"%"</f>
        <v>0%</v>
      </c>
      <c r="K2013" s="17">
        <f>Github!O$2012</f>
        <v>89.24167863</v>
      </c>
      <c r="L2013" s="17">
        <f>Github!P$2012</f>
        <v>81417</v>
      </c>
    </row>
    <row r="2014">
      <c r="A2014" s="17">
        <f>Github!J$2013</f>
        <v>2012</v>
      </c>
      <c r="B2014" s="34" t="str">
        <f>HYPERLINK(CONCAT("http://leetcode.com/problems/",Github!C$2013), Github!B$2013)</f>
        <v>Sum of Beauty in the Array</v>
      </c>
      <c r="C2014" s="17">
        <f>Github!F$2013</f>
        <v>275</v>
      </c>
      <c r="D2014" s="17">
        <f>Github!G$2013</f>
        <v>26</v>
      </c>
      <c r="E2014" s="17">
        <f>Github!F$2013+Github!G$2013</f>
        <v>301</v>
      </c>
      <c r="F2014" s="18">
        <f t="shared" si="1"/>
        <v>10.58</v>
      </c>
      <c r="G2014" s="17" t="str">
        <f>Github!H$2013</f>
        <v>Algorithms</v>
      </c>
      <c r="H2014" s="17" t="b">
        <f>Github!D$2013</f>
        <v>0</v>
      </c>
      <c r="I2014" s="17" t="str">
        <f>Github!E$2013</f>
        <v>Medium</v>
      </c>
      <c r="J2014" s="17" t="str">
        <f>ROUND(Github!N$2013, 2)&amp;"%"</f>
        <v>0%</v>
      </c>
      <c r="K2014" s="17">
        <f>Github!O$2013</f>
        <v>45.48252825</v>
      </c>
      <c r="L2014" s="17">
        <f>Github!P$2013</f>
        <v>13003</v>
      </c>
    </row>
    <row r="2015">
      <c r="A2015" s="17">
        <f>Github!J$2014</f>
        <v>2013</v>
      </c>
      <c r="B2015" s="34" t="str">
        <f>HYPERLINK(CONCAT("http://leetcode.com/problems/",Github!C$2014), Github!B$2014)</f>
        <v>Detect Squares</v>
      </c>
      <c r="C2015" s="17">
        <f>Github!F$2014</f>
        <v>262</v>
      </c>
      <c r="D2015" s="17">
        <f>Github!G$2014</f>
        <v>88</v>
      </c>
      <c r="E2015" s="17">
        <f>Github!F$2014+Github!G$2014</f>
        <v>350</v>
      </c>
      <c r="F2015" s="18">
        <f t="shared" si="1"/>
        <v>2.98</v>
      </c>
      <c r="G2015" s="17" t="str">
        <f>Github!H$2014</f>
        <v>Algorithms</v>
      </c>
      <c r="H2015" s="17" t="b">
        <f>Github!D$2014</f>
        <v>0</v>
      </c>
      <c r="I2015" s="17" t="str">
        <f>Github!E$2014</f>
        <v>Medium</v>
      </c>
      <c r="J2015" s="17" t="str">
        <f>ROUND(Github!N$2014, 2)&amp;"%"</f>
        <v>0%</v>
      </c>
      <c r="K2015" s="17">
        <f>Github!O$2014</f>
        <v>44.6195555</v>
      </c>
      <c r="L2015" s="17">
        <f>Github!P$2014</f>
        <v>14973</v>
      </c>
    </row>
    <row r="2016">
      <c r="A2016" s="17">
        <f>Github!J$2015</f>
        <v>2014</v>
      </c>
      <c r="B2016" s="34" t="str">
        <f>HYPERLINK(CONCAT("http://leetcode.com/problems/",Github!C$2015), Github!B$2015)</f>
        <v>Longest Subsequence Repeated k Times</v>
      </c>
      <c r="C2016" s="17">
        <f>Github!F$2015</f>
        <v>170</v>
      </c>
      <c r="D2016" s="17">
        <f>Github!G$2015</f>
        <v>50</v>
      </c>
      <c r="E2016" s="17">
        <f>Github!F$2015+Github!G$2015</f>
        <v>220</v>
      </c>
      <c r="F2016" s="18">
        <f t="shared" si="1"/>
        <v>3.4</v>
      </c>
      <c r="G2016" s="17" t="str">
        <f>Github!H$2015</f>
        <v>Algorithms</v>
      </c>
      <c r="H2016" s="17" t="b">
        <f>Github!D$2015</f>
        <v>0</v>
      </c>
      <c r="I2016" s="17" t="str">
        <f>Github!E$2015</f>
        <v>Hard</v>
      </c>
      <c r="J2016" s="17" t="str">
        <f>ROUND(Github!N$2015, 2)&amp;"%"</f>
        <v>0%</v>
      </c>
      <c r="K2016" s="17">
        <f>Github!O$2015</f>
        <v>54.6598056</v>
      </c>
      <c r="L2016" s="17">
        <f>Github!P$2015</f>
        <v>3824</v>
      </c>
    </row>
    <row r="2017">
      <c r="A2017" s="17">
        <f>Github!J$2016</f>
        <v>2015</v>
      </c>
      <c r="B2017" s="34" t="str">
        <f>HYPERLINK(CONCAT("http://leetcode.com/problems/",Github!C$2016), Github!B$2016)</f>
        <v>Average Height of Buildings in Each Segment</v>
      </c>
      <c r="C2017" s="17">
        <f>Github!F$2016</f>
        <v>29</v>
      </c>
      <c r="D2017" s="17">
        <f>Github!G$2016</f>
        <v>11</v>
      </c>
      <c r="E2017" s="17">
        <f>Github!F$2016+Github!G$2016</f>
        <v>40</v>
      </c>
      <c r="F2017" s="18">
        <f t="shared" si="1"/>
        <v>2.64</v>
      </c>
      <c r="G2017" s="17" t="str">
        <f>Github!H$2016</f>
        <v>Algorithms</v>
      </c>
      <c r="H2017" s="17" t="b">
        <f>Github!D$2016</f>
        <v>1</v>
      </c>
      <c r="I2017" s="17" t="str">
        <f>Github!E$2016</f>
        <v>Medium</v>
      </c>
      <c r="J2017" s="17" t="str">
        <f>ROUND(Github!N$2016, 2)&amp;"%"</f>
        <v>0%</v>
      </c>
      <c r="K2017" s="17">
        <f>Github!O$2016</f>
        <v>59.50920245</v>
      </c>
      <c r="L2017" s="17">
        <f>Github!P$2016</f>
        <v>776</v>
      </c>
    </row>
    <row r="2018">
      <c r="A2018" s="17">
        <f>Github!J$2017</f>
        <v>2016</v>
      </c>
      <c r="B2018" s="34" t="str">
        <f>HYPERLINK(CONCAT("http://leetcode.com/problems/",Github!C$2017), Github!B$2017)</f>
        <v>Maximum Difference Between Increasing Elements</v>
      </c>
      <c r="C2018" s="17">
        <f>Github!F$2017</f>
        <v>332</v>
      </c>
      <c r="D2018" s="17">
        <f>Github!G$2017</f>
        <v>15</v>
      </c>
      <c r="E2018" s="17">
        <f>Github!F$2017+Github!G$2017</f>
        <v>347</v>
      </c>
      <c r="F2018" s="18">
        <f t="shared" si="1"/>
        <v>22.13</v>
      </c>
      <c r="G2018" s="17" t="str">
        <f>Github!H$2017</f>
        <v>Algorithms</v>
      </c>
      <c r="H2018" s="17" t="b">
        <f>Github!D$2017</f>
        <v>0</v>
      </c>
      <c r="I2018" s="17" t="str">
        <f>Github!E$2017</f>
        <v>Easy</v>
      </c>
      <c r="J2018" s="17" t="str">
        <f>ROUND(Github!N$2017, 2)&amp;"%"</f>
        <v>0%</v>
      </c>
      <c r="K2018" s="17">
        <f>Github!O$2017</f>
        <v>54.92506001</v>
      </c>
      <c r="L2018" s="17">
        <f>Github!P$2017</f>
        <v>27222</v>
      </c>
    </row>
    <row r="2019">
      <c r="A2019" s="17">
        <f>Github!J$2018</f>
        <v>2017</v>
      </c>
      <c r="B2019" s="34" t="str">
        <f>HYPERLINK(CONCAT("http://leetcode.com/problems/",Github!C$2018), Github!B$2018)</f>
        <v>Grid Game</v>
      </c>
      <c r="C2019" s="17">
        <f>Github!F$2018</f>
        <v>408</v>
      </c>
      <c r="D2019" s="17">
        <f>Github!G$2018</f>
        <v>10</v>
      </c>
      <c r="E2019" s="17">
        <f>Github!F$2018+Github!G$2018</f>
        <v>418</v>
      </c>
      <c r="F2019" s="18">
        <f t="shared" si="1"/>
        <v>40.8</v>
      </c>
      <c r="G2019" s="17" t="str">
        <f>Github!H$2018</f>
        <v>Algorithms</v>
      </c>
      <c r="H2019" s="17" t="b">
        <f>Github!D$2018</f>
        <v>0</v>
      </c>
      <c r="I2019" s="17" t="str">
        <f>Github!E$2018</f>
        <v>Medium</v>
      </c>
      <c r="J2019" s="17" t="str">
        <f>ROUND(Github!N$2018, 2)&amp;"%"</f>
        <v>0%</v>
      </c>
      <c r="K2019" s="17">
        <f>Github!O$2018</f>
        <v>41.35692464</v>
      </c>
      <c r="L2019" s="17">
        <f>Github!P$2018</f>
        <v>9747</v>
      </c>
    </row>
    <row r="2020">
      <c r="A2020" s="17">
        <f>Github!J$2019</f>
        <v>2018</v>
      </c>
      <c r="B2020" s="34" t="str">
        <f>HYPERLINK(CONCAT("http://leetcode.com/problems/",Github!C$2019), Github!B$2019)</f>
        <v>Check if Word Can Be Placed In Crossword</v>
      </c>
      <c r="C2020" s="17">
        <f>Github!F$2019</f>
        <v>146</v>
      </c>
      <c r="D2020" s="17">
        <f>Github!G$2019</f>
        <v>147</v>
      </c>
      <c r="E2020" s="17">
        <f>Github!F$2019+Github!G$2019</f>
        <v>293</v>
      </c>
      <c r="F2020" s="18">
        <f t="shared" si="1"/>
        <v>0.99</v>
      </c>
      <c r="G2020" s="17" t="str">
        <f>Github!H$2019</f>
        <v>Algorithms</v>
      </c>
      <c r="H2020" s="17" t="b">
        <f>Github!D$2019</f>
        <v>0</v>
      </c>
      <c r="I2020" s="17" t="str">
        <f>Github!E$2019</f>
        <v>Medium</v>
      </c>
      <c r="J2020" s="17" t="str">
        <f>ROUND(Github!N$2019, 2)&amp;"%"</f>
        <v>0%</v>
      </c>
      <c r="K2020" s="17">
        <f>Github!O$2019</f>
        <v>47.72784971</v>
      </c>
      <c r="L2020" s="17">
        <f>Github!P$2019</f>
        <v>7520</v>
      </c>
    </row>
    <row r="2021">
      <c r="A2021" s="17">
        <f>Github!J$2020</f>
        <v>2019</v>
      </c>
      <c r="B2021" s="34" t="str">
        <f>HYPERLINK(CONCAT("http://leetcode.com/problems/",Github!C$2020), Github!B$2020)</f>
        <v>The Score of Students Solving Math Expression</v>
      </c>
      <c r="C2021" s="17">
        <f>Github!F$2020</f>
        <v>131</v>
      </c>
      <c r="D2021" s="17">
        <f>Github!G$2020</f>
        <v>58</v>
      </c>
      <c r="E2021" s="17">
        <f>Github!F$2020+Github!G$2020</f>
        <v>189</v>
      </c>
      <c r="F2021" s="18">
        <f t="shared" si="1"/>
        <v>2.26</v>
      </c>
      <c r="G2021" s="17" t="str">
        <f>Github!H$2020</f>
        <v>Algorithms</v>
      </c>
      <c r="H2021" s="17" t="b">
        <f>Github!D$2020</f>
        <v>0</v>
      </c>
      <c r="I2021" s="17" t="str">
        <f>Github!E$2020</f>
        <v>Hard</v>
      </c>
      <c r="J2021" s="17" t="str">
        <f>ROUND(Github!N$2020, 2)&amp;"%"</f>
        <v>0%</v>
      </c>
      <c r="K2021" s="17">
        <f>Github!O$2020</f>
        <v>33.45770065</v>
      </c>
      <c r="L2021" s="17">
        <f>Github!P$2020</f>
        <v>3855</v>
      </c>
    </row>
    <row r="2022">
      <c r="A2022" s="17">
        <f>Github!J$2021</f>
        <v>2020</v>
      </c>
      <c r="B2022" s="34" t="str">
        <f>HYPERLINK(CONCAT("http://leetcode.com/problems/",Github!C$2021), Github!B$2021)</f>
        <v>Number of Accounts That Did Not Stream</v>
      </c>
      <c r="C2022" s="17">
        <f>Github!F$2021</f>
        <v>6</v>
      </c>
      <c r="D2022" s="17">
        <f>Github!G$2021</f>
        <v>62</v>
      </c>
      <c r="E2022" s="17">
        <f>Github!F$2021+Github!G$2021</f>
        <v>68</v>
      </c>
      <c r="F2022" s="18">
        <f t="shared" si="1"/>
        <v>0.1</v>
      </c>
      <c r="G2022" s="17" t="str">
        <f>Github!H$2021</f>
        <v>Database</v>
      </c>
      <c r="H2022" s="17" t="b">
        <f>Github!D$2021</f>
        <v>1</v>
      </c>
      <c r="I2022" s="17" t="str">
        <f>Github!E$2021</f>
        <v>Medium</v>
      </c>
      <c r="J2022" s="17" t="str">
        <f>ROUND(Github!N$2021, 2)&amp;"%"</f>
        <v>0%</v>
      </c>
      <c r="K2022" s="17">
        <f>Github!O$2021</f>
        <v>72.489194</v>
      </c>
      <c r="L2022" s="17">
        <f>Github!P$2021</f>
        <v>2851</v>
      </c>
    </row>
    <row r="2023">
      <c r="A2023" s="17">
        <f>Github!J$2022</f>
        <v>2021</v>
      </c>
      <c r="B2023" s="34" t="str">
        <f>HYPERLINK(CONCAT("http://leetcode.com/problems/",Github!C$2022), Github!B$2022)</f>
        <v>Brightest Position on Street</v>
      </c>
      <c r="C2023" s="17">
        <f>Github!F$2022</f>
        <v>76</v>
      </c>
      <c r="D2023" s="17">
        <f>Github!G$2022</f>
        <v>2</v>
      </c>
      <c r="E2023" s="17">
        <f>Github!F$2022+Github!G$2022</f>
        <v>78</v>
      </c>
      <c r="F2023" s="18">
        <f t="shared" si="1"/>
        <v>38</v>
      </c>
      <c r="G2023" s="17" t="str">
        <f>Github!H$2022</f>
        <v>Algorithms</v>
      </c>
      <c r="H2023" s="17" t="b">
        <f>Github!D$2022</f>
        <v>1</v>
      </c>
      <c r="I2023" s="17" t="str">
        <f>Github!E$2022</f>
        <v>Medium</v>
      </c>
      <c r="J2023" s="17" t="str">
        <f>ROUND(Github!N$2022, 2)&amp;"%"</f>
        <v>0%</v>
      </c>
      <c r="K2023" s="17">
        <f>Github!O$2022</f>
        <v>63.30063474</v>
      </c>
      <c r="L2023" s="17">
        <f>Github!P$2022</f>
        <v>2194</v>
      </c>
    </row>
    <row r="2024">
      <c r="A2024" s="17">
        <f>Github!J$2023</f>
        <v>2022</v>
      </c>
      <c r="B2024" s="34" t="str">
        <f>HYPERLINK(CONCAT("http://leetcode.com/problems/",Github!C$2023), Github!B$2023)</f>
        <v>Convert 1D Array Into 2D Array</v>
      </c>
      <c r="C2024" s="17">
        <f>Github!F$2023</f>
        <v>255</v>
      </c>
      <c r="D2024" s="17">
        <f>Github!G$2023</f>
        <v>18</v>
      </c>
      <c r="E2024" s="17">
        <f>Github!F$2023+Github!G$2023</f>
        <v>273</v>
      </c>
      <c r="F2024" s="18">
        <f t="shared" si="1"/>
        <v>14.17</v>
      </c>
      <c r="G2024" s="17" t="str">
        <f>Github!H$2023</f>
        <v>Algorithms</v>
      </c>
      <c r="H2024" s="17" t="b">
        <f>Github!D$2023</f>
        <v>0</v>
      </c>
      <c r="I2024" s="17" t="str">
        <f>Github!E$2023</f>
        <v>Easy</v>
      </c>
      <c r="J2024" s="17" t="str">
        <f>ROUND(Github!N$2023, 2)&amp;"%"</f>
        <v>0%</v>
      </c>
      <c r="K2024" s="17">
        <f>Github!O$2023</f>
        <v>59.85611511</v>
      </c>
      <c r="L2024" s="17">
        <f>Github!P$2023</f>
        <v>25376</v>
      </c>
    </row>
    <row r="2025">
      <c r="A2025" s="17">
        <f>Github!J$2024</f>
        <v>2023</v>
      </c>
      <c r="B2025" s="34" t="str">
        <f>HYPERLINK(CONCAT("http://leetcode.com/problems/",Github!C$2024), Github!B$2024)</f>
        <v>Number of Pairs of Strings With Concatenation Equal to Target</v>
      </c>
      <c r="C2025" s="17">
        <f>Github!F$2024</f>
        <v>241</v>
      </c>
      <c r="D2025" s="17">
        <f>Github!G$2024</f>
        <v>23</v>
      </c>
      <c r="E2025" s="17">
        <f>Github!F$2024+Github!G$2024</f>
        <v>264</v>
      </c>
      <c r="F2025" s="18">
        <f t="shared" si="1"/>
        <v>10.48</v>
      </c>
      <c r="G2025" s="17" t="str">
        <f>Github!H$2024</f>
        <v>Algorithms</v>
      </c>
      <c r="H2025" s="17" t="b">
        <f>Github!D$2024</f>
        <v>0</v>
      </c>
      <c r="I2025" s="17" t="str">
        <f>Github!E$2024</f>
        <v>Medium</v>
      </c>
      <c r="J2025" s="17" t="str">
        <f>ROUND(Github!N$2024, 2)&amp;"%"</f>
        <v>0%</v>
      </c>
      <c r="K2025" s="17">
        <f>Github!O$2024</f>
        <v>73.16057381</v>
      </c>
      <c r="L2025" s="17">
        <f>Github!P$2024</f>
        <v>15810</v>
      </c>
    </row>
    <row r="2026">
      <c r="A2026" s="17">
        <f>Github!J$2025</f>
        <v>2024</v>
      </c>
      <c r="B2026" s="34" t="str">
        <f>HYPERLINK(CONCAT("http://leetcode.com/problems/",Github!C$2025), Github!B$2025)</f>
        <v>Maximize the Confusion of an Exam</v>
      </c>
      <c r="C2026" s="17">
        <f>Github!F$2025</f>
        <v>398</v>
      </c>
      <c r="D2026" s="17">
        <f>Github!G$2025</f>
        <v>8</v>
      </c>
      <c r="E2026" s="17">
        <f>Github!F$2025+Github!G$2025</f>
        <v>406</v>
      </c>
      <c r="F2026" s="18">
        <f t="shared" si="1"/>
        <v>49.75</v>
      </c>
      <c r="G2026" s="17" t="str">
        <f>Github!H$2025</f>
        <v>Algorithms</v>
      </c>
      <c r="H2026" s="17" t="b">
        <f>Github!D$2025</f>
        <v>0</v>
      </c>
      <c r="I2026" s="17" t="str">
        <f>Github!E$2025</f>
        <v>Medium</v>
      </c>
      <c r="J2026" s="17" t="str">
        <f>ROUND(Github!N$2025, 2)&amp;"%"</f>
        <v>0%</v>
      </c>
      <c r="K2026" s="17">
        <f>Github!O$2025</f>
        <v>56.3343961</v>
      </c>
      <c r="L2026" s="17">
        <f>Github!P$2025</f>
        <v>12015</v>
      </c>
    </row>
    <row r="2027">
      <c r="A2027" s="17">
        <f>Github!J$2026</f>
        <v>2025</v>
      </c>
      <c r="B2027" s="34" t="str">
        <f>HYPERLINK(CONCAT("http://leetcode.com/problems/",Github!C$2026), Github!B$2026)</f>
        <v>Maximum Number of Ways to Partition an Array</v>
      </c>
      <c r="C2027" s="17">
        <f>Github!F$2026</f>
        <v>254</v>
      </c>
      <c r="D2027" s="17">
        <f>Github!G$2026</f>
        <v>20</v>
      </c>
      <c r="E2027" s="17">
        <f>Github!F$2026+Github!G$2026</f>
        <v>274</v>
      </c>
      <c r="F2027" s="18">
        <f t="shared" si="1"/>
        <v>12.7</v>
      </c>
      <c r="G2027" s="17" t="str">
        <f>Github!H$2026</f>
        <v>Algorithms</v>
      </c>
      <c r="H2027" s="17" t="b">
        <f>Github!D$2026</f>
        <v>0</v>
      </c>
      <c r="I2027" s="17" t="str">
        <f>Github!E$2026</f>
        <v>Hard</v>
      </c>
      <c r="J2027" s="17" t="str">
        <f>ROUND(Github!N$2026, 2)&amp;"%"</f>
        <v>0%</v>
      </c>
      <c r="K2027" s="17">
        <f>Github!O$2026</f>
        <v>30.76502732</v>
      </c>
      <c r="L2027" s="17">
        <f>Github!P$2026</f>
        <v>4504</v>
      </c>
    </row>
    <row r="2028">
      <c r="A2028" s="17">
        <f>Github!J$2027</f>
        <v>2026</v>
      </c>
      <c r="B2028" s="34" t="str">
        <f>HYPERLINK(CONCAT("http://leetcode.com/problems/",Github!C$2027), Github!B$2027)</f>
        <v>Low-Quality Problems</v>
      </c>
      <c r="C2028" s="17">
        <f>Github!F$2027</f>
        <v>11</v>
      </c>
      <c r="D2028" s="17">
        <f>Github!G$2027</f>
        <v>5</v>
      </c>
      <c r="E2028" s="17">
        <f>Github!F$2027+Github!G$2027</f>
        <v>16</v>
      </c>
      <c r="F2028" s="18">
        <f t="shared" si="1"/>
        <v>2.2</v>
      </c>
      <c r="G2028" s="17" t="str">
        <f>Github!H$2027</f>
        <v>Database</v>
      </c>
      <c r="H2028" s="17" t="b">
        <f>Github!D$2027</f>
        <v>1</v>
      </c>
      <c r="I2028" s="17" t="str">
        <f>Github!E$2027</f>
        <v>Easy</v>
      </c>
      <c r="J2028" s="17" t="str">
        <f>ROUND(Github!N$2027, 2)&amp;"%"</f>
        <v>0%</v>
      </c>
      <c r="K2028" s="17">
        <f>Github!O$2027</f>
        <v>85.61458802</v>
      </c>
      <c r="L2028" s="17">
        <f>Github!P$2027</f>
        <v>3803</v>
      </c>
    </row>
    <row r="2029">
      <c r="A2029" s="17">
        <f>Github!J$2028</f>
        <v>2027</v>
      </c>
      <c r="B2029" s="34" t="str">
        <f>HYPERLINK(CONCAT("http://leetcode.com/problems/",Github!C$2028), Github!B$2028)</f>
        <v>Minimum Moves to Convert String</v>
      </c>
      <c r="C2029" s="17">
        <f>Github!F$2028</f>
        <v>181</v>
      </c>
      <c r="D2029" s="17">
        <f>Github!G$2028</f>
        <v>47</v>
      </c>
      <c r="E2029" s="17">
        <f>Github!F$2028+Github!G$2028</f>
        <v>228</v>
      </c>
      <c r="F2029" s="18">
        <f t="shared" si="1"/>
        <v>3.85</v>
      </c>
      <c r="G2029" s="17" t="str">
        <f>Github!H$2028</f>
        <v>Algorithms</v>
      </c>
      <c r="H2029" s="17" t="b">
        <f>Github!D$2028</f>
        <v>0</v>
      </c>
      <c r="I2029" s="17" t="str">
        <f>Github!E$2028</f>
        <v>Easy</v>
      </c>
      <c r="J2029" s="17" t="str">
        <f>ROUND(Github!N$2028, 2)&amp;"%"</f>
        <v>0%</v>
      </c>
      <c r="K2029" s="17">
        <f>Github!O$2028</f>
        <v>53.20152139</v>
      </c>
      <c r="L2029" s="17">
        <f>Github!P$2028</f>
        <v>16925</v>
      </c>
    </row>
    <row r="2030">
      <c r="A2030" s="17">
        <f>Github!J$2029</f>
        <v>2028</v>
      </c>
      <c r="B2030" s="34" t="str">
        <f>HYPERLINK(CONCAT("http://leetcode.com/problems/",Github!C$2029), Github!B$2029)</f>
        <v>Find Missing Observations</v>
      </c>
      <c r="C2030" s="17">
        <f>Github!F$2029</f>
        <v>198</v>
      </c>
      <c r="D2030" s="17">
        <f>Github!G$2029</f>
        <v>9</v>
      </c>
      <c r="E2030" s="17">
        <f>Github!F$2029+Github!G$2029</f>
        <v>207</v>
      </c>
      <c r="F2030" s="18">
        <f t="shared" si="1"/>
        <v>22</v>
      </c>
      <c r="G2030" s="17" t="str">
        <f>Github!H$2029</f>
        <v>Algorithms</v>
      </c>
      <c r="H2030" s="17" t="b">
        <f>Github!D$2029</f>
        <v>0</v>
      </c>
      <c r="I2030" s="17" t="str">
        <f>Github!E$2029</f>
        <v>Medium</v>
      </c>
      <c r="J2030" s="17" t="str">
        <f>ROUND(Github!N$2029, 2)&amp;"%"</f>
        <v>0%</v>
      </c>
      <c r="K2030" s="17">
        <f>Github!O$2029</f>
        <v>41.55680892</v>
      </c>
      <c r="L2030" s="17">
        <f>Github!P$2029</f>
        <v>12231</v>
      </c>
    </row>
    <row r="2031">
      <c r="A2031" s="17">
        <f>Github!J$2030</f>
        <v>2029</v>
      </c>
      <c r="B2031" s="34" t="str">
        <f>HYPERLINK(CONCAT("http://leetcode.com/problems/",Github!C$2030), Github!B$2030)</f>
        <v>Stone Game IX</v>
      </c>
      <c r="C2031" s="17">
        <f>Github!F$2030</f>
        <v>131</v>
      </c>
      <c r="D2031" s="17">
        <f>Github!G$2030</f>
        <v>188</v>
      </c>
      <c r="E2031" s="17">
        <f>Github!F$2030+Github!G$2030</f>
        <v>319</v>
      </c>
      <c r="F2031" s="18">
        <f t="shared" si="1"/>
        <v>0.7</v>
      </c>
      <c r="G2031" s="17" t="str">
        <f>Github!H$2030</f>
        <v>Algorithms</v>
      </c>
      <c r="H2031" s="17" t="b">
        <f>Github!D$2030</f>
        <v>0</v>
      </c>
      <c r="I2031" s="17" t="str">
        <f>Github!E$2030</f>
        <v>Medium</v>
      </c>
      <c r="J2031" s="17" t="str">
        <f>ROUND(Github!N$2030, 2)&amp;"%"</f>
        <v>0%</v>
      </c>
      <c r="K2031" s="17">
        <f>Github!O$2030</f>
        <v>24.48685055</v>
      </c>
      <c r="L2031" s="17">
        <f>Github!P$2030</f>
        <v>4581</v>
      </c>
    </row>
    <row r="2032">
      <c r="A2032" s="17">
        <f>Github!J$2031</f>
        <v>2030</v>
      </c>
      <c r="B2032" s="34" t="str">
        <f>HYPERLINK(CONCAT("http://leetcode.com/problems/",Github!C$2031), Github!B$2031)</f>
        <v>Smallest K-Length Subsequence With Occurrences of a Letter</v>
      </c>
      <c r="C2032" s="17">
        <f>Github!F$2031</f>
        <v>210</v>
      </c>
      <c r="D2032" s="17">
        <f>Github!G$2031</f>
        <v>6</v>
      </c>
      <c r="E2032" s="17">
        <f>Github!F$2031+Github!G$2031</f>
        <v>216</v>
      </c>
      <c r="F2032" s="18">
        <f t="shared" si="1"/>
        <v>35</v>
      </c>
      <c r="G2032" s="17" t="str">
        <f>Github!H$2031</f>
        <v>Algorithms</v>
      </c>
      <c r="H2032" s="17" t="b">
        <f>Github!D$2031</f>
        <v>0</v>
      </c>
      <c r="I2032" s="17" t="str">
        <f>Github!E$2031</f>
        <v>Hard</v>
      </c>
      <c r="J2032" s="17" t="str">
        <f>ROUND(Github!N$2031, 2)&amp;"%"</f>
        <v>0%</v>
      </c>
      <c r="K2032" s="17">
        <f>Github!O$2031</f>
        <v>38.92658228</v>
      </c>
      <c r="L2032" s="17">
        <f>Github!P$2031</f>
        <v>3844</v>
      </c>
    </row>
    <row r="2033">
      <c r="A2033" s="17">
        <f>Github!J$2032</f>
        <v>2031</v>
      </c>
      <c r="B2033" s="34" t="str">
        <f>HYPERLINK(CONCAT("http://leetcode.com/problems/",Github!C$2032), Github!B$2032)</f>
        <v>Count Subarrays With More Ones Than Zeros</v>
      </c>
      <c r="C2033" s="17">
        <f>Github!F$2032</f>
        <v>70</v>
      </c>
      <c r="D2033" s="17">
        <f>Github!G$2032</f>
        <v>4</v>
      </c>
      <c r="E2033" s="17">
        <f>Github!F$2032+Github!G$2032</f>
        <v>74</v>
      </c>
      <c r="F2033" s="18">
        <f t="shared" si="1"/>
        <v>17.5</v>
      </c>
      <c r="G2033" s="17" t="str">
        <f>Github!H$2032</f>
        <v>Algorithms</v>
      </c>
      <c r="H2033" s="17" t="b">
        <f>Github!D$2032</f>
        <v>1</v>
      </c>
      <c r="I2033" s="17" t="str">
        <f>Github!E$2032</f>
        <v>Medium</v>
      </c>
      <c r="J2033" s="17" t="str">
        <f>ROUND(Github!N$2032, 2)&amp;"%"</f>
        <v>0%</v>
      </c>
      <c r="K2033" s="17">
        <f>Github!O$2032</f>
        <v>52.88262132</v>
      </c>
      <c r="L2033" s="17">
        <f>Github!P$2032</f>
        <v>1275</v>
      </c>
    </row>
    <row r="2034">
      <c r="A2034" s="17">
        <f>Github!J$2033</f>
        <v>2032</v>
      </c>
      <c r="B2034" s="34" t="str">
        <f>HYPERLINK(CONCAT("http://leetcode.com/problems/",Github!C$2033), Github!B$2033)</f>
        <v>Two Out of Three</v>
      </c>
      <c r="C2034" s="17">
        <f>Github!F$2033</f>
        <v>255</v>
      </c>
      <c r="D2034" s="17">
        <f>Github!G$2033</f>
        <v>24</v>
      </c>
      <c r="E2034" s="17">
        <f>Github!F$2033+Github!G$2033</f>
        <v>279</v>
      </c>
      <c r="F2034" s="18">
        <f t="shared" si="1"/>
        <v>10.63</v>
      </c>
      <c r="G2034" s="17" t="str">
        <f>Github!H$2033</f>
        <v>Algorithms</v>
      </c>
      <c r="H2034" s="17" t="b">
        <f>Github!D$2033</f>
        <v>0</v>
      </c>
      <c r="I2034" s="17" t="str">
        <f>Github!E$2033</f>
        <v>Easy</v>
      </c>
      <c r="J2034" s="17" t="str">
        <f>ROUND(Github!N$2033, 2)&amp;"%"</f>
        <v>0%</v>
      </c>
      <c r="K2034" s="17">
        <f>Github!O$2033</f>
        <v>72.83015339</v>
      </c>
      <c r="L2034" s="17">
        <f>Github!P$2033</f>
        <v>23360</v>
      </c>
    </row>
    <row r="2035">
      <c r="A2035" s="17">
        <f>Github!J$2034</f>
        <v>2033</v>
      </c>
      <c r="B2035" s="34" t="str">
        <f>HYPERLINK(CONCAT("http://leetcode.com/problems/",Github!C$2034), Github!B$2034)</f>
        <v>Minimum Operations to Make a Uni-Value Grid</v>
      </c>
      <c r="C2035" s="17">
        <f>Github!F$2034</f>
        <v>285</v>
      </c>
      <c r="D2035" s="17">
        <f>Github!G$2034</f>
        <v>22</v>
      </c>
      <c r="E2035" s="17">
        <f>Github!F$2034+Github!G$2034</f>
        <v>307</v>
      </c>
      <c r="F2035" s="18">
        <f t="shared" si="1"/>
        <v>12.95</v>
      </c>
      <c r="G2035" s="17" t="str">
        <f>Github!H$2034</f>
        <v>Algorithms</v>
      </c>
      <c r="H2035" s="17" t="b">
        <f>Github!D$2034</f>
        <v>0</v>
      </c>
      <c r="I2035" s="17" t="str">
        <f>Github!E$2034</f>
        <v>Medium</v>
      </c>
      <c r="J2035" s="17" t="str">
        <f>ROUND(Github!N$2034, 2)&amp;"%"</f>
        <v>0%</v>
      </c>
      <c r="K2035" s="17">
        <f>Github!O$2034</f>
        <v>49.62448518</v>
      </c>
      <c r="L2035" s="17">
        <f>Github!P$2034</f>
        <v>12290</v>
      </c>
    </row>
    <row r="2036">
      <c r="A2036" s="17">
        <f>Github!J$2035</f>
        <v>2034</v>
      </c>
      <c r="B2036" s="34" t="str">
        <f>HYPERLINK(CONCAT("http://leetcode.com/problems/",Github!C$2035), Github!B$2035)</f>
        <v>Stock Price Fluctuation </v>
      </c>
      <c r="C2036" s="17">
        <f>Github!F$2035</f>
        <v>379</v>
      </c>
      <c r="D2036" s="17">
        <f>Github!G$2035</f>
        <v>27</v>
      </c>
      <c r="E2036" s="17">
        <f>Github!F$2035+Github!G$2035</f>
        <v>406</v>
      </c>
      <c r="F2036" s="18">
        <f t="shared" si="1"/>
        <v>14.04</v>
      </c>
      <c r="G2036" s="17" t="str">
        <f>Github!H$2035</f>
        <v>Algorithms</v>
      </c>
      <c r="H2036" s="17" t="b">
        <f>Github!D$2035</f>
        <v>0</v>
      </c>
      <c r="I2036" s="17" t="str">
        <f>Github!E$2035</f>
        <v>Medium</v>
      </c>
      <c r="J2036" s="17" t="str">
        <f>ROUND(Github!N$2035, 2)&amp;"%"</f>
        <v>0%</v>
      </c>
      <c r="K2036" s="17">
        <f>Github!O$2035</f>
        <v>46.33930493</v>
      </c>
      <c r="L2036" s="17">
        <f>Github!P$2035</f>
        <v>19373</v>
      </c>
    </row>
    <row r="2037">
      <c r="A2037" s="17">
        <f>Github!J$2036</f>
        <v>2035</v>
      </c>
      <c r="B2037" s="34" t="str">
        <f>HYPERLINK(CONCAT("http://leetcode.com/problems/",Github!C$2036), Github!B$2036)</f>
        <v>Partition Array Into Two Arrays to Minimize Sum Difference</v>
      </c>
      <c r="C2037" s="17">
        <f>Github!F$2036</f>
        <v>468</v>
      </c>
      <c r="D2037" s="17">
        <f>Github!G$2036</f>
        <v>27</v>
      </c>
      <c r="E2037" s="17">
        <f>Github!F$2036+Github!G$2036</f>
        <v>495</v>
      </c>
      <c r="F2037" s="18">
        <f t="shared" si="1"/>
        <v>17.33</v>
      </c>
      <c r="G2037" s="17" t="str">
        <f>Github!H$2036</f>
        <v>Algorithms</v>
      </c>
      <c r="H2037" s="17" t="b">
        <f>Github!D$2036</f>
        <v>0</v>
      </c>
      <c r="I2037" s="17" t="str">
        <f>Github!E$2036</f>
        <v>Hard</v>
      </c>
      <c r="J2037" s="17" t="str">
        <f>ROUND(Github!N$2036, 2)&amp;"%"</f>
        <v>0%</v>
      </c>
      <c r="K2037" s="17">
        <f>Github!O$2036</f>
        <v>22.80979827</v>
      </c>
      <c r="L2037" s="17">
        <f>Github!P$2036</f>
        <v>4748</v>
      </c>
    </row>
    <row r="2038">
      <c r="A2038" s="17">
        <f>Github!J$2037</f>
        <v>2036</v>
      </c>
      <c r="B2038" s="34" t="str">
        <f>HYPERLINK(CONCAT("http://leetcode.com/problems/",Github!C$2037), Github!B$2037)</f>
        <v>Maximum Alternating Subarray Sum</v>
      </c>
      <c r="C2038" s="17">
        <f>Github!F$2037</f>
        <v>38</v>
      </c>
      <c r="D2038" s="17">
        <f>Github!G$2037</f>
        <v>2</v>
      </c>
      <c r="E2038" s="17">
        <f>Github!F$2037+Github!G$2037</f>
        <v>40</v>
      </c>
      <c r="F2038" s="18">
        <f t="shared" si="1"/>
        <v>19</v>
      </c>
      <c r="G2038" s="17" t="str">
        <f>Github!H$2037</f>
        <v>Algorithms</v>
      </c>
      <c r="H2038" s="17" t="b">
        <f>Github!D$2037</f>
        <v>1</v>
      </c>
      <c r="I2038" s="17" t="str">
        <f>Github!E$2037</f>
        <v>Medium</v>
      </c>
      <c r="J2038" s="17" t="str">
        <f>ROUND(Github!N$2037, 2)&amp;"%"</f>
        <v>0%</v>
      </c>
      <c r="K2038" s="17">
        <f>Github!O$2037</f>
        <v>41.06015987</v>
      </c>
      <c r="L2038" s="17">
        <f>Github!P$2037</f>
        <v>976</v>
      </c>
    </row>
    <row r="2039">
      <c r="A2039" s="17">
        <f>Github!J$2038</f>
        <v>2037</v>
      </c>
      <c r="B2039" s="34" t="str">
        <f>HYPERLINK(CONCAT("http://leetcode.com/problems/",Github!C$2038), Github!B$2038)</f>
        <v>Minimum Number of Moves to Seat Everyone</v>
      </c>
      <c r="C2039" s="17">
        <f>Github!F$2038</f>
        <v>250</v>
      </c>
      <c r="D2039" s="17">
        <f>Github!G$2038</f>
        <v>45</v>
      </c>
      <c r="E2039" s="17">
        <f>Github!F$2038+Github!G$2038</f>
        <v>295</v>
      </c>
      <c r="F2039" s="18">
        <f t="shared" si="1"/>
        <v>5.56</v>
      </c>
      <c r="G2039" s="17" t="str">
        <f>Github!H$2038</f>
        <v>Algorithms</v>
      </c>
      <c r="H2039" s="17" t="b">
        <f>Github!D$2038</f>
        <v>0</v>
      </c>
      <c r="I2039" s="17" t="str">
        <f>Github!E$2038</f>
        <v>Easy</v>
      </c>
      <c r="J2039" s="17" t="str">
        <f>ROUND(Github!N$2038, 2)&amp;"%"</f>
        <v>0%</v>
      </c>
      <c r="K2039" s="17">
        <f>Github!O$2038</f>
        <v>82.818803</v>
      </c>
      <c r="L2039" s="17">
        <f>Github!P$2038</f>
        <v>20120</v>
      </c>
    </row>
    <row r="2040">
      <c r="A2040" s="17">
        <f>Github!J$2039</f>
        <v>2038</v>
      </c>
      <c r="B2040" s="34" t="str">
        <f>HYPERLINK(CONCAT("http://leetcode.com/problems/",Github!C$2039), Github!B$2039)</f>
        <v>Remove Colored Pieces if Both Neighbors are the Same Color</v>
      </c>
      <c r="C2040" s="17">
        <f>Github!F$2039</f>
        <v>190</v>
      </c>
      <c r="D2040" s="17">
        <f>Github!G$2039</f>
        <v>16</v>
      </c>
      <c r="E2040" s="17">
        <f>Github!F$2039+Github!G$2039</f>
        <v>206</v>
      </c>
      <c r="F2040" s="18">
        <f t="shared" si="1"/>
        <v>11.88</v>
      </c>
      <c r="G2040" s="17" t="str">
        <f>Github!H$2039</f>
        <v>Algorithms</v>
      </c>
      <c r="H2040" s="17" t="b">
        <f>Github!D$2039</f>
        <v>0</v>
      </c>
      <c r="I2040" s="17" t="str">
        <f>Github!E$2039</f>
        <v>Medium</v>
      </c>
      <c r="J2040" s="17" t="str">
        <f>ROUND(Github!N$2039, 2)&amp;"%"</f>
        <v>0%</v>
      </c>
      <c r="K2040" s="17">
        <f>Github!O$2039</f>
        <v>55.20867746</v>
      </c>
      <c r="L2040" s="17">
        <f>Github!P$2039</f>
        <v>10027</v>
      </c>
    </row>
    <row r="2041">
      <c r="A2041" s="17">
        <f>Github!J$2040</f>
        <v>2039</v>
      </c>
      <c r="B2041" s="34" t="str">
        <f>HYPERLINK(CONCAT("http://leetcode.com/problems/",Github!C$2040), Github!B$2040)</f>
        <v>The Time When the Network Becomes Idle</v>
      </c>
      <c r="C2041" s="17">
        <f>Github!F$2040</f>
        <v>233</v>
      </c>
      <c r="D2041" s="17">
        <f>Github!G$2040</f>
        <v>16</v>
      </c>
      <c r="E2041" s="17">
        <f>Github!F$2040+Github!G$2040</f>
        <v>249</v>
      </c>
      <c r="F2041" s="18">
        <f t="shared" si="1"/>
        <v>14.56</v>
      </c>
      <c r="G2041" s="17" t="str">
        <f>Github!H$2040</f>
        <v>Algorithms</v>
      </c>
      <c r="H2041" s="17" t="b">
        <f>Github!D$2040</f>
        <v>0</v>
      </c>
      <c r="I2041" s="17" t="str">
        <f>Github!E$2040</f>
        <v>Medium</v>
      </c>
      <c r="J2041" s="17" t="str">
        <f>ROUND(Github!N$2040, 2)&amp;"%"</f>
        <v>0%</v>
      </c>
      <c r="K2041" s="17">
        <f>Github!O$2040</f>
        <v>48.67366333</v>
      </c>
      <c r="L2041" s="17">
        <f>Github!P$2040</f>
        <v>5890</v>
      </c>
    </row>
    <row r="2042">
      <c r="A2042" s="17">
        <f>Github!J$2041</f>
        <v>2040</v>
      </c>
      <c r="B2042" s="34" t="str">
        <f>HYPERLINK(CONCAT("http://leetcode.com/problems/",Github!C$2041), Github!B$2041)</f>
        <v>Kth Smallest Product of Two Sorted Arrays</v>
      </c>
      <c r="C2042" s="17">
        <f>Github!F$2041</f>
        <v>276</v>
      </c>
      <c r="D2042" s="17">
        <f>Github!G$2041</f>
        <v>14</v>
      </c>
      <c r="E2042" s="17">
        <f>Github!F$2041+Github!G$2041</f>
        <v>290</v>
      </c>
      <c r="F2042" s="18">
        <f t="shared" si="1"/>
        <v>19.71</v>
      </c>
      <c r="G2042" s="17" t="str">
        <f>Github!H$2041</f>
        <v>Algorithms</v>
      </c>
      <c r="H2042" s="17" t="b">
        <f>Github!D$2041</f>
        <v>0</v>
      </c>
      <c r="I2042" s="17" t="str">
        <f>Github!E$2041</f>
        <v>Hard</v>
      </c>
      <c r="J2042" s="17" t="str">
        <f>ROUND(Github!N$2041, 2)&amp;"%"</f>
        <v>0%</v>
      </c>
      <c r="K2042" s="17">
        <f>Github!O$2041</f>
        <v>26.69103072</v>
      </c>
      <c r="L2042" s="17">
        <f>Github!P$2041</f>
        <v>4309</v>
      </c>
    </row>
    <row r="2043">
      <c r="A2043" s="17">
        <f>Github!J$2042</f>
        <v>2041</v>
      </c>
      <c r="B2043" s="34" t="str">
        <f>HYPERLINK(CONCAT("http://leetcode.com/problems/",Github!C$2042), Github!B$2042)</f>
        <v>Accepted Candidates From the Interviews</v>
      </c>
      <c r="C2043" s="17">
        <f>Github!F$2042</f>
        <v>16</v>
      </c>
      <c r="D2043" s="17">
        <f>Github!G$2042</f>
        <v>17</v>
      </c>
      <c r="E2043" s="17">
        <f>Github!F$2042+Github!G$2042</f>
        <v>33</v>
      </c>
      <c r="F2043" s="18">
        <f t="shared" si="1"/>
        <v>0.94</v>
      </c>
      <c r="G2043" s="17" t="str">
        <f>Github!H$2042</f>
        <v>Database</v>
      </c>
      <c r="H2043" s="17" t="b">
        <f>Github!D$2042</f>
        <v>1</v>
      </c>
      <c r="I2043" s="17" t="str">
        <f>Github!E$2042</f>
        <v>Medium</v>
      </c>
      <c r="J2043" s="17" t="str">
        <f>ROUND(Github!N$2042, 2)&amp;"%"</f>
        <v>0%</v>
      </c>
      <c r="K2043" s="17">
        <f>Github!O$2042</f>
        <v>76.74205379</v>
      </c>
      <c r="L2043" s="17">
        <f>Github!P$2042</f>
        <v>2509</v>
      </c>
    </row>
    <row r="2044">
      <c r="A2044" s="17">
        <f>Github!J$2043</f>
        <v>2042</v>
      </c>
      <c r="B2044" s="34" t="str">
        <f>HYPERLINK(CONCAT("http://leetcode.com/problems/",Github!C$2043), Github!B$2043)</f>
        <v>Check if Numbers Are Ascending in a Sentence</v>
      </c>
      <c r="C2044" s="17">
        <f>Github!F$2043</f>
        <v>219</v>
      </c>
      <c r="D2044" s="17">
        <f>Github!G$2043</f>
        <v>10</v>
      </c>
      <c r="E2044" s="17">
        <f>Github!F$2043+Github!G$2043</f>
        <v>229</v>
      </c>
      <c r="F2044" s="18">
        <f t="shared" si="1"/>
        <v>21.9</v>
      </c>
      <c r="G2044" s="17" t="str">
        <f>Github!H$2043</f>
        <v>Algorithms</v>
      </c>
      <c r="H2044" s="17" t="b">
        <f>Github!D$2043</f>
        <v>0</v>
      </c>
      <c r="I2044" s="17" t="str">
        <f>Github!E$2043</f>
        <v>Easy</v>
      </c>
      <c r="J2044" s="17" t="str">
        <f>ROUND(Github!N$2043, 2)&amp;"%"</f>
        <v>0%</v>
      </c>
      <c r="K2044" s="17">
        <f>Github!O$2043</f>
        <v>68.38456508</v>
      </c>
      <c r="L2044" s="17">
        <f>Github!P$2043</f>
        <v>20912</v>
      </c>
    </row>
    <row r="2045">
      <c r="A2045" s="17">
        <f>Github!J$2044</f>
        <v>2043</v>
      </c>
      <c r="B2045" s="34" t="str">
        <f>HYPERLINK(CONCAT("http://leetcode.com/problems/",Github!C$2044), Github!B$2044)</f>
        <v>Simple Bank System</v>
      </c>
      <c r="C2045" s="17">
        <f>Github!F$2044</f>
        <v>96</v>
      </c>
      <c r="D2045" s="17">
        <f>Github!G$2044</f>
        <v>108</v>
      </c>
      <c r="E2045" s="17">
        <f>Github!F$2044+Github!G$2044</f>
        <v>204</v>
      </c>
      <c r="F2045" s="18">
        <f t="shared" si="1"/>
        <v>0.89</v>
      </c>
      <c r="G2045" s="17" t="str">
        <f>Github!H$2044</f>
        <v>Algorithms</v>
      </c>
      <c r="H2045" s="17" t="b">
        <f>Github!D$2044</f>
        <v>0</v>
      </c>
      <c r="I2045" s="17" t="str">
        <f>Github!E$2044</f>
        <v>Medium</v>
      </c>
      <c r="J2045" s="17" t="str">
        <f>ROUND(Github!N$2044, 2)&amp;"%"</f>
        <v>0%</v>
      </c>
      <c r="K2045" s="17">
        <f>Github!O$2044</f>
        <v>64.68595546</v>
      </c>
      <c r="L2045" s="17">
        <f>Github!P$2044</f>
        <v>11648</v>
      </c>
    </row>
    <row r="2046">
      <c r="A2046" s="17">
        <f>Github!J$2045</f>
        <v>2044</v>
      </c>
      <c r="B2046" s="34" t="str">
        <f>HYPERLINK(CONCAT("http://leetcode.com/problems/",Github!C$2045), Github!B$2045)</f>
        <v>Count Number of Maximum Bitwise-OR Subsets</v>
      </c>
      <c r="C2046" s="17">
        <f>Github!F$2045</f>
        <v>222</v>
      </c>
      <c r="D2046" s="17">
        <f>Github!G$2045</f>
        <v>13</v>
      </c>
      <c r="E2046" s="17">
        <f>Github!F$2045+Github!G$2045</f>
        <v>235</v>
      </c>
      <c r="F2046" s="18">
        <f t="shared" si="1"/>
        <v>17.08</v>
      </c>
      <c r="G2046" s="17" t="str">
        <f>Github!H$2045</f>
        <v>Algorithms</v>
      </c>
      <c r="H2046" s="17" t="b">
        <f>Github!D$2045</f>
        <v>0</v>
      </c>
      <c r="I2046" s="17" t="str">
        <f>Github!E$2045</f>
        <v>Medium</v>
      </c>
      <c r="J2046" s="17" t="str">
        <f>ROUND(Github!N$2045, 2)&amp;"%"</f>
        <v>0%</v>
      </c>
      <c r="K2046" s="17">
        <f>Github!O$2045</f>
        <v>74.87651272</v>
      </c>
      <c r="L2046" s="17">
        <f>Github!P$2045</f>
        <v>12126</v>
      </c>
    </row>
    <row r="2047">
      <c r="A2047" s="17">
        <f>Github!J$2046</f>
        <v>2045</v>
      </c>
      <c r="B2047" s="34" t="str">
        <f>HYPERLINK(CONCAT("http://leetcode.com/problems/",Github!C$2046), Github!B$2046)</f>
        <v>Second Minimum Time to Reach Destination</v>
      </c>
      <c r="C2047" s="17">
        <f>Github!F$2046</f>
        <v>299</v>
      </c>
      <c r="D2047" s="17">
        <f>Github!G$2046</f>
        <v>4</v>
      </c>
      <c r="E2047" s="17">
        <f>Github!F$2046+Github!G$2046</f>
        <v>303</v>
      </c>
      <c r="F2047" s="18">
        <f t="shared" si="1"/>
        <v>74.75</v>
      </c>
      <c r="G2047" s="17" t="str">
        <f>Github!H$2046</f>
        <v>Algorithms</v>
      </c>
      <c r="H2047" s="17" t="b">
        <f>Github!D$2046</f>
        <v>0</v>
      </c>
      <c r="I2047" s="17" t="str">
        <f>Github!E$2046</f>
        <v>Hard</v>
      </c>
      <c r="J2047" s="17" t="str">
        <f>ROUND(Github!N$2046, 2)&amp;"%"</f>
        <v>0%</v>
      </c>
      <c r="K2047" s="17">
        <f>Github!O$2046</f>
        <v>36.37257472</v>
      </c>
      <c r="L2047" s="17">
        <f>Github!P$2046</f>
        <v>5549</v>
      </c>
    </row>
    <row r="2048">
      <c r="A2048" s="17">
        <f>Github!J$2047</f>
        <v>2046</v>
      </c>
      <c r="B2048" s="34" t="str">
        <f>HYPERLINK(CONCAT("http://leetcode.com/problems/",Github!C$2047), Github!B$2047)</f>
        <v>Sort Linked List Already Sorted Using Absolute Values</v>
      </c>
      <c r="C2048" s="17">
        <f>Github!F$2047</f>
        <v>57</v>
      </c>
      <c r="D2048" s="17">
        <f>Github!G$2047</f>
        <v>0</v>
      </c>
      <c r="E2048" s="17">
        <f>Github!F$2047+Github!G$2047</f>
        <v>57</v>
      </c>
      <c r="F2048" s="18" t="str">
        <f t="shared" si="1"/>
        <v>#DIV/0!</v>
      </c>
      <c r="G2048" s="17" t="str">
        <f>Github!H$2047</f>
        <v>Algorithms</v>
      </c>
      <c r="H2048" s="17" t="b">
        <f>Github!D$2047</f>
        <v>1</v>
      </c>
      <c r="I2048" s="17" t="str">
        <f>Github!E$2047</f>
        <v>Medium</v>
      </c>
      <c r="J2048" s="17" t="str">
        <f>ROUND(Github!N$2047, 2)&amp;"%"</f>
        <v>0%</v>
      </c>
      <c r="K2048" s="17">
        <f>Github!O$2047</f>
        <v>70.48040455</v>
      </c>
      <c r="L2048" s="17">
        <f>Github!P$2047</f>
        <v>2230</v>
      </c>
    </row>
    <row r="2049">
      <c r="A2049" s="17">
        <f>Github!J$2048</f>
        <v>2047</v>
      </c>
      <c r="B2049" s="34" t="str">
        <f>HYPERLINK(CONCAT("http://leetcode.com/problems/",Github!C$2048), Github!B$2048)</f>
        <v>Number of Valid Words in a Sentence</v>
      </c>
      <c r="C2049" s="17">
        <f>Github!F$2048</f>
        <v>109</v>
      </c>
      <c r="D2049" s="17">
        <f>Github!G$2048</f>
        <v>448</v>
      </c>
      <c r="E2049" s="17">
        <f>Github!F$2048+Github!G$2048</f>
        <v>557</v>
      </c>
      <c r="F2049" s="18">
        <f t="shared" si="1"/>
        <v>0.24</v>
      </c>
      <c r="G2049" s="17" t="str">
        <f>Github!H$2048</f>
        <v>Algorithms</v>
      </c>
      <c r="H2049" s="17" t="b">
        <f>Github!D$2048</f>
        <v>0</v>
      </c>
      <c r="I2049" s="17" t="str">
        <f>Github!E$2048</f>
        <v>Easy</v>
      </c>
      <c r="J2049" s="17" t="str">
        <f>ROUND(Github!N$2048, 2)&amp;"%"</f>
        <v>0%</v>
      </c>
      <c r="K2049" s="17">
        <f>Github!O$2048</f>
        <v>29.30540393</v>
      </c>
      <c r="L2049" s="17">
        <f>Github!P$2048</f>
        <v>12885</v>
      </c>
    </row>
    <row r="2050">
      <c r="A2050" s="17">
        <f>Github!J$2049</f>
        <v>2048</v>
      </c>
      <c r="B2050" s="34" t="str">
        <f>HYPERLINK(CONCAT("http://leetcode.com/problems/",Github!C$2049), Github!B$2049)</f>
        <v>Next Greater Numerically Balanced Number</v>
      </c>
      <c r="C2050" s="17">
        <f>Github!F$2049</f>
        <v>91</v>
      </c>
      <c r="D2050" s="17">
        <f>Github!G$2049</f>
        <v>213</v>
      </c>
      <c r="E2050" s="17">
        <f>Github!F$2049+Github!G$2049</f>
        <v>304</v>
      </c>
      <c r="F2050" s="18">
        <f t="shared" si="1"/>
        <v>0.43</v>
      </c>
      <c r="G2050" s="17" t="str">
        <f>Github!H$2049</f>
        <v>Algorithms</v>
      </c>
      <c r="H2050" s="17" t="b">
        <f>Github!D$2049</f>
        <v>0</v>
      </c>
      <c r="I2050" s="17" t="str">
        <f>Github!E$2049</f>
        <v>Medium</v>
      </c>
      <c r="J2050" s="17" t="str">
        <f>ROUND(Github!N$2049, 2)&amp;"%"</f>
        <v>0%</v>
      </c>
      <c r="K2050" s="17">
        <f>Github!O$2049</f>
        <v>46.0976306</v>
      </c>
      <c r="L2050" s="17">
        <f>Github!P$2049</f>
        <v>8074</v>
      </c>
    </row>
    <row r="2051">
      <c r="A2051" s="17">
        <f>Github!J$2050</f>
        <v>2049</v>
      </c>
      <c r="B2051" s="34" t="str">
        <f>HYPERLINK(CONCAT("http://leetcode.com/problems/",Github!C$2050), Github!B$2050)</f>
        <v>Count Nodes With the Highest Score</v>
      </c>
      <c r="C2051" s="17">
        <f>Github!F$2050</f>
        <v>358</v>
      </c>
      <c r="D2051" s="17">
        <f>Github!G$2050</f>
        <v>24</v>
      </c>
      <c r="E2051" s="17">
        <f>Github!F$2050+Github!G$2050</f>
        <v>382</v>
      </c>
      <c r="F2051" s="18">
        <f t="shared" si="1"/>
        <v>14.92</v>
      </c>
      <c r="G2051" s="17" t="str">
        <f>Github!H$2050</f>
        <v>Algorithms</v>
      </c>
      <c r="H2051" s="17" t="b">
        <f>Github!D$2050</f>
        <v>0</v>
      </c>
      <c r="I2051" s="17" t="str">
        <f>Github!E$2050</f>
        <v>Medium</v>
      </c>
      <c r="J2051" s="17" t="str">
        <f>ROUND(Github!N$2050, 2)&amp;"%"</f>
        <v>0%</v>
      </c>
      <c r="K2051" s="17">
        <f>Github!O$2050</f>
        <v>46.38140792</v>
      </c>
      <c r="L2051" s="17">
        <f>Github!P$2050</f>
        <v>8921</v>
      </c>
    </row>
    <row r="2052">
      <c r="A2052" s="17">
        <f>Github!J$2051</f>
        <v>2050</v>
      </c>
      <c r="B2052" s="34" t="str">
        <f>HYPERLINK(CONCAT("http://leetcode.com/problems/",Github!C$2051), Github!B$2051)</f>
        <v>Parallel Courses III</v>
      </c>
      <c r="C2052" s="17">
        <f>Github!F$2051</f>
        <v>293</v>
      </c>
      <c r="D2052" s="17">
        <f>Github!G$2051</f>
        <v>7</v>
      </c>
      <c r="E2052" s="17">
        <f>Github!F$2051+Github!G$2051</f>
        <v>300</v>
      </c>
      <c r="F2052" s="18">
        <f t="shared" si="1"/>
        <v>41.86</v>
      </c>
      <c r="G2052" s="17" t="str">
        <f>Github!H$2051</f>
        <v>Algorithms</v>
      </c>
      <c r="H2052" s="17" t="b">
        <f>Github!D$2051</f>
        <v>0</v>
      </c>
      <c r="I2052" s="17" t="str">
        <f>Github!E$2051</f>
        <v>Hard</v>
      </c>
      <c r="J2052" s="17" t="str">
        <f>ROUND(Github!N$2051, 2)&amp;"%"</f>
        <v>0%</v>
      </c>
      <c r="K2052" s="17">
        <f>Github!O$2051</f>
        <v>60.16629456</v>
      </c>
      <c r="L2052" s="17">
        <f>Github!P$2051</f>
        <v>7815</v>
      </c>
    </row>
    <row r="2053">
      <c r="A2053" s="17">
        <f>Github!J$2052</f>
        <v>2051</v>
      </c>
      <c r="B2053" s="34" t="str">
        <f>HYPERLINK(CONCAT("http://leetcode.com/problems/",Github!C$2052), Github!B$2052)</f>
        <v>The Category of Each Member in the Store</v>
      </c>
      <c r="C2053" s="17">
        <f>Github!F$2052</f>
        <v>17</v>
      </c>
      <c r="D2053" s="17">
        <f>Github!G$2052</f>
        <v>4</v>
      </c>
      <c r="E2053" s="17">
        <f>Github!F$2052+Github!G$2052</f>
        <v>21</v>
      </c>
      <c r="F2053" s="18">
        <f t="shared" si="1"/>
        <v>4.25</v>
      </c>
      <c r="G2053" s="17" t="str">
        <f>Github!H$2052</f>
        <v>Database</v>
      </c>
      <c r="H2053" s="17" t="b">
        <f>Github!D$2052</f>
        <v>1</v>
      </c>
      <c r="I2053" s="17" t="str">
        <f>Github!E$2052</f>
        <v>Medium</v>
      </c>
      <c r="J2053" s="17" t="str">
        <f>ROUND(Github!N$2052, 2)&amp;"%"</f>
        <v>0%</v>
      </c>
      <c r="K2053" s="17">
        <f>Github!O$2052</f>
        <v>73.03904924</v>
      </c>
      <c r="L2053" s="17">
        <f>Github!P$2052</f>
        <v>2147</v>
      </c>
    </row>
    <row r="2054">
      <c r="A2054" s="17">
        <f>Github!J$2053</f>
        <v>2052</v>
      </c>
      <c r="B2054" s="34" t="str">
        <f>HYPERLINK(CONCAT("http://leetcode.com/problems/",Github!C$2053), Github!B$2053)</f>
        <v>Minimum Cost to Separate Sentence Into Rows</v>
      </c>
      <c r="C2054" s="17">
        <f>Github!F$2053</f>
        <v>21</v>
      </c>
      <c r="D2054" s="17">
        <f>Github!G$2053</f>
        <v>8</v>
      </c>
      <c r="E2054" s="17">
        <f>Github!F$2053+Github!G$2053</f>
        <v>29</v>
      </c>
      <c r="F2054" s="18">
        <f t="shared" si="1"/>
        <v>2.63</v>
      </c>
      <c r="G2054" s="17" t="str">
        <f>Github!H$2053</f>
        <v>Algorithms</v>
      </c>
      <c r="H2054" s="17" t="b">
        <f>Github!D$2053</f>
        <v>1</v>
      </c>
      <c r="I2054" s="17" t="str">
        <f>Github!E$2053</f>
        <v>Medium</v>
      </c>
      <c r="J2054" s="17" t="str">
        <f>ROUND(Github!N$2053, 2)&amp;"%"</f>
        <v>0%</v>
      </c>
      <c r="K2054" s="17">
        <f>Github!O$2053</f>
        <v>53.51934052</v>
      </c>
      <c r="L2054" s="17">
        <f>Github!P$2053</f>
        <v>844</v>
      </c>
    </row>
    <row r="2055">
      <c r="A2055" s="17">
        <f>Github!J$2054</f>
        <v>2053</v>
      </c>
      <c r="B2055" s="34" t="str">
        <f>HYPERLINK(CONCAT("http://leetcode.com/problems/",Github!C$2054), Github!B$2054)</f>
        <v>Kth Distinct String in an Array</v>
      </c>
      <c r="C2055" s="17">
        <f>Github!F$2054</f>
        <v>253</v>
      </c>
      <c r="D2055" s="17">
        <f>Github!G$2054</f>
        <v>6</v>
      </c>
      <c r="E2055" s="17">
        <f>Github!F$2054+Github!G$2054</f>
        <v>259</v>
      </c>
      <c r="F2055" s="18">
        <f t="shared" si="1"/>
        <v>42.17</v>
      </c>
      <c r="G2055" s="17" t="str">
        <f>Github!H$2054</f>
        <v>Algorithms</v>
      </c>
      <c r="H2055" s="17" t="b">
        <f>Github!D$2054</f>
        <v>0</v>
      </c>
      <c r="I2055" s="17" t="str">
        <f>Github!E$2054</f>
        <v>Easy</v>
      </c>
      <c r="J2055" s="17" t="str">
        <f>ROUND(Github!N$2054, 2)&amp;"%"</f>
        <v>0%</v>
      </c>
      <c r="K2055" s="17">
        <f>Github!O$2054</f>
        <v>73.11359712</v>
      </c>
      <c r="L2055" s="17">
        <f>Github!P$2054</f>
        <v>19476</v>
      </c>
    </row>
    <row r="2056">
      <c r="A2056" s="17">
        <f>Github!J$2055</f>
        <v>2054</v>
      </c>
      <c r="B2056" s="34" t="str">
        <f>HYPERLINK(CONCAT("http://leetcode.com/problems/",Github!C$2055), Github!B$2055)</f>
        <v>Two Best Non-Overlapping Events</v>
      </c>
      <c r="C2056" s="17">
        <f>Github!F$2055</f>
        <v>359</v>
      </c>
      <c r="D2056" s="17">
        <f>Github!G$2055</f>
        <v>7</v>
      </c>
      <c r="E2056" s="17">
        <f>Github!F$2055+Github!G$2055</f>
        <v>366</v>
      </c>
      <c r="F2056" s="18">
        <f t="shared" si="1"/>
        <v>51.29</v>
      </c>
      <c r="G2056" s="17" t="str">
        <f>Github!H$2055</f>
        <v>Algorithms</v>
      </c>
      <c r="H2056" s="17" t="b">
        <f>Github!D$2055</f>
        <v>0</v>
      </c>
      <c r="I2056" s="17" t="str">
        <f>Github!E$2055</f>
        <v>Medium</v>
      </c>
      <c r="J2056" s="17" t="str">
        <f>ROUND(Github!N$2055, 2)&amp;"%"</f>
        <v>0%</v>
      </c>
      <c r="K2056" s="17">
        <f>Github!O$2055</f>
        <v>42.87207703</v>
      </c>
      <c r="L2056" s="17">
        <f>Github!P$2055</f>
        <v>7792</v>
      </c>
    </row>
    <row r="2057">
      <c r="A2057" s="17">
        <f>Github!J$2056</f>
        <v>2055</v>
      </c>
      <c r="B2057" s="34" t="str">
        <f>HYPERLINK(CONCAT("http://leetcode.com/problems/",Github!C$2056), Github!B$2056)</f>
        <v>Plates Between Candles</v>
      </c>
      <c r="C2057" s="17">
        <f>Github!F$2056</f>
        <v>343</v>
      </c>
      <c r="D2057" s="17">
        <f>Github!G$2056</f>
        <v>8</v>
      </c>
      <c r="E2057" s="17">
        <f>Github!F$2056+Github!G$2056</f>
        <v>351</v>
      </c>
      <c r="F2057" s="18">
        <f t="shared" si="1"/>
        <v>42.88</v>
      </c>
      <c r="G2057" s="17" t="str">
        <f>Github!H$2056</f>
        <v>Algorithms</v>
      </c>
      <c r="H2057" s="17" t="b">
        <f>Github!D$2056</f>
        <v>0</v>
      </c>
      <c r="I2057" s="17" t="str">
        <f>Github!E$2056</f>
        <v>Medium</v>
      </c>
      <c r="J2057" s="17" t="str">
        <f>ROUND(Github!N$2056, 2)&amp;"%"</f>
        <v>0%</v>
      </c>
      <c r="K2057" s="17">
        <f>Github!O$2056</f>
        <v>46.74730636</v>
      </c>
      <c r="L2057" s="17">
        <f>Github!P$2056</f>
        <v>9198</v>
      </c>
    </row>
    <row r="2058">
      <c r="A2058" s="17">
        <f>Github!J$2057</f>
        <v>2056</v>
      </c>
      <c r="B2058" s="34" t="str">
        <f>HYPERLINK(CONCAT("http://leetcode.com/problems/",Github!C$2057), Github!B$2057)</f>
        <v>Number of Valid Move Combinations On Chessboard</v>
      </c>
      <c r="C2058" s="17">
        <f>Github!F$2057</f>
        <v>30</v>
      </c>
      <c r="D2058" s="17">
        <f>Github!G$2057</f>
        <v>146</v>
      </c>
      <c r="E2058" s="17">
        <f>Github!F$2057+Github!G$2057</f>
        <v>176</v>
      </c>
      <c r="F2058" s="18">
        <f t="shared" si="1"/>
        <v>0.21</v>
      </c>
      <c r="G2058" s="17" t="str">
        <f>Github!H$2057</f>
        <v>Algorithms</v>
      </c>
      <c r="H2058" s="17" t="b">
        <f>Github!D$2057</f>
        <v>0</v>
      </c>
      <c r="I2058" s="17" t="str">
        <f>Github!E$2057</f>
        <v>Hard</v>
      </c>
      <c r="J2058" s="17" t="str">
        <f>ROUND(Github!N$2057, 2)&amp;"%"</f>
        <v>0%</v>
      </c>
      <c r="K2058" s="17">
        <f>Github!O$2057</f>
        <v>58.68769361</v>
      </c>
      <c r="L2058" s="17">
        <f>Github!P$2057</f>
        <v>2084</v>
      </c>
    </row>
    <row r="2059">
      <c r="A2059" s="17">
        <f>Github!J$2058</f>
        <v>2057</v>
      </c>
      <c r="B2059" s="34" t="str">
        <f>HYPERLINK(CONCAT("http://leetcode.com/problems/",Github!C$2058), Github!B$2058)</f>
        <v>Smallest Index With Equal Value</v>
      </c>
      <c r="C2059" s="17">
        <f>Github!F$2058</f>
        <v>129</v>
      </c>
      <c r="D2059" s="17">
        <f>Github!G$2058</f>
        <v>62</v>
      </c>
      <c r="E2059" s="17">
        <f>Github!F$2058+Github!G$2058</f>
        <v>191</v>
      </c>
      <c r="F2059" s="18">
        <f t="shared" si="1"/>
        <v>2.08</v>
      </c>
      <c r="G2059" s="17" t="str">
        <f>Github!H$2058</f>
        <v>Algorithms</v>
      </c>
      <c r="H2059" s="17" t="b">
        <f>Github!D$2058</f>
        <v>0</v>
      </c>
      <c r="I2059" s="17" t="str">
        <f>Github!E$2058</f>
        <v>Easy</v>
      </c>
      <c r="J2059" s="17" t="str">
        <f>ROUND(Github!N$2058, 2)&amp;"%"</f>
        <v>0%</v>
      </c>
      <c r="K2059" s="17">
        <f>Github!O$2058</f>
        <v>73.59493153</v>
      </c>
      <c r="L2059" s="17">
        <f>Github!P$2058</f>
        <v>21604</v>
      </c>
    </row>
    <row r="2060">
      <c r="A2060" s="17">
        <f>Github!J$2059</f>
        <v>2058</v>
      </c>
      <c r="B2060" s="34" t="str">
        <f>HYPERLINK(CONCAT("http://leetcode.com/problems/",Github!C$2059), Github!B$2059)</f>
        <v>Find the Minimum and Maximum Number of Nodes Between Critical Points</v>
      </c>
      <c r="C2060" s="17">
        <f>Github!F$2059</f>
        <v>220</v>
      </c>
      <c r="D2060" s="17">
        <f>Github!G$2059</f>
        <v>11</v>
      </c>
      <c r="E2060" s="17">
        <f>Github!F$2059+Github!G$2059</f>
        <v>231</v>
      </c>
      <c r="F2060" s="18">
        <f t="shared" si="1"/>
        <v>20</v>
      </c>
      <c r="G2060" s="17" t="str">
        <f>Github!H$2059</f>
        <v>Algorithms</v>
      </c>
      <c r="H2060" s="17" t="b">
        <f>Github!D$2059</f>
        <v>0</v>
      </c>
      <c r="I2060" s="17" t="str">
        <f>Github!E$2059</f>
        <v>Medium</v>
      </c>
      <c r="J2060" s="17" t="str">
        <f>ROUND(Github!N$2059, 2)&amp;"%"</f>
        <v>0%</v>
      </c>
      <c r="K2060" s="17">
        <f>Github!O$2059</f>
        <v>57.84762612</v>
      </c>
      <c r="L2060" s="17">
        <f>Github!P$2059</f>
        <v>14024</v>
      </c>
    </row>
    <row r="2061">
      <c r="A2061" s="17">
        <f>Github!J$2060</f>
        <v>2059</v>
      </c>
      <c r="B2061" s="34" t="str">
        <f>HYPERLINK(CONCAT("http://leetcode.com/problems/",Github!C$2060), Github!B$2060)</f>
        <v>Minimum Operations to Convert Number</v>
      </c>
      <c r="C2061" s="17">
        <f>Github!F$2060</f>
        <v>327</v>
      </c>
      <c r="D2061" s="17">
        <f>Github!G$2060</f>
        <v>16</v>
      </c>
      <c r="E2061" s="17">
        <f>Github!F$2060+Github!G$2060</f>
        <v>343</v>
      </c>
      <c r="F2061" s="18">
        <f t="shared" si="1"/>
        <v>20.44</v>
      </c>
      <c r="G2061" s="17" t="str">
        <f>Github!H$2060</f>
        <v>Algorithms</v>
      </c>
      <c r="H2061" s="17" t="b">
        <f>Github!D$2060</f>
        <v>0</v>
      </c>
      <c r="I2061" s="17" t="str">
        <f>Github!E$2060</f>
        <v>Medium</v>
      </c>
      <c r="J2061" s="17" t="str">
        <f>ROUND(Github!N$2060, 2)&amp;"%"</f>
        <v>0%</v>
      </c>
      <c r="K2061" s="17">
        <f>Github!O$2060</f>
        <v>45.82893878</v>
      </c>
      <c r="L2061" s="17">
        <f>Github!P$2060</f>
        <v>9123</v>
      </c>
    </row>
    <row r="2062">
      <c r="A2062" s="17">
        <f>Github!J$2061</f>
        <v>2060</v>
      </c>
      <c r="B2062" s="34" t="str">
        <f>HYPERLINK(CONCAT("http://leetcode.com/problems/",Github!C$2061), Github!B$2061)</f>
        <v>Check if an Original String Exists Given Two Encoded Strings</v>
      </c>
      <c r="C2062" s="17">
        <f>Github!F$2061</f>
        <v>133</v>
      </c>
      <c r="D2062" s="17">
        <f>Github!G$2061</f>
        <v>62</v>
      </c>
      <c r="E2062" s="17">
        <f>Github!F$2061+Github!G$2061</f>
        <v>195</v>
      </c>
      <c r="F2062" s="18">
        <f t="shared" si="1"/>
        <v>2.15</v>
      </c>
      <c r="G2062" s="17" t="str">
        <f>Github!H$2061</f>
        <v>Algorithms</v>
      </c>
      <c r="H2062" s="17" t="b">
        <f>Github!D$2061</f>
        <v>0</v>
      </c>
      <c r="I2062" s="17" t="str">
        <f>Github!E$2061</f>
        <v>Hard</v>
      </c>
      <c r="J2062" s="17" t="str">
        <f>ROUND(Github!N$2061, 2)&amp;"%"</f>
        <v>0%</v>
      </c>
      <c r="K2062" s="17">
        <f>Github!O$2061</f>
        <v>39.42391621</v>
      </c>
      <c r="L2062" s="17">
        <f>Github!P$2061</f>
        <v>4065</v>
      </c>
    </row>
    <row r="2063">
      <c r="A2063" s="17">
        <f>Github!J$2062</f>
        <v>2061</v>
      </c>
      <c r="B2063" s="34" t="str">
        <f>HYPERLINK(CONCAT("http://leetcode.com/problems/",Github!C$2062), Github!B$2062)</f>
        <v>Number of Spaces Cleaning Robot Cleaned</v>
      </c>
      <c r="C2063" s="17">
        <f>Github!F$2062</f>
        <v>47</v>
      </c>
      <c r="D2063" s="17">
        <f>Github!G$2062</f>
        <v>12</v>
      </c>
      <c r="E2063" s="17">
        <f>Github!F$2062+Github!G$2062</f>
        <v>59</v>
      </c>
      <c r="F2063" s="18">
        <f t="shared" si="1"/>
        <v>3.92</v>
      </c>
      <c r="G2063" s="17" t="str">
        <f>Github!H$2062</f>
        <v>Algorithms</v>
      </c>
      <c r="H2063" s="17" t="b">
        <f>Github!D$2062</f>
        <v>1</v>
      </c>
      <c r="I2063" s="17" t="str">
        <f>Github!E$2062</f>
        <v>Medium</v>
      </c>
      <c r="J2063" s="17" t="str">
        <f>ROUND(Github!N$2062, 2)&amp;"%"</f>
        <v>0%</v>
      </c>
      <c r="K2063" s="17">
        <f>Github!O$2062</f>
        <v>54.98195948</v>
      </c>
      <c r="L2063" s="17">
        <f>Github!P$2062</f>
        <v>1981</v>
      </c>
    </row>
    <row r="2064">
      <c r="A2064" s="17">
        <f>Github!J$2063</f>
        <v>2062</v>
      </c>
      <c r="B2064" s="34" t="str">
        <f>HYPERLINK(CONCAT("http://leetcode.com/problems/",Github!C$2063), Github!B$2063)</f>
        <v>Count Vowel Substrings of a String</v>
      </c>
      <c r="C2064" s="17">
        <f>Github!F$2063</f>
        <v>330</v>
      </c>
      <c r="D2064" s="17">
        <f>Github!G$2063</f>
        <v>99</v>
      </c>
      <c r="E2064" s="17">
        <f>Github!F$2063+Github!G$2063</f>
        <v>429</v>
      </c>
      <c r="F2064" s="18">
        <f t="shared" si="1"/>
        <v>3.33</v>
      </c>
      <c r="G2064" s="17" t="str">
        <f>Github!H$2063</f>
        <v>Algorithms</v>
      </c>
      <c r="H2064" s="17" t="b">
        <f>Github!D$2063</f>
        <v>0</v>
      </c>
      <c r="I2064" s="17" t="str">
        <f>Github!E$2063</f>
        <v>Easy</v>
      </c>
      <c r="J2064" s="17" t="str">
        <f>ROUND(Github!N$2063, 2)&amp;"%"</f>
        <v>0%</v>
      </c>
      <c r="K2064" s="17">
        <f>Github!O$2063</f>
        <v>65.76798445</v>
      </c>
      <c r="L2064" s="17">
        <f>Github!P$2063</f>
        <v>15222</v>
      </c>
    </row>
    <row r="2065">
      <c r="A2065" s="17">
        <f>Github!J$2064</f>
        <v>2063</v>
      </c>
      <c r="B2065" s="34" t="str">
        <f>HYPERLINK(CONCAT("http://leetcode.com/problems/",Github!C$2064), Github!B$2064)</f>
        <v>Vowels of All Substrings</v>
      </c>
      <c r="C2065" s="17">
        <f>Github!F$2064</f>
        <v>321</v>
      </c>
      <c r="D2065" s="17">
        <f>Github!G$2064</f>
        <v>12</v>
      </c>
      <c r="E2065" s="17">
        <f>Github!F$2064+Github!G$2064</f>
        <v>333</v>
      </c>
      <c r="F2065" s="18">
        <f t="shared" si="1"/>
        <v>26.75</v>
      </c>
      <c r="G2065" s="17" t="str">
        <f>Github!H$2064</f>
        <v>Algorithms</v>
      </c>
      <c r="H2065" s="17" t="b">
        <f>Github!D$2064</f>
        <v>0</v>
      </c>
      <c r="I2065" s="17" t="str">
        <f>Github!E$2064</f>
        <v>Medium</v>
      </c>
      <c r="J2065" s="17" t="str">
        <f>ROUND(Github!N$2064, 2)&amp;"%"</f>
        <v>0%</v>
      </c>
      <c r="K2065" s="17">
        <f>Github!O$2064</f>
        <v>54.14154237</v>
      </c>
      <c r="L2065" s="17">
        <f>Github!P$2064</f>
        <v>11942</v>
      </c>
    </row>
    <row r="2066">
      <c r="A2066" s="17">
        <f>Github!J$2065</f>
        <v>2064</v>
      </c>
      <c r="B2066" s="34" t="str">
        <f>HYPERLINK(CONCAT("http://leetcode.com/problems/",Github!C$2065), Github!B$2065)</f>
        <v>Minimized Maximum of Products Distributed to Any Store</v>
      </c>
      <c r="C2066" s="17">
        <f>Github!F$2065</f>
        <v>371</v>
      </c>
      <c r="D2066" s="17">
        <f>Github!G$2065</f>
        <v>15</v>
      </c>
      <c r="E2066" s="17">
        <f>Github!F$2065+Github!G$2065</f>
        <v>386</v>
      </c>
      <c r="F2066" s="18">
        <f t="shared" si="1"/>
        <v>24.73</v>
      </c>
      <c r="G2066" s="17" t="str">
        <f>Github!H$2065</f>
        <v>Algorithms</v>
      </c>
      <c r="H2066" s="17" t="b">
        <f>Github!D$2065</f>
        <v>0</v>
      </c>
      <c r="I2066" s="17" t="str">
        <f>Github!E$2065</f>
        <v>Medium</v>
      </c>
      <c r="J2066" s="17" t="str">
        <f>ROUND(Github!N$2065, 2)&amp;"%"</f>
        <v>0%</v>
      </c>
      <c r="K2066" s="17">
        <f>Github!O$2065</f>
        <v>48.19382449</v>
      </c>
      <c r="L2066" s="17">
        <f>Github!P$2065</f>
        <v>10472</v>
      </c>
    </row>
    <row r="2067">
      <c r="A2067" s="17">
        <f>Github!J$2066</f>
        <v>2065</v>
      </c>
      <c r="B2067" s="34" t="str">
        <f>HYPERLINK(CONCAT("http://leetcode.com/problems/",Github!C$2066), Github!B$2066)</f>
        <v>Maximum Path Quality of a Graph</v>
      </c>
      <c r="C2067" s="17">
        <f>Github!F$2066</f>
        <v>228</v>
      </c>
      <c r="D2067" s="17">
        <f>Github!G$2066</f>
        <v>23</v>
      </c>
      <c r="E2067" s="17">
        <f>Github!F$2066+Github!G$2066</f>
        <v>251</v>
      </c>
      <c r="F2067" s="18">
        <f t="shared" si="1"/>
        <v>9.91</v>
      </c>
      <c r="G2067" s="17" t="str">
        <f>Github!H$2066</f>
        <v>Algorithms</v>
      </c>
      <c r="H2067" s="17" t="b">
        <f>Github!D$2066</f>
        <v>0</v>
      </c>
      <c r="I2067" s="17" t="str">
        <f>Github!E$2066</f>
        <v>Hard</v>
      </c>
      <c r="J2067" s="17" t="str">
        <f>ROUND(Github!N$2066, 2)&amp;"%"</f>
        <v>0%</v>
      </c>
      <c r="K2067" s="17">
        <f>Github!O$2066</f>
        <v>57.71982827</v>
      </c>
      <c r="L2067" s="17">
        <f>Github!P$2066</f>
        <v>7260</v>
      </c>
    </row>
    <row r="2068">
      <c r="A2068" s="17">
        <f>Github!J$2067</f>
        <v>2066</v>
      </c>
      <c r="B2068" s="34" t="str">
        <f>HYPERLINK(CONCAT("http://leetcode.com/problems/",Github!C$2067), Github!B$2067)</f>
        <v>Account Balance</v>
      </c>
      <c r="C2068" s="17">
        <f>Github!F$2067</f>
        <v>25</v>
      </c>
      <c r="D2068" s="17">
        <f>Github!G$2067</f>
        <v>1</v>
      </c>
      <c r="E2068" s="17">
        <f>Github!F$2067+Github!G$2067</f>
        <v>26</v>
      </c>
      <c r="F2068" s="18">
        <f t="shared" si="1"/>
        <v>25</v>
      </c>
      <c r="G2068" s="17" t="str">
        <f>Github!H$2067</f>
        <v>Database</v>
      </c>
      <c r="H2068" s="17" t="b">
        <f>Github!D$2067</f>
        <v>1</v>
      </c>
      <c r="I2068" s="17" t="str">
        <f>Github!E$2067</f>
        <v>Medium</v>
      </c>
      <c r="J2068" s="17" t="str">
        <f>ROUND(Github!N$2067, 2)&amp;"%"</f>
        <v>0%</v>
      </c>
      <c r="K2068" s="17">
        <f>Github!O$2067</f>
        <v>85.10491916</v>
      </c>
      <c r="L2068" s="17">
        <f>Github!P$2067</f>
        <v>2474</v>
      </c>
    </row>
    <row r="2069">
      <c r="A2069" s="17">
        <f>Github!J$2068</f>
        <v>2067</v>
      </c>
      <c r="B2069" s="34" t="str">
        <f>HYPERLINK(CONCAT("http://leetcode.com/problems/",Github!C$2068), Github!B$2068)</f>
        <v>Number of Equal Count Substrings</v>
      </c>
      <c r="C2069" s="17">
        <f>Github!F$2068</f>
        <v>42</v>
      </c>
      <c r="D2069" s="17">
        <f>Github!G$2068</f>
        <v>4</v>
      </c>
      <c r="E2069" s="17">
        <f>Github!F$2068+Github!G$2068</f>
        <v>46</v>
      </c>
      <c r="F2069" s="18">
        <f t="shared" si="1"/>
        <v>10.5</v>
      </c>
      <c r="G2069" s="17" t="str">
        <f>Github!H$2068</f>
        <v>Algorithms</v>
      </c>
      <c r="H2069" s="17" t="b">
        <f>Github!D$2068</f>
        <v>1</v>
      </c>
      <c r="I2069" s="17" t="str">
        <f>Github!E$2068</f>
        <v>Medium</v>
      </c>
      <c r="J2069" s="17" t="str">
        <f>ROUND(Github!N$2068, 2)&amp;"%"</f>
        <v>0%</v>
      </c>
      <c r="K2069" s="17">
        <f>Github!O$2068</f>
        <v>50.94017094</v>
      </c>
      <c r="L2069" s="17">
        <f>Github!P$2068</f>
        <v>893</v>
      </c>
    </row>
    <row r="2070">
      <c r="A2070" s="17">
        <f>Github!J$2069</f>
        <v>2068</v>
      </c>
      <c r="B2070" s="34" t="str">
        <f>HYPERLINK(CONCAT("http://leetcode.com/problems/",Github!C$2069), Github!B$2069)</f>
        <v>Check Whether Two Strings are Almost Equivalent</v>
      </c>
      <c r="C2070" s="17">
        <f>Github!F$2069</f>
        <v>179</v>
      </c>
      <c r="D2070" s="17">
        <f>Github!G$2069</f>
        <v>6</v>
      </c>
      <c r="E2070" s="17">
        <f>Github!F$2069+Github!G$2069</f>
        <v>185</v>
      </c>
      <c r="F2070" s="18">
        <f t="shared" si="1"/>
        <v>29.83</v>
      </c>
      <c r="G2070" s="17" t="str">
        <f>Github!H$2069</f>
        <v>Algorithms</v>
      </c>
      <c r="H2070" s="17" t="b">
        <f>Github!D$2069</f>
        <v>0</v>
      </c>
      <c r="I2070" s="17" t="str">
        <f>Github!E$2069</f>
        <v>Easy</v>
      </c>
      <c r="J2070" s="17" t="str">
        <f>ROUND(Github!N$2069, 2)&amp;"%"</f>
        <v>0%</v>
      </c>
      <c r="K2070" s="17">
        <f>Github!O$2069</f>
        <v>66.59469463</v>
      </c>
      <c r="L2070" s="17">
        <f>Github!P$2069</f>
        <v>15112</v>
      </c>
    </row>
    <row r="2071">
      <c r="A2071" s="17">
        <f>Github!J$2070</f>
        <v>2069</v>
      </c>
      <c r="B2071" s="34" t="str">
        <f>HYPERLINK(CONCAT("http://leetcode.com/problems/",Github!C$2070), Github!B$2070)</f>
        <v>Walking Robot Simulation II</v>
      </c>
      <c r="C2071" s="17">
        <f>Github!F$2070</f>
        <v>103</v>
      </c>
      <c r="D2071" s="17">
        <f>Github!G$2070</f>
        <v>229</v>
      </c>
      <c r="E2071" s="17">
        <f>Github!F$2070+Github!G$2070</f>
        <v>332</v>
      </c>
      <c r="F2071" s="18">
        <f t="shared" si="1"/>
        <v>0.45</v>
      </c>
      <c r="G2071" s="17" t="str">
        <f>Github!H$2070</f>
        <v>Algorithms</v>
      </c>
      <c r="H2071" s="17" t="b">
        <f>Github!D$2070</f>
        <v>0</v>
      </c>
      <c r="I2071" s="17" t="str">
        <f>Github!E$2070</f>
        <v>Medium</v>
      </c>
      <c r="J2071" s="17" t="str">
        <f>ROUND(Github!N$2070, 2)&amp;"%"</f>
        <v>0%</v>
      </c>
      <c r="K2071" s="17">
        <f>Github!O$2070</f>
        <v>21.37106513</v>
      </c>
      <c r="L2071" s="17">
        <f>Github!P$2070</f>
        <v>5309</v>
      </c>
    </row>
    <row r="2072">
      <c r="A2072" s="17">
        <f>Github!J$2071</f>
        <v>2070</v>
      </c>
      <c r="B2072" s="34" t="str">
        <f>HYPERLINK(CONCAT("http://leetcode.com/problems/",Github!C$2071), Github!B$2071)</f>
        <v>Most Beautiful Item for Each Query</v>
      </c>
      <c r="C2072" s="17">
        <f>Github!F$2071</f>
        <v>272</v>
      </c>
      <c r="D2072" s="17">
        <f>Github!G$2071</f>
        <v>7</v>
      </c>
      <c r="E2072" s="17">
        <f>Github!F$2071+Github!G$2071</f>
        <v>279</v>
      </c>
      <c r="F2072" s="18">
        <f t="shared" si="1"/>
        <v>38.86</v>
      </c>
      <c r="G2072" s="17" t="str">
        <f>Github!H$2071</f>
        <v>Algorithms</v>
      </c>
      <c r="H2072" s="17" t="b">
        <f>Github!D$2071</f>
        <v>0</v>
      </c>
      <c r="I2072" s="17" t="str">
        <f>Github!E$2071</f>
        <v>Medium</v>
      </c>
      <c r="J2072" s="17" t="str">
        <f>ROUND(Github!N$2071, 2)&amp;"%"</f>
        <v>0%</v>
      </c>
      <c r="K2072" s="17">
        <f>Github!O$2071</f>
        <v>48.5537322</v>
      </c>
      <c r="L2072" s="17">
        <f>Github!P$2071</f>
        <v>7604</v>
      </c>
    </row>
    <row r="2073">
      <c r="A2073" s="17">
        <f>Github!J$2072</f>
        <v>2071</v>
      </c>
      <c r="B2073" s="34" t="str">
        <f>HYPERLINK(CONCAT("http://leetcode.com/problems/",Github!C$2072), Github!B$2072)</f>
        <v>Maximum Number of Tasks You Can Assign</v>
      </c>
      <c r="C2073" s="17">
        <f>Github!F$2072</f>
        <v>213</v>
      </c>
      <c r="D2073" s="17">
        <f>Github!G$2072</f>
        <v>10</v>
      </c>
      <c r="E2073" s="17">
        <f>Github!F$2072+Github!G$2072</f>
        <v>223</v>
      </c>
      <c r="F2073" s="18">
        <f t="shared" si="1"/>
        <v>21.3</v>
      </c>
      <c r="G2073" s="17" t="str">
        <f>Github!H$2072</f>
        <v>Algorithms</v>
      </c>
      <c r="H2073" s="17" t="b">
        <f>Github!D$2072</f>
        <v>0</v>
      </c>
      <c r="I2073" s="17" t="str">
        <f>Github!E$2072</f>
        <v>Hard</v>
      </c>
      <c r="J2073" s="17" t="str">
        <f>ROUND(Github!N$2072, 2)&amp;"%"</f>
        <v>0%</v>
      </c>
      <c r="K2073" s="17">
        <f>Github!O$2072</f>
        <v>37.09003066</v>
      </c>
      <c r="L2073" s="17">
        <f>Github!P$2072</f>
        <v>3992</v>
      </c>
    </row>
    <row r="2074">
      <c r="A2074" s="17">
        <f>Github!J$2073</f>
        <v>2072</v>
      </c>
      <c r="B2074" s="34" t="str">
        <f>HYPERLINK(CONCAT("http://leetcode.com/problems/",Github!C$2073), Github!B$2073)</f>
        <v>The Winner University</v>
      </c>
      <c r="C2074" s="17">
        <f>Github!F$2073</f>
        <v>20</v>
      </c>
      <c r="D2074" s="17">
        <f>Github!G$2073</f>
        <v>2</v>
      </c>
      <c r="E2074" s="17">
        <f>Github!F$2073+Github!G$2073</f>
        <v>22</v>
      </c>
      <c r="F2074" s="18">
        <f t="shared" si="1"/>
        <v>10</v>
      </c>
      <c r="G2074" s="17" t="str">
        <f>Github!H$2073</f>
        <v>Database</v>
      </c>
      <c r="H2074" s="17" t="b">
        <f>Github!D$2073</f>
        <v>1</v>
      </c>
      <c r="I2074" s="17" t="str">
        <f>Github!E$2073</f>
        <v>Easy</v>
      </c>
      <c r="J2074" s="17" t="str">
        <f>ROUND(Github!N$2073, 2)&amp;"%"</f>
        <v>0%</v>
      </c>
      <c r="K2074" s="17">
        <f>Github!O$2073</f>
        <v>72.88636924</v>
      </c>
      <c r="L2074" s="17">
        <f>Github!P$2073</f>
        <v>2957</v>
      </c>
    </row>
    <row r="2075">
      <c r="A2075" s="17">
        <f>Github!J$2074</f>
        <v>2073</v>
      </c>
      <c r="B2075" s="34" t="str">
        <f>HYPERLINK(CONCAT("http://leetcode.com/problems/",Github!C$2074), Github!B$2074)</f>
        <v>Time Needed to Buy Tickets</v>
      </c>
      <c r="C2075" s="17">
        <f>Github!F$2074</f>
        <v>293</v>
      </c>
      <c r="D2075" s="17">
        <f>Github!G$2074</f>
        <v>18</v>
      </c>
      <c r="E2075" s="17">
        <f>Github!F$2074+Github!G$2074</f>
        <v>311</v>
      </c>
      <c r="F2075" s="18">
        <f t="shared" si="1"/>
        <v>16.28</v>
      </c>
      <c r="G2075" s="17" t="str">
        <f>Github!H$2074</f>
        <v>Algorithms</v>
      </c>
      <c r="H2075" s="17" t="b">
        <f>Github!D$2074</f>
        <v>0</v>
      </c>
      <c r="I2075" s="17" t="str">
        <f>Github!E$2074</f>
        <v>Easy</v>
      </c>
      <c r="J2075" s="17" t="str">
        <f>ROUND(Github!N$2074, 2)&amp;"%"</f>
        <v>0%</v>
      </c>
      <c r="K2075" s="17">
        <f>Github!O$2074</f>
        <v>61.99340637</v>
      </c>
      <c r="L2075" s="17">
        <f>Github!P$2074</f>
        <v>18616</v>
      </c>
    </row>
    <row r="2076">
      <c r="A2076" s="17">
        <f>Github!J$2075</f>
        <v>2074</v>
      </c>
      <c r="B2076" s="34" t="str">
        <f>HYPERLINK(CONCAT("http://leetcode.com/problems/",Github!C$2075), Github!B$2075)</f>
        <v>Reverse Nodes in Even Length Groups</v>
      </c>
      <c r="C2076" s="17">
        <f>Github!F$2075</f>
        <v>155</v>
      </c>
      <c r="D2076" s="17">
        <f>Github!G$2075</f>
        <v>179</v>
      </c>
      <c r="E2076" s="17">
        <f>Github!F$2075+Github!G$2075</f>
        <v>334</v>
      </c>
      <c r="F2076" s="18">
        <f t="shared" si="1"/>
        <v>0.87</v>
      </c>
      <c r="G2076" s="17" t="str">
        <f>Github!H$2075</f>
        <v>Algorithms</v>
      </c>
      <c r="H2076" s="17" t="b">
        <f>Github!D$2075</f>
        <v>0</v>
      </c>
      <c r="I2076" s="17" t="str">
        <f>Github!E$2075</f>
        <v>Medium</v>
      </c>
      <c r="J2076" s="17" t="str">
        <f>ROUND(Github!N$2075, 2)&amp;"%"</f>
        <v>0%</v>
      </c>
      <c r="K2076" s="17">
        <f>Github!O$2075</f>
        <v>49.71367013</v>
      </c>
      <c r="L2076" s="17">
        <f>Github!P$2075</f>
        <v>8768</v>
      </c>
    </row>
    <row r="2077">
      <c r="A2077" s="17">
        <f>Github!J$2076</f>
        <v>2075</v>
      </c>
      <c r="B2077" s="34" t="str">
        <f>HYPERLINK(CONCAT("http://leetcode.com/problems/",Github!C$2076), Github!B$2076)</f>
        <v>Decode the Slanted Ciphertext</v>
      </c>
      <c r="C2077" s="17">
        <f>Github!F$2076</f>
        <v>137</v>
      </c>
      <c r="D2077" s="17">
        <f>Github!G$2076</f>
        <v>29</v>
      </c>
      <c r="E2077" s="17">
        <f>Github!F$2076+Github!G$2076</f>
        <v>166</v>
      </c>
      <c r="F2077" s="18">
        <f t="shared" si="1"/>
        <v>4.72</v>
      </c>
      <c r="G2077" s="17" t="str">
        <f>Github!H$2076</f>
        <v>Algorithms</v>
      </c>
      <c r="H2077" s="17" t="b">
        <f>Github!D$2076</f>
        <v>0</v>
      </c>
      <c r="I2077" s="17" t="str">
        <f>Github!E$2076</f>
        <v>Medium</v>
      </c>
      <c r="J2077" s="17" t="str">
        <f>ROUND(Github!N$2076, 2)&amp;"%"</f>
        <v>0%</v>
      </c>
      <c r="K2077" s="17">
        <f>Github!O$2076</f>
        <v>49.91333333</v>
      </c>
      <c r="L2077" s="17">
        <f>Github!P$2076</f>
        <v>7487</v>
      </c>
    </row>
    <row r="2078">
      <c r="A2078" s="17">
        <f>Github!J$2077</f>
        <v>2076</v>
      </c>
      <c r="B2078" s="34" t="str">
        <f>HYPERLINK(CONCAT("http://leetcode.com/problems/",Github!C$2077), Github!B$2077)</f>
        <v>Process Restricted Friend Requests</v>
      </c>
      <c r="C2078" s="17">
        <f>Github!F$2077</f>
        <v>293</v>
      </c>
      <c r="D2078" s="17">
        <f>Github!G$2077</f>
        <v>3</v>
      </c>
      <c r="E2078" s="17">
        <f>Github!F$2077+Github!G$2077</f>
        <v>296</v>
      </c>
      <c r="F2078" s="18">
        <f t="shared" si="1"/>
        <v>97.67</v>
      </c>
      <c r="G2078" s="17" t="str">
        <f>Github!H$2077</f>
        <v>Algorithms</v>
      </c>
      <c r="H2078" s="17" t="b">
        <f>Github!D$2077</f>
        <v>0</v>
      </c>
      <c r="I2078" s="17" t="str">
        <f>Github!E$2077</f>
        <v>Hard</v>
      </c>
      <c r="J2078" s="17" t="str">
        <f>ROUND(Github!N$2077, 2)&amp;"%"</f>
        <v>0%</v>
      </c>
      <c r="K2078" s="17">
        <f>Github!O$2077</f>
        <v>53.10175302</v>
      </c>
      <c r="L2078" s="17">
        <f>Github!P$2077</f>
        <v>8209</v>
      </c>
    </row>
    <row r="2079">
      <c r="A2079" s="17">
        <f>Github!J$2078</f>
        <v>2077</v>
      </c>
      <c r="B2079" s="34" t="str">
        <f>HYPERLINK(CONCAT("http://leetcode.com/problems/",Github!C$2078), Github!B$2078)</f>
        <v>Paths in Maze That Lead to Same Room</v>
      </c>
      <c r="C2079" s="17">
        <f>Github!F$2078</f>
        <v>42</v>
      </c>
      <c r="D2079" s="17">
        <f>Github!G$2078</f>
        <v>4</v>
      </c>
      <c r="E2079" s="17">
        <f>Github!F$2078+Github!G$2078</f>
        <v>46</v>
      </c>
      <c r="F2079" s="18">
        <f t="shared" si="1"/>
        <v>10.5</v>
      </c>
      <c r="G2079" s="17" t="str">
        <f>Github!H$2078</f>
        <v>Algorithms</v>
      </c>
      <c r="H2079" s="17" t="b">
        <f>Github!D$2078</f>
        <v>1</v>
      </c>
      <c r="I2079" s="17" t="str">
        <f>Github!E$2078</f>
        <v>Medium</v>
      </c>
      <c r="J2079" s="17" t="str">
        <f>ROUND(Github!N$2078, 2)&amp;"%"</f>
        <v>0%</v>
      </c>
      <c r="K2079" s="17">
        <f>Github!O$2078</f>
        <v>58.39233653</v>
      </c>
      <c r="L2079" s="17">
        <f>Github!P$2078</f>
        <v>1402</v>
      </c>
    </row>
    <row r="2080">
      <c r="A2080" s="17">
        <f>Github!J$2079</f>
        <v>2078</v>
      </c>
      <c r="B2080" s="34" t="str">
        <f>HYPERLINK(CONCAT("http://leetcode.com/problems/",Github!C$2079), Github!B$2079)</f>
        <v>Two Furthest Houses With Different Colors</v>
      </c>
      <c r="C2080" s="17">
        <f>Github!F$2079</f>
        <v>345</v>
      </c>
      <c r="D2080" s="17">
        <f>Github!G$2079</f>
        <v>9</v>
      </c>
      <c r="E2080" s="17">
        <f>Github!F$2079+Github!G$2079</f>
        <v>354</v>
      </c>
      <c r="F2080" s="18">
        <f t="shared" si="1"/>
        <v>38.33</v>
      </c>
      <c r="G2080" s="17" t="str">
        <f>Github!H$2079</f>
        <v>Algorithms</v>
      </c>
      <c r="H2080" s="17" t="b">
        <f>Github!D$2079</f>
        <v>0</v>
      </c>
      <c r="I2080" s="17" t="str">
        <f>Github!E$2079</f>
        <v>Easy</v>
      </c>
      <c r="J2080" s="17" t="str">
        <f>ROUND(Github!N$2079, 2)&amp;"%"</f>
        <v>0%</v>
      </c>
      <c r="K2080" s="17">
        <f>Github!O$2079</f>
        <v>68.83044938</v>
      </c>
      <c r="L2080" s="17">
        <f>Github!P$2079</f>
        <v>21121</v>
      </c>
    </row>
    <row r="2081">
      <c r="A2081" s="17">
        <f>Github!J$2080</f>
        <v>2079</v>
      </c>
      <c r="B2081" s="34" t="str">
        <f>HYPERLINK(CONCAT("http://leetcode.com/problems/",Github!C$2080), Github!B$2080)</f>
        <v>Watering Plants</v>
      </c>
      <c r="C2081" s="17">
        <f>Github!F$2080</f>
        <v>313</v>
      </c>
      <c r="D2081" s="17">
        <f>Github!G$2080</f>
        <v>22</v>
      </c>
      <c r="E2081" s="17">
        <f>Github!F$2080+Github!G$2080</f>
        <v>335</v>
      </c>
      <c r="F2081" s="18">
        <f t="shared" si="1"/>
        <v>14.23</v>
      </c>
      <c r="G2081" s="17" t="str">
        <f>Github!H$2080</f>
        <v>Algorithms</v>
      </c>
      <c r="H2081" s="17" t="b">
        <f>Github!D$2080</f>
        <v>0</v>
      </c>
      <c r="I2081" s="17" t="str">
        <f>Github!E$2080</f>
        <v>Medium</v>
      </c>
      <c r="J2081" s="17" t="str">
        <f>ROUND(Github!N$2080, 2)&amp;"%"</f>
        <v>0%</v>
      </c>
      <c r="K2081" s="17">
        <f>Github!O$2080</f>
        <v>80.52563749</v>
      </c>
      <c r="L2081" s="17">
        <f>Github!P$2080</f>
        <v>17495</v>
      </c>
    </row>
    <row r="2082">
      <c r="A2082" s="17">
        <f>Github!J$2081</f>
        <v>2080</v>
      </c>
      <c r="B2082" s="34" t="str">
        <f>HYPERLINK(CONCAT("http://leetcode.com/problems/",Github!C$2081), Github!B$2081)</f>
        <v>Range Frequency Queries</v>
      </c>
      <c r="C2082" s="17">
        <f>Github!F$2081</f>
        <v>310</v>
      </c>
      <c r="D2082" s="17">
        <f>Github!G$2081</f>
        <v>19</v>
      </c>
      <c r="E2082" s="17">
        <f>Github!F$2081+Github!G$2081</f>
        <v>329</v>
      </c>
      <c r="F2082" s="18">
        <f t="shared" si="1"/>
        <v>16.32</v>
      </c>
      <c r="G2082" s="17" t="str">
        <f>Github!H$2081</f>
        <v>Algorithms</v>
      </c>
      <c r="H2082" s="17" t="b">
        <f>Github!D$2081</f>
        <v>0</v>
      </c>
      <c r="I2082" s="17" t="str">
        <f>Github!E$2081</f>
        <v>Medium</v>
      </c>
      <c r="J2082" s="17" t="str">
        <f>ROUND(Github!N$2081, 2)&amp;"%"</f>
        <v>0%</v>
      </c>
      <c r="K2082" s="17">
        <f>Github!O$2081</f>
        <v>36.22352056</v>
      </c>
      <c r="L2082" s="17">
        <f>Github!P$2081</f>
        <v>10106</v>
      </c>
    </row>
    <row r="2083">
      <c r="A2083" s="17">
        <f>Github!J$2082</f>
        <v>2081</v>
      </c>
      <c r="B2083" s="34" t="str">
        <f>HYPERLINK(CONCAT("http://leetcode.com/problems/",Github!C$2082), Github!B$2082)</f>
        <v>Sum of k-Mirror Numbers</v>
      </c>
      <c r="C2083" s="17">
        <f>Github!F$2082</f>
        <v>75</v>
      </c>
      <c r="D2083" s="17">
        <f>Github!G$2082</f>
        <v>112</v>
      </c>
      <c r="E2083" s="17">
        <f>Github!F$2082+Github!G$2082</f>
        <v>187</v>
      </c>
      <c r="F2083" s="18">
        <f t="shared" si="1"/>
        <v>0.67</v>
      </c>
      <c r="G2083" s="17" t="str">
        <f>Github!H$2082</f>
        <v>Algorithms</v>
      </c>
      <c r="H2083" s="17" t="b">
        <f>Github!D$2082</f>
        <v>0</v>
      </c>
      <c r="I2083" s="17" t="str">
        <f>Github!E$2082</f>
        <v>Hard</v>
      </c>
      <c r="J2083" s="17" t="str">
        <f>ROUND(Github!N$2082, 2)&amp;"%"</f>
        <v>0%</v>
      </c>
      <c r="K2083" s="17">
        <f>Github!O$2082</f>
        <v>39.74598099</v>
      </c>
      <c r="L2083" s="17">
        <f>Github!P$2082</f>
        <v>4475</v>
      </c>
    </row>
    <row r="2084">
      <c r="A2084" s="17">
        <f>Github!J$2083</f>
        <v>2082</v>
      </c>
      <c r="B2084" s="34" t="str">
        <f>HYPERLINK(CONCAT("http://leetcode.com/problems/",Github!C$2083), Github!B$2083)</f>
        <v>The Number of Rich Customers</v>
      </c>
      <c r="C2084" s="17">
        <f>Github!F$2083</f>
        <v>11</v>
      </c>
      <c r="D2084" s="17">
        <f>Github!G$2083</f>
        <v>7</v>
      </c>
      <c r="E2084" s="17">
        <f>Github!F$2083+Github!G$2083</f>
        <v>18</v>
      </c>
      <c r="F2084" s="18">
        <f t="shared" si="1"/>
        <v>1.57</v>
      </c>
      <c r="G2084" s="17" t="str">
        <f>Github!H$2083</f>
        <v>Database</v>
      </c>
      <c r="H2084" s="17" t="b">
        <f>Github!D$2083</f>
        <v>1</v>
      </c>
      <c r="I2084" s="17" t="str">
        <f>Github!E$2083</f>
        <v>Easy</v>
      </c>
      <c r="J2084" s="17" t="str">
        <f>ROUND(Github!N$2083, 2)&amp;"%"</f>
        <v>0%</v>
      </c>
      <c r="K2084" s="17">
        <f>Github!O$2083</f>
        <v>80.69989396</v>
      </c>
      <c r="L2084" s="17">
        <f>Github!P$2083</f>
        <v>3044</v>
      </c>
    </row>
    <row r="2085">
      <c r="A2085" s="17">
        <f>Github!J$2084</f>
        <v>2083</v>
      </c>
      <c r="B2085" s="34" t="str">
        <f>HYPERLINK(CONCAT("http://leetcode.com/problems/",Github!C$2084), Github!B$2084)</f>
        <v>Substrings That Begin and End With the Same Letter</v>
      </c>
      <c r="C2085" s="17">
        <f>Github!F$2084</f>
        <v>56</v>
      </c>
      <c r="D2085" s="17">
        <f>Github!G$2084</f>
        <v>2</v>
      </c>
      <c r="E2085" s="17">
        <f>Github!F$2084+Github!G$2084</f>
        <v>58</v>
      </c>
      <c r="F2085" s="18">
        <f t="shared" si="1"/>
        <v>28</v>
      </c>
      <c r="G2085" s="17" t="str">
        <f>Github!H$2084</f>
        <v>Algorithms</v>
      </c>
      <c r="H2085" s="17" t="b">
        <f>Github!D$2084</f>
        <v>1</v>
      </c>
      <c r="I2085" s="17" t="str">
        <f>Github!E$2084</f>
        <v>Medium</v>
      </c>
      <c r="J2085" s="17" t="str">
        <f>ROUND(Github!N$2084, 2)&amp;"%"</f>
        <v>0%</v>
      </c>
      <c r="K2085" s="17">
        <f>Github!O$2084</f>
        <v>69.30083043</v>
      </c>
      <c r="L2085" s="17">
        <f>Github!P$2084</f>
        <v>2586</v>
      </c>
    </row>
    <row r="2086">
      <c r="A2086" s="17">
        <f>Github!J$2085</f>
        <v>2084</v>
      </c>
      <c r="B2086" s="34" t="str">
        <f>HYPERLINK(CONCAT("http://leetcode.com/problems/",Github!C$2085), Github!B$2085)</f>
        <v>Drop Type 1 Orders for Customers With Type 0 Orders</v>
      </c>
      <c r="C2086" s="17">
        <f>Github!F$2085</f>
        <v>22</v>
      </c>
      <c r="D2086" s="17">
        <f>Github!G$2085</f>
        <v>4</v>
      </c>
      <c r="E2086" s="17">
        <f>Github!F$2085+Github!G$2085</f>
        <v>26</v>
      </c>
      <c r="F2086" s="18">
        <f t="shared" si="1"/>
        <v>5.5</v>
      </c>
      <c r="G2086" s="17" t="str">
        <f>Github!H$2085</f>
        <v>Database</v>
      </c>
      <c r="H2086" s="17" t="b">
        <f>Github!D$2085</f>
        <v>1</v>
      </c>
      <c r="I2086" s="17" t="str">
        <f>Github!E$2085</f>
        <v>Medium</v>
      </c>
      <c r="J2086" s="17" t="str">
        <f>ROUND(Github!N$2085, 2)&amp;"%"</f>
        <v>0%</v>
      </c>
      <c r="K2086" s="17">
        <f>Github!O$2085</f>
        <v>90.78254327</v>
      </c>
      <c r="L2086" s="17">
        <f>Github!P$2085</f>
        <v>2411</v>
      </c>
    </row>
    <row r="2087">
      <c r="A2087" s="17">
        <f>Github!J$2086</f>
        <v>2085</v>
      </c>
      <c r="B2087" s="34" t="str">
        <f>HYPERLINK(CONCAT("http://leetcode.com/problems/",Github!C$2086), Github!B$2086)</f>
        <v>Count Common Words With One Occurrence</v>
      </c>
      <c r="C2087" s="17">
        <f>Github!F$2086</f>
        <v>266</v>
      </c>
      <c r="D2087" s="17">
        <f>Github!G$2086</f>
        <v>6</v>
      </c>
      <c r="E2087" s="17">
        <f>Github!F$2086+Github!G$2086</f>
        <v>272</v>
      </c>
      <c r="F2087" s="18">
        <f t="shared" si="1"/>
        <v>44.33</v>
      </c>
      <c r="G2087" s="17" t="str">
        <f>Github!H$2086</f>
        <v>Algorithms</v>
      </c>
      <c r="H2087" s="17" t="b">
        <f>Github!D$2086</f>
        <v>0</v>
      </c>
      <c r="I2087" s="17" t="str">
        <f>Github!E$2086</f>
        <v>Easy</v>
      </c>
      <c r="J2087" s="17" t="str">
        <f>ROUND(Github!N$2086, 2)&amp;"%"</f>
        <v>0%</v>
      </c>
      <c r="K2087" s="17">
        <f>Github!O$2086</f>
        <v>70.99352451</v>
      </c>
      <c r="L2087" s="17">
        <f>Github!P$2086</f>
        <v>19185</v>
      </c>
    </row>
    <row r="2088">
      <c r="A2088" s="17">
        <f>Github!J$2087</f>
        <v>2086</v>
      </c>
      <c r="B2088" s="34" t="str">
        <f>HYPERLINK(CONCAT("http://leetcode.com/problems/",Github!C$2087), Github!B$2087)</f>
        <v>Minimum Number of Buckets Required to Collect Rainwater from Houses</v>
      </c>
      <c r="C2088" s="17">
        <f>Github!F$2087</f>
        <v>282</v>
      </c>
      <c r="D2088" s="17">
        <f>Github!G$2087</f>
        <v>13</v>
      </c>
      <c r="E2088" s="17">
        <f>Github!F$2087+Github!G$2087</f>
        <v>295</v>
      </c>
      <c r="F2088" s="18">
        <f t="shared" si="1"/>
        <v>21.69</v>
      </c>
      <c r="G2088" s="17" t="str">
        <f>Github!H$2087</f>
        <v>Algorithms</v>
      </c>
      <c r="H2088" s="17" t="b">
        <f>Github!D$2087</f>
        <v>0</v>
      </c>
      <c r="I2088" s="17" t="str">
        <f>Github!E$2087</f>
        <v>Medium</v>
      </c>
      <c r="J2088" s="17" t="str">
        <f>ROUND(Github!N$2087, 2)&amp;"%"</f>
        <v>0%</v>
      </c>
      <c r="K2088" s="17">
        <f>Github!O$2087</f>
        <v>45.25269935</v>
      </c>
      <c r="L2088" s="17">
        <f>Github!P$2087</f>
        <v>8927</v>
      </c>
    </row>
    <row r="2089">
      <c r="A2089" s="17">
        <f>Github!J$2088</f>
        <v>2087</v>
      </c>
      <c r="B2089" s="34" t="str">
        <f>HYPERLINK(CONCAT("http://leetcode.com/problems/",Github!C$2088), Github!B$2088)</f>
        <v>Minimum Cost Homecoming of a Robot in a Grid</v>
      </c>
      <c r="C2089" s="17">
        <f>Github!F$2088</f>
        <v>252</v>
      </c>
      <c r="D2089" s="17">
        <f>Github!G$2088</f>
        <v>48</v>
      </c>
      <c r="E2089" s="17">
        <f>Github!F$2088+Github!G$2088</f>
        <v>300</v>
      </c>
      <c r="F2089" s="18">
        <f t="shared" si="1"/>
        <v>5.25</v>
      </c>
      <c r="G2089" s="17" t="str">
        <f>Github!H$2088</f>
        <v>Algorithms</v>
      </c>
      <c r="H2089" s="17" t="b">
        <f>Github!D$2088</f>
        <v>0</v>
      </c>
      <c r="I2089" s="17" t="str">
        <f>Github!E$2088</f>
        <v>Medium</v>
      </c>
      <c r="J2089" s="17" t="str">
        <f>ROUND(Github!N$2088, 2)&amp;"%"</f>
        <v>0%</v>
      </c>
      <c r="K2089" s="17">
        <f>Github!O$2088</f>
        <v>49.64443848</v>
      </c>
      <c r="L2089" s="17">
        <f>Github!P$2088</f>
        <v>7400</v>
      </c>
    </row>
    <row r="2090">
      <c r="A2090" s="17">
        <f>Github!J$2089</f>
        <v>2088</v>
      </c>
      <c r="B2090" s="34" t="str">
        <f>HYPERLINK(CONCAT("http://leetcode.com/problems/",Github!C$2089), Github!B$2089)</f>
        <v>Count Fertile Pyramids in a Land</v>
      </c>
      <c r="C2090" s="17">
        <f>Github!F$2089</f>
        <v>159</v>
      </c>
      <c r="D2090" s="17">
        <f>Github!G$2089</f>
        <v>6</v>
      </c>
      <c r="E2090" s="17">
        <f>Github!F$2089+Github!G$2089</f>
        <v>165</v>
      </c>
      <c r="F2090" s="18">
        <f t="shared" si="1"/>
        <v>26.5</v>
      </c>
      <c r="G2090" s="17" t="str">
        <f>Github!H$2089</f>
        <v>Algorithms</v>
      </c>
      <c r="H2090" s="17" t="b">
        <f>Github!D$2089</f>
        <v>0</v>
      </c>
      <c r="I2090" s="17" t="str">
        <f>Github!E$2089</f>
        <v>Hard</v>
      </c>
      <c r="J2090" s="17" t="str">
        <f>ROUND(Github!N$2089, 2)&amp;"%"</f>
        <v>0%</v>
      </c>
      <c r="K2090" s="17">
        <f>Github!O$2089</f>
        <v>62.60234959</v>
      </c>
      <c r="L2090" s="17">
        <f>Github!P$2089</f>
        <v>3517</v>
      </c>
    </row>
    <row r="2091">
      <c r="A2091" s="17">
        <f>Github!J$2090</f>
        <v>2089</v>
      </c>
      <c r="B2091" s="34" t="str">
        <f>HYPERLINK(CONCAT("http://leetcode.com/problems/",Github!C$2090), Github!B$2090)</f>
        <v>Find Target Indices After Sorting Array</v>
      </c>
      <c r="C2091" s="17">
        <f>Github!F$2090</f>
        <v>478</v>
      </c>
      <c r="D2091" s="17">
        <f>Github!G$2090</f>
        <v>23</v>
      </c>
      <c r="E2091" s="17">
        <f>Github!F$2090+Github!G$2090</f>
        <v>501</v>
      </c>
      <c r="F2091" s="18">
        <f t="shared" si="1"/>
        <v>20.78</v>
      </c>
      <c r="G2091" s="17" t="str">
        <f>Github!H$2090</f>
        <v>Algorithms</v>
      </c>
      <c r="H2091" s="17" t="b">
        <f>Github!D$2090</f>
        <v>0</v>
      </c>
      <c r="I2091" s="17" t="str">
        <f>Github!E$2090</f>
        <v>Easy</v>
      </c>
      <c r="J2091" s="17" t="str">
        <f>ROUND(Github!N$2090, 2)&amp;"%"</f>
        <v>0%</v>
      </c>
      <c r="K2091" s="17">
        <f>Github!O$2090</f>
        <v>80.22119438</v>
      </c>
      <c r="L2091" s="17">
        <f>Github!P$2090</f>
        <v>43006</v>
      </c>
    </row>
    <row r="2092">
      <c r="A2092" s="17">
        <f>Github!J$2091</f>
        <v>2090</v>
      </c>
      <c r="B2092" s="34" t="str">
        <f>HYPERLINK(CONCAT("http://leetcode.com/problems/",Github!C$2091), Github!B$2091)</f>
        <v>K Radius Subarray Averages</v>
      </c>
      <c r="C2092" s="17">
        <f>Github!F$2091</f>
        <v>235</v>
      </c>
      <c r="D2092" s="17">
        <f>Github!G$2091</f>
        <v>10</v>
      </c>
      <c r="E2092" s="17">
        <f>Github!F$2091+Github!G$2091</f>
        <v>245</v>
      </c>
      <c r="F2092" s="18">
        <f t="shared" si="1"/>
        <v>23.5</v>
      </c>
      <c r="G2092" s="17" t="str">
        <f>Github!H$2091</f>
        <v>Algorithms</v>
      </c>
      <c r="H2092" s="17" t="b">
        <f>Github!D$2091</f>
        <v>0</v>
      </c>
      <c r="I2092" s="17" t="str">
        <f>Github!E$2091</f>
        <v>Medium</v>
      </c>
      <c r="J2092" s="17" t="str">
        <f>ROUND(Github!N$2091, 2)&amp;"%"</f>
        <v>0%</v>
      </c>
      <c r="K2092" s="17">
        <f>Github!O$2091</f>
        <v>40.48710957</v>
      </c>
      <c r="L2092" s="17">
        <f>Github!P$2091</f>
        <v>13066</v>
      </c>
    </row>
    <row r="2093">
      <c r="A2093" s="17">
        <f>Github!J$2092</f>
        <v>2091</v>
      </c>
      <c r="B2093" s="34" t="str">
        <f>HYPERLINK(CONCAT("http://leetcode.com/problems/",Github!C$2092), Github!B$2092)</f>
        <v>Removing Minimum and Maximum From Array</v>
      </c>
      <c r="C2093" s="17">
        <f>Github!F$2092</f>
        <v>268</v>
      </c>
      <c r="D2093" s="17">
        <f>Github!G$2092</f>
        <v>15</v>
      </c>
      <c r="E2093" s="17">
        <f>Github!F$2092+Github!G$2092</f>
        <v>283</v>
      </c>
      <c r="F2093" s="18">
        <f t="shared" si="1"/>
        <v>17.87</v>
      </c>
      <c r="G2093" s="17" t="str">
        <f>Github!H$2092</f>
        <v>Algorithms</v>
      </c>
      <c r="H2093" s="17" t="b">
        <f>Github!D$2092</f>
        <v>0</v>
      </c>
      <c r="I2093" s="17" t="str">
        <f>Github!E$2092</f>
        <v>Medium</v>
      </c>
      <c r="J2093" s="17" t="str">
        <f>ROUND(Github!N$2092, 2)&amp;"%"</f>
        <v>0%</v>
      </c>
      <c r="K2093" s="17">
        <f>Github!O$2092</f>
        <v>57.93471486</v>
      </c>
      <c r="L2093" s="17">
        <f>Github!P$2092</f>
        <v>14873</v>
      </c>
    </row>
    <row r="2094">
      <c r="A2094" s="17">
        <f>Github!J$2093</f>
        <v>2092</v>
      </c>
      <c r="B2094" s="34" t="str">
        <f>HYPERLINK(CONCAT("http://leetcode.com/problems/",Github!C$2093), Github!B$2093)</f>
        <v>Find All People With Secret</v>
      </c>
      <c r="C2094" s="17">
        <f>Github!F$2093</f>
        <v>387</v>
      </c>
      <c r="D2094" s="17">
        <f>Github!G$2093</f>
        <v>19</v>
      </c>
      <c r="E2094" s="17">
        <f>Github!F$2093+Github!G$2093</f>
        <v>406</v>
      </c>
      <c r="F2094" s="18">
        <f t="shared" si="1"/>
        <v>20.37</v>
      </c>
      <c r="G2094" s="17" t="str">
        <f>Github!H$2093</f>
        <v>Algorithms</v>
      </c>
      <c r="H2094" s="17" t="b">
        <f>Github!D$2093</f>
        <v>0</v>
      </c>
      <c r="I2094" s="17" t="str">
        <f>Github!E$2093</f>
        <v>Hard</v>
      </c>
      <c r="J2094" s="17" t="str">
        <f>ROUND(Github!N$2093, 2)&amp;"%"</f>
        <v>0%</v>
      </c>
      <c r="K2094" s="17">
        <f>Github!O$2093</f>
        <v>32.5280236</v>
      </c>
      <c r="L2094" s="17">
        <f>Github!P$2093</f>
        <v>11027</v>
      </c>
    </row>
    <row r="2095">
      <c r="A2095" s="17">
        <f>Github!J$2094</f>
        <v>2093</v>
      </c>
      <c r="B2095" s="34" t="str">
        <f>HYPERLINK(CONCAT("http://leetcode.com/problems/",Github!C$2094), Github!B$2094)</f>
        <v>Minimum Cost to Reach City With Discounts</v>
      </c>
      <c r="C2095" s="17">
        <f>Github!F$2094</f>
        <v>70</v>
      </c>
      <c r="D2095" s="17">
        <f>Github!G$2094</f>
        <v>5</v>
      </c>
      <c r="E2095" s="17">
        <f>Github!F$2094+Github!G$2094</f>
        <v>75</v>
      </c>
      <c r="F2095" s="18">
        <f t="shared" si="1"/>
        <v>14</v>
      </c>
      <c r="G2095" s="17" t="str">
        <f>Github!H$2094</f>
        <v>Algorithms</v>
      </c>
      <c r="H2095" s="17" t="b">
        <f>Github!D$2094</f>
        <v>1</v>
      </c>
      <c r="I2095" s="17" t="str">
        <f>Github!E$2094</f>
        <v>Medium</v>
      </c>
      <c r="J2095" s="17" t="str">
        <f>ROUND(Github!N$2094, 2)&amp;"%"</f>
        <v>0%</v>
      </c>
      <c r="K2095" s="17">
        <f>Github!O$2094</f>
        <v>56.60102115</v>
      </c>
      <c r="L2095" s="17">
        <f>Github!P$2094</f>
        <v>1552</v>
      </c>
    </row>
    <row r="2096">
      <c r="A2096" s="17">
        <f>Github!J$2095</f>
        <v>2094</v>
      </c>
      <c r="B2096" s="34" t="str">
        <f>HYPERLINK(CONCAT("http://leetcode.com/problems/",Github!C$2095), Github!B$2095)</f>
        <v>Finding 3-Digit Even Numbers</v>
      </c>
      <c r="C2096" s="17">
        <f>Github!F$2095</f>
        <v>196</v>
      </c>
      <c r="D2096" s="17">
        <f>Github!G$2095</f>
        <v>164</v>
      </c>
      <c r="E2096" s="17">
        <f>Github!F$2095+Github!G$2095</f>
        <v>360</v>
      </c>
      <c r="F2096" s="18">
        <f t="shared" si="1"/>
        <v>1.2</v>
      </c>
      <c r="G2096" s="17" t="str">
        <f>Github!H$2095</f>
        <v>Algorithms</v>
      </c>
      <c r="H2096" s="17" t="b">
        <f>Github!D$2095</f>
        <v>0</v>
      </c>
      <c r="I2096" s="17" t="str">
        <f>Github!E$2095</f>
        <v>Easy</v>
      </c>
      <c r="J2096" s="17" t="str">
        <f>ROUND(Github!N$2095, 2)&amp;"%"</f>
        <v>0%</v>
      </c>
      <c r="K2096" s="17">
        <f>Github!O$2095</f>
        <v>55.95171699</v>
      </c>
      <c r="L2096" s="17">
        <f>Github!P$2095</f>
        <v>14043</v>
      </c>
    </row>
    <row r="2097">
      <c r="A2097" s="17">
        <f>Github!J$2096</f>
        <v>2095</v>
      </c>
      <c r="B2097" s="34" t="str">
        <f>HYPERLINK(CONCAT("http://leetcode.com/problems/",Github!C$2096), Github!B$2096)</f>
        <v>Delete the Middle Node of a Linked List</v>
      </c>
      <c r="C2097" s="17">
        <f>Github!F$2096</f>
        <v>588</v>
      </c>
      <c r="D2097" s="17">
        <f>Github!G$2096</f>
        <v>20</v>
      </c>
      <c r="E2097" s="17">
        <f>Github!F$2096+Github!G$2096</f>
        <v>608</v>
      </c>
      <c r="F2097" s="18">
        <f t="shared" si="1"/>
        <v>29.4</v>
      </c>
      <c r="G2097" s="17" t="str">
        <f>Github!H$2096</f>
        <v>Algorithms</v>
      </c>
      <c r="H2097" s="17" t="b">
        <f>Github!D$2096</f>
        <v>0</v>
      </c>
      <c r="I2097" s="17" t="str">
        <f>Github!E$2096</f>
        <v>Medium</v>
      </c>
      <c r="J2097" s="17" t="str">
        <f>ROUND(Github!N$2096, 2)&amp;"%"</f>
        <v>0%</v>
      </c>
      <c r="K2097" s="17">
        <f>Github!O$2096</f>
        <v>57.8320854</v>
      </c>
      <c r="L2097" s="17">
        <f>Github!P$2096</f>
        <v>34825</v>
      </c>
    </row>
    <row r="2098">
      <c r="A2098" s="17">
        <f>Github!J$2097</f>
        <v>2096</v>
      </c>
      <c r="B2098" s="34" t="str">
        <f>HYPERLINK(CONCAT("http://leetcode.com/problems/",Github!C$2097), Github!B$2097)</f>
        <v>Step-By-Step Directions From a Binary Tree Node to Another</v>
      </c>
      <c r="C2098" s="17">
        <f>Github!F$2097</f>
        <v>639</v>
      </c>
      <c r="D2098" s="17">
        <f>Github!G$2097</f>
        <v>46</v>
      </c>
      <c r="E2098" s="17">
        <f>Github!F$2097+Github!G$2097</f>
        <v>685</v>
      </c>
      <c r="F2098" s="18">
        <f t="shared" si="1"/>
        <v>13.89</v>
      </c>
      <c r="G2098" s="17" t="str">
        <f>Github!H$2097</f>
        <v>Algorithms</v>
      </c>
      <c r="H2098" s="17" t="b">
        <f>Github!D$2097</f>
        <v>0</v>
      </c>
      <c r="I2098" s="17" t="str">
        <f>Github!E$2097</f>
        <v>Medium</v>
      </c>
      <c r="J2098" s="17" t="str">
        <f>ROUND(Github!N$2097, 2)&amp;"%"</f>
        <v>0%</v>
      </c>
      <c r="K2098" s="17">
        <f>Github!O$2097</f>
        <v>47.76657899</v>
      </c>
      <c r="L2098" s="17">
        <f>Github!P$2097</f>
        <v>20516</v>
      </c>
    </row>
    <row r="2099">
      <c r="A2099" s="17">
        <f>Github!J$2098</f>
        <v>2097</v>
      </c>
      <c r="B2099" s="34" t="str">
        <f>HYPERLINK(CONCAT("http://leetcode.com/problems/",Github!C$2098), Github!B$2098)</f>
        <v>Valid Arrangement of Pairs</v>
      </c>
      <c r="C2099" s="17">
        <f>Github!F$2098</f>
        <v>229</v>
      </c>
      <c r="D2099" s="17">
        <f>Github!G$2098</f>
        <v>10</v>
      </c>
      <c r="E2099" s="17">
        <f>Github!F$2098+Github!G$2098</f>
        <v>239</v>
      </c>
      <c r="F2099" s="18">
        <f t="shared" si="1"/>
        <v>22.9</v>
      </c>
      <c r="G2099" s="17" t="str">
        <f>Github!H$2098</f>
        <v>Algorithms</v>
      </c>
      <c r="H2099" s="17" t="b">
        <f>Github!D$2098</f>
        <v>0</v>
      </c>
      <c r="I2099" s="17" t="str">
        <f>Github!E$2098</f>
        <v>Hard</v>
      </c>
      <c r="J2099" s="17" t="str">
        <f>ROUND(Github!N$2098, 2)&amp;"%"</f>
        <v>0%</v>
      </c>
      <c r="K2099" s="17">
        <f>Github!O$2098</f>
        <v>39.9733511</v>
      </c>
      <c r="L2099" s="17">
        <f>Github!P$2098</f>
        <v>4200</v>
      </c>
    </row>
    <row r="2100">
      <c r="A2100" s="17">
        <f>Github!J$2099</f>
        <v>2098</v>
      </c>
      <c r="B2100" s="34" t="str">
        <f>HYPERLINK(CONCAT("http://leetcode.com/problems/",Github!C$2099), Github!B$2099)</f>
        <v>Subsequence of Size K With the Largest Even Sum</v>
      </c>
      <c r="C2100" s="17">
        <f>Github!F$2099</f>
        <v>24</v>
      </c>
      <c r="D2100" s="17">
        <f>Github!G$2099</f>
        <v>1</v>
      </c>
      <c r="E2100" s="17">
        <f>Github!F$2099+Github!G$2099</f>
        <v>25</v>
      </c>
      <c r="F2100" s="18">
        <f t="shared" si="1"/>
        <v>24</v>
      </c>
      <c r="G2100" s="17" t="str">
        <f>Github!H$2099</f>
        <v>Algorithms</v>
      </c>
      <c r="H2100" s="17" t="b">
        <f>Github!D$2099</f>
        <v>1</v>
      </c>
      <c r="I2100" s="17" t="str">
        <f>Github!E$2099</f>
        <v>Medium</v>
      </c>
      <c r="J2100" s="17" t="str">
        <f>ROUND(Github!N$2099, 2)&amp;"%"</f>
        <v>0%</v>
      </c>
      <c r="K2100" s="17">
        <f>Github!O$2099</f>
        <v>40.55674518</v>
      </c>
      <c r="L2100" s="17">
        <f>Github!P$2099</f>
        <v>947</v>
      </c>
    </row>
    <row r="2101">
      <c r="A2101" s="17">
        <f>Github!J$2100</f>
        <v>2099</v>
      </c>
      <c r="B2101" s="34" t="str">
        <f>HYPERLINK(CONCAT("http://leetcode.com/problems/",Github!C$2100), Github!B$2100)</f>
        <v>Find Subsequence of Length K With the Largest Sum</v>
      </c>
      <c r="C2101" s="17">
        <f>Github!F$2100</f>
        <v>359</v>
      </c>
      <c r="D2101" s="17">
        <f>Github!G$2100</f>
        <v>27</v>
      </c>
      <c r="E2101" s="17">
        <f>Github!F$2100+Github!G$2100</f>
        <v>386</v>
      </c>
      <c r="F2101" s="18">
        <f t="shared" si="1"/>
        <v>13.3</v>
      </c>
      <c r="G2101" s="17" t="str">
        <f>Github!H$2100</f>
        <v>Algorithms</v>
      </c>
      <c r="H2101" s="17" t="b">
        <f>Github!D$2100</f>
        <v>0</v>
      </c>
      <c r="I2101" s="17" t="str">
        <f>Github!E$2100</f>
        <v>Easy</v>
      </c>
      <c r="J2101" s="17" t="str">
        <f>ROUND(Github!N$2100, 2)&amp;"%"</f>
        <v>0%</v>
      </c>
      <c r="K2101" s="17">
        <f>Github!O$2100</f>
        <v>44.09331074</v>
      </c>
      <c r="L2101" s="17">
        <f>Github!P$2100</f>
        <v>13269</v>
      </c>
    </row>
    <row r="2102">
      <c r="A2102" s="17">
        <f>Github!J$2101</f>
        <v>2100</v>
      </c>
      <c r="B2102" s="34" t="str">
        <f>HYPERLINK(CONCAT("http://leetcode.com/problems/",Github!C$2101), Github!B$2101)</f>
        <v>Find Good Days to Rob the Bank</v>
      </c>
      <c r="C2102" s="17">
        <f>Github!F$2101</f>
        <v>288</v>
      </c>
      <c r="D2102" s="17">
        <f>Github!G$2101</f>
        <v>14</v>
      </c>
      <c r="E2102" s="17">
        <f>Github!F$2101+Github!G$2101</f>
        <v>302</v>
      </c>
      <c r="F2102" s="18">
        <f t="shared" si="1"/>
        <v>20.57</v>
      </c>
      <c r="G2102" s="17" t="str">
        <f>Github!H$2101</f>
        <v>Algorithms</v>
      </c>
      <c r="H2102" s="17" t="b">
        <f>Github!D$2101</f>
        <v>0</v>
      </c>
      <c r="I2102" s="17" t="str">
        <f>Github!E$2101</f>
        <v>Medium</v>
      </c>
      <c r="J2102" s="17" t="str">
        <f>ROUND(Github!N$2101, 2)&amp;"%"</f>
        <v>0%</v>
      </c>
      <c r="K2102" s="17">
        <f>Github!O$2101</f>
        <v>46.3924293</v>
      </c>
      <c r="L2102" s="17">
        <f>Github!P$2101</f>
        <v>8480</v>
      </c>
    </row>
    <row r="2103">
      <c r="A2103" s="17">
        <f>Github!J$2102</f>
        <v>2101</v>
      </c>
      <c r="B2103" s="34" t="str">
        <f>HYPERLINK(CONCAT("http://leetcode.com/problems/",Github!C$2102), Github!B$2102)</f>
        <v>Detonate the Maximum Bombs</v>
      </c>
      <c r="C2103" s="17">
        <f>Github!F$2102</f>
        <v>331</v>
      </c>
      <c r="D2103" s="17">
        <f>Github!G$2102</f>
        <v>39</v>
      </c>
      <c r="E2103" s="17">
        <f>Github!F$2102+Github!G$2102</f>
        <v>370</v>
      </c>
      <c r="F2103" s="18">
        <f t="shared" si="1"/>
        <v>8.49</v>
      </c>
      <c r="G2103" s="17" t="str">
        <f>Github!H$2102</f>
        <v>Algorithms</v>
      </c>
      <c r="H2103" s="17" t="b">
        <f>Github!D$2102</f>
        <v>0</v>
      </c>
      <c r="I2103" s="17" t="str">
        <f>Github!E$2102</f>
        <v>Medium</v>
      </c>
      <c r="J2103" s="17" t="str">
        <f>ROUND(Github!N$2102, 2)&amp;"%"</f>
        <v>0%</v>
      </c>
      <c r="K2103" s="17">
        <f>Github!O$2102</f>
        <v>39.79078929</v>
      </c>
      <c r="L2103" s="17">
        <f>Github!P$2102</f>
        <v>8787</v>
      </c>
    </row>
    <row r="2104">
      <c r="A2104" s="17">
        <f>Github!J$2103</f>
        <v>2102</v>
      </c>
      <c r="B2104" s="34" t="str">
        <f>HYPERLINK(CONCAT("http://leetcode.com/problems/",Github!C$2103), Github!B$2103)</f>
        <v>Sequentially Ordinal Rank Tracker</v>
      </c>
      <c r="C2104" s="17">
        <f>Github!F$2103</f>
        <v>107</v>
      </c>
      <c r="D2104" s="17">
        <f>Github!G$2103</f>
        <v>24</v>
      </c>
      <c r="E2104" s="17">
        <f>Github!F$2103+Github!G$2103</f>
        <v>131</v>
      </c>
      <c r="F2104" s="18">
        <f t="shared" si="1"/>
        <v>4.46</v>
      </c>
      <c r="G2104" s="17" t="str">
        <f>Github!H$2103</f>
        <v>Algorithms</v>
      </c>
      <c r="H2104" s="17" t="b">
        <f>Github!D$2103</f>
        <v>0</v>
      </c>
      <c r="I2104" s="17" t="str">
        <f>Github!E$2103</f>
        <v>Hard</v>
      </c>
      <c r="J2104" s="17" t="str">
        <f>ROUND(Github!N$2103, 2)&amp;"%"</f>
        <v>0%</v>
      </c>
      <c r="K2104" s="17">
        <f>Github!O$2103</f>
        <v>61.02941176</v>
      </c>
      <c r="L2104" s="17">
        <f>Github!P$2103</f>
        <v>3486</v>
      </c>
    </row>
    <row r="2105">
      <c r="A2105" s="17">
        <f>Github!J$2104</f>
        <v>2103</v>
      </c>
      <c r="B2105" s="34" t="str">
        <f>HYPERLINK(CONCAT("http://leetcode.com/problems/",Github!C$2104), Github!B$2104)</f>
        <v>Rings and Rods</v>
      </c>
      <c r="C2105" s="17">
        <f>Github!F$2104</f>
        <v>315</v>
      </c>
      <c r="D2105" s="17">
        <f>Github!G$2104</f>
        <v>9</v>
      </c>
      <c r="E2105" s="17">
        <f>Github!F$2104+Github!G$2104</f>
        <v>324</v>
      </c>
      <c r="F2105" s="18">
        <f t="shared" si="1"/>
        <v>35</v>
      </c>
      <c r="G2105" s="17" t="str">
        <f>Github!H$2104</f>
        <v>Algorithms</v>
      </c>
      <c r="H2105" s="17" t="b">
        <f>Github!D$2104</f>
        <v>0</v>
      </c>
      <c r="I2105" s="17" t="str">
        <f>Github!E$2104</f>
        <v>Easy</v>
      </c>
      <c r="J2105" s="17" t="str">
        <f>ROUND(Github!N$2104, 2)&amp;"%"</f>
        <v>0%</v>
      </c>
      <c r="K2105" s="17">
        <f>Github!O$2104</f>
        <v>81.81579293</v>
      </c>
      <c r="L2105" s="17">
        <f>Github!P$2104</f>
        <v>24900</v>
      </c>
    </row>
    <row r="2106">
      <c r="A2106" s="17">
        <f>Github!J$2105</f>
        <v>2104</v>
      </c>
      <c r="B2106" s="34" t="str">
        <f>HYPERLINK(CONCAT("http://leetcode.com/problems/",Github!C$2105), Github!B$2105)</f>
        <v>Sum of Subarray Ranges</v>
      </c>
      <c r="C2106" s="17">
        <f>Github!F$2105</f>
        <v>505</v>
      </c>
      <c r="D2106" s="17">
        <f>Github!G$2105</f>
        <v>19</v>
      </c>
      <c r="E2106" s="17">
        <f>Github!F$2105+Github!G$2105</f>
        <v>524</v>
      </c>
      <c r="F2106" s="18">
        <f t="shared" si="1"/>
        <v>26.58</v>
      </c>
      <c r="G2106" s="17" t="str">
        <f>Github!H$2105</f>
        <v>Algorithms</v>
      </c>
      <c r="H2106" s="17" t="b">
        <f>Github!D$2105</f>
        <v>0</v>
      </c>
      <c r="I2106" s="17" t="str">
        <f>Github!E$2105</f>
        <v>Medium</v>
      </c>
      <c r="J2106" s="17" t="str">
        <f>ROUND(Github!N$2105, 2)&amp;"%"</f>
        <v>0%</v>
      </c>
      <c r="K2106" s="17">
        <f>Github!O$2105</f>
        <v>59.91987916</v>
      </c>
      <c r="L2106" s="17">
        <f>Github!P$2105</f>
        <v>18245</v>
      </c>
    </row>
    <row r="2107">
      <c r="A2107" s="17">
        <f>Github!J$2106</f>
        <v>2105</v>
      </c>
      <c r="B2107" s="34" t="str">
        <f>HYPERLINK(CONCAT("http://leetcode.com/problems/",Github!C$2106), Github!B$2106)</f>
        <v>Watering Plants II</v>
      </c>
      <c r="C2107" s="17">
        <f>Github!F$2106</f>
        <v>106</v>
      </c>
      <c r="D2107" s="17">
        <f>Github!G$2106</f>
        <v>114</v>
      </c>
      <c r="E2107" s="17">
        <f>Github!F$2106+Github!G$2106</f>
        <v>220</v>
      </c>
      <c r="F2107" s="18">
        <f t="shared" si="1"/>
        <v>0.93</v>
      </c>
      <c r="G2107" s="17" t="str">
        <f>Github!H$2106</f>
        <v>Algorithms</v>
      </c>
      <c r="H2107" s="17" t="b">
        <f>Github!D$2106</f>
        <v>0</v>
      </c>
      <c r="I2107" s="17" t="str">
        <f>Github!E$2106</f>
        <v>Medium</v>
      </c>
      <c r="J2107" s="17" t="str">
        <f>ROUND(Github!N$2106, 2)&amp;"%"</f>
        <v>0%</v>
      </c>
      <c r="K2107" s="17">
        <f>Github!O$2106</f>
        <v>51.33074087</v>
      </c>
      <c r="L2107" s="17">
        <f>Github!P$2106</f>
        <v>10164</v>
      </c>
    </row>
    <row r="2108">
      <c r="A2108" s="17">
        <f>Github!J$2107</f>
        <v>2106</v>
      </c>
      <c r="B2108" s="34" t="str">
        <f>HYPERLINK(CONCAT("http://leetcode.com/problems/",Github!C$2107), Github!B$2107)</f>
        <v>Maximum Fruits Harvested After at Most K Steps</v>
      </c>
      <c r="C2108" s="17">
        <f>Github!F$2107</f>
        <v>241</v>
      </c>
      <c r="D2108" s="17">
        <f>Github!G$2107</f>
        <v>14</v>
      </c>
      <c r="E2108" s="17">
        <f>Github!F$2107+Github!G$2107</f>
        <v>255</v>
      </c>
      <c r="F2108" s="18">
        <f t="shared" si="1"/>
        <v>17.21</v>
      </c>
      <c r="G2108" s="17" t="str">
        <f>Github!H$2107</f>
        <v>Algorithms</v>
      </c>
      <c r="H2108" s="17" t="b">
        <f>Github!D$2107</f>
        <v>0</v>
      </c>
      <c r="I2108" s="17" t="str">
        <f>Github!E$2107</f>
        <v>Hard</v>
      </c>
      <c r="J2108" s="17" t="str">
        <f>ROUND(Github!N$2107, 2)&amp;"%"</f>
        <v>0%</v>
      </c>
      <c r="K2108" s="17">
        <f>Github!O$2107</f>
        <v>35.04878629</v>
      </c>
      <c r="L2108" s="17">
        <f>Github!P$2107</f>
        <v>5891</v>
      </c>
    </row>
    <row r="2109">
      <c r="A2109" s="17">
        <f>Github!J$2108</f>
        <v>2107</v>
      </c>
      <c r="B2109" s="34" t="str">
        <f>HYPERLINK(CONCAT("http://leetcode.com/problems/",Github!C$2108), Github!B$2108)</f>
        <v>Number of Unique Flavors After Sharing K Candies</v>
      </c>
      <c r="C2109" s="17">
        <f>Github!F$2108</f>
        <v>38</v>
      </c>
      <c r="D2109" s="17">
        <f>Github!G$2108</f>
        <v>0</v>
      </c>
      <c r="E2109" s="17">
        <f>Github!F$2108+Github!G$2108</f>
        <v>38</v>
      </c>
      <c r="F2109" s="18" t="str">
        <f t="shared" si="1"/>
        <v>#DIV/0!</v>
      </c>
      <c r="G2109" s="17" t="str">
        <f>Github!H$2108</f>
        <v>Algorithms</v>
      </c>
      <c r="H2109" s="17" t="b">
        <f>Github!D$2108</f>
        <v>1</v>
      </c>
      <c r="I2109" s="17" t="str">
        <f>Github!E$2108</f>
        <v>Medium</v>
      </c>
      <c r="J2109" s="17" t="str">
        <f>ROUND(Github!N$2108, 2)&amp;"%"</f>
        <v>0%</v>
      </c>
      <c r="K2109" s="17">
        <f>Github!O$2108</f>
        <v>58.40945728</v>
      </c>
      <c r="L2109" s="17">
        <f>Github!P$2108</f>
        <v>1087</v>
      </c>
    </row>
    <row r="2110">
      <c r="A2110" s="17">
        <f>Github!J$2109</f>
        <v>2108</v>
      </c>
      <c r="B2110" s="34" t="str">
        <f>HYPERLINK(CONCAT("http://leetcode.com/problems/",Github!C$2109), Github!B$2109)</f>
        <v>Find First Palindromic String in the Array</v>
      </c>
      <c r="C2110" s="17">
        <f>Github!F$2109</f>
        <v>281</v>
      </c>
      <c r="D2110" s="17">
        <f>Github!G$2109</f>
        <v>9</v>
      </c>
      <c r="E2110" s="17">
        <f>Github!F$2109+Github!G$2109</f>
        <v>290</v>
      </c>
      <c r="F2110" s="18">
        <f t="shared" si="1"/>
        <v>31.22</v>
      </c>
      <c r="G2110" s="17" t="str">
        <f>Github!H$2109</f>
        <v>Algorithms</v>
      </c>
      <c r="H2110" s="17" t="b">
        <f>Github!D$2109</f>
        <v>0</v>
      </c>
      <c r="I2110" s="17" t="str">
        <f>Github!E$2109</f>
        <v>Easy</v>
      </c>
      <c r="J2110" s="17" t="str">
        <f>ROUND(Github!N$2109, 2)&amp;"%"</f>
        <v>0%</v>
      </c>
      <c r="K2110" s="17">
        <f>Github!O$2109</f>
        <v>80.00643249</v>
      </c>
      <c r="L2110" s="17">
        <f>Github!P$2109</f>
        <v>34822</v>
      </c>
    </row>
    <row r="2111">
      <c r="A2111" s="17">
        <f>Github!J$2110</f>
        <v>2109</v>
      </c>
      <c r="B2111" s="34" t="str">
        <f>HYPERLINK(CONCAT("http://leetcode.com/problems/",Github!C$2110), Github!B$2110)</f>
        <v>Adding Spaces to a String</v>
      </c>
      <c r="C2111" s="17">
        <f>Github!F$2110</f>
        <v>226</v>
      </c>
      <c r="D2111" s="17">
        <f>Github!G$2110</f>
        <v>22</v>
      </c>
      <c r="E2111" s="17">
        <f>Github!F$2110+Github!G$2110</f>
        <v>248</v>
      </c>
      <c r="F2111" s="18">
        <f t="shared" si="1"/>
        <v>10.27</v>
      </c>
      <c r="G2111" s="17" t="str">
        <f>Github!H$2110</f>
        <v>Algorithms</v>
      </c>
      <c r="H2111" s="17" t="b">
        <f>Github!D$2110</f>
        <v>0</v>
      </c>
      <c r="I2111" s="17" t="str">
        <f>Github!E$2110</f>
        <v>Medium</v>
      </c>
      <c r="J2111" s="17" t="str">
        <f>ROUND(Github!N$2110, 2)&amp;"%"</f>
        <v>0%</v>
      </c>
      <c r="K2111" s="17">
        <f>Github!O$2110</f>
        <v>55.85429561</v>
      </c>
      <c r="L2111" s="17">
        <f>Github!P$2110</f>
        <v>19672</v>
      </c>
    </row>
    <row r="2112">
      <c r="A2112" s="17">
        <f>Github!J$2111</f>
        <v>2110</v>
      </c>
      <c r="B2112" s="34" t="str">
        <f>HYPERLINK(CONCAT("http://leetcode.com/problems/",Github!C$2111), Github!B$2111)</f>
        <v>Number of Smooth Descent Periods of a Stock</v>
      </c>
      <c r="C2112" s="17">
        <f>Github!F$2111</f>
        <v>296</v>
      </c>
      <c r="D2112" s="17">
        <f>Github!G$2111</f>
        <v>10</v>
      </c>
      <c r="E2112" s="17">
        <f>Github!F$2111+Github!G$2111</f>
        <v>306</v>
      </c>
      <c r="F2112" s="18">
        <f t="shared" si="1"/>
        <v>29.6</v>
      </c>
      <c r="G2112" s="17" t="str">
        <f>Github!H$2111</f>
        <v>Algorithms</v>
      </c>
      <c r="H2112" s="17" t="b">
        <f>Github!D$2111</f>
        <v>0</v>
      </c>
      <c r="I2112" s="17" t="str">
        <f>Github!E$2111</f>
        <v>Medium</v>
      </c>
      <c r="J2112" s="17" t="str">
        <f>ROUND(Github!N$2111, 2)&amp;"%"</f>
        <v>0%</v>
      </c>
      <c r="K2112" s="17">
        <f>Github!O$2111</f>
        <v>54.9235213</v>
      </c>
      <c r="L2112" s="17">
        <f>Github!P$2111</f>
        <v>16733</v>
      </c>
    </row>
    <row r="2113">
      <c r="A2113" s="17">
        <f>Github!J$2112</f>
        <v>2111</v>
      </c>
      <c r="B2113" s="34" t="str">
        <f>HYPERLINK(CONCAT("http://leetcode.com/problems/",Github!C$2112), Github!B$2112)</f>
        <v>Minimum Operations to Make the Array K-Increasing</v>
      </c>
      <c r="C2113" s="17">
        <f>Github!F$2112</f>
        <v>452</v>
      </c>
      <c r="D2113" s="17">
        <f>Github!G$2112</f>
        <v>8</v>
      </c>
      <c r="E2113" s="17">
        <f>Github!F$2112+Github!G$2112</f>
        <v>460</v>
      </c>
      <c r="F2113" s="18">
        <f t="shared" si="1"/>
        <v>56.5</v>
      </c>
      <c r="G2113" s="17" t="str">
        <f>Github!H$2112</f>
        <v>Algorithms</v>
      </c>
      <c r="H2113" s="17" t="b">
        <f>Github!D$2112</f>
        <v>0</v>
      </c>
      <c r="I2113" s="17" t="str">
        <f>Github!E$2112</f>
        <v>Hard</v>
      </c>
      <c r="J2113" s="17" t="str">
        <f>ROUND(Github!N$2112, 2)&amp;"%"</f>
        <v>0%</v>
      </c>
      <c r="K2113" s="17">
        <f>Github!O$2112</f>
        <v>35.93595838</v>
      </c>
      <c r="L2113" s="17">
        <f>Github!P$2112</f>
        <v>8013</v>
      </c>
    </row>
    <row r="2114">
      <c r="A2114" s="17">
        <f>Github!J$2113</f>
        <v>2112</v>
      </c>
      <c r="B2114" s="34" t="str">
        <f>HYPERLINK(CONCAT("http://leetcode.com/problems/",Github!C$2113), Github!B$2113)</f>
        <v>The Airport With the Most Traffic</v>
      </c>
      <c r="C2114" s="17">
        <f>Github!F$2113</f>
        <v>14</v>
      </c>
      <c r="D2114" s="17">
        <f>Github!G$2113</f>
        <v>4</v>
      </c>
      <c r="E2114" s="17">
        <f>Github!F$2113+Github!G$2113</f>
        <v>18</v>
      </c>
      <c r="F2114" s="18">
        <f t="shared" si="1"/>
        <v>3.5</v>
      </c>
      <c r="G2114" s="17" t="str">
        <f>Github!H$2113</f>
        <v>Database</v>
      </c>
      <c r="H2114" s="17" t="b">
        <f>Github!D$2113</f>
        <v>1</v>
      </c>
      <c r="I2114" s="17" t="str">
        <f>Github!E$2113</f>
        <v>Medium</v>
      </c>
      <c r="J2114" s="17" t="str">
        <f>ROUND(Github!N$2113, 2)&amp;"%"</f>
        <v>0%</v>
      </c>
      <c r="K2114" s="17">
        <f>Github!O$2113</f>
        <v>67.86396637</v>
      </c>
      <c r="L2114" s="17">
        <f>Github!P$2113</f>
        <v>1776</v>
      </c>
    </row>
    <row r="2115">
      <c r="A2115" s="17">
        <f>Github!J$2114</f>
        <v>2113</v>
      </c>
      <c r="B2115" s="34" t="str">
        <f>HYPERLINK(CONCAT("http://leetcode.com/problems/",Github!C$2114), Github!B$2114)</f>
        <v>Elements in Array After Removing and Replacing Elements</v>
      </c>
      <c r="C2115" s="17">
        <f>Github!F$2114</f>
        <v>34</v>
      </c>
      <c r="D2115" s="17">
        <f>Github!G$2114</f>
        <v>5</v>
      </c>
      <c r="E2115" s="17">
        <f>Github!F$2114+Github!G$2114</f>
        <v>39</v>
      </c>
      <c r="F2115" s="18">
        <f t="shared" si="1"/>
        <v>6.8</v>
      </c>
      <c r="G2115" s="17" t="str">
        <f>Github!H$2114</f>
        <v>Algorithms</v>
      </c>
      <c r="H2115" s="17" t="b">
        <f>Github!D$2114</f>
        <v>1</v>
      </c>
      <c r="I2115" s="17" t="str">
        <f>Github!E$2114</f>
        <v>Medium</v>
      </c>
      <c r="J2115" s="17" t="str">
        <f>ROUND(Github!N$2114, 2)&amp;"%"</f>
        <v>0%</v>
      </c>
      <c r="K2115" s="17">
        <f>Github!O$2114</f>
        <v>73.74551971</v>
      </c>
      <c r="L2115" s="17">
        <f>Github!P$2114</f>
        <v>823</v>
      </c>
    </row>
    <row r="2116">
      <c r="A2116" s="17">
        <f>Github!J$2115</f>
        <v>2114</v>
      </c>
      <c r="B2116" s="34" t="str">
        <f>HYPERLINK(CONCAT("http://leetcode.com/problems/",Github!C$2115), Github!B$2115)</f>
        <v>Maximum Number of Words Found in Sentences</v>
      </c>
      <c r="C2116" s="17">
        <f>Github!F$2115</f>
        <v>402</v>
      </c>
      <c r="D2116" s="17">
        <f>Github!G$2115</f>
        <v>15</v>
      </c>
      <c r="E2116" s="17">
        <f>Github!F$2115+Github!G$2115</f>
        <v>417</v>
      </c>
      <c r="F2116" s="18">
        <f t="shared" si="1"/>
        <v>26.8</v>
      </c>
      <c r="G2116" s="17" t="str">
        <f>Github!H$2115</f>
        <v>Algorithms</v>
      </c>
      <c r="H2116" s="17" t="b">
        <f>Github!D$2115</f>
        <v>0</v>
      </c>
      <c r="I2116" s="17" t="str">
        <f>Github!E$2115</f>
        <v>Easy</v>
      </c>
      <c r="J2116" s="17" t="str">
        <f>ROUND(Github!N$2115, 2)&amp;"%"</f>
        <v>0%</v>
      </c>
      <c r="K2116" s="17">
        <f>Github!O$2115</f>
        <v>89.18938728</v>
      </c>
      <c r="L2116" s="17">
        <f>Github!P$2115</f>
        <v>48672</v>
      </c>
    </row>
    <row r="2117">
      <c r="A2117" s="17">
        <f>Github!J$2116</f>
        <v>2115</v>
      </c>
      <c r="B2117" s="34" t="str">
        <f>HYPERLINK(CONCAT("http://leetcode.com/problems/",Github!C$2116), Github!B$2116)</f>
        <v>Find All Possible Recipes from Given Supplies</v>
      </c>
      <c r="C2117" s="17">
        <f>Github!F$2116</f>
        <v>489</v>
      </c>
      <c r="D2117" s="17">
        <f>Github!G$2116</f>
        <v>38</v>
      </c>
      <c r="E2117" s="17">
        <f>Github!F$2116+Github!G$2116</f>
        <v>527</v>
      </c>
      <c r="F2117" s="18">
        <f t="shared" si="1"/>
        <v>12.87</v>
      </c>
      <c r="G2117" s="17" t="str">
        <f>Github!H$2116</f>
        <v>Algorithms</v>
      </c>
      <c r="H2117" s="17" t="b">
        <f>Github!D$2116</f>
        <v>0</v>
      </c>
      <c r="I2117" s="17" t="str">
        <f>Github!E$2116</f>
        <v>Medium</v>
      </c>
      <c r="J2117" s="17" t="str">
        <f>ROUND(Github!N$2116, 2)&amp;"%"</f>
        <v>0%</v>
      </c>
      <c r="K2117" s="17">
        <f>Github!O$2116</f>
        <v>39.39925681</v>
      </c>
      <c r="L2117" s="17">
        <f>Github!P$2116</f>
        <v>15267</v>
      </c>
    </row>
    <row r="2118">
      <c r="A2118" s="17">
        <f>Github!J$2117</f>
        <v>2116</v>
      </c>
      <c r="B2118" s="34" t="str">
        <f>HYPERLINK(CONCAT("http://leetcode.com/problems/",Github!C$2117), Github!B$2117)</f>
        <v>Check if a Parentheses String Can Be Valid</v>
      </c>
      <c r="C2118" s="17">
        <f>Github!F$2117</f>
        <v>365</v>
      </c>
      <c r="D2118" s="17">
        <f>Github!G$2117</f>
        <v>13</v>
      </c>
      <c r="E2118" s="17">
        <f>Github!F$2117+Github!G$2117</f>
        <v>378</v>
      </c>
      <c r="F2118" s="18">
        <f t="shared" si="1"/>
        <v>28.08</v>
      </c>
      <c r="G2118" s="17" t="str">
        <f>Github!H$2117</f>
        <v>Algorithms</v>
      </c>
      <c r="H2118" s="17" t="b">
        <f>Github!D$2117</f>
        <v>0</v>
      </c>
      <c r="I2118" s="17" t="str">
        <f>Github!E$2117</f>
        <v>Medium</v>
      </c>
      <c r="J2118" s="17" t="str">
        <f>ROUND(Github!N$2117, 2)&amp;"%"</f>
        <v>0%</v>
      </c>
      <c r="K2118" s="17">
        <f>Github!O$2117</f>
        <v>31.17681899</v>
      </c>
      <c r="L2118" s="17">
        <f>Github!P$2117</f>
        <v>6841</v>
      </c>
    </row>
    <row r="2119">
      <c r="A2119" s="17">
        <f>Github!J$2118</f>
        <v>2117</v>
      </c>
      <c r="B2119" s="34" t="str">
        <f>HYPERLINK(CONCAT("http://leetcode.com/problems/",Github!C$2118), Github!B$2118)</f>
        <v>Abbreviating the Product of a Range</v>
      </c>
      <c r="C2119" s="17">
        <f>Github!F$2118</f>
        <v>51</v>
      </c>
      <c r="D2119" s="17">
        <f>Github!G$2118</f>
        <v>89</v>
      </c>
      <c r="E2119" s="17">
        <f>Github!F$2118+Github!G$2118</f>
        <v>140</v>
      </c>
      <c r="F2119" s="18">
        <f t="shared" si="1"/>
        <v>0.57</v>
      </c>
      <c r="G2119" s="17" t="str">
        <f>Github!H$2118</f>
        <v>Algorithms</v>
      </c>
      <c r="H2119" s="17" t="b">
        <f>Github!D$2118</f>
        <v>0</v>
      </c>
      <c r="I2119" s="17" t="str">
        <f>Github!E$2118</f>
        <v>Hard</v>
      </c>
      <c r="J2119" s="17" t="str">
        <f>ROUND(Github!N$2118, 2)&amp;"%"</f>
        <v>0%</v>
      </c>
      <c r="K2119" s="17">
        <f>Github!O$2118</f>
        <v>28.25775656</v>
      </c>
      <c r="L2119" s="17">
        <f>Github!P$2118</f>
        <v>1776</v>
      </c>
    </row>
    <row r="2120">
      <c r="A2120" s="17">
        <f>Github!J$2119</f>
        <v>2118</v>
      </c>
      <c r="B2120" s="34" t="str">
        <f>HYPERLINK(CONCAT("http://leetcode.com/problems/",Github!C$2119), Github!B$2119)</f>
        <v>Build the Equation</v>
      </c>
      <c r="C2120" s="17">
        <f>Github!F$2119</f>
        <v>9</v>
      </c>
      <c r="D2120" s="17">
        <f>Github!G$2119</f>
        <v>13</v>
      </c>
      <c r="E2120" s="17">
        <f>Github!F$2119+Github!G$2119</f>
        <v>22</v>
      </c>
      <c r="F2120" s="18">
        <f t="shared" si="1"/>
        <v>0.69</v>
      </c>
      <c r="G2120" s="17" t="str">
        <f>Github!H$2119</f>
        <v>Database</v>
      </c>
      <c r="H2120" s="17" t="b">
        <f>Github!D$2119</f>
        <v>1</v>
      </c>
      <c r="I2120" s="17" t="str">
        <f>Github!E$2119</f>
        <v>Hard</v>
      </c>
      <c r="J2120" s="17" t="str">
        <f>ROUND(Github!N$2119, 2)&amp;"%"</f>
        <v>0%</v>
      </c>
      <c r="K2120" s="17">
        <f>Github!O$2119</f>
        <v>57.81071836</v>
      </c>
      <c r="L2120" s="17">
        <f>Github!P$2119</f>
        <v>507</v>
      </c>
    </row>
    <row r="2121">
      <c r="A2121" s="17">
        <f>Github!J$2120</f>
        <v>2119</v>
      </c>
      <c r="B2121" s="34" t="str">
        <f>HYPERLINK(CONCAT("http://leetcode.com/problems/",Github!C$2120), Github!B$2120)</f>
        <v>A Number After a Double Reversal</v>
      </c>
      <c r="C2121" s="17">
        <f>Github!F$2120</f>
        <v>197</v>
      </c>
      <c r="D2121" s="17">
        <f>Github!G$2120</f>
        <v>14</v>
      </c>
      <c r="E2121" s="17">
        <f>Github!F$2120+Github!G$2120</f>
        <v>211</v>
      </c>
      <c r="F2121" s="18">
        <f t="shared" si="1"/>
        <v>14.07</v>
      </c>
      <c r="G2121" s="17" t="str">
        <f>Github!H$2120</f>
        <v>Algorithms</v>
      </c>
      <c r="H2121" s="17" t="b">
        <f>Github!D$2120</f>
        <v>0</v>
      </c>
      <c r="I2121" s="17" t="str">
        <f>Github!E$2120</f>
        <v>Easy</v>
      </c>
      <c r="J2121" s="17" t="str">
        <f>ROUND(Github!N$2120, 2)&amp;"%"</f>
        <v>0%</v>
      </c>
      <c r="K2121" s="17">
        <f>Github!O$2120</f>
        <v>77.16497495</v>
      </c>
      <c r="L2121" s="17">
        <f>Github!P$2120</f>
        <v>24022</v>
      </c>
    </row>
    <row r="2122">
      <c r="A2122" s="17">
        <f>Github!J$2121</f>
        <v>2120</v>
      </c>
      <c r="B2122" s="34" t="str">
        <f>HYPERLINK(CONCAT("http://leetcode.com/problems/",Github!C$2121), Github!B$2121)</f>
        <v>Execution of All Suffix Instructions Staying in a Grid</v>
      </c>
      <c r="C2122" s="17">
        <f>Github!F$2121</f>
        <v>224</v>
      </c>
      <c r="D2122" s="17">
        <f>Github!G$2121</f>
        <v>22</v>
      </c>
      <c r="E2122" s="17">
        <f>Github!F$2121+Github!G$2121</f>
        <v>246</v>
      </c>
      <c r="F2122" s="18">
        <f t="shared" si="1"/>
        <v>10.18</v>
      </c>
      <c r="G2122" s="17" t="str">
        <f>Github!H$2121</f>
        <v>Algorithms</v>
      </c>
      <c r="H2122" s="17" t="b">
        <f>Github!D$2121</f>
        <v>0</v>
      </c>
      <c r="I2122" s="17" t="str">
        <f>Github!E$2121</f>
        <v>Medium</v>
      </c>
      <c r="J2122" s="17" t="str">
        <f>ROUND(Github!N$2121, 2)&amp;"%"</f>
        <v>0%</v>
      </c>
      <c r="K2122" s="17">
        <f>Github!O$2121</f>
        <v>82.91808459</v>
      </c>
      <c r="L2122" s="17">
        <f>Github!P$2121</f>
        <v>13645</v>
      </c>
    </row>
    <row r="2123">
      <c r="A2123" s="17">
        <f>Github!J$2122</f>
        <v>2121</v>
      </c>
      <c r="B2123" s="34" t="str">
        <f>HYPERLINK(CONCAT("http://leetcode.com/problems/",Github!C$2122), Github!B$2122)</f>
        <v>Intervals Between Identical Elements</v>
      </c>
      <c r="C2123" s="17">
        <f>Github!F$2122</f>
        <v>443</v>
      </c>
      <c r="D2123" s="17">
        <f>Github!G$2122</f>
        <v>19</v>
      </c>
      <c r="E2123" s="17">
        <f>Github!F$2122+Github!G$2122</f>
        <v>462</v>
      </c>
      <c r="F2123" s="18">
        <f t="shared" si="1"/>
        <v>23.32</v>
      </c>
      <c r="G2123" s="17" t="str">
        <f>Github!H$2122</f>
        <v>Algorithms</v>
      </c>
      <c r="H2123" s="17" t="b">
        <f>Github!D$2122</f>
        <v>0</v>
      </c>
      <c r="I2123" s="17" t="str">
        <f>Github!E$2122</f>
        <v>Medium</v>
      </c>
      <c r="J2123" s="17" t="str">
        <f>ROUND(Github!N$2122, 2)&amp;"%"</f>
        <v>0%</v>
      </c>
      <c r="K2123" s="17">
        <f>Github!O$2122</f>
        <v>41.81884292</v>
      </c>
      <c r="L2123" s="17">
        <f>Github!P$2122</f>
        <v>10349</v>
      </c>
    </row>
    <row r="2124">
      <c r="A2124" s="17">
        <f>Github!J$2123</f>
        <v>2122</v>
      </c>
      <c r="B2124" s="34" t="str">
        <f>HYPERLINK(CONCAT("http://leetcode.com/problems/",Github!C$2123), Github!B$2123)</f>
        <v>Recover the Original Array</v>
      </c>
      <c r="C2124" s="17">
        <f>Github!F$2123</f>
        <v>210</v>
      </c>
      <c r="D2124" s="17">
        <f>Github!G$2123</f>
        <v>26</v>
      </c>
      <c r="E2124" s="17">
        <f>Github!F$2123+Github!G$2123</f>
        <v>236</v>
      </c>
      <c r="F2124" s="18">
        <f t="shared" si="1"/>
        <v>8.08</v>
      </c>
      <c r="G2124" s="17" t="str">
        <f>Github!H$2123</f>
        <v>Algorithms</v>
      </c>
      <c r="H2124" s="17" t="b">
        <f>Github!D$2123</f>
        <v>0</v>
      </c>
      <c r="I2124" s="17" t="str">
        <f>Github!E$2123</f>
        <v>Hard</v>
      </c>
      <c r="J2124" s="17" t="str">
        <f>ROUND(Github!N$2123, 2)&amp;"%"</f>
        <v>0%</v>
      </c>
      <c r="K2124" s="17">
        <f>Github!O$2123</f>
        <v>37.53007217</v>
      </c>
      <c r="L2124" s="17">
        <f>Github!P$2123</f>
        <v>6084</v>
      </c>
    </row>
    <row r="2125">
      <c r="A2125" s="17">
        <f>Github!J$2124</f>
        <v>2123</v>
      </c>
      <c r="B2125" s="34" t="str">
        <f>HYPERLINK(CONCAT("http://leetcode.com/problems/",Github!C$2124), Github!B$2124)</f>
        <v>Minimum Operations to Remove Adjacent Ones in Matrix</v>
      </c>
      <c r="C2125" s="17">
        <f>Github!F$2124</f>
        <v>20</v>
      </c>
      <c r="D2125" s="17">
        <f>Github!G$2124</f>
        <v>4</v>
      </c>
      <c r="E2125" s="17">
        <f>Github!F$2124+Github!G$2124</f>
        <v>24</v>
      </c>
      <c r="F2125" s="18">
        <f t="shared" si="1"/>
        <v>5</v>
      </c>
      <c r="G2125" s="17" t="str">
        <f>Github!H$2124</f>
        <v>Algorithms</v>
      </c>
      <c r="H2125" s="17" t="b">
        <f>Github!D$2124</f>
        <v>1</v>
      </c>
      <c r="I2125" s="17" t="str">
        <f>Github!E$2124</f>
        <v>Hard</v>
      </c>
      <c r="J2125" s="17" t="str">
        <f>ROUND(Github!N$2124, 2)&amp;"%"</f>
        <v>0%</v>
      </c>
      <c r="K2125" s="17">
        <f>Github!O$2124</f>
        <v>41.86295503</v>
      </c>
      <c r="L2125" s="17">
        <f>Github!P$2124</f>
        <v>391</v>
      </c>
    </row>
    <row r="2126">
      <c r="A2126" s="17">
        <f>Github!J$2125</f>
        <v>2124</v>
      </c>
      <c r="B2126" s="34" t="str">
        <f>HYPERLINK(CONCAT("http://leetcode.com/problems/",Github!C$2125), Github!B$2125)</f>
        <v>Check if All A's Appears Before All B's</v>
      </c>
      <c r="C2126" s="17">
        <f>Github!F$2125</f>
        <v>252</v>
      </c>
      <c r="D2126" s="17">
        <f>Github!G$2125</f>
        <v>2</v>
      </c>
      <c r="E2126" s="17">
        <f>Github!F$2125+Github!G$2125</f>
        <v>254</v>
      </c>
      <c r="F2126" s="18">
        <f t="shared" si="1"/>
        <v>126</v>
      </c>
      <c r="G2126" s="17" t="str">
        <f>Github!H$2125</f>
        <v>Algorithms</v>
      </c>
      <c r="H2126" s="17" t="b">
        <f>Github!D$2125</f>
        <v>0</v>
      </c>
      <c r="I2126" s="17" t="str">
        <f>Github!E$2125</f>
        <v>Easy</v>
      </c>
      <c r="J2126" s="17" t="str">
        <f>ROUND(Github!N$2125, 2)&amp;"%"</f>
        <v>0%</v>
      </c>
      <c r="K2126" s="17">
        <f>Github!O$2125</f>
        <v>72.70446418</v>
      </c>
      <c r="L2126" s="17">
        <f>Github!P$2125</f>
        <v>25211</v>
      </c>
    </row>
    <row r="2127">
      <c r="A2127" s="17">
        <f>Github!J$2126</f>
        <v>2125</v>
      </c>
      <c r="B2127" s="34" t="str">
        <f>HYPERLINK(CONCAT("http://leetcode.com/problems/",Github!C$2126), Github!B$2126)</f>
        <v>Number of Laser Beams in a Bank</v>
      </c>
      <c r="C2127" s="17">
        <f>Github!F$2126</f>
        <v>277</v>
      </c>
      <c r="D2127" s="17">
        <f>Github!G$2126</f>
        <v>21</v>
      </c>
      <c r="E2127" s="17">
        <f>Github!F$2126+Github!G$2126</f>
        <v>298</v>
      </c>
      <c r="F2127" s="18">
        <f t="shared" si="1"/>
        <v>13.19</v>
      </c>
      <c r="G2127" s="17" t="str">
        <f>Github!H$2126</f>
        <v>Algorithms</v>
      </c>
      <c r="H2127" s="17" t="b">
        <f>Github!D$2126</f>
        <v>0</v>
      </c>
      <c r="I2127" s="17" t="str">
        <f>Github!E$2126</f>
        <v>Medium</v>
      </c>
      <c r="J2127" s="17" t="str">
        <f>ROUND(Github!N$2126, 2)&amp;"%"</f>
        <v>0%</v>
      </c>
      <c r="K2127" s="17">
        <f>Github!O$2126</f>
        <v>83.36696678</v>
      </c>
      <c r="L2127" s="17">
        <f>Github!P$2126</f>
        <v>21480</v>
      </c>
    </row>
    <row r="2128">
      <c r="A2128" s="17">
        <f>Github!J$2127</f>
        <v>2126</v>
      </c>
      <c r="B2128" s="34" t="str">
        <f>HYPERLINK(CONCAT("http://leetcode.com/problems/",Github!C$2127), Github!B$2127)</f>
        <v>Destroying Asteroids</v>
      </c>
      <c r="C2128" s="17">
        <f>Github!F$2127</f>
        <v>188</v>
      </c>
      <c r="D2128" s="17">
        <f>Github!G$2127</f>
        <v>96</v>
      </c>
      <c r="E2128" s="17">
        <f>Github!F$2127+Github!G$2127</f>
        <v>284</v>
      </c>
      <c r="F2128" s="18">
        <f t="shared" si="1"/>
        <v>1.96</v>
      </c>
      <c r="G2128" s="17" t="str">
        <f>Github!H$2127</f>
        <v>Algorithms</v>
      </c>
      <c r="H2128" s="17" t="b">
        <f>Github!D$2127</f>
        <v>0</v>
      </c>
      <c r="I2128" s="17" t="str">
        <f>Github!E$2127</f>
        <v>Medium</v>
      </c>
      <c r="J2128" s="17" t="str">
        <f>ROUND(Github!N$2127, 2)&amp;"%"</f>
        <v>0%</v>
      </c>
      <c r="K2128" s="17">
        <f>Github!O$2127</f>
        <v>48.14969162</v>
      </c>
      <c r="L2128" s="17">
        <f>Github!P$2127</f>
        <v>17330</v>
      </c>
    </row>
    <row r="2129">
      <c r="A2129" s="17">
        <f>Github!J$2128</f>
        <v>2127</v>
      </c>
      <c r="B2129" s="34" t="str">
        <f>HYPERLINK(CONCAT("http://leetcode.com/problems/",Github!C$2128), Github!B$2128)</f>
        <v>Maximum Employees to Be Invited to a Meeting</v>
      </c>
      <c r="C2129" s="17">
        <f>Github!F$2128</f>
        <v>440</v>
      </c>
      <c r="D2129" s="17">
        <f>Github!G$2128</f>
        <v>5</v>
      </c>
      <c r="E2129" s="17">
        <f>Github!F$2128+Github!G$2128</f>
        <v>445</v>
      </c>
      <c r="F2129" s="18">
        <f t="shared" si="1"/>
        <v>88</v>
      </c>
      <c r="G2129" s="17" t="str">
        <f>Github!H$2128</f>
        <v>Algorithms</v>
      </c>
      <c r="H2129" s="17" t="b">
        <f>Github!D$2128</f>
        <v>0</v>
      </c>
      <c r="I2129" s="17" t="str">
        <f>Github!E$2128</f>
        <v>Hard</v>
      </c>
      <c r="J2129" s="17" t="str">
        <f>ROUND(Github!N$2128, 2)&amp;"%"</f>
        <v>0%</v>
      </c>
      <c r="K2129" s="17">
        <f>Github!O$2128</f>
        <v>29.56533719</v>
      </c>
      <c r="L2129" s="17">
        <f>Github!P$2128</f>
        <v>4292</v>
      </c>
    </row>
    <row r="2130">
      <c r="A2130" s="17">
        <f>Github!J$2129</f>
        <v>2128</v>
      </c>
      <c r="B2130" s="34" t="str">
        <f>HYPERLINK(CONCAT("http://leetcode.com/problems/",Github!C$2129), Github!B$2129)</f>
        <v>Remove All Ones With Row and Column Flips</v>
      </c>
      <c r="C2130" s="17">
        <f>Github!F$2129</f>
        <v>170</v>
      </c>
      <c r="D2130" s="17">
        <f>Github!G$2129</f>
        <v>33</v>
      </c>
      <c r="E2130" s="17">
        <f>Github!F$2129+Github!G$2129</f>
        <v>203</v>
      </c>
      <c r="F2130" s="18">
        <f t="shared" si="1"/>
        <v>5.15</v>
      </c>
      <c r="G2130" s="17" t="str">
        <f>Github!H$2129</f>
        <v>Algorithms</v>
      </c>
      <c r="H2130" s="17" t="b">
        <f>Github!D$2129</f>
        <v>1</v>
      </c>
      <c r="I2130" s="17" t="str">
        <f>Github!E$2129</f>
        <v>Medium</v>
      </c>
      <c r="J2130" s="17" t="str">
        <f>ROUND(Github!N$2129, 2)&amp;"%"</f>
        <v>0%</v>
      </c>
      <c r="K2130" s="17">
        <f>Github!O$2129</f>
        <v>76.28437433</v>
      </c>
      <c r="L2130" s="17">
        <f>Github!P$2129</f>
        <v>7157</v>
      </c>
    </row>
    <row r="2131">
      <c r="A2131" s="17">
        <f>Github!J$2130</f>
        <v>2129</v>
      </c>
      <c r="B2131" s="34" t="str">
        <f>HYPERLINK(CONCAT("http://leetcode.com/problems/",Github!C$2130), Github!B$2130)</f>
        <v>Capitalize the Title</v>
      </c>
      <c r="C2131" s="17">
        <f>Github!F$2130</f>
        <v>227</v>
      </c>
      <c r="D2131" s="17">
        <f>Github!G$2130</f>
        <v>24</v>
      </c>
      <c r="E2131" s="17">
        <f>Github!F$2130+Github!G$2130</f>
        <v>251</v>
      </c>
      <c r="F2131" s="18">
        <f t="shared" si="1"/>
        <v>9.46</v>
      </c>
      <c r="G2131" s="17" t="str">
        <f>Github!H$2130</f>
        <v>Algorithms</v>
      </c>
      <c r="H2131" s="17" t="b">
        <f>Github!D$2130</f>
        <v>0</v>
      </c>
      <c r="I2131" s="17" t="str">
        <f>Github!E$2130</f>
        <v>Easy</v>
      </c>
      <c r="J2131" s="17" t="str">
        <f>ROUND(Github!N$2130, 2)&amp;"%"</f>
        <v>0%</v>
      </c>
      <c r="K2131" s="17">
        <f>Github!O$2130</f>
        <v>59.44619069</v>
      </c>
      <c r="L2131" s="17">
        <f>Github!P$2130</f>
        <v>19858</v>
      </c>
    </row>
    <row r="2132">
      <c r="A2132" s="17">
        <f>Github!J$2131</f>
        <v>2130</v>
      </c>
      <c r="B2132" s="34" t="str">
        <f>HYPERLINK(CONCAT("http://leetcode.com/problems/",Github!C$2131), Github!B$2131)</f>
        <v>Maximum Twin Sum of a Linked List</v>
      </c>
      <c r="C2132" s="17">
        <f>Github!F$2131</f>
        <v>384</v>
      </c>
      <c r="D2132" s="17">
        <f>Github!G$2131</f>
        <v>15</v>
      </c>
      <c r="E2132" s="17">
        <f>Github!F$2131+Github!G$2131</f>
        <v>399</v>
      </c>
      <c r="F2132" s="18">
        <f t="shared" si="1"/>
        <v>25.6</v>
      </c>
      <c r="G2132" s="17" t="str">
        <f>Github!H$2131</f>
        <v>Algorithms</v>
      </c>
      <c r="H2132" s="17" t="b">
        <f>Github!D$2131</f>
        <v>0</v>
      </c>
      <c r="I2132" s="17" t="str">
        <f>Github!E$2131</f>
        <v>Medium</v>
      </c>
      <c r="J2132" s="17" t="str">
        <f>ROUND(Github!N$2131, 2)&amp;"%"</f>
        <v>0%</v>
      </c>
      <c r="K2132" s="17">
        <f>Github!O$2131</f>
        <v>82.38129496</v>
      </c>
      <c r="L2132" s="17">
        <f>Github!P$2131</f>
        <v>22896</v>
      </c>
    </row>
    <row r="2133">
      <c r="A2133" s="17">
        <f>Github!J$2132</f>
        <v>2131</v>
      </c>
      <c r="B2133" s="34" t="str">
        <f>HYPERLINK(CONCAT("http://leetcode.com/problems/",Github!C$2132), Github!B$2132)</f>
        <v>Longest Palindrome by Concatenating Two Letter Words</v>
      </c>
      <c r="C2133" s="17">
        <f>Github!F$2132</f>
        <v>353</v>
      </c>
      <c r="D2133" s="17">
        <f>Github!G$2132</f>
        <v>7</v>
      </c>
      <c r="E2133" s="17">
        <f>Github!F$2132+Github!G$2132</f>
        <v>360</v>
      </c>
      <c r="F2133" s="18">
        <f t="shared" si="1"/>
        <v>50.43</v>
      </c>
      <c r="G2133" s="17" t="str">
        <f>Github!H$2132</f>
        <v>Algorithms</v>
      </c>
      <c r="H2133" s="17" t="b">
        <f>Github!D$2132</f>
        <v>0</v>
      </c>
      <c r="I2133" s="17" t="str">
        <f>Github!E$2132</f>
        <v>Medium</v>
      </c>
      <c r="J2133" s="17" t="str">
        <f>ROUND(Github!N$2132, 2)&amp;"%"</f>
        <v>0%</v>
      </c>
      <c r="K2133" s="17">
        <f>Github!O$2132</f>
        <v>37.86888868</v>
      </c>
      <c r="L2133" s="17">
        <f>Github!P$2132</f>
        <v>11998</v>
      </c>
    </row>
    <row r="2134">
      <c r="A2134" s="17">
        <f>Github!J$2133</f>
        <v>2132</v>
      </c>
      <c r="B2134" s="34" t="str">
        <f>HYPERLINK(CONCAT("http://leetcode.com/problems/",Github!C$2133), Github!B$2133)</f>
        <v>Stamping the Grid</v>
      </c>
      <c r="C2134" s="17">
        <f>Github!F$2133</f>
        <v>199</v>
      </c>
      <c r="D2134" s="17">
        <f>Github!G$2133</f>
        <v>17</v>
      </c>
      <c r="E2134" s="17">
        <f>Github!F$2133+Github!G$2133</f>
        <v>216</v>
      </c>
      <c r="F2134" s="18">
        <f t="shared" si="1"/>
        <v>11.71</v>
      </c>
      <c r="G2134" s="17" t="str">
        <f>Github!H$2133</f>
        <v>Algorithms</v>
      </c>
      <c r="H2134" s="17" t="b">
        <f>Github!D$2133</f>
        <v>0</v>
      </c>
      <c r="I2134" s="17" t="str">
        <f>Github!E$2133</f>
        <v>Hard</v>
      </c>
      <c r="J2134" s="17" t="str">
        <f>ROUND(Github!N$2133, 2)&amp;"%"</f>
        <v>0%</v>
      </c>
      <c r="K2134" s="17">
        <f>Github!O$2133</f>
        <v>27.71094994</v>
      </c>
      <c r="L2134" s="17">
        <f>Github!P$2133</f>
        <v>3133</v>
      </c>
    </row>
    <row r="2135">
      <c r="A2135" s="17">
        <f>Github!J$2134</f>
        <v>2133</v>
      </c>
      <c r="B2135" s="34" t="str">
        <f>HYPERLINK(CONCAT("http://leetcode.com/problems/",Github!C$2134), Github!B$2134)</f>
        <v>Check if Every Row and Column Contains All Numbers</v>
      </c>
      <c r="C2135" s="17">
        <f>Github!F$2134</f>
        <v>276</v>
      </c>
      <c r="D2135" s="17">
        <f>Github!G$2134</f>
        <v>14</v>
      </c>
      <c r="E2135" s="17">
        <f>Github!F$2134+Github!G$2134</f>
        <v>290</v>
      </c>
      <c r="F2135" s="18">
        <f t="shared" si="1"/>
        <v>19.71</v>
      </c>
      <c r="G2135" s="17" t="str">
        <f>Github!H$2134</f>
        <v>Algorithms</v>
      </c>
      <c r="H2135" s="17" t="b">
        <f>Github!D$2134</f>
        <v>0</v>
      </c>
      <c r="I2135" s="17" t="str">
        <f>Github!E$2134</f>
        <v>Easy</v>
      </c>
      <c r="J2135" s="17" t="str">
        <f>ROUND(Github!N$2134, 2)&amp;"%"</f>
        <v>0%</v>
      </c>
      <c r="K2135" s="17">
        <f>Github!O$2134</f>
        <v>51.92831573</v>
      </c>
      <c r="L2135" s="17">
        <f>Github!P$2134</f>
        <v>23065</v>
      </c>
    </row>
    <row r="2136">
      <c r="A2136" s="17">
        <f>Github!J$2135</f>
        <v>2134</v>
      </c>
      <c r="B2136" s="34" t="str">
        <f>HYPERLINK(CONCAT("http://leetcode.com/problems/",Github!C$2135), Github!B$2135)</f>
        <v>Minimum Swaps to Group All 1's Together II</v>
      </c>
      <c r="C2136" s="17">
        <f>Github!F$2135</f>
        <v>506</v>
      </c>
      <c r="D2136" s="17">
        <f>Github!G$2135</f>
        <v>5</v>
      </c>
      <c r="E2136" s="17">
        <f>Github!F$2135+Github!G$2135</f>
        <v>511</v>
      </c>
      <c r="F2136" s="18">
        <f t="shared" si="1"/>
        <v>101.2</v>
      </c>
      <c r="G2136" s="17" t="str">
        <f>Github!H$2135</f>
        <v>Algorithms</v>
      </c>
      <c r="H2136" s="17" t="b">
        <f>Github!D$2135</f>
        <v>0</v>
      </c>
      <c r="I2136" s="17" t="str">
        <f>Github!E$2135</f>
        <v>Medium</v>
      </c>
      <c r="J2136" s="17" t="str">
        <f>ROUND(Github!N$2135, 2)&amp;"%"</f>
        <v>0%</v>
      </c>
      <c r="K2136" s="17">
        <f>Github!O$2135</f>
        <v>46.96308211</v>
      </c>
      <c r="L2136" s="17">
        <f>Github!P$2135</f>
        <v>12262</v>
      </c>
    </row>
    <row r="2137">
      <c r="A2137" s="17">
        <f>Github!J$2136</f>
        <v>2135</v>
      </c>
      <c r="B2137" s="34" t="str">
        <f>HYPERLINK(CONCAT("http://leetcode.com/problems/",Github!C$2136), Github!B$2136)</f>
        <v>Count Words Obtained After Adding a Letter</v>
      </c>
      <c r="C2137" s="17">
        <f>Github!F$2136</f>
        <v>301</v>
      </c>
      <c r="D2137" s="17">
        <f>Github!G$2136</f>
        <v>57</v>
      </c>
      <c r="E2137" s="17">
        <f>Github!F$2136+Github!G$2136</f>
        <v>358</v>
      </c>
      <c r="F2137" s="18">
        <f t="shared" si="1"/>
        <v>5.28</v>
      </c>
      <c r="G2137" s="17" t="str">
        <f>Github!H$2136</f>
        <v>Algorithms</v>
      </c>
      <c r="H2137" s="17" t="b">
        <f>Github!D$2136</f>
        <v>0</v>
      </c>
      <c r="I2137" s="17" t="str">
        <f>Github!E$2136</f>
        <v>Medium</v>
      </c>
      <c r="J2137" s="17" t="str">
        <f>ROUND(Github!N$2136, 2)&amp;"%"</f>
        <v>0%</v>
      </c>
      <c r="K2137" s="17">
        <f>Github!O$2136</f>
        <v>36.12248086</v>
      </c>
      <c r="L2137" s="17">
        <f>Github!P$2136</f>
        <v>11561</v>
      </c>
    </row>
    <row r="2138">
      <c r="A2138" s="17">
        <f>Github!J$2137</f>
        <v>2136</v>
      </c>
      <c r="B2138" s="34" t="str">
        <f>HYPERLINK(CONCAT("http://leetcode.com/problems/",Github!C$2137), Github!B$2137)</f>
        <v>Earliest Possible Day of Full Bloom</v>
      </c>
      <c r="C2138" s="17">
        <f>Github!F$2137</f>
        <v>221</v>
      </c>
      <c r="D2138" s="17">
        <f>Github!G$2137</f>
        <v>11</v>
      </c>
      <c r="E2138" s="17">
        <f>Github!F$2137+Github!G$2137</f>
        <v>232</v>
      </c>
      <c r="F2138" s="18">
        <f t="shared" si="1"/>
        <v>20.09</v>
      </c>
      <c r="G2138" s="17" t="str">
        <f>Github!H$2137</f>
        <v>Algorithms</v>
      </c>
      <c r="H2138" s="17" t="b">
        <f>Github!D$2137</f>
        <v>0</v>
      </c>
      <c r="I2138" s="17" t="str">
        <f>Github!E$2137</f>
        <v>Hard</v>
      </c>
      <c r="J2138" s="17" t="str">
        <f>ROUND(Github!N$2137, 2)&amp;"%"</f>
        <v>0%</v>
      </c>
      <c r="K2138" s="17">
        <f>Github!O$2137</f>
        <v>67.53948903</v>
      </c>
      <c r="L2138" s="17">
        <f>Github!P$2137</f>
        <v>6371</v>
      </c>
    </row>
    <row r="2139">
      <c r="A2139" s="17">
        <f>Github!J$2138</f>
        <v>2137</v>
      </c>
      <c r="B2139" s="34" t="str">
        <f>HYPERLINK(CONCAT("http://leetcode.com/problems/",Github!C$2138), Github!B$2138)</f>
        <v>Pour Water Between Buckets to Make Water Levels Equal</v>
      </c>
      <c r="C2139" s="17">
        <f>Github!F$2138</f>
        <v>40</v>
      </c>
      <c r="D2139" s="17">
        <f>Github!G$2138</f>
        <v>2</v>
      </c>
      <c r="E2139" s="17">
        <f>Github!F$2138+Github!G$2138</f>
        <v>42</v>
      </c>
      <c r="F2139" s="18">
        <f t="shared" si="1"/>
        <v>20</v>
      </c>
      <c r="G2139" s="17" t="str">
        <f>Github!H$2138</f>
        <v>Algorithms</v>
      </c>
      <c r="H2139" s="17" t="b">
        <f>Github!D$2138</f>
        <v>1</v>
      </c>
      <c r="I2139" s="17" t="str">
        <f>Github!E$2138</f>
        <v>Medium</v>
      </c>
      <c r="J2139" s="17" t="str">
        <f>ROUND(Github!N$2138, 2)&amp;"%"</f>
        <v>0%</v>
      </c>
      <c r="K2139" s="17">
        <f>Github!O$2138</f>
        <v>67.88655078</v>
      </c>
      <c r="L2139" s="17">
        <f>Github!P$2138</f>
        <v>742</v>
      </c>
    </row>
    <row r="2140">
      <c r="A2140" s="17">
        <f>Github!J$2139</f>
        <v>2138</v>
      </c>
      <c r="B2140" s="34" t="str">
        <f>HYPERLINK(CONCAT("http://leetcode.com/problems/",Github!C$2139), Github!B$2139)</f>
        <v>Divide a String Into Groups of Size k</v>
      </c>
      <c r="C2140" s="17">
        <f>Github!F$2139</f>
        <v>220</v>
      </c>
      <c r="D2140" s="17">
        <f>Github!G$2139</f>
        <v>9</v>
      </c>
      <c r="E2140" s="17">
        <f>Github!F$2139+Github!G$2139</f>
        <v>229</v>
      </c>
      <c r="F2140" s="18">
        <f t="shared" si="1"/>
        <v>24.44</v>
      </c>
      <c r="G2140" s="17" t="str">
        <f>Github!H$2139</f>
        <v>Algorithms</v>
      </c>
      <c r="H2140" s="17" t="b">
        <f>Github!D$2139</f>
        <v>0</v>
      </c>
      <c r="I2140" s="17" t="str">
        <f>Github!E$2139</f>
        <v>Easy</v>
      </c>
      <c r="J2140" s="17" t="str">
        <f>ROUND(Github!N$2139, 2)&amp;"%"</f>
        <v>0%</v>
      </c>
      <c r="K2140" s="17">
        <f>Github!O$2139</f>
        <v>65.65835267</v>
      </c>
      <c r="L2140" s="17">
        <f>Github!P$2139</f>
        <v>22639</v>
      </c>
    </row>
    <row r="2141">
      <c r="A2141" s="17">
        <f>Github!J$2140</f>
        <v>2139</v>
      </c>
      <c r="B2141" s="34" t="str">
        <f>HYPERLINK(CONCAT("http://leetcode.com/problems/",Github!C$2140), Github!B$2140)</f>
        <v>Minimum Moves to Reach Target Score</v>
      </c>
      <c r="C2141" s="17">
        <f>Github!F$2140</f>
        <v>383</v>
      </c>
      <c r="D2141" s="17">
        <f>Github!G$2140</f>
        <v>5</v>
      </c>
      <c r="E2141" s="17">
        <f>Github!F$2140+Github!G$2140</f>
        <v>388</v>
      </c>
      <c r="F2141" s="18">
        <f t="shared" si="1"/>
        <v>76.6</v>
      </c>
      <c r="G2141" s="17" t="str">
        <f>Github!H$2140</f>
        <v>Algorithms</v>
      </c>
      <c r="H2141" s="17" t="b">
        <f>Github!D$2140</f>
        <v>0</v>
      </c>
      <c r="I2141" s="17" t="str">
        <f>Github!E$2140</f>
        <v>Medium</v>
      </c>
      <c r="J2141" s="17" t="str">
        <f>ROUND(Github!N$2140, 2)&amp;"%"</f>
        <v>0%</v>
      </c>
      <c r="K2141" s="17">
        <f>Github!O$2140</f>
        <v>48.55214999</v>
      </c>
      <c r="L2141" s="17">
        <f>Github!P$2140</f>
        <v>19500</v>
      </c>
    </row>
    <row r="2142">
      <c r="A2142" s="17">
        <f>Github!J$2141</f>
        <v>2140</v>
      </c>
      <c r="B2142" s="34" t="str">
        <f>HYPERLINK(CONCAT("http://leetcode.com/problems/",Github!C$2141), Github!B$2141)</f>
        <v>Solving Questions With Brainpower</v>
      </c>
      <c r="C2142" s="17">
        <f>Github!F$2141</f>
        <v>496</v>
      </c>
      <c r="D2142" s="17">
        <f>Github!G$2141</f>
        <v>7</v>
      </c>
      <c r="E2142" s="17">
        <f>Github!F$2141+Github!G$2141</f>
        <v>503</v>
      </c>
      <c r="F2142" s="18">
        <f t="shared" si="1"/>
        <v>70.86</v>
      </c>
      <c r="G2142" s="17" t="str">
        <f>Github!H$2141</f>
        <v>Algorithms</v>
      </c>
      <c r="H2142" s="17" t="b">
        <f>Github!D$2141</f>
        <v>0</v>
      </c>
      <c r="I2142" s="17" t="str">
        <f>Github!E$2141</f>
        <v>Medium</v>
      </c>
      <c r="J2142" s="17" t="str">
        <f>ROUND(Github!N$2141, 2)&amp;"%"</f>
        <v>0%</v>
      </c>
      <c r="K2142" s="17">
        <f>Github!O$2141</f>
        <v>43.97850871</v>
      </c>
      <c r="L2142" s="17">
        <f>Github!P$2141</f>
        <v>16780</v>
      </c>
    </row>
    <row r="2143">
      <c r="A2143" s="17">
        <f>Github!J$2142</f>
        <v>2141</v>
      </c>
      <c r="B2143" s="34" t="str">
        <f>HYPERLINK(CONCAT("http://leetcode.com/problems/",Github!C$2142), Github!B$2142)</f>
        <v>Maximum Running Time of N Computers</v>
      </c>
      <c r="C2143" s="17">
        <f>Github!F$2142</f>
        <v>417</v>
      </c>
      <c r="D2143" s="17">
        <f>Github!G$2142</f>
        <v>10</v>
      </c>
      <c r="E2143" s="17">
        <f>Github!F$2142+Github!G$2142</f>
        <v>427</v>
      </c>
      <c r="F2143" s="18">
        <f t="shared" si="1"/>
        <v>41.7</v>
      </c>
      <c r="G2143" s="17" t="str">
        <f>Github!H$2142</f>
        <v>Algorithms</v>
      </c>
      <c r="H2143" s="17" t="b">
        <f>Github!D$2142</f>
        <v>0</v>
      </c>
      <c r="I2143" s="17" t="str">
        <f>Github!E$2142</f>
        <v>Hard</v>
      </c>
      <c r="J2143" s="17" t="str">
        <f>ROUND(Github!N$2142, 2)&amp;"%"</f>
        <v>0%</v>
      </c>
      <c r="K2143" s="17">
        <f>Github!O$2142</f>
        <v>37.19268439</v>
      </c>
      <c r="L2143" s="17">
        <f>Github!P$2142</f>
        <v>7443</v>
      </c>
    </row>
    <row r="2144">
      <c r="A2144" s="17">
        <f>Github!J$2143</f>
        <v>2142</v>
      </c>
      <c r="B2144" s="34" t="str">
        <f>HYPERLINK(CONCAT("http://leetcode.com/problems/",Github!C$2143), Github!B$2143)</f>
        <v>The Number of Passengers in Each Bus I</v>
      </c>
      <c r="C2144" s="17">
        <f>Github!F$2143</f>
        <v>22</v>
      </c>
      <c r="D2144" s="17">
        <f>Github!G$2143</f>
        <v>3</v>
      </c>
      <c r="E2144" s="17">
        <f>Github!F$2143+Github!G$2143</f>
        <v>25</v>
      </c>
      <c r="F2144" s="18">
        <f t="shared" si="1"/>
        <v>7.33</v>
      </c>
      <c r="G2144" s="17" t="str">
        <f>Github!H$2143</f>
        <v>Database</v>
      </c>
      <c r="H2144" s="17" t="b">
        <f>Github!D$2143</f>
        <v>1</v>
      </c>
      <c r="I2144" s="17" t="str">
        <f>Github!E$2143</f>
        <v>Medium</v>
      </c>
      <c r="J2144" s="17" t="str">
        <f>ROUND(Github!N$2143, 2)&amp;"%"</f>
        <v>0%</v>
      </c>
      <c r="K2144" s="17">
        <f>Github!O$2143</f>
        <v>50.79435128</v>
      </c>
      <c r="L2144" s="17">
        <f>Github!P$2143</f>
        <v>1150</v>
      </c>
    </row>
    <row r="2145">
      <c r="A2145" s="17">
        <f>Github!J$2144</f>
        <v>2143</v>
      </c>
      <c r="B2145" s="34" t="str">
        <f>HYPERLINK(CONCAT("http://leetcode.com/problems/",Github!C$2144), Github!B$2144)</f>
        <v>Choose Numbers From Two Arrays in Range</v>
      </c>
      <c r="C2145" s="17">
        <f>Github!F$2144</f>
        <v>12</v>
      </c>
      <c r="D2145" s="17">
        <f>Github!G$2144</f>
        <v>1</v>
      </c>
      <c r="E2145" s="17">
        <f>Github!F$2144+Github!G$2144</f>
        <v>13</v>
      </c>
      <c r="F2145" s="18">
        <f t="shared" si="1"/>
        <v>12</v>
      </c>
      <c r="G2145" s="17" t="str">
        <f>Github!H$2144</f>
        <v>Algorithms</v>
      </c>
      <c r="H2145" s="17" t="b">
        <f>Github!D$2144</f>
        <v>1</v>
      </c>
      <c r="I2145" s="17" t="str">
        <f>Github!E$2144</f>
        <v>Hard</v>
      </c>
      <c r="J2145" s="17" t="str">
        <f>ROUND(Github!N$2144, 2)&amp;"%"</f>
        <v>0%</v>
      </c>
      <c r="K2145" s="17">
        <f>Github!O$2144</f>
        <v>53.91891892</v>
      </c>
      <c r="L2145" s="17">
        <f>Github!P$2144</f>
        <v>399</v>
      </c>
    </row>
    <row r="2146">
      <c r="A2146" s="17">
        <f>Github!J$2145</f>
        <v>2144</v>
      </c>
      <c r="B2146" s="34" t="str">
        <f>HYPERLINK(CONCAT("http://leetcode.com/problems/",Github!C$2145), Github!B$2145)</f>
        <v>Minimum Cost of Buying Candies With Discount</v>
      </c>
      <c r="C2146" s="17">
        <f>Github!F$2145</f>
        <v>193</v>
      </c>
      <c r="D2146" s="17">
        <f>Github!G$2145</f>
        <v>8</v>
      </c>
      <c r="E2146" s="17">
        <f>Github!F$2145+Github!G$2145</f>
        <v>201</v>
      </c>
      <c r="F2146" s="18">
        <f t="shared" si="1"/>
        <v>24.13</v>
      </c>
      <c r="G2146" s="17" t="str">
        <f>Github!H$2145</f>
        <v>Algorithms</v>
      </c>
      <c r="H2146" s="17" t="b">
        <f>Github!D$2145</f>
        <v>0</v>
      </c>
      <c r="I2146" s="17" t="str">
        <f>Github!E$2145</f>
        <v>Easy</v>
      </c>
      <c r="J2146" s="17" t="str">
        <f>ROUND(Github!N$2145, 2)&amp;"%"</f>
        <v>0%</v>
      </c>
      <c r="K2146" s="17">
        <f>Github!O$2145</f>
        <v>60.52004196</v>
      </c>
      <c r="L2146" s="17">
        <f>Github!P$2145</f>
        <v>19038</v>
      </c>
    </row>
    <row r="2147">
      <c r="A2147" s="17">
        <f>Github!J$2146</f>
        <v>2145</v>
      </c>
      <c r="B2147" s="34" t="str">
        <f>HYPERLINK(CONCAT("http://leetcode.com/problems/",Github!C$2146), Github!B$2146)</f>
        <v>Count the Hidden Sequences</v>
      </c>
      <c r="C2147" s="17">
        <f>Github!F$2146</f>
        <v>342</v>
      </c>
      <c r="D2147" s="17">
        <f>Github!G$2146</f>
        <v>37</v>
      </c>
      <c r="E2147" s="17">
        <f>Github!F$2146+Github!G$2146</f>
        <v>379</v>
      </c>
      <c r="F2147" s="18">
        <f t="shared" si="1"/>
        <v>9.24</v>
      </c>
      <c r="G2147" s="17" t="str">
        <f>Github!H$2146</f>
        <v>Algorithms</v>
      </c>
      <c r="H2147" s="17" t="b">
        <f>Github!D$2146</f>
        <v>0</v>
      </c>
      <c r="I2147" s="17" t="str">
        <f>Github!E$2146</f>
        <v>Medium</v>
      </c>
      <c r="J2147" s="17" t="str">
        <f>ROUND(Github!N$2146, 2)&amp;"%"</f>
        <v>0%</v>
      </c>
      <c r="K2147" s="17">
        <f>Github!O$2146</f>
        <v>34.91028785</v>
      </c>
      <c r="L2147" s="17">
        <f>Github!P$2146</f>
        <v>10817</v>
      </c>
    </row>
    <row r="2148">
      <c r="A2148" s="17">
        <f>Github!J$2147</f>
        <v>2146</v>
      </c>
      <c r="B2148" s="34" t="str">
        <f>HYPERLINK(CONCAT("http://leetcode.com/problems/",Github!C$2147), Github!B$2147)</f>
        <v>K Highest Ranked Items Within a Price Range</v>
      </c>
      <c r="C2148" s="17">
        <f>Github!F$2147</f>
        <v>228</v>
      </c>
      <c r="D2148" s="17">
        <f>Github!G$2147</f>
        <v>101</v>
      </c>
      <c r="E2148" s="17">
        <f>Github!F$2147+Github!G$2147</f>
        <v>329</v>
      </c>
      <c r="F2148" s="18">
        <f t="shared" si="1"/>
        <v>2.26</v>
      </c>
      <c r="G2148" s="17" t="str">
        <f>Github!H$2147</f>
        <v>Algorithms</v>
      </c>
      <c r="H2148" s="17" t="b">
        <f>Github!D$2147</f>
        <v>0</v>
      </c>
      <c r="I2148" s="17" t="str">
        <f>Github!E$2147</f>
        <v>Medium</v>
      </c>
      <c r="J2148" s="17" t="str">
        <f>ROUND(Github!N$2147, 2)&amp;"%"</f>
        <v>0%</v>
      </c>
      <c r="K2148" s="17">
        <f>Github!O$2147</f>
        <v>40.00730346</v>
      </c>
      <c r="L2148" s="17">
        <f>Github!P$2147</f>
        <v>7661</v>
      </c>
    </row>
    <row r="2149">
      <c r="A2149" s="17">
        <f>Github!J$2148</f>
        <v>2147</v>
      </c>
      <c r="B2149" s="34" t="str">
        <f>HYPERLINK(CONCAT("http://leetcode.com/problems/",Github!C$2148), Github!B$2148)</f>
        <v>Number of Ways to Divide a Long Corridor</v>
      </c>
      <c r="C2149" s="17">
        <f>Github!F$2148</f>
        <v>165</v>
      </c>
      <c r="D2149" s="17">
        <f>Github!G$2148</f>
        <v>14</v>
      </c>
      <c r="E2149" s="17">
        <f>Github!F$2148+Github!G$2148</f>
        <v>179</v>
      </c>
      <c r="F2149" s="18">
        <f t="shared" si="1"/>
        <v>11.79</v>
      </c>
      <c r="G2149" s="17" t="str">
        <f>Github!H$2148</f>
        <v>Algorithms</v>
      </c>
      <c r="H2149" s="17" t="b">
        <f>Github!D$2148</f>
        <v>0</v>
      </c>
      <c r="I2149" s="17" t="str">
        <f>Github!E$2148</f>
        <v>Hard</v>
      </c>
      <c r="J2149" s="17" t="str">
        <f>ROUND(Github!N$2148, 2)&amp;"%"</f>
        <v>0%</v>
      </c>
      <c r="K2149" s="17">
        <f>Github!O$2148</f>
        <v>39.9228859</v>
      </c>
      <c r="L2149" s="17">
        <f>Github!P$2148</f>
        <v>6109</v>
      </c>
    </row>
    <row r="2150">
      <c r="A2150" s="17">
        <f>Github!J$2149</f>
        <v>2148</v>
      </c>
      <c r="B2150" s="34" t="str">
        <f>HYPERLINK(CONCAT("http://leetcode.com/problems/",Github!C$2149), Github!B$2149)</f>
        <v>Count Elements With Strictly Smaller and Greater Elements </v>
      </c>
      <c r="C2150" s="17">
        <f>Github!F$2149</f>
        <v>212</v>
      </c>
      <c r="D2150" s="17">
        <f>Github!G$2149</f>
        <v>7</v>
      </c>
      <c r="E2150" s="17">
        <f>Github!F$2149+Github!G$2149</f>
        <v>219</v>
      </c>
      <c r="F2150" s="18">
        <f t="shared" si="1"/>
        <v>30.29</v>
      </c>
      <c r="G2150" s="17" t="str">
        <f>Github!H$2149</f>
        <v>Algorithms</v>
      </c>
      <c r="H2150" s="17" t="b">
        <f>Github!D$2149</f>
        <v>0</v>
      </c>
      <c r="I2150" s="17" t="str">
        <f>Github!E$2149</f>
        <v>Easy</v>
      </c>
      <c r="J2150" s="17" t="str">
        <f>ROUND(Github!N$2149, 2)&amp;"%"</f>
        <v>0%</v>
      </c>
      <c r="K2150" s="17">
        <f>Github!O$2149</f>
        <v>60.5073111</v>
      </c>
      <c r="L2150" s="17">
        <f>Github!P$2149</f>
        <v>23711</v>
      </c>
    </row>
    <row r="2151">
      <c r="A2151" s="17">
        <f>Github!J$2150</f>
        <v>2149</v>
      </c>
      <c r="B2151" s="34" t="str">
        <f>HYPERLINK(CONCAT("http://leetcode.com/problems/",Github!C$2150), Github!B$2150)</f>
        <v>Rearrange Array Elements by Sign</v>
      </c>
      <c r="C2151" s="17">
        <f>Github!F$2150</f>
        <v>294</v>
      </c>
      <c r="D2151" s="17">
        <f>Github!G$2150</f>
        <v>16</v>
      </c>
      <c r="E2151" s="17">
        <f>Github!F$2150+Github!G$2150</f>
        <v>310</v>
      </c>
      <c r="F2151" s="18">
        <f t="shared" si="1"/>
        <v>18.38</v>
      </c>
      <c r="G2151" s="17" t="str">
        <f>Github!H$2150</f>
        <v>Algorithms</v>
      </c>
      <c r="H2151" s="17" t="b">
        <f>Github!D$2150</f>
        <v>0</v>
      </c>
      <c r="I2151" s="17" t="str">
        <f>Github!E$2150</f>
        <v>Medium</v>
      </c>
      <c r="J2151" s="17" t="str">
        <f>ROUND(Github!N$2150, 2)&amp;"%"</f>
        <v>0%</v>
      </c>
      <c r="K2151" s="17">
        <f>Github!O$2150</f>
        <v>81.92497029</v>
      </c>
      <c r="L2151" s="17">
        <f>Github!P$2150</f>
        <v>24130</v>
      </c>
    </row>
    <row r="2152">
      <c r="A2152" s="17">
        <f>Github!J$2151</f>
        <v>2150</v>
      </c>
      <c r="B2152" s="34" t="str">
        <f>HYPERLINK(CONCAT("http://leetcode.com/problems/",Github!C$2151), Github!B$2151)</f>
        <v>Find All Lonely Numbers in the Array</v>
      </c>
      <c r="C2152" s="17">
        <f>Github!F$2151</f>
        <v>189</v>
      </c>
      <c r="D2152" s="17">
        <f>Github!G$2151</f>
        <v>27</v>
      </c>
      <c r="E2152" s="17">
        <f>Github!F$2151+Github!G$2151</f>
        <v>216</v>
      </c>
      <c r="F2152" s="18">
        <f t="shared" si="1"/>
        <v>7</v>
      </c>
      <c r="G2152" s="17" t="str">
        <f>Github!H$2151</f>
        <v>Algorithms</v>
      </c>
      <c r="H2152" s="17" t="b">
        <f>Github!D$2151</f>
        <v>0</v>
      </c>
      <c r="I2152" s="17" t="str">
        <f>Github!E$2151</f>
        <v>Medium</v>
      </c>
      <c r="J2152" s="17" t="str">
        <f>ROUND(Github!N$2151, 2)&amp;"%"</f>
        <v>0%</v>
      </c>
      <c r="K2152" s="17">
        <f>Github!O$2151</f>
        <v>60.36478627</v>
      </c>
      <c r="L2152" s="17">
        <f>Github!P$2151</f>
        <v>21377</v>
      </c>
    </row>
    <row r="2153">
      <c r="A2153" s="17">
        <f>Github!J$2152</f>
        <v>2151</v>
      </c>
      <c r="B2153" s="34" t="str">
        <f>HYPERLINK(CONCAT("http://leetcode.com/problems/",Github!C$2152), Github!B$2152)</f>
        <v>Maximum Good People Based on Statements</v>
      </c>
      <c r="C2153" s="17">
        <f>Github!F$2152</f>
        <v>286</v>
      </c>
      <c r="D2153" s="17">
        <f>Github!G$2152</f>
        <v>63</v>
      </c>
      <c r="E2153" s="17">
        <f>Github!F$2152+Github!G$2152</f>
        <v>349</v>
      </c>
      <c r="F2153" s="18">
        <f t="shared" si="1"/>
        <v>4.54</v>
      </c>
      <c r="G2153" s="17" t="str">
        <f>Github!H$2152</f>
        <v>Algorithms</v>
      </c>
      <c r="H2153" s="17" t="b">
        <f>Github!D$2152</f>
        <v>0</v>
      </c>
      <c r="I2153" s="17" t="str">
        <f>Github!E$2152</f>
        <v>Hard</v>
      </c>
      <c r="J2153" s="17" t="str">
        <f>ROUND(Github!N$2152, 2)&amp;"%"</f>
        <v>0%</v>
      </c>
      <c r="K2153" s="17">
        <f>Github!O$2152</f>
        <v>45.67296478</v>
      </c>
      <c r="L2153" s="17">
        <f>Github!P$2152</f>
        <v>7832</v>
      </c>
    </row>
    <row r="2154">
      <c r="A2154" s="17">
        <f>Github!J$2153</f>
        <v>2152</v>
      </c>
      <c r="B2154" s="34" t="str">
        <f>HYPERLINK(CONCAT("http://leetcode.com/problems/",Github!C$2153), Github!B$2153)</f>
        <v>Minimum Number of Lines to Cover Points</v>
      </c>
      <c r="C2154" s="17">
        <f>Github!F$2153</f>
        <v>20</v>
      </c>
      <c r="D2154" s="17">
        <f>Github!G$2153</f>
        <v>5</v>
      </c>
      <c r="E2154" s="17">
        <f>Github!F$2153+Github!G$2153</f>
        <v>25</v>
      </c>
      <c r="F2154" s="18">
        <f t="shared" si="1"/>
        <v>4</v>
      </c>
      <c r="G2154" s="17" t="str">
        <f>Github!H$2153</f>
        <v>Algorithms</v>
      </c>
      <c r="H2154" s="17" t="b">
        <f>Github!D$2153</f>
        <v>1</v>
      </c>
      <c r="I2154" s="17" t="str">
        <f>Github!E$2153</f>
        <v>Medium</v>
      </c>
      <c r="J2154" s="17" t="str">
        <f>ROUND(Github!N$2153, 2)&amp;"%"</f>
        <v>0%</v>
      </c>
      <c r="K2154" s="17">
        <f>Github!O$2153</f>
        <v>46.13653413</v>
      </c>
      <c r="L2154" s="17">
        <f>Github!P$2153</f>
        <v>615</v>
      </c>
    </row>
    <row r="2155">
      <c r="A2155" s="17">
        <f>Github!J$2154</f>
        <v>2153</v>
      </c>
      <c r="B2155" s="34" t="str">
        <f>HYPERLINK(CONCAT("http://leetcode.com/problems/",Github!C$2154), Github!B$2154)</f>
        <v>The Number of Passengers in Each Bus II</v>
      </c>
      <c r="C2155" s="17">
        <f>Github!F$2154</f>
        <v>14</v>
      </c>
      <c r="D2155" s="17">
        <f>Github!G$2154</f>
        <v>5</v>
      </c>
      <c r="E2155" s="17">
        <f>Github!F$2154+Github!G$2154</f>
        <v>19</v>
      </c>
      <c r="F2155" s="18">
        <f t="shared" si="1"/>
        <v>2.8</v>
      </c>
      <c r="G2155" s="17" t="str">
        <f>Github!H$2154</f>
        <v>Database</v>
      </c>
      <c r="H2155" s="17" t="b">
        <f>Github!D$2154</f>
        <v>1</v>
      </c>
      <c r="I2155" s="17" t="str">
        <f>Github!E$2154</f>
        <v>Hard</v>
      </c>
      <c r="J2155" s="17" t="str">
        <f>ROUND(Github!N$2154, 2)&amp;"%"</f>
        <v>0%</v>
      </c>
      <c r="K2155" s="17">
        <f>Github!O$2154</f>
        <v>50.92436975</v>
      </c>
      <c r="L2155" s="17">
        <f>Github!P$2154</f>
        <v>303</v>
      </c>
    </row>
    <row r="2156">
      <c r="A2156" s="17">
        <f>Github!J$2155</f>
        <v>2154</v>
      </c>
      <c r="B2156" s="34" t="str">
        <f>HYPERLINK(CONCAT("http://leetcode.com/problems/",Github!C$2155), Github!B$2155)</f>
        <v>Keep Multiplying Found Values by Two</v>
      </c>
      <c r="C2156" s="17">
        <f>Github!F$2155</f>
        <v>222</v>
      </c>
      <c r="D2156" s="17">
        <f>Github!G$2155</f>
        <v>8</v>
      </c>
      <c r="E2156" s="17">
        <f>Github!F$2155+Github!G$2155</f>
        <v>230</v>
      </c>
      <c r="F2156" s="18">
        <f t="shared" si="1"/>
        <v>27.75</v>
      </c>
      <c r="G2156" s="17" t="str">
        <f>Github!H$2155</f>
        <v>Algorithms</v>
      </c>
      <c r="H2156" s="17" t="b">
        <f>Github!D$2155</f>
        <v>0</v>
      </c>
      <c r="I2156" s="17" t="str">
        <f>Github!E$2155</f>
        <v>Easy</v>
      </c>
      <c r="J2156" s="17" t="str">
        <f>ROUND(Github!N$2155, 2)&amp;"%"</f>
        <v>0%</v>
      </c>
      <c r="K2156" s="17">
        <f>Github!O$2155</f>
        <v>73.62184831</v>
      </c>
      <c r="L2156" s="17">
        <f>Github!P$2155</f>
        <v>29141</v>
      </c>
    </row>
    <row r="2157">
      <c r="A2157" s="17">
        <f>Github!J$2156</f>
        <v>2155</v>
      </c>
      <c r="B2157" s="34" t="str">
        <f>HYPERLINK(CONCAT("http://leetcode.com/problems/",Github!C$2156), Github!B$2156)</f>
        <v>All Divisions With the Highest Score of a Binary Array</v>
      </c>
      <c r="C2157" s="17">
        <f>Github!F$2156</f>
        <v>291</v>
      </c>
      <c r="D2157" s="17">
        <f>Github!G$2156</f>
        <v>8</v>
      </c>
      <c r="E2157" s="17">
        <f>Github!F$2156+Github!G$2156</f>
        <v>299</v>
      </c>
      <c r="F2157" s="18">
        <f t="shared" si="1"/>
        <v>36.38</v>
      </c>
      <c r="G2157" s="17" t="str">
        <f>Github!H$2156</f>
        <v>Algorithms</v>
      </c>
      <c r="H2157" s="17" t="b">
        <f>Github!D$2156</f>
        <v>0</v>
      </c>
      <c r="I2157" s="17" t="str">
        <f>Github!E$2156</f>
        <v>Medium</v>
      </c>
      <c r="J2157" s="17" t="str">
        <f>ROUND(Github!N$2156, 2)&amp;"%"</f>
        <v>0%</v>
      </c>
      <c r="K2157" s="17">
        <f>Github!O$2156</f>
        <v>61.5760229</v>
      </c>
      <c r="L2157" s="17">
        <f>Github!P$2156</f>
        <v>18285</v>
      </c>
    </row>
    <row r="2158">
      <c r="A2158" s="17">
        <f>Github!J$2157</f>
        <v>2156</v>
      </c>
      <c r="B2158" s="34" t="str">
        <f>HYPERLINK(CONCAT("http://leetcode.com/problems/",Github!C$2157), Github!B$2157)</f>
        <v>Find Substring With Given Hash Value</v>
      </c>
      <c r="C2158" s="17">
        <f>Github!F$2157</f>
        <v>286</v>
      </c>
      <c r="D2158" s="17">
        <f>Github!G$2157</f>
        <v>330</v>
      </c>
      <c r="E2158" s="17">
        <f>Github!F$2157+Github!G$2157</f>
        <v>616</v>
      </c>
      <c r="F2158" s="18">
        <f t="shared" si="1"/>
        <v>0.87</v>
      </c>
      <c r="G2158" s="17" t="str">
        <f>Github!H$2157</f>
        <v>Algorithms</v>
      </c>
      <c r="H2158" s="17" t="b">
        <f>Github!D$2157</f>
        <v>0</v>
      </c>
      <c r="I2158" s="17" t="str">
        <f>Github!E$2157</f>
        <v>Hard</v>
      </c>
      <c r="J2158" s="17" t="str">
        <f>ROUND(Github!N$2157, 2)&amp;"%"</f>
        <v>0%</v>
      </c>
      <c r="K2158" s="17">
        <f>Github!O$2157</f>
        <v>20.22587019</v>
      </c>
      <c r="L2158" s="17">
        <f>Github!P$2157</f>
        <v>8292</v>
      </c>
    </row>
    <row r="2159">
      <c r="A2159" s="17">
        <f>Github!J$2158</f>
        <v>2157</v>
      </c>
      <c r="B2159" s="34" t="str">
        <f>HYPERLINK(CONCAT("http://leetcode.com/problems/",Github!C$2158), Github!B$2158)</f>
        <v>Groups of Strings</v>
      </c>
      <c r="C2159" s="17">
        <f>Github!F$2158</f>
        <v>223</v>
      </c>
      <c r="D2159" s="17">
        <f>Github!G$2158</f>
        <v>35</v>
      </c>
      <c r="E2159" s="17">
        <f>Github!F$2158+Github!G$2158</f>
        <v>258</v>
      </c>
      <c r="F2159" s="18">
        <f t="shared" si="1"/>
        <v>6.37</v>
      </c>
      <c r="G2159" s="17" t="str">
        <f>Github!H$2158</f>
        <v>Algorithms</v>
      </c>
      <c r="H2159" s="17" t="b">
        <f>Github!D$2158</f>
        <v>0</v>
      </c>
      <c r="I2159" s="17" t="str">
        <f>Github!E$2158</f>
        <v>Hard</v>
      </c>
      <c r="J2159" s="17" t="str">
        <f>ROUND(Github!N$2158, 2)&amp;"%"</f>
        <v>0%</v>
      </c>
      <c r="K2159" s="17">
        <f>Github!O$2158</f>
        <v>23.81928181</v>
      </c>
      <c r="L2159" s="17">
        <f>Github!P$2158</f>
        <v>4882</v>
      </c>
    </row>
    <row r="2160">
      <c r="A2160" s="17">
        <f>Github!J$2159</f>
        <v>2158</v>
      </c>
      <c r="B2160" s="34" t="str">
        <f>HYPERLINK(CONCAT("http://leetcode.com/problems/",Github!C$2159), Github!B$2159)</f>
        <v>Amount of New Area Painted Each Day</v>
      </c>
      <c r="C2160" s="17">
        <f>Github!F$2159</f>
        <v>37</v>
      </c>
      <c r="D2160" s="17">
        <f>Github!G$2159</f>
        <v>7</v>
      </c>
      <c r="E2160" s="17">
        <f>Github!F$2159+Github!G$2159</f>
        <v>44</v>
      </c>
      <c r="F2160" s="18">
        <f t="shared" si="1"/>
        <v>5.29</v>
      </c>
      <c r="G2160" s="17" t="str">
        <f>Github!H$2159</f>
        <v>Algorithms</v>
      </c>
      <c r="H2160" s="17" t="b">
        <f>Github!D$2159</f>
        <v>1</v>
      </c>
      <c r="I2160" s="17" t="str">
        <f>Github!E$2159</f>
        <v>Hard</v>
      </c>
      <c r="J2160" s="17" t="str">
        <f>ROUND(Github!N$2159, 2)&amp;"%"</f>
        <v>0%</v>
      </c>
      <c r="K2160" s="17">
        <f>Github!O$2159</f>
        <v>60.94078118</v>
      </c>
      <c r="L2160" s="17">
        <f>Github!P$2159</f>
        <v>1451</v>
      </c>
    </row>
    <row r="2161">
      <c r="A2161" s="17">
        <f>Github!J$2160</f>
        <v>2159</v>
      </c>
      <c r="B2161" s="34" t="str">
        <f>HYPERLINK(CONCAT("http://leetcode.com/problems/",Github!C$2160), Github!B$2160)</f>
        <v>Order Two Columns Independently</v>
      </c>
      <c r="C2161" s="17">
        <f>Github!F$2160</f>
        <v>6</v>
      </c>
      <c r="D2161" s="17">
        <f>Github!G$2160</f>
        <v>7</v>
      </c>
      <c r="E2161" s="17">
        <f>Github!F$2160+Github!G$2160</f>
        <v>13</v>
      </c>
      <c r="F2161" s="18">
        <f t="shared" si="1"/>
        <v>0.86</v>
      </c>
      <c r="G2161" s="17" t="str">
        <f>Github!H$2160</f>
        <v>Database</v>
      </c>
      <c r="H2161" s="17" t="b">
        <f>Github!D$2160</f>
        <v>1</v>
      </c>
      <c r="I2161" s="17" t="str">
        <f>Github!E$2160</f>
        <v>Medium</v>
      </c>
      <c r="J2161" s="17" t="str">
        <f>ROUND(Github!N$2160, 2)&amp;"%"</f>
        <v>0%</v>
      </c>
      <c r="K2161" s="17">
        <f>Github!O$2160</f>
        <v>62.42138365</v>
      </c>
      <c r="L2161" s="17">
        <f>Github!P$2160</f>
        <v>794</v>
      </c>
    </row>
    <row r="2162">
      <c r="A2162" s="17">
        <f>Github!J$2161</f>
        <v>2160</v>
      </c>
      <c r="B2162" s="34" t="str">
        <f>HYPERLINK(CONCAT("http://leetcode.com/problems/",Github!C$2161), Github!B$2161)</f>
        <v>Minimum Sum of Four Digit Number After Splitting Digits</v>
      </c>
      <c r="C2162" s="17">
        <f>Github!F$2161</f>
        <v>238</v>
      </c>
      <c r="D2162" s="17">
        <f>Github!G$2161</f>
        <v>24</v>
      </c>
      <c r="E2162" s="17">
        <f>Github!F$2161+Github!G$2161</f>
        <v>262</v>
      </c>
      <c r="F2162" s="18">
        <f t="shared" si="1"/>
        <v>9.92</v>
      </c>
      <c r="G2162" s="17" t="str">
        <f>Github!H$2161</f>
        <v>Algorithms</v>
      </c>
      <c r="H2162" s="17" t="b">
        <f>Github!D$2161</f>
        <v>0</v>
      </c>
      <c r="I2162" s="17" t="str">
        <f>Github!E$2161</f>
        <v>Easy</v>
      </c>
      <c r="J2162" s="17" t="str">
        <f>ROUND(Github!N$2161, 2)&amp;"%"</f>
        <v>0%</v>
      </c>
      <c r="K2162" s="17">
        <f>Github!O$2161</f>
        <v>87.74850895</v>
      </c>
      <c r="L2162" s="17">
        <f>Github!P$2161</f>
        <v>21183</v>
      </c>
    </row>
    <row r="2163">
      <c r="A2163" s="17">
        <f>Github!J$2162</f>
        <v>2161</v>
      </c>
      <c r="B2163" s="34" t="str">
        <f>HYPERLINK(CONCAT("http://leetcode.com/problems/",Github!C$2162), Github!B$2162)</f>
        <v>Partition Array According to Given Pivot</v>
      </c>
      <c r="C2163" s="17">
        <f>Github!F$2162</f>
        <v>176</v>
      </c>
      <c r="D2163" s="17">
        <f>Github!G$2162</f>
        <v>15</v>
      </c>
      <c r="E2163" s="17">
        <f>Github!F$2162+Github!G$2162</f>
        <v>191</v>
      </c>
      <c r="F2163" s="18">
        <f t="shared" si="1"/>
        <v>11.73</v>
      </c>
      <c r="G2163" s="17" t="str">
        <f>Github!H$2162</f>
        <v>Algorithms</v>
      </c>
      <c r="H2163" s="17" t="b">
        <f>Github!D$2162</f>
        <v>0</v>
      </c>
      <c r="I2163" s="17" t="str">
        <f>Github!E$2162</f>
        <v>Medium</v>
      </c>
      <c r="J2163" s="17" t="str">
        <f>ROUND(Github!N$2162, 2)&amp;"%"</f>
        <v>0%</v>
      </c>
      <c r="K2163" s="17">
        <f>Github!O$2162</f>
        <v>81.84410162</v>
      </c>
      <c r="L2163" s="17">
        <f>Github!P$2162</f>
        <v>16072</v>
      </c>
    </row>
    <row r="2164">
      <c r="A2164" s="17">
        <f>Github!J$2163</f>
        <v>2162</v>
      </c>
      <c r="B2164" s="34" t="str">
        <f>HYPERLINK(CONCAT("http://leetcode.com/problems/",Github!C$2163), Github!B$2163)</f>
        <v>Minimum Cost to Set Cooking Time</v>
      </c>
      <c r="C2164" s="17">
        <f>Github!F$2163</f>
        <v>125</v>
      </c>
      <c r="D2164" s="17">
        <f>Github!G$2163</f>
        <v>387</v>
      </c>
      <c r="E2164" s="17">
        <f>Github!F$2163+Github!G$2163</f>
        <v>512</v>
      </c>
      <c r="F2164" s="18">
        <f t="shared" si="1"/>
        <v>0.32</v>
      </c>
      <c r="G2164" s="17" t="str">
        <f>Github!H$2163</f>
        <v>Algorithms</v>
      </c>
      <c r="H2164" s="17" t="b">
        <f>Github!D$2163</f>
        <v>0</v>
      </c>
      <c r="I2164" s="17" t="str">
        <f>Github!E$2163</f>
        <v>Medium</v>
      </c>
      <c r="J2164" s="17" t="str">
        <f>ROUND(Github!N$2163, 2)&amp;"%"</f>
        <v>0%</v>
      </c>
      <c r="K2164" s="17">
        <f>Github!O$2163</f>
        <v>33.27820559</v>
      </c>
      <c r="L2164" s="17">
        <f>Github!P$2163</f>
        <v>6439</v>
      </c>
    </row>
    <row r="2165">
      <c r="A2165" s="17">
        <f>Github!J$2164</f>
        <v>2163</v>
      </c>
      <c r="B2165" s="34" t="str">
        <f>HYPERLINK(CONCAT("http://leetcode.com/problems/",Github!C$2164), Github!B$2164)</f>
        <v>Minimum Difference in Sums After Removal of Elements</v>
      </c>
      <c r="C2165" s="17">
        <f>Github!F$2164</f>
        <v>304</v>
      </c>
      <c r="D2165" s="17">
        <f>Github!G$2164</f>
        <v>5</v>
      </c>
      <c r="E2165" s="17">
        <f>Github!F$2164+Github!G$2164</f>
        <v>309</v>
      </c>
      <c r="F2165" s="18">
        <f t="shared" si="1"/>
        <v>60.8</v>
      </c>
      <c r="G2165" s="17" t="str">
        <f>Github!H$2164</f>
        <v>Algorithms</v>
      </c>
      <c r="H2165" s="17" t="b">
        <f>Github!D$2164</f>
        <v>0</v>
      </c>
      <c r="I2165" s="17" t="str">
        <f>Github!E$2164</f>
        <v>Hard</v>
      </c>
      <c r="J2165" s="17" t="str">
        <f>ROUND(Github!N$2164, 2)&amp;"%"</f>
        <v>0%</v>
      </c>
      <c r="K2165" s="17">
        <f>Github!O$2164</f>
        <v>45.55001591</v>
      </c>
      <c r="L2165" s="17">
        <f>Github!P$2164</f>
        <v>4294</v>
      </c>
    </row>
    <row r="2166">
      <c r="A2166" s="17">
        <f>Github!J$2165</f>
        <v>2164</v>
      </c>
      <c r="B2166" s="34" t="str">
        <f>HYPERLINK(CONCAT("http://leetcode.com/problems/",Github!C$2165), Github!B$2165)</f>
        <v>Sort Even and Odd Indices Independently</v>
      </c>
      <c r="C2166" s="17">
        <f>Github!F$2165</f>
        <v>214</v>
      </c>
      <c r="D2166" s="17">
        <f>Github!G$2165</f>
        <v>10</v>
      </c>
      <c r="E2166" s="17">
        <f>Github!F$2165+Github!G$2165</f>
        <v>224</v>
      </c>
      <c r="F2166" s="18">
        <f t="shared" si="1"/>
        <v>21.4</v>
      </c>
      <c r="G2166" s="17" t="str">
        <f>Github!H$2165</f>
        <v>Algorithms</v>
      </c>
      <c r="H2166" s="17" t="b">
        <f>Github!D$2165</f>
        <v>0</v>
      </c>
      <c r="I2166" s="17" t="str">
        <f>Github!E$2165</f>
        <v>Easy</v>
      </c>
      <c r="J2166" s="17" t="str">
        <f>ROUND(Github!N$2165, 2)&amp;"%"</f>
        <v>0%</v>
      </c>
      <c r="K2166" s="17">
        <f>Github!O$2165</f>
        <v>67.76218155</v>
      </c>
      <c r="L2166" s="17">
        <f>Github!P$2165</f>
        <v>21915</v>
      </c>
    </row>
    <row r="2167">
      <c r="A2167" s="17">
        <f>Github!J$2166</f>
        <v>2165</v>
      </c>
      <c r="B2167" s="34" t="str">
        <f>HYPERLINK(CONCAT("http://leetcode.com/problems/",Github!C$2166), Github!B$2166)</f>
        <v>Smallest Value of the Rearranged Number</v>
      </c>
      <c r="C2167" s="17">
        <f>Github!F$2166</f>
        <v>264</v>
      </c>
      <c r="D2167" s="17">
        <f>Github!G$2166</f>
        <v>8</v>
      </c>
      <c r="E2167" s="17">
        <f>Github!F$2166+Github!G$2166</f>
        <v>272</v>
      </c>
      <c r="F2167" s="18">
        <f t="shared" si="1"/>
        <v>33</v>
      </c>
      <c r="G2167" s="17" t="str">
        <f>Github!H$2166</f>
        <v>Algorithms</v>
      </c>
      <c r="H2167" s="17" t="b">
        <f>Github!D$2166</f>
        <v>0</v>
      </c>
      <c r="I2167" s="17" t="str">
        <f>Github!E$2166</f>
        <v>Medium</v>
      </c>
      <c r="J2167" s="17" t="str">
        <f>ROUND(Github!N$2166, 2)&amp;"%"</f>
        <v>0%</v>
      </c>
      <c r="K2167" s="17">
        <f>Github!O$2166</f>
        <v>50.4931766</v>
      </c>
      <c r="L2167" s="17">
        <f>Github!P$2166</f>
        <v>18685</v>
      </c>
    </row>
    <row r="2168">
      <c r="A2168" s="17">
        <f>Github!J$2167</f>
        <v>2166</v>
      </c>
      <c r="B2168" s="34" t="str">
        <f>HYPERLINK(CONCAT("http://leetcode.com/problems/",Github!C$2167), Github!B$2167)</f>
        <v>Design Bitset</v>
      </c>
      <c r="C2168" s="17">
        <f>Github!F$2167</f>
        <v>340</v>
      </c>
      <c r="D2168" s="17">
        <f>Github!G$2167</f>
        <v>31</v>
      </c>
      <c r="E2168" s="17">
        <f>Github!F$2167+Github!G$2167</f>
        <v>371</v>
      </c>
      <c r="F2168" s="18">
        <f t="shared" si="1"/>
        <v>10.97</v>
      </c>
      <c r="G2168" s="17" t="str">
        <f>Github!H$2167</f>
        <v>Algorithms</v>
      </c>
      <c r="H2168" s="17" t="b">
        <f>Github!D$2167</f>
        <v>0</v>
      </c>
      <c r="I2168" s="17" t="str">
        <f>Github!E$2167</f>
        <v>Medium</v>
      </c>
      <c r="J2168" s="17" t="str">
        <f>ROUND(Github!N$2167, 2)&amp;"%"</f>
        <v>0%</v>
      </c>
      <c r="K2168" s="17">
        <f>Github!O$2167</f>
        <v>28.82503703</v>
      </c>
      <c r="L2168" s="17">
        <f>Github!P$2167</f>
        <v>12258</v>
      </c>
    </row>
    <row r="2169">
      <c r="A2169" s="17">
        <f>Github!J$2168</f>
        <v>2167</v>
      </c>
      <c r="B2169" s="34" t="str">
        <f>HYPERLINK(CONCAT("http://leetcode.com/problems/",Github!C$2168), Github!B$2168)</f>
        <v>Minimum Time to Remove All Cars Containing Illegal Goods</v>
      </c>
      <c r="C2169" s="17">
        <f>Github!F$2168</f>
        <v>442</v>
      </c>
      <c r="D2169" s="17">
        <f>Github!G$2168</f>
        <v>7</v>
      </c>
      <c r="E2169" s="17">
        <f>Github!F$2168+Github!G$2168</f>
        <v>449</v>
      </c>
      <c r="F2169" s="18">
        <f t="shared" si="1"/>
        <v>63.14</v>
      </c>
      <c r="G2169" s="17" t="str">
        <f>Github!H$2168</f>
        <v>Algorithms</v>
      </c>
      <c r="H2169" s="17" t="b">
        <f>Github!D$2168</f>
        <v>0</v>
      </c>
      <c r="I2169" s="17" t="str">
        <f>Github!E$2168</f>
        <v>Hard</v>
      </c>
      <c r="J2169" s="17" t="str">
        <f>ROUND(Github!N$2168, 2)&amp;"%"</f>
        <v>0%</v>
      </c>
      <c r="K2169" s="17">
        <f>Github!O$2168</f>
        <v>38.63564419</v>
      </c>
      <c r="L2169" s="17">
        <f>Github!P$2168</f>
        <v>7323</v>
      </c>
    </row>
    <row r="2170">
      <c r="A2170" s="17">
        <f>Github!J$2169</f>
        <v>2168</v>
      </c>
      <c r="B2170" s="34" t="str">
        <f>HYPERLINK(CONCAT("http://leetcode.com/problems/",Github!C$2169), Github!B$2169)</f>
        <v>Unique Substrings With Equal Digit Frequency</v>
      </c>
      <c r="C2170" s="17">
        <f>Github!F$2169</f>
        <v>20</v>
      </c>
      <c r="D2170" s="17">
        <f>Github!G$2169</f>
        <v>3</v>
      </c>
      <c r="E2170" s="17">
        <f>Github!F$2169+Github!G$2169</f>
        <v>23</v>
      </c>
      <c r="F2170" s="18">
        <f t="shared" si="1"/>
        <v>6.67</v>
      </c>
      <c r="G2170" s="17" t="str">
        <f>Github!H$2169</f>
        <v>Algorithms</v>
      </c>
      <c r="H2170" s="17" t="b">
        <f>Github!D$2169</f>
        <v>1</v>
      </c>
      <c r="I2170" s="17" t="str">
        <f>Github!E$2169</f>
        <v>Medium</v>
      </c>
      <c r="J2170" s="17" t="str">
        <f>ROUND(Github!N$2169, 2)&amp;"%"</f>
        <v>0%</v>
      </c>
      <c r="K2170" s="17">
        <f>Github!O$2169</f>
        <v>58.02469136</v>
      </c>
      <c r="L2170" s="17">
        <f>Github!P$2169</f>
        <v>611</v>
      </c>
    </row>
    <row r="2171">
      <c r="A2171" s="17">
        <f>Github!J$2170</f>
        <v>2169</v>
      </c>
      <c r="B2171" s="34" t="str">
        <f>HYPERLINK(CONCAT("http://leetcode.com/problems/",Github!C$2170), Github!B$2170)</f>
        <v>Count Operations to Obtain Zero</v>
      </c>
      <c r="C2171" s="17">
        <f>Github!F$2170</f>
        <v>178</v>
      </c>
      <c r="D2171" s="17">
        <f>Github!G$2170</f>
        <v>4</v>
      </c>
      <c r="E2171" s="17">
        <f>Github!F$2170+Github!G$2170</f>
        <v>182</v>
      </c>
      <c r="F2171" s="18">
        <f t="shared" si="1"/>
        <v>44.5</v>
      </c>
      <c r="G2171" s="17" t="str">
        <f>Github!H$2170</f>
        <v>Algorithms</v>
      </c>
      <c r="H2171" s="17" t="b">
        <f>Github!D$2170</f>
        <v>0</v>
      </c>
      <c r="I2171" s="17" t="str">
        <f>Github!E$2170</f>
        <v>Easy</v>
      </c>
      <c r="J2171" s="17" t="str">
        <f>ROUND(Github!N$2170, 2)&amp;"%"</f>
        <v>0%</v>
      </c>
      <c r="K2171" s="17">
        <f>Github!O$2170</f>
        <v>75.11326068</v>
      </c>
      <c r="L2171" s="17">
        <f>Github!P$2170</f>
        <v>24538</v>
      </c>
    </row>
    <row r="2172">
      <c r="A2172" s="17">
        <f>Github!J$2171</f>
        <v>2170</v>
      </c>
      <c r="B2172" s="34" t="str">
        <f>HYPERLINK(CONCAT("http://leetcode.com/problems/",Github!C$2171), Github!B$2171)</f>
        <v>Minimum Operations to Make the Array Alternating</v>
      </c>
      <c r="C2172" s="17">
        <f>Github!F$2171</f>
        <v>315</v>
      </c>
      <c r="D2172" s="17">
        <f>Github!G$2171</f>
        <v>247</v>
      </c>
      <c r="E2172" s="17">
        <f>Github!F$2171+Github!G$2171</f>
        <v>562</v>
      </c>
      <c r="F2172" s="18">
        <f t="shared" si="1"/>
        <v>1.28</v>
      </c>
      <c r="G2172" s="17" t="str">
        <f>Github!H$2171</f>
        <v>Algorithms</v>
      </c>
      <c r="H2172" s="17" t="b">
        <f>Github!D$2171</f>
        <v>0</v>
      </c>
      <c r="I2172" s="17" t="str">
        <f>Github!E$2171</f>
        <v>Medium</v>
      </c>
      <c r="J2172" s="17" t="str">
        <f>ROUND(Github!N$2171, 2)&amp;"%"</f>
        <v>0%</v>
      </c>
      <c r="K2172" s="17">
        <f>Github!O$2171</f>
        <v>32.56590909</v>
      </c>
      <c r="L2172" s="17">
        <f>Github!P$2171</f>
        <v>14329</v>
      </c>
    </row>
    <row r="2173">
      <c r="A2173" s="17">
        <f>Github!J$2172</f>
        <v>2171</v>
      </c>
      <c r="B2173" s="34" t="str">
        <f>HYPERLINK(CONCAT("http://leetcode.com/problems/",Github!C$2172), Github!B$2172)</f>
        <v>Removing Minimum Number of Magic Beans</v>
      </c>
      <c r="C2173" s="17">
        <f>Github!F$2172</f>
        <v>416</v>
      </c>
      <c r="D2173" s="17">
        <f>Github!G$2172</f>
        <v>26</v>
      </c>
      <c r="E2173" s="17">
        <f>Github!F$2172+Github!G$2172</f>
        <v>442</v>
      </c>
      <c r="F2173" s="18">
        <f t="shared" si="1"/>
        <v>16</v>
      </c>
      <c r="G2173" s="17" t="str">
        <f>Github!H$2172</f>
        <v>Algorithms</v>
      </c>
      <c r="H2173" s="17" t="b">
        <f>Github!D$2172</f>
        <v>0</v>
      </c>
      <c r="I2173" s="17" t="str">
        <f>Github!E$2172</f>
        <v>Medium</v>
      </c>
      <c r="J2173" s="17" t="str">
        <f>ROUND(Github!N$2172, 2)&amp;"%"</f>
        <v>0%</v>
      </c>
      <c r="K2173" s="17">
        <f>Github!O$2172</f>
        <v>40.68961209</v>
      </c>
      <c r="L2173" s="17">
        <f>Github!P$2172</f>
        <v>13028</v>
      </c>
    </row>
    <row r="2174">
      <c r="A2174" s="17">
        <f>Github!J$2173</f>
        <v>2172</v>
      </c>
      <c r="B2174" s="34" t="str">
        <f>HYPERLINK(CONCAT("http://leetcode.com/problems/",Github!C$2173), Github!B$2173)</f>
        <v>Maximum AND Sum of Array</v>
      </c>
      <c r="C2174" s="17">
        <f>Github!F$2173</f>
        <v>205</v>
      </c>
      <c r="D2174" s="17">
        <f>Github!G$2173</f>
        <v>9</v>
      </c>
      <c r="E2174" s="17">
        <f>Github!F$2173+Github!G$2173</f>
        <v>214</v>
      </c>
      <c r="F2174" s="18">
        <f t="shared" si="1"/>
        <v>22.78</v>
      </c>
      <c r="G2174" s="17" t="str">
        <f>Github!H$2173</f>
        <v>Algorithms</v>
      </c>
      <c r="H2174" s="17" t="b">
        <f>Github!D$2173</f>
        <v>0</v>
      </c>
      <c r="I2174" s="17" t="str">
        <f>Github!E$2173</f>
        <v>Hard</v>
      </c>
      <c r="J2174" s="17" t="str">
        <f>ROUND(Github!N$2173, 2)&amp;"%"</f>
        <v>0%</v>
      </c>
      <c r="K2174" s="17">
        <f>Github!O$2173</f>
        <v>42.85214654</v>
      </c>
      <c r="L2174" s="17">
        <f>Github!P$2173</f>
        <v>4901</v>
      </c>
    </row>
    <row r="2175">
      <c r="A2175" s="17">
        <f>Github!J$2174</f>
        <v>2173</v>
      </c>
      <c r="B2175" s="34" t="str">
        <f>HYPERLINK(CONCAT("http://leetcode.com/problems/",Github!C$2174), Github!B$2174)</f>
        <v>Longest Winning Streak</v>
      </c>
      <c r="C2175" s="17">
        <f>Github!F$2174</f>
        <v>14</v>
      </c>
      <c r="D2175" s="17">
        <f>Github!G$2174</f>
        <v>1</v>
      </c>
      <c r="E2175" s="17">
        <f>Github!F$2174+Github!G$2174</f>
        <v>15</v>
      </c>
      <c r="F2175" s="18">
        <f t="shared" si="1"/>
        <v>14</v>
      </c>
      <c r="G2175" s="17" t="str">
        <f>Github!H$2174</f>
        <v>Database</v>
      </c>
      <c r="H2175" s="17" t="b">
        <f>Github!D$2174</f>
        <v>1</v>
      </c>
      <c r="I2175" s="17" t="str">
        <f>Github!E$2174</f>
        <v>Hard</v>
      </c>
      <c r="J2175" s="17" t="str">
        <f>ROUND(Github!N$2174, 2)&amp;"%"</f>
        <v>0%</v>
      </c>
      <c r="K2175" s="17">
        <f>Github!O$2174</f>
        <v>45.96443228</v>
      </c>
      <c r="L2175" s="17">
        <f>Github!P$2174</f>
        <v>336</v>
      </c>
    </row>
    <row r="2176">
      <c r="A2176" s="17">
        <f>Github!J$2175</f>
        <v>2174</v>
      </c>
      <c r="B2176" s="34" t="str">
        <f>HYPERLINK(CONCAT("http://leetcode.com/problems/",Github!C$2175), Github!B$2175)</f>
        <v>Remove All Ones With Row and Column Flips II</v>
      </c>
      <c r="C2176" s="17">
        <f>Github!F$2175</f>
        <v>19</v>
      </c>
      <c r="D2176" s="17">
        <f>Github!G$2175</f>
        <v>1</v>
      </c>
      <c r="E2176" s="17">
        <f>Github!F$2175+Github!G$2175</f>
        <v>20</v>
      </c>
      <c r="F2176" s="18">
        <f t="shared" si="1"/>
        <v>19</v>
      </c>
      <c r="G2176" s="17" t="str">
        <f>Github!H$2175</f>
        <v>Algorithms</v>
      </c>
      <c r="H2176" s="17" t="b">
        <f>Github!D$2175</f>
        <v>1</v>
      </c>
      <c r="I2176" s="17" t="str">
        <f>Github!E$2175</f>
        <v>Medium</v>
      </c>
      <c r="J2176" s="17" t="str">
        <f>ROUND(Github!N$2175, 2)&amp;"%"</f>
        <v>0%</v>
      </c>
      <c r="K2176" s="17">
        <f>Github!O$2175</f>
        <v>68.27309237</v>
      </c>
      <c r="L2176" s="17">
        <f>Github!P$2175</f>
        <v>510</v>
      </c>
    </row>
    <row r="2177">
      <c r="A2177" s="17">
        <f>Github!J$2176</f>
        <v>2175</v>
      </c>
      <c r="B2177" s="34" t="str">
        <f>HYPERLINK(CONCAT("http://leetcode.com/problems/",Github!C$2176), Github!B$2176)</f>
        <v>The Change in Global Rankings</v>
      </c>
      <c r="C2177" s="17">
        <f>Github!F$2176</f>
        <v>7</v>
      </c>
      <c r="D2177" s="17">
        <f>Github!G$2176</f>
        <v>4</v>
      </c>
      <c r="E2177" s="17">
        <f>Github!F$2176+Github!G$2176</f>
        <v>11</v>
      </c>
      <c r="F2177" s="18">
        <f t="shared" si="1"/>
        <v>1.75</v>
      </c>
      <c r="G2177" s="17" t="str">
        <f>Github!H$2176</f>
        <v>Database</v>
      </c>
      <c r="H2177" s="17" t="b">
        <f>Github!D$2176</f>
        <v>1</v>
      </c>
      <c r="I2177" s="17" t="str">
        <f>Github!E$2176</f>
        <v>Medium</v>
      </c>
      <c r="J2177" s="17" t="str">
        <f>ROUND(Github!N$2176, 2)&amp;"%"</f>
        <v>0%</v>
      </c>
      <c r="K2177" s="17">
        <f>Github!O$2176</f>
        <v>63.26304107</v>
      </c>
      <c r="L2177" s="17">
        <f>Github!P$2176</f>
        <v>569</v>
      </c>
    </row>
    <row r="2178">
      <c r="A2178" s="17">
        <f>Github!J$2177</f>
        <v>2176</v>
      </c>
      <c r="B2178" s="34" t="str">
        <f>HYPERLINK(CONCAT("http://leetcode.com/problems/",Github!C$2177), Github!B$2177)</f>
        <v>Count Equal and Divisible Pairs in an Array</v>
      </c>
      <c r="C2178" s="17">
        <f>Github!F$2177</f>
        <v>135</v>
      </c>
      <c r="D2178" s="17">
        <f>Github!G$2177</f>
        <v>3</v>
      </c>
      <c r="E2178" s="17">
        <f>Github!F$2177+Github!G$2177</f>
        <v>138</v>
      </c>
      <c r="F2178" s="18">
        <f t="shared" si="1"/>
        <v>45</v>
      </c>
      <c r="G2178" s="17" t="str">
        <f>Github!H$2177</f>
        <v>Algorithms</v>
      </c>
      <c r="H2178" s="17" t="b">
        <f>Github!D$2177</f>
        <v>0</v>
      </c>
      <c r="I2178" s="17" t="str">
        <f>Github!E$2177</f>
        <v>Easy</v>
      </c>
      <c r="J2178" s="17" t="str">
        <f>ROUND(Github!N$2177, 2)&amp;"%"</f>
        <v>0%</v>
      </c>
      <c r="K2178" s="17">
        <f>Github!O$2177</f>
        <v>79.92948551</v>
      </c>
      <c r="L2178" s="17">
        <f>Github!P$2177</f>
        <v>18363</v>
      </c>
    </row>
    <row r="2179">
      <c r="A2179" s="17">
        <f>Github!J$2178</f>
        <v>2177</v>
      </c>
      <c r="B2179" s="34" t="str">
        <f>HYPERLINK(CONCAT("http://leetcode.com/problems/",Github!C$2178), Github!B$2178)</f>
        <v>Find Three Consecutive Integers That Sum to a Given Number</v>
      </c>
      <c r="C2179" s="17">
        <f>Github!F$2178</f>
        <v>193</v>
      </c>
      <c r="D2179" s="17">
        <f>Github!G$2178</f>
        <v>41</v>
      </c>
      <c r="E2179" s="17">
        <f>Github!F$2178+Github!G$2178</f>
        <v>234</v>
      </c>
      <c r="F2179" s="18">
        <f t="shared" si="1"/>
        <v>4.71</v>
      </c>
      <c r="G2179" s="17" t="str">
        <f>Github!H$2178</f>
        <v>Algorithms</v>
      </c>
      <c r="H2179" s="17" t="b">
        <f>Github!D$2178</f>
        <v>0</v>
      </c>
      <c r="I2179" s="17" t="str">
        <f>Github!E$2178</f>
        <v>Medium</v>
      </c>
      <c r="J2179" s="17" t="str">
        <f>ROUND(Github!N$2178, 2)&amp;"%"</f>
        <v>0%</v>
      </c>
      <c r="K2179" s="17">
        <f>Github!O$2178</f>
        <v>59.61153956</v>
      </c>
      <c r="L2179" s="17">
        <f>Github!P$2178</f>
        <v>16696</v>
      </c>
    </row>
    <row r="2180">
      <c r="A2180" s="17">
        <f>Github!J$2179</f>
        <v>2178</v>
      </c>
      <c r="B2180" s="34" t="str">
        <f>HYPERLINK(CONCAT("http://leetcode.com/problems/",Github!C$2179), Github!B$2179)</f>
        <v>Maximum Split of Positive Even Integers</v>
      </c>
      <c r="C2180" s="17">
        <f>Github!F$2179</f>
        <v>291</v>
      </c>
      <c r="D2180" s="17">
        <f>Github!G$2179</f>
        <v>37</v>
      </c>
      <c r="E2180" s="17">
        <f>Github!F$2179+Github!G$2179</f>
        <v>328</v>
      </c>
      <c r="F2180" s="18">
        <f t="shared" si="1"/>
        <v>7.86</v>
      </c>
      <c r="G2180" s="17" t="str">
        <f>Github!H$2179</f>
        <v>Algorithms</v>
      </c>
      <c r="H2180" s="17" t="b">
        <f>Github!D$2179</f>
        <v>0</v>
      </c>
      <c r="I2180" s="17" t="str">
        <f>Github!E$2179</f>
        <v>Medium</v>
      </c>
      <c r="J2180" s="17" t="str">
        <f>ROUND(Github!N$2179, 2)&amp;"%"</f>
        <v>0%</v>
      </c>
      <c r="K2180" s="17">
        <f>Github!O$2179</f>
        <v>53.56212917</v>
      </c>
      <c r="L2180" s="17">
        <f>Github!P$2179</f>
        <v>12548</v>
      </c>
    </row>
    <row r="2181">
      <c r="A2181" s="17">
        <f>Github!J$2180</f>
        <v>2179</v>
      </c>
      <c r="B2181" s="34" t="str">
        <f>HYPERLINK(CONCAT("http://leetcode.com/problems/",Github!C$2180), Github!B$2180)</f>
        <v>Count Good Triplets in an Array</v>
      </c>
      <c r="C2181" s="17">
        <f>Github!F$2180</f>
        <v>232</v>
      </c>
      <c r="D2181" s="17">
        <f>Github!G$2180</f>
        <v>10</v>
      </c>
      <c r="E2181" s="17">
        <f>Github!F$2180+Github!G$2180</f>
        <v>242</v>
      </c>
      <c r="F2181" s="18">
        <f t="shared" si="1"/>
        <v>23.2</v>
      </c>
      <c r="G2181" s="17" t="str">
        <f>Github!H$2180</f>
        <v>Algorithms</v>
      </c>
      <c r="H2181" s="17" t="b">
        <f>Github!D$2180</f>
        <v>0</v>
      </c>
      <c r="I2181" s="17" t="str">
        <f>Github!E$2180</f>
        <v>Hard</v>
      </c>
      <c r="J2181" s="17" t="str">
        <f>ROUND(Github!N$2180, 2)&amp;"%"</f>
        <v>0%</v>
      </c>
      <c r="K2181" s="17">
        <f>Github!O$2180</f>
        <v>33.34411036</v>
      </c>
      <c r="L2181" s="17">
        <f>Github!P$2180</f>
        <v>3094</v>
      </c>
    </row>
    <row r="2182">
      <c r="A2182" s="17">
        <f>Github!J$2181</f>
        <v>2180</v>
      </c>
      <c r="B2182" s="34" t="str">
        <f>HYPERLINK(CONCAT("http://leetcode.com/problems/",Github!C$2181), Github!B$2181)</f>
        <v>Count Integers With Even Digit Sum</v>
      </c>
      <c r="C2182" s="17">
        <f>Github!F$2181</f>
        <v>183</v>
      </c>
      <c r="D2182" s="17">
        <f>Github!G$2181</f>
        <v>12</v>
      </c>
      <c r="E2182" s="17">
        <f>Github!F$2181+Github!G$2181</f>
        <v>195</v>
      </c>
      <c r="F2182" s="18">
        <f t="shared" si="1"/>
        <v>15.25</v>
      </c>
      <c r="G2182" s="17" t="str">
        <f>Github!H$2181</f>
        <v>Algorithms</v>
      </c>
      <c r="H2182" s="17" t="b">
        <f>Github!D$2181</f>
        <v>0</v>
      </c>
      <c r="I2182" s="17" t="str">
        <f>Github!E$2181</f>
        <v>Easy</v>
      </c>
      <c r="J2182" s="17" t="str">
        <f>ROUND(Github!N$2181, 2)&amp;"%"</f>
        <v>0%</v>
      </c>
      <c r="K2182" s="17">
        <f>Github!O$2181</f>
        <v>64.89465351</v>
      </c>
      <c r="L2182" s="17">
        <f>Github!P$2181</f>
        <v>21313</v>
      </c>
    </row>
    <row r="2183">
      <c r="A2183" s="17">
        <f>Github!J$2182</f>
        <v>2181</v>
      </c>
      <c r="B2183" s="34" t="str">
        <f>HYPERLINK(CONCAT("http://leetcode.com/problems/",Github!C$2182), Github!B$2182)</f>
        <v>Merge Nodes in Between Zeros</v>
      </c>
      <c r="C2183" s="17">
        <f>Github!F$2182</f>
        <v>282</v>
      </c>
      <c r="D2183" s="17">
        <f>Github!G$2182</f>
        <v>6</v>
      </c>
      <c r="E2183" s="17">
        <f>Github!F$2182+Github!G$2182</f>
        <v>288</v>
      </c>
      <c r="F2183" s="18">
        <f t="shared" si="1"/>
        <v>47</v>
      </c>
      <c r="G2183" s="17" t="str">
        <f>Github!H$2182</f>
        <v>Algorithms</v>
      </c>
      <c r="H2183" s="17" t="b">
        <f>Github!D$2182</f>
        <v>0</v>
      </c>
      <c r="I2183" s="17" t="str">
        <f>Github!E$2182</f>
        <v>Medium</v>
      </c>
      <c r="J2183" s="17" t="str">
        <f>ROUND(Github!N$2182, 2)&amp;"%"</f>
        <v>0%</v>
      </c>
      <c r="K2183" s="17">
        <f>Github!O$2182</f>
        <v>87.50304112</v>
      </c>
      <c r="L2183" s="17">
        <f>Github!P$2182</f>
        <v>21579</v>
      </c>
    </row>
    <row r="2184">
      <c r="A2184" s="17">
        <f>Github!J$2183</f>
        <v>2182</v>
      </c>
      <c r="B2184" s="34" t="str">
        <f>HYPERLINK(CONCAT("http://leetcode.com/problems/",Github!C$2183), Github!B$2183)</f>
        <v>Construct String With Repeat Limit</v>
      </c>
      <c r="C2184" s="17">
        <f>Github!F$2183</f>
        <v>330</v>
      </c>
      <c r="D2184" s="17">
        <f>Github!G$2183</f>
        <v>19</v>
      </c>
      <c r="E2184" s="17">
        <f>Github!F$2183+Github!G$2183</f>
        <v>349</v>
      </c>
      <c r="F2184" s="18">
        <f t="shared" si="1"/>
        <v>17.37</v>
      </c>
      <c r="G2184" s="17" t="str">
        <f>Github!H$2183</f>
        <v>Algorithms</v>
      </c>
      <c r="H2184" s="17" t="b">
        <f>Github!D$2183</f>
        <v>0</v>
      </c>
      <c r="I2184" s="17" t="str">
        <f>Github!E$2183</f>
        <v>Medium</v>
      </c>
      <c r="J2184" s="17" t="str">
        <f>ROUND(Github!N$2183, 2)&amp;"%"</f>
        <v>0%</v>
      </c>
      <c r="K2184" s="17">
        <f>Github!O$2183</f>
        <v>50.59664843</v>
      </c>
      <c r="L2184" s="17">
        <f>Github!P$2183</f>
        <v>11744</v>
      </c>
    </row>
    <row r="2185">
      <c r="A2185" s="17">
        <f>Github!J$2184</f>
        <v>2183</v>
      </c>
      <c r="B2185" s="34" t="str">
        <f>HYPERLINK(CONCAT("http://leetcode.com/problems/",Github!C$2184), Github!B$2184)</f>
        <v>Count Array Pairs Divisible by K</v>
      </c>
      <c r="C2185" s="17">
        <f>Github!F$2184</f>
        <v>349</v>
      </c>
      <c r="D2185" s="17">
        <f>Github!G$2184</f>
        <v>21</v>
      </c>
      <c r="E2185" s="17">
        <f>Github!F$2184+Github!G$2184</f>
        <v>370</v>
      </c>
      <c r="F2185" s="18">
        <f t="shared" si="1"/>
        <v>16.62</v>
      </c>
      <c r="G2185" s="17" t="str">
        <f>Github!H$2184</f>
        <v>Algorithms</v>
      </c>
      <c r="H2185" s="17" t="b">
        <f>Github!D$2184</f>
        <v>0</v>
      </c>
      <c r="I2185" s="17" t="str">
        <f>Github!E$2184</f>
        <v>Hard</v>
      </c>
      <c r="J2185" s="17" t="str">
        <f>ROUND(Github!N$2184, 2)&amp;"%"</f>
        <v>0%</v>
      </c>
      <c r="K2185" s="17">
        <f>Github!O$2184</f>
        <v>26.0278564</v>
      </c>
      <c r="L2185" s="17">
        <f>Github!P$2184</f>
        <v>6989</v>
      </c>
    </row>
    <row r="2186">
      <c r="A2186" s="17">
        <f>Github!J$2185</f>
        <v>2184</v>
      </c>
      <c r="B2186" s="34" t="str">
        <f>HYPERLINK(CONCAT("http://leetcode.com/problems/",Github!C$2185), Github!B$2185)</f>
        <v>Number of Ways to Build Sturdy Brick Wall</v>
      </c>
      <c r="C2186" s="17">
        <f>Github!F$2185</f>
        <v>22</v>
      </c>
      <c r="D2186" s="17">
        <f>Github!G$2185</f>
        <v>5</v>
      </c>
      <c r="E2186" s="17">
        <f>Github!F$2185+Github!G$2185</f>
        <v>27</v>
      </c>
      <c r="F2186" s="18">
        <f t="shared" si="1"/>
        <v>4.4</v>
      </c>
      <c r="G2186" s="17" t="str">
        <f>Github!H$2185</f>
        <v>Algorithms</v>
      </c>
      <c r="H2186" s="17" t="b">
        <f>Github!D$2185</f>
        <v>1</v>
      </c>
      <c r="I2186" s="17" t="str">
        <f>Github!E$2185</f>
        <v>Medium</v>
      </c>
      <c r="J2186" s="17" t="str">
        <f>ROUND(Github!N$2185, 2)&amp;"%"</f>
        <v>0%</v>
      </c>
      <c r="K2186" s="17">
        <f>Github!O$2185</f>
        <v>64.91885144</v>
      </c>
      <c r="L2186" s="17">
        <f>Github!P$2185</f>
        <v>520</v>
      </c>
    </row>
    <row r="2187">
      <c r="A2187" s="17">
        <f>Github!J$2186</f>
        <v>2185</v>
      </c>
      <c r="B2187" s="34" t="str">
        <f>HYPERLINK(CONCAT("http://leetcode.com/problems/",Github!C$2186), Github!B$2186)</f>
        <v>Counting Words With a Given Prefix</v>
      </c>
      <c r="C2187" s="17">
        <f>Github!F$2186</f>
        <v>153</v>
      </c>
      <c r="D2187" s="17">
        <f>Github!G$2186</f>
        <v>2</v>
      </c>
      <c r="E2187" s="17">
        <f>Github!F$2186+Github!G$2186</f>
        <v>155</v>
      </c>
      <c r="F2187" s="18">
        <f t="shared" si="1"/>
        <v>76.5</v>
      </c>
      <c r="G2187" s="17" t="str">
        <f>Github!H$2186</f>
        <v>Algorithms</v>
      </c>
      <c r="H2187" s="17" t="b">
        <f>Github!D$2186</f>
        <v>0</v>
      </c>
      <c r="I2187" s="17" t="str">
        <f>Github!E$2186</f>
        <v>Easy</v>
      </c>
      <c r="J2187" s="17" t="str">
        <f>ROUND(Github!N$2186, 2)&amp;"%"</f>
        <v>0%</v>
      </c>
      <c r="K2187" s="17">
        <f>Github!O$2186</f>
        <v>77.68156141</v>
      </c>
      <c r="L2187" s="17">
        <f>Github!P$2186</f>
        <v>22962</v>
      </c>
    </row>
    <row r="2188">
      <c r="A2188" s="17">
        <f>Github!J$2187</f>
        <v>2186</v>
      </c>
      <c r="B2188" s="34" t="str">
        <f>HYPERLINK(CONCAT("http://leetcode.com/problems/",Github!C$2187), Github!B$2187)</f>
        <v>Minimum Number of Steps to Make Two Strings Anagram II</v>
      </c>
      <c r="C2188" s="17">
        <f>Github!F$2187</f>
        <v>188</v>
      </c>
      <c r="D2188" s="17">
        <f>Github!G$2187</f>
        <v>4</v>
      </c>
      <c r="E2188" s="17">
        <f>Github!F$2187+Github!G$2187</f>
        <v>192</v>
      </c>
      <c r="F2188" s="18">
        <f t="shared" si="1"/>
        <v>47</v>
      </c>
      <c r="G2188" s="17" t="str">
        <f>Github!H$2187</f>
        <v>Algorithms</v>
      </c>
      <c r="H2188" s="17" t="b">
        <f>Github!D$2187</f>
        <v>0</v>
      </c>
      <c r="I2188" s="17" t="str">
        <f>Github!E$2187</f>
        <v>Medium</v>
      </c>
      <c r="J2188" s="17" t="str">
        <f>ROUND(Github!N$2187, 2)&amp;"%"</f>
        <v>0%</v>
      </c>
      <c r="K2188" s="17">
        <f>Github!O$2187</f>
        <v>69.68324139</v>
      </c>
      <c r="L2188" s="17">
        <f>Github!P$2187</f>
        <v>19072</v>
      </c>
    </row>
    <row r="2189">
      <c r="A2189" s="17">
        <f>Github!J$2188</f>
        <v>2187</v>
      </c>
      <c r="B2189" s="34" t="str">
        <f>HYPERLINK(CONCAT("http://leetcode.com/problems/",Github!C$2188), Github!B$2188)</f>
        <v>Minimum Time to Complete Trips</v>
      </c>
      <c r="C2189" s="17">
        <f>Github!F$2188</f>
        <v>435</v>
      </c>
      <c r="D2189" s="17">
        <f>Github!G$2188</f>
        <v>23</v>
      </c>
      <c r="E2189" s="17">
        <f>Github!F$2188+Github!G$2188</f>
        <v>458</v>
      </c>
      <c r="F2189" s="18">
        <f t="shared" si="1"/>
        <v>18.91</v>
      </c>
      <c r="G2189" s="17" t="str">
        <f>Github!H$2188</f>
        <v>Algorithms</v>
      </c>
      <c r="H2189" s="17" t="b">
        <f>Github!D$2188</f>
        <v>0</v>
      </c>
      <c r="I2189" s="17" t="str">
        <f>Github!E$2188</f>
        <v>Medium</v>
      </c>
      <c r="J2189" s="17" t="str">
        <f>ROUND(Github!N$2188, 2)&amp;"%"</f>
        <v>0%</v>
      </c>
      <c r="K2189" s="17">
        <f>Github!O$2188</f>
        <v>28.88250653</v>
      </c>
      <c r="L2189" s="17">
        <f>Github!P$2188</f>
        <v>16592</v>
      </c>
    </row>
    <row r="2190">
      <c r="A2190" s="17">
        <f>Github!J$2189</f>
        <v>2188</v>
      </c>
      <c r="B2190" s="34" t="str">
        <f>HYPERLINK(CONCAT("http://leetcode.com/problems/",Github!C$2189), Github!B$2189)</f>
        <v>Minimum Time to Finish the Race</v>
      </c>
      <c r="C2190" s="17">
        <f>Github!F$2189</f>
        <v>270</v>
      </c>
      <c r="D2190" s="17">
        <f>Github!G$2189</f>
        <v>7</v>
      </c>
      <c r="E2190" s="17">
        <f>Github!F$2189+Github!G$2189</f>
        <v>277</v>
      </c>
      <c r="F2190" s="18">
        <f t="shared" si="1"/>
        <v>38.57</v>
      </c>
      <c r="G2190" s="17" t="str">
        <f>Github!H$2189</f>
        <v>Algorithms</v>
      </c>
      <c r="H2190" s="17" t="b">
        <f>Github!D$2189</f>
        <v>0</v>
      </c>
      <c r="I2190" s="17" t="str">
        <f>Github!E$2189</f>
        <v>Hard</v>
      </c>
      <c r="J2190" s="17" t="str">
        <f>ROUND(Github!N$2189, 2)&amp;"%"</f>
        <v>0%</v>
      </c>
      <c r="K2190" s="17">
        <f>Github!O$2189</f>
        <v>39.05821776</v>
      </c>
      <c r="L2190" s="17">
        <f>Github!P$2189</f>
        <v>4702</v>
      </c>
    </row>
    <row r="2191">
      <c r="A2191" s="17">
        <f>Github!J$2190</f>
        <v>2189</v>
      </c>
      <c r="B2191" s="34" t="str">
        <f>HYPERLINK(CONCAT("http://leetcode.com/problems/",Github!C$2190), Github!B$2190)</f>
        <v>Number of Ways to Build House of Cards</v>
      </c>
      <c r="C2191" s="17">
        <f>Github!F$2190</f>
        <v>15</v>
      </c>
      <c r="D2191" s="17">
        <f>Github!G$2190</f>
        <v>2</v>
      </c>
      <c r="E2191" s="17">
        <f>Github!F$2190+Github!G$2190</f>
        <v>17</v>
      </c>
      <c r="F2191" s="18">
        <f t="shared" si="1"/>
        <v>7.5</v>
      </c>
      <c r="G2191" s="17" t="str">
        <f>Github!H$2190</f>
        <v>Algorithms</v>
      </c>
      <c r="H2191" s="17" t="b">
        <f>Github!D$2190</f>
        <v>1</v>
      </c>
      <c r="I2191" s="17" t="str">
        <f>Github!E$2190</f>
        <v>Medium</v>
      </c>
      <c r="J2191" s="17" t="str">
        <f>ROUND(Github!N$2190, 2)&amp;"%"</f>
        <v>0%</v>
      </c>
      <c r="K2191" s="17">
        <f>Github!O$2190</f>
        <v>66.31259484</v>
      </c>
      <c r="L2191" s="17">
        <f>Github!P$2190</f>
        <v>437</v>
      </c>
    </row>
    <row r="2192">
      <c r="A2192" s="17">
        <f>Github!J$2191</f>
        <v>2190</v>
      </c>
      <c r="B2192" s="34" t="str">
        <f>HYPERLINK(CONCAT("http://leetcode.com/problems/",Github!C$2191), Github!B$2191)</f>
        <v>Most Frequent Number Following Key In an Array</v>
      </c>
      <c r="C2192" s="17">
        <f>Github!F$2191</f>
        <v>104</v>
      </c>
      <c r="D2192" s="17">
        <f>Github!G$2191</f>
        <v>50</v>
      </c>
      <c r="E2192" s="17">
        <f>Github!F$2191+Github!G$2191</f>
        <v>154</v>
      </c>
      <c r="F2192" s="18">
        <f t="shared" si="1"/>
        <v>2.08</v>
      </c>
      <c r="G2192" s="17" t="str">
        <f>Github!H$2191</f>
        <v>Algorithms</v>
      </c>
      <c r="H2192" s="17" t="b">
        <f>Github!D$2191</f>
        <v>0</v>
      </c>
      <c r="I2192" s="17" t="str">
        <f>Github!E$2191</f>
        <v>Easy</v>
      </c>
      <c r="J2192" s="17" t="str">
        <f>ROUND(Github!N$2191, 2)&amp;"%"</f>
        <v>0%</v>
      </c>
      <c r="K2192" s="17">
        <f>Github!O$2191</f>
        <v>60.10529134</v>
      </c>
      <c r="L2192" s="17">
        <f>Github!P$2191</f>
        <v>13466</v>
      </c>
    </row>
    <row r="2193">
      <c r="A2193" s="17">
        <f>Github!J$2192</f>
        <v>2191</v>
      </c>
      <c r="B2193" s="34" t="str">
        <f>HYPERLINK(CONCAT("http://leetcode.com/problems/",Github!C$2192), Github!B$2192)</f>
        <v>Sort the Jumbled Numbers</v>
      </c>
      <c r="C2193" s="17">
        <f>Github!F$2192</f>
        <v>182</v>
      </c>
      <c r="D2193" s="17">
        <f>Github!G$2192</f>
        <v>19</v>
      </c>
      <c r="E2193" s="17">
        <f>Github!F$2192+Github!G$2192</f>
        <v>201</v>
      </c>
      <c r="F2193" s="18">
        <f t="shared" si="1"/>
        <v>9.58</v>
      </c>
      <c r="G2193" s="17" t="str">
        <f>Github!H$2192</f>
        <v>Algorithms</v>
      </c>
      <c r="H2193" s="17" t="b">
        <f>Github!D$2192</f>
        <v>0</v>
      </c>
      <c r="I2193" s="17" t="str">
        <f>Github!E$2192</f>
        <v>Medium</v>
      </c>
      <c r="J2193" s="17" t="str">
        <f>ROUND(Github!N$2192, 2)&amp;"%"</f>
        <v>0%</v>
      </c>
      <c r="K2193" s="17">
        <f>Github!O$2192</f>
        <v>41.90725071</v>
      </c>
      <c r="L2193" s="17">
        <f>Github!P$2192</f>
        <v>10101</v>
      </c>
    </row>
    <row r="2194">
      <c r="A2194" s="17">
        <f>Github!J$2193</f>
        <v>2192</v>
      </c>
      <c r="B2194" s="34" t="str">
        <f>HYPERLINK(CONCAT("http://leetcode.com/problems/",Github!C$2193), Github!B$2193)</f>
        <v>All Ancestors of a Node in a Directed Acyclic Graph</v>
      </c>
      <c r="C2194" s="17">
        <f>Github!F$2193</f>
        <v>262</v>
      </c>
      <c r="D2194" s="17">
        <f>Github!G$2193</f>
        <v>3</v>
      </c>
      <c r="E2194" s="17">
        <f>Github!F$2193+Github!G$2193</f>
        <v>265</v>
      </c>
      <c r="F2194" s="18">
        <f t="shared" si="1"/>
        <v>87.33</v>
      </c>
      <c r="G2194" s="17" t="str">
        <f>Github!H$2193</f>
        <v>Algorithms</v>
      </c>
      <c r="H2194" s="17" t="b">
        <f>Github!D$2193</f>
        <v>0</v>
      </c>
      <c r="I2194" s="17" t="str">
        <f>Github!E$2193</f>
        <v>Medium</v>
      </c>
      <c r="J2194" s="17" t="str">
        <f>ROUND(Github!N$2193, 2)&amp;"%"</f>
        <v>0%</v>
      </c>
      <c r="K2194" s="17">
        <f>Github!O$2193</f>
        <v>43.23071217</v>
      </c>
      <c r="L2194" s="17">
        <f>Github!P$2193</f>
        <v>6991</v>
      </c>
    </row>
    <row r="2195">
      <c r="A2195" s="17">
        <f>Github!J$2194</f>
        <v>2193</v>
      </c>
      <c r="B2195" s="34" t="str">
        <f>HYPERLINK(CONCAT("http://leetcode.com/problems/",Github!C$2194), Github!B$2194)</f>
        <v>Minimum Number of Moves to Make Palindrome</v>
      </c>
      <c r="C2195" s="17">
        <f>Github!F$2194</f>
        <v>127</v>
      </c>
      <c r="D2195" s="17">
        <f>Github!G$2194</f>
        <v>47</v>
      </c>
      <c r="E2195" s="17">
        <f>Github!F$2194+Github!G$2194</f>
        <v>174</v>
      </c>
      <c r="F2195" s="18">
        <f t="shared" si="1"/>
        <v>2.7</v>
      </c>
      <c r="G2195" s="17" t="str">
        <f>Github!H$2194</f>
        <v>Algorithms</v>
      </c>
      <c r="H2195" s="17" t="b">
        <f>Github!D$2194</f>
        <v>0</v>
      </c>
      <c r="I2195" s="17" t="str">
        <f>Github!E$2194</f>
        <v>Hard</v>
      </c>
      <c r="J2195" s="17" t="str">
        <f>ROUND(Github!N$2194, 2)&amp;"%"</f>
        <v>0%</v>
      </c>
      <c r="K2195" s="17">
        <f>Github!O$2194</f>
        <v>39.00064199</v>
      </c>
      <c r="L2195" s="17">
        <f>Github!P$2194</f>
        <v>3641</v>
      </c>
    </row>
    <row r="2196">
      <c r="A2196" s="17">
        <f>Github!J$2195</f>
        <v>2194</v>
      </c>
      <c r="B2196" s="34" t="str">
        <f>HYPERLINK(CONCAT("http://leetcode.com/problems/",Github!C$2195), Github!B$2195)</f>
        <v>Cells in a Range on an Excel Sheet</v>
      </c>
      <c r="C2196" s="17">
        <f>Github!F$2195</f>
        <v>87</v>
      </c>
      <c r="D2196" s="17">
        <f>Github!G$2195</f>
        <v>24</v>
      </c>
      <c r="E2196" s="17">
        <f>Github!F$2195+Github!G$2195</f>
        <v>111</v>
      </c>
      <c r="F2196" s="18">
        <f t="shared" si="1"/>
        <v>3.63</v>
      </c>
      <c r="G2196" s="17" t="str">
        <f>Github!H$2195</f>
        <v>Algorithms</v>
      </c>
      <c r="H2196" s="17" t="b">
        <f>Github!D$2195</f>
        <v>0</v>
      </c>
      <c r="I2196" s="17" t="str">
        <f>Github!E$2195</f>
        <v>Easy</v>
      </c>
      <c r="J2196" s="17" t="str">
        <f>ROUND(Github!N$2195, 2)&amp;"%"</f>
        <v>0%</v>
      </c>
      <c r="K2196" s="17">
        <f>Github!O$2195</f>
        <v>85.0458273</v>
      </c>
      <c r="L2196" s="17">
        <f>Github!P$2195</f>
        <v>15864</v>
      </c>
    </row>
    <row r="2197">
      <c r="A2197" s="17">
        <f>Github!J$2196</f>
        <v>2195</v>
      </c>
      <c r="B2197" s="34" t="str">
        <f>HYPERLINK(CONCAT("http://leetcode.com/problems/",Github!C$2196), Github!B$2196)</f>
        <v>Append K Integers With Minimal Sum</v>
      </c>
      <c r="C2197" s="17">
        <f>Github!F$2196</f>
        <v>242</v>
      </c>
      <c r="D2197" s="17">
        <f>Github!G$2196</f>
        <v>202</v>
      </c>
      <c r="E2197" s="17">
        <f>Github!F$2196+Github!G$2196</f>
        <v>444</v>
      </c>
      <c r="F2197" s="18">
        <f t="shared" si="1"/>
        <v>1.2</v>
      </c>
      <c r="G2197" s="17" t="str">
        <f>Github!H$2196</f>
        <v>Algorithms</v>
      </c>
      <c r="H2197" s="17" t="b">
        <f>Github!D$2196</f>
        <v>0</v>
      </c>
      <c r="I2197" s="17" t="str">
        <f>Github!E$2196</f>
        <v>Medium</v>
      </c>
      <c r="J2197" s="17" t="str">
        <f>ROUND(Github!N$2196, 2)&amp;"%"</f>
        <v>0%</v>
      </c>
      <c r="K2197" s="17">
        <f>Github!O$2196</f>
        <v>22.08885452</v>
      </c>
      <c r="L2197" s="17">
        <f>Github!P$2196</f>
        <v>12566</v>
      </c>
    </row>
    <row r="2198">
      <c r="A2198" s="17">
        <f>Github!J$2197</f>
        <v>2196</v>
      </c>
      <c r="B2198" s="34" t="str">
        <f>HYPERLINK(CONCAT("http://leetcode.com/problems/",Github!C$2197), Github!B$2197)</f>
        <v>Create Binary Tree From Descriptions</v>
      </c>
      <c r="C2198" s="17">
        <f>Github!F$2197</f>
        <v>240</v>
      </c>
      <c r="D2198" s="17">
        <f>Github!G$2197</f>
        <v>7</v>
      </c>
      <c r="E2198" s="17">
        <f>Github!F$2197+Github!G$2197</f>
        <v>247</v>
      </c>
      <c r="F2198" s="18">
        <f t="shared" si="1"/>
        <v>34.29</v>
      </c>
      <c r="G2198" s="17" t="str">
        <f>Github!H$2197</f>
        <v>Algorithms</v>
      </c>
      <c r="H2198" s="17" t="b">
        <f>Github!D$2197</f>
        <v>0</v>
      </c>
      <c r="I2198" s="17" t="str">
        <f>Github!E$2197</f>
        <v>Medium</v>
      </c>
      <c r="J2198" s="17" t="str">
        <f>ROUND(Github!N$2197, 2)&amp;"%"</f>
        <v>0%</v>
      </c>
      <c r="K2198" s="17">
        <f>Github!O$2197</f>
        <v>69.43602965</v>
      </c>
      <c r="L2198" s="17">
        <f>Github!P$2197</f>
        <v>10768</v>
      </c>
    </row>
    <row r="2199">
      <c r="A2199" s="17">
        <f>Github!J$2198</f>
        <v>2197</v>
      </c>
      <c r="B2199" s="34" t="str">
        <f>HYPERLINK(CONCAT("http://leetcode.com/problems/",Github!C$2198), Github!B$2198)</f>
        <v>Replace Non-Coprime Numbers in Array</v>
      </c>
      <c r="C2199" s="17">
        <f>Github!F$2198</f>
        <v>169</v>
      </c>
      <c r="D2199" s="17">
        <f>Github!G$2198</f>
        <v>5</v>
      </c>
      <c r="E2199" s="17">
        <f>Github!F$2198+Github!G$2198</f>
        <v>174</v>
      </c>
      <c r="F2199" s="18">
        <f t="shared" si="1"/>
        <v>33.8</v>
      </c>
      <c r="G2199" s="17" t="str">
        <f>Github!H$2198</f>
        <v>Algorithms</v>
      </c>
      <c r="H2199" s="17" t="b">
        <f>Github!D$2198</f>
        <v>0</v>
      </c>
      <c r="I2199" s="17" t="str">
        <f>Github!E$2198</f>
        <v>Hard</v>
      </c>
      <c r="J2199" s="17" t="str">
        <f>ROUND(Github!N$2198, 2)&amp;"%"</f>
        <v>0%</v>
      </c>
      <c r="K2199" s="17">
        <f>Github!O$2198</f>
        <v>33.2608951</v>
      </c>
      <c r="L2199" s="17">
        <f>Github!P$2198</f>
        <v>5655</v>
      </c>
    </row>
    <row r="2200">
      <c r="A2200" s="17"/>
      <c r="B2200" s="17"/>
      <c r="C2200" s="17"/>
      <c r="D2200" s="17"/>
      <c r="E2200" s="17"/>
      <c r="F2200" s="18"/>
      <c r="G2200" s="17"/>
      <c r="H2200" s="17"/>
      <c r="I2200" s="17"/>
      <c r="J2200" s="17"/>
      <c r="K2200" s="17"/>
      <c r="L2200" s="17"/>
    </row>
    <row r="2201">
      <c r="A2201" s="17"/>
      <c r="B2201" s="17"/>
      <c r="C2201" s="17" t="str">
        <f>Github!F$2200</f>
        <v/>
      </c>
      <c r="D2201" s="17"/>
      <c r="E2201" s="17"/>
      <c r="F2201" s="18"/>
      <c r="G2201" s="17"/>
      <c r="H2201" s="17"/>
      <c r="I2201" s="17"/>
      <c r="J2201" s="17"/>
      <c r="K2201" s="17"/>
      <c r="L2201" s="17"/>
    </row>
    <row r="2202">
      <c r="A2202" s="17"/>
      <c r="B2202" s="17"/>
      <c r="C2202" s="17" t="str">
        <f>Github!F$2201</f>
        <v/>
      </c>
      <c r="D2202" s="17"/>
      <c r="E2202" s="17"/>
      <c r="F2202" s="18"/>
      <c r="G2202" s="17"/>
      <c r="H2202" s="17"/>
      <c r="I2202" s="17"/>
      <c r="J2202" s="17"/>
      <c r="K2202" s="17"/>
      <c r="L2202" s="17"/>
    </row>
    <row r="2203">
      <c r="A2203" s="17"/>
      <c r="B2203" s="17"/>
      <c r="C2203" s="17" t="str">
        <f>Github!F$2202</f>
        <v/>
      </c>
      <c r="D2203" s="17"/>
      <c r="E2203" s="17"/>
      <c r="F2203" s="18"/>
      <c r="G2203" s="17"/>
      <c r="H2203" s="17"/>
      <c r="I2203" s="17"/>
      <c r="J2203" s="17"/>
      <c r="K2203" s="17"/>
      <c r="L2203" s="17"/>
    </row>
    <row r="2204">
      <c r="A2204" s="17"/>
      <c r="B2204" s="17"/>
      <c r="C2204" s="17"/>
      <c r="D2204" s="17"/>
      <c r="E2204" s="17"/>
      <c r="F2204" s="18"/>
      <c r="G2204" s="17"/>
      <c r="H2204" s="17"/>
      <c r="I2204" s="17"/>
      <c r="J2204" s="17"/>
      <c r="K2204" s="17"/>
      <c r="L2204" s="17"/>
    </row>
    <row r="2205">
      <c r="A2205" s="17"/>
      <c r="B2205" s="17"/>
      <c r="C2205" s="17"/>
      <c r="D2205" s="17"/>
      <c r="E2205" s="17"/>
      <c r="F2205" s="18"/>
      <c r="G2205" s="17"/>
      <c r="H2205" s="17"/>
      <c r="I2205" s="17"/>
      <c r="J2205" s="17"/>
      <c r="K2205" s="17"/>
      <c r="L2205" s="17"/>
    </row>
    <row r="2206">
      <c r="A2206" s="17"/>
      <c r="B2206" s="17"/>
      <c r="C2206" s="17"/>
      <c r="D2206" s="17"/>
      <c r="E2206" s="17"/>
      <c r="F2206" s="18"/>
      <c r="G2206" s="17"/>
      <c r="H2206" s="17"/>
      <c r="I2206" s="17"/>
      <c r="J2206" s="17"/>
      <c r="K2206" s="17"/>
      <c r="L2206" s="17"/>
    </row>
    <row r="2207">
      <c r="A2207" s="17"/>
      <c r="B2207" s="17"/>
      <c r="C2207" s="17"/>
      <c r="D2207" s="17"/>
      <c r="E2207" s="17"/>
      <c r="F2207" s="18"/>
      <c r="G2207" s="17"/>
      <c r="H2207" s="17"/>
      <c r="I2207" s="17"/>
      <c r="J2207" s="17"/>
      <c r="K2207" s="17"/>
      <c r="L2207" s="17"/>
    </row>
    <row r="2208">
      <c r="A2208" s="17"/>
      <c r="B2208" s="17"/>
      <c r="C2208" s="17"/>
      <c r="D2208" s="17"/>
      <c r="E2208" s="17"/>
      <c r="F2208" s="18"/>
      <c r="G2208" s="17"/>
      <c r="H2208" s="17"/>
      <c r="I2208" s="17"/>
      <c r="J2208" s="17"/>
      <c r="K2208" s="17"/>
      <c r="L2208" s="17"/>
    </row>
    <row r="2209">
      <c r="A2209" s="17"/>
      <c r="B2209" s="17"/>
      <c r="C2209" s="17"/>
      <c r="D2209" s="17"/>
      <c r="E2209" s="17"/>
      <c r="F2209" s="18"/>
      <c r="G2209" s="17"/>
      <c r="H2209" s="17"/>
      <c r="I2209" s="17"/>
      <c r="J2209" s="17"/>
      <c r="K2209" s="17"/>
      <c r="L2209" s="17"/>
    </row>
    <row r="2210">
      <c r="A2210" s="17"/>
      <c r="B2210" s="17"/>
      <c r="C2210" s="17"/>
      <c r="D2210" s="17"/>
      <c r="E2210" s="17"/>
      <c r="F2210" s="18"/>
      <c r="G2210" s="17"/>
      <c r="H2210" s="17"/>
      <c r="I2210" s="17"/>
      <c r="J2210" s="17"/>
      <c r="K2210" s="17"/>
      <c r="L2210" s="17"/>
    </row>
    <row r="2211">
      <c r="A2211" s="17"/>
      <c r="B2211" s="17"/>
      <c r="C2211" s="17"/>
      <c r="D2211" s="17"/>
      <c r="E2211" s="17"/>
      <c r="F2211" s="18"/>
      <c r="G2211" s="17"/>
      <c r="H2211" s="17"/>
      <c r="I2211" s="17"/>
      <c r="J2211" s="17"/>
      <c r="K2211" s="17"/>
      <c r="L2211" s="17"/>
    </row>
    <row r="2212">
      <c r="A2212" s="17"/>
      <c r="B2212" s="17"/>
      <c r="C2212" s="17"/>
      <c r="D2212" s="17"/>
      <c r="E2212" s="17"/>
      <c r="F2212" s="18"/>
      <c r="G2212" s="17"/>
      <c r="H2212" s="17"/>
      <c r="I2212" s="17"/>
      <c r="J2212" s="17"/>
      <c r="K2212" s="17"/>
      <c r="L2212" s="17"/>
    </row>
    <row r="2213">
      <c r="A2213" s="17"/>
      <c r="B2213" s="17"/>
      <c r="C2213" s="17"/>
      <c r="D2213" s="17"/>
      <c r="E2213" s="17"/>
      <c r="F2213" s="18"/>
      <c r="G2213" s="17"/>
      <c r="H2213" s="17"/>
      <c r="I2213" s="17"/>
      <c r="J2213" s="17"/>
      <c r="K2213" s="17"/>
      <c r="L2213" s="17"/>
    </row>
    <row r="2214">
      <c r="A2214" s="17"/>
      <c r="B2214" s="17"/>
      <c r="C2214" s="17"/>
      <c r="D2214" s="17"/>
      <c r="E2214" s="17"/>
      <c r="F2214" s="18"/>
      <c r="G2214" s="17"/>
      <c r="H2214" s="17"/>
      <c r="I2214" s="17"/>
      <c r="J2214" s="17"/>
      <c r="K2214" s="17"/>
      <c r="L2214" s="17"/>
    </row>
    <row r="2215">
      <c r="A2215" s="17"/>
      <c r="B2215" s="17"/>
      <c r="C2215" s="17"/>
      <c r="D2215" s="17"/>
      <c r="E2215" s="17"/>
      <c r="F2215" s="18"/>
      <c r="G2215" s="17"/>
      <c r="H2215" s="17"/>
      <c r="I2215" s="17"/>
      <c r="J2215" s="17"/>
      <c r="K2215" s="17"/>
      <c r="L2215" s="17"/>
    </row>
    <row r="2216">
      <c r="A2216" s="17"/>
      <c r="B2216" s="17"/>
      <c r="C2216" s="17"/>
      <c r="D2216" s="17"/>
      <c r="E2216" s="17"/>
      <c r="F2216" s="18"/>
      <c r="G2216" s="17"/>
      <c r="H2216" s="17"/>
      <c r="I2216" s="17"/>
      <c r="J2216" s="17"/>
      <c r="K2216" s="17"/>
      <c r="L2216" s="17"/>
    </row>
    <row r="2217">
      <c r="A2217" s="17"/>
      <c r="B2217" s="17"/>
      <c r="C2217" s="17"/>
      <c r="D2217" s="17"/>
      <c r="E2217" s="17"/>
      <c r="F2217" s="18"/>
      <c r="G2217" s="17"/>
      <c r="H2217" s="17"/>
      <c r="I2217" s="17"/>
      <c r="J2217" s="17"/>
      <c r="K2217" s="17"/>
      <c r="L2217" s="17"/>
    </row>
    <row r="2218">
      <c r="A2218" s="17"/>
      <c r="B2218" s="17"/>
      <c r="C2218" s="17"/>
      <c r="D2218" s="17"/>
      <c r="E2218" s="17"/>
      <c r="F2218" s="18"/>
      <c r="G2218" s="17"/>
      <c r="H2218" s="17"/>
      <c r="I2218" s="17"/>
      <c r="J2218" s="17"/>
      <c r="K2218" s="17"/>
      <c r="L2218" s="17"/>
    </row>
    <row r="2219">
      <c r="A2219" s="17"/>
      <c r="B2219" s="17"/>
      <c r="C2219" s="17"/>
      <c r="D2219" s="17"/>
      <c r="E2219" s="17"/>
      <c r="F2219" s="18"/>
      <c r="G2219" s="17"/>
      <c r="H2219" s="17"/>
      <c r="I2219" s="17"/>
      <c r="J2219" s="17"/>
      <c r="K2219" s="17"/>
      <c r="L2219" s="17"/>
    </row>
    <row r="2220">
      <c r="A2220" s="17"/>
      <c r="B2220" s="17"/>
      <c r="C2220" s="17"/>
      <c r="D2220" s="17"/>
      <c r="E2220" s="17"/>
      <c r="F2220" s="18"/>
      <c r="G2220" s="17"/>
      <c r="H2220" s="17"/>
      <c r="I2220" s="17"/>
      <c r="J2220" s="17"/>
      <c r="K2220" s="17"/>
      <c r="L2220" s="17"/>
    </row>
    <row r="2221">
      <c r="A2221" s="17"/>
      <c r="B2221" s="17"/>
      <c r="C2221" s="17"/>
      <c r="D2221" s="17"/>
      <c r="E2221" s="17"/>
      <c r="F2221" s="18"/>
      <c r="G2221" s="17"/>
      <c r="H2221" s="17"/>
      <c r="I2221" s="17"/>
      <c r="J2221" s="17"/>
      <c r="K2221" s="17"/>
      <c r="L2221" s="17"/>
    </row>
    <row r="2222">
      <c r="A2222" s="17"/>
      <c r="B2222" s="17"/>
      <c r="C2222" s="17"/>
      <c r="D2222" s="17"/>
      <c r="E2222" s="17"/>
      <c r="F2222" s="18"/>
      <c r="G2222" s="17"/>
      <c r="H2222" s="17"/>
      <c r="I2222" s="17"/>
      <c r="J2222" s="17"/>
      <c r="K2222" s="17"/>
      <c r="L2222" s="17"/>
    </row>
    <row r="2223">
      <c r="A2223" s="17"/>
      <c r="B2223" s="17"/>
      <c r="C2223" s="17"/>
      <c r="D2223" s="17"/>
      <c r="E2223" s="17"/>
      <c r="F2223" s="18"/>
      <c r="G2223" s="17"/>
      <c r="H2223" s="17"/>
      <c r="I2223" s="17"/>
      <c r="J2223" s="17"/>
      <c r="K2223" s="17"/>
      <c r="L2223" s="17"/>
    </row>
    <row r="2224">
      <c r="A2224" s="17"/>
      <c r="B2224" s="17"/>
      <c r="C2224" s="17"/>
      <c r="D2224" s="17"/>
      <c r="E2224" s="17"/>
      <c r="F2224" s="18"/>
      <c r="G2224" s="17"/>
      <c r="H2224" s="17"/>
      <c r="I2224" s="17"/>
      <c r="J2224" s="17"/>
      <c r="K2224" s="17"/>
      <c r="L2224" s="17"/>
    </row>
    <row r="2225">
      <c r="A2225" s="17"/>
      <c r="B2225" s="17"/>
      <c r="C2225" s="17"/>
      <c r="D2225" s="17"/>
      <c r="E2225" s="17"/>
      <c r="F2225" s="18"/>
      <c r="G2225" s="17"/>
      <c r="H2225" s="17"/>
      <c r="I2225" s="17"/>
      <c r="J2225" s="17"/>
      <c r="K2225" s="17"/>
      <c r="L2225" s="17"/>
    </row>
    <row r="2226">
      <c r="A2226" s="17"/>
      <c r="B2226" s="17"/>
      <c r="C2226" s="17"/>
      <c r="D2226" s="17"/>
      <c r="E2226" s="17"/>
      <c r="F2226" s="18"/>
      <c r="G2226" s="17"/>
      <c r="H2226" s="17"/>
      <c r="I2226" s="17"/>
      <c r="J2226" s="17"/>
      <c r="K2226" s="17"/>
      <c r="L2226" s="17"/>
    </row>
    <row r="2227">
      <c r="A2227" s="17"/>
      <c r="B2227" s="17"/>
      <c r="C2227" s="17"/>
      <c r="D2227" s="17"/>
      <c r="E2227" s="17"/>
      <c r="F2227" s="18"/>
      <c r="G2227" s="17"/>
      <c r="H2227" s="17"/>
      <c r="I2227" s="17"/>
      <c r="J2227" s="17"/>
      <c r="K2227" s="17"/>
      <c r="L2227" s="17"/>
    </row>
    <row r="2228">
      <c r="A2228" s="17"/>
      <c r="B2228" s="17"/>
      <c r="C2228" s="17"/>
      <c r="D2228" s="17"/>
      <c r="E2228" s="17"/>
      <c r="F2228" s="18"/>
      <c r="G2228" s="17"/>
      <c r="H2228" s="17"/>
      <c r="I2228" s="17"/>
      <c r="J2228" s="17"/>
      <c r="K2228" s="17"/>
      <c r="L2228" s="17"/>
    </row>
    <row r="2229">
      <c r="A2229" s="17"/>
      <c r="B2229" s="17"/>
      <c r="C2229" s="17"/>
      <c r="D2229" s="17"/>
      <c r="E2229" s="17"/>
      <c r="F2229" s="18"/>
      <c r="G2229" s="17"/>
      <c r="H2229" s="17"/>
      <c r="I2229" s="17"/>
      <c r="J2229" s="17"/>
      <c r="K2229" s="17"/>
      <c r="L2229" s="17"/>
    </row>
    <row r="2230">
      <c r="A2230" s="17"/>
      <c r="B2230" s="17"/>
      <c r="C2230" s="17"/>
      <c r="D2230" s="17"/>
      <c r="E2230" s="17"/>
      <c r="F2230" s="18"/>
      <c r="G2230" s="17"/>
      <c r="H2230" s="17"/>
      <c r="I2230" s="17"/>
      <c r="J2230" s="17"/>
      <c r="K2230" s="17"/>
      <c r="L2230" s="17"/>
    </row>
    <row r="2231">
      <c r="A2231" s="17"/>
      <c r="B2231" s="17"/>
      <c r="C2231" s="17"/>
      <c r="D2231" s="17"/>
      <c r="E2231" s="17"/>
      <c r="F2231" s="18"/>
      <c r="G2231" s="17"/>
      <c r="H2231" s="17"/>
      <c r="I2231" s="17"/>
      <c r="J2231" s="17"/>
      <c r="K2231" s="17"/>
      <c r="L2231" s="17"/>
    </row>
    <row r="2232">
      <c r="A2232" s="17"/>
      <c r="B2232" s="17"/>
      <c r="C2232" s="17"/>
      <c r="D2232" s="17"/>
      <c r="E2232" s="17"/>
      <c r="F2232" s="18"/>
      <c r="G2232" s="17"/>
      <c r="H2232" s="17"/>
      <c r="I2232" s="17"/>
      <c r="J2232" s="17"/>
      <c r="K2232" s="17"/>
      <c r="L2232" s="17"/>
    </row>
    <row r="2233">
      <c r="A2233" s="17"/>
      <c r="B2233" s="17"/>
      <c r="C2233" s="17"/>
      <c r="D2233" s="17"/>
      <c r="E2233" s="17"/>
      <c r="F2233" s="18"/>
      <c r="G2233" s="17"/>
      <c r="H2233" s="17"/>
      <c r="I2233" s="17"/>
      <c r="J2233" s="17"/>
      <c r="K2233" s="17"/>
      <c r="L2233" s="17"/>
    </row>
    <row r="2234">
      <c r="A2234" s="17"/>
      <c r="B2234" s="17"/>
      <c r="C2234" s="17"/>
      <c r="D2234" s="17"/>
      <c r="E2234" s="17"/>
      <c r="F2234" s="18"/>
      <c r="G2234" s="17"/>
      <c r="H2234" s="17"/>
      <c r="I2234" s="17"/>
      <c r="J2234" s="17"/>
      <c r="K2234" s="17"/>
      <c r="L2234" s="17"/>
    </row>
    <row r="2235">
      <c r="A2235" s="17"/>
      <c r="B2235" s="17"/>
      <c r="C2235" s="17"/>
      <c r="D2235" s="17"/>
      <c r="E2235" s="17"/>
      <c r="F2235" s="18"/>
      <c r="G2235" s="17"/>
      <c r="H2235" s="17"/>
      <c r="I2235" s="17"/>
      <c r="J2235" s="17"/>
      <c r="K2235" s="17"/>
      <c r="L2235" s="17"/>
    </row>
    <row r="2236">
      <c r="A2236" s="17"/>
      <c r="B2236" s="17"/>
      <c r="C2236" s="17"/>
      <c r="D2236" s="17"/>
      <c r="E2236" s="17"/>
      <c r="F2236" s="18"/>
      <c r="G2236" s="17"/>
      <c r="H2236" s="17"/>
      <c r="I2236" s="17"/>
      <c r="J2236" s="17"/>
      <c r="K2236" s="17"/>
      <c r="L2236" s="17"/>
    </row>
    <row r="2237">
      <c r="A2237" s="17"/>
      <c r="B2237" s="17"/>
      <c r="C2237" s="17"/>
      <c r="D2237" s="17"/>
      <c r="E2237" s="17"/>
      <c r="F2237" s="18"/>
      <c r="G2237" s="17"/>
      <c r="H2237" s="17"/>
      <c r="I2237" s="17"/>
      <c r="J2237" s="17"/>
      <c r="K2237" s="17"/>
      <c r="L2237" s="17"/>
    </row>
    <row r="2238">
      <c r="A2238" s="17"/>
      <c r="B2238" s="17"/>
      <c r="C2238" s="17"/>
      <c r="D2238" s="17"/>
      <c r="E2238" s="17"/>
      <c r="F2238" s="18"/>
      <c r="G2238" s="17"/>
      <c r="H2238" s="17"/>
      <c r="I2238" s="17"/>
      <c r="J2238" s="17"/>
      <c r="K2238" s="17"/>
      <c r="L2238" s="17"/>
    </row>
    <row r="2239">
      <c r="A2239" s="17"/>
      <c r="B2239" s="17"/>
      <c r="C2239" s="17"/>
      <c r="D2239" s="17"/>
      <c r="E2239" s="17"/>
      <c r="F2239" s="18"/>
      <c r="G2239" s="17"/>
      <c r="H2239" s="17"/>
      <c r="I2239" s="17"/>
      <c r="J2239" s="17"/>
      <c r="K2239" s="17"/>
      <c r="L2239" s="17"/>
    </row>
    <row r="2240">
      <c r="A2240" s="17"/>
      <c r="B2240" s="17"/>
      <c r="C2240" s="17"/>
      <c r="D2240" s="17"/>
      <c r="E2240" s="17"/>
      <c r="F2240" s="18"/>
      <c r="G2240" s="17"/>
      <c r="H2240" s="17"/>
      <c r="I2240" s="17"/>
      <c r="J2240" s="17"/>
      <c r="K2240" s="17"/>
      <c r="L2240" s="17"/>
    </row>
    <row r="2241">
      <c r="A2241" s="17"/>
      <c r="B2241" s="17"/>
      <c r="C2241" s="17"/>
      <c r="D2241" s="17"/>
      <c r="E2241" s="17"/>
      <c r="F2241" s="18"/>
      <c r="G2241" s="17"/>
      <c r="H2241" s="17"/>
      <c r="I2241" s="17"/>
      <c r="J2241" s="17"/>
      <c r="K2241" s="17"/>
      <c r="L2241" s="17"/>
    </row>
    <row r="2242">
      <c r="A2242" s="17"/>
      <c r="B2242" s="17"/>
      <c r="C2242" s="17"/>
      <c r="D2242" s="17"/>
      <c r="E2242" s="17"/>
      <c r="F2242" s="18"/>
      <c r="G2242" s="17"/>
      <c r="H2242" s="17"/>
      <c r="I2242" s="17"/>
      <c r="J2242" s="17"/>
      <c r="K2242" s="17"/>
      <c r="L2242" s="17"/>
    </row>
    <row r="2243">
      <c r="A2243" s="17"/>
      <c r="B2243" s="17"/>
      <c r="C2243" s="17"/>
      <c r="D2243" s="17"/>
      <c r="E2243" s="17"/>
      <c r="F2243" s="18"/>
      <c r="G2243" s="17"/>
      <c r="H2243" s="17"/>
      <c r="I2243" s="17"/>
      <c r="J2243" s="17"/>
      <c r="K2243" s="17"/>
      <c r="L2243" s="17"/>
    </row>
    <row r="2244">
      <c r="A2244" s="17"/>
      <c r="B2244" s="17"/>
      <c r="C2244" s="17"/>
      <c r="D2244" s="17"/>
      <c r="E2244" s="17"/>
      <c r="F2244" s="18"/>
      <c r="G2244" s="17"/>
      <c r="H2244" s="17"/>
      <c r="I2244" s="17"/>
      <c r="J2244" s="17"/>
      <c r="K2244" s="17"/>
      <c r="L2244" s="17"/>
    </row>
    <row r="2245">
      <c r="A2245" s="17"/>
      <c r="B2245" s="17"/>
      <c r="C2245" s="17"/>
      <c r="D2245" s="17"/>
      <c r="E2245" s="17"/>
      <c r="F2245" s="18"/>
      <c r="G2245" s="17"/>
      <c r="H2245" s="17"/>
      <c r="I2245" s="17"/>
      <c r="J2245" s="17"/>
      <c r="K2245" s="17"/>
      <c r="L2245" s="17"/>
    </row>
    <row r="2246">
      <c r="A2246" s="17"/>
      <c r="B2246" s="17"/>
      <c r="C2246" s="17"/>
      <c r="D2246" s="17"/>
      <c r="E2246" s="17"/>
      <c r="F2246" s="18"/>
      <c r="G2246" s="17"/>
      <c r="H2246" s="17"/>
      <c r="I2246" s="17"/>
      <c r="J2246" s="17"/>
      <c r="K2246" s="17"/>
      <c r="L2246" s="17"/>
    </row>
    <row r="2247">
      <c r="A2247" s="17"/>
      <c r="B2247" s="17"/>
      <c r="C2247" s="17"/>
      <c r="D2247" s="17"/>
      <c r="E2247" s="17"/>
      <c r="F2247" s="18"/>
      <c r="G2247" s="17"/>
      <c r="H2247" s="17"/>
      <c r="I2247" s="17"/>
      <c r="J2247" s="17"/>
      <c r="K2247" s="17"/>
      <c r="L2247" s="17"/>
    </row>
    <row r="2248">
      <c r="A2248" s="17"/>
      <c r="B2248" s="17"/>
      <c r="C2248" s="17"/>
      <c r="D2248" s="17"/>
      <c r="E2248" s="17"/>
      <c r="F2248" s="18"/>
      <c r="G2248" s="17"/>
      <c r="H2248" s="17"/>
      <c r="I2248" s="17"/>
      <c r="J2248" s="17"/>
      <c r="K2248" s="17"/>
      <c r="L2248" s="17"/>
    </row>
    <row r="2249">
      <c r="A2249" s="17"/>
      <c r="B2249" s="17"/>
      <c r="C2249" s="17"/>
      <c r="D2249" s="17"/>
      <c r="E2249" s="17"/>
      <c r="F2249" s="18"/>
      <c r="G2249" s="17"/>
      <c r="H2249" s="17"/>
      <c r="I2249" s="17"/>
      <c r="J2249" s="17"/>
      <c r="K2249" s="17"/>
      <c r="L2249" s="17"/>
    </row>
  </sheetData>
  <customSheetViews>
    <customSheetView guid="{37C3B912-A453-4F10-8090-039F13802711}" filter="1" showAutoFilter="1">
      <autoFilter ref="$A$1:$L$2199">
        <sortState ref="A1:L2199">
          <sortCondition ref="D1:D2199"/>
        </sortState>
      </autoFilter>
    </customSheetView>
  </customSheetViews>
  <hyperlinks>
    <hyperlink r:id="rId1" ref="B1"/>
    <hyperlink r:id="rId2" ref="I1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71"/>
    <col customWidth="1" min="3" max="3" width="37.14"/>
    <col customWidth="1" min="7" max="7" width="6.86"/>
    <col customWidth="1" min="8" max="8" width="8.71"/>
    <col customWidth="1" min="10" max="10" width="8.43"/>
  </cols>
  <sheetData>
    <row r="1">
      <c r="A1" s="35" t="str">
        <f>IFERROR(__xludf.DUMMYFUNCTION("IMPORTDATA(""https://raw.githubusercontent.com/adixmr/leetcode/main/data.csv"")"),"questionId")</f>
        <v>questionId</v>
      </c>
      <c r="B1" s="35" t="str">
        <f>IFERROR(__xludf.DUMMYFUNCTION("""COMPUTED_VALUE"""),"title")</f>
        <v>title</v>
      </c>
      <c r="C1" s="35" t="str">
        <f>IFERROR(__xludf.DUMMYFUNCTION("""COMPUTED_VALUE"""),"titleSlug")</f>
        <v>titleSlug</v>
      </c>
      <c r="D1" s="35" t="str">
        <f>IFERROR(__xludf.DUMMYFUNCTION("""COMPUTED_VALUE"""),"isPaidOnly")</f>
        <v>isPaidOnly</v>
      </c>
      <c r="E1" s="35" t="str">
        <f>IFERROR(__xludf.DUMMYFUNCTION("""COMPUTED_VALUE"""),"difficulty")</f>
        <v>difficulty</v>
      </c>
      <c r="F1" s="35" t="str">
        <f>IFERROR(__xludf.DUMMYFUNCTION("""COMPUTED_VALUE"""),"likes")</f>
        <v>likes</v>
      </c>
      <c r="G1" s="35" t="str">
        <f>IFERROR(__xludf.DUMMYFUNCTION("""COMPUTED_VALUE"""),"dislikes")</f>
        <v>dislikes</v>
      </c>
      <c r="H1" s="35" t="str">
        <f>IFERROR(__xludf.DUMMYFUNCTION("""COMPUTED_VALUE"""),"categoryTitle")</f>
        <v>categoryTitle</v>
      </c>
      <c r="I1" s="35" t="str">
        <f>IFERROR(__xludf.DUMMYFUNCTION("""COMPUTED_VALUE"""),"acRate")</f>
        <v>acRate</v>
      </c>
      <c r="J1" s="35" t="str">
        <f>IFERROR(__xludf.DUMMYFUNCTION("""COMPUTED_VALUE"""),"frontendQuestionId")</f>
        <v>frontendQuestionId</v>
      </c>
      <c r="K1" s="35" t="str">
        <f>IFERROR(__xludf.DUMMYFUNCTION("""COMPUTED_VALUE"""),"paidOnly")</f>
        <v>paidOnly</v>
      </c>
      <c r="L1" s="35" t="str">
        <f>IFERROR(__xludf.DUMMYFUNCTION("""COMPUTED_VALUE"""),"topicTags")</f>
        <v>topicTags</v>
      </c>
      <c r="M1" s="35" t="str">
        <f>IFERROR(__xludf.DUMMYFUNCTION("""COMPUTED_VALUE"""),"hasSolution")</f>
        <v>hasSolution</v>
      </c>
      <c r="N1" s="35" t="str">
        <f>IFERROR(__xludf.DUMMYFUNCTION("""COMPUTED_VALUE"""),"hasVideoSolution")</f>
        <v>hasVideoSolution</v>
      </c>
      <c r="O1" s="35" t="str">
        <f>IFERROR(__xludf.DUMMYFUNCTION("""COMPUTED_VALUE"""),"acRateRaw")</f>
        <v>acRateRaw</v>
      </c>
      <c r="P1" s="35" t="str">
        <f>IFERROR(__xludf.DUMMYFUNCTION("""COMPUTED_VALUE"""),"totalAccepted")</f>
        <v>totalAccepted</v>
      </c>
      <c r="Q1" s="35" t="str">
        <f>IFERROR(__xludf.DUMMYFUNCTION("""COMPUTED_VALUE"""),"totalSubmission")</f>
        <v>totalSubmission</v>
      </c>
    </row>
    <row r="2">
      <c r="A2" s="35">
        <f>IFERROR(__xludf.DUMMYFUNCTION("""COMPUTED_VALUE"""),1.0)</f>
        <v>1</v>
      </c>
      <c r="B2" s="35" t="str">
        <f>IFERROR(__xludf.DUMMYFUNCTION("""COMPUTED_VALUE"""),"Two Sum")</f>
        <v>Two Sum</v>
      </c>
      <c r="C2" s="35" t="str">
        <f>IFERROR(__xludf.DUMMYFUNCTION("""COMPUTED_VALUE"""),"two-sum")</f>
        <v>two-sum</v>
      </c>
      <c r="D2" s="35" t="b">
        <f>IFERROR(__xludf.DUMMYFUNCTION("""COMPUTED_VALUE"""),FALSE)</f>
        <v>0</v>
      </c>
      <c r="E2" s="35" t="str">
        <f>IFERROR(__xludf.DUMMYFUNCTION("""COMPUTED_VALUE"""),"Easy")</f>
        <v>Easy</v>
      </c>
      <c r="F2" s="35">
        <f>IFERROR(__xludf.DUMMYFUNCTION("""COMPUTED_VALUE"""),30049.0)</f>
        <v>30049</v>
      </c>
      <c r="G2" s="35">
        <f>IFERROR(__xludf.DUMMYFUNCTION("""COMPUTED_VALUE"""),945.0)</f>
        <v>945</v>
      </c>
      <c r="H2" s="35" t="str">
        <f>IFERROR(__xludf.DUMMYFUNCTION("""COMPUTED_VALUE"""),"Algorithms")</f>
        <v>Algorithms</v>
      </c>
      <c r="I2" s="35">
        <f>IFERROR(__xludf.DUMMYFUNCTION("""COMPUTED_VALUE"""),0.483)</f>
        <v>0.483</v>
      </c>
      <c r="J2" s="35">
        <f>IFERROR(__xludf.DUMMYFUNCTION("""COMPUTED_VALUE"""),1.0)</f>
        <v>1</v>
      </c>
      <c r="K2" s="35" t="b">
        <f>IFERROR(__xludf.DUMMYFUNCTION("""COMPUTED_VALUE"""),FALSE)</f>
        <v>0</v>
      </c>
      <c r="L2" s="35" t="str">
        <f>IFERROR(__xludf.DUMMYFUNCTION("""COMPUTED_VALUE"""),"Array;Hash Table;")</f>
        <v>Array;Hash Table;</v>
      </c>
      <c r="M2" s="35" t="b">
        <f>IFERROR(__xludf.DUMMYFUNCTION("""COMPUTED_VALUE"""),TRUE)</f>
        <v>1</v>
      </c>
      <c r="N2" s="35" t="b">
        <f>IFERROR(__xludf.DUMMYFUNCTION("""COMPUTED_VALUE"""),TRUE)</f>
        <v>1</v>
      </c>
      <c r="O2" s="35">
        <f>IFERROR(__xludf.DUMMYFUNCTION("""COMPUTED_VALUE"""),48.3422513857242)</f>
        <v>48.34225139</v>
      </c>
      <c r="P2" s="35">
        <f>IFERROR(__xludf.DUMMYFUNCTION("""COMPUTED_VALUE"""),6141290.0)</f>
        <v>6141290</v>
      </c>
      <c r="Q2" s="35">
        <f>IFERROR(__xludf.DUMMYFUNCTION("""COMPUTED_VALUE"""),1.27038E7)</f>
        <v>12703800</v>
      </c>
    </row>
    <row r="3">
      <c r="A3" s="35">
        <f>IFERROR(__xludf.DUMMYFUNCTION("""COMPUTED_VALUE"""),2.0)</f>
        <v>2</v>
      </c>
      <c r="B3" s="35" t="str">
        <f>IFERROR(__xludf.DUMMYFUNCTION("""COMPUTED_VALUE"""),"Add Two Numbers")</f>
        <v>Add Two Numbers</v>
      </c>
      <c r="C3" s="35" t="str">
        <f>IFERROR(__xludf.DUMMYFUNCTION("""COMPUTED_VALUE"""),"add-two-numbers")</f>
        <v>add-two-numbers</v>
      </c>
      <c r="D3" s="35" t="b">
        <f>IFERROR(__xludf.DUMMYFUNCTION("""COMPUTED_VALUE"""),FALSE)</f>
        <v>0</v>
      </c>
      <c r="E3" s="35" t="str">
        <f>IFERROR(__xludf.DUMMYFUNCTION("""COMPUTED_VALUE"""),"Medium")</f>
        <v>Medium</v>
      </c>
      <c r="F3" s="35">
        <f>IFERROR(__xludf.DUMMYFUNCTION("""COMPUTED_VALUE"""),17226.0)</f>
        <v>17226</v>
      </c>
      <c r="G3" s="35">
        <f>IFERROR(__xludf.DUMMYFUNCTION("""COMPUTED_VALUE"""),3593.0)</f>
        <v>3593</v>
      </c>
      <c r="H3" s="35" t="str">
        <f>IFERROR(__xludf.DUMMYFUNCTION("""COMPUTED_VALUE"""),"Algorithms")</f>
        <v>Algorithms</v>
      </c>
      <c r="I3" s="35">
        <f>IFERROR(__xludf.DUMMYFUNCTION("""COMPUTED_VALUE"""),0.383)</f>
        <v>0.383</v>
      </c>
      <c r="J3" s="35">
        <f>IFERROR(__xludf.DUMMYFUNCTION("""COMPUTED_VALUE"""),2.0)</f>
        <v>2</v>
      </c>
      <c r="K3" s="35" t="b">
        <f>IFERROR(__xludf.DUMMYFUNCTION("""COMPUTED_VALUE"""),FALSE)</f>
        <v>0</v>
      </c>
      <c r="L3" s="35" t="str">
        <f>IFERROR(__xludf.DUMMYFUNCTION("""COMPUTED_VALUE"""),"Linked List;Math;Recursion;")</f>
        <v>Linked List;Math;Recursion;</v>
      </c>
      <c r="M3" s="35" t="b">
        <f>IFERROR(__xludf.DUMMYFUNCTION("""COMPUTED_VALUE"""),TRUE)</f>
        <v>1</v>
      </c>
      <c r="N3" s="35" t="b">
        <f>IFERROR(__xludf.DUMMYFUNCTION("""COMPUTED_VALUE"""),FALSE)</f>
        <v>0</v>
      </c>
      <c r="O3" s="35">
        <f>IFERROR(__xludf.DUMMYFUNCTION("""COMPUTED_VALUE"""),38.2931914708031)</f>
        <v>38.29319147</v>
      </c>
      <c r="P3" s="35">
        <f>IFERROR(__xludf.DUMMYFUNCTION("""COMPUTED_VALUE"""),2607699.0)</f>
        <v>2607699</v>
      </c>
      <c r="Q3" s="35">
        <f>IFERROR(__xludf.DUMMYFUNCTION("""COMPUTED_VALUE"""),6809878.0)</f>
        <v>6809878</v>
      </c>
    </row>
    <row r="4">
      <c r="A4" s="35">
        <f>IFERROR(__xludf.DUMMYFUNCTION("""COMPUTED_VALUE"""),3.0)</f>
        <v>3</v>
      </c>
      <c r="B4" s="35" t="str">
        <f>IFERROR(__xludf.DUMMYFUNCTION("""COMPUTED_VALUE"""),"Longest Substring Without Repeating Characters")</f>
        <v>Longest Substring Without Repeating Characters</v>
      </c>
      <c r="C4" s="35" t="str">
        <f>IFERROR(__xludf.DUMMYFUNCTION("""COMPUTED_VALUE"""),"longest-substring-without-repeating-characters")</f>
        <v>longest-substring-without-repeating-characters</v>
      </c>
      <c r="D4" s="35" t="b">
        <f>IFERROR(__xludf.DUMMYFUNCTION("""COMPUTED_VALUE"""),FALSE)</f>
        <v>0</v>
      </c>
      <c r="E4" s="35" t="str">
        <f>IFERROR(__xludf.DUMMYFUNCTION("""COMPUTED_VALUE"""),"Medium")</f>
        <v>Medium</v>
      </c>
      <c r="F4" s="35">
        <f>IFERROR(__xludf.DUMMYFUNCTION("""COMPUTED_VALUE"""),21990.0)</f>
        <v>21990</v>
      </c>
      <c r="G4" s="35">
        <f>IFERROR(__xludf.DUMMYFUNCTION("""COMPUTED_VALUE"""),985.0)</f>
        <v>985</v>
      </c>
      <c r="H4" s="35" t="str">
        <f>IFERROR(__xludf.DUMMYFUNCTION("""COMPUTED_VALUE"""),"Algorithms")</f>
        <v>Algorithms</v>
      </c>
      <c r="I4" s="35">
        <f>IFERROR(__xludf.DUMMYFUNCTION("""COMPUTED_VALUE"""),0.329)</f>
        <v>0.329</v>
      </c>
      <c r="J4" s="35">
        <f>IFERROR(__xludf.DUMMYFUNCTION("""COMPUTED_VALUE"""),3.0)</f>
        <v>3</v>
      </c>
      <c r="K4" s="35" t="b">
        <f>IFERROR(__xludf.DUMMYFUNCTION("""COMPUTED_VALUE"""),FALSE)</f>
        <v>0</v>
      </c>
      <c r="L4" s="35" t="str">
        <f>IFERROR(__xludf.DUMMYFUNCTION("""COMPUTED_VALUE"""),"Hash Table;String;Sliding Window;")</f>
        <v>Hash Table;String;Sliding Window;</v>
      </c>
      <c r="M4" s="35" t="b">
        <f>IFERROR(__xludf.DUMMYFUNCTION("""COMPUTED_VALUE"""),TRUE)</f>
        <v>1</v>
      </c>
      <c r="N4" s="35" t="b">
        <f>IFERROR(__xludf.DUMMYFUNCTION("""COMPUTED_VALUE"""),TRUE)</f>
        <v>1</v>
      </c>
      <c r="O4" s="35">
        <f>IFERROR(__xludf.DUMMYFUNCTION("""COMPUTED_VALUE"""),32.8987821888325)</f>
        <v>32.89878219</v>
      </c>
      <c r="P4" s="35">
        <f>IFERROR(__xludf.DUMMYFUNCTION("""COMPUTED_VALUE"""),3057875.0)</f>
        <v>3057875</v>
      </c>
      <c r="Q4" s="35">
        <f>IFERROR(__xludf.DUMMYFUNCTION("""COMPUTED_VALUE"""),9294793.0)</f>
        <v>9294793</v>
      </c>
    </row>
    <row r="5">
      <c r="A5" s="35">
        <f>IFERROR(__xludf.DUMMYFUNCTION("""COMPUTED_VALUE"""),4.0)</f>
        <v>4</v>
      </c>
      <c r="B5" s="35" t="str">
        <f>IFERROR(__xludf.DUMMYFUNCTION("""COMPUTED_VALUE"""),"Median of Two Sorted Arrays")</f>
        <v>Median of Two Sorted Arrays</v>
      </c>
      <c r="C5" s="35" t="str">
        <f>IFERROR(__xludf.DUMMYFUNCTION("""COMPUTED_VALUE"""),"median-of-two-sorted-arrays")</f>
        <v>median-of-two-sorted-arrays</v>
      </c>
      <c r="D5" s="35" t="b">
        <f>IFERROR(__xludf.DUMMYFUNCTION("""COMPUTED_VALUE"""),FALSE)</f>
        <v>0</v>
      </c>
      <c r="E5" s="35" t="str">
        <f>IFERROR(__xludf.DUMMYFUNCTION("""COMPUTED_VALUE"""),"Hard")</f>
        <v>Hard</v>
      </c>
      <c r="F5" s="35">
        <f>IFERROR(__xludf.DUMMYFUNCTION("""COMPUTED_VALUE"""),15335.0)</f>
        <v>15335</v>
      </c>
      <c r="G5" s="35">
        <f>IFERROR(__xludf.DUMMYFUNCTION("""COMPUTED_VALUE"""),1920.0)</f>
        <v>1920</v>
      </c>
      <c r="H5" s="35" t="str">
        <f>IFERROR(__xludf.DUMMYFUNCTION("""COMPUTED_VALUE"""),"Algorithms")</f>
        <v>Algorithms</v>
      </c>
      <c r="I5" s="35">
        <f>IFERROR(__xludf.DUMMYFUNCTION("""COMPUTED_VALUE"""),0.338)</f>
        <v>0.338</v>
      </c>
      <c r="J5" s="35">
        <f>IFERROR(__xludf.DUMMYFUNCTION("""COMPUTED_VALUE"""),4.0)</f>
        <v>4</v>
      </c>
      <c r="K5" s="35" t="b">
        <f>IFERROR(__xludf.DUMMYFUNCTION("""COMPUTED_VALUE"""),FALSE)</f>
        <v>0</v>
      </c>
      <c r="L5" s="35" t="str">
        <f>IFERROR(__xludf.DUMMYFUNCTION("""COMPUTED_VALUE"""),"Array;Binary Search;Divide and Conquer;")</f>
        <v>Array;Binary Search;Divide and Conquer;</v>
      </c>
      <c r="M5" s="35" t="b">
        <f>IFERROR(__xludf.DUMMYFUNCTION("""COMPUTED_VALUE"""),FALSE)</f>
        <v>0</v>
      </c>
      <c r="N5" s="35" t="b">
        <f>IFERROR(__xludf.DUMMYFUNCTION("""COMPUTED_VALUE"""),FALSE)</f>
        <v>0</v>
      </c>
      <c r="O5" s="35">
        <f>IFERROR(__xludf.DUMMYFUNCTION("""COMPUTED_VALUE"""),33.7823757966819)</f>
        <v>33.7823758</v>
      </c>
      <c r="P5" s="35">
        <f>IFERROR(__xludf.DUMMYFUNCTION("""COMPUTED_VALUE"""),1290429.0)</f>
        <v>1290429</v>
      </c>
      <c r="Q5" s="35">
        <f>IFERROR(__xludf.DUMMYFUNCTION("""COMPUTED_VALUE"""),3819856.0)</f>
        <v>3819856</v>
      </c>
    </row>
    <row r="6">
      <c r="A6" s="35">
        <f>IFERROR(__xludf.DUMMYFUNCTION("""COMPUTED_VALUE"""),5.0)</f>
        <v>5</v>
      </c>
      <c r="B6" s="35" t="str">
        <f>IFERROR(__xludf.DUMMYFUNCTION("""COMPUTED_VALUE"""),"Longest Palindromic Substring")</f>
        <v>Longest Palindromic Substring</v>
      </c>
      <c r="C6" s="35" t="str">
        <f>IFERROR(__xludf.DUMMYFUNCTION("""COMPUTED_VALUE"""),"longest-palindromic-substring")</f>
        <v>longest-palindromic-substring</v>
      </c>
      <c r="D6" s="35" t="b">
        <f>IFERROR(__xludf.DUMMYFUNCTION("""COMPUTED_VALUE"""),FALSE)</f>
        <v>0</v>
      </c>
      <c r="E6" s="35" t="str">
        <f>IFERROR(__xludf.DUMMYFUNCTION("""COMPUTED_VALUE"""),"Medium")</f>
        <v>Medium</v>
      </c>
      <c r="F6" s="35">
        <f>IFERROR(__xludf.DUMMYFUNCTION("""COMPUTED_VALUE"""),16449.0)</f>
        <v>16449</v>
      </c>
      <c r="G6" s="35">
        <f>IFERROR(__xludf.DUMMYFUNCTION("""COMPUTED_VALUE"""),970.0)</f>
        <v>970</v>
      </c>
      <c r="H6" s="35" t="str">
        <f>IFERROR(__xludf.DUMMYFUNCTION("""COMPUTED_VALUE"""),"Algorithms")</f>
        <v>Algorithms</v>
      </c>
      <c r="I6" s="35">
        <f>IFERROR(__xludf.DUMMYFUNCTION("""COMPUTED_VALUE"""),0.317)</f>
        <v>0.317</v>
      </c>
      <c r="J6" s="35">
        <f>IFERROR(__xludf.DUMMYFUNCTION("""COMPUTED_VALUE"""),5.0)</f>
        <v>5</v>
      </c>
      <c r="K6" s="35" t="b">
        <f>IFERROR(__xludf.DUMMYFUNCTION("""COMPUTED_VALUE"""),FALSE)</f>
        <v>0</v>
      </c>
      <c r="L6" s="35" t="str">
        <f>IFERROR(__xludf.DUMMYFUNCTION("""COMPUTED_VALUE"""),"String;Dynamic Programming;")</f>
        <v>String;Dynamic Programming;</v>
      </c>
      <c r="M6" s="35" t="b">
        <f>IFERROR(__xludf.DUMMYFUNCTION("""COMPUTED_VALUE"""),TRUE)</f>
        <v>1</v>
      </c>
      <c r="N6" s="35" t="b">
        <f>IFERROR(__xludf.DUMMYFUNCTION("""COMPUTED_VALUE"""),FALSE)</f>
        <v>0</v>
      </c>
      <c r="O6" s="35">
        <f>IFERROR(__xludf.DUMMYFUNCTION("""COMPUTED_VALUE"""),31.7016886771314)</f>
        <v>31.70168868</v>
      </c>
      <c r="P6" s="35">
        <f>IFERROR(__xludf.DUMMYFUNCTION("""COMPUTED_VALUE"""),1728857.0)</f>
        <v>1728857</v>
      </c>
      <c r="Q6" s="35">
        <f>IFERROR(__xludf.DUMMYFUNCTION("""COMPUTED_VALUE"""),5453509.0)</f>
        <v>5453509</v>
      </c>
    </row>
    <row r="7">
      <c r="A7" s="35">
        <f>IFERROR(__xludf.DUMMYFUNCTION("""COMPUTED_VALUE"""),6.0)</f>
        <v>6</v>
      </c>
      <c r="B7" s="35" t="str">
        <f>IFERROR(__xludf.DUMMYFUNCTION("""COMPUTED_VALUE"""),"Zigzag Conversion")</f>
        <v>Zigzag Conversion</v>
      </c>
      <c r="C7" s="35" t="str">
        <f>IFERROR(__xludf.DUMMYFUNCTION("""COMPUTED_VALUE"""),"zigzag-conversion")</f>
        <v>zigzag-conversion</v>
      </c>
      <c r="D7" s="35" t="b">
        <f>IFERROR(__xludf.DUMMYFUNCTION("""COMPUTED_VALUE"""),FALSE)</f>
        <v>0</v>
      </c>
      <c r="E7" s="35" t="str">
        <f>IFERROR(__xludf.DUMMYFUNCTION("""COMPUTED_VALUE"""),"Medium")</f>
        <v>Medium</v>
      </c>
      <c r="F7" s="35">
        <f>IFERROR(__xludf.DUMMYFUNCTION("""COMPUTED_VALUE"""),3431.0)</f>
        <v>3431</v>
      </c>
      <c r="G7" s="35">
        <f>IFERROR(__xludf.DUMMYFUNCTION("""COMPUTED_VALUE"""),7969.0)</f>
        <v>7969</v>
      </c>
      <c r="H7" s="35" t="str">
        <f>IFERROR(__xludf.DUMMYFUNCTION("""COMPUTED_VALUE"""),"Algorithms")</f>
        <v>Algorithms</v>
      </c>
      <c r="I7" s="35">
        <f>IFERROR(__xludf.DUMMYFUNCTION("""COMPUTED_VALUE"""),0.411)</f>
        <v>0.411</v>
      </c>
      <c r="J7" s="35">
        <f>IFERROR(__xludf.DUMMYFUNCTION("""COMPUTED_VALUE"""),6.0)</f>
        <v>6</v>
      </c>
      <c r="K7" s="35" t="b">
        <f>IFERROR(__xludf.DUMMYFUNCTION("""COMPUTED_VALUE"""),FALSE)</f>
        <v>0</v>
      </c>
      <c r="L7" s="35" t="str">
        <f>IFERROR(__xludf.DUMMYFUNCTION("""COMPUTED_VALUE"""),"String;")</f>
        <v>String;</v>
      </c>
      <c r="M7" s="35" t="b">
        <f>IFERROR(__xludf.DUMMYFUNCTION("""COMPUTED_VALUE"""),TRUE)</f>
        <v>1</v>
      </c>
      <c r="N7" s="35" t="b">
        <f>IFERROR(__xludf.DUMMYFUNCTION("""COMPUTED_VALUE"""),FALSE)</f>
        <v>0</v>
      </c>
      <c r="O7" s="35">
        <f>IFERROR(__xludf.DUMMYFUNCTION("""COMPUTED_VALUE"""),41.1252535201631)</f>
        <v>41.12525352</v>
      </c>
      <c r="P7" s="35">
        <f>IFERROR(__xludf.DUMMYFUNCTION("""COMPUTED_VALUE"""),727324.0)</f>
        <v>727324</v>
      </c>
      <c r="Q7" s="35">
        <f>IFERROR(__xludf.DUMMYFUNCTION("""COMPUTED_VALUE"""),1768574.0)</f>
        <v>1768574</v>
      </c>
    </row>
    <row r="8">
      <c r="A8" s="35">
        <f>IFERROR(__xludf.DUMMYFUNCTION("""COMPUTED_VALUE"""),7.0)</f>
        <v>7</v>
      </c>
      <c r="B8" s="35" t="str">
        <f>IFERROR(__xludf.DUMMYFUNCTION("""COMPUTED_VALUE"""),"Reverse Integer")</f>
        <v>Reverse Integer</v>
      </c>
      <c r="C8" s="35" t="str">
        <f>IFERROR(__xludf.DUMMYFUNCTION("""COMPUTED_VALUE"""),"reverse-integer")</f>
        <v>reverse-integer</v>
      </c>
      <c r="D8" s="35" t="b">
        <f>IFERROR(__xludf.DUMMYFUNCTION("""COMPUTED_VALUE"""),FALSE)</f>
        <v>0</v>
      </c>
      <c r="E8" s="35" t="str">
        <f>IFERROR(__xludf.DUMMYFUNCTION("""COMPUTED_VALUE"""),"Medium")</f>
        <v>Medium</v>
      </c>
      <c r="F8" s="35">
        <f>IFERROR(__xludf.DUMMYFUNCTION("""COMPUTED_VALUE"""),6735.0)</f>
        <v>6735</v>
      </c>
      <c r="G8" s="35">
        <f>IFERROR(__xludf.DUMMYFUNCTION("""COMPUTED_VALUE"""),9419.0)</f>
        <v>9419</v>
      </c>
      <c r="H8" s="35" t="str">
        <f>IFERROR(__xludf.DUMMYFUNCTION("""COMPUTED_VALUE"""),"Algorithms")</f>
        <v>Algorithms</v>
      </c>
      <c r="I8" s="35">
        <f>IFERROR(__xludf.DUMMYFUNCTION("""COMPUTED_VALUE"""),0.266)</f>
        <v>0.266</v>
      </c>
      <c r="J8" s="35">
        <f>IFERROR(__xludf.DUMMYFUNCTION("""COMPUTED_VALUE"""),7.0)</f>
        <v>7</v>
      </c>
      <c r="K8" s="35" t="b">
        <f>IFERROR(__xludf.DUMMYFUNCTION("""COMPUTED_VALUE"""),FALSE)</f>
        <v>0</v>
      </c>
      <c r="L8" s="35" t="str">
        <f>IFERROR(__xludf.DUMMYFUNCTION("""COMPUTED_VALUE"""),"Math;")</f>
        <v>Math;</v>
      </c>
      <c r="M8" s="35" t="b">
        <f>IFERROR(__xludf.DUMMYFUNCTION("""COMPUTED_VALUE"""),TRUE)</f>
        <v>1</v>
      </c>
      <c r="N8" s="35" t="b">
        <f>IFERROR(__xludf.DUMMYFUNCTION("""COMPUTED_VALUE"""),FALSE)</f>
        <v>0</v>
      </c>
      <c r="O8" s="35">
        <f>IFERROR(__xludf.DUMMYFUNCTION("""COMPUTED_VALUE"""),26.5656990002107)</f>
        <v>26.565699</v>
      </c>
      <c r="P8" s="35">
        <f>IFERROR(__xludf.DUMMYFUNCTION("""COMPUTED_VALUE"""),1979268.0)</f>
        <v>1979268</v>
      </c>
      <c r="Q8" s="35">
        <f>IFERROR(__xludf.DUMMYFUNCTION("""COMPUTED_VALUE"""),7450483.0)</f>
        <v>7450483</v>
      </c>
    </row>
    <row r="9">
      <c r="A9" s="35">
        <f>IFERROR(__xludf.DUMMYFUNCTION("""COMPUTED_VALUE"""),8.0)</f>
        <v>8</v>
      </c>
      <c r="B9" s="35" t="str">
        <f>IFERROR(__xludf.DUMMYFUNCTION("""COMPUTED_VALUE"""),"String to Integer (atoi)")</f>
        <v>String to Integer (atoi)</v>
      </c>
      <c r="C9" s="35" t="str">
        <f>IFERROR(__xludf.DUMMYFUNCTION("""COMPUTED_VALUE"""),"string-to-integer-atoi")</f>
        <v>string-to-integer-atoi</v>
      </c>
      <c r="D9" s="35" t="b">
        <f>IFERROR(__xludf.DUMMYFUNCTION("""COMPUTED_VALUE"""),FALSE)</f>
        <v>0</v>
      </c>
      <c r="E9" s="35" t="str">
        <f>IFERROR(__xludf.DUMMYFUNCTION("""COMPUTED_VALUE"""),"Medium")</f>
        <v>Medium</v>
      </c>
      <c r="F9" s="35">
        <f>IFERROR(__xludf.DUMMYFUNCTION("""COMPUTED_VALUE"""),1451.0)</f>
        <v>1451</v>
      </c>
      <c r="G9" s="35">
        <f>IFERROR(__xludf.DUMMYFUNCTION("""COMPUTED_VALUE"""),4150.0)</f>
        <v>4150</v>
      </c>
      <c r="H9" s="35" t="str">
        <f>IFERROR(__xludf.DUMMYFUNCTION("""COMPUTED_VALUE"""),"Algorithms")</f>
        <v>Algorithms</v>
      </c>
      <c r="I9" s="35">
        <f>IFERROR(__xludf.DUMMYFUNCTION("""COMPUTED_VALUE"""),0.165)</f>
        <v>0.165</v>
      </c>
      <c r="J9" s="35">
        <f>IFERROR(__xludf.DUMMYFUNCTION("""COMPUTED_VALUE"""),8.0)</f>
        <v>8</v>
      </c>
      <c r="K9" s="35" t="b">
        <f>IFERROR(__xludf.DUMMYFUNCTION("""COMPUTED_VALUE"""),FALSE)</f>
        <v>0</v>
      </c>
      <c r="L9" s="35" t="str">
        <f>IFERROR(__xludf.DUMMYFUNCTION("""COMPUTED_VALUE"""),"String;")</f>
        <v>String;</v>
      </c>
      <c r="M9" s="35" t="b">
        <f>IFERROR(__xludf.DUMMYFUNCTION("""COMPUTED_VALUE"""),TRUE)</f>
        <v>1</v>
      </c>
      <c r="N9" s="35" t="b">
        <f>IFERROR(__xludf.DUMMYFUNCTION("""COMPUTED_VALUE"""),FALSE)</f>
        <v>0</v>
      </c>
      <c r="O9" s="35">
        <f>IFERROR(__xludf.DUMMYFUNCTION("""COMPUTED_VALUE"""),16.4765609014204)</f>
        <v>16.4765609</v>
      </c>
      <c r="P9" s="35">
        <f>IFERROR(__xludf.DUMMYFUNCTION("""COMPUTED_VALUE"""),958225.0)</f>
        <v>958225</v>
      </c>
      <c r="Q9" s="35">
        <f>IFERROR(__xludf.DUMMYFUNCTION("""COMPUTED_VALUE"""),5815658.0)</f>
        <v>5815658</v>
      </c>
    </row>
    <row r="10">
      <c r="A10" s="35">
        <f>IFERROR(__xludf.DUMMYFUNCTION("""COMPUTED_VALUE"""),9.0)</f>
        <v>9</v>
      </c>
      <c r="B10" s="35" t="str">
        <f>IFERROR(__xludf.DUMMYFUNCTION("""COMPUTED_VALUE"""),"Palindrome Number")</f>
        <v>Palindrome Number</v>
      </c>
      <c r="C10" s="35" t="str">
        <f>IFERROR(__xludf.DUMMYFUNCTION("""COMPUTED_VALUE"""),"palindrome-number")</f>
        <v>palindrome-number</v>
      </c>
      <c r="D10" s="35" t="b">
        <f>IFERROR(__xludf.DUMMYFUNCTION("""COMPUTED_VALUE"""),FALSE)</f>
        <v>0</v>
      </c>
      <c r="E10" s="35" t="str">
        <f>IFERROR(__xludf.DUMMYFUNCTION("""COMPUTED_VALUE"""),"Easy")</f>
        <v>Easy</v>
      </c>
      <c r="F10" s="35">
        <f>IFERROR(__xludf.DUMMYFUNCTION("""COMPUTED_VALUE"""),5322.0)</f>
        <v>5322</v>
      </c>
      <c r="G10" s="35">
        <f>IFERROR(__xludf.DUMMYFUNCTION("""COMPUTED_VALUE"""),2056.0)</f>
        <v>2056</v>
      </c>
      <c r="H10" s="35" t="str">
        <f>IFERROR(__xludf.DUMMYFUNCTION("""COMPUTED_VALUE"""),"Algorithms")</f>
        <v>Algorithms</v>
      </c>
      <c r="I10" s="35">
        <f>IFERROR(__xludf.DUMMYFUNCTION("""COMPUTED_VALUE"""),0.522)</f>
        <v>0.522</v>
      </c>
      <c r="J10" s="35">
        <f>IFERROR(__xludf.DUMMYFUNCTION("""COMPUTED_VALUE"""),9.0)</f>
        <v>9</v>
      </c>
      <c r="K10" s="35" t="b">
        <f>IFERROR(__xludf.DUMMYFUNCTION("""COMPUTED_VALUE"""),FALSE)</f>
        <v>0</v>
      </c>
      <c r="L10" s="35" t="str">
        <f>IFERROR(__xludf.DUMMYFUNCTION("""COMPUTED_VALUE"""),"Math;")</f>
        <v>Math;</v>
      </c>
      <c r="M10" s="35" t="b">
        <f>IFERROR(__xludf.DUMMYFUNCTION("""COMPUTED_VALUE"""),TRUE)</f>
        <v>1</v>
      </c>
      <c r="N10" s="35" t="b">
        <f>IFERROR(__xludf.DUMMYFUNCTION("""COMPUTED_VALUE"""),FALSE)</f>
        <v>0</v>
      </c>
      <c r="O10" s="35">
        <f>IFERROR(__xludf.DUMMYFUNCTION("""COMPUTED_VALUE"""),52.2038126403063)</f>
        <v>52.20381264</v>
      </c>
      <c r="P10" s="35">
        <f>IFERROR(__xludf.DUMMYFUNCTION("""COMPUTED_VALUE"""),1908907.0)</f>
        <v>1908907</v>
      </c>
      <c r="Q10" s="35">
        <f>IFERROR(__xludf.DUMMYFUNCTION("""COMPUTED_VALUE"""),3656628.0)</f>
        <v>3656628</v>
      </c>
    </row>
    <row r="11">
      <c r="A11" s="35">
        <f>IFERROR(__xludf.DUMMYFUNCTION("""COMPUTED_VALUE"""),10.0)</f>
        <v>10</v>
      </c>
      <c r="B11" s="35" t="str">
        <f>IFERROR(__xludf.DUMMYFUNCTION("""COMPUTED_VALUE"""),"Regular Expression Matching")</f>
        <v>Regular Expression Matching</v>
      </c>
      <c r="C11" s="35" t="str">
        <f>IFERROR(__xludf.DUMMYFUNCTION("""COMPUTED_VALUE"""),"regular-expression-matching")</f>
        <v>regular-expression-matching</v>
      </c>
      <c r="D11" s="35" t="b">
        <f>IFERROR(__xludf.DUMMYFUNCTION("""COMPUTED_VALUE"""),FALSE)</f>
        <v>0</v>
      </c>
      <c r="E11" s="35" t="str">
        <f>IFERROR(__xludf.DUMMYFUNCTION("""COMPUTED_VALUE"""),"Hard")</f>
        <v>Hard</v>
      </c>
      <c r="F11" s="35">
        <f>IFERROR(__xludf.DUMMYFUNCTION("""COMPUTED_VALUE"""),7691.0)</f>
        <v>7691</v>
      </c>
      <c r="G11" s="35">
        <f>IFERROR(__xludf.DUMMYFUNCTION("""COMPUTED_VALUE"""),1117.0)</f>
        <v>1117</v>
      </c>
      <c r="H11" s="35" t="str">
        <f>IFERROR(__xludf.DUMMYFUNCTION("""COMPUTED_VALUE"""),"Algorithms")</f>
        <v>Algorithms</v>
      </c>
      <c r="I11" s="35">
        <f>IFERROR(__xludf.DUMMYFUNCTION("""COMPUTED_VALUE"""),0.282)</f>
        <v>0.282</v>
      </c>
      <c r="J11" s="35">
        <f>IFERROR(__xludf.DUMMYFUNCTION("""COMPUTED_VALUE"""),10.0)</f>
        <v>10</v>
      </c>
      <c r="K11" s="35" t="b">
        <f>IFERROR(__xludf.DUMMYFUNCTION("""COMPUTED_VALUE"""),FALSE)</f>
        <v>0</v>
      </c>
      <c r="L11" s="35" t="str">
        <f>IFERROR(__xludf.DUMMYFUNCTION("""COMPUTED_VALUE"""),"String;Dynamic Programming;Recursion;")</f>
        <v>String;Dynamic Programming;Recursion;</v>
      </c>
      <c r="M11" s="35" t="b">
        <f>IFERROR(__xludf.DUMMYFUNCTION("""COMPUTED_VALUE"""),TRUE)</f>
        <v>1</v>
      </c>
      <c r="N11" s="35" t="b">
        <f>IFERROR(__xludf.DUMMYFUNCTION("""COMPUTED_VALUE"""),FALSE)</f>
        <v>0</v>
      </c>
      <c r="O11" s="35">
        <f>IFERROR(__xludf.DUMMYFUNCTION("""COMPUTED_VALUE"""),28.1839085413815)</f>
        <v>28.18390854</v>
      </c>
      <c r="P11" s="35">
        <f>IFERROR(__xludf.DUMMYFUNCTION("""COMPUTED_VALUE"""),653912.0)</f>
        <v>653912</v>
      </c>
      <c r="Q11" s="35">
        <f>IFERROR(__xludf.DUMMYFUNCTION("""COMPUTED_VALUE"""),2320166.0)</f>
        <v>2320166</v>
      </c>
    </row>
    <row r="12">
      <c r="A12" s="35">
        <f>IFERROR(__xludf.DUMMYFUNCTION("""COMPUTED_VALUE"""),11.0)</f>
        <v>11</v>
      </c>
      <c r="B12" s="35" t="str">
        <f>IFERROR(__xludf.DUMMYFUNCTION("""COMPUTED_VALUE"""),"Container With Most Water")</f>
        <v>Container With Most Water</v>
      </c>
      <c r="C12" s="35" t="str">
        <f>IFERROR(__xludf.DUMMYFUNCTION("""COMPUTED_VALUE"""),"container-with-most-water")</f>
        <v>container-with-most-water</v>
      </c>
      <c r="D12" s="35" t="b">
        <f>IFERROR(__xludf.DUMMYFUNCTION("""COMPUTED_VALUE"""),FALSE)</f>
        <v>0</v>
      </c>
      <c r="E12" s="35" t="str">
        <f>IFERROR(__xludf.DUMMYFUNCTION("""COMPUTED_VALUE"""),"Medium")</f>
        <v>Medium</v>
      </c>
      <c r="F12" s="35">
        <f>IFERROR(__xludf.DUMMYFUNCTION("""COMPUTED_VALUE"""),14820.0)</f>
        <v>14820</v>
      </c>
      <c r="G12" s="35">
        <f>IFERROR(__xludf.DUMMYFUNCTION("""COMPUTED_VALUE"""),889.0)</f>
        <v>889</v>
      </c>
      <c r="H12" s="35" t="str">
        <f>IFERROR(__xludf.DUMMYFUNCTION("""COMPUTED_VALUE"""),"Algorithms")</f>
        <v>Algorithms</v>
      </c>
      <c r="I12" s="35">
        <f>IFERROR(__xludf.DUMMYFUNCTION("""COMPUTED_VALUE"""),0.534)</f>
        <v>0.534</v>
      </c>
      <c r="J12" s="35">
        <f>IFERROR(__xludf.DUMMYFUNCTION("""COMPUTED_VALUE"""),11.0)</f>
        <v>11</v>
      </c>
      <c r="K12" s="35" t="b">
        <f>IFERROR(__xludf.DUMMYFUNCTION("""COMPUTED_VALUE"""),FALSE)</f>
        <v>0</v>
      </c>
      <c r="L12" s="35" t="str">
        <f>IFERROR(__xludf.DUMMYFUNCTION("""COMPUTED_VALUE"""),"Array;Two Pointers;Greedy;")</f>
        <v>Array;Two Pointers;Greedy;</v>
      </c>
      <c r="M12" s="35" t="b">
        <f>IFERROR(__xludf.DUMMYFUNCTION("""COMPUTED_VALUE"""),TRUE)</f>
        <v>1</v>
      </c>
      <c r="N12" s="35" t="b">
        <f>IFERROR(__xludf.DUMMYFUNCTION("""COMPUTED_VALUE"""),TRUE)</f>
        <v>1</v>
      </c>
      <c r="O12" s="35">
        <f>IFERROR(__xludf.DUMMYFUNCTION("""COMPUTED_VALUE"""),53.4271567367616)</f>
        <v>53.42715674</v>
      </c>
      <c r="P12" s="35">
        <f>IFERROR(__xludf.DUMMYFUNCTION("""COMPUTED_VALUE"""),1339155.0)</f>
        <v>1339155</v>
      </c>
      <c r="Q12" s="35">
        <f>IFERROR(__xludf.DUMMYFUNCTION("""COMPUTED_VALUE"""),2506502.0)</f>
        <v>2506502</v>
      </c>
    </row>
    <row r="13">
      <c r="A13" s="35">
        <f>IFERROR(__xludf.DUMMYFUNCTION("""COMPUTED_VALUE"""),12.0)</f>
        <v>12</v>
      </c>
      <c r="B13" s="35" t="str">
        <f>IFERROR(__xludf.DUMMYFUNCTION("""COMPUTED_VALUE"""),"Integer to Roman")</f>
        <v>Integer to Roman</v>
      </c>
      <c r="C13" s="35" t="str">
        <f>IFERROR(__xludf.DUMMYFUNCTION("""COMPUTED_VALUE"""),"integer-to-roman")</f>
        <v>integer-to-roman</v>
      </c>
      <c r="D13" s="35" t="b">
        <f>IFERROR(__xludf.DUMMYFUNCTION("""COMPUTED_VALUE"""),FALSE)</f>
        <v>0</v>
      </c>
      <c r="E13" s="35" t="str">
        <f>IFERROR(__xludf.DUMMYFUNCTION("""COMPUTED_VALUE"""),"Medium")</f>
        <v>Medium</v>
      </c>
      <c r="F13" s="35">
        <f>IFERROR(__xludf.DUMMYFUNCTION("""COMPUTED_VALUE"""),2887.0)</f>
        <v>2887</v>
      </c>
      <c r="G13" s="35">
        <f>IFERROR(__xludf.DUMMYFUNCTION("""COMPUTED_VALUE"""),3866.0)</f>
        <v>3866</v>
      </c>
      <c r="H13" s="35" t="str">
        <f>IFERROR(__xludf.DUMMYFUNCTION("""COMPUTED_VALUE"""),"Algorithms")</f>
        <v>Algorithms</v>
      </c>
      <c r="I13" s="35">
        <f>IFERROR(__xludf.DUMMYFUNCTION("""COMPUTED_VALUE"""),0.591)</f>
        <v>0.591</v>
      </c>
      <c r="J13" s="35">
        <f>IFERROR(__xludf.DUMMYFUNCTION("""COMPUTED_VALUE"""),12.0)</f>
        <v>12</v>
      </c>
      <c r="K13" s="35" t="b">
        <f>IFERROR(__xludf.DUMMYFUNCTION("""COMPUTED_VALUE"""),FALSE)</f>
        <v>0</v>
      </c>
      <c r="L13" s="35" t="str">
        <f>IFERROR(__xludf.DUMMYFUNCTION("""COMPUTED_VALUE"""),"Hash Table;Math;String;")</f>
        <v>Hash Table;Math;String;</v>
      </c>
      <c r="M13" s="35" t="b">
        <f>IFERROR(__xludf.DUMMYFUNCTION("""COMPUTED_VALUE"""),TRUE)</f>
        <v>1</v>
      </c>
      <c r="N13" s="35" t="b">
        <f>IFERROR(__xludf.DUMMYFUNCTION("""COMPUTED_VALUE"""),FALSE)</f>
        <v>0</v>
      </c>
      <c r="O13" s="35">
        <f>IFERROR(__xludf.DUMMYFUNCTION("""COMPUTED_VALUE"""),59.1463103676883)</f>
        <v>59.14631037</v>
      </c>
      <c r="P13" s="35">
        <f>IFERROR(__xludf.DUMMYFUNCTION("""COMPUTED_VALUE"""),649478.0)</f>
        <v>649478</v>
      </c>
      <c r="Q13" s="35">
        <f>IFERROR(__xludf.DUMMYFUNCTION("""COMPUTED_VALUE"""),1098088.0)</f>
        <v>1098088</v>
      </c>
    </row>
    <row r="14">
      <c r="A14" s="35">
        <f>IFERROR(__xludf.DUMMYFUNCTION("""COMPUTED_VALUE"""),13.0)</f>
        <v>13</v>
      </c>
      <c r="B14" s="35" t="str">
        <f>IFERROR(__xludf.DUMMYFUNCTION("""COMPUTED_VALUE"""),"Roman to Integer")</f>
        <v>Roman to Integer</v>
      </c>
      <c r="C14" s="35" t="str">
        <f>IFERROR(__xludf.DUMMYFUNCTION("""COMPUTED_VALUE"""),"roman-to-integer")</f>
        <v>roman-to-integer</v>
      </c>
      <c r="D14" s="35" t="b">
        <f>IFERROR(__xludf.DUMMYFUNCTION("""COMPUTED_VALUE"""),FALSE)</f>
        <v>0</v>
      </c>
      <c r="E14" s="35" t="str">
        <f>IFERROR(__xludf.DUMMYFUNCTION("""COMPUTED_VALUE"""),"Easy")</f>
        <v>Easy</v>
      </c>
      <c r="F14" s="35">
        <f>IFERROR(__xludf.DUMMYFUNCTION("""COMPUTED_VALUE"""),3394.0)</f>
        <v>3394</v>
      </c>
      <c r="G14" s="35">
        <f>IFERROR(__xludf.DUMMYFUNCTION("""COMPUTED_VALUE"""),243.0)</f>
        <v>243</v>
      </c>
      <c r="H14" s="35" t="str">
        <f>IFERROR(__xludf.DUMMYFUNCTION("""COMPUTED_VALUE"""),"Algorithms")</f>
        <v>Algorithms</v>
      </c>
      <c r="I14" s="35">
        <f>IFERROR(__xludf.DUMMYFUNCTION("""COMPUTED_VALUE"""),0.579)</f>
        <v>0.579</v>
      </c>
      <c r="J14" s="35">
        <f>IFERROR(__xludf.DUMMYFUNCTION("""COMPUTED_VALUE"""),13.0)</f>
        <v>13</v>
      </c>
      <c r="K14" s="35" t="b">
        <f>IFERROR(__xludf.DUMMYFUNCTION("""COMPUTED_VALUE"""),FALSE)</f>
        <v>0</v>
      </c>
      <c r="L14" s="35" t="str">
        <f>IFERROR(__xludf.DUMMYFUNCTION("""COMPUTED_VALUE"""),"Hash Table;Math;String;")</f>
        <v>Hash Table;Math;String;</v>
      </c>
      <c r="M14" s="35" t="b">
        <f>IFERROR(__xludf.DUMMYFUNCTION("""COMPUTED_VALUE"""),TRUE)</f>
        <v>1</v>
      </c>
      <c r="N14" s="35" t="b">
        <f>IFERROR(__xludf.DUMMYFUNCTION("""COMPUTED_VALUE"""),FALSE)</f>
        <v>0</v>
      </c>
      <c r="O14" s="35">
        <f>IFERROR(__xludf.DUMMYFUNCTION("""COMPUTED_VALUE"""),57.8859540789949)</f>
        <v>57.88595408</v>
      </c>
      <c r="P14" s="35">
        <f>IFERROR(__xludf.DUMMYFUNCTION("""COMPUTED_VALUE"""),1425319.0)</f>
        <v>1425319</v>
      </c>
      <c r="Q14" s="35">
        <f>IFERROR(__xludf.DUMMYFUNCTION("""COMPUTED_VALUE"""),2462296.0)</f>
        <v>2462296</v>
      </c>
    </row>
    <row r="15">
      <c r="A15" s="35">
        <f>IFERROR(__xludf.DUMMYFUNCTION("""COMPUTED_VALUE"""),14.0)</f>
        <v>14</v>
      </c>
      <c r="B15" s="35" t="str">
        <f>IFERROR(__xludf.DUMMYFUNCTION("""COMPUTED_VALUE"""),"Longest Common Prefix")</f>
        <v>Longest Common Prefix</v>
      </c>
      <c r="C15" s="35" t="str">
        <f>IFERROR(__xludf.DUMMYFUNCTION("""COMPUTED_VALUE"""),"longest-common-prefix")</f>
        <v>longest-common-prefix</v>
      </c>
      <c r="D15" s="35" t="b">
        <f>IFERROR(__xludf.DUMMYFUNCTION("""COMPUTED_VALUE"""),FALSE)</f>
        <v>0</v>
      </c>
      <c r="E15" s="35" t="str">
        <f>IFERROR(__xludf.DUMMYFUNCTION("""COMPUTED_VALUE"""),"Easy")</f>
        <v>Easy</v>
      </c>
      <c r="F15" s="35">
        <f>IFERROR(__xludf.DUMMYFUNCTION("""COMPUTED_VALUE"""),7234.0)</f>
        <v>7234</v>
      </c>
      <c r="G15" s="35">
        <f>IFERROR(__xludf.DUMMYFUNCTION("""COMPUTED_VALUE"""),2856.0)</f>
        <v>2856</v>
      </c>
      <c r="H15" s="35" t="str">
        <f>IFERROR(__xludf.DUMMYFUNCTION("""COMPUTED_VALUE"""),"Algorithms")</f>
        <v>Algorithms</v>
      </c>
      <c r="I15" s="35">
        <f>IFERROR(__xludf.DUMMYFUNCTION("""COMPUTED_VALUE"""),0.391)</f>
        <v>0.391</v>
      </c>
      <c r="J15" s="35">
        <f>IFERROR(__xludf.DUMMYFUNCTION("""COMPUTED_VALUE"""),14.0)</f>
        <v>14</v>
      </c>
      <c r="K15" s="35" t="b">
        <f>IFERROR(__xludf.DUMMYFUNCTION("""COMPUTED_VALUE"""),FALSE)</f>
        <v>0</v>
      </c>
      <c r="L15" s="35" t="str">
        <f>IFERROR(__xludf.DUMMYFUNCTION("""COMPUTED_VALUE"""),"String;")</f>
        <v>String;</v>
      </c>
      <c r="M15" s="35" t="b">
        <f>IFERROR(__xludf.DUMMYFUNCTION("""COMPUTED_VALUE"""),TRUE)</f>
        <v>1</v>
      </c>
      <c r="N15" s="35" t="b">
        <f>IFERROR(__xludf.DUMMYFUNCTION("""COMPUTED_VALUE"""),FALSE)</f>
        <v>0</v>
      </c>
      <c r="O15" s="35">
        <f>IFERROR(__xludf.DUMMYFUNCTION("""COMPUTED_VALUE"""),39.060949696167)</f>
        <v>39.0609497</v>
      </c>
      <c r="P15" s="35">
        <f>IFERROR(__xludf.DUMMYFUNCTION("""COMPUTED_VALUE"""),1467620.0)</f>
        <v>1467620</v>
      </c>
      <c r="Q15" s="35">
        <f>IFERROR(__xludf.DUMMYFUNCTION("""COMPUTED_VALUE"""),3757279.0)</f>
        <v>3757279</v>
      </c>
    </row>
    <row r="16">
      <c r="A16" s="35">
        <f>IFERROR(__xludf.DUMMYFUNCTION("""COMPUTED_VALUE"""),15.0)</f>
        <v>15</v>
      </c>
      <c r="B16" s="35" t="str">
        <f>IFERROR(__xludf.DUMMYFUNCTION("""COMPUTED_VALUE"""),"3Sum")</f>
        <v>3Sum</v>
      </c>
      <c r="C16" s="35" t="str">
        <f>IFERROR(__xludf.DUMMYFUNCTION("""COMPUTED_VALUE"""),"3sum")</f>
        <v>3sum</v>
      </c>
      <c r="D16" s="35" t="b">
        <f>IFERROR(__xludf.DUMMYFUNCTION("""COMPUTED_VALUE"""),FALSE)</f>
        <v>0</v>
      </c>
      <c r="E16" s="35" t="str">
        <f>IFERROR(__xludf.DUMMYFUNCTION("""COMPUTED_VALUE"""),"Medium")</f>
        <v>Medium</v>
      </c>
      <c r="F16" s="35">
        <f>IFERROR(__xludf.DUMMYFUNCTION("""COMPUTED_VALUE"""),16515.0)</f>
        <v>16515</v>
      </c>
      <c r="G16" s="35">
        <f>IFERROR(__xludf.DUMMYFUNCTION("""COMPUTED_VALUE"""),1579.0)</f>
        <v>1579</v>
      </c>
      <c r="H16" s="35" t="str">
        <f>IFERROR(__xludf.DUMMYFUNCTION("""COMPUTED_VALUE"""),"Algorithms")</f>
        <v>Algorithms</v>
      </c>
      <c r="I16" s="35">
        <f>IFERROR(__xludf.DUMMYFUNCTION("""COMPUTED_VALUE"""),0.307)</f>
        <v>0.307</v>
      </c>
      <c r="J16" s="35">
        <f>IFERROR(__xludf.DUMMYFUNCTION("""COMPUTED_VALUE"""),15.0)</f>
        <v>15</v>
      </c>
      <c r="K16" s="35" t="b">
        <f>IFERROR(__xludf.DUMMYFUNCTION("""COMPUTED_VALUE"""),FALSE)</f>
        <v>0</v>
      </c>
      <c r="L16" s="35" t="str">
        <f>IFERROR(__xludf.DUMMYFUNCTION("""COMPUTED_VALUE"""),"Array;Two Pointers;Sorting;")</f>
        <v>Array;Two Pointers;Sorting;</v>
      </c>
      <c r="M16" s="35" t="b">
        <f>IFERROR(__xludf.DUMMYFUNCTION("""COMPUTED_VALUE"""),TRUE)</f>
        <v>1</v>
      </c>
      <c r="N16" s="35" t="b">
        <f>IFERROR(__xludf.DUMMYFUNCTION("""COMPUTED_VALUE"""),FALSE)</f>
        <v>0</v>
      </c>
      <c r="O16" s="35">
        <f>IFERROR(__xludf.DUMMYFUNCTION("""COMPUTED_VALUE"""),30.7451369817661)</f>
        <v>30.74513698</v>
      </c>
      <c r="P16" s="35">
        <f>IFERROR(__xludf.DUMMYFUNCTION("""COMPUTED_VALUE"""),1815506.0)</f>
        <v>1815506</v>
      </c>
      <c r="Q16" s="35">
        <f>IFERROR(__xludf.DUMMYFUNCTION("""COMPUTED_VALUE"""),5905052.0)</f>
        <v>5905052</v>
      </c>
    </row>
    <row r="17">
      <c r="A17" s="35">
        <f>IFERROR(__xludf.DUMMYFUNCTION("""COMPUTED_VALUE"""),16.0)</f>
        <v>16</v>
      </c>
      <c r="B17" s="35" t="str">
        <f>IFERROR(__xludf.DUMMYFUNCTION("""COMPUTED_VALUE"""),"3Sum Closest")</f>
        <v>3Sum Closest</v>
      </c>
      <c r="C17" s="35" t="str">
        <f>IFERROR(__xludf.DUMMYFUNCTION("""COMPUTED_VALUE"""),"3sum-closest")</f>
        <v>3sum-closest</v>
      </c>
      <c r="D17" s="35" t="b">
        <f>IFERROR(__xludf.DUMMYFUNCTION("""COMPUTED_VALUE"""),FALSE)</f>
        <v>0</v>
      </c>
      <c r="E17" s="35" t="str">
        <f>IFERROR(__xludf.DUMMYFUNCTION("""COMPUTED_VALUE"""),"Medium")</f>
        <v>Medium</v>
      </c>
      <c r="F17" s="35">
        <f>IFERROR(__xludf.DUMMYFUNCTION("""COMPUTED_VALUE"""),5428.0)</f>
        <v>5428</v>
      </c>
      <c r="G17" s="35">
        <f>IFERROR(__xludf.DUMMYFUNCTION("""COMPUTED_VALUE"""),235.0)</f>
        <v>235</v>
      </c>
      <c r="H17" s="35" t="str">
        <f>IFERROR(__xludf.DUMMYFUNCTION("""COMPUTED_VALUE"""),"Algorithms")</f>
        <v>Algorithms</v>
      </c>
      <c r="I17" s="35">
        <f>IFERROR(__xludf.DUMMYFUNCTION("""COMPUTED_VALUE"""),0.471)</f>
        <v>0.471</v>
      </c>
      <c r="J17" s="35">
        <f>IFERROR(__xludf.DUMMYFUNCTION("""COMPUTED_VALUE"""),16.0)</f>
        <v>16</v>
      </c>
      <c r="K17" s="35" t="b">
        <f>IFERROR(__xludf.DUMMYFUNCTION("""COMPUTED_VALUE"""),FALSE)</f>
        <v>0</v>
      </c>
      <c r="L17" s="35" t="str">
        <f>IFERROR(__xludf.DUMMYFUNCTION("""COMPUTED_VALUE"""),"Array;Two Pointers;Sorting;")</f>
        <v>Array;Two Pointers;Sorting;</v>
      </c>
      <c r="M17" s="35" t="b">
        <f>IFERROR(__xludf.DUMMYFUNCTION("""COMPUTED_VALUE"""),TRUE)</f>
        <v>1</v>
      </c>
      <c r="N17" s="35" t="b">
        <f>IFERROR(__xludf.DUMMYFUNCTION("""COMPUTED_VALUE"""),FALSE)</f>
        <v>0</v>
      </c>
      <c r="O17" s="35">
        <f>IFERROR(__xludf.DUMMYFUNCTION("""COMPUTED_VALUE"""),47.053591475104)</f>
        <v>47.05359148</v>
      </c>
      <c r="P17" s="35">
        <f>IFERROR(__xludf.DUMMYFUNCTION("""COMPUTED_VALUE"""),762835.0)</f>
        <v>762835</v>
      </c>
      <c r="Q17" s="35">
        <f>IFERROR(__xludf.DUMMYFUNCTION("""COMPUTED_VALUE"""),1621211.0)</f>
        <v>1621211</v>
      </c>
    </row>
    <row r="18">
      <c r="A18" s="35">
        <f>IFERROR(__xludf.DUMMYFUNCTION("""COMPUTED_VALUE"""),17.0)</f>
        <v>17</v>
      </c>
      <c r="B18" s="35" t="str">
        <f>IFERROR(__xludf.DUMMYFUNCTION("""COMPUTED_VALUE"""),"Letter Combinations of a Phone Number")</f>
        <v>Letter Combinations of a Phone Number</v>
      </c>
      <c r="C18" s="35" t="str">
        <f>IFERROR(__xludf.DUMMYFUNCTION("""COMPUTED_VALUE"""),"letter-combinations-of-a-phone-number")</f>
        <v>letter-combinations-of-a-phone-number</v>
      </c>
      <c r="D18" s="35" t="b">
        <f>IFERROR(__xludf.DUMMYFUNCTION("""COMPUTED_VALUE"""),FALSE)</f>
        <v>0</v>
      </c>
      <c r="E18" s="35" t="str">
        <f>IFERROR(__xludf.DUMMYFUNCTION("""COMPUTED_VALUE"""),"Medium")</f>
        <v>Medium</v>
      </c>
      <c r="F18" s="35">
        <f>IFERROR(__xludf.DUMMYFUNCTION("""COMPUTED_VALUE"""),9234.0)</f>
        <v>9234</v>
      </c>
      <c r="G18" s="35">
        <f>IFERROR(__xludf.DUMMYFUNCTION("""COMPUTED_VALUE"""),641.0)</f>
        <v>641</v>
      </c>
      <c r="H18" s="35" t="str">
        <f>IFERROR(__xludf.DUMMYFUNCTION("""COMPUTED_VALUE"""),"Algorithms")</f>
        <v>Algorithms</v>
      </c>
      <c r="I18" s="35">
        <f>IFERROR(__xludf.DUMMYFUNCTION("""COMPUTED_VALUE"""),0.532)</f>
        <v>0.532</v>
      </c>
      <c r="J18" s="35">
        <f>IFERROR(__xludf.DUMMYFUNCTION("""COMPUTED_VALUE"""),17.0)</f>
        <v>17</v>
      </c>
      <c r="K18" s="35" t="b">
        <f>IFERROR(__xludf.DUMMYFUNCTION("""COMPUTED_VALUE"""),FALSE)</f>
        <v>0</v>
      </c>
      <c r="L18" s="35" t="str">
        <f>IFERROR(__xludf.DUMMYFUNCTION("""COMPUTED_VALUE"""),"Hash Table;String;Backtracking;")</f>
        <v>Hash Table;String;Backtracking;</v>
      </c>
      <c r="M18" s="35" t="b">
        <f>IFERROR(__xludf.DUMMYFUNCTION("""COMPUTED_VALUE"""),TRUE)</f>
        <v>1</v>
      </c>
      <c r="N18" s="35" t="b">
        <f>IFERROR(__xludf.DUMMYFUNCTION("""COMPUTED_VALUE"""),FALSE)</f>
        <v>0</v>
      </c>
      <c r="O18" s="35">
        <f>IFERROR(__xludf.DUMMYFUNCTION("""COMPUTED_VALUE"""),53.1884314871256)</f>
        <v>53.18843149</v>
      </c>
      <c r="P18" s="35">
        <f>IFERROR(__xludf.DUMMYFUNCTION("""COMPUTED_VALUE"""),1113199.0)</f>
        <v>1113199</v>
      </c>
      <c r="Q18" s="35">
        <f>IFERROR(__xludf.DUMMYFUNCTION("""COMPUTED_VALUE"""),2092945.0)</f>
        <v>2092945</v>
      </c>
    </row>
    <row r="19">
      <c r="A19" s="35">
        <f>IFERROR(__xludf.DUMMYFUNCTION("""COMPUTED_VALUE"""),18.0)</f>
        <v>18</v>
      </c>
      <c r="B19" s="35" t="str">
        <f>IFERROR(__xludf.DUMMYFUNCTION("""COMPUTED_VALUE"""),"4Sum")</f>
        <v>4Sum</v>
      </c>
      <c r="C19" s="35" t="str">
        <f>IFERROR(__xludf.DUMMYFUNCTION("""COMPUTED_VALUE"""),"4sum")</f>
        <v>4sum</v>
      </c>
      <c r="D19" s="35" t="b">
        <f>IFERROR(__xludf.DUMMYFUNCTION("""COMPUTED_VALUE"""),FALSE)</f>
        <v>0</v>
      </c>
      <c r="E19" s="35" t="str">
        <f>IFERROR(__xludf.DUMMYFUNCTION("""COMPUTED_VALUE"""),"Medium")</f>
        <v>Medium</v>
      </c>
      <c r="F19" s="35">
        <f>IFERROR(__xludf.DUMMYFUNCTION("""COMPUTED_VALUE"""),5759.0)</f>
        <v>5759</v>
      </c>
      <c r="G19" s="35">
        <f>IFERROR(__xludf.DUMMYFUNCTION("""COMPUTED_VALUE"""),656.0)</f>
        <v>656</v>
      </c>
      <c r="H19" s="35" t="str">
        <f>IFERROR(__xludf.DUMMYFUNCTION("""COMPUTED_VALUE"""),"Algorithms")</f>
        <v>Algorithms</v>
      </c>
      <c r="I19" s="35">
        <f>IFERROR(__xludf.DUMMYFUNCTION("""COMPUTED_VALUE"""),0.371)</f>
        <v>0.371</v>
      </c>
      <c r="J19" s="35">
        <f>IFERROR(__xludf.DUMMYFUNCTION("""COMPUTED_VALUE"""),18.0)</f>
        <v>18</v>
      </c>
      <c r="K19" s="35" t="b">
        <f>IFERROR(__xludf.DUMMYFUNCTION("""COMPUTED_VALUE"""),FALSE)</f>
        <v>0</v>
      </c>
      <c r="L19" s="35" t="str">
        <f>IFERROR(__xludf.DUMMYFUNCTION("""COMPUTED_VALUE"""),"Array;Two Pointers;Sorting;")</f>
        <v>Array;Two Pointers;Sorting;</v>
      </c>
      <c r="M19" s="35" t="b">
        <f>IFERROR(__xludf.DUMMYFUNCTION("""COMPUTED_VALUE"""),TRUE)</f>
        <v>1</v>
      </c>
      <c r="N19" s="35" t="b">
        <f>IFERROR(__xludf.DUMMYFUNCTION("""COMPUTED_VALUE"""),FALSE)</f>
        <v>0</v>
      </c>
      <c r="O19" s="35">
        <f>IFERROR(__xludf.DUMMYFUNCTION("""COMPUTED_VALUE"""),37.0909630198291)</f>
        <v>37.09096302</v>
      </c>
      <c r="P19" s="35">
        <f>IFERROR(__xludf.DUMMYFUNCTION("""COMPUTED_VALUE"""),552715.0)</f>
        <v>552715</v>
      </c>
      <c r="Q19" s="35">
        <f>IFERROR(__xludf.DUMMYFUNCTION("""COMPUTED_VALUE"""),1490162.0)</f>
        <v>1490162</v>
      </c>
    </row>
    <row r="20">
      <c r="A20" s="35">
        <f>IFERROR(__xludf.DUMMYFUNCTION("""COMPUTED_VALUE"""),19.0)</f>
        <v>19</v>
      </c>
      <c r="B20" s="35" t="str">
        <f>IFERROR(__xludf.DUMMYFUNCTION("""COMPUTED_VALUE"""),"Remove Nth Node From End of List")</f>
        <v>Remove Nth Node From End of List</v>
      </c>
      <c r="C20" s="35" t="str">
        <f>IFERROR(__xludf.DUMMYFUNCTION("""COMPUTED_VALUE"""),"remove-nth-node-from-end-of-list")</f>
        <v>remove-nth-node-from-end-of-list</v>
      </c>
      <c r="D20" s="35" t="b">
        <f>IFERROR(__xludf.DUMMYFUNCTION("""COMPUTED_VALUE"""),FALSE)</f>
        <v>0</v>
      </c>
      <c r="E20" s="35" t="str">
        <f>IFERROR(__xludf.DUMMYFUNCTION("""COMPUTED_VALUE"""),"Medium")</f>
        <v>Medium</v>
      </c>
      <c r="F20" s="35">
        <f>IFERROR(__xludf.DUMMYFUNCTION("""COMPUTED_VALUE"""),9134.0)</f>
        <v>9134</v>
      </c>
      <c r="G20" s="35">
        <f>IFERROR(__xludf.DUMMYFUNCTION("""COMPUTED_VALUE"""),434.0)</f>
        <v>434</v>
      </c>
      <c r="H20" s="35" t="str">
        <f>IFERROR(__xludf.DUMMYFUNCTION("""COMPUTED_VALUE"""),"Algorithms")</f>
        <v>Algorithms</v>
      </c>
      <c r="I20" s="35">
        <f>IFERROR(__xludf.DUMMYFUNCTION("""COMPUTED_VALUE"""),0.38)</f>
        <v>0.38</v>
      </c>
      <c r="J20" s="35">
        <f>IFERROR(__xludf.DUMMYFUNCTION("""COMPUTED_VALUE"""),19.0)</f>
        <v>19</v>
      </c>
      <c r="K20" s="35" t="b">
        <f>IFERROR(__xludf.DUMMYFUNCTION("""COMPUTED_VALUE"""),FALSE)</f>
        <v>0</v>
      </c>
      <c r="L20" s="35" t="str">
        <f>IFERROR(__xludf.DUMMYFUNCTION("""COMPUTED_VALUE"""),"Linked List;Two Pointers;")</f>
        <v>Linked List;Two Pointers;</v>
      </c>
      <c r="M20" s="35" t="b">
        <f>IFERROR(__xludf.DUMMYFUNCTION("""COMPUTED_VALUE"""),TRUE)</f>
        <v>1</v>
      </c>
      <c r="N20" s="35" t="b">
        <f>IFERROR(__xludf.DUMMYFUNCTION("""COMPUTED_VALUE"""),TRUE)</f>
        <v>1</v>
      </c>
      <c r="O20" s="35">
        <f>IFERROR(__xludf.DUMMYFUNCTION("""COMPUTED_VALUE"""),38.0145145149589)</f>
        <v>38.01451451</v>
      </c>
      <c r="P20" s="35">
        <f>IFERROR(__xludf.DUMMYFUNCTION("""COMPUTED_VALUE"""),1284304.0)</f>
        <v>1284304</v>
      </c>
      <c r="Q20" s="35">
        <f>IFERROR(__xludf.DUMMYFUNCTION("""COMPUTED_VALUE"""),3378472.0)</f>
        <v>3378472</v>
      </c>
    </row>
    <row r="21">
      <c r="A21" s="35">
        <f>IFERROR(__xludf.DUMMYFUNCTION("""COMPUTED_VALUE"""),20.0)</f>
        <v>20</v>
      </c>
      <c r="B21" s="35" t="str">
        <f>IFERROR(__xludf.DUMMYFUNCTION("""COMPUTED_VALUE"""),"Valid Parentheses")</f>
        <v>Valid Parentheses</v>
      </c>
      <c r="C21" s="35" t="str">
        <f>IFERROR(__xludf.DUMMYFUNCTION("""COMPUTED_VALUE"""),"valid-parentheses")</f>
        <v>valid-parentheses</v>
      </c>
      <c r="D21" s="35" t="b">
        <f>IFERROR(__xludf.DUMMYFUNCTION("""COMPUTED_VALUE"""),FALSE)</f>
        <v>0</v>
      </c>
      <c r="E21" s="35" t="str">
        <f>IFERROR(__xludf.DUMMYFUNCTION("""COMPUTED_VALUE"""),"Easy")</f>
        <v>Easy</v>
      </c>
      <c r="F21" s="35">
        <f>IFERROR(__xludf.DUMMYFUNCTION("""COMPUTED_VALUE"""),11641.0)</f>
        <v>11641</v>
      </c>
      <c r="G21" s="35">
        <f>IFERROR(__xludf.DUMMYFUNCTION("""COMPUTED_VALUE"""),515.0)</f>
        <v>515</v>
      </c>
      <c r="H21" s="35" t="str">
        <f>IFERROR(__xludf.DUMMYFUNCTION("""COMPUTED_VALUE"""),"Algorithms")</f>
        <v>Algorithms</v>
      </c>
      <c r="I21" s="35">
        <f>IFERROR(__xludf.DUMMYFUNCTION("""COMPUTED_VALUE"""),0.406)</f>
        <v>0.406</v>
      </c>
      <c r="J21" s="35">
        <f>IFERROR(__xludf.DUMMYFUNCTION("""COMPUTED_VALUE"""),20.0)</f>
        <v>20</v>
      </c>
      <c r="K21" s="35" t="b">
        <f>IFERROR(__xludf.DUMMYFUNCTION("""COMPUTED_VALUE"""),FALSE)</f>
        <v>0</v>
      </c>
      <c r="L21" s="35" t="str">
        <f>IFERROR(__xludf.DUMMYFUNCTION("""COMPUTED_VALUE"""),"String;Stack;")</f>
        <v>String;Stack;</v>
      </c>
      <c r="M21" s="35" t="b">
        <f>IFERROR(__xludf.DUMMYFUNCTION("""COMPUTED_VALUE"""),TRUE)</f>
        <v>1</v>
      </c>
      <c r="N21" s="35" t="b">
        <f>IFERROR(__xludf.DUMMYFUNCTION("""COMPUTED_VALUE"""),TRUE)</f>
        <v>1</v>
      </c>
      <c r="O21" s="35">
        <f>IFERROR(__xludf.DUMMYFUNCTION("""COMPUTED_VALUE"""),40.6118820292216)</f>
        <v>40.61188203</v>
      </c>
      <c r="P21" s="35">
        <f>IFERROR(__xludf.DUMMYFUNCTION("""COMPUTED_VALUE"""),2029783.0)</f>
        <v>2029783</v>
      </c>
      <c r="Q21" s="35">
        <f>IFERROR(__xludf.DUMMYFUNCTION("""COMPUTED_VALUE"""),4998031.0)</f>
        <v>4998031</v>
      </c>
    </row>
    <row r="22">
      <c r="A22" s="35">
        <f>IFERROR(__xludf.DUMMYFUNCTION("""COMPUTED_VALUE"""),21.0)</f>
        <v>21</v>
      </c>
      <c r="B22" s="35" t="str">
        <f>IFERROR(__xludf.DUMMYFUNCTION("""COMPUTED_VALUE"""),"Merge Two Sorted Lists")</f>
        <v>Merge Two Sorted Lists</v>
      </c>
      <c r="C22" s="35" t="str">
        <f>IFERROR(__xludf.DUMMYFUNCTION("""COMPUTED_VALUE"""),"merge-two-sorted-lists")</f>
        <v>merge-two-sorted-lists</v>
      </c>
      <c r="D22" s="35" t="b">
        <f>IFERROR(__xludf.DUMMYFUNCTION("""COMPUTED_VALUE"""),FALSE)</f>
        <v>0</v>
      </c>
      <c r="E22" s="35" t="str">
        <f>IFERROR(__xludf.DUMMYFUNCTION("""COMPUTED_VALUE"""),"Easy")</f>
        <v>Easy</v>
      </c>
      <c r="F22" s="35">
        <f>IFERROR(__xludf.DUMMYFUNCTION("""COMPUTED_VALUE"""),11322.0)</f>
        <v>11322</v>
      </c>
      <c r="G22" s="35">
        <f>IFERROR(__xludf.DUMMYFUNCTION("""COMPUTED_VALUE"""),1020.0)</f>
        <v>1020</v>
      </c>
      <c r="H22" s="35" t="str">
        <f>IFERROR(__xludf.DUMMYFUNCTION("""COMPUTED_VALUE"""),"Algorithms")</f>
        <v>Algorithms</v>
      </c>
      <c r="I22" s="35">
        <f>IFERROR(__xludf.DUMMYFUNCTION("""COMPUTED_VALUE"""),0.599)</f>
        <v>0.599</v>
      </c>
      <c r="J22" s="35">
        <f>IFERROR(__xludf.DUMMYFUNCTION("""COMPUTED_VALUE"""),21.0)</f>
        <v>21</v>
      </c>
      <c r="K22" s="35" t="b">
        <f>IFERROR(__xludf.DUMMYFUNCTION("""COMPUTED_VALUE"""),FALSE)</f>
        <v>0</v>
      </c>
      <c r="L22" s="35" t="str">
        <f>IFERROR(__xludf.DUMMYFUNCTION("""COMPUTED_VALUE"""),"Linked List;Recursion;")</f>
        <v>Linked List;Recursion;</v>
      </c>
      <c r="M22" s="35" t="b">
        <f>IFERROR(__xludf.DUMMYFUNCTION("""COMPUTED_VALUE"""),TRUE)</f>
        <v>1</v>
      </c>
      <c r="N22" s="35" t="b">
        <f>IFERROR(__xludf.DUMMYFUNCTION("""COMPUTED_VALUE"""),TRUE)</f>
        <v>1</v>
      </c>
      <c r="O22" s="35">
        <f>IFERROR(__xludf.DUMMYFUNCTION("""COMPUTED_VALUE"""),59.8928310059718)</f>
        <v>59.89283101</v>
      </c>
      <c r="P22" s="35">
        <f>IFERROR(__xludf.DUMMYFUNCTION("""COMPUTED_VALUE"""),2038563.0)</f>
        <v>2038563</v>
      </c>
      <c r="Q22" s="35">
        <f>IFERROR(__xludf.DUMMYFUNCTION("""COMPUTED_VALUE"""),3403704.0)</f>
        <v>3403704</v>
      </c>
    </row>
    <row r="23">
      <c r="A23" s="35">
        <f>IFERROR(__xludf.DUMMYFUNCTION("""COMPUTED_VALUE"""),22.0)</f>
        <v>22</v>
      </c>
      <c r="B23" s="35" t="str">
        <f>IFERROR(__xludf.DUMMYFUNCTION("""COMPUTED_VALUE"""),"Generate Parentheses")</f>
        <v>Generate Parentheses</v>
      </c>
      <c r="C23" s="35" t="str">
        <f>IFERROR(__xludf.DUMMYFUNCTION("""COMPUTED_VALUE"""),"generate-parentheses")</f>
        <v>generate-parentheses</v>
      </c>
      <c r="D23" s="35" t="b">
        <f>IFERROR(__xludf.DUMMYFUNCTION("""COMPUTED_VALUE"""),FALSE)</f>
        <v>0</v>
      </c>
      <c r="E23" s="35" t="str">
        <f>IFERROR(__xludf.DUMMYFUNCTION("""COMPUTED_VALUE"""),"Medium")</f>
        <v>Medium</v>
      </c>
      <c r="F23" s="35">
        <f>IFERROR(__xludf.DUMMYFUNCTION("""COMPUTED_VALUE"""),11973.0)</f>
        <v>11973</v>
      </c>
      <c r="G23" s="35">
        <f>IFERROR(__xludf.DUMMYFUNCTION("""COMPUTED_VALUE"""),468.0)</f>
        <v>468</v>
      </c>
      <c r="H23" s="35" t="str">
        <f>IFERROR(__xludf.DUMMYFUNCTION("""COMPUTED_VALUE"""),"Algorithms")</f>
        <v>Algorithms</v>
      </c>
      <c r="I23" s="35">
        <f>IFERROR(__xludf.DUMMYFUNCTION("""COMPUTED_VALUE"""),0.696)</f>
        <v>0.696</v>
      </c>
      <c r="J23" s="35">
        <f>IFERROR(__xludf.DUMMYFUNCTION("""COMPUTED_VALUE"""),22.0)</f>
        <v>22</v>
      </c>
      <c r="K23" s="35" t="b">
        <f>IFERROR(__xludf.DUMMYFUNCTION("""COMPUTED_VALUE"""),FALSE)</f>
        <v>0</v>
      </c>
      <c r="L23" s="35" t="str">
        <f>IFERROR(__xludf.DUMMYFUNCTION("""COMPUTED_VALUE"""),"String;Dynamic Programming;Backtracking;")</f>
        <v>String;Dynamic Programming;Backtracking;</v>
      </c>
      <c r="M23" s="35" t="b">
        <f>IFERROR(__xludf.DUMMYFUNCTION("""COMPUTED_VALUE"""),TRUE)</f>
        <v>1</v>
      </c>
      <c r="N23" s="35" t="b">
        <f>IFERROR(__xludf.DUMMYFUNCTION("""COMPUTED_VALUE"""),FALSE)</f>
        <v>0</v>
      </c>
      <c r="O23" s="35">
        <f>IFERROR(__xludf.DUMMYFUNCTION("""COMPUTED_VALUE"""),69.5890750205389)</f>
        <v>69.58907502</v>
      </c>
      <c r="P23" s="35">
        <f>IFERROR(__xludf.DUMMYFUNCTION("""COMPUTED_VALUE"""),1000339.0)</f>
        <v>1000339</v>
      </c>
      <c r="Q23" s="35">
        <f>IFERROR(__xludf.DUMMYFUNCTION("""COMPUTED_VALUE"""),1437496.0)</f>
        <v>1437496</v>
      </c>
    </row>
    <row r="24">
      <c r="A24" s="35">
        <f>IFERROR(__xludf.DUMMYFUNCTION("""COMPUTED_VALUE"""),23.0)</f>
        <v>23</v>
      </c>
      <c r="B24" s="35" t="str">
        <f>IFERROR(__xludf.DUMMYFUNCTION("""COMPUTED_VALUE"""),"Merge k Sorted Lists")</f>
        <v>Merge k Sorted Lists</v>
      </c>
      <c r="C24" s="35" t="str">
        <f>IFERROR(__xludf.DUMMYFUNCTION("""COMPUTED_VALUE"""),"merge-k-sorted-lists")</f>
        <v>merge-k-sorted-lists</v>
      </c>
      <c r="D24" s="35" t="b">
        <f>IFERROR(__xludf.DUMMYFUNCTION("""COMPUTED_VALUE"""),FALSE)</f>
        <v>0</v>
      </c>
      <c r="E24" s="35" t="str">
        <f>IFERROR(__xludf.DUMMYFUNCTION("""COMPUTED_VALUE"""),"Hard")</f>
        <v>Hard</v>
      </c>
      <c r="F24" s="35">
        <f>IFERROR(__xludf.DUMMYFUNCTION("""COMPUTED_VALUE"""),11431.0)</f>
        <v>11431</v>
      </c>
      <c r="G24" s="35">
        <f>IFERROR(__xludf.DUMMYFUNCTION("""COMPUTED_VALUE"""),453.0)</f>
        <v>453</v>
      </c>
      <c r="H24" s="35" t="str">
        <f>IFERROR(__xludf.DUMMYFUNCTION("""COMPUTED_VALUE"""),"Algorithms")</f>
        <v>Algorithms</v>
      </c>
      <c r="I24" s="35">
        <f>IFERROR(__xludf.DUMMYFUNCTION("""COMPUTED_VALUE"""),0.466)</f>
        <v>0.466</v>
      </c>
      <c r="J24" s="35">
        <f>IFERROR(__xludf.DUMMYFUNCTION("""COMPUTED_VALUE"""),23.0)</f>
        <v>23</v>
      </c>
      <c r="K24" s="35" t="b">
        <f>IFERROR(__xludf.DUMMYFUNCTION("""COMPUTED_VALUE"""),FALSE)</f>
        <v>0</v>
      </c>
      <c r="L24" s="35" t="str">
        <f>IFERROR(__xludf.DUMMYFUNCTION("""COMPUTED_VALUE"""),"Linked List;Divide and Conquer;Heap (Priority Queue);Merge Sort;")</f>
        <v>Linked List;Divide and Conquer;Heap (Priority Queue);Merge Sort;</v>
      </c>
      <c r="M24" s="35" t="b">
        <f>IFERROR(__xludf.DUMMYFUNCTION("""COMPUTED_VALUE"""),TRUE)</f>
        <v>1</v>
      </c>
      <c r="N24" s="35" t="b">
        <f>IFERROR(__xludf.DUMMYFUNCTION("""COMPUTED_VALUE"""),FALSE)</f>
        <v>0</v>
      </c>
      <c r="O24" s="35">
        <f>IFERROR(__xludf.DUMMYFUNCTION("""COMPUTED_VALUE"""),46.6405056290366)</f>
        <v>46.64050563</v>
      </c>
      <c r="P24" s="35">
        <f>IFERROR(__xludf.DUMMYFUNCTION("""COMPUTED_VALUE"""),1194119.0)</f>
        <v>1194119</v>
      </c>
      <c r="Q24" s="35">
        <f>IFERROR(__xludf.DUMMYFUNCTION("""COMPUTED_VALUE"""),2560272.0)</f>
        <v>2560272</v>
      </c>
    </row>
    <row r="25">
      <c r="A25" s="35">
        <f>IFERROR(__xludf.DUMMYFUNCTION("""COMPUTED_VALUE"""),24.0)</f>
        <v>24</v>
      </c>
      <c r="B25" s="35" t="str">
        <f>IFERROR(__xludf.DUMMYFUNCTION("""COMPUTED_VALUE"""),"Swap Nodes in Pairs")</f>
        <v>Swap Nodes in Pairs</v>
      </c>
      <c r="C25" s="35" t="str">
        <f>IFERROR(__xludf.DUMMYFUNCTION("""COMPUTED_VALUE"""),"swap-nodes-in-pairs")</f>
        <v>swap-nodes-in-pairs</v>
      </c>
      <c r="D25" s="35" t="b">
        <f>IFERROR(__xludf.DUMMYFUNCTION("""COMPUTED_VALUE"""),FALSE)</f>
        <v>0</v>
      </c>
      <c r="E25" s="35" t="str">
        <f>IFERROR(__xludf.DUMMYFUNCTION("""COMPUTED_VALUE"""),"Medium")</f>
        <v>Medium</v>
      </c>
      <c r="F25" s="35">
        <f>IFERROR(__xludf.DUMMYFUNCTION("""COMPUTED_VALUE"""),6506.0)</f>
        <v>6506</v>
      </c>
      <c r="G25" s="35">
        <f>IFERROR(__xludf.DUMMYFUNCTION("""COMPUTED_VALUE"""),283.0)</f>
        <v>283</v>
      </c>
      <c r="H25" s="35" t="str">
        <f>IFERROR(__xludf.DUMMYFUNCTION("""COMPUTED_VALUE"""),"Algorithms")</f>
        <v>Algorithms</v>
      </c>
      <c r="I25" s="35">
        <f>IFERROR(__xludf.DUMMYFUNCTION("""COMPUTED_VALUE"""),0.583)</f>
        <v>0.583</v>
      </c>
      <c r="J25" s="35">
        <f>IFERROR(__xludf.DUMMYFUNCTION("""COMPUTED_VALUE"""),24.0)</f>
        <v>24</v>
      </c>
      <c r="K25" s="35" t="b">
        <f>IFERROR(__xludf.DUMMYFUNCTION("""COMPUTED_VALUE"""),FALSE)</f>
        <v>0</v>
      </c>
      <c r="L25" s="35" t="str">
        <f>IFERROR(__xludf.DUMMYFUNCTION("""COMPUTED_VALUE"""),"Linked List;Recursion;")</f>
        <v>Linked List;Recursion;</v>
      </c>
      <c r="M25" s="35" t="b">
        <f>IFERROR(__xludf.DUMMYFUNCTION("""COMPUTED_VALUE"""),TRUE)</f>
        <v>1</v>
      </c>
      <c r="N25" s="35" t="b">
        <f>IFERROR(__xludf.DUMMYFUNCTION("""COMPUTED_VALUE"""),FALSE)</f>
        <v>0</v>
      </c>
      <c r="O25" s="35">
        <f>IFERROR(__xludf.DUMMYFUNCTION("""COMPUTED_VALUE"""),58.2597345023766)</f>
        <v>58.2597345</v>
      </c>
      <c r="P25" s="35">
        <f>IFERROR(__xludf.DUMMYFUNCTION("""COMPUTED_VALUE"""),827925.0)</f>
        <v>827925</v>
      </c>
      <c r="Q25" s="35">
        <f>IFERROR(__xludf.DUMMYFUNCTION("""COMPUTED_VALUE"""),1421094.0)</f>
        <v>1421094</v>
      </c>
    </row>
    <row r="26">
      <c r="A26" s="35">
        <f>IFERROR(__xludf.DUMMYFUNCTION("""COMPUTED_VALUE"""),25.0)</f>
        <v>25</v>
      </c>
      <c r="B26" s="35" t="str">
        <f>IFERROR(__xludf.DUMMYFUNCTION("""COMPUTED_VALUE"""),"Reverse Nodes in k-Group")</f>
        <v>Reverse Nodes in k-Group</v>
      </c>
      <c r="C26" s="35" t="str">
        <f>IFERROR(__xludf.DUMMYFUNCTION("""COMPUTED_VALUE"""),"reverse-nodes-in-k-group")</f>
        <v>reverse-nodes-in-k-group</v>
      </c>
      <c r="D26" s="35" t="b">
        <f>IFERROR(__xludf.DUMMYFUNCTION("""COMPUTED_VALUE"""),FALSE)</f>
        <v>0</v>
      </c>
      <c r="E26" s="35" t="str">
        <f>IFERROR(__xludf.DUMMYFUNCTION("""COMPUTED_VALUE"""),"Hard")</f>
        <v>Hard</v>
      </c>
      <c r="F26" s="35">
        <f>IFERROR(__xludf.DUMMYFUNCTION("""COMPUTED_VALUE"""),6536.0)</f>
        <v>6536</v>
      </c>
      <c r="G26" s="35">
        <f>IFERROR(__xludf.DUMMYFUNCTION("""COMPUTED_VALUE"""),475.0)</f>
        <v>475</v>
      </c>
      <c r="H26" s="35" t="str">
        <f>IFERROR(__xludf.DUMMYFUNCTION("""COMPUTED_VALUE"""),"Algorithms")</f>
        <v>Algorithms</v>
      </c>
      <c r="I26" s="35">
        <f>IFERROR(__xludf.DUMMYFUNCTION("""COMPUTED_VALUE"""),0.505)</f>
        <v>0.505</v>
      </c>
      <c r="J26" s="35">
        <f>IFERROR(__xludf.DUMMYFUNCTION("""COMPUTED_VALUE"""),25.0)</f>
        <v>25</v>
      </c>
      <c r="K26" s="35" t="b">
        <f>IFERROR(__xludf.DUMMYFUNCTION("""COMPUTED_VALUE"""),FALSE)</f>
        <v>0</v>
      </c>
      <c r="L26" s="35" t="str">
        <f>IFERROR(__xludf.DUMMYFUNCTION("""COMPUTED_VALUE"""),"Linked List;Recursion;")</f>
        <v>Linked List;Recursion;</v>
      </c>
      <c r="M26" s="35" t="b">
        <f>IFERROR(__xludf.DUMMYFUNCTION("""COMPUTED_VALUE"""),TRUE)</f>
        <v>1</v>
      </c>
      <c r="N26" s="35" t="b">
        <f>IFERROR(__xludf.DUMMYFUNCTION("""COMPUTED_VALUE"""),FALSE)</f>
        <v>0</v>
      </c>
      <c r="O26" s="35">
        <f>IFERROR(__xludf.DUMMYFUNCTION("""COMPUTED_VALUE"""),50.4554392714638)</f>
        <v>50.45543927</v>
      </c>
      <c r="P26" s="35">
        <f>IFERROR(__xludf.DUMMYFUNCTION("""COMPUTED_VALUE"""),484173.0)</f>
        <v>484173</v>
      </c>
      <c r="Q26" s="35">
        <f>IFERROR(__xludf.DUMMYFUNCTION("""COMPUTED_VALUE"""),959610.0)</f>
        <v>959610</v>
      </c>
    </row>
    <row r="27">
      <c r="A27" s="35">
        <f>IFERROR(__xludf.DUMMYFUNCTION("""COMPUTED_VALUE"""),26.0)</f>
        <v>26</v>
      </c>
      <c r="B27" s="35" t="str">
        <f>IFERROR(__xludf.DUMMYFUNCTION("""COMPUTED_VALUE"""),"Remove Duplicates from Sorted Array")</f>
        <v>Remove Duplicates from Sorted Array</v>
      </c>
      <c r="C27" s="35" t="str">
        <f>IFERROR(__xludf.DUMMYFUNCTION("""COMPUTED_VALUE"""),"remove-duplicates-from-sorted-array")</f>
        <v>remove-duplicates-from-sorted-array</v>
      </c>
      <c r="D27" s="35" t="b">
        <f>IFERROR(__xludf.DUMMYFUNCTION("""COMPUTED_VALUE"""),FALSE)</f>
        <v>0</v>
      </c>
      <c r="E27" s="35" t="str">
        <f>IFERROR(__xludf.DUMMYFUNCTION("""COMPUTED_VALUE"""),"Easy")</f>
        <v>Easy</v>
      </c>
      <c r="F27" s="35">
        <f>IFERROR(__xludf.DUMMYFUNCTION("""COMPUTED_VALUE"""),6077.0)</f>
        <v>6077</v>
      </c>
      <c r="G27" s="35">
        <f>IFERROR(__xludf.DUMMYFUNCTION("""COMPUTED_VALUE"""),9551.0)</f>
        <v>9551</v>
      </c>
      <c r="H27" s="35" t="str">
        <f>IFERROR(__xludf.DUMMYFUNCTION("""COMPUTED_VALUE"""),"Algorithms")</f>
        <v>Algorithms</v>
      </c>
      <c r="I27" s="35">
        <f>IFERROR(__xludf.DUMMYFUNCTION("""COMPUTED_VALUE"""),0.484)</f>
        <v>0.484</v>
      </c>
      <c r="J27" s="35">
        <f>IFERROR(__xludf.DUMMYFUNCTION("""COMPUTED_VALUE"""),26.0)</f>
        <v>26</v>
      </c>
      <c r="K27" s="35" t="b">
        <f>IFERROR(__xludf.DUMMYFUNCTION("""COMPUTED_VALUE"""),FALSE)</f>
        <v>0</v>
      </c>
      <c r="L27" s="35" t="str">
        <f>IFERROR(__xludf.DUMMYFUNCTION("""COMPUTED_VALUE"""),"Array;Two Pointers;")</f>
        <v>Array;Two Pointers;</v>
      </c>
      <c r="M27" s="35" t="b">
        <f>IFERROR(__xludf.DUMMYFUNCTION("""COMPUTED_VALUE"""),TRUE)</f>
        <v>1</v>
      </c>
      <c r="N27" s="35" t="b">
        <f>IFERROR(__xludf.DUMMYFUNCTION("""COMPUTED_VALUE"""),TRUE)</f>
        <v>1</v>
      </c>
      <c r="O27" s="35">
        <f>IFERROR(__xludf.DUMMYFUNCTION("""COMPUTED_VALUE"""),48.4492454672181)</f>
        <v>48.44924547</v>
      </c>
      <c r="P27" s="35">
        <f>IFERROR(__xludf.DUMMYFUNCTION("""COMPUTED_VALUE"""),1999467.0)</f>
        <v>1999467</v>
      </c>
      <c r="Q27" s="35">
        <f>IFERROR(__xludf.DUMMYFUNCTION("""COMPUTED_VALUE"""),4126916.0)</f>
        <v>4126916</v>
      </c>
    </row>
    <row r="28">
      <c r="A28" s="35">
        <f>IFERROR(__xludf.DUMMYFUNCTION("""COMPUTED_VALUE"""),27.0)</f>
        <v>27</v>
      </c>
      <c r="B28" s="35" t="str">
        <f>IFERROR(__xludf.DUMMYFUNCTION("""COMPUTED_VALUE"""),"Remove Element")</f>
        <v>Remove Element</v>
      </c>
      <c r="C28" s="35" t="str">
        <f>IFERROR(__xludf.DUMMYFUNCTION("""COMPUTED_VALUE"""),"remove-element")</f>
        <v>remove-element</v>
      </c>
      <c r="D28" s="35" t="b">
        <f>IFERROR(__xludf.DUMMYFUNCTION("""COMPUTED_VALUE"""),FALSE)</f>
        <v>0</v>
      </c>
      <c r="E28" s="35" t="str">
        <f>IFERROR(__xludf.DUMMYFUNCTION("""COMPUTED_VALUE"""),"Easy")</f>
        <v>Easy</v>
      </c>
      <c r="F28" s="35">
        <f>IFERROR(__xludf.DUMMYFUNCTION("""COMPUTED_VALUE"""),3287.0)</f>
        <v>3287</v>
      </c>
      <c r="G28" s="35">
        <f>IFERROR(__xludf.DUMMYFUNCTION("""COMPUTED_VALUE"""),4957.0)</f>
        <v>4957</v>
      </c>
      <c r="H28" s="35" t="str">
        <f>IFERROR(__xludf.DUMMYFUNCTION("""COMPUTED_VALUE"""),"Algorithms")</f>
        <v>Algorithms</v>
      </c>
      <c r="I28" s="35">
        <f>IFERROR(__xludf.DUMMYFUNCTION("""COMPUTED_VALUE"""),0.51)</f>
        <v>0.51</v>
      </c>
      <c r="J28" s="35">
        <f>IFERROR(__xludf.DUMMYFUNCTION("""COMPUTED_VALUE"""),27.0)</f>
        <v>27</v>
      </c>
      <c r="K28" s="35" t="b">
        <f>IFERROR(__xludf.DUMMYFUNCTION("""COMPUTED_VALUE"""),FALSE)</f>
        <v>0</v>
      </c>
      <c r="L28" s="35" t="str">
        <f>IFERROR(__xludf.DUMMYFUNCTION("""COMPUTED_VALUE"""),"Array;Two Pointers;")</f>
        <v>Array;Two Pointers;</v>
      </c>
      <c r="M28" s="35" t="b">
        <f>IFERROR(__xludf.DUMMYFUNCTION("""COMPUTED_VALUE"""),TRUE)</f>
        <v>1</v>
      </c>
      <c r="N28" s="35" t="b">
        <f>IFERROR(__xludf.DUMMYFUNCTION("""COMPUTED_VALUE"""),FALSE)</f>
        <v>0</v>
      </c>
      <c r="O28" s="35">
        <f>IFERROR(__xludf.DUMMYFUNCTION("""COMPUTED_VALUE"""),50.9904851969192)</f>
        <v>50.9904852</v>
      </c>
      <c r="P28" s="35">
        <f>IFERROR(__xludf.DUMMYFUNCTION("""COMPUTED_VALUE"""),1194835.0)</f>
        <v>1194835</v>
      </c>
      <c r="Q28" s="35">
        <f>IFERROR(__xludf.DUMMYFUNCTION("""COMPUTED_VALUE"""),2343238.0)</f>
        <v>2343238</v>
      </c>
    </row>
    <row r="29">
      <c r="A29" s="35">
        <f>IFERROR(__xludf.DUMMYFUNCTION("""COMPUTED_VALUE"""),28.0)</f>
        <v>28</v>
      </c>
      <c r="B29" s="35" t="str">
        <f>IFERROR(__xludf.DUMMYFUNCTION("""COMPUTED_VALUE"""),"Implement strStr()")</f>
        <v>Implement strStr()</v>
      </c>
      <c r="C29" s="35" t="str">
        <f>IFERROR(__xludf.DUMMYFUNCTION("""COMPUTED_VALUE"""),"implement-strstr")</f>
        <v>implement-strstr</v>
      </c>
      <c r="D29" s="35" t="b">
        <f>IFERROR(__xludf.DUMMYFUNCTION("""COMPUTED_VALUE"""),FALSE)</f>
        <v>0</v>
      </c>
      <c r="E29" s="35" t="str">
        <f>IFERROR(__xludf.DUMMYFUNCTION("""COMPUTED_VALUE"""),"Easy")</f>
        <v>Easy</v>
      </c>
      <c r="F29" s="35">
        <f>IFERROR(__xludf.DUMMYFUNCTION("""COMPUTED_VALUE"""),3675.0)</f>
        <v>3675</v>
      </c>
      <c r="G29" s="35">
        <f>IFERROR(__xludf.DUMMYFUNCTION("""COMPUTED_VALUE"""),3458.0)</f>
        <v>3458</v>
      </c>
      <c r="H29" s="35" t="str">
        <f>IFERROR(__xludf.DUMMYFUNCTION("""COMPUTED_VALUE"""),"Algorithms")</f>
        <v>Algorithms</v>
      </c>
      <c r="I29" s="35">
        <f>IFERROR(__xludf.DUMMYFUNCTION("""COMPUTED_VALUE"""),0.356)</f>
        <v>0.356</v>
      </c>
      <c r="J29" s="35">
        <f>IFERROR(__xludf.DUMMYFUNCTION("""COMPUTED_VALUE"""),28.0)</f>
        <v>28</v>
      </c>
      <c r="K29" s="35" t="b">
        <f>IFERROR(__xludf.DUMMYFUNCTION("""COMPUTED_VALUE"""),FALSE)</f>
        <v>0</v>
      </c>
      <c r="L29" s="35" t="str">
        <f>IFERROR(__xludf.DUMMYFUNCTION("""COMPUTED_VALUE"""),"Two Pointers;String;String Matching;")</f>
        <v>Two Pointers;String;String Matching;</v>
      </c>
      <c r="M29" s="35" t="b">
        <f>IFERROR(__xludf.DUMMYFUNCTION("""COMPUTED_VALUE"""),FALSE)</f>
        <v>0</v>
      </c>
      <c r="N29" s="35" t="b">
        <f>IFERROR(__xludf.DUMMYFUNCTION("""COMPUTED_VALUE"""),FALSE)</f>
        <v>0</v>
      </c>
      <c r="O29" s="35">
        <f>IFERROR(__xludf.DUMMYFUNCTION("""COMPUTED_VALUE"""),35.6180015539109)</f>
        <v>35.61800155</v>
      </c>
      <c r="P29" s="35">
        <f>IFERROR(__xludf.DUMMYFUNCTION("""COMPUTED_VALUE"""),1172642.0)</f>
        <v>1172642</v>
      </c>
      <c r="Q29" s="35">
        <f>IFERROR(__xludf.DUMMYFUNCTION("""COMPUTED_VALUE"""),3292283.0)</f>
        <v>3292283</v>
      </c>
    </row>
    <row r="30">
      <c r="A30" s="35">
        <f>IFERROR(__xludf.DUMMYFUNCTION("""COMPUTED_VALUE"""),29.0)</f>
        <v>29</v>
      </c>
      <c r="B30" s="35" t="str">
        <f>IFERROR(__xludf.DUMMYFUNCTION("""COMPUTED_VALUE"""),"Divide Two Integers")</f>
        <v>Divide Two Integers</v>
      </c>
      <c r="C30" s="35" t="str">
        <f>IFERROR(__xludf.DUMMYFUNCTION("""COMPUTED_VALUE"""),"divide-two-integers")</f>
        <v>divide-two-integers</v>
      </c>
      <c r="D30" s="35" t="b">
        <f>IFERROR(__xludf.DUMMYFUNCTION("""COMPUTED_VALUE"""),FALSE)</f>
        <v>0</v>
      </c>
      <c r="E30" s="35" t="str">
        <f>IFERROR(__xludf.DUMMYFUNCTION("""COMPUTED_VALUE"""),"Medium")</f>
        <v>Medium</v>
      </c>
      <c r="F30" s="35">
        <f>IFERROR(__xludf.DUMMYFUNCTION("""COMPUTED_VALUE"""),2579.0)</f>
        <v>2579</v>
      </c>
      <c r="G30" s="35">
        <f>IFERROR(__xludf.DUMMYFUNCTION("""COMPUTED_VALUE"""),9085.0)</f>
        <v>9085</v>
      </c>
      <c r="H30" s="35" t="str">
        <f>IFERROR(__xludf.DUMMYFUNCTION("""COMPUTED_VALUE"""),"Algorithms")</f>
        <v>Algorithms</v>
      </c>
      <c r="I30" s="35">
        <f>IFERROR(__xludf.DUMMYFUNCTION("""COMPUTED_VALUE"""),0.17)</f>
        <v>0.17</v>
      </c>
      <c r="J30" s="35">
        <f>IFERROR(__xludf.DUMMYFUNCTION("""COMPUTED_VALUE"""),29.0)</f>
        <v>29</v>
      </c>
      <c r="K30" s="35" t="b">
        <f>IFERROR(__xludf.DUMMYFUNCTION("""COMPUTED_VALUE"""),FALSE)</f>
        <v>0</v>
      </c>
      <c r="L30" s="35" t="str">
        <f>IFERROR(__xludf.DUMMYFUNCTION("""COMPUTED_VALUE"""),"Math;Bit Manipulation;")</f>
        <v>Math;Bit Manipulation;</v>
      </c>
      <c r="M30" s="35" t="b">
        <f>IFERROR(__xludf.DUMMYFUNCTION("""COMPUTED_VALUE"""),TRUE)</f>
        <v>1</v>
      </c>
      <c r="N30" s="35" t="b">
        <f>IFERROR(__xludf.DUMMYFUNCTION("""COMPUTED_VALUE"""),FALSE)</f>
        <v>0</v>
      </c>
      <c r="O30" s="35">
        <f>IFERROR(__xludf.DUMMYFUNCTION("""COMPUTED_VALUE"""),17.0450249067221)</f>
        <v>17.04502491</v>
      </c>
      <c r="P30" s="35">
        <f>IFERROR(__xludf.DUMMYFUNCTION("""COMPUTED_VALUE"""),452629.0)</f>
        <v>452629</v>
      </c>
      <c r="Q30" s="35">
        <f>IFERROR(__xludf.DUMMYFUNCTION("""COMPUTED_VALUE"""),2655484.0)</f>
        <v>2655484</v>
      </c>
    </row>
    <row r="31">
      <c r="A31" s="35">
        <f>IFERROR(__xludf.DUMMYFUNCTION("""COMPUTED_VALUE"""),30.0)</f>
        <v>30</v>
      </c>
      <c r="B31" s="35" t="str">
        <f>IFERROR(__xludf.DUMMYFUNCTION("""COMPUTED_VALUE"""),"Substring with Concatenation of All Words")</f>
        <v>Substring with Concatenation of All Words</v>
      </c>
      <c r="C31" s="35" t="str">
        <f>IFERROR(__xludf.DUMMYFUNCTION("""COMPUTED_VALUE"""),"substring-with-concatenation-of-all-words")</f>
        <v>substring-with-concatenation-of-all-words</v>
      </c>
      <c r="D31" s="35" t="b">
        <f>IFERROR(__xludf.DUMMYFUNCTION("""COMPUTED_VALUE"""),FALSE)</f>
        <v>0</v>
      </c>
      <c r="E31" s="35" t="str">
        <f>IFERROR(__xludf.DUMMYFUNCTION("""COMPUTED_VALUE"""),"Hard")</f>
        <v>Hard</v>
      </c>
      <c r="F31" s="35">
        <f>IFERROR(__xludf.DUMMYFUNCTION("""COMPUTED_VALUE"""),1812.0)</f>
        <v>1812</v>
      </c>
      <c r="G31" s="35">
        <f>IFERROR(__xludf.DUMMYFUNCTION("""COMPUTED_VALUE"""),1798.0)</f>
        <v>1798</v>
      </c>
      <c r="H31" s="35" t="str">
        <f>IFERROR(__xludf.DUMMYFUNCTION("""COMPUTED_VALUE"""),"Algorithms")</f>
        <v>Algorithms</v>
      </c>
      <c r="I31" s="35">
        <f>IFERROR(__xludf.DUMMYFUNCTION("""COMPUTED_VALUE"""),0.279)</f>
        <v>0.279</v>
      </c>
      <c r="J31" s="35">
        <f>IFERROR(__xludf.DUMMYFUNCTION("""COMPUTED_VALUE"""),30.0)</f>
        <v>30</v>
      </c>
      <c r="K31" s="35" t="b">
        <f>IFERROR(__xludf.DUMMYFUNCTION("""COMPUTED_VALUE"""),FALSE)</f>
        <v>0</v>
      </c>
      <c r="L31" s="35" t="str">
        <f>IFERROR(__xludf.DUMMYFUNCTION("""COMPUTED_VALUE"""),"Hash Table;String;Sliding Window;")</f>
        <v>Hash Table;String;Sliding Window;</v>
      </c>
      <c r="M31" s="35" t="b">
        <f>IFERROR(__xludf.DUMMYFUNCTION("""COMPUTED_VALUE"""),TRUE)</f>
        <v>1</v>
      </c>
      <c r="N31" s="35" t="b">
        <f>IFERROR(__xludf.DUMMYFUNCTION("""COMPUTED_VALUE"""),FALSE)</f>
        <v>0</v>
      </c>
      <c r="O31" s="35">
        <f>IFERROR(__xludf.DUMMYFUNCTION("""COMPUTED_VALUE"""),27.8721105039424)</f>
        <v>27.8721105</v>
      </c>
      <c r="P31" s="35">
        <f>IFERROR(__xludf.DUMMYFUNCTION("""COMPUTED_VALUE"""),245286.0)</f>
        <v>245286</v>
      </c>
      <c r="Q31" s="35">
        <f>IFERROR(__xludf.DUMMYFUNCTION("""COMPUTED_VALUE"""),880041.0)</f>
        <v>880041</v>
      </c>
    </row>
    <row r="32">
      <c r="A32" s="35">
        <f>IFERROR(__xludf.DUMMYFUNCTION("""COMPUTED_VALUE"""),31.0)</f>
        <v>31</v>
      </c>
      <c r="B32" s="35" t="str">
        <f>IFERROR(__xludf.DUMMYFUNCTION("""COMPUTED_VALUE"""),"Next Permutation")</f>
        <v>Next Permutation</v>
      </c>
      <c r="C32" s="35" t="str">
        <f>IFERROR(__xludf.DUMMYFUNCTION("""COMPUTED_VALUE"""),"next-permutation")</f>
        <v>next-permutation</v>
      </c>
      <c r="D32" s="35" t="b">
        <f>IFERROR(__xludf.DUMMYFUNCTION("""COMPUTED_VALUE"""),FALSE)</f>
        <v>0</v>
      </c>
      <c r="E32" s="35" t="str">
        <f>IFERROR(__xludf.DUMMYFUNCTION("""COMPUTED_VALUE"""),"Medium")</f>
        <v>Medium</v>
      </c>
      <c r="F32" s="35">
        <f>IFERROR(__xludf.DUMMYFUNCTION("""COMPUTED_VALUE"""),9113.0)</f>
        <v>9113</v>
      </c>
      <c r="G32" s="35">
        <f>IFERROR(__xludf.DUMMYFUNCTION("""COMPUTED_VALUE"""),3070.0)</f>
        <v>3070</v>
      </c>
      <c r="H32" s="35" t="str">
        <f>IFERROR(__xludf.DUMMYFUNCTION("""COMPUTED_VALUE"""),"Algorithms")</f>
        <v>Algorithms</v>
      </c>
      <c r="I32" s="35">
        <f>IFERROR(__xludf.DUMMYFUNCTION("""COMPUTED_VALUE"""),0.354)</f>
        <v>0.354</v>
      </c>
      <c r="J32" s="35">
        <f>IFERROR(__xludf.DUMMYFUNCTION("""COMPUTED_VALUE"""),31.0)</f>
        <v>31</v>
      </c>
      <c r="K32" s="35" t="b">
        <f>IFERROR(__xludf.DUMMYFUNCTION("""COMPUTED_VALUE"""),FALSE)</f>
        <v>0</v>
      </c>
      <c r="L32" s="35" t="str">
        <f>IFERROR(__xludf.DUMMYFUNCTION("""COMPUTED_VALUE"""),"Array;Two Pointers;")</f>
        <v>Array;Two Pointers;</v>
      </c>
      <c r="M32" s="35" t="b">
        <f>IFERROR(__xludf.DUMMYFUNCTION("""COMPUTED_VALUE"""),TRUE)</f>
        <v>1</v>
      </c>
      <c r="N32" s="35" t="b">
        <f>IFERROR(__xludf.DUMMYFUNCTION("""COMPUTED_VALUE"""),FALSE)</f>
        <v>0</v>
      </c>
      <c r="O32" s="35">
        <f>IFERROR(__xludf.DUMMYFUNCTION("""COMPUTED_VALUE"""),35.4182803362097)</f>
        <v>35.41828034</v>
      </c>
      <c r="P32" s="35">
        <f>IFERROR(__xludf.DUMMYFUNCTION("""COMPUTED_VALUE"""),721094.0)</f>
        <v>721094</v>
      </c>
      <c r="Q32" s="35">
        <f>IFERROR(__xludf.DUMMYFUNCTION("""COMPUTED_VALUE"""),2035961.0)</f>
        <v>2035961</v>
      </c>
    </row>
    <row r="33">
      <c r="A33" s="35">
        <f>IFERROR(__xludf.DUMMYFUNCTION("""COMPUTED_VALUE"""),32.0)</f>
        <v>32</v>
      </c>
      <c r="B33" s="35" t="str">
        <f>IFERROR(__xludf.DUMMYFUNCTION("""COMPUTED_VALUE"""),"Longest Valid Parentheses")</f>
        <v>Longest Valid Parentheses</v>
      </c>
      <c r="C33" s="35" t="str">
        <f>IFERROR(__xludf.DUMMYFUNCTION("""COMPUTED_VALUE"""),"longest-valid-parentheses")</f>
        <v>longest-valid-parentheses</v>
      </c>
      <c r="D33" s="35" t="b">
        <f>IFERROR(__xludf.DUMMYFUNCTION("""COMPUTED_VALUE"""),FALSE)</f>
        <v>0</v>
      </c>
      <c r="E33" s="35" t="str">
        <f>IFERROR(__xludf.DUMMYFUNCTION("""COMPUTED_VALUE"""),"Hard")</f>
        <v>Hard</v>
      </c>
      <c r="F33" s="35">
        <f>IFERROR(__xludf.DUMMYFUNCTION("""COMPUTED_VALUE"""),7262.0)</f>
        <v>7262</v>
      </c>
      <c r="G33" s="35">
        <f>IFERROR(__xludf.DUMMYFUNCTION("""COMPUTED_VALUE"""),248.0)</f>
        <v>248</v>
      </c>
      <c r="H33" s="35" t="str">
        <f>IFERROR(__xludf.DUMMYFUNCTION("""COMPUTED_VALUE"""),"Algorithms")</f>
        <v>Algorithms</v>
      </c>
      <c r="I33" s="35">
        <f>IFERROR(__xludf.DUMMYFUNCTION("""COMPUTED_VALUE"""),0.311)</f>
        <v>0.311</v>
      </c>
      <c r="J33" s="35">
        <f>IFERROR(__xludf.DUMMYFUNCTION("""COMPUTED_VALUE"""),32.0)</f>
        <v>32</v>
      </c>
      <c r="K33" s="35" t="b">
        <f>IFERROR(__xludf.DUMMYFUNCTION("""COMPUTED_VALUE"""),FALSE)</f>
        <v>0</v>
      </c>
      <c r="L33" s="35" t="str">
        <f>IFERROR(__xludf.DUMMYFUNCTION("""COMPUTED_VALUE"""),"String;Dynamic Programming;Stack;")</f>
        <v>String;Dynamic Programming;Stack;</v>
      </c>
      <c r="M33" s="35" t="b">
        <f>IFERROR(__xludf.DUMMYFUNCTION("""COMPUTED_VALUE"""),TRUE)</f>
        <v>1</v>
      </c>
      <c r="N33" s="35" t="b">
        <f>IFERROR(__xludf.DUMMYFUNCTION("""COMPUTED_VALUE"""),FALSE)</f>
        <v>0</v>
      </c>
      <c r="O33" s="35">
        <f>IFERROR(__xludf.DUMMYFUNCTION("""COMPUTED_VALUE"""),31.1253541623954)</f>
        <v>31.12535416</v>
      </c>
      <c r="P33" s="35">
        <f>IFERROR(__xludf.DUMMYFUNCTION("""COMPUTED_VALUE"""),463038.0)</f>
        <v>463038</v>
      </c>
      <c r="Q33" s="35">
        <f>IFERROR(__xludf.DUMMYFUNCTION("""COMPUTED_VALUE"""),1487653.0)</f>
        <v>1487653</v>
      </c>
    </row>
    <row r="34">
      <c r="A34" s="35">
        <f>IFERROR(__xludf.DUMMYFUNCTION("""COMPUTED_VALUE"""),33.0)</f>
        <v>33</v>
      </c>
      <c r="B34" s="35" t="str">
        <f>IFERROR(__xludf.DUMMYFUNCTION("""COMPUTED_VALUE"""),"Search in Rotated Sorted Array")</f>
        <v>Search in Rotated Sorted Array</v>
      </c>
      <c r="C34" s="35" t="str">
        <f>IFERROR(__xludf.DUMMYFUNCTION("""COMPUTED_VALUE"""),"search-in-rotated-sorted-array")</f>
        <v>search-in-rotated-sorted-array</v>
      </c>
      <c r="D34" s="35" t="b">
        <f>IFERROR(__xludf.DUMMYFUNCTION("""COMPUTED_VALUE"""),FALSE)</f>
        <v>0</v>
      </c>
      <c r="E34" s="35" t="str">
        <f>IFERROR(__xludf.DUMMYFUNCTION("""COMPUTED_VALUE"""),"Medium")</f>
        <v>Medium</v>
      </c>
      <c r="F34" s="35">
        <f>IFERROR(__xludf.DUMMYFUNCTION("""COMPUTED_VALUE"""),12999.0)</f>
        <v>12999</v>
      </c>
      <c r="G34" s="35">
        <f>IFERROR(__xludf.DUMMYFUNCTION("""COMPUTED_VALUE"""),851.0)</f>
        <v>851</v>
      </c>
      <c r="H34" s="35" t="str">
        <f>IFERROR(__xludf.DUMMYFUNCTION("""COMPUTED_VALUE"""),"Algorithms")</f>
        <v>Algorithms</v>
      </c>
      <c r="I34" s="35">
        <f>IFERROR(__xludf.DUMMYFUNCTION("""COMPUTED_VALUE"""),0.375)</f>
        <v>0.375</v>
      </c>
      <c r="J34" s="35">
        <f>IFERROR(__xludf.DUMMYFUNCTION("""COMPUTED_VALUE"""),33.0)</f>
        <v>33</v>
      </c>
      <c r="K34" s="35" t="b">
        <f>IFERROR(__xludf.DUMMYFUNCTION("""COMPUTED_VALUE"""),FALSE)</f>
        <v>0</v>
      </c>
      <c r="L34" s="35" t="str">
        <f>IFERROR(__xludf.DUMMYFUNCTION("""COMPUTED_VALUE"""),"Array;Binary Search;")</f>
        <v>Array;Binary Search;</v>
      </c>
      <c r="M34" s="35" t="b">
        <f>IFERROR(__xludf.DUMMYFUNCTION("""COMPUTED_VALUE"""),TRUE)</f>
        <v>1</v>
      </c>
      <c r="N34" s="35" t="b">
        <f>IFERROR(__xludf.DUMMYFUNCTION("""COMPUTED_VALUE"""),FALSE)</f>
        <v>0</v>
      </c>
      <c r="O34" s="35">
        <f>IFERROR(__xludf.DUMMYFUNCTION("""COMPUTED_VALUE"""),37.5348426059373)</f>
        <v>37.53484261</v>
      </c>
      <c r="P34" s="35">
        <f>IFERROR(__xludf.DUMMYFUNCTION("""COMPUTED_VALUE"""),1374027.0)</f>
        <v>1374027</v>
      </c>
      <c r="Q34" s="35">
        <f>IFERROR(__xludf.DUMMYFUNCTION("""COMPUTED_VALUE"""),3660692.0)</f>
        <v>3660692</v>
      </c>
    </row>
    <row r="35">
      <c r="A35" s="35">
        <f>IFERROR(__xludf.DUMMYFUNCTION("""COMPUTED_VALUE"""),34.0)</f>
        <v>34</v>
      </c>
      <c r="B35" s="35" t="str">
        <f>IFERROR(__xludf.DUMMYFUNCTION("""COMPUTED_VALUE"""),"Find First and Last Position of Element in Sorted Array")</f>
        <v>Find First and Last Position of Element in Sorted Array</v>
      </c>
      <c r="C35" s="35" t="str">
        <f>IFERROR(__xludf.DUMMYFUNCTION("""COMPUTED_VALUE"""),"find-first-and-last-position-of-element-in-sorted-array")</f>
        <v>find-first-and-last-position-of-element-in-sorted-array</v>
      </c>
      <c r="D35" s="35" t="b">
        <f>IFERROR(__xludf.DUMMYFUNCTION("""COMPUTED_VALUE"""),FALSE)</f>
        <v>0</v>
      </c>
      <c r="E35" s="35" t="str">
        <f>IFERROR(__xludf.DUMMYFUNCTION("""COMPUTED_VALUE"""),"Medium")</f>
        <v>Medium</v>
      </c>
      <c r="F35" s="35">
        <f>IFERROR(__xludf.DUMMYFUNCTION("""COMPUTED_VALUE"""),9659.0)</f>
        <v>9659</v>
      </c>
      <c r="G35" s="35">
        <f>IFERROR(__xludf.DUMMYFUNCTION("""COMPUTED_VALUE"""),274.0)</f>
        <v>274</v>
      </c>
      <c r="H35" s="35" t="str">
        <f>IFERROR(__xludf.DUMMYFUNCTION("""COMPUTED_VALUE"""),"Algorithms")</f>
        <v>Algorithms</v>
      </c>
      <c r="I35" s="35">
        <f>IFERROR(__xludf.DUMMYFUNCTION("""COMPUTED_VALUE"""),0.398)</f>
        <v>0.398</v>
      </c>
      <c r="J35" s="35">
        <f>IFERROR(__xludf.DUMMYFUNCTION("""COMPUTED_VALUE"""),34.0)</f>
        <v>34</v>
      </c>
      <c r="K35" s="35" t="b">
        <f>IFERROR(__xludf.DUMMYFUNCTION("""COMPUTED_VALUE"""),FALSE)</f>
        <v>0</v>
      </c>
      <c r="L35" s="35" t="str">
        <f>IFERROR(__xludf.DUMMYFUNCTION("""COMPUTED_VALUE"""),"Array;Binary Search;")</f>
        <v>Array;Binary Search;</v>
      </c>
      <c r="M35" s="35" t="b">
        <f>IFERROR(__xludf.DUMMYFUNCTION("""COMPUTED_VALUE"""),TRUE)</f>
        <v>1</v>
      </c>
      <c r="N35" s="35" t="b">
        <f>IFERROR(__xludf.DUMMYFUNCTION("""COMPUTED_VALUE"""),FALSE)</f>
        <v>0</v>
      </c>
      <c r="O35" s="35">
        <f>IFERROR(__xludf.DUMMYFUNCTION("""COMPUTED_VALUE"""),39.7592095634035)</f>
        <v>39.75920956</v>
      </c>
      <c r="P35" s="35">
        <f>IFERROR(__xludf.DUMMYFUNCTION("""COMPUTED_VALUE"""),1016480.0)</f>
        <v>1016480</v>
      </c>
      <c r="Q35" s="35">
        <f>IFERROR(__xludf.DUMMYFUNCTION("""COMPUTED_VALUE"""),2556604.0)</f>
        <v>2556604</v>
      </c>
    </row>
    <row r="36">
      <c r="A36" s="35">
        <f>IFERROR(__xludf.DUMMYFUNCTION("""COMPUTED_VALUE"""),35.0)</f>
        <v>35</v>
      </c>
      <c r="B36" s="35" t="str">
        <f>IFERROR(__xludf.DUMMYFUNCTION("""COMPUTED_VALUE"""),"Search Insert Position")</f>
        <v>Search Insert Position</v>
      </c>
      <c r="C36" s="35" t="str">
        <f>IFERROR(__xludf.DUMMYFUNCTION("""COMPUTED_VALUE"""),"search-insert-position")</f>
        <v>search-insert-position</v>
      </c>
      <c r="D36" s="35" t="b">
        <f>IFERROR(__xludf.DUMMYFUNCTION("""COMPUTED_VALUE"""),FALSE)</f>
        <v>0</v>
      </c>
      <c r="E36" s="35" t="str">
        <f>IFERROR(__xludf.DUMMYFUNCTION("""COMPUTED_VALUE"""),"Easy")</f>
        <v>Easy</v>
      </c>
      <c r="F36" s="35">
        <f>IFERROR(__xludf.DUMMYFUNCTION("""COMPUTED_VALUE"""),7044.0)</f>
        <v>7044</v>
      </c>
      <c r="G36" s="35">
        <f>IFERROR(__xludf.DUMMYFUNCTION("""COMPUTED_VALUE"""),387.0)</f>
        <v>387</v>
      </c>
      <c r="H36" s="35" t="str">
        <f>IFERROR(__xludf.DUMMYFUNCTION("""COMPUTED_VALUE"""),"Algorithms")</f>
        <v>Algorithms</v>
      </c>
      <c r="I36" s="35">
        <f>IFERROR(__xludf.DUMMYFUNCTION("""COMPUTED_VALUE"""),0.424)</f>
        <v>0.424</v>
      </c>
      <c r="J36" s="35">
        <f>IFERROR(__xludf.DUMMYFUNCTION("""COMPUTED_VALUE"""),35.0)</f>
        <v>35</v>
      </c>
      <c r="K36" s="35" t="b">
        <f>IFERROR(__xludf.DUMMYFUNCTION("""COMPUTED_VALUE"""),FALSE)</f>
        <v>0</v>
      </c>
      <c r="L36" s="35" t="str">
        <f>IFERROR(__xludf.DUMMYFUNCTION("""COMPUTED_VALUE"""),"Array;Binary Search;")</f>
        <v>Array;Binary Search;</v>
      </c>
      <c r="M36" s="35" t="b">
        <f>IFERROR(__xludf.DUMMYFUNCTION("""COMPUTED_VALUE"""),TRUE)</f>
        <v>1</v>
      </c>
      <c r="N36" s="35" t="b">
        <f>IFERROR(__xludf.DUMMYFUNCTION("""COMPUTED_VALUE"""),FALSE)</f>
        <v>0</v>
      </c>
      <c r="O36" s="35">
        <f>IFERROR(__xludf.DUMMYFUNCTION("""COMPUTED_VALUE"""),42.4055707145083)</f>
        <v>42.40557071</v>
      </c>
      <c r="P36" s="35">
        <f>IFERROR(__xludf.DUMMYFUNCTION("""COMPUTED_VALUE"""),1303235.0)</f>
        <v>1303235</v>
      </c>
      <c r="Q36" s="35">
        <f>IFERROR(__xludf.DUMMYFUNCTION("""COMPUTED_VALUE"""),3073245.0)</f>
        <v>3073245</v>
      </c>
    </row>
    <row r="37">
      <c r="A37" s="35">
        <f>IFERROR(__xludf.DUMMYFUNCTION("""COMPUTED_VALUE"""),36.0)</f>
        <v>36</v>
      </c>
      <c r="B37" s="35" t="str">
        <f>IFERROR(__xludf.DUMMYFUNCTION("""COMPUTED_VALUE"""),"Valid Sudoku")</f>
        <v>Valid Sudoku</v>
      </c>
      <c r="C37" s="35" t="str">
        <f>IFERROR(__xludf.DUMMYFUNCTION("""COMPUTED_VALUE"""),"valid-sudoku")</f>
        <v>valid-sudoku</v>
      </c>
      <c r="D37" s="35" t="b">
        <f>IFERROR(__xludf.DUMMYFUNCTION("""COMPUTED_VALUE"""),FALSE)</f>
        <v>0</v>
      </c>
      <c r="E37" s="35" t="str">
        <f>IFERROR(__xludf.DUMMYFUNCTION("""COMPUTED_VALUE"""),"Medium")</f>
        <v>Medium</v>
      </c>
      <c r="F37" s="35">
        <f>IFERROR(__xludf.DUMMYFUNCTION("""COMPUTED_VALUE"""),4604.0)</f>
        <v>4604</v>
      </c>
      <c r="G37" s="35">
        <f>IFERROR(__xludf.DUMMYFUNCTION("""COMPUTED_VALUE"""),677.0)</f>
        <v>677</v>
      </c>
      <c r="H37" s="35" t="str">
        <f>IFERROR(__xludf.DUMMYFUNCTION("""COMPUTED_VALUE"""),"Algorithms")</f>
        <v>Algorithms</v>
      </c>
      <c r="I37" s="35">
        <f>IFERROR(__xludf.DUMMYFUNCTION("""COMPUTED_VALUE"""),0.546)</f>
        <v>0.546</v>
      </c>
      <c r="J37" s="35">
        <f>IFERROR(__xludf.DUMMYFUNCTION("""COMPUTED_VALUE"""),36.0)</f>
        <v>36</v>
      </c>
      <c r="K37" s="35" t="b">
        <f>IFERROR(__xludf.DUMMYFUNCTION("""COMPUTED_VALUE"""),FALSE)</f>
        <v>0</v>
      </c>
      <c r="L37" s="35" t="str">
        <f>IFERROR(__xludf.DUMMYFUNCTION("""COMPUTED_VALUE"""),"Array;Hash Table;Matrix;")</f>
        <v>Array;Hash Table;Matrix;</v>
      </c>
      <c r="M37" s="35" t="b">
        <f>IFERROR(__xludf.DUMMYFUNCTION("""COMPUTED_VALUE"""),TRUE)</f>
        <v>1</v>
      </c>
      <c r="N37" s="35" t="b">
        <f>IFERROR(__xludf.DUMMYFUNCTION("""COMPUTED_VALUE"""),FALSE)</f>
        <v>0</v>
      </c>
      <c r="O37" s="35">
        <f>IFERROR(__xludf.DUMMYFUNCTION("""COMPUTED_VALUE"""),54.6179929631646)</f>
        <v>54.61799296</v>
      </c>
      <c r="P37" s="35">
        <f>IFERROR(__xludf.DUMMYFUNCTION("""COMPUTED_VALUE"""),685038.0)</f>
        <v>685038</v>
      </c>
      <c r="Q37" s="35">
        <f>IFERROR(__xludf.DUMMYFUNCTION("""COMPUTED_VALUE"""),1254245.0)</f>
        <v>1254245</v>
      </c>
    </row>
    <row r="38">
      <c r="A38" s="35">
        <f>IFERROR(__xludf.DUMMYFUNCTION("""COMPUTED_VALUE"""),37.0)</f>
        <v>37</v>
      </c>
      <c r="B38" s="35" t="str">
        <f>IFERROR(__xludf.DUMMYFUNCTION("""COMPUTED_VALUE"""),"Sudoku Solver")</f>
        <v>Sudoku Solver</v>
      </c>
      <c r="C38" s="35" t="str">
        <f>IFERROR(__xludf.DUMMYFUNCTION("""COMPUTED_VALUE"""),"sudoku-solver")</f>
        <v>sudoku-solver</v>
      </c>
      <c r="D38" s="35" t="b">
        <f>IFERROR(__xludf.DUMMYFUNCTION("""COMPUTED_VALUE"""),FALSE)</f>
        <v>0</v>
      </c>
      <c r="E38" s="35" t="str">
        <f>IFERROR(__xludf.DUMMYFUNCTION("""COMPUTED_VALUE"""),"Hard")</f>
        <v>Hard</v>
      </c>
      <c r="F38" s="35">
        <f>IFERROR(__xludf.DUMMYFUNCTION("""COMPUTED_VALUE"""),4737.0)</f>
        <v>4737</v>
      </c>
      <c r="G38" s="35">
        <f>IFERROR(__xludf.DUMMYFUNCTION("""COMPUTED_VALUE"""),145.0)</f>
        <v>145</v>
      </c>
      <c r="H38" s="35" t="str">
        <f>IFERROR(__xludf.DUMMYFUNCTION("""COMPUTED_VALUE"""),"Algorithms")</f>
        <v>Algorithms</v>
      </c>
      <c r="I38" s="35">
        <f>IFERROR(__xludf.DUMMYFUNCTION("""COMPUTED_VALUE"""),0.532)</f>
        <v>0.532</v>
      </c>
      <c r="J38" s="35">
        <f>IFERROR(__xludf.DUMMYFUNCTION("""COMPUTED_VALUE"""),37.0)</f>
        <v>37</v>
      </c>
      <c r="K38" s="35" t="b">
        <f>IFERROR(__xludf.DUMMYFUNCTION("""COMPUTED_VALUE"""),FALSE)</f>
        <v>0</v>
      </c>
      <c r="L38" s="35" t="str">
        <f>IFERROR(__xludf.DUMMYFUNCTION("""COMPUTED_VALUE"""),"Array;Backtracking;Matrix;")</f>
        <v>Array;Backtracking;Matrix;</v>
      </c>
      <c r="M38" s="35" t="b">
        <f>IFERROR(__xludf.DUMMYFUNCTION("""COMPUTED_VALUE"""),TRUE)</f>
        <v>1</v>
      </c>
      <c r="N38" s="35" t="b">
        <f>IFERROR(__xludf.DUMMYFUNCTION("""COMPUTED_VALUE"""),FALSE)</f>
        <v>0</v>
      </c>
      <c r="O38" s="35">
        <f>IFERROR(__xludf.DUMMYFUNCTION("""COMPUTED_VALUE"""),53.2332821915514)</f>
        <v>53.23328219</v>
      </c>
      <c r="P38" s="35">
        <f>IFERROR(__xludf.DUMMYFUNCTION("""COMPUTED_VALUE"""),330655.0)</f>
        <v>330655</v>
      </c>
      <c r="Q38" s="35">
        <f>IFERROR(__xludf.DUMMYFUNCTION("""COMPUTED_VALUE"""),621144.0)</f>
        <v>621144</v>
      </c>
    </row>
    <row r="39">
      <c r="A39" s="35">
        <f>IFERROR(__xludf.DUMMYFUNCTION("""COMPUTED_VALUE"""),38.0)</f>
        <v>38</v>
      </c>
      <c r="B39" s="35" t="str">
        <f>IFERROR(__xludf.DUMMYFUNCTION("""COMPUTED_VALUE"""),"Count and Say")</f>
        <v>Count and Say</v>
      </c>
      <c r="C39" s="35" t="str">
        <f>IFERROR(__xludf.DUMMYFUNCTION("""COMPUTED_VALUE"""),"count-and-say")</f>
        <v>count-and-say</v>
      </c>
      <c r="D39" s="35" t="b">
        <f>IFERROR(__xludf.DUMMYFUNCTION("""COMPUTED_VALUE"""),FALSE)</f>
        <v>0</v>
      </c>
      <c r="E39" s="35" t="str">
        <f>IFERROR(__xludf.DUMMYFUNCTION("""COMPUTED_VALUE"""),"Medium")</f>
        <v>Medium</v>
      </c>
      <c r="F39" s="35">
        <f>IFERROR(__xludf.DUMMYFUNCTION("""COMPUTED_VALUE"""),1274.0)</f>
        <v>1274</v>
      </c>
      <c r="G39" s="35">
        <f>IFERROR(__xludf.DUMMYFUNCTION("""COMPUTED_VALUE"""),3302.0)</f>
        <v>3302</v>
      </c>
      <c r="H39" s="35" t="str">
        <f>IFERROR(__xludf.DUMMYFUNCTION("""COMPUTED_VALUE"""),"Algorithms")</f>
        <v>Algorithms</v>
      </c>
      <c r="I39" s="35">
        <f>IFERROR(__xludf.DUMMYFUNCTION("""COMPUTED_VALUE"""),0.483)</f>
        <v>0.483</v>
      </c>
      <c r="J39" s="35">
        <f>IFERROR(__xludf.DUMMYFUNCTION("""COMPUTED_VALUE"""),38.0)</f>
        <v>38</v>
      </c>
      <c r="K39" s="35" t="b">
        <f>IFERROR(__xludf.DUMMYFUNCTION("""COMPUTED_VALUE"""),FALSE)</f>
        <v>0</v>
      </c>
      <c r="L39" s="35" t="str">
        <f>IFERROR(__xludf.DUMMYFUNCTION("""COMPUTED_VALUE"""),"String;")</f>
        <v>String;</v>
      </c>
      <c r="M39" s="35" t="b">
        <f>IFERROR(__xludf.DUMMYFUNCTION("""COMPUTED_VALUE"""),FALSE)</f>
        <v>0</v>
      </c>
      <c r="N39" s="35" t="b">
        <f>IFERROR(__xludf.DUMMYFUNCTION("""COMPUTED_VALUE"""),FALSE)</f>
        <v>0</v>
      </c>
      <c r="O39" s="35">
        <f>IFERROR(__xludf.DUMMYFUNCTION("""COMPUTED_VALUE"""),48.3433484093326)</f>
        <v>48.34334841</v>
      </c>
      <c r="P39" s="35">
        <f>IFERROR(__xludf.DUMMYFUNCTION("""COMPUTED_VALUE"""),603702.0)</f>
        <v>603702</v>
      </c>
      <c r="Q39" s="35">
        <f>IFERROR(__xludf.DUMMYFUNCTION("""COMPUTED_VALUE"""),1248778.0)</f>
        <v>1248778</v>
      </c>
    </row>
    <row r="40">
      <c r="A40" s="35">
        <f>IFERROR(__xludf.DUMMYFUNCTION("""COMPUTED_VALUE"""),39.0)</f>
        <v>39</v>
      </c>
      <c r="B40" s="35" t="str">
        <f>IFERROR(__xludf.DUMMYFUNCTION("""COMPUTED_VALUE"""),"Combination Sum")</f>
        <v>Combination Sum</v>
      </c>
      <c r="C40" s="35" t="str">
        <f>IFERROR(__xludf.DUMMYFUNCTION("""COMPUTED_VALUE"""),"combination-sum")</f>
        <v>combination-sum</v>
      </c>
      <c r="D40" s="35" t="b">
        <f>IFERROR(__xludf.DUMMYFUNCTION("""COMPUTED_VALUE"""),FALSE)</f>
        <v>0</v>
      </c>
      <c r="E40" s="35" t="str">
        <f>IFERROR(__xludf.DUMMYFUNCTION("""COMPUTED_VALUE"""),"Medium")</f>
        <v>Medium</v>
      </c>
      <c r="F40" s="35">
        <f>IFERROR(__xludf.DUMMYFUNCTION("""COMPUTED_VALUE"""),10065.0)</f>
        <v>10065</v>
      </c>
      <c r="G40" s="35">
        <f>IFERROR(__xludf.DUMMYFUNCTION("""COMPUTED_VALUE"""),219.0)</f>
        <v>219</v>
      </c>
      <c r="H40" s="35" t="str">
        <f>IFERROR(__xludf.DUMMYFUNCTION("""COMPUTED_VALUE"""),"Algorithms")</f>
        <v>Algorithms</v>
      </c>
      <c r="I40" s="35">
        <f>IFERROR(__xludf.DUMMYFUNCTION("""COMPUTED_VALUE"""),0.649)</f>
        <v>0.649</v>
      </c>
      <c r="J40" s="35">
        <f>IFERROR(__xludf.DUMMYFUNCTION("""COMPUTED_VALUE"""),39.0)</f>
        <v>39</v>
      </c>
      <c r="K40" s="35" t="b">
        <f>IFERROR(__xludf.DUMMYFUNCTION("""COMPUTED_VALUE"""),FALSE)</f>
        <v>0</v>
      </c>
      <c r="L40" s="35" t="str">
        <f>IFERROR(__xludf.DUMMYFUNCTION("""COMPUTED_VALUE"""),"Array;Backtracking;")</f>
        <v>Array;Backtracking;</v>
      </c>
      <c r="M40" s="35" t="b">
        <f>IFERROR(__xludf.DUMMYFUNCTION("""COMPUTED_VALUE"""),TRUE)</f>
        <v>1</v>
      </c>
      <c r="N40" s="35" t="b">
        <f>IFERROR(__xludf.DUMMYFUNCTION("""COMPUTED_VALUE"""),FALSE)</f>
        <v>0</v>
      </c>
      <c r="O40" s="35">
        <f>IFERROR(__xludf.DUMMYFUNCTION("""COMPUTED_VALUE"""),64.8685491847171)</f>
        <v>64.86854918</v>
      </c>
      <c r="P40" s="35">
        <f>IFERROR(__xludf.DUMMYFUNCTION("""COMPUTED_VALUE"""),1021175.0)</f>
        <v>1021175</v>
      </c>
      <c r="Q40" s="35">
        <f>IFERROR(__xludf.DUMMYFUNCTION("""COMPUTED_VALUE"""),1574227.0)</f>
        <v>1574227</v>
      </c>
    </row>
    <row r="41">
      <c r="A41" s="35">
        <f>IFERROR(__xludf.DUMMYFUNCTION("""COMPUTED_VALUE"""),40.0)</f>
        <v>40</v>
      </c>
      <c r="B41" s="35" t="str">
        <f>IFERROR(__xludf.DUMMYFUNCTION("""COMPUTED_VALUE"""),"Combination Sum II")</f>
        <v>Combination Sum II</v>
      </c>
      <c r="C41" s="35" t="str">
        <f>IFERROR(__xludf.DUMMYFUNCTION("""COMPUTED_VALUE"""),"combination-sum-ii")</f>
        <v>combination-sum-ii</v>
      </c>
      <c r="D41" s="35" t="b">
        <f>IFERROR(__xludf.DUMMYFUNCTION("""COMPUTED_VALUE"""),FALSE)</f>
        <v>0</v>
      </c>
      <c r="E41" s="35" t="str">
        <f>IFERROR(__xludf.DUMMYFUNCTION("""COMPUTED_VALUE"""),"Medium")</f>
        <v>Medium</v>
      </c>
      <c r="F41" s="35">
        <f>IFERROR(__xludf.DUMMYFUNCTION("""COMPUTED_VALUE"""),4810.0)</f>
        <v>4810</v>
      </c>
      <c r="G41" s="35">
        <f>IFERROR(__xludf.DUMMYFUNCTION("""COMPUTED_VALUE"""),126.0)</f>
        <v>126</v>
      </c>
      <c r="H41" s="35" t="str">
        <f>IFERROR(__xludf.DUMMYFUNCTION("""COMPUTED_VALUE"""),"Algorithms")</f>
        <v>Algorithms</v>
      </c>
      <c r="I41" s="35">
        <f>IFERROR(__xludf.DUMMYFUNCTION("""COMPUTED_VALUE"""),0.521)</f>
        <v>0.521</v>
      </c>
      <c r="J41" s="35">
        <f>IFERROR(__xludf.DUMMYFUNCTION("""COMPUTED_VALUE"""),40.0)</f>
        <v>40</v>
      </c>
      <c r="K41" s="35" t="b">
        <f>IFERROR(__xludf.DUMMYFUNCTION("""COMPUTED_VALUE"""),FALSE)</f>
        <v>0</v>
      </c>
      <c r="L41" s="35" t="str">
        <f>IFERROR(__xludf.DUMMYFUNCTION("""COMPUTED_VALUE"""),"Array;Backtracking;")</f>
        <v>Array;Backtracking;</v>
      </c>
      <c r="M41" s="35" t="b">
        <f>IFERROR(__xludf.DUMMYFUNCTION("""COMPUTED_VALUE"""),TRUE)</f>
        <v>1</v>
      </c>
      <c r="N41" s="35" t="b">
        <f>IFERROR(__xludf.DUMMYFUNCTION("""COMPUTED_VALUE"""),FALSE)</f>
        <v>0</v>
      </c>
      <c r="O41" s="35">
        <f>IFERROR(__xludf.DUMMYFUNCTION("""COMPUTED_VALUE"""),52.1333541031459)</f>
        <v>52.1333541</v>
      </c>
      <c r="P41" s="35">
        <f>IFERROR(__xludf.DUMMYFUNCTION("""COMPUTED_VALUE"""),525426.0)</f>
        <v>525426</v>
      </c>
      <c r="Q41" s="35">
        <f>IFERROR(__xludf.DUMMYFUNCTION("""COMPUTED_VALUE"""),1007853.0)</f>
        <v>1007853</v>
      </c>
    </row>
    <row r="42">
      <c r="A42" s="35">
        <f>IFERROR(__xludf.DUMMYFUNCTION("""COMPUTED_VALUE"""),41.0)</f>
        <v>41</v>
      </c>
      <c r="B42" s="35" t="str">
        <f>IFERROR(__xludf.DUMMYFUNCTION("""COMPUTED_VALUE"""),"First Missing Positive")</f>
        <v>First Missing Positive</v>
      </c>
      <c r="C42" s="35" t="str">
        <f>IFERROR(__xludf.DUMMYFUNCTION("""COMPUTED_VALUE"""),"first-missing-positive")</f>
        <v>first-missing-positive</v>
      </c>
      <c r="D42" s="35" t="b">
        <f>IFERROR(__xludf.DUMMYFUNCTION("""COMPUTED_VALUE"""),FALSE)</f>
        <v>0</v>
      </c>
      <c r="E42" s="35" t="str">
        <f>IFERROR(__xludf.DUMMYFUNCTION("""COMPUTED_VALUE"""),"Hard")</f>
        <v>Hard</v>
      </c>
      <c r="F42" s="35">
        <f>IFERROR(__xludf.DUMMYFUNCTION("""COMPUTED_VALUE"""),8798.0)</f>
        <v>8798</v>
      </c>
      <c r="G42" s="35">
        <f>IFERROR(__xludf.DUMMYFUNCTION("""COMPUTED_VALUE"""),1264.0)</f>
        <v>1264</v>
      </c>
      <c r="H42" s="35" t="str">
        <f>IFERROR(__xludf.DUMMYFUNCTION("""COMPUTED_VALUE"""),"Algorithms")</f>
        <v>Algorithms</v>
      </c>
      <c r="I42" s="35">
        <f>IFERROR(__xludf.DUMMYFUNCTION("""COMPUTED_VALUE"""),0.358)</f>
        <v>0.358</v>
      </c>
      <c r="J42" s="35">
        <f>IFERROR(__xludf.DUMMYFUNCTION("""COMPUTED_VALUE"""),41.0)</f>
        <v>41</v>
      </c>
      <c r="K42" s="35" t="b">
        <f>IFERROR(__xludf.DUMMYFUNCTION("""COMPUTED_VALUE"""),FALSE)</f>
        <v>0</v>
      </c>
      <c r="L42" s="35" t="str">
        <f>IFERROR(__xludf.DUMMYFUNCTION("""COMPUTED_VALUE"""),"Array;Hash Table;")</f>
        <v>Array;Hash Table;</v>
      </c>
      <c r="M42" s="35" t="b">
        <f>IFERROR(__xludf.DUMMYFUNCTION("""COMPUTED_VALUE"""),TRUE)</f>
        <v>1</v>
      </c>
      <c r="N42" s="35" t="b">
        <f>IFERROR(__xludf.DUMMYFUNCTION("""COMPUTED_VALUE"""),FALSE)</f>
        <v>0</v>
      </c>
      <c r="O42" s="35">
        <f>IFERROR(__xludf.DUMMYFUNCTION("""COMPUTED_VALUE"""),35.7596625097354)</f>
        <v>35.75966251</v>
      </c>
      <c r="P42" s="35">
        <f>IFERROR(__xludf.DUMMYFUNCTION("""COMPUTED_VALUE"""),641408.0)</f>
        <v>641408</v>
      </c>
      <c r="Q42" s="35">
        <f>IFERROR(__xludf.DUMMYFUNCTION("""COMPUTED_VALUE"""),1793681.0)</f>
        <v>1793681</v>
      </c>
    </row>
    <row r="43">
      <c r="A43" s="35">
        <f>IFERROR(__xludf.DUMMYFUNCTION("""COMPUTED_VALUE"""),42.0)</f>
        <v>42</v>
      </c>
      <c r="B43" s="35" t="str">
        <f>IFERROR(__xludf.DUMMYFUNCTION("""COMPUTED_VALUE"""),"Trapping Rain Water")</f>
        <v>Trapping Rain Water</v>
      </c>
      <c r="C43" s="35" t="str">
        <f>IFERROR(__xludf.DUMMYFUNCTION("""COMPUTED_VALUE"""),"trapping-rain-water")</f>
        <v>trapping-rain-water</v>
      </c>
      <c r="D43" s="35" t="b">
        <f>IFERROR(__xludf.DUMMYFUNCTION("""COMPUTED_VALUE"""),FALSE)</f>
        <v>0</v>
      </c>
      <c r="E43" s="35" t="str">
        <f>IFERROR(__xludf.DUMMYFUNCTION("""COMPUTED_VALUE"""),"Hard")</f>
        <v>Hard</v>
      </c>
      <c r="F43" s="35">
        <f>IFERROR(__xludf.DUMMYFUNCTION("""COMPUTED_VALUE"""),17150.0)</f>
        <v>17150</v>
      </c>
      <c r="G43" s="35">
        <f>IFERROR(__xludf.DUMMYFUNCTION("""COMPUTED_VALUE"""),243.0)</f>
        <v>243</v>
      </c>
      <c r="H43" s="35" t="str">
        <f>IFERROR(__xludf.DUMMYFUNCTION("""COMPUTED_VALUE"""),"Algorithms")</f>
        <v>Algorithms</v>
      </c>
      <c r="I43" s="35">
        <f>IFERROR(__xludf.DUMMYFUNCTION("""COMPUTED_VALUE"""),0.56)</f>
        <v>0.56</v>
      </c>
      <c r="J43" s="35">
        <f>IFERROR(__xludf.DUMMYFUNCTION("""COMPUTED_VALUE"""),42.0)</f>
        <v>42</v>
      </c>
      <c r="K43" s="35" t="b">
        <f>IFERROR(__xludf.DUMMYFUNCTION("""COMPUTED_VALUE"""),FALSE)</f>
        <v>0</v>
      </c>
      <c r="L43" s="35" t="str">
        <f>IFERROR(__xludf.DUMMYFUNCTION("""COMPUTED_VALUE"""),"Array;Two Pointers;Dynamic Programming;Stack;Monotonic Stack;")</f>
        <v>Array;Two Pointers;Dynamic Programming;Stack;Monotonic Stack;</v>
      </c>
      <c r="M43" s="35" t="b">
        <f>IFERROR(__xludf.DUMMYFUNCTION("""COMPUTED_VALUE"""),TRUE)</f>
        <v>1</v>
      </c>
      <c r="N43" s="35" t="b">
        <f>IFERROR(__xludf.DUMMYFUNCTION("""COMPUTED_VALUE"""),FALSE)</f>
        <v>0</v>
      </c>
      <c r="O43" s="35">
        <f>IFERROR(__xludf.DUMMYFUNCTION("""COMPUTED_VALUE"""),55.961559523088)</f>
        <v>55.96155952</v>
      </c>
      <c r="P43" s="35">
        <f>IFERROR(__xludf.DUMMYFUNCTION("""COMPUTED_VALUE"""),1052579.0)</f>
        <v>1052579</v>
      </c>
      <c r="Q43" s="35">
        <f>IFERROR(__xludf.DUMMYFUNCTION("""COMPUTED_VALUE"""),1880908.0)</f>
        <v>1880908</v>
      </c>
    </row>
    <row r="44">
      <c r="A44" s="35">
        <f>IFERROR(__xludf.DUMMYFUNCTION("""COMPUTED_VALUE"""),43.0)</f>
        <v>43</v>
      </c>
      <c r="B44" s="35" t="str">
        <f>IFERROR(__xludf.DUMMYFUNCTION("""COMPUTED_VALUE"""),"Multiply Strings")</f>
        <v>Multiply Strings</v>
      </c>
      <c r="C44" s="35" t="str">
        <f>IFERROR(__xludf.DUMMYFUNCTION("""COMPUTED_VALUE"""),"multiply-strings")</f>
        <v>multiply-strings</v>
      </c>
      <c r="D44" s="35" t="b">
        <f>IFERROR(__xludf.DUMMYFUNCTION("""COMPUTED_VALUE"""),FALSE)</f>
        <v>0</v>
      </c>
      <c r="E44" s="35" t="str">
        <f>IFERROR(__xludf.DUMMYFUNCTION("""COMPUTED_VALUE"""),"Medium")</f>
        <v>Medium</v>
      </c>
      <c r="F44" s="35">
        <f>IFERROR(__xludf.DUMMYFUNCTION("""COMPUTED_VALUE"""),4126.0)</f>
        <v>4126</v>
      </c>
      <c r="G44" s="35">
        <f>IFERROR(__xludf.DUMMYFUNCTION("""COMPUTED_VALUE"""),1615.0)</f>
        <v>1615</v>
      </c>
      <c r="H44" s="35" t="str">
        <f>IFERROR(__xludf.DUMMYFUNCTION("""COMPUTED_VALUE"""),"Algorithms")</f>
        <v>Algorithms</v>
      </c>
      <c r="I44" s="35">
        <f>IFERROR(__xludf.DUMMYFUNCTION("""COMPUTED_VALUE"""),0.375)</f>
        <v>0.375</v>
      </c>
      <c r="J44" s="35">
        <f>IFERROR(__xludf.DUMMYFUNCTION("""COMPUTED_VALUE"""),43.0)</f>
        <v>43</v>
      </c>
      <c r="K44" s="35" t="b">
        <f>IFERROR(__xludf.DUMMYFUNCTION("""COMPUTED_VALUE"""),FALSE)</f>
        <v>0</v>
      </c>
      <c r="L44" s="35" t="str">
        <f>IFERROR(__xludf.DUMMYFUNCTION("""COMPUTED_VALUE"""),"Math;String;Simulation;")</f>
        <v>Math;String;Simulation;</v>
      </c>
      <c r="M44" s="35" t="b">
        <f>IFERROR(__xludf.DUMMYFUNCTION("""COMPUTED_VALUE"""),TRUE)</f>
        <v>1</v>
      </c>
      <c r="N44" s="35" t="b">
        <f>IFERROR(__xludf.DUMMYFUNCTION("""COMPUTED_VALUE"""),FALSE)</f>
        <v>0</v>
      </c>
      <c r="O44" s="35">
        <f>IFERROR(__xludf.DUMMYFUNCTION("""COMPUTED_VALUE"""),37.4526252674952)</f>
        <v>37.45262527</v>
      </c>
      <c r="P44" s="35">
        <f>IFERROR(__xludf.DUMMYFUNCTION("""COMPUTED_VALUE"""),488464.0)</f>
        <v>488464</v>
      </c>
      <c r="Q44" s="35">
        <f>IFERROR(__xludf.DUMMYFUNCTION("""COMPUTED_VALUE"""),1304216.0)</f>
        <v>1304216</v>
      </c>
    </row>
    <row r="45">
      <c r="A45" s="35">
        <f>IFERROR(__xludf.DUMMYFUNCTION("""COMPUTED_VALUE"""),44.0)</f>
        <v>44</v>
      </c>
      <c r="B45" s="35" t="str">
        <f>IFERROR(__xludf.DUMMYFUNCTION("""COMPUTED_VALUE"""),"Wildcard Matching")</f>
        <v>Wildcard Matching</v>
      </c>
      <c r="C45" s="35" t="str">
        <f>IFERROR(__xludf.DUMMYFUNCTION("""COMPUTED_VALUE"""),"wildcard-matching")</f>
        <v>wildcard-matching</v>
      </c>
      <c r="D45" s="35" t="b">
        <f>IFERROR(__xludf.DUMMYFUNCTION("""COMPUTED_VALUE"""),FALSE)</f>
        <v>0</v>
      </c>
      <c r="E45" s="35" t="str">
        <f>IFERROR(__xludf.DUMMYFUNCTION("""COMPUTED_VALUE"""),"Hard")</f>
        <v>Hard</v>
      </c>
      <c r="F45" s="35">
        <f>IFERROR(__xludf.DUMMYFUNCTION("""COMPUTED_VALUE"""),4335.0)</f>
        <v>4335</v>
      </c>
      <c r="G45" s="35">
        <f>IFERROR(__xludf.DUMMYFUNCTION("""COMPUTED_VALUE"""),193.0)</f>
        <v>193</v>
      </c>
      <c r="H45" s="35" t="str">
        <f>IFERROR(__xludf.DUMMYFUNCTION("""COMPUTED_VALUE"""),"Algorithms")</f>
        <v>Algorithms</v>
      </c>
      <c r="I45" s="35">
        <f>IFERROR(__xludf.DUMMYFUNCTION("""COMPUTED_VALUE"""),0.264)</f>
        <v>0.264</v>
      </c>
      <c r="J45" s="35">
        <f>IFERROR(__xludf.DUMMYFUNCTION("""COMPUTED_VALUE"""),44.0)</f>
        <v>44</v>
      </c>
      <c r="K45" s="35" t="b">
        <f>IFERROR(__xludf.DUMMYFUNCTION("""COMPUTED_VALUE"""),FALSE)</f>
        <v>0</v>
      </c>
      <c r="L45" s="35" t="str">
        <f>IFERROR(__xludf.DUMMYFUNCTION("""COMPUTED_VALUE"""),"String;Dynamic Programming;Greedy;Recursion;")</f>
        <v>String;Dynamic Programming;Greedy;Recursion;</v>
      </c>
      <c r="M45" s="35" t="b">
        <f>IFERROR(__xludf.DUMMYFUNCTION("""COMPUTED_VALUE"""),TRUE)</f>
        <v>1</v>
      </c>
      <c r="N45" s="35" t="b">
        <f>IFERROR(__xludf.DUMMYFUNCTION("""COMPUTED_VALUE"""),FALSE)</f>
        <v>0</v>
      </c>
      <c r="O45" s="35">
        <f>IFERROR(__xludf.DUMMYFUNCTION("""COMPUTED_VALUE"""),26.4290316114992)</f>
        <v>26.42903161</v>
      </c>
      <c r="P45" s="35">
        <f>IFERROR(__xludf.DUMMYFUNCTION("""COMPUTED_VALUE"""),369203.0)</f>
        <v>369203</v>
      </c>
      <c r="Q45" s="35">
        <f>IFERROR(__xludf.DUMMYFUNCTION("""COMPUTED_VALUE"""),1396957.0)</f>
        <v>1396957</v>
      </c>
    </row>
    <row r="46">
      <c r="A46" s="35">
        <f>IFERROR(__xludf.DUMMYFUNCTION("""COMPUTED_VALUE"""),45.0)</f>
        <v>45</v>
      </c>
      <c r="B46" s="35" t="str">
        <f>IFERROR(__xludf.DUMMYFUNCTION("""COMPUTED_VALUE"""),"Jump Game II")</f>
        <v>Jump Game II</v>
      </c>
      <c r="C46" s="35" t="str">
        <f>IFERROR(__xludf.DUMMYFUNCTION("""COMPUTED_VALUE"""),"jump-game-ii")</f>
        <v>jump-game-ii</v>
      </c>
      <c r="D46" s="35" t="b">
        <f>IFERROR(__xludf.DUMMYFUNCTION("""COMPUTED_VALUE"""),FALSE)</f>
        <v>0</v>
      </c>
      <c r="E46" s="35" t="str">
        <f>IFERROR(__xludf.DUMMYFUNCTION("""COMPUTED_VALUE"""),"Medium")</f>
        <v>Medium</v>
      </c>
      <c r="F46" s="35">
        <f>IFERROR(__xludf.DUMMYFUNCTION("""COMPUTED_VALUE"""),7418.0)</f>
        <v>7418</v>
      </c>
      <c r="G46" s="35">
        <f>IFERROR(__xludf.DUMMYFUNCTION("""COMPUTED_VALUE"""),278.0)</f>
        <v>278</v>
      </c>
      <c r="H46" s="35" t="str">
        <f>IFERROR(__xludf.DUMMYFUNCTION("""COMPUTED_VALUE"""),"Algorithms")</f>
        <v>Algorithms</v>
      </c>
      <c r="I46" s="35">
        <f>IFERROR(__xludf.DUMMYFUNCTION("""COMPUTED_VALUE"""),0.367)</f>
        <v>0.367</v>
      </c>
      <c r="J46" s="35">
        <f>IFERROR(__xludf.DUMMYFUNCTION("""COMPUTED_VALUE"""),45.0)</f>
        <v>45</v>
      </c>
      <c r="K46" s="35" t="b">
        <f>IFERROR(__xludf.DUMMYFUNCTION("""COMPUTED_VALUE"""),FALSE)</f>
        <v>0</v>
      </c>
      <c r="L46" s="35" t="str">
        <f>IFERROR(__xludf.DUMMYFUNCTION("""COMPUTED_VALUE"""),"Array;Dynamic Programming;Greedy;")</f>
        <v>Array;Dynamic Programming;Greedy;</v>
      </c>
      <c r="M46" s="35" t="b">
        <f>IFERROR(__xludf.DUMMYFUNCTION("""COMPUTED_VALUE"""),TRUE)</f>
        <v>1</v>
      </c>
      <c r="N46" s="35" t="b">
        <f>IFERROR(__xludf.DUMMYFUNCTION("""COMPUTED_VALUE"""),FALSE)</f>
        <v>0</v>
      </c>
      <c r="O46" s="35">
        <f>IFERROR(__xludf.DUMMYFUNCTION("""COMPUTED_VALUE"""),36.6513545038728)</f>
        <v>36.6513545</v>
      </c>
      <c r="P46" s="35">
        <f>IFERROR(__xludf.DUMMYFUNCTION("""COMPUTED_VALUE"""),559297.0)</f>
        <v>559297</v>
      </c>
      <c r="Q46" s="35">
        <f>IFERROR(__xludf.DUMMYFUNCTION("""COMPUTED_VALUE"""),1525998.0)</f>
        <v>1525998</v>
      </c>
    </row>
    <row r="47">
      <c r="A47" s="35">
        <f>IFERROR(__xludf.DUMMYFUNCTION("""COMPUTED_VALUE"""),46.0)</f>
        <v>46</v>
      </c>
      <c r="B47" s="35" t="str">
        <f>IFERROR(__xludf.DUMMYFUNCTION("""COMPUTED_VALUE"""),"Permutations")</f>
        <v>Permutations</v>
      </c>
      <c r="C47" s="35" t="str">
        <f>IFERROR(__xludf.DUMMYFUNCTION("""COMPUTED_VALUE"""),"permutations")</f>
        <v>permutations</v>
      </c>
      <c r="D47" s="35" t="b">
        <f>IFERROR(__xludf.DUMMYFUNCTION("""COMPUTED_VALUE"""),FALSE)</f>
        <v>0</v>
      </c>
      <c r="E47" s="35" t="str">
        <f>IFERROR(__xludf.DUMMYFUNCTION("""COMPUTED_VALUE"""),"Medium")</f>
        <v>Medium</v>
      </c>
      <c r="F47" s="35">
        <f>IFERROR(__xludf.DUMMYFUNCTION("""COMPUTED_VALUE"""),9483.0)</f>
        <v>9483</v>
      </c>
      <c r="G47" s="35">
        <f>IFERROR(__xludf.DUMMYFUNCTION("""COMPUTED_VALUE"""),176.0)</f>
        <v>176</v>
      </c>
      <c r="H47" s="35" t="str">
        <f>IFERROR(__xludf.DUMMYFUNCTION("""COMPUTED_VALUE"""),"Algorithms")</f>
        <v>Algorithms</v>
      </c>
      <c r="I47" s="35">
        <f>IFERROR(__xludf.DUMMYFUNCTION("""COMPUTED_VALUE"""),0.716)</f>
        <v>0.716</v>
      </c>
      <c r="J47" s="35">
        <f>IFERROR(__xludf.DUMMYFUNCTION("""COMPUTED_VALUE"""),46.0)</f>
        <v>46</v>
      </c>
      <c r="K47" s="35" t="b">
        <f>IFERROR(__xludf.DUMMYFUNCTION("""COMPUTED_VALUE"""),FALSE)</f>
        <v>0</v>
      </c>
      <c r="L47" s="35" t="str">
        <f>IFERROR(__xludf.DUMMYFUNCTION("""COMPUTED_VALUE"""),"Array;Backtracking;")</f>
        <v>Array;Backtracking;</v>
      </c>
      <c r="M47" s="35" t="b">
        <f>IFERROR(__xludf.DUMMYFUNCTION("""COMPUTED_VALUE"""),TRUE)</f>
        <v>1</v>
      </c>
      <c r="N47" s="35" t="b">
        <f>IFERROR(__xludf.DUMMYFUNCTION("""COMPUTED_VALUE"""),FALSE)</f>
        <v>0</v>
      </c>
      <c r="O47" s="35">
        <f>IFERROR(__xludf.DUMMYFUNCTION("""COMPUTED_VALUE"""),71.6352273663857)</f>
        <v>71.63522737</v>
      </c>
      <c r="P47" s="35">
        <f>IFERROR(__xludf.DUMMYFUNCTION("""COMPUTED_VALUE"""),1095122.0)</f>
        <v>1095122</v>
      </c>
      <c r="Q47" s="35">
        <f>IFERROR(__xludf.DUMMYFUNCTION("""COMPUTED_VALUE"""),1528739.0)</f>
        <v>1528739</v>
      </c>
    </row>
    <row r="48">
      <c r="A48" s="35">
        <f>IFERROR(__xludf.DUMMYFUNCTION("""COMPUTED_VALUE"""),47.0)</f>
        <v>47</v>
      </c>
      <c r="B48" s="35" t="str">
        <f>IFERROR(__xludf.DUMMYFUNCTION("""COMPUTED_VALUE"""),"Permutations II")</f>
        <v>Permutations II</v>
      </c>
      <c r="C48" s="35" t="str">
        <f>IFERROR(__xludf.DUMMYFUNCTION("""COMPUTED_VALUE"""),"permutations-ii")</f>
        <v>permutations-ii</v>
      </c>
      <c r="D48" s="35" t="b">
        <f>IFERROR(__xludf.DUMMYFUNCTION("""COMPUTED_VALUE"""),FALSE)</f>
        <v>0</v>
      </c>
      <c r="E48" s="35" t="str">
        <f>IFERROR(__xludf.DUMMYFUNCTION("""COMPUTED_VALUE"""),"Medium")</f>
        <v>Medium</v>
      </c>
      <c r="F48" s="35">
        <f>IFERROR(__xludf.DUMMYFUNCTION("""COMPUTED_VALUE"""),4610.0)</f>
        <v>4610</v>
      </c>
      <c r="G48" s="35">
        <f>IFERROR(__xludf.DUMMYFUNCTION("""COMPUTED_VALUE"""),90.0)</f>
        <v>90</v>
      </c>
      <c r="H48" s="35" t="str">
        <f>IFERROR(__xludf.DUMMYFUNCTION("""COMPUTED_VALUE"""),"Algorithms")</f>
        <v>Algorithms</v>
      </c>
      <c r="I48" s="35">
        <f>IFERROR(__xludf.DUMMYFUNCTION("""COMPUTED_VALUE"""),0.536)</f>
        <v>0.536</v>
      </c>
      <c r="J48" s="35">
        <f>IFERROR(__xludf.DUMMYFUNCTION("""COMPUTED_VALUE"""),47.0)</f>
        <v>47</v>
      </c>
      <c r="K48" s="35" t="b">
        <f>IFERROR(__xludf.DUMMYFUNCTION("""COMPUTED_VALUE"""),FALSE)</f>
        <v>0</v>
      </c>
      <c r="L48" s="35" t="str">
        <f>IFERROR(__xludf.DUMMYFUNCTION("""COMPUTED_VALUE"""),"Array;Backtracking;")</f>
        <v>Array;Backtracking;</v>
      </c>
      <c r="M48" s="35" t="b">
        <f>IFERROR(__xludf.DUMMYFUNCTION("""COMPUTED_VALUE"""),TRUE)</f>
        <v>1</v>
      </c>
      <c r="N48" s="35" t="b">
        <f>IFERROR(__xludf.DUMMYFUNCTION("""COMPUTED_VALUE"""),FALSE)</f>
        <v>0</v>
      </c>
      <c r="O48" s="35">
        <f>IFERROR(__xludf.DUMMYFUNCTION("""COMPUTED_VALUE"""),53.602044698226)</f>
        <v>53.6020447</v>
      </c>
      <c r="P48" s="35">
        <f>IFERROR(__xludf.DUMMYFUNCTION("""COMPUTED_VALUE"""),580501.0)</f>
        <v>580501</v>
      </c>
      <c r="Q48" s="35">
        <f>IFERROR(__xludf.DUMMYFUNCTION("""COMPUTED_VALUE"""),1082987.0)</f>
        <v>1082987</v>
      </c>
    </row>
    <row r="49">
      <c r="A49" s="35">
        <f>IFERROR(__xludf.DUMMYFUNCTION("""COMPUTED_VALUE"""),48.0)</f>
        <v>48</v>
      </c>
      <c r="B49" s="35" t="str">
        <f>IFERROR(__xludf.DUMMYFUNCTION("""COMPUTED_VALUE"""),"Rotate Image")</f>
        <v>Rotate Image</v>
      </c>
      <c r="C49" s="35" t="str">
        <f>IFERROR(__xludf.DUMMYFUNCTION("""COMPUTED_VALUE"""),"rotate-image")</f>
        <v>rotate-image</v>
      </c>
      <c r="D49" s="35" t="b">
        <f>IFERROR(__xludf.DUMMYFUNCTION("""COMPUTED_VALUE"""),FALSE)</f>
        <v>0</v>
      </c>
      <c r="E49" s="35" t="str">
        <f>IFERROR(__xludf.DUMMYFUNCTION("""COMPUTED_VALUE"""),"Medium")</f>
        <v>Medium</v>
      </c>
      <c r="F49" s="35">
        <f>IFERROR(__xludf.DUMMYFUNCTION("""COMPUTED_VALUE"""),8360.0)</f>
        <v>8360</v>
      </c>
      <c r="G49" s="35">
        <f>IFERROR(__xludf.DUMMYFUNCTION("""COMPUTED_VALUE"""),464.0)</f>
        <v>464</v>
      </c>
      <c r="H49" s="35" t="str">
        <f>IFERROR(__xludf.DUMMYFUNCTION("""COMPUTED_VALUE"""),"Algorithms")</f>
        <v>Algorithms</v>
      </c>
      <c r="I49" s="35">
        <f>IFERROR(__xludf.DUMMYFUNCTION("""COMPUTED_VALUE"""),0.659)</f>
        <v>0.659</v>
      </c>
      <c r="J49" s="35">
        <f>IFERROR(__xludf.DUMMYFUNCTION("""COMPUTED_VALUE"""),48.0)</f>
        <v>48</v>
      </c>
      <c r="K49" s="35" t="b">
        <f>IFERROR(__xludf.DUMMYFUNCTION("""COMPUTED_VALUE"""),FALSE)</f>
        <v>0</v>
      </c>
      <c r="L49" s="35" t="str">
        <f>IFERROR(__xludf.DUMMYFUNCTION("""COMPUTED_VALUE"""),"Array;Math;Matrix;")</f>
        <v>Array;Math;Matrix;</v>
      </c>
      <c r="M49" s="35" t="b">
        <f>IFERROR(__xludf.DUMMYFUNCTION("""COMPUTED_VALUE"""),TRUE)</f>
        <v>1</v>
      </c>
      <c r="N49" s="35" t="b">
        <f>IFERROR(__xludf.DUMMYFUNCTION("""COMPUTED_VALUE"""),FALSE)</f>
        <v>0</v>
      </c>
      <c r="O49" s="35">
        <f>IFERROR(__xludf.DUMMYFUNCTION("""COMPUTED_VALUE"""),65.9251930555754)</f>
        <v>65.92519306</v>
      </c>
      <c r="P49" s="35">
        <f>IFERROR(__xludf.DUMMYFUNCTION("""COMPUTED_VALUE"""),827572.0)</f>
        <v>827572</v>
      </c>
      <c r="Q49" s="35">
        <f>IFERROR(__xludf.DUMMYFUNCTION("""COMPUTED_VALUE"""),1255324.0)</f>
        <v>1255324</v>
      </c>
    </row>
    <row r="50">
      <c r="A50" s="35">
        <f>IFERROR(__xludf.DUMMYFUNCTION("""COMPUTED_VALUE"""),49.0)</f>
        <v>49</v>
      </c>
      <c r="B50" s="35" t="str">
        <f>IFERROR(__xludf.DUMMYFUNCTION("""COMPUTED_VALUE"""),"Group Anagrams")</f>
        <v>Group Anagrams</v>
      </c>
      <c r="C50" s="35" t="str">
        <f>IFERROR(__xludf.DUMMYFUNCTION("""COMPUTED_VALUE"""),"group-anagrams")</f>
        <v>group-anagrams</v>
      </c>
      <c r="D50" s="35" t="b">
        <f>IFERROR(__xludf.DUMMYFUNCTION("""COMPUTED_VALUE"""),FALSE)</f>
        <v>0</v>
      </c>
      <c r="E50" s="35" t="str">
        <f>IFERROR(__xludf.DUMMYFUNCTION("""COMPUTED_VALUE"""),"Medium")</f>
        <v>Medium</v>
      </c>
      <c r="F50" s="35">
        <f>IFERROR(__xludf.DUMMYFUNCTION("""COMPUTED_VALUE"""),8537.0)</f>
        <v>8537</v>
      </c>
      <c r="G50" s="35">
        <f>IFERROR(__xludf.DUMMYFUNCTION("""COMPUTED_VALUE"""),295.0)</f>
        <v>295</v>
      </c>
      <c r="H50" s="35" t="str">
        <f>IFERROR(__xludf.DUMMYFUNCTION("""COMPUTED_VALUE"""),"Algorithms")</f>
        <v>Algorithms</v>
      </c>
      <c r="I50" s="35">
        <f>IFERROR(__xludf.DUMMYFUNCTION("""COMPUTED_VALUE"""),0.636)</f>
        <v>0.636</v>
      </c>
      <c r="J50" s="35">
        <f>IFERROR(__xludf.DUMMYFUNCTION("""COMPUTED_VALUE"""),49.0)</f>
        <v>49</v>
      </c>
      <c r="K50" s="35" t="b">
        <f>IFERROR(__xludf.DUMMYFUNCTION("""COMPUTED_VALUE"""),FALSE)</f>
        <v>0</v>
      </c>
      <c r="L50" s="35" t="str">
        <f>IFERROR(__xludf.DUMMYFUNCTION("""COMPUTED_VALUE"""),"Hash Table;String;Sorting;")</f>
        <v>Hash Table;String;Sorting;</v>
      </c>
      <c r="M50" s="35" t="b">
        <f>IFERROR(__xludf.DUMMYFUNCTION("""COMPUTED_VALUE"""),TRUE)</f>
        <v>1</v>
      </c>
      <c r="N50" s="35" t="b">
        <f>IFERROR(__xludf.DUMMYFUNCTION("""COMPUTED_VALUE"""),TRUE)</f>
        <v>1</v>
      </c>
      <c r="O50" s="35">
        <f>IFERROR(__xludf.DUMMYFUNCTION("""COMPUTED_VALUE"""),63.6042021418253)</f>
        <v>63.60420214</v>
      </c>
      <c r="P50" s="35">
        <f>IFERROR(__xludf.DUMMYFUNCTION("""COMPUTED_VALUE"""),1261007.0)</f>
        <v>1261007</v>
      </c>
      <c r="Q50" s="35">
        <f>IFERROR(__xludf.DUMMYFUNCTION("""COMPUTED_VALUE"""),1982588.0)</f>
        <v>1982588</v>
      </c>
    </row>
    <row r="51">
      <c r="A51" s="35">
        <f>IFERROR(__xludf.DUMMYFUNCTION("""COMPUTED_VALUE"""),50.0)</f>
        <v>50</v>
      </c>
      <c r="B51" s="35" t="str">
        <f>IFERROR(__xludf.DUMMYFUNCTION("""COMPUTED_VALUE"""),"Pow(x, n)")</f>
        <v>Pow(x, n)</v>
      </c>
      <c r="C51" s="35" t="str">
        <f>IFERROR(__xludf.DUMMYFUNCTION("""COMPUTED_VALUE"""),"powx-n")</f>
        <v>powx-n</v>
      </c>
      <c r="D51" s="35" t="b">
        <f>IFERROR(__xludf.DUMMYFUNCTION("""COMPUTED_VALUE"""),FALSE)</f>
        <v>0</v>
      </c>
      <c r="E51" s="35" t="str">
        <f>IFERROR(__xludf.DUMMYFUNCTION("""COMPUTED_VALUE"""),"Medium")</f>
        <v>Medium</v>
      </c>
      <c r="F51" s="35">
        <f>IFERROR(__xludf.DUMMYFUNCTION("""COMPUTED_VALUE"""),4105.0)</f>
        <v>4105</v>
      </c>
      <c r="G51" s="35">
        <f>IFERROR(__xludf.DUMMYFUNCTION("""COMPUTED_VALUE"""),5123.0)</f>
        <v>5123</v>
      </c>
      <c r="H51" s="35" t="str">
        <f>IFERROR(__xludf.DUMMYFUNCTION("""COMPUTED_VALUE"""),"Algorithms")</f>
        <v>Algorithms</v>
      </c>
      <c r="I51" s="35">
        <f>IFERROR(__xludf.DUMMYFUNCTION("""COMPUTED_VALUE"""),0.322)</f>
        <v>0.322</v>
      </c>
      <c r="J51" s="35">
        <f>IFERROR(__xludf.DUMMYFUNCTION("""COMPUTED_VALUE"""),50.0)</f>
        <v>50</v>
      </c>
      <c r="K51" s="35" t="b">
        <f>IFERROR(__xludf.DUMMYFUNCTION("""COMPUTED_VALUE"""),FALSE)</f>
        <v>0</v>
      </c>
      <c r="L51" s="35" t="str">
        <f>IFERROR(__xludf.DUMMYFUNCTION("""COMPUTED_VALUE"""),"Math;Recursion;")</f>
        <v>Math;Recursion;</v>
      </c>
      <c r="M51" s="35" t="b">
        <f>IFERROR(__xludf.DUMMYFUNCTION("""COMPUTED_VALUE"""),TRUE)</f>
        <v>1</v>
      </c>
      <c r="N51" s="35" t="b">
        <f>IFERROR(__xludf.DUMMYFUNCTION("""COMPUTED_VALUE"""),FALSE)</f>
        <v>0</v>
      </c>
      <c r="O51" s="35">
        <f>IFERROR(__xludf.DUMMYFUNCTION("""COMPUTED_VALUE"""),32.1728515846505)</f>
        <v>32.17285158</v>
      </c>
      <c r="P51" s="35">
        <f>IFERROR(__xludf.DUMMYFUNCTION("""COMPUTED_VALUE"""),851048.0)</f>
        <v>851048</v>
      </c>
      <c r="Q51" s="35">
        <f>IFERROR(__xludf.DUMMYFUNCTION("""COMPUTED_VALUE"""),2645225.0)</f>
        <v>2645225</v>
      </c>
    </row>
    <row r="52">
      <c r="A52" s="35">
        <f>IFERROR(__xludf.DUMMYFUNCTION("""COMPUTED_VALUE"""),51.0)</f>
        <v>51</v>
      </c>
      <c r="B52" s="35" t="str">
        <f>IFERROR(__xludf.DUMMYFUNCTION("""COMPUTED_VALUE"""),"N-Queens")</f>
        <v>N-Queens</v>
      </c>
      <c r="C52" s="35" t="str">
        <f>IFERROR(__xludf.DUMMYFUNCTION("""COMPUTED_VALUE"""),"n-queens")</f>
        <v>n-queens</v>
      </c>
      <c r="D52" s="35" t="b">
        <f>IFERROR(__xludf.DUMMYFUNCTION("""COMPUTED_VALUE"""),FALSE)</f>
        <v>0</v>
      </c>
      <c r="E52" s="35" t="str">
        <f>IFERROR(__xludf.DUMMYFUNCTION("""COMPUTED_VALUE"""),"Hard")</f>
        <v>Hard</v>
      </c>
      <c r="F52" s="35">
        <f>IFERROR(__xludf.DUMMYFUNCTION("""COMPUTED_VALUE"""),5335.0)</f>
        <v>5335</v>
      </c>
      <c r="G52" s="35">
        <f>IFERROR(__xludf.DUMMYFUNCTION("""COMPUTED_VALUE"""),145.0)</f>
        <v>145</v>
      </c>
      <c r="H52" s="35" t="str">
        <f>IFERROR(__xludf.DUMMYFUNCTION("""COMPUTED_VALUE"""),"Algorithms")</f>
        <v>Algorithms</v>
      </c>
      <c r="I52" s="35">
        <f>IFERROR(__xludf.DUMMYFUNCTION("""COMPUTED_VALUE"""),0.566)</f>
        <v>0.566</v>
      </c>
      <c r="J52" s="35">
        <f>IFERROR(__xludf.DUMMYFUNCTION("""COMPUTED_VALUE"""),51.0)</f>
        <v>51</v>
      </c>
      <c r="K52" s="35" t="b">
        <f>IFERROR(__xludf.DUMMYFUNCTION("""COMPUTED_VALUE"""),FALSE)</f>
        <v>0</v>
      </c>
      <c r="L52" s="35" t="str">
        <f>IFERROR(__xludf.DUMMYFUNCTION("""COMPUTED_VALUE"""),"Array;Backtracking;")</f>
        <v>Array;Backtracking;</v>
      </c>
      <c r="M52" s="35" t="b">
        <f>IFERROR(__xludf.DUMMYFUNCTION("""COMPUTED_VALUE"""),TRUE)</f>
        <v>1</v>
      </c>
      <c r="N52" s="35" t="b">
        <f>IFERROR(__xludf.DUMMYFUNCTION("""COMPUTED_VALUE"""),FALSE)</f>
        <v>0</v>
      </c>
      <c r="O52" s="35">
        <f>IFERROR(__xludf.DUMMYFUNCTION("""COMPUTED_VALUE"""),56.6261226567803)</f>
        <v>56.62612266</v>
      </c>
      <c r="P52" s="35">
        <f>IFERROR(__xludf.DUMMYFUNCTION("""COMPUTED_VALUE"""),347022.0)</f>
        <v>347022</v>
      </c>
      <c r="Q52" s="35">
        <f>IFERROR(__xludf.DUMMYFUNCTION("""COMPUTED_VALUE"""),612829.0)</f>
        <v>612829</v>
      </c>
    </row>
    <row r="53">
      <c r="A53" s="35">
        <f>IFERROR(__xludf.DUMMYFUNCTION("""COMPUTED_VALUE"""),52.0)</f>
        <v>52</v>
      </c>
      <c r="B53" s="35" t="str">
        <f>IFERROR(__xludf.DUMMYFUNCTION("""COMPUTED_VALUE"""),"N-Queens II")</f>
        <v>N-Queens II</v>
      </c>
      <c r="C53" s="35" t="str">
        <f>IFERROR(__xludf.DUMMYFUNCTION("""COMPUTED_VALUE"""),"n-queens-ii")</f>
        <v>n-queens-ii</v>
      </c>
      <c r="D53" s="35" t="b">
        <f>IFERROR(__xludf.DUMMYFUNCTION("""COMPUTED_VALUE"""),FALSE)</f>
        <v>0</v>
      </c>
      <c r="E53" s="35" t="str">
        <f>IFERROR(__xludf.DUMMYFUNCTION("""COMPUTED_VALUE"""),"Hard")</f>
        <v>Hard</v>
      </c>
      <c r="F53" s="35">
        <f>IFERROR(__xludf.DUMMYFUNCTION("""COMPUTED_VALUE"""),1594.0)</f>
        <v>1594</v>
      </c>
      <c r="G53" s="35">
        <f>IFERROR(__xludf.DUMMYFUNCTION("""COMPUTED_VALUE"""),209.0)</f>
        <v>209</v>
      </c>
      <c r="H53" s="35" t="str">
        <f>IFERROR(__xludf.DUMMYFUNCTION("""COMPUTED_VALUE"""),"Algorithms")</f>
        <v>Algorithms</v>
      </c>
      <c r="I53" s="35">
        <f>IFERROR(__xludf.DUMMYFUNCTION("""COMPUTED_VALUE"""),0.657)</f>
        <v>0.657</v>
      </c>
      <c r="J53" s="35">
        <f>IFERROR(__xludf.DUMMYFUNCTION("""COMPUTED_VALUE"""),52.0)</f>
        <v>52</v>
      </c>
      <c r="K53" s="35" t="b">
        <f>IFERROR(__xludf.DUMMYFUNCTION("""COMPUTED_VALUE"""),FALSE)</f>
        <v>0</v>
      </c>
      <c r="L53" s="35" t="str">
        <f>IFERROR(__xludf.DUMMYFUNCTION("""COMPUTED_VALUE"""),"Backtracking;")</f>
        <v>Backtracking;</v>
      </c>
      <c r="M53" s="35" t="b">
        <f>IFERROR(__xludf.DUMMYFUNCTION("""COMPUTED_VALUE"""),TRUE)</f>
        <v>1</v>
      </c>
      <c r="N53" s="35" t="b">
        <f>IFERROR(__xludf.DUMMYFUNCTION("""COMPUTED_VALUE"""),FALSE)</f>
        <v>0</v>
      </c>
      <c r="O53" s="35">
        <f>IFERROR(__xludf.DUMMYFUNCTION("""COMPUTED_VALUE"""),65.6871419922693)</f>
        <v>65.68714199</v>
      </c>
      <c r="P53" s="35">
        <f>IFERROR(__xludf.DUMMYFUNCTION("""COMPUTED_VALUE"""),211574.0)</f>
        <v>211574</v>
      </c>
      <c r="Q53" s="35">
        <f>IFERROR(__xludf.DUMMYFUNCTION("""COMPUTED_VALUE"""),322094.0)</f>
        <v>322094</v>
      </c>
    </row>
    <row r="54">
      <c r="A54" s="35">
        <f>IFERROR(__xludf.DUMMYFUNCTION("""COMPUTED_VALUE"""),53.0)</f>
        <v>53</v>
      </c>
      <c r="B54" s="35" t="str">
        <f>IFERROR(__xludf.DUMMYFUNCTION("""COMPUTED_VALUE"""),"Maximum Subarray")</f>
        <v>Maximum Subarray</v>
      </c>
      <c r="C54" s="35" t="str">
        <f>IFERROR(__xludf.DUMMYFUNCTION("""COMPUTED_VALUE"""),"maximum-subarray")</f>
        <v>maximum-subarray</v>
      </c>
      <c r="D54" s="35" t="b">
        <f>IFERROR(__xludf.DUMMYFUNCTION("""COMPUTED_VALUE"""),FALSE)</f>
        <v>0</v>
      </c>
      <c r="E54" s="35" t="str">
        <f>IFERROR(__xludf.DUMMYFUNCTION("""COMPUTED_VALUE"""),"Easy")</f>
        <v>Easy</v>
      </c>
      <c r="F54" s="35">
        <f>IFERROR(__xludf.DUMMYFUNCTION("""COMPUTED_VALUE"""),19026.0)</f>
        <v>19026</v>
      </c>
      <c r="G54" s="35">
        <f>IFERROR(__xludf.DUMMYFUNCTION("""COMPUTED_VALUE"""),909.0)</f>
        <v>909</v>
      </c>
      <c r="H54" s="35" t="str">
        <f>IFERROR(__xludf.DUMMYFUNCTION("""COMPUTED_VALUE"""),"Algorithms")</f>
        <v>Algorithms</v>
      </c>
      <c r="I54" s="35">
        <f>IFERROR(__xludf.DUMMYFUNCTION("""COMPUTED_VALUE"""),0.494)</f>
        <v>0.494</v>
      </c>
      <c r="J54" s="35">
        <f>IFERROR(__xludf.DUMMYFUNCTION("""COMPUTED_VALUE"""),53.0)</f>
        <v>53</v>
      </c>
      <c r="K54" s="35" t="b">
        <f>IFERROR(__xludf.DUMMYFUNCTION("""COMPUTED_VALUE"""),FALSE)</f>
        <v>0</v>
      </c>
      <c r="L54" s="35" t="str">
        <f>IFERROR(__xludf.DUMMYFUNCTION("""COMPUTED_VALUE"""),"Array;Divide and Conquer;Dynamic Programming;")</f>
        <v>Array;Divide and Conquer;Dynamic Programming;</v>
      </c>
      <c r="M54" s="35" t="b">
        <f>IFERROR(__xludf.DUMMYFUNCTION("""COMPUTED_VALUE"""),TRUE)</f>
        <v>1</v>
      </c>
      <c r="N54" s="35" t="b">
        <f>IFERROR(__xludf.DUMMYFUNCTION("""COMPUTED_VALUE"""),FALSE)</f>
        <v>0</v>
      </c>
      <c r="O54" s="35">
        <f>IFERROR(__xludf.DUMMYFUNCTION("""COMPUTED_VALUE"""),49.4459878336925)</f>
        <v>49.44598783</v>
      </c>
      <c r="P54" s="35">
        <f>IFERROR(__xludf.DUMMYFUNCTION("""COMPUTED_VALUE"""),2152481.0)</f>
        <v>2152481</v>
      </c>
      <c r="Q54" s="35">
        <f>IFERROR(__xludf.DUMMYFUNCTION("""COMPUTED_VALUE"""),4353201.0)</f>
        <v>4353201</v>
      </c>
    </row>
    <row r="55">
      <c r="A55" s="35">
        <f>IFERROR(__xludf.DUMMYFUNCTION("""COMPUTED_VALUE"""),54.0)</f>
        <v>54</v>
      </c>
      <c r="B55" s="35" t="str">
        <f>IFERROR(__xludf.DUMMYFUNCTION("""COMPUTED_VALUE"""),"Spiral Matrix")</f>
        <v>Spiral Matrix</v>
      </c>
      <c r="C55" s="35" t="str">
        <f>IFERROR(__xludf.DUMMYFUNCTION("""COMPUTED_VALUE"""),"spiral-matrix")</f>
        <v>spiral-matrix</v>
      </c>
      <c r="D55" s="35" t="b">
        <f>IFERROR(__xludf.DUMMYFUNCTION("""COMPUTED_VALUE"""),FALSE)</f>
        <v>0</v>
      </c>
      <c r="E55" s="35" t="str">
        <f>IFERROR(__xludf.DUMMYFUNCTION("""COMPUTED_VALUE"""),"Medium")</f>
        <v>Medium</v>
      </c>
      <c r="F55" s="35">
        <f>IFERROR(__xludf.DUMMYFUNCTION("""COMPUTED_VALUE"""),6492.0)</f>
        <v>6492</v>
      </c>
      <c r="G55" s="35">
        <f>IFERROR(__xludf.DUMMYFUNCTION("""COMPUTED_VALUE"""),799.0)</f>
        <v>799</v>
      </c>
      <c r="H55" s="35" t="str">
        <f>IFERROR(__xludf.DUMMYFUNCTION("""COMPUTED_VALUE"""),"Algorithms")</f>
        <v>Algorithms</v>
      </c>
      <c r="I55" s="35">
        <f>IFERROR(__xludf.DUMMYFUNCTION("""COMPUTED_VALUE"""),0.408)</f>
        <v>0.408</v>
      </c>
      <c r="J55" s="35">
        <f>IFERROR(__xludf.DUMMYFUNCTION("""COMPUTED_VALUE"""),54.0)</f>
        <v>54</v>
      </c>
      <c r="K55" s="35" t="b">
        <f>IFERROR(__xludf.DUMMYFUNCTION("""COMPUTED_VALUE"""),FALSE)</f>
        <v>0</v>
      </c>
      <c r="L55" s="35" t="str">
        <f>IFERROR(__xludf.DUMMYFUNCTION("""COMPUTED_VALUE"""),"Array;Matrix;Simulation;")</f>
        <v>Array;Matrix;Simulation;</v>
      </c>
      <c r="M55" s="35" t="b">
        <f>IFERROR(__xludf.DUMMYFUNCTION("""COMPUTED_VALUE"""),TRUE)</f>
        <v>1</v>
      </c>
      <c r="N55" s="35" t="b">
        <f>IFERROR(__xludf.DUMMYFUNCTION("""COMPUTED_VALUE"""),FALSE)</f>
        <v>0</v>
      </c>
      <c r="O55" s="35">
        <f>IFERROR(__xludf.DUMMYFUNCTION("""COMPUTED_VALUE"""),40.7822866382897)</f>
        <v>40.78228664</v>
      </c>
      <c r="P55" s="35">
        <f>IFERROR(__xludf.DUMMYFUNCTION("""COMPUTED_VALUE"""),685991.0)</f>
        <v>685991</v>
      </c>
      <c r="Q55" s="35">
        <f>IFERROR(__xludf.DUMMYFUNCTION("""COMPUTED_VALUE"""),1682099.0)</f>
        <v>1682099</v>
      </c>
    </row>
    <row r="56">
      <c r="A56" s="35">
        <f>IFERROR(__xludf.DUMMYFUNCTION("""COMPUTED_VALUE"""),55.0)</f>
        <v>55</v>
      </c>
      <c r="B56" s="35" t="str">
        <f>IFERROR(__xludf.DUMMYFUNCTION("""COMPUTED_VALUE"""),"Jump Game")</f>
        <v>Jump Game</v>
      </c>
      <c r="C56" s="35" t="str">
        <f>IFERROR(__xludf.DUMMYFUNCTION("""COMPUTED_VALUE"""),"jump-game")</f>
        <v>jump-game</v>
      </c>
      <c r="D56" s="35" t="b">
        <f>IFERROR(__xludf.DUMMYFUNCTION("""COMPUTED_VALUE"""),FALSE)</f>
        <v>0</v>
      </c>
      <c r="E56" s="35" t="str">
        <f>IFERROR(__xludf.DUMMYFUNCTION("""COMPUTED_VALUE"""),"Medium")</f>
        <v>Medium</v>
      </c>
      <c r="F56" s="35">
        <f>IFERROR(__xludf.DUMMYFUNCTION("""COMPUTED_VALUE"""),10160.0)</f>
        <v>10160</v>
      </c>
      <c r="G56" s="35">
        <f>IFERROR(__xludf.DUMMYFUNCTION("""COMPUTED_VALUE"""),588.0)</f>
        <v>588</v>
      </c>
      <c r="H56" s="35" t="str">
        <f>IFERROR(__xludf.DUMMYFUNCTION("""COMPUTED_VALUE"""),"Algorithms")</f>
        <v>Algorithms</v>
      </c>
      <c r="I56" s="35">
        <f>IFERROR(__xludf.DUMMYFUNCTION("""COMPUTED_VALUE"""),0.376)</f>
        <v>0.376</v>
      </c>
      <c r="J56" s="35">
        <f>IFERROR(__xludf.DUMMYFUNCTION("""COMPUTED_VALUE"""),55.0)</f>
        <v>55</v>
      </c>
      <c r="K56" s="35" t="b">
        <f>IFERROR(__xludf.DUMMYFUNCTION("""COMPUTED_VALUE"""),FALSE)</f>
        <v>0</v>
      </c>
      <c r="L56" s="35" t="str">
        <f>IFERROR(__xludf.DUMMYFUNCTION("""COMPUTED_VALUE"""),"Array;Dynamic Programming;Greedy;")</f>
        <v>Array;Dynamic Programming;Greedy;</v>
      </c>
      <c r="M56" s="35" t="b">
        <f>IFERROR(__xludf.DUMMYFUNCTION("""COMPUTED_VALUE"""),TRUE)</f>
        <v>1</v>
      </c>
      <c r="N56" s="35" t="b">
        <f>IFERROR(__xludf.DUMMYFUNCTION("""COMPUTED_VALUE"""),FALSE)</f>
        <v>0</v>
      </c>
      <c r="O56" s="35">
        <f>IFERROR(__xludf.DUMMYFUNCTION("""COMPUTED_VALUE"""),37.5617224895769)</f>
        <v>37.56172249</v>
      </c>
      <c r="P56" s="35">
        <f>IFERROR(__xludf.DUMMYFUNCTION("""COMPUTED_VALUE"""),934416.0)</f>
        <v>934416</v>
      </c>
      <c r="Q56" s="35">
        <f>IFERROR(__xludf.DUMMYFUNCTION("""COMPUTED_VALUE"""),2487690.0)</f>
        <v>2487690</v>
      </c>
    </row>
    <row r="57">
      <c r="A57" s="35">
        <f>IFERROR(__xludf.DUMMYFUNCTION("""COMPUTED_VALUE"""),56.0)</f>
        <v>56</v>
      </c>
      <c r="B57" s="35" t="str">
        <f>IFERROR(__xludf.DUMMYFUNCTION("""COMPUTED_VALUE"""),"Merge Intervals")</f>
        <v>Merge Intervals</v>
      </c>
      <c r="C57" s="35" t="str">
        <f>IFERROR(__xludf.DUMMYFUNCTION("""COMPUTED_VALUE"""),"merge-intervals")</f>
        <v>merge-intervals</v>
      </c>
      <c r="D57" s="35" t="b">
        <f>IFERROR(__xludf.DUMMYFUNCTION("""COMPUTED_VALUE"""),FALSE)</f>
        <v>0</v>
      </c>
      <c r="E57" s="35" t="str">
        <f>IFERROR(__xludf.DUMMYFUNCTION("""COMPUTED_VALUE"""),"Medium")</f>
        <v>Medium</v>
      </c>
      <c r="F57" s="35">
        <f>IFERROR(__xludf.DUMMYFUNCTION("""COMPUTED_VALUE"""),12513.0)</f>
        <v>12513</v>
      </c>
      <c r="G57" s="35">
        <f>IFERROR(__xludf.DUMMYFUNCTION("""COMPUTED_VALUE"""),495.0)</f>
        <v>495</v>
      </c>
      <c r="H57" s="35" t="str">
        <f>IFERROR(__xludf.DUMMYFUNCTION("""COMPUTED_VALUE"""),"Algorithms")</f>
        <v>Algorithms</v>
      </c>
      <c r="I57" s="35">
        <f>IFERROR(__xludf.DUMMYFUNCTION("""COMPUTED_VALUE"""),0.446)</f>
        <v>0.446</v>
      </c>
      <c r="J57" s="35">
        <f>IFERROR(__xludf.DUMMYFUNCTION("""COMPUTED_VALUE"""),56.0)</f>
        <v>56</v>
      </c>
      <c r="K57" s="35" t="b">
        <f>IFERROR(__xludf.DUMMYFUNCTION("""COMPUTED_VALUE"""),FALSE)</f>
        <v>0</v>
      </c>
      <c r="L57" s="35" t="str">
        <f>IFERROR(__xludf.DUMMYFUNCTION("""COMPUTED_VALUE"""),"Array;Sorting;")</f>
        <v>Array;Sorting;</v>
      </c>
      <c r="M57" s="35" t="b">
        <f>IFERROR(__xludf.DUMMYFUNCTION("""COMPUTED_VALUE"""),TRUE)</f>
        <v>1</v>
      </c>
      <c r="N57" s="35" t="b">
        <f>IFERROR(__xludf.DUMMYFUNCTION("""COMPUTED_VALUE"""),TRUE)</f>
        <v>1</v>
      </c>
      <c r="O57" s="35">
        <f>IFERROR(__xludf.DUMMYFUNCTION("""COMPUTED_VALUE"""),44.5816503481934)</f>
        <v>44.58165035</v>
      </c>
      <c r="P57" s="35">
        <f>IFERROR(__xludf.DUMMYFUNCTION("""COMPUTED_VALUE"""),1335277.0)</f>
        <v>1335277</v>
      </c>
      <c r="Q57" s="35">
        <f>IFERROR(__xludf.DUMMYFUNCTION("""COMPUTED_VALUE"""),2995124.0)</f>
        <v>2995124</v>
      </c>
    </row>
    <row r="58">
      <c r="A58" s="35">
        <f>IFERROR(__xludf.DUMMYFUNCTION("""COMPUTED_VALUE"""),57.0)</f>
        <v>57</v>
      </c>
      <c r="B58" s="35" t="str">
        <f>IFERROR(__xludf.DUMMYFUNCTION("""COMPUTED_VALUE"""),"Insert Interval")</f>
        <v>Insert Interval</v>
      </c>
      <c r="C58" s="35" t="str">
        <f>IFERROR(__xludf.DUMMYFUNCTION("""COMPUTED_VALUE"""),"insert-interval")</f>
        <v>insert-interval</v>
      </c>
      <c r="D58" s="35" t="b">
        <f>IFERROR(__xludf.DUMMYFUNCTION("""COMPUTED_VALUE"""),FALSE)</f>
        <v>0</v>
      </c>
      <c r="E58" s="35" t="str">
        <f>IFERROR(__xludf.DUMMYFUNCTION("""COMPUTED_VALUE"""),"Medium")</f>
        <v>Medium</v>
      </c>
      <c r="F58" s="35">
        <f>IFERROR(__xludf.DUMMYFUNCTION("""COMPUTED_VALUE"""),4456.0)</f>
        <v>4456</v>
      </c>
      <c r="G58" s="35">
        <f>IFERROR(__xludf.DUMMYFUNCTION("""COMPUTED_VALUE"""),325.0)</f>
        <v>325</v>
      </c>
      <c r="H58" s="35" t="str">
        <f>IFERROR(__xludf.DUMMYFUNCTION("""COMPUTED_VALUE"""),"Algorithms")</f>
        <v>Algorithms</v>
      </c>
      <c r="I58" s="35">
        <f>IFERROR(__xludf.DUMMYFUNCTION("""COMPUTED_VALUE"""),0.372)</f>
        <v>0.372</v>
      </c>
      <c r="J58" s="35">
        <f>IFERROR(__xludf.DUMMYFUNCTION("""COMPUTED_VALUE"""),57.0)</f>
        <v>57</v>
      </c>
      <c r="K58" s="35" t="b">
        <f>IFERROR(__xludf.DUMMYFUNCTION("""COMPUTED_VALUE"""),FALSE)</f>
        <v>0</v>
      </c>
      <c r="L58" s="35" t="str">
        <f>IFERROR(__xludf.DUMMYFUNCTION("""COMPUTED_VALUE"""),"Array;")</f>
        <v>Array;</v>
      </c>
      <c r="M58" s="35" t="b">
        <f>IFERROR(__xludf.DUMMYFUNCTION("""COMPUTED_VALUE"""),TRUE)</f>
        <v>1</v>
      </c>
      <c r="N58" s="35" t="b">
        <f>IFERROR(__xludf.DUMMYFUNCTION("""COMPUTED_VALUE"""),FALSE)</f>
        <v>0</v>
      </c>
      <c r="O58" s="35">
        <f>IFERROR(__xludf.DUMMYFUNCTION("""COMPUTED_VALUE"""),37.1891059065951)</f>
        <v>37.18910591</v>
      </c>
      <c r="P58" s="35">
        <f>IFERROR(__xludf.DUMMYFUNCTION("""COMPUTED_VALUE"""),473569.0)</f>
        <v>473569</v>
      </c>
      <c r="Q58" s="35">
        <f>IFERROR(__xludf.DUMMYFUNCTION("""COMPUTED_VALUE"""),1273405.0)</f>
        <v>1273405</v>
      </c>
    </row>
    <row r="59">
      <c r="A59" s="35">
        <f>IFERROR(__xludf.DUMMYFUNCTION("""COMPUTED_VALUE"""),58.0)</f>
        <v>58</v>
      </c>
      <c r="B59" s="35" t="str">
        <f>IFERROR(__xludf.DUMMYFUNCTION("""COMPUTED_VALUE"""),"Length of Last Word")</f>
        <v>Length of Last Word</v>
      </c>
      <c r="C59" s="35" t="str">
        <f>IFERROR(__xludf.DUMMYFUNCTION("""COMPUTED_VALUE"""),"length-of-last-word")</f>
        <v>length-of-last-word</v>
      </c>
      <c r="D59" s="35" t="b">
        <f>IFERROR(__xludf.DUMMYFUNCTION("""COMPUTED_VALUE"""),FALSE)</f>
        <v>0</v>
      </c>
      <c r="E59" s="35" t="str">
        <f>IFERROR(__xludf.DUMMYFUNCTION("""COMPUTED_VALUE"""),"Easy")</f>
        <v>Easy</v>
      </c>
      <c r="F59" s="35">
        <f>IFERROR(__xludf.DUMMYFUNCTION("""COMPUTED_VALUE"""),745.0)</f>
        <v>745</v>
      </c>
      <c r="G59" s="35">
        <f>IFERROR(__xludf.DUMMYFUNCTION("""COMPUTED_VALUE"""),59.0)</f>
        <v>59</v>
      </c>
      <c r="H59" s="35" t="str">
        <f>IFERROR(__xludf.DUMMYFUNCTION("""COMPUTED_VALUE"""),"Algorithms")</f>
        <v>Algorithms</v>
      </c>
      <c r="I59" s="35">
        <f>IFERROR(__xludf.DUMMYFUNCTION("""COMPUTED_VALUE"""),0.369)</f>
        <v>0.369</v>
      </c>
      <c r="J59" s="35">
        <f>IFERROR(__xludf.DUMMYFUNCTION("""COMPUTED_VALUE"""),58.0)</f>
        <v>58</v>
      </c>
      <c r="K59" s="35" t="b">
        <f>IFERROR(__xludf.DUMMYFUNCTION("""COMPUTED_VALUE"""),FALSE)</f>
        <v>0</v>
      </c>
      <c r="L59" s="35" t="str">
        <f>IFERROR(__xludf.DUMMYFUNCTION("""COMPUTED_VALUE"""),"String;")</f>
        <v>String;</v>
      </c>
      <c r="M59" s="35" t="b">
        <f>IFERROR(__xludf.DUMMYFUNCTION("""COMPUTED_VALUE"""),TRUE)</f>
        <v>1</v>
      </c>
      <c r="N59" s="35" t="b">
        <f>IFERROR(__xludf.DUMMYFUNCTION("""COMPUTED_VALUE"""),FALSE)</f>
        <v>0</v>
      </c>
      <c r="O59" s="35">
        <f>IFERROR(__xludf.DUMMYFUNCTION("""COMPUTED_VALUE"""),36.8899120567922)</f>
        <v>36.88991206</v>
      </c>
      <c r="P59" s="35">
        <f>IFERROR(__xludf.DUMMYFUNCTION("""COMPUTED_VALUE"""),689356.0)</f>
        <v>689356</v>
      </c>
      <c r="Q59" s="35">
        <f>IFERROR(__xludf.DUMMYFUNCTION("""COMPUTED_VALUE"""),1868694.0)</f>
        <v>1868694</v>
      </c>
    </row>
    <row r="60">
      <c r="A60" s="35">
        <f>IFERROR(__xludf.DUMMYFUNCTION("""COMPUTED_VALUE"""),59.0)</f>
        <v>59</v>
      </c>
      <c r="B60" s="35" t="str">
        <f>IFERROR(__xludf.DUMMYFUNCTION("""COMPUTED_VALUE"""),"Spiral Matrix II")</f>
        <v>Spiral Matrix II</v>
      </c>
      <c r="C60" s="35" t="str">
        <f>IFERROR(__xludf.DUMMYFUNCTION("""COMPUTED_VALUE"""),"spiral-matrix-ii")</f>
        <v>spiral-matrix-ii</v>
      </c>
      <c r="D60" s="35" t="b">
        <f>IFERROR(__xludf.DUMMYFUNCTION("""COMPUTED_VALUE"""),FALSE)</f>
        <v>0</v>
      </c>
      <c r="E60" s="35" t="str">
        <f>IFERROR(__xludf.DUMMYFUNCTION("""COMPUTED_VALUE"""),"Medium")</f>
        <v>Medium</v>
      </c>
      <c r="F60" s="35">
        <f>IFERROR(__xludf.DUMMYFUNCTION("""COMPUTED_VALUE"""),2608.0)</f>
        <v>2608</v>
      </c>
      <c r="G60" s="35">
        <f>IFERROR(__xludf.DUMMYFUNCTION("""COMPUTED_VALUE"""),163.0)</f>
        <v>163</v>
      </c>
      <c r="H60" s="35" t="str">
        <f>IFERROR(__xludf.DUMMYFUNCTION("""COMPUTED_VALUE"""),"Algorithms")</f>
        <v>Algorithms</v>
      </c>
      <c r="I60" s="35">
        <f>IFERROR(__xludf.DUMMYFUNCTION("""COMPUTED_VALUE"""),0.62)</f>
        <v>0.62</v>
      </c>
      <c r="J60" s="35">
        <f>IFERROR(__xludf.DUMMYFUNCTION("""COMPUTED_VALUE"""),59.0)</f>
        <v>59</v>
      </c>
      <c r="K60" s="35" t="b">
        <f>IFERROR(__xludf.DUMMYFUNCTION("""COMPUTED_VALUE"""),FALSE)</f>
        <v>0</v>
      </c>
      <c r="L60" s="35" t="str">
        <f>IFERROR(__xludf.DUMMYFUNCTION("""COMPUTED_VALUE"""),"Array;Matrix;Simulation;")</f>
        <v>Array;Matrix;Simulation;</v>
      </c>
      <c r="M60" s="35" t="b">
        <f>IFERROR(__xludf.DUMMYFUNCTION("""COMPUTED_VALUE"""),TRUE)</f>
        <v>1</v>
      </c>
      <c r="N60" s="35" t="b">
        <f>IFERROR(__xludf.DUMMYFUNCTION("""COMPUTED_VALUE"""),FALSE)</f>
        <v>0</v>
      </c>
      <c r="O60" s="35">
        <f>IFERROR(__xludf.DUMMYFUNCTION("""COMPUTED_VALUE"""),61.9671636081778)</f>
        <v>61.96716361</v>
      </c>
      <c r="P60" s="35">
        <f>IFERROR(__xludf.DUMMYFUNCTION("""COMPUTED_VALUE"""),307790.0)</f>
        <v>307790</v>
      </c>
      <c r="Q60" s="35">
        <f>IFERROR(__xludf.DUMMYFUNCTION("""COMPUTED_VALUE"""),496700.0)</f>
        <v>496700</v>
      </c>
    </row>
    <row r="61">
      <c r="A61" s="35">
        <f>IFERROR(__xludf.DUMMYFUNCTION("""COMPUTED_VALUE"""),60.0)</f>
        <v>60</v>
      </c>
      <c r="B61" s="35" t="str">
        <f>IFERROR(__xludf.DUMMYFUNCTION("""COMPUTED_VALUE"""),"Permutation Sequence")</f>
        <v>Permutation Sequence</v>
      </c>
      <c r="C61" s="35" t="str">
        <f>IFERROR(__xludf.DUMMYFUNCTION("""COMPUTED_VALUE"""),"permutation-sequence")</f>
        <v>permutation-sequence</v>
      </c>
      <c r="D61" s="35" t="b">
        <f>IFERROR(__xludf.DUMMYFUNCTION("""COMPUTED_VALUE"""),FALSE)</f>
        <v>0</v>
      </c>
      <c r="E61" s="35" t="str">
        <f>IFERROR(__xludf.DUMMYFUNCTION("""COMPUTED_VALUE"""),"Hard")</f>
        <v>Hard</v>
      </c>
      <c r="F61" s="35">
        <f>IFERROR(__xludf.DUMMYFUNCTION("""COMPUTED_VALUE"""),3448.0)</f>
        <v>3448</v>
      </c>
      <c r="G61" s="35">
        <f>IFERROR(__xludf.DUMMYFUNCTION("""COMPUTED_VALUE"""),390.0)</f>
        <v>390</v>
      </c>
      <c r="H61" s="35" t="str">
        <f>IFERROR(__xludf.DUMMYFUNCTION("""COMPUTED_VALUE"""),"Algorithms")</f>
        <v>Algorithms</v>
      </c>
      <c r="I61" s="35">
        <f>IFERROR(__xludf.DUMMYFUNCTION("""COMPUTED_VALUE"""),0.418)</f>
        <v>0.418</v>
      </c>
      <c r="J61" s="35">
        <f>IFERROR(__xludf.DUMMYFUNCTION("""COMPUTED_VALUE"""),60.0)</f>
        <v>60</v>
      </c>
      <c r="K61" s="35" t="b">
        <f>IFERROR(__xludf.DUMMYFUNCTION("""COMPUTED_VALUE"""),FALSE)</f>
        <v>0</v>
      </c>
      <c r="L61" s="35" t="str">
        <f>IFERROR(__xludf.DUMMYFUNCTION("""COMPUTED_VALUE"""),"Math;Recursion;")</f>
        <v>Math;Recursion;</v>
      </c>
      <c r="M61" s="35" t="b">
        <f>IFERROR(__xludf.DUMMYFUNCTION("""COMPUTED_VALUE"""),TRUE)</f>
        <v>1</v>
      </c>
      <c r="N61" s="35" t="b">
        <f>IFERROR(__xludf.DUMMYFUNCTION("""COMPUTED_VALUE"""),FALSE)</f>
        <v>0</v>
      </c>
      <c r="O61" s="35">
        <f>IFERROR(__xludf.DUMMYFUNCTION("""COMPUTED_VALUE"""),41.7714879667386)</f>
        <v>41.77148797</v>
      </c>
      <c r="P61" s="35">
        <f>IFERROR(__xludf.DUMMYFUNCTION("""COMPUTED_VALUE"""),261215.0)</f>
        <v>261215</v>
      </c>
      <c r="Q61" s="35">
        <f>IFERROR(__xludf.DUMMYFUNCTION("""COMPUTED_VALUE"""),625344.0)</f>
        <v>625344</v>
      </c>
    </row>
    <row r="62">
      <c r="A62" s="35">
        <f>IFERROR(__xludf.DUMMYFUNCTION("""COMPUTED_VALUE"""),61.0)</f>
        <v>61</v>
      </c>
      <c r="B62" s="35" t="str">
        <f>IFERROR(__xludf.DUMMYFUNCTION("""COMPUTED_VALUE"""),"Rotate List")</f>
        <v>Rotate List</v>
      </c>
      <c r="C62" s="35" t="str">
        <f>IFERROR(__xludf.DUMMYFUNCTION("""COMPUTED_VALUE"""),"rotate-list")</f>
        <v>rotate-list</v>
      </c>
      <c r="D62" s="35" t="b">
        <f>IFERROR(__xludf.DUMMYFUNCTION("""COMPUTED_VALUE"""),FALSE)</f>
        <v>0</v>
      </c>
      <c r="E62" s="35" t="str">
        <f>IFERROR(__xludf.DUMMYFUNCTION("""COMPUTED_VALUE"""),"Medium")</f>
        <v>Medium</v>
      </c>
      <c r="F62" s="35">
        <f>IFERROR(__xludf.DUMMYFUNCTION("""COMPUTED_VALUE"""),4714.0)</f>
        <v>4714</v>
      </c>
      <c r="G62" s="35">
        <f>IFERROR(__xludf.DUMMYFUNCTION("""COMPUTED_VALUE"""),1261.0)</f>
        <v>1261</v>
      </c>
      <c r="H62" s="35" t="str">
        <f>IFERROR(__xludf.DUMMYFUNCTION("""COMPUTED_VALUE"""),"Algorithms")</f>
        <v>Algorithms</v>
      </c>
      <c r="I62" s="35">
        <f>IFERROR(__xludf.DUMMYFUNCTION("""COMPUTED_VALUE"""),0.346)</f>
        <v>0.346</v>
      </c>
      <c r="J62" s="35">
        <f>IFERROR(__xludf.DUMMYFUNCTION("""COMPUTED_VALUE"""),61.0)</f>
        <v>61</v>
      </c>
      <c r="K62" s="35" t="b">
        <f>IFERROR(__xludf.DUMMYFUNCTION("""COMPUTED_VALUE"""),FALSE)</f>
        <v>0</v>
      </c>
      <c r="L62" s="35" t="str">
        <f>IFERROR(__xludf.DUMMYFUNCTION("""COMPUTED_VALUE"""),"Linked List;Two Pointers;")</f>
        <v>Linked List;Two Pointers;</v>
      </c>
      <c r="M62" s="35" t="b">
        <f>IFERROR(__xludf.DUMMYFUNCTION("""COMPUTED_VALUE"""),TRUE)</f>
        <v>1</v>
      </c>
      <c r="N62" s="35" t="b">
        <f>IFERROR(__xludf.DUMMYFUNCTION("""COMPUTED_VALUE"""),FALSE)</f>
        <v>0</v>
      </c>
      <c r="O62" s="35">
        <f>IFERROR(__xludf.DUMMYFUNCTION("""COMPUTED_VALUE"""),34.5691746174884)</f>
        <v>34.56917462</v>
      </c>
      <c r="P62" s="35">
        <f>IFERROR(__xludf.DUMMYFUNCTION("""COMPUTED_VALUE"""),524703.0)</f>
        <v>524703</v>
      </c>
      <c r="Q62" s="35">
        <f>IFERROR(__xludf.DUMMYFUNCTION("""COMPUTED_VALUE"""),1518253.0)</f>
        <v>1518253</v>
      </c>
    </row>
    <row r="63">
      <c r="A63" s="35">
        <f>IFERROR(__xludf.DUMMYFUNCTION("""COMPUTED_VALUE"""),62.0)</f>
        <v>62</v>
      </c>
      <c r="B63" s="35" t="str">
        <f>IFERROR(__xludf.DUMMYFUNCTION("""COMPUTED_VALUE"""),"Unique Paths")</f>
        <v>Unique Paths</v>
      </c>
      <c r="C63" s="35" t="str">
        <f>IFERROR(__xludf.DUMMYFUNCTION("""COMPUTED_VALUE"""),"unique-paths")</f>
        <v>unique-paths</v>
      </c>
      <c r="D63" s="35" t="b">
        <f>IFERROR(__xludf.DUMMYFUNCTION("""COMPUTED_VALUE"""),FALSE)</f>
        <v>0</v>
      </c>
      <c r="E63" s="35" t="str">
        <f>IFERROR(__xludf.DUMMYFUNCTION("""COMPUTED_VALUE"""),"Medium")</f>
        <v>Medium</v>
      </c>
      <c r="F63" s="35">
        <f>IFERROR(__xludf.DUMMYFUNCTION("""COMPUTED_VALUE"""),8184.0)</f>
        <v>8184</v>
      </c>
      <c r="G63" s="35">
        <f>IFERROR(__xludf.DUMMYFUNCTION("""COMPUTED_VALUE"""),282.0)</f>
        <v>282</v>
      </c>
      <c r="H63" s="35" t="str">
        <f>IFERROR(__xludf.DUMMYFUNCTION("""COMPUTED_VALUE"""),"Algorithms")</f>
        <v>Algorithms</v>
      </c>
      <c r="I63" s="35">
        <f>IFERROR(__xludf.DUMMYFUNCTION("""COMPUTED_VALUE"""),0.596)</f>
        <v>0.596</v>
      </c>
      <c r="J63" s="35">
        <f>IFERROR(__xludf.DUMMYFUNCTION("""COMPUTED_VALUE"""),62.0)</f>
        <v>62</v>
      </c>
      <c r="K63" s="35" t="b">
        <f>IFERROR(__xludf.DUMMYFUNCTION("""COMPUTED_VALUE"""),FALSE)</f>
        <v>0</v>
      </c>
      <c r="L63" s="35" t="str">
        <f>IFERROR(__xludf.DUMMYFUNCTION("""COMPUTED_VALUE"""),"Math;Dynamic Programming;Combinatorics;")</f>
        <v>Math;Dynamic Programming;Combinatorics;</v>
      </c>
      <c r="M63" s="35" t="b">
        <f>IFERROR(__xludf.DUMMYFUNCTION("""COMPUTED_VALUE"""),TRUE)</f>
        <v>1</v>
      </c>
      <c r="N63" s="35" t="b">
        <f>IFERROR(__xludf.DUMMYFUNCTION("""COMPUTED_VALUE"""),FALSE)</f>
        <v>0</v>
      </c>
      <c r="O63" s="35">
        <f>IFERROR(__xludf.DUMMYFUNCTION("""COMPUTED_VALUE"""),59.6234401541713)</f>
        <v>59.62344015</v>
      </c>
      <c r="P63" s="35">
        <f>IFERROR(__xludf.DUMMYFUNCTION("""COMPUTED_VALUE"""),882053.0)</f>
        <v>882053</v>
      </c>
      <c r="Q63" s="35">
        <f>IFERROR(__xludf.DUMMYFUNCTION("""COMPUTED_VALUE"""),1479377.0)</f>
        <v>1479377</v>
      </c>
    </row>
    <row r="64">
      <c r="A64" s="35">
        <f>IFERROR(__xludf.DUMMYFUNCTION("""COMPUTED_VALUE"""),63.0)</f>
        <v>63</v>
      </c>
      <c r="B64" s="35" t="str">
        <f>IFERROR(__xludf.DUMMYFUNCTION("""COMPUTED_VALUE"""),"Unique Paths II")</f>
        <v>Unique Paths II</v>
      </c>
      <c r="C64" s="35" t="str">
        <f>IFERROR(__xludf.DUMMYFUNCTION("""COMPUTED_VALUE"""),"unique-paths-ii")</f>
        <v>unique-paths-ii</v>
      </c>
      <c r="D64" s="35" t="b">
        <f>IFERROR(__xludf.DUMMYFUNCTION("""COMPUTED_VALUE"""),FALSE)</f>
        <v>0</v>
      </c>
      <c r="E64" s="35" t="str">
        <f>IFERROR(__xludf.DUMMYFUNCTION("""COMPUTED_VALUE"""),"Medium")</f>
        <v>Medium</v>
      </c>
      <c r="F64" s="35">
        <f>IFERROR(__xludf.DUMMYFUNCTION("""COMPUTED_VALUE"""),4363.0)</f>
        <v>4363</v>
      </c>
      <c r="G64" s="35">
        <f>IFERROR(__xludf.DUMMYFUNCTION("""COMPUTED_VALUE"""),366.0)</f>
        <v>366</v>
      </c>
      <c r="H64" s="35" t="str">
        <f>IFERROR(__xludf.DUMMYFUNCTION("""COMPUTED_VALUE"""),"Algorithms")</f>
        <v>Algorithms</v>
      </c>
      <c r="I64" s="35">
        <f>IFERROR(__xludf.DUMMYFUNCTION("""COMPUTED_VALUE"""),0.373)</f>
        <v>0.373</v>
      </c>
      <c r="J64" s="35">
        <f>IFERROR(__xludf.DUMMYFUNCTION("""COMPUTED_VALUE"""),63.0)</f>
        <v>63</v>
      </c>
      <c r="K64" s="35" t="b">
        <f>IFERROR(__xludf.DUMMYFUNCTION("""COMPUTED_VALUE"""),FALSE)</f>
        <v>0</v>
      </c>
      <c r="L64" s="35" t="str">
        <f>IFERROR(__xludf.DUMMYFUNCTION("""COMPUTED_VALUE"""),"Array;Dynamic Programming;Matrix;")</f>
        <v>Array;Dynamic Programming;Matrix;</v>
      </c>
      <c r="M64" s="35" t="b">
        <f>IFERROR(__xludf.DUMMYFUNCTION("""COMPUTED_VALUE"""),TRUE)</f>
        <v>1</v>
      </c>
      <c r="N64" s="35" t="b">
        <f>IFERROR(__xludf.DUMMYFUNCTION("""COMPUTED_VALUE"""),FALSE)</f>
        <v>0</v>
      </c>
      <c r="O64" s="35">
        <f>IFERROR(__xludf.DUMMYFUNCTION("""COMPUTED_VALUE"""),37.3030872965264)</f>
        <v>37.3030873</v>
      </c>
      <c r="P64" s="35">
        <f>IFERROR(__xludf.DUMMYFUNCTION("""COMPUTED_VALUE"""),486115.0)</f>
        <v>486115</v>
      </c>
      <c r="Q64" s="35">
        <f>IFERROR(__xludf.DUMMYFUNCTION("""COMPUTED_VALUE"""),1303156.0)</f>
        <v>1303156</v>
      </c>
    </row>
    <row r="65">
      <c r="A65" s="35">
        <f>IFERROR(__xludf.DUMMYFUNCTION("""COMPUTED_VALUE"""),64.0)</f>
        <v>64</v>
      </c>
      <c r="B65" s="35" t="str">
        <f>IFERROR(__xludf.DUMMYFUNCTION("""COMPUTED_VALUE"""),"Minimum Path Sum")</f>
        <v>Minimum Path Sum</v>
      </c>
      <c r="C65" s="35" t="str">
        <f>IFERROR(__xludf.DUMMYFUNCTION("""COMPUTED_VALUE"""),"minimum-path-sum")</f>
        <v>minimum-path-sum</v>
      </c>
      <c r="D65" s="35" t="b">
        <f>IFERROR(__xludf.DUMMYFUNCTION("""COMPUTED_VALUE"""),FALSE)</f>
        <v>0</v>
      </c>
      <c r="E65" s="35" t="str">
        <f>IFERROR(__xludf.DUMMYFUNCTION("""COMPUTED_VALUE"""),"Medium")</f>
        <v>Medium</v>
      </c>
      <c r="F65" s="35">
        <f>IFERROR(__xludf.DUMMYFUNCTION("""COMPUTED_VALUE"""),6875.0)</f>
        <v>6875</v>
      </c>
      <c r="G65" s="35">
        <f>IFERROR(__xludf.DUMMYFUNCTION("""COMPUTED_VALUE"""),94.0)</f>
        <v>94</v>
      </c>
      <c r="H65" s="35" t="str">
        <f>IFERROR(__xludf.DUMMYFUNCTION("""COMPUTED_VALUE"""),"Algorithms")</f>
        <v>Algorithms</v>
      </c>
      <c r="I65" s="35">
        <f>IFERROR(__xludf.DUMMYFUNCTION("""COMPUTED_VALUE"""),0.59)</f>
        <v>0.59</v>
      </c>
      <c r="J65" s="35">
        <f>IFERROR(__xludf.DUMMYFUNCTION("""COMPUTED_VALUE"""),64.0)</f>
        <v>64</v>
      </c>
      <c r="K65" s="35" t="b">
        <f>IFERROR(__xludf.DUMMYFUNCTION("""COMPUTED_VALUE"""),FALSE)</f>
        <v>0</v>
      </c>
      <c r="L65" s="35" t="str">
        <f>IFERROR(__xludf.DUMMYFUNCTION("""COMPUTED_VALUE"""),"Array;Dynamic Programming;Matrix;")</f>
        <v>Array;Dynamic Programming;Matrix;</v>
      </c>
      <c r="M65" s="35" t="b">
        <f>IFERROR(__xludf.DUMMYFUNCTION("""COMPUTED_VALUE"""),TRUE)</f>
        <v>1</v>
      </c>
      <c r="N65" s="35" t="b">
        <f>IFERROR(__xludf.DUMMYFUNCTION("""COMPUTED_VALUE"""),FALSE)</f>
        <v>0</v>
      </c>
      <c r="O65" s="35">
        <f>IFERROR(__xludf.DUMMYFUNCTION("""COMPUTED_VALUE"""),59.042501195717)</f>
        <v>59.0425012</v>
      </c>
      <c r="P65" s="35">
        <f>IFERROR(__xludf.DUMMYFUNCTION("""COMPUTED_VALUE"""),676468.0)</f>
        <v>676468</v>
      </c>
      <c r="Q65" s="35">
        <f>IFERROR(__xludf.DUMMYFUNCTION("""COMPUTED_VALUE"""),1145739.0)</f>
        <v>1145739</v>
      </c>
    </row>
    <row r="66">
      <c r="A66" s="35">
        <f>IFERROR(__xludf.DUMMYFUNCTION("""COMPUTED_VALUE"""),65.0)</f>
        <v>65</v>
      </c>
      <c r="B66" s="35" t="str">
        <f>IFERROR(__xludf.DUMMYFUNCTION("""COMPUTED_VALUE"""),"Valid Number")</f>
        <v>Valid Number</v>
      </c>
      <c r="C66" s="35" t="str">
        <f>IFERROR(__xludf.DUMMYFUNCTION("""COMPUTED_VALUE"""),"valid-number")</f>
        <v>valid-number</v>
      </c>
      <c r="D66" s="35" t="b">
        <f>IFERROR(__xludf.DUMMYFUNCTION("""COMPUTED_VALUE"""),FALSE)</f>
        <v>0</v>
      </c>
      <c r="E66" s="35" t="str">
        <f>IFERROR(__xludf.DUMMYFUNCTION("""COMPUTED_VALUE"""),"Hard")</f>
        <v>Hard</v>
      </c>
      <c r="F66" s="35">
        <f>IFERROR(__xludf.DUMMYFUNCTION("""COMPUTED_VALUE"""),501.0)</f>
        <v>501</v>
      </c>
      <c r="G66" s="35">
        <f>IFERROR(__xludf.DUMMYFUNCTION("""COMPUTED_VALUE"""),900.0)</f>
        <v>900</v>
      </c>
      <c r="H66" s="35" t="str">
        <f>IFERROR(__xludf.DUMMYFUNCTION("""COMPUTED_VALUE"""),"Algorithms")</f>
        <v>Algorithms</v>
      </c>
      <c r="I66" s="35">
        <f>IFERROR(__xludf.DUMMYFUNCTION("""COMPUTED_VALUE"""),0.179)</f>
        <v>0.179</v>
      </c>
      <c r="J66" s="35">
        <f>IFERROR(__xludf.DUMMYFUNCTION("""COMPUTED_VALUE"""),65.0)</f>
        <v>65</v>
      </c>
      <c r="K66" s="35" t="b">
        <f>IFERROR(__xludf.DUMMYFUNCTION("""COMPUTED_VALUE"""),FALSE)</f>
        <v>0</v>
      </c>
      <c r="L66" s="35" t="str">
        <f>IFERROR(__xludf.DUMMYFUNCTION("""COMPUTED_VALUE"""),"String;")</f>
        <v>String;</v>
      </c>
      <c r="M66" s="35" t="b">
        <f>IFERROR(__xludf.DUMMYFUNCTION("""COMPUTED_VALUE"""),TRUE)</f>
        <v>1</v>
      </c>
      <c r="N66" s="35" t="b">
        <f>IFERROR(__xludf.DUMMYFUNCTION("""COMPUTED_VALUE"""),FALSE)</f>
        <v>0</v>
      </c>
      <c r="O66" s="35">
        <f>IFERROR(__xludf.DUMMYFUNCTION("""COMPUTED_VALUE"""),17.913768131844)</f>
        <v>17.91376813</v>
      </c>
      <c r="P66" s="35">
        <f>IFERROR(__xludf.DUMMYFUNCTION("""COMPUTED_VALUE"""),261209.0)</f>
        <v>261209</v>
      </c>
      <c r="Q66" s="35">
        <f>IFERROR(__xludf.DUMMYFUNCTION("""COMPUTED_VALUE"""),1458178.0)</f>
        <v>1458178</v>
      </c>
    </row>
    <row r="67">
      <c r="A67" s="35">
        <f>IFERROR(__xludf.DUMMYFUNCTION("""COMPUTED_VALUE"""),66.0)</f>
        <v>66</v>
      </c>
      <c r="B67" s="35" t="str">
        <f>IFERROR(__xludf.DUMMYFUNCTION("""COMPUTED_VALUE"""),"Plus One")</f>
        <v>Plus One</v>
      </c>
      <c r="C67" s="35" t="str">
        <f>IFERROR(__xludf.DUMMYFUNCTION("""COMPUTED_VALUE"""),"plus-one")</f>
        <v>plus-one</v>
      </c>
      <c r="D67" s="35" t="b">
        <f>IFERROR(__xludf.DUMMYFUNCTION("""COMPUTED_VALUE"""),FALSE)</f>
        <v>0</v>
      </c>
      <c r="E67" s="35" t="str">
        <f>IFERROR(__xludf.DUMMYFUNCTION("""COMPUTED_VALUE"""),"Easy")</f>
        <v>Easy</v>
      </c>
      <c r="F67" s="35">
        <f>IFERROR(__xludf.DUMMYFUNCTION("""COMPUTED_VALUE"""),3778.0)</f>
        <v>3778</v>
      </c>
      <c r="G67" s="35">
        <f>IFERROR(__xludf.DUMMYFUNCTION("""COMPUTED_VALUE"""),4007.0)</f>
        <v>4007</v>
      </c>
      <c r="H67" s="35" t="str">
        <f>IFERROR(__xludf.DUMMYFUNCTION("""COMPUTED_VALUE"""),"Algorithms")</f>
        <v>Algorithms</v>
      </c>
      <c r="I67" s="35">
        <f>IFERROR(__xludf.DUMMYFUNCTION("""COMPUTED_VALUE"""),0.426)</f>
        <v>0.426</v>
      </c>
      <c r="J67" s="35">
        <f>IFERROR(__xludf.DUMMYFUNCTION("""COMPUTED_VALUE"""),66.0)</f>
        <v>66</v>
      </c>
      <c r="K67" s="35" t="b">
        <f>IFERROR(__xludf.DUMMYFUNCTION("""COMPUTED_VALUE"""),FALSE)</f>
        <v>0</v>
      </c>
      <c r="L67" s="35" t="str">
        <f>IFERROR(__xludf.DUMMYFUNCTION("""COMPUTED_VALUE"""),"Array;Math;")</f>
        <v>Array;Math;</v>
      </c>
      <c r="M67" s="35" t="b">
        <f>IFERROR(__xludf.DUMMYFUNCTION("""COMPUTED_VALUE"""),TRUE)</f>
        <v>1</v>
      </c>
      <c r="N67" s="35" t="b">
        <f>IFERROR(__xludf.DUMMYFUNCTION("""COMPUTED_VALUE"""),FALSE)</f>
        <v>0</v>
      </c>
      <c r="O67" s="35">
        <f>IFERROR(__xludf.DUMMYFUNCTION("""COMPUTED_VALUE"""),42.5838306280425)</f>
        <v>42.58383063</v>
      </c>
      <c r="P67" s="35">
        <f>IFERROR(__xludf.DUMMYFUNCTION("""COMPUTED_VALUE"""),1122398.0)</f>
        <v>1122398</v>
      </c>
      <c r="Q67" s="35">
        <f>IFERROR(__xludf.DUMMYFUNCTION("""COMPUTED_VALUE"""),2635745.0)</f>
        <v>2635745</v>
      </c>
    </row>
    <row r="68">
      <c r="A68" s="35">
        <f>IFERROR(__xludf.DUMMYFUNCTION("""COMPUTED_VALUE"""),67.0)</f>
        <v>67</v>
      </c>
      <c r="B68" s="35" t="str">
        <f>IFERROR(__xludf.DUMMYFUNCTION("""COMPUTED_VALUE"""),"Add Binary")</f>
        <v>Add Binary</v>
      </c>
      <c r="C68" s="35" t="str">
        <f>IFERROR(__xludf.DUMMYFUNCTION("""COMPUTED_VALUE"""),"add-binary")</f>
        <v>add-binary</v>
      </c>
      <c r="D68" s="35" t="b">
        <f>IFERROR(__xludf.DUMMYFUNCTION("""COMPUTED_VALUE"""),FALSE)</f>
        <v>0</v>
      </c>
      <c r="E68" s="35" t="str">
        <f>IFERROR(__xludf.DUMMYFUNCTION("""COMPUTED_VALUE"""),"Easy")</f>
        <v>Easy</v>
      </c>
      <c r="F68" s="35">
        <f>IFERROR(__xludf.DUMMYFUNCTION("""COMPUTED_VALUE"""),4689.0)</f>
        <v>4689</v>
      </c>
      <c r="G68" s="35">
        <f>IFERROR(__xludf.DUMMYFUNCTION("""COMPUTED_VALUE"""),519.0)</f>
        <v>519</v>
      </c>
      <c r="H68" s="35" t="str">
        <f>IFERROR(__xludf.DUMMYFUNCTION("""COMPUTED_VALUE"""),"Algorithms")</f>
        <v>Algorithms</v>
      </c>
      <c r="I68" s="35">
        <f>IFERROR(__xludf.DUMMYFUNCTION("""COMPUTED_VALUE"""),0.502)</f>
        <v>0.502</v>
      </c>
      <c r="J68" s="35">
        <f>IFERROR(__xludf.DUMMYFUNCTION("""COMPUTED_VALUE"""),67.0)</f>
        <v>67</v>
      </c>
      <c r="K68" s="35" t="b">
        <f>IFERROR(__xludf.DUMMYFUNCTION("""COMPUTED_VALUE"""),FALSE)</f>
        <v>0</v>
      </c>
      <c r="L68" s="35" t="str">
        <f>IFERROR(__xludf.DUMMYFUNCTION("""COMPUTED_VALUE"""),"Math;String;Bit Manipulation;Simulation;")</f>
        <v>Math;String;Bit Manipulation;Simulation;</v>
      </c>
      <c r="M68" s="35" t="b">
        <f>IFERROR(__xludf.DUMMYFUNCTION("""COMPUTED_VALUE"""),TRUE)</f>
        <v>1</v>
      </c>
      <c r="N68" s="35" t="b">
        <f>IFERROR(__xludf.DUMMYFUNCTION("""COMPUTED_VALUE"""),FALSE)</f>
        <v>0</v>
      </c>
      <c r="O68" s="35">
        <f>IFERROR(__xludf.DUMMYFUNCTION("""COMPUTED_VALUE"""),50.1758764104231)</f>
        <v>50.17587641</v>
      </c>
      <c r="P68" s="35">
        <f>IFERROR(__xludf.DUMMYFUNCTION("""COMPUTED_VALUE"""),797812.0)</f>
        <v>797812</v>
      </c>
      <c r="Q68" s="35">
        <f>IFERROR(__xludf.DUMMYFUNCTION("""COMPUTED_VALUE"""),1590030.0)</f>
        <v>1590030</v>
      </c>
    </row>
    <row r="69">
      <c r="A69" s="35">
        <f>IFERROR(__xludf.DUMMYFUNCTION("""COMPUTED_VALUE"""),68.0)</f>
        <v>68</v>
      </c>
      <c r="B69" s="35" t="str">
        <f>IFERROR(__xludf.DUMMYFUNCTION("""COMPUTED_VALUE"""),"Text Justification")</f>
        <v>Text Justification</v>
      </c>
      <c r="C69" s="35" t="str">
        <f>IFERROR(__xludf.DUMMYFUNCTION("""COMPUTED_VALUE"""),"text-justification")</f>
        <v>text-justification</v>
      </c>
      <c r="D69" s="35" t="b">
        <f>IFERROR(__xludf.DUMMYFUNCTION("""COMPUTED_VALUE"""),FALSE)</f>
        <v>0</v>
      </c>
      <c r="E69" s="35" t="str">
        <f>IFERROR(__xludf.DUMMYFUNCTION("""COMPUTED_VALUE"""),"Hard")</f>
        <v>Hard</v>
      </c>
      <c r="F69" s="35">
        <f>IFERROR(__xludf.DUMMYFUNCTION("""COMPUTED_VALUE"""),1649.0)</f>
        <v>1649</v>
      </c>
      <c r="G69" s="35">
        <f>IFERROR(__xludf.DUMMYFUNCTION("""COMPUTED_VALUE"""),2758.0)</f>
        <v>2758</v>
      </c>
      <c r="H69" s="35" t="str">
        <f>IFERROR(__xludf.DUMMYFUNCTION("""COMPUTED_VALUE"""),"Algorithms")</f>
        <v>Algorithms</v>
      </c>
      <c r="I69" s="35">
        <f>IFERROR(__xludf.DUMMYFUNCTION("""COMPUTED_VALUE"""),0.346)</f>
        <v>0.346</v>
      </c>
      <c r="J69" s="35">
        <f>IFERROR(__xludf.DUMMYFUNCTION("""COMPUTED_VALUE"""),68.0)</f>
        <v>68</v>
      </c>
      <c r="K69" s="35" t="b">
        <f>IFERROR(__xludf.DUMMYFUNCTION("""COMPUTED_VALUE"""),FALSE)</f>
        <v>0</v>
      </c>
      <c r="L69" s="35" t="str">
        <f>IFERROR(__xludf.DUMMYFUNCTION("""COMPUTED_VALUE"""),"Array;String;Simulation;")</f>
        <v>Array;String;Simulation;</v>
      </c>
      <c r="M69" s="35" t="b">
        <f>IFERROR(__xludf.DUMMYFUNCTION("""COMPUTED_VALUE"""),FALSE)</f>
        <v>0</v>
      </c>
      <c r="N69" s="35" t="b">
        <f>IFERROR(__xludf.DUMMYFUNCTION("""COMPUTED_VALUE"""),FALSE)</f>
        <v>0</v>
      </c>
      <c r="O69" s="35">
        <f>IFERROR(__xludf.DUMMYFUNCTION("""COMPUTED_VALUE"""),34.5718851258378)</f>
        <v>34.57188513</v>
      </c>
      <c r="P69" s="35">
        <f>IFERROR(__xludf.DUMMYFUNCTION("""COMPUTED_VALUE"""),233660.0)</f>
        <v>233660</v>
      </c>
      <c r="Q69" s="35">
        <f>IFERROR(__xludf.DUMMYFUNCTION("""COMPUTED_VALUE"""),675869.0)</f>
        <v>675869</v>
      </c>
    </row>
    <row r="70">
      <c r="A70" s="35">
        <f>IFERROR(__xludf.DUMMYFUNCTION("""COMPUTED_VALUE"""),69.0)</f>
        <v>69</v>
      </c>
      <c r="B70" s="35" t="str">
        <f>IFERROR(__xludf.DUMMYFUNCTION("""COMPUTED_VALUE"""),"Sqrt(x)")</f>
        <v>Sqrt(x)</v>
      </c>
      <c r="C70" s="35" t="str">
        <f>IFERROR(__xludf.DUMMYFUNCTION("""COMPUTED_VALUE"""),"sqrtx")</f>
        <v>sqrtx</v>
      </c>
      <c r="D70" s="35" t="b">
        <f>IFERROR(__xludf.DUMMYFUNCTION("""COMPUTED_VALUE"""),FALSE)</f>
        <v>0</v>
      </c>
      <c r="E70" s="35" t="str">
        <f>IFERROR(__xludf.DUMMYFUNCTION("""COMPUTED_VALUE"""),"Easy")</f>
        <v>Easy</v>
      </c>
      <c r="F70" s="35">
        <f>IFERROR(__xludf.DUMMYFUNCTION("""COMPUTED_VALUE"""),3444.0)</f>
        <v>3444</v>
      </c>
      <c r="G70" s="35">
        <f>IFERROR(__xludf.DUMMYFUNCTION("""COMPUTED_VALUE"""),3049.0)</f>
        <v>3049</v>
      </c>
      <c r="H70" s="35" t="str">
        <f>IFERROR(__xludf.DUMMYFUNCTION("""COMPUTED_VALUE"""),"Algorithms")</f>
        <v>Algorithms</v>
      </c>
      <c r="I70" s="35">
        <f>IFERROR(__xludf.DUMMYFUNCTION("""COMPUTED_VALUE"""),0.363)</f>
        <v>0.363</v>
      </c>
      <c r="J70" s="35">
        <f>IFERROR(__xludf.DUMMYFUNCTION("""COMPUTED_VALUE"""),69.0)</f>
        <v>69</v>
      </c>
      <c r="K70" s="35" t="b">
        <f>IFERROR(__xludf.DUMMYFUNCTION("""COMPUTED_VALUE"""),FALSE)</f>
        <v>0</v>
      </c>
      <c r="L70" s="35" t="str">
        <f>IFERROR(__xludf.DUMMYFUNCTION("""COMPUTED_VALUE"""),"Math;Binary Search;")</f>
        <v>Math;Binary Search;</v>
      </c>
      <c r="M70" s="35" t="b">
        <f>IFERROR(__xludf.DUMMYFUNCTION("""COMPUTED_VALUE"""),TRUE)</f>
        <v>1</v>
      </c>
      <c r="N70" s="35" t="b">
        <f>IFERROR(__xludf.DUMMYFUNCTION("""COMPUTED_VALUE"""),FALSE)</f>
        <v>0</v>
      </c>
      <c r="O70" s="35">
        <f>IFERROR(__xludf.DUMMYFUNCTION("""COMPUTED_VALUE"""),36.3131669995679)</f>
        <v>36.313167</v>
      </c>
      <c r="P70" s="35">
        <f>IFERROR(__xludf.DUMMYFUNCTION("""COMPUTED_VALUE"""),973356.0)</f>
        <v>973356</v>
      </c>
      <c r="Q70" s="35">
        <f>IFERROR(__xludf.DUMMYFUNCTION("""COMPUTED_VALUE"""),2680443.0)</f>
        <v>2680443</v>
      </c>
    </row>
    <row r="71">
      <c r="A71" s="35">
        <f>IFERROR(__xludf.DUMMYFUNCTION("""COMPUTED_VALUE"""),70.0)</f>
        <v>70</v>
      </c>
      <c r="B71" s="35" t="str">
        <f>IFERROR(__xludf.DUMMYFUNCTION("""COMPUTED_VALUE"""),"Climbing Stairs")</f>
        <v>Climbing Stairs</v>
      </c>
      <c r="C71" s="35" t="str">
        <f>IFERROR(__xludf.DUMMYFUNCTION("""COMPUTED_VALUE"""),"climbing-stairs")</f>
        <v>climbing-stairs</v>
      </c>
      <c r="D71" s="35" t="b">
        <f>IFERROR(__xludf.DUMMYFUNCTION("""COMPUTED_VALUE"""),FALSE)</f>
        <v>0</v>
      </c>
      <c r="E71" s="35" t="str">
        <f>IFERROR(__xludf.DUMMYFUNCTION("""COMPUTED_VALUE"""),"Easy")</f>
        <v>Easy</v>
      </c>
      <c r="F71" s="35">
        <f>IFERROR(__xludf.DUMMYFUNCTION("""COMPUTED_VALUE"""),10778.0)</f>
        <v>10778</v>
      </c>
      <c r="G71" s="35">
        <f>IFERROR(__xludf.DUMMYFUNCTION("""COMPUTED_VALUE"""),330.0)</f>
        <v>330</v>
      </c>
      <c r="H71" s="35" t="str">
        <f>IFERROR(__xludf.DUMMYFUNCTION("""COMPUTED_VALUE"""),"Algorithms")</f>
        <v>Algorithms</v>
      </c>
      <c r="I71" s="35">
        <f>IFERROR(__xludf.DUMMYFUNCTION("""COMPUTED_VALUE"""),0.508)</f>
        <v>0.508</v>
      </c>
      <c r="J71" s="35">
        <f>IFERROR(__xludf.DUMMYFUNCTION("""COMPUTED_VALUE"""),70.0)</f>
        <v>70</v>
      </c>
      <c r="K71" s="35" t="b">
        <f>IFERROR(__xludf.DUMMYFUNCTION("""COMPUTED_VALUE"""),FALSE)</f>
        <v>0</v>
      </c>
      <c r="L71" s="35" t="str">
        <f>IFERROR(__xludf.DUMMYFUNCTION("""COMPUTED_VALUE"""),"Math;Dynamic Programming;Memoization;")</f>
        <v>Math;Dynamic Programming;Memoization;</v>
      </c>
      <c r="M71" s="35" t="b">
        <f>IFERROR(__xludf.DUMMYFUNCTION("""COMPUTED_VALUE"""),TRUE)</f>
        <v>1</v>
      </c>
      <c r="N71" s="35" t="b">
        <f>IFERROR(__xludf.DUMMYFUNCTION("""COMPUTED_VALUE"""),FALSE)</f>
        <v>0</v>
      </c>
      <c r="O71" s="35">
        <f>IFERROR(__xludf.DUMMYFUNCTION("""COMPUTED_VALUE"""),50.8140453352986)</f>
        <v>50.81404534</v>
      </c>
      <c r="P71" s="35">
        <f>IFERROR(__xludf.DUMMYFUNCTION("""COMPUTED_VALUE"""),1441629.0)</f>
        <v>1441629</v>
      </c>
      <c r="Q71" s="35">
        <f>IFERROR(__xludf.DUMMYFUNCTION("""COMPUTED_VALUE"""),2837084.0)</f>
        <v>2837084</v>
      </c>
    </row>
    <row r="72">
      <c r="A72" s="35">
        <f>IFERROR(__xludf.DUMMYFUNCTION("""COMPUTED_VALUE"""),71.0)</f>
        <v>71</v>
      </c>
      <c r="B72" s="35" t="str">
        <f>IFERROR(__xludf.DUMMYFUNCTION("""COMPUTED_VALUE"""),"Simplify Path")</f>
        <v>Simplify Path</v>
      </c>
      <c r="C72" s="35" t="str">
        <f>IFERROR(__xludf.DUMMYFUNCTION("""COMPUTED_VALUE"""),"simplify-path")</f>
        <v>simplify-path</v>
      </c>
      <c r="D72" s="35" t="b">
        <f>IFERROR(__xludf.DUMMYFUNCTION("""COMPUTED_VALUE"""),FALSE)</f>
        <v>0</v>
      </c>
      <c r="E72" s="35" t="str">
        <f>IFERROR(__xludf.DUMMYFUNCTION("""COMPUTED_VALUE"""),"Medium")</f>
        <v>Medium</v>
      </c>
      <c r="F72" s="35">
        <f>IFERROR(__xludf.DUMMYFUNCTION("""COMPUTED_VALUE"""),1416.0)</f>
        <v>1416</v>
      </c>
      <c r="G72" s="35">
        <f>IFERROR(__xludf.DUMMYFUNCTION("""COMPUTED_VALUE"""),320.0)</f>
        <v>320</v>
      </c>
      <c r="H72" s="35" t="str">
        <f>IFERROR(__xludf.DUMMYFUNCTION("""COMPUTED_VALUE"""),"Algorithms")</f>
        <v>Algorithms</v>
      </c>
      <c r="I72" s="35">
        <f>IFERROR(__xludf.DUMMYFUNCTION("""COMPUTED_VALUE"""),0.376)</f>
        <v>0.376</v>
      </c>
      <c r="J72" s="35">
        <f>IFERROR(__xludf.DUMMYFUNCTION("""COMPUTED_VALUE"""),71.0)</f>
        <v>71</v>
      </c>
      <c r="K72" s="35" t="b">
        <f>IFERROR(__xludf.DUMMYFUNCTION("""COMPUTED_VALUE"""),FALSE)</f>
        <v>0</v>
      </c>
      <c r="L72" s="35" t="str">
        <f>IFERROR(__xludf.DUMMYFUNCTION("""COMPUTED_VALUE"""),"String;Stack;")</f>
        <v>String;Stack;</v>
      </c>
      <c r="M72" s="35" t="b">
        <f>IFERROR(__xludf.DUMMYFUNCTION("""COMPUTED_VALUE"""),TRUE)</f>
        <v>1</v>
      </c>
      <c r="N72" s="35" t="b">
        <f>IFERROR(__xludf.DUMMYFUNCTION("""COMPUTED_VALUE"""),FALSE)</f>
        <v>0</v>
      </c>
      <c r="O72" s="35">
        <f>IFERROR(__xludf.DUMMYFUNCTION("""COMPUTED_VALUE"""),37.5629903825984)</f>
        <v>37.56299038</v>
      </c>
      <c r="P72" s="35">
        <f>IFERROR(__xludf.DUMMYFUNCTION("""COMPUTED_VALUE"""),370687.0)</f>
        <v>370687</v>
      </c>
      <c r="Q72" s="35">
        <f>IFERROR(__xludf.DUMMYFUNCTION("""COMPUTED_VALUE"""),986848.0)</f>
        <v>986848</v>
      </c>
    </row>
    <row r="73">
      <c r="A73" s="35">
        <f>IFERROR(__xludf.DUMMYFUNCTION("""COMPUTED_VALUE"""),72.0)</f>
        <v>72</v>
      </c>
      <c r="B73" s="35" t="str">
        <f>IFERROR(__xludf.DUMMYFUNCTION("""COMPUTED_VALUE"""),"Edit Distance")</f>
        <v>Edit Distance</v>
      </c>
      <c r="C73" s="35" t="str">
        <f>IFERROR(__xludf.DUMMYFUNCTION("""COMPUTED_VALUE"""),"edit-distance")</f>
        <v>edit-distance</v>
      </c>
      <c r="D73" s="35" t="b">
        <f>IFERROR(__xludf.DUMMYFUNCTION("""COMPUTED_VALUE"""),FALSE)</f>
        <v>0</v>
      </c>
      <c r="E73" s="35" t="str">
        <f>IFERROR(__xludf.DUMMYFUNCTION("""COMPUTED_VALUE"""),"Hard")</f>
        <v>Hard</v>
      </c>
      <c r="F73" s="35">
        <f>IFERROR(__xludf.DUMMYFUNCTION("""COMPUTED_VALUE"""),7821.0)</f>
        <v>7821</v>
      </c>
      <c r="G73" s="35">
        <f>IFERROR(__xludf.DUMMYFUNCTION("""COMPUTED_VALUE"""),92.0)</f>
        <v>92</v>
      </c>
      <c r="H73" s="35" t="str">
        <f>IFERROR(__xludf.DUMMYFUNCTION("""COMPUTED_VALUE"""),"Algorithms")</f>
        <v>Algorithms</v>
      </c>
      <c r="I73" s="35">
        <f>IFERROR(__xludf.DUMMYFUNCTION("""COMPUTED_VALUE"""),0.503)</f>
        <v>0.503</v>
      </c>
      <c r="J73" s="35">
        <f>IFERROR(__xludf.DUMMYFUNCTION("""COMPUTED_VALUE"""),72.0)</f>
        <v>72</v>
      </c>
      <c r="K73" s="35" t="b">
        <f>IFERROR(__xludf.DUMMYFUNCTION("""COMPUTED_VALUE"""),FALSE)</f>
        <v>0</v>
      </c>
      <c r="L73" s="35" t="str">
        <f>IFERROR(__xludf.DUMMYFUNCTION("""COMPUTED_VALUE"""),"String;Dynamic Programming;")</f>
        <v>String;Dynamic Programming;</v>
      </c>
      <c r="M73" s="35" t="b">
        <f>IFERROR(__xludf.DUMMYFUNCTION("""COMPUTED_VALUE"""),TRUE)</f>
        <v>1</v>
      </c>
      <c r="N73" s="35" t="b">
        <f>IFERROR(__xludf.DUMMYFUNCTION("""COMPUTED_VALUE"""),FALSE)</f>
        <v>0</v>
      </c>
      <c r="O73" s="35">
        <f>IFERROR(__xludf.DUMMYFUNCTION("""COMPUTED_VALUE"""),50.3345437636257)</f>
        <v>50.33454376</v>
      </c>
      <c r="P73" s="35">
        <f>IFERROR(__xludf.DUMMYFUNCTION("""COMPUTED_VALUE"""),448134.0)</f>
        <v>448134</v>
      </c>
      <c r="Q73" s="35">
        <f>IFERROR(__xludf.DUMMYFUNCTION("""COMPUTED_VALUE"""),890311.0)</f>
        <v>890311</v>
      </c>
    </row>
    <row r="74">
      <c r="A74" s="35">
        <f>IFERROR(__xludf.DUMMYFUNCTION("""COMPUTED_VALUE"""),73.0)</f>
        <v>73</v>
      </c>
      <c r="B74" s="35" t="str">
        <f>IFERROR(__xludf.DUMMYFUNCTION("""COMPUTED_VALUE"""),"Set Matrix Zeroes")</f>
        <v>Set Matrix Zeroes</v>
      </c>
      <c r="C74" s="35" t="str">
        <f>IFERROR(__xludf.DUMMYFUNCTION("""COMPUTED_VALUE"""),"set-matrix-zeroes")</f>
        <v>set-matrix-zeroes</v>
      </c>
      <c r="D74" s="35" t="b">
        <f>IFERROR(__xludf.DUMMYFUNCTION("""COMPUTED_VALUE"""),FALSE)</f>
        <v>0</v>
      </c>
      <c r="E74" s="35" t="str">
        <f>IFERROR(__xludf.DUMMYFUNCTION("""COMPUTED_VALUE"""),"Medium")</f>
        <v>Medium</v>
      </c>
      <c r="F74" s="35">
        <f>IFERROR(__xludf.DUMMYFUNCTION("""COMPUTED_VALUE"""),6243.0)</f>
        <v>6243</v>
      </c>
      <c r="G74" s="35">
        <f>IFERROR(__xludf.DUMMYFUNCTION("""COMPUTED_VALUE"""),470.0)</f>
        <v>470</v>
      </c>
      <c r="H74" s="35" t="str">
        <f>IFERROR(__xludf.DUMMYFUNCTION("""COMPUTED_VALUE"""),"Algorithms")</f>
        <v>Algorithms</v>
      </c>
      <c r="I74" s="35">
        <f>IFERROR(__xludf.DUMMYFUNCTION("""COMPUTED_VALUE"""),0.479)</f>
        <v>0.479</v>
      </c>
      <c r="J74" s="35">
        <f>IFERROR(__xludf.DUMMYFUNCTION("""COMPUTED_VALUE"""),73.0)</f>
        <v>73</v>
      </c>
      <c r="K74" s="35" t="b">
        <f>IFERROR(__xludf.DUMMYFUNCTION("""COMPUTED_VALUE"""),FALSE)</f>
        <v>0</v>
      </c>
      <c r="L74" s="35" t="str">
        <f>IFERROR(__xludf.DUMMYFUNCTION("""COMPUTED_VALUE"""),"Array;Hash Table;Matrix;")</f>
        <v>Array;Hash Table;Matrix;</v>
      </c>
      <c r="M74" s="35" t="b">
        <f>IFERROR(__xludf.DUMMYFUNCTION("""COMPUTED_VALUE"""),TRUE)</f>
        <v>1</v>
      </c>
      <c r="N74" s="35" t="b">
        <f>IFERROR(__xludf.DUMMYFUNCTION("""COMPUTED_VALUE"""),FALSE)</f>
        <v>0</v>
      </c>
      <c r="O74" s="35">
        <f>IFERROR(__xludf.DUMMYFUNCTION("""COMPUTED_VALUE"""),47.8673919335982)</f>
        <v>47.86739193</v>
      </c>
      <c r="P74" s="35">
        <f>IFERROR(__xludf.DUMMYFUNCTION("""COMPUTED_VALUE"""),636660.0)</f>
        <v>636660</v>
      </c>
      <c r="Q74" s="35">
        <f>IFERROR(__xludf.DUMMYFUNCTION("""COMPUTED_VALUE"""),1330059.0)</f>
        <v>1330059</v>
      </c>
    </row>
    <row r="75">
      <c r="A75" s="35">
        <f>IFERROR(__xludf.DUMMYFUNCTION("""COMPUTED_VALUE"""),74.0)</f>
        <v>74</v>
      </c>
      <c r="B75" s="35" t="str">
        <f>IFERROR(__xludf.DUMMYFUNCTION("""COMPUTED_VALUE"""),"Search a 2D Matrix")</f>
        <v>Search a 2D Matrix</v>
      </c>
      <c r="C75" s="35" t="str">
        <f>IFERROR(__xludf.DUMMYFUNCTION("""COMPUTED_VALUE"""),"search-a-2d-matrix")</f>
        <v>search-a-2d-matrix</v>
      </c>
      <c r="D75" s="35" t="b">
        <f>IFERROR(__xludf.DUMMYFUNCTION("""COMPUTED_VALUE"""),FALSE)</f>
        <v>0</v>
      </c>
      <c r="E75" s="35" t="str">
        <f>IFERROR(__xludf.DUMMYFUNCTION("""COMPUTED_VALUE"""),"Medium")</f>
        <v>Medium</v>
      </c>
      <c r="F75" s="35">
        <f>IFERROR(__xludf.DUMMYFUNCTION("""COMPUTED_VALUE"""),6271.0)</f>
        <v>6271</v>
      </c>
      <c r="G75" s="35">
        <f>IFERROR(__xludf.DUMMYFUNCTION("""COMPUTED_VALUE"""),247.0)</f>
        <v>247</v>
      </c>
      <c r="H75" s="35" t="str">
        <f>IFERROR(__xludf.DUMMYFUNCTION("""COMPUTED_VALUE"""),"Algorithms")</f>
        <v>Algorithms</v>
      </c>
      <c r="I75" s="35">
        <f>IFERROR(__xludf.DUMMYFUNCTION("""COMPUTED_VALUE"""),0.427)</f>
        <v>0.427</v>
      </c>
      <c r="J75" s="35">
        <f>IFERROR(__xludf.DUMMYFUNCTION("""COMPUTED_VALUE"""),74.0)</f>
        <v>74</v>
      </c>
      <c r="K75" s="35" t="b">
        <f>IFERROR(__xludf.DUMMYFUNCTION("""COMPUTED_VALUE"""),FALSE)</f>
        <v>0</v>
      </c>
      <c r="L75" s="35" t="str">
        <f>IFERROR(__xludf.DUMMYFUNCTION("""COMPUTED_VALUE"""),"Array;Binary Search;Matrix;")</f>
        <v>Array;Binary Search;Matrix;</v>
      </c>
      <c r="M75" s="35" t="b">
        <f>IFERROR(__xludf.DUMMYFUNCTION("""COMPUTED_VALUE"""),TRUE)</f>
        <v>1</v>
      </c>
      <c r="N75" s="35" t="b">
        <f>IFERROR(__xludf.DUMMYFUNCTION("""COMPUTED_VALUE"""),FALSE)</f>
        <v>0</v>
      </c>
      <c r="O75" s="35">
        <f>IFERROR(__xludf.DUMMYFUNCTION("""COMPUTED_VALUE"""),42.7225334982034)</f>
        <v>42.7225335</v>
      </c>
      <c r="P75" s="35">
        <f>IFERROR(__xludf.DUMMYFUNCTION("""COMPUTED_VALUE"""),675106.0)</f>
        <v>675106</v>
      </c>
      <c r="Q75" s="35">
        <f>IFERROR(__xludf.DUMMYFUNCTION("""COMPUTED_VALUE"""),1580213.0)</f>
        <v>1580213</v>
      </c>
    </row>
    <row r="76">
      <c r="A76" s="35">
        <f>IFERROR(__xludf.DUMMYFUNCTION("""COMPUTED_VALUE"""),75.0)</f>
        <v>75</v>
      </c>
      <c r="B76" s="35" t="str">
        <f>IFERROR(__xludf.DUMMYFUNCTION("""COMPUTED_VALUE"""),"Sort Colors")</f>
        <v>Sort Colors</v>
      </c>
      <c r="C76" s="35" t="str">
        <f>IFERROR(__xludf.DUMMYFUNCTION("""COMPUTED_VALUE"""),"sort-colors")</f>
        <v>sort-colors</v>
      </c>
      <c r="D76" s="35" t="b">
        <f>IFERROR(__xludf.DUMMYFUNCTION("""COMPUTED_VALUE"""),FALSE)</f>
        <v>0</v>
      </c>
      <c r="E76" s="35" t="str">
        <f>IFERROR(__xludf.DUMMYFUNCTION("""COMPUTED_VALUE"""),"Medium")</f>
        <v>Medium</v>
      </c>
      <c r="F76" s="35">
        <f>IFERROR(__xludf.DUMMYFUNCTION("""COMPUTED_VALUE"""),9014.0)</f>
        <v>9014</v>
      </c>
      <c r="G76" s="35">
        <f>IFERROR(__xludf.DUMMYFUNCTION("""COMPUTED_VALUE"""),393.0)</f>
        <v>393</v>
      </c>
      <c r="H76" s="35" t="str">
        <f>IFERROR(__xludf.DUMMYFUNCTION("""COMPUTED_VALUE"""),"Algorithms")</f>
        <v>Algorithms</v>
      </c>
      <c r="I76" s="35">
        <f>IFERROR(__xludf.DUMMYFUNCTION("""COMPUTED_VALUE"""),0.542)</f>
        <v>0.542</v>
      </c>
      <c r="J76" s="35">
        <f>IFERROR(__xludf.DUMMYFUNCTION("""COMPUTED_VALUE"""),75.0)</f>
        <v>75</v>
      </c>
      <c r="K76" s="35" t="b">
        <f>IFERROR(__xludf.DUMMYFUNCTION("""COMPUTED_VALUE"""),FALSE)</f>
        <v>0</v>
      </c>
      <c r="L76" s="35" t="str">
        <f>IFERROR(__xludf.DUMMYFUNCTION("""COMPUTED_VALUE"""),"Array;Two Pointers;Sorting;")</f>
        <v>Array;Two Pointers;Sorting;</v>
      </c>
      <c r="M76" s="35" t="b">
        <f>IFERROR(__xludf.DUMMYFUNCTION("""COMPUTED_VALUE"""),TRUE)</f>
        <v>1</v>
      </c>
      <c r="N76" s="35" t="b">
        <f>IFERROR(__xludf.DUMMYFUNCTION("""COMPUTED_VALUE"""),FALSE)</f>
        <v>0</v>
      </c>
      <c r="O76" s="35">
        <f>IFERROR(__xludf.DUMMYFUNCTION("""COMPUTED_VALUE"""),54.2434094837799)</f>
        <v>54.24340948</v>
      </c>
      <c r="P76" s="35">
        <f>IFERROR(__xludf.DUMMYFUNCTION("""COMPUTED_VALUE"""),945444.0)</f>
        <v>945444</v>
      </c>
      <c r="Q76" s="35">
        <f>IFERROR(__xludf.DUMMYFUNCTION("""COMPUTED_VALUE"""),1742975.0)</f>
        <v>1742975</v>
      </c>
    </row>
    <row r="77">
      <c r="A77" s="35">
        <f>IFERROR(__xludf.DUMMYFUNCTION("""COMPUTED_VALUE"""),76.0)</f>
        <v>76</v>
      </c>
      <c r="B77" s="35" t="str">
        <f>IFERROR(__xludf.DUMMYFUNCTION("""COMPUTED_VALUE"""),"Minimum Window Substring")</f>
        <v>Minimum Window Substring</v>
      </c>
      <c r="C77" s="35" t="str">
        <f>IFERROR(__xludf.DUMMYFUNCTION("""COMPUTED_VALUE"""),"minimum-window-substring")</f>
        <v>minimum-window-substring</v>
      </c>
      <c r="D77" s="35" t="b">
        <f>IFERROR(__xludf.DUMMYFUNCTION("""COMPUTED_VALUE"""),FALSE)</f>
        <v>0</v>
      </c>
      <c r="E77" s="35" t="str">
        <f>IFERROR(__xludf.DUMMYFUNCTION("""COMPUTED_VALUE"""),"Hard")</f>
        <v>Hard</v>
      </c>
      <c r="F77" s="35">
        <f>IFERROR(__xludf.DUMMYFUNCTION("""COMPUTED_VALUE"""),9628.0)</f>
        <v>9628</v>
      </c>
      <c r="G77" s="35">
        <f>IFERROR(__xludf.DUMMYFUNCTION("""COMPUTED_VALUE"""),520.0)</f>
        <v>520</v>
      </c>
      <c r="H77" s="35" t="str">
        <f>IFERROR(__xludf.DUMMYFUNCTION("""COMPUTED_VALUE"""),"Algorithms")</f>
        <v>Algorithms</v>
      </c>
      <c r="I77" s="35">
        <f>IFERROR(__xludf.DUMMYFUNCTION("""COMPUTED_VALUE"""),0.387)</f>
        <v>0.387</v>
      </c>
      <c r="J77" s="35">
        <f>IFERROR(__xludf.DUMMYFUNCTION("""COMPUTED_VALUE"""),76.0)</f>
        <v>76</v>
      </c>
      <c r="K77" s="35" t="b">
        <f>IFERROR(__xludf.DUMMYFUNCTION("""COMPUTED_VALUE"""),FALSE)</f>
        <v>0</v>
      </c>
      <c r="L77" s="35" t="str">
        <f>IFERROR(__xludf.DUMMYFUNCTION("""COMPUTED_VALUE"""),"Hash Table;String;Sliding Window;")</f>
        <v>Hash Table;String;Sliding Window;</v>
      </c>
      <c r="M77" s="35" t="b">
        <f>IFERROR(__xludf.DUMMYFUNCTION("""COMPUTED_VALUE"""),TRUE)</f>
        <v>1</v>
      </c>
      <c r="N77" s="35" t="b">
        <f>IFERROR(__xludf.DUMMYFUNCTION("""COMPUTED_VALUE"""),FALSE)</f>
        <v>0</v>
      </c>
      <c r="O77" s="35">
        <f>IFERROR(__xludf.DUMMYFUNCTION("""COMPUTED_VALUE"""),38.6977626374174)</f>
        <v>38.69776264</v>
      </c>
      <c r="P77" s="35">
        <f>IFERROR(__xludf.DUMMYFUNCTION("""COMPUTED_VALUE"""),713261.0)</f>
        <v>713261</v>
      </c>
      <c r="Q77" s="35">
        <f>IFERROR(__xludf.DUMMYFUNCTION("""COMPUTED_VALUE"""),1843172.0)</f>
        <v>1843172</v>
      </c>
    </row>
    <row r="78">
      <c r="A78" s="35">
        <f>IFERROR(__xludf.DUMMYFUNCTION("""COMPUTED_VALUE"""),77.0)</f>
        <v>77</v>
      </c>
      <c r="B78" s="35" t="str">
        <f>IFERROR(__xludf.DUMMYFUNCTION("""COMPUTED_VALUE"""),"Combinations")</f>
        <v>Combinations</v>
      </c>
      <c r="C78" s="35" t="str">
        <f>IFERROR(__xludf.DUMMYFUNCTION("""COMPUTED_VALUE"""),"combinations")</f>
        <v>combinations</v>
      </c>
      <c r="D78" s="35" t="b">
        <f>IFERROR(__xludf.DUMMYFUNCTION("""COMPUTED_VALUE"""),FALSE)</f>
        <v>0</v>
      </c>
      <c r="E78" s="35" t="str">
        <f>IFERROR(__xludf.DUMMYFUNCTION("""COMPUTED_VALUE"""),"Medium")</f>
        <v>Medium</v>
      </c>
      <c r="F78" s="35">
        <f>IFERROR(__xludf.DUMMYFUNCTION("""COMPUTED_VALUE"""),3851.0)</f>
        <v>3851</v>
      </c>
      <c r="G78" s="35">
        <f>IFERROR(__xludf.DUMMYFUNCTION("""COMPUTED_VALUE"""),127.0)</f>
        <v>127</v>
      </c>
      <c r="H78" s="35" t="str">
        <f>IFERROR(__xludf.DUMMYFUNCTION("""COMPUTED_VALUE"""),"Algorithms")</f>
        <v>Algorithms</v>
      </c>
      <c r="I78" s="35">
        <f>IFERROR(__xludf.DUMMYFUNCTION("""COMPUTED_VALUE"""),0.632)</f>
        <v>0.632</v>
      </c>
      <c r="J78" s="35">
        <f>IFERROR(__xludf.DUMMYFUNCTION("""COMPUTED_VALUE"""),77.0)</f>
        <v>77</v>
      </c>
      <c r="K78" s="35" t="b">
        <f>IFERROR(__xludf.DUMMYFUNCTION("""COMPUTED_VALUE"""),FALSE)</f>
        <v>0</v>
      </c>
      <c r="L78" s="35" t="str">
        <f>IFERROR(__xludf.DUMMYFUNCTION("""COMPUTED_VALUE"""),"Array;Backtracking;")</f>
        <v>Array;Backtracking;</v>
      </c>
      <c r="M78" s="35" t="b">
        <f>IFERROR(__xludf.DUMMYFUNCTION("""COMPUTED_VALUE"""),TRUE)</f>
        <v>1</v>
      </c>
      <c r="N78" s="35" t="b">
        <f>IFERROR(__xludf.DUMMYFUNCTION("""COMPUTED_VALUE"""),FALSE)</f>
        <v>0</v>
      </c>
      <c r="O78" s="35">
        <f>IFERROR(__xludf.DUMMYFUNCTION("""COMPUTED_VALUE"""),63.2090676480627)</f>
        <v>63.20906765</v>
      </c>
      <c r="P78" s="35">
        <f>IFERROR(__xludf.DUMMYFUNCTION("""COMPUTED_VALUE"""),492579.0)</f>
        <v>492579</v>
      </c>
      <c r="Q78" s="35">
        <f>IFERROR(__xludf.DUMMYFUNCTION("""COMPUTED_VALUE"""),779289.0)</f>
        <v>779289</v>
      </c>
    </row>
    <row r="79">
      <c r="A79" s="35">
        <f>IFERROR(__xludf.DUMMYFUNCTION("""COMPUTED_VALUE"""),78.0)</f>
        <v>78</v>
      </c>
      <c r="B79" s="35" t="str">
        <f>IFERROR(__xludf.DUMMYFUNCTION("""COMPUTED_VALUE"""),"Subsets")</f>
        <v>Subsets</v>
      </c>
      <c r="C79" s="35" t="str">
        <f>IFERROR(__xludf.DUMMYFUNCTION("""COMPUTED_VALUE"""),"subsets")</f>
        <v>subsets</v>
      </c>
      <c r="D79" s="35" t="b">
        <f>IFERROR(__xludf.DUMMYFUNCTION("""COMPUTED_VALUE"""),FALSE)</f>
        <v>0</v>
      </c>
      <c r="E79" s="35" t="str">
        <f>IFERROR(__xludf.DUMMYFUNCTION("""COMPUTED_VALUE"""),"Medium")</f>
        <v>Medium</v>
      </c>
      <c r="F79" s="35">
        <f>IFERROR(__xludf.DUMMYFUNCTION("""COMPUTED_VALUE"""),9358.0)</f>
        <v>9358</v>
      </c>
      <c r="G79" s="35">
        <f>IFERROR(__xludf.DUMMYFUNCTION("""COMPUTED_VALUE"""),148.0)</f>
        <v>148</v>
      </c>
      <c r="H79" s="35" t="str">
        <f>IFERROR(__xludf.DUMMYFUNCTION("""COMPUTED_VALUE"""),"Algorithms")</f>
        <v>Algorithms</v>
      </c>
      <c r="I79" s="35">
        <f>IFERROR(__xludf.DUMMYFUNCTION("""COMPUTED_VALUE"""),0.708)</f>
        <v>0.708</v>
      </c>
      <c r="J79" s="35">
        <f>IFERROR(__xludf.DUMMYFUNCTION("""COMPUTED_VALUE"""),78.0)</f>
        <v>78</v>
      </c>
      <c r="K79" s="35" t="b">
        <f>IFERROR(__xludf.DUMMYFUNCTION("""COMPUTED_VALUE"""),FALSE)</f>
        <v>0</v>
      </c>
      <c r="L79" s="35" t="str">
        <f>IFERROR(__xludf.DUMMYFUNCTION("""COMPUTED_VALUE"""),"Array;Backtracking;Bit Manipulation;")</f>
        <v>Array;Backtracking;Bit Manipulation;</v>
      </c>
      <c r="M79" s="35" t="b">
        <f>IFERROR(__xludf.DUMMYFUNCTION("""COMPUTED_VALUE"""),TRUE)</f>
        <v>1</v>
      </c>
      <c r="N79" s="35" t="b">
        <f>IFERROR(__xludf.DUMMYFUNCTION("""COMPUTED_VALUE"""),FALSE)</f>
        <v>0</v>
      </c>
      <c r="O79" s="35">
        <f>IFERROR(__xludf.DUMMYFUNCTION("""COMPUTED_VALUE"""),70.7986548451096)</f>
        <v>70.79865485</v>
      </c>
      <c r="P79" s="35">
        <f>IFERROR(__xludf.DUMMYFUNCTION("""COMPUTED_VALUE"""),1032004.0)</f>
        <v>1032004</v>
      </c>
      <c r="Q79" s="35">
        <f>IFERROR(__xludf.DUMMYFUNCTION("""COMPUTED_VALUE"""),1457665.0)</f>
        <v>1457665</v>
      </c>
    </row>
    <row r="80">
      <c r="A80" s="35">
        <f>IFERROR(__xludf.DUMMYFUNCTION("""COMPUTED_VALUE"""),79.0)</f>
        <v>79</v>
      </c>
      <c r="B80" s="35" t="str">
        <f>IFERROR(__xludf.DUMMYFUNCTION("""COMPUTED_VALUE"""),"Word Search")</f>
        <v>Word Search</v>
      </c>
      <c r="C80" s="35" t="str">
        <f>IFERROR(__xludf.DUMMYFUNCTION("""COMPUTED_VALUE"""),"word-search")</f>
        <v>word-search</v>
      </c>
      <c r="D80" s="35" t="b">
        <f>IFERROR(__xludf.DUMMYFUNCTION("""COMPUTED_VALUE"""),FALSE)</f>
        <v>0</v>
      </c>
      <c r="E80" s="35" t="str">
        <f>IFERROR(__xludf.DUMMYFUNCTION("""COMPUTED_VALUE"""),"Medium")</f>
        <v>Medium</v>
      </c>
      <c r="F80" s="35">
        <f>IFERROR(__xludf.DUMMYFUNCTION("""COMPUTED_VALUE"""),8696.0)</f>
        <v>8696</v>
      </c>
      <c r="G80" s="35">
        <f>IFERROR(__xludf.DUMMYFUNCTION("""COMPUTED_VALUE"""),329.0)</f>
        <v>329</v>
      </c>
      <c r="H80" s="35" t="str">
        <f>IFERROR(__xludf.DUMMYFUNCTION("""COMPUTED_VALUE"""),"Algorithms")</f>
        <v>Algorithms</v>
      </c>
      <c r="I80" s="35">
        <f>IFERROR(__xludf.DUMMYFUNCTION("""COMPUTED_VALUE"""),0.395)</f>
        <v>0.395</v>
      </c>
      <c r="J80" s="35">
        <f>IFERROR(__xludf.DUMMYFUNCTION("""COMPUTED_VALUE"""),79.0)</f>
        <v>79</v>
      </c>
      <c r="K80" s="35" t="b">
        <f>IFERROR(__xludf.DUMMYFUNCTION("""COMPUTED_VALUE"""),FALSE)</f>
        <v>0</v>
      </c>
      <c r="L80" s="35" t="str">
        <f>IFERROR(__xludf.DUMMYFUNCTION("""COMPUTED_VALUE"""),"Array;Backtracking;Matrix;")</f>
        <v>Array;Backtracking;Matrix;</v>
      </c>
      <c r="M80" s="35" t="b">
        <f>IFERROR(__xludf.DUMMYFUNCTION("""COMPUTED_VALUE"""),TRUE)</f>
        <v>1</v>
      </c>
      <c r="N80" s="35" t="b">
        <f>IFERROR(__xludf.DUMMYFUNCTION("""COMPUTED_VALUE"""),FALSE)</f>
        <v>0</v>
      </c>
      <c r="O80" s="35">
        <f>IFERROR(__xludf.DUMMYFUNCTION("""COMPUTED_VALUE"""),39.4659968699685)</f>
        <v>39.46599687</v>
      </c>
      <c r="P80" s="35">
        <f>IFERROR(__xludf.DUMMYFUNCTION("""COMPUTED_VALUE"""),910847.0)</f>
        <v>910847</v>
      </c>
      <c r="Q80" s="35">
        <f>IFERROR(__xludf.DUMMYFUNCTION("""COMPUTED_VALUE"""),2307936.0)</f>
        <v>2307936</v>
      </c>
    </row>
    <row r="81">
      <c r="A81" s="35">
        <f>IFERROR(__xludf.DUMMYFUNCTION("""COMPUTED_VALUE"""),80.0)</f>
        <v>80</v>
      </c>
      <c r="B81" s="35" t="str">
        <f>IFERROR(__xludf.DUMMYFUNCTION("""COMPUTED_VALUE"""),"Remove Duplicates from Sorted Array II")</f>
        <v>Remove Duplicates from Sorted Array II</v>
      </c>
      <c r="C81" s="35" t="str">
        <f>IFERROR(__xludf.DUMMYFUNCTION("""COMPUTED_VALUE"""),"remove-duplicates-from-sorted-array-ii")</f>
        <v>remove-duplicates-from-sorted-array-ii</v>
      </c>
      <c r="D81" s="35" t="b">
        <f>IFERROR(__xludf.DUMMYFUNCTION("""COMPUTED_VALUE"""),FALSE)</f>
        <v>0</v>
      </c>
      <c r="E81" s="35" t="str">
        <f>IFERROR(__xludf.DUMMYFUNCTION("""COMPUTED_VALUE"""),"Medium")</f>
        <v>Medium</v>
      </c>
      <c r="F81" s="35">
        <f>IFERROR(__xludf.DUMMYFUNCTION("""COMPUTED_VALUE"""),3446.0)</f>
        <v>3446</v>
      </c>
      <c r="G81" s="35">
        <f>IFERROR(__xludf.DUMMYFUNCTION("""COMPUTED_VALUE"""),908.0)</f>
        <v>908</v>
      </c>
      <c r="H81" s="35" t="str">
        <f>IFERROR(__xludf.DUMMYFUNCTION("""COMPUTED_VALUE"""),"Algorithms")</f>
        <v>Algorithms</v>
      </c>
      <c r="I81" s="35">
        <f>IFERROR(__xludf.DUMMYFUNCTION("""COMPUTED_VALUE"""),0.503)</f>
        <v>0.503</v>
      </c>
      <c r="J81" s="35">
        <f>IFERROR(__xludf.DUMMYFUNCTION("""COMPUTED_VALUE"""),80.0)</f>
        <v>80</v>
      </c>
      <c r="K81" s="35" t="b">
        <f>IFERROR(__xludf.DUMMYFUNCTION("""COMPUTED_VALUE"""),FALSE)</f>
        <v>0</v>
      </c>
      <c r="L81" s="35" t="str">
        <f>IFERROR(__xludf.DUMMYFUNCTION("""COMPUTED_VALUE"""),"Array;Two Pointers;")</f>
        <v>Array;Two Pointers;</v>
      </c>
      <c r="M81" s="35" t="b">
        <f>IFERROR(__xludf.DUMMYFUNCTION("""COMPUTED_VALUE"""),TRUE)</f>
        <v>1</v>
      </c>
      <c r="N81" s="35" t="b">
        <f>IFERROR(__xludf.DUMMYFUNCTION("""COMPUTED_VALUE"""),FALSE)</f>
        <v>0</v>
      </c>
      <c r="O81" s="35">
        <f>IFERROR(__xludf.DUMMYFUNCTION("""COMPUTED_VALUE"""),50.2855796339556)</f>
        <v>50.28557963</v>
      </c>
      <c r="P81" s="35">
        <f>IFERROR(__xludf.DUMMYFUNCTION("""COMPUTED_VALUE"""),420396.0)</f>
        <v>420396</v>
      </c>
      <c r="Q81" s="35">
        <f>IFERROR(__xludf.DUMMYFUNCTION("""COMPUTED_VALUE"""),836017.0)</f>
        <v>836017</v>
      </c>
    </row>
    <row r="82">
      <c r="A82" s="35">
        <f>IFERROR(__xludf.DUMMYFUNCTION("""COMPUTED_VALUE"""),81.0)</f>
        <v>81</v>
      </c>
      <c r="B82" s="35" t="str">
        <f>IFERROR(__xludf.DUMMYFUNCTION("""COMPUTED_VALUE"""),"Search in Rotated Sorted Array II")</f>
        <v>Search in Rotated Sorted Array II</v>
      </c>
      <c r="C82" s="35" t="str">
        <f>IFERROR(__xludf.DUMMYFUNCTION("""COMPUTED_VALUE"""),"search-in-rotated-sorted-array-ii")</f>
        <v>search-in-rotated-sorted-array-ii</v>
      </c>
      <c r="D82" s="35" t="b">
        <f>IFERROR(__xludf.DUMMYFUNCTION("""COMPUTED_VALUE"""),FALSE)</f>
        <v>0</v>
      </c>
      <c r="E82" s="35" t="str">
        <f>IFERROR(__xludf.DUMMYFUNCTION("""COMPUTED_VALUE"""),"Medium")</f>
        <v>Medium</v>
      </c>
      <c r="F82" s="35">
        <f>IFERROR(__xludf.DUMMYFUNCTION("""COMPUTED_VALUE"""),3420.0)</f>
        <v>3420</v>
      </c>
      <c r="G82" s="35">
        <f>IFERROR(__xludf.DUMMYFUNCTION("""COMPUTED_VALUE"""),655.0)</f>
        <v>655</v>
      </c>
      <c r="H82" s="35" t="str">
        <f>IFERROR(__xludf.DUMMYFUNCTION("""COMPUTED_VALUE"""),"Algorithms")</f>
        <v>Algorithms</v>
      </c>
      <c r="I82" s="35">
        <f>IFERROR(__xludf.DUMMYFUNCTION("""COMPUTED_VALUE"""),0.344)</f>
        <v>0.344</v>
      </c>
      <c r="J82" s="35">
        <f>IFERROR(__xludf.DUMMYFUNCTION("""COMPUTED_VALUE"""),81.0)</f>
        <v>81</v>
      </c>
      <c r="K82" s="35" t="b">
        <f>IFERROR(__xludf.DUMMYFUNCTION("""COMPUTED_VALUE"""),FALSE)</f>
        <v>0</v>
      </c>
      <c r="L82" s="35" t="str">
        <f>IFERROR(__xludf.DUMMYFUNCTION("""COMPUTED_VALUE"""),"Array;Binary Search;")</f>
        <v>Array;Binary Search;</v>
      </c>
      <c r="M82" s="35" t="b">
        <f>IFERROR(__xludf.DUMMYFUNCTION("""COMPUTED_VALUE"""),TRUE)</f>
        <v>1</v>
      </c>
      <c r="N82" s="35" t="b">
        <f>IFERROR(__xludf.DUMMYFUNCTION("""COMPUTED_VALUE"""),FALSE)</f>
        <v>0</v>
      </c>
      <c r="O82" s="35">
        <f>IFERROR(__xludf.DUMMYFUNCTION("""COMPUTED_VALUE"""),34.4433110082299)</f>
        <v>34.44331101</v>
      </c>
      <c r="P82" s="35">
        <f>IFERROR(__xludf.DUMMYFUNCTION("""COMPUTED_VALUE"""),373095.0)</f>
        <v>373095</v>
      </c>
      <c r="Q82" s="35">
        <f>IFERROR(__xludf.DUMMYFUNCTION("""COMPUTED_VALUE"""),1083218.0)</f>
        <v>1083218</v>
      </c>
    </row>
    <row r="83">
      <c r="A83" s="35">
        <f>IFERROR(__xludf.DUMMYFUNCTION("""COMPUTED_VALUE"""),82.0)</f>
        <v>82</v>
      </c>
      <c r="B83" s="35" t="str">
        <f>IFERROR(__xludf.DUMMYFUNCTION("""COMPUTED_VALUE"""),"Remove Duplicates from Sorted List II")</f>
        <v>Remove Duplicates from Sorted List II</v>
      </c>
      <c r="C83" s="35" t="str">
        <f>IFERROR(__xludf.DUMMYFUNCTION("""COMPUTED_VALUE"""),"remove-duplicates-from-sorted-list-ii")</f>
        <v>remove-duplicates-from-sorted-list-ii</v>
      </c>
      <c r="D83" s="35" t="b">
        <f>IFERROR(__xludf.DUMMYFUNCTION("""COMPUTED_VALUE"""),FALSE)</f>
        <v>0</v>
      </c>
      <c r="E83" s="35" t="str">
        <f>IFERROR(__xludf.DUMMYFUNCTION("""COMPUTED_VALUE"""),"Medium")</f>
        <v>Medium</v>
      </c>
      <c r="F83" s="35">
        <f>IFERROR(__xludf.DUMMYFUNCTION("""COMPUTED_VALUE"""),5401.0)</f>
        <v>5401</v>
      </c>
      <c r="G83" s="35">
        <f>IFERROR(__xludf.DUMMYFUNCTION("""COMPUTED_VALUE"""),161.0)</f>
        <v>161</v>
      </c>
      <c r="H83" s="35" t="str">
        <f>IFERROR(__xludf.DUMMYFUNCTION("""COMPUTED_VALUE"""),"Algorithms")</f>
        <v>Algorithms</v>
      </c>
      <c r="I83" s="35">
        <f>IFERROR(__xludf.DUMMYFUNCTION("""COMPUTED_VALUE"""),0.439)</f>
        <v>0.439</v>
      </c>
      <c r="J83" s="35">
        <f>IFERROR(__xludf.DUMMYFUNCTION("""COMPUTED_VALUE"""),82.0)</f>
        <v>82</v>
      </c>
      <c r="K83" s="35" t="b">
        <f>IFERROR(__xludf.DUMMYFUNCTION("""COMPUTED_VALUE"""),FALSE)</f>
        <v>0</v>
      </c>
      <c r="L83" s="35" t="str">
        <f>IFERROR(__xludf.DUMMYFUNCTION("""COMPUTED_VALUE"""),"Linked List;Two Pointers;")</f>
        <v>Linked List;Two Pointers;</v>
      </c>
      <c r="M83" s="35" t="b">
        <f>IFERROR(__xludf.DUMMYFUNCTION("""COMPUTED_VALUE"""),TRUE)</f>
        <v>1</v>
      </c>
      <c r="N83" s="35" t="b">
        <f>IFERROR(__xludf.DUMMYFUNCTION("""COMPUTED_VALUE"""),FALSE)</f>
        <v>0</v>
      </c>
      <c r="O83" s="35">
        <f>IFERROR(__xludf.DUMMYFUNCTION("""COMPUTED_VALUE"""),43.9261143474708)</f>
        <v>43.92611435</v>
      </c>
      <c r="P83" s="35">
        <f>IFERROR(__xludf.DUMMYFUNCTION("""COMPUTED_VALUE"""),466583.0)</f>
        <v>466583</v>
      </c>
      <c r="Q83" s="35">
        <f>IFERROR(__xludf.DUMMYFUNCTION("""COMPUTED_VALUE"""),1062201.0)</f>
        <v>1062201</v>
      </c>
    </row>
    <row r="84">
      <c r="A84" s="35">
        <f>IFERROR(__xludf.DUMMYFUNCTION("""COMPUTED_VALUE"""),83.0)</f>
        <v>83</v>
      </c>
      <c r="B84" s="35" t="str">
        <f>IFERROR(__xludf.DUMMYFUNCTION("""COMPUTED_VALUE"""),"Remove Duplicates from Sorted List")</f>
        <v>Remove Duplicates from Sorted List</v>
      </c>
      <c r="C84" s="35" t="str">
        <f>IFERROR(__xludf.DUMMYFUNCTION("""COMPUTED_VALUE"""),"remove-duplicates-from-sorted-list")</f>
        <v>remove-duplicates-from-sorted-list</v>
      </c>
      <c r="D84" s="35" t="b">
        <f>IFERROR(__xludf.DUMMYFUNCTION("""COMPUTED_VALUE"""),FALSE)</f>
        <v>0</v>
      </c>
      <c r="E84" s="35" t="str">
        <f>IFERROR(__xludf.DUMMYFUNCTION("""COMPUTED_VALUE"""),"Easy")</f>
        <v>Easy</v>
      </c>
      <c r="F84" s="35">
        <f>IFERROR(__xludf.DUMMYFUNCTION("""COMPUTED_VALUE"""),4420.0)</f>
        <v>4420</v>
      </c>
      <c r="G84" s="35">
        <f>IFERROR(__xludf.DUMMYFUNCTION("""COMPUTED_VALUE"""),179.0)</f>
        <v>179</v>
      </c>
      <c r="H84" s="35" t="str">
        <f>IFERROR(__xludf.DUMMYFUNCTION("""COMPUTED_VALUE"""),"Algorithms")</f>
        <v>Algorithms</v>
      </c>
      <c r="I84" s="35">
        <f>IFERROR(__xludf.DUMMYFUNCTION("""COMPUTED_VALUE"""),0.488)</f>
        <v>0.488</v>
      </c>
      <c r="J84" s="35">
        <f>IFERROR(__xludf.DUMMYFUNCTION("""COMPUTED_VALUE"""),83.0)</f>
        <v>83</v>
      </c>
      <c r="K84" s="35" t="b">
        <f>IFERROR(__xludf.DUMMYFUNCTION("""COMPUTED_VALUE"""),FALSE)</f>
        <v>0</v>
      </c>
      <c r="L84" s="35" t="str">
        <f>IFERROR(__xludf.DUMMYFUNCTION("""COMPUTED_VALUE"""),"Linked List;")</f>
        <v>Linked List;</v>
      </c>
      <c r="M84" s="35" t="b">
        <f>IFERROR(__xludf.DUMMYFUNCTION("""COMPUTED_VALUE"""),TRUE)</f>
        <v>1</v>
      </c>
      <c r="N84" s="35" t="b">
        <f>IFERROR(__xludf.DUMMYFUNCTION("""COMPUTED_VALUE"""),FALSE)</f>
        <v>0</v>
      </c>
      <c r="O84" s="35">
        <f>IFERROR(__xludf.DUMMYFUNCTION("""COMPUTED_VALUE"""),48.7676547061256)</f>
        <v>48.76765471</v>
      </c>
      <c r="P84" s="35">
        <f>IFERROR(__xludf.DUMMYFUNCTION("""COMPUTED_VALUE"""),810067.0)</f>
        <v>810067</v>
      </c>
      <c r="Q84" s="35">
        <f>IFERROR(__xludf.DUMMYFUNCTION("""COMPUTED_VALUE"""),1661074.0)</f>
        <v>1661074</v>
      </c>
    </row>
    <row r="85">
      <c r="A85" s="35">
        <f>IFERROR(__xludf.DUMMYFUNCTION("""COMPUTED_VALUE"""),84.0)</f>
        <v>84</v>
      </c>
      <c r="B85" s="35" t="str">
        <f>IFERROR(__xludf.DUMMYFUNCTION("""COMPUTED_VALUE"""),"Largest Rectangle in Histogram")</f>
        <v>Largest Rectangle in Histogram</v>
      </c>
      <c r="C85" s="35" t="str">
        <f>IFERROR(__xludf.DUMMYFUNCTION("""COMPUTED_VALUE"""),"largest-rectangle-in-histogram")</f>
        <v>largest-rectangle-in-histogram</v>
      </c>
      <c r="D85" s="35" t="b">
        <f>IFERROR(__xludf.DUMMYFUNCTION("""COMPUTED_VALUE"""),FALSE)</f>
        <v>0</v>
      </c>
      <c r="E85" s="35" t="str">
        <f>IFERROR(__xludf.DUMMYFUNCTION("""COMPUTED_VALUE"""),"Hard")</f>
        <v>Hard</v>
      </c>
      <c r="F85" s="35">
        <f>IFERROR(__xludf.DUMMYFUNCTION("""COMPUTED_VALUE"""),9284.0)</f>
        <v>9284</v>
      </c>
      <c r="G85" s="35">
        <f>IFERROR(__xludf.DUMMYFUNCTION("""COMPUTED_VALUE"""),137.0)</f>
        <v>137</v>
      </c>
      <c r="H85" s="35" t="str">
        <f>IFERROR(__xludf.DUMMYFUNCTION("""COMPUTED_VALUE"""),"Algorithms")</f>
        <v>Algorithms</v>
      </c>
      <c r="I85" s="35">
        <f>IFERROR(__xludf.DUMMYFUNCTION("""COMPUTED_VALUE"""),0.405)</f>
        <v>0.405</v>
      </c>
      <c r="J85" s="35">
        <f>IFERROR(__xludf.DUMMYFUNCTION("""COMPUTED_VALUE"""),84.0)</f>
        <v>84</v>
      </c>
      <c r="K85" s="35" t="b">
        <f>IFERROR(__xludf.DUMMYFUNCTION("""COMPUTED_VALUE"""),FALSE)</f>
        <v>0</v>
      </c>
      <c r="L85" s="35" t="str">
        <f>IFERROR(__xludf.DUMMYFUNCTION("""COMPUTED_VALUE"""),"Array;Stack;Monotonic Stack;")</f>
        <v>Array;Stack;Monotonic Stack;</v>
      </c>
      <c r="M85" s="35" t="b">
        <f>IFERROR(__xludf.DUMMYFUNCTION("""COMPUTED_VALUE"""),TRUE)</f>
        <v>1</v>
      </c>
      <c r="N85" s="35" t="b">
        <f>IFERROR(__xludf.DUMMYFUNCTION("""COMPUTED_VALUE"""),TRUE)</f>
        <v>1</v>
      </c>
      <c r="O85" s="35">
        <f>IFERROR(__xludf.DUMMYFUNCTION("""COMPUTED_VALUE"""),40.5083654814347)</f>
        <v>40.50836548</v>
      </c>
      <c r="P85" s="35">
        <f>IFERROR(__xludf.DUMMYFUNCTION("""COMPUTED_VALUE"""),483957.0)</f>
        <v>483957</v>
      </c>
      <c r="Q85" s="35">
        <f>IFERROR(__xludf.DUMMYFUNCTION("""COMPUTED_VALUE"""),1194715.0)</f>
        <v>1194715</v>
      </c>
    </row>
    <row r="86">
      <c r="A86" s="35">
        <f>IFERROR(__xludf.DUMMYFUNCTION("""COMPUTED_VALUE"""),85.0)</f>
        <v>85</v>
      </c>
      <c r="B86" s="35" t="str">
        <f>IFERROR(__xludf.DUMMYFUNCTION("""COMPUTED_VALUE"""),"Maximal Rectangle")</f>
        <v>Maximal Rectangle</v>
      </c>
      <c r="C86" s="35" t="str">
        <f>IFERROR(__xludf.DUMMYFUNCTION("""COMPUTED_VALUE"""),"maximal-rectangle")</f>
        <v>maximal-rectangle</v>
      </c>
      <c r="D86" s="35" t="b">
        <f>IFERROR(__xludf.DUMMYFUNCTION("""COMPUTED_VALUE"""),FALSE)</f>
        <v>0</v>
      </c>
      <c r="E86" s="35" t="str">
        <f>IFERROR(__xludf.DUMMYFUNCTION("""COMPUTED_VALUE"""),"Hard")</f>
        <v>Hard</v>
      </c>
      <c r="F86" s="35">
        <f>IFERROR(__xludf.DUMMYFUNCTION("""COMPUTED_VALUE"""),6281.0)</f>
        <v>6281</v>
      </c>
      <c r="G86" s="35">
        <f>IFERROR(__xludf.DUMMYFUNCTION("""COMPUTED_VALUE"""),106.0)</f>
        <v>106</v>
      </c>
      <c r="H86" s="35" t="str">
        <f>IFERROR(__xludf.DUMMYFUNCTION("""COMPUTED_VALUE"""),"Algorithms")</f>
        <v>Algorithms</v>
      </c>
      <c r="I86" s="35">
        <f>IFERROR(__xludf.DUMMYFUNCTION("""COMPUTED_VALUE"""),0.425)</f>
        <v>0.425</v>
      </c>
      <c r="J86" s="35">
        <f>IFERROR(__xludf.DUMMYFUNCTION("""COMPUTED_VALUE"""),85.0)</f>
        <v>85</v>
      </c>
      <c r="K86" s="35" t="b">
        <f>IFERROR(__xludf.DUMMYFUNCTION("""COMPUTED_VALUE"""),FALSE)</f>
        <v>0</v>
      </c>
      <c r="L86" s="35" t="str">
        <f>IFERROR(__xludf.DUMMYFUNCTION("""COMPUTED_VALUE"""),"Array;Dynamic Programming;Stack;Matrix;Monotonic Stack;")</f>
        <v>Array;Dynamic Programming;Stack;Matrix;Monotonic Stack;</v>
      </c>
      <c r="M86" s="35" t="b">
        <f>IFERROR(__xludf.DUMMYFUNCTION("""COMPUTED_VALUE"""),TRUE)</f>
        <v>1</v>
      </c>
      <c r="N86" s="35" t="b">
        <f>IFERROR(__xludf.DUMMYFUNCTION("""COMPUTED_VALUE"""),FALSE)</f>
        <v>0</v>
      </c>
      <c r="O86" s="35">
        <f>IFERROR(__xludf.DUMMYFUNCTION("""COMPUTED_VALUE"""),42.4601604987104)</f>
        <v>42.4601605</v>
      </c>
      <c r="P86" s="35">
        <f>IFERROR(__xludf.DUMMYFUNCTION("""COMPUTED_VALUE"""),286615.0)</f>
        <v>286615</v>
      </c>
      <c r="Q86" s="35">
        <f>IFERROR(__xludf.DUMMYFUNCTION("""COMPUTED_VALUE"""),675021.0)</f>
        <v>675021</v>
      </c>
    </row>
    <row r="87">
      <c r="A87" s="35">
        <f>IFERROR(__xludf.DUMMYFUNCTION("""COMPUTED_VALUE"""),86.0)</f>
        <v>86</v>
      </c>
      <c r="B87" s="35" t="str">
        <f>IFERROR(__xludf.DUMMYFUNCTION("""COMPUTED_VALUE"""),"Partition List")</f>
        <v>Partition List</v>
      </c>
      <c r="C87" s="35" t="str">
        <f>IFERROR(__xludf.DUMMYFUNCTION("""COMPUTED_VALUE"""),"partition-list")</f>
        <v>partition-list</v>
      </c>
      <c r="D87" s="35" t="b">
        <f>IFERROR(__xludf.DUMMYFUNCTION("""COMPUTED_VALUE"""),FALSE)</f>
        <v>0</v>
      </c>
      <c r="E87" s="35" t="str">
        <f>IFERROR(__xludf.DUMMYFUNCTION("""COMPUTED_VALUE"""),"Medium")</f>
        <v>Medium</v>
      </c>
      <c r="F87" s="35">
        <f>IFERROR(__xludf.DUMMYFUNCTION("""COMPUTED_VALUE"""),3258.0)</f>
        <v>3258</v>
      </c>
      <c r="G87" s="35">
        <f>IFERROR(__xludf.DUMMYFUNCTION("""COMPUTED_VALUE"""),465.0)</f>
        <v>465</v>
      </c>
      <c r="H87" s="35" t="str">
        <f>IFERROR(__xludf.DUMMYFUNCTION("""COMPUTED_VALUE"""),"Algorithms")</f>
        <v>Algorithms</v>
      </c>
      <c r="I87" s="35">
        <f>IFERROR(__xludf.DUMMYFUNCTION("""COMPUTED_VALUE"""),0.475)</f>
        <v>0.475</v>
      </c>
      <c r="J87" s="35">
        <f>IFERROR(__xludf.DUMMYFUNCTION("""COMPUTED_VALUE"""),86.0)</f>
        <v>86</v>
      </c>
      <c r="K87" s="35" t="b">
        <f>IFERROR(__xludf.DUMMYFUNCTION("""COMPUTED_VALUE"""),FALSE)</f>
        <v>0</v>
      </c>
      <c r="L87" s="35" t="str">
        <f>IFERROR(__xludf.DUMMYFUNCTION("""COMPUTED_VALUE"""),"Linked List;Two Pointers;")</f>
        <v>Linked List;Two Pointers;</v>
      </c>
      <c r="M87" s="35" t="b">
        <f>IFERROR(__xludf.DUMMYFUNCTION("""COMPUTED_VALUE"""),TRUE)</f>
        <v>1</v>
      </c>
      <c r="N87" s="35" t="b">
        <f>IFERROR(__xludf.DUMMYFUNCTION("""COMPUTED_VALUE"""),FALSE)</f>
        <v>0</v>
      </c>
      <c r="O87" s="35">
        <f>IFERROR(__xludf.DUMMYFUNCTION("""COMPUTED_VALUE"""),47.5131659310646)</f>
        <v>47.51316593</v>
      </c>
      <c r="P87" s="35">
        <f>IFERROR(__xludf.DUMMYFUNCTION("""COMPUTED_VALUE"""),329838.0)</f>
        <v>329838</v>
      </c>
      <c r="Q87" s="35">
        <f>IFERROR(__xludf.DUMMYFUNCTION("""COMPUTED_VALUE"""),694209.0)</f>
        <v>694209</v>
      </c>
    </row>
    <row r="88">
      <c r="A88" s="35">
        <f>IFERROR(__xludf.DUMMYFUNCTION("""COMPUTED_VALUE"""),87.0)</f>
        <v>87</v>
      </c>
      <c r="B88" s="35" t="str">
        <f>IFERROR(__xludf.DUMMYFUNCTION("""COMPUTED_VALUE"""),"Scramble String")</f>
        <v>Scramble String</v>
      </c>
      <c r="C88" s="35" t="str">
        <f>IFERROR(__xludf.DUMMYFUNCTION("""COMPUTED_VALUE"""),"scramble-string")</f>
        <v>scramble-string</v>
      </c>
      <c r="D88" s="35" t="b">
        <f>IFERROR(__xludf.DUMMYFUNCTION("""COMPUTED_VALUE"""),FALSE)</f>
        <v>0</v>
      </c>
      <c r="E88" s="35" t="str">
        <f>IFERROR(__xludf.DUMMYFUNCTION("""COMPUTED_VALUE"""),"Hard")</f>
        <v>Hard</v>
      </c>
      <c r="F88" s="35">
        <f>IFERROR(__xludf.DUMMYFUNCTION("""COMPUTED_VALUE"""),1359.0)</f>
        <v>1359</v>
      </c>
      <c r="G88" s="35">
        <f>IFERROR(__xludf.DUMMYFUNCTION("""COMPUTED_VALUE"""),920.0)</f>
        <v>920</v>
      </c>
      <c r="H88" s="35" t="str">
        <f>IFERROR(__xludf.DUMMYFUNCTION("""COMPUTED_VALUE"""),"Algorithms")</f>
        <v>Algorithms</v>
      </c>
      <c r="I88" s="35">
        <f>IFERROR(__xludf.DUMMYFUNCTION("""COMPUTED_VALUE"""),0.355)</f>
        <v>0.355</v>
      </c>
      <c r="J88" s="35">
        <f>IFERROR(__xludf.DUMMYFUNCTION("""COMPUTED_VALUE"""),87.0)</f>
        <v>87</v>
      </c>
      <c r="K88" s="35" t="b">
        <f>IFERROR(__xludf.DUMMYFUNCTION("""COMPUTED_VALUE"""),FALSE)</f>
        <v>0</v>
      </c>
      <c r="L88" s="35" t="str">
        <f>IFERROR(__xludf.DUMMYFUNCTION("""COMPUTED_VALUE"""),"String;Dynamic Programming;")</f>
        <v>String;Dynamic Programming;</v>
      </c>
      <c r="M88" s="35" t="b">
        <f>IFERROR(__xludf.DUMMYFUNCTION("""COMPUTED_VALUE"""),FALSE)</f>
        <v>0</v>
      </c>
      <c r="N88" s="35" t="b">
        <f>IFERROR(__xludf.DUMMYFUNCTION("""COMPUTED_VALUE"""),FALSE)</f>
        <v>0</v>
      </c>
      <c r="O88" s="35">
        <f>IFERROR(__xludf.DUMMYFUNCTION("""COMPUTED_VALUE"""),35.4870642978641)</f>
        <v>35.4870643</v>
      </c>
      <c r="P88" s="35">
        <f>IFERROR(__xludf.DUMMYFUNCTION("""COMPUTED_VALUE"""),141239.0)</f>
        <v>141239</v>
      </c>
      <c r="Q88" s="35">
        <f>IFERROR(__xludf.DUMMYFUNCTION("""COMPUTED_VALUE"""),398005.0)</f>
        <v>398005</v>
      </c>
    </row>
    <row r="89">
      <c r="A89" s="35">
        <f>IFERROR(__xludf.DUMMYFUNCTION("""COMPUTED_VALUE"""),88.0)</f>
        <v>88</v>
      </c>
      <c r="B89" s="35" t="str">
        <f>IFERROR(__xludf.DUMMYFUNCTION("""COMPUTED_VALUE"""),"Merge Sorted Array")</f>
        <v>Merge Sorted Array</v>
      </c>
      <c r="C89" s="35" t="str">
        <f>IFERROR(__xludf.DUMMYFUNCTION("""COMPUTED_VALUE"""),"merge-sorted-array")</f>
        <v>merge-sorted-array</v>
      </c>
      <c r="D89" s="35" t="b">
        <f>IFERROR(__xludf.DUMMYFUNCTION("""COMPUTED_VALUE"""),FALSE)</f>
        <v>0</v>
      </c>
      <c r="E89" s="35" t="str">
        <f>IFERROR(__xludf.DUMMYFUNCTION("""COMPUTED_VALUE"""),"Easy")</f>
        <v>Easy</v>
      </c>
      <c r="F89" s="35">
        <f>IFERROR(__xludf.DUMMYFUNCTION("""COMPUTED_VALUE"""),3736.0)</f>
        <v>3736</v>
      </c>
      <c r="G89" s="35">
        <f>IFERROR(__xludf.DUMMYFUNCTION("""COMPUTED_VALUE"""),352.0)</f>
        <v>352</v>
      </c>
      <c r="H89" s="35" t="str">
        <f>IFERROR(__xludf.DUMMYFUNCTION("""COMPUTED_VALUE"""),"Algorithms")</f>
        <v>Algorithms</v>
      </c>
      <c r="I89" s="35">
        <f>IFERROR(__xludf.DUMMYFUNCTION("""COMPUTED_VALUE"""),0.435)</f>
        <v>0.435</v>
      </c>
      <c r="J89" s="35">
        <f>IFERROR(__xludf.DUMMYFUNCTION("""COMPUTED_VALUE"""),88.0)</f>
        <v>88</v>
      </c>
      <c r="K89" s="35" t="b">
        <f>IFERROR(__xludf.DUMMYFUNCTION("""COMPUTED_VALUE"""),FALSE)</f>
        <v>0</v>
      </c>
      <c r="L89" s="35" t="str">
        <f>IFERROR(__xludf.DUMMYFUNCTION("""COMPUTED_VALUE"""),"Array;Two Pointers;Sorting;")</f>
        <v>Array;Two Pointers;Sorting;</v>
      </c>
      <c r="M89" s="35" t="b">
        <f>IFERROR(__xludf.DUMMYFUNCTION("""COMPUTED_VALUE"""),TRUE)</f>
        <v>1</v>
      </c>
      <c r="N89" s="35" t="b">
        <f>IFERROR(__xludf.DUMMYFUNCTION("""COMPUTED_VALUE"""),FALSE)</f>
        <v>0</v>
      </c>
      <c r="O89" s="35">
        <f>IFERROR(__xludf.DUMMYFUNCTION("""COMPUTED_VALUE"""),43.4510211110626)</f>
        <v>43.45102111</v>
      </c>
      <c r="P89" s="35">
        <f>IFERROR(__xludf.DUMMYFUNCTION("""COMPUTED_VALUE"""),1285509.0)</f>
        <v>1285509</v>
      </c>
      <c r="Q89" s="35">
        <f>IFERROR(__xludf.DUMMYFUNCTION("""COMPUTED_VALUE"""),2958543.0)</f>
        <v>2958543</v>
      </c>
    </row>
    <row r="90">
      <c r="A90" s="35">
        <f>IFERROR(__xludf.DUMMYFUNCTION("""COMPUTED_VALUE"""),89.0)</f>
        <v>89</v>
      </c>
      <c r="B90" s="35" t="str">
        <f>IFERROR(__xludf.DUMMYFUNCTION("""COMPUTED_VALUE"""),"Gray Code")</f>
        <v>Gray Code</v>
      </c>
      <c r="C90" s="35" t="str">
        <f>IFERROR(__xludf.DUMMYFUNCTION("""COMPUTED_VALUE"""),"gray-code")</f>
        <v>gray-code</v>
      </c>
      <c r="D90" s="35" t="b">
        <f>IFERROR(__xludf.DUMMYFUNCTION("""COMPUTED_VALUE"""),FALSE)</f>
        <v>0</v>
      </c>
      <c r="E90" s="35" t="str">
        <f>IFERROR(__xludf.DUMMYFUNCTION("""COMPUTED_VALUE"""),"Medium")</f>
        <v>Medium</v>
      </c>
      <c r="F90" s="35">
        <f>IFERROR(__xludf.DUMMYFUNCTION("""COMPUTED_VALUE"""),1376.0)</f>
        <v>1376</v>
      </c>
      <c r="G90" s="35">
        <f>IFERROR(__xludf.DUMMYFUNCTION("""COMPUTED_VALUE"""),2223.0)</f>
        <v>2223</v>
      </c>
      <c r="H90" s="35" t="str">
        <f>IFERROR(__xludf.DUMMYFUNCTION("""COMPUTED_VALUE"""),"Algorithms")</f>
        <v>Algorithms</v>
      </c>
      <c r="I90" s="35">
        <f>IFERROR(__xludf.DUMMYFUNCTION("""COMPUTED_VALUE"""),0.55)</f>
        <v>0.55</v>
      </c>
      <c r="J90" s="35">
        <f>IFERROR(__xludf.DUMMYFUNCTION("""COMPUTED_VALUE"""),89.0)</f>
        <v>89</v>
      </c>
      <c r="K90" s="35" t="b">
        <f>IFERROR(__xludf.DUMMYFUNCTION("""COMPUTED_VALUE"""),FALSE)</f>
        <v>0</v>
      </c>
      <c r="L90" s="35" t="str">
        <f>IFERROR(__xludf.DUMMYFUNCTION("""COMPUTED_VALUE"""),"Math;Backtracking;Bit Manipulation;")</f>
        <v>Math;Backtracking;Bit Manipulation;</v>
      </c>
      <c r="M90" s="35" t="b">
        <f>IFERROR(__xludf.DUMMYFUNCTION("""COMPUTED_VALUE"""),TRUE)</f>
        <v>1</v>
      </c>
      <c r="N90" s="35" t="b">
        <f>IFERROR(__xludf.DUMMYFUNCTION("""COMPUTED_VALUE"""),FALSE)</f>
        <v>0</v>
      </c>
      <c r="O90" s="35">
        <f>IFERROR(__xludf.DUMMYFUNCTION("""COMPUTED_VALUE"""),54.9737803909105)</f>
        <v>54.97378039</v>
      </c>
      <c r="P90" s="35">
        <f>IFERROR(__xludf.DUMMYFUNCTION("""COMPUTED_VALUE"""),228326.0)</f>
        <v>228326</v>
      </c>
      <c r="Q90" s="35">
        <f>IFERROR(__xludf.DUMMYFUNCTION("""COMPUTED_VALUE"""),415336.0)</f>
        <v>415336</v>
      </c>
    </row>
    <row r="91">
      <c r="A91" s="35">
        <f>IFERROR(__xludf.DUMMYFUNCTION("""COMPUTED_VALUE"""),90.0)</f>
        <v>90</v>
      </c>
      <c r="B91" s="35" t="str">
        <f>IFERROR(__xludf.DUMMYFUNCTION("""COMPUTED_VALUE"""),"Subsets II")</f>
        <v>Subsets II</v>
      </c>
      <c r="C91" s="35" t="str">
        <f>IFERROR(__xludf.DUMMYFUNCTION("""COMPUTED_VALUE"""),"subsets-ii")</f>
        <v>subsets-ii</v>
      </c>
      <c r="D91" s="35" t="b">
        <f>IFERROR(__xludf.DUMMYFUNCTION("""COMPUTED_VALUE"""),FALSE)</f>
        <v>0</v>
      </c>
      <c r="E91" s="35" t="str">
        <f>IFERROR(__xludf.DUMMYFUNCTION("""COMPUTED_VALUE"""),"Medium")</f>
        <v>Medium</v>
      </c>
      <c r="F91" s="35">
        <f>IFERROR(__xludf.DUMMYFUNCTION("""COMPUTED_VALUE"""),4615.0)</f>
        <v>4615</v>
      </c>
      <c r="G91" s="35">
        <f>IFERROR(__xludf.DUMMYFUNCTION("""COMPUTED_VALUE"""),144.0)</f>
        <v>144</v>
      </c>
      <c r="H91" s="35" t="str">
        <f>IFERROR(__xludf.DUMMYFUNCTION("""COMPUTED_VALUE"""),"Algorithms")</f>
        <v>Algorithms</v>
      </c>
      <c r="I91" s="35">
        <f>IFERROR(__xludf.DUMMYFUNCTION("""COMPUTED_VALUE"""),0.528)</f>
        <v>0.528</v>
      </c>
      <c r="J91" s="35">
        <f>IFERROR(__xludf.DUMMYFUNCTION("""COMPUTED_VALUE"""),90.0)</f>
        <v>90</v>
      </c>
      <c r="K91" s="35" t="b">
        <f>IFERROR(__xludf.DUMMYFUNCTION("""COMPUTED_VALUE"""),FALSE)</f>
        <v>0</v>
      </c>
      <c r="L91" s="35" t="str">
        <f>IFERROR(__xludf.DUMMYFUNCTION("""COMPUTED_VALUE"""),"Array;Backtracking;Bit Manipulation;")</f>
        <v>Array;Backtracking;Bit Manipulation;</v>
      </c>
      <c r="M91" s="35" t="b">
        <f>IFERROR(__xludf.DUMMYFUNCTION("""COMPUTED_VALUE"""),TRUE)</f>
        <v>1</v>
      </c>
      <c r="N91" s="35" t="b">
        <f>IFERROR(__xludf.DUMMYFUNCTION("""COMPUTED_VALUE"""),FALSE)</f>
        <v>0</v>
      </c>
      <c r="O91" s="35">
        <f>IFERROR(__xludf.DUMMYFUNCTION("""COMPUTED_VALUE"""),52.7730596459385)</f>
        <v>52.77305965</v>
      </c>
      <c r="P91" s="35">
        <f>IFERROR(__xludf.DUMMYFUNCTION("""COMPUTED_VALUE"""),475668.0)</f>
        <v>475668</v>
      </c>
      <c r="Q91" s="35">
        <f>IFERROR(__xludf.DUMMYFUNCTION("""COMPUTED_VALUE"""),901350.0)</f>
        <v>901350</v>
      </c>
    </row>
    <row r="92">
      <c r="A92" s="35">
        <f>IFERROR(__xludf.DUMMYFUNCTION("""COMPUTED_VALUE"""),91.0)</f>
        <v>91</v>
      </c>
      <c r="B92" s="35" t="str">
        <f>IFERROR(__xludf.DUMMYFUNCTION("""COMPUTED_VALUE"""),"Decode Ways")</f>
        <v>Decode Ways</v>
      </c>
      <c r="C92" s="35" t="str">
        <f>IFERROR(__xludf.DUMMYFUNCTION("""COMPUTED_VALUE"""),"decode-ways")</f>
        <v>decode-ways</v>
      </c>
      <c r="D92" s="35" t="b">
        <f>IFERROR(__xludf.DUMMYFUNCTION("""COMPUTED_VALUE"""),FALSE)</f>
        <v>0</v>
      </c>
      <c r="E92" s="35" t="str">
        <f>IFERROR(__xludf.DUMMYFUNCTION("""COMPUTED_VALUE"""),"Medium")</f>
        <v>Medium</v>
      </c>
      <c r="F92" s="35">
        <f>IFERROR(__xludf.DUMMYFUNCTION("""COMPUTED_VALUE"""),6485.0)</f>
        <v>6485</v>
      </c>
      <c r="G92" s="35">
        <f>IFERROR(__xludf.DUMMYFUNCTION("""COMPUTED_VALUE"""),3750.0)</f>
        <v>3750</v>
      </c>
      <c r="H92" s="35" t="str">
        <f>IFERROR(__xludf.DUMMYFUNCTION("""COMPUTED_VALUE"""),"Algorithms")</f>
        <v>Algorithms</v>
      </c>
      <c r="I92" s="35">
        <f>IFERROR(__xludf.DUMMYFUNCTION("""COMPUTED_VALUE"""),0.299)</f>
        <v>0.299</v>
      </c>
      <c r="J92" s="35">
        <f>IFERROR(__xludf.DUMMYFUNCTION("""COMPUTED_VALUE"""),91.0)</f>
        <v>91</v>
      </c>
      <c r="K92" s="35" t="b">
        <f>IFERROR(__xludf.DUMMYFUNCTION("""COMPUTED_VALUE"""),FALSE)</f>
        <v>0</v>
      </c>
      <c r="L92" s="35" t="str">
        <f>IFERROR(__xludf.DUMMYFUNCTION("""COMPUTED_VALUE"""),"String;Dynamic Programming;")</f>
        <v>String;Dynamic Programming;</v>
      </c>
      <c r="M92" s="35" t="b">
        <f>IFERROR(__xludf.DUMMYFUNCTION("""COMPUTED_VALUE"""),TRUE)</f>
        <v>1</v>
      </c>
      <c r="N92" s="35" t="b">
        <f>IFERROR(__xludf.DUMMYFUNCTION("""COMPUTED_VALUE"""),TRUE)</f>
        <v>1</v>
      </c>
      <c r="O92" s="35">
        <f>IFERROR(__xludf.DUMMYFUNCTION("""COMPUTED_VALUE"""),29.8862956746246)</f>
        <v>29.88629567</v>
      </c>
      <c r="P92" s="35">
        <f>IFERROR(__xludf.DUMMYFUNCTION("""COMPUTED_VALUE"""),744070.0)</f>
        <v>744070</v>
      </c>
      <c r="Q92" s="35">
        <f>IFERROR(__xludf.DUMMYFUNCTION("""COMPUTED_VALUE"""),2489685.0)</f>
        <v>2489685</v>
      </c>
    </row>
    <row r="93">
      <c r="A93" s="35">
        <f>IFERROR(__xludf.DUMMYFUNCTION("""COMPUTED_VALUE"""),92.0)</f>
        <v>92</v>
      </c>
      <c r="B93" s="35" t="str">
        <f>IFERROR(__xludf.DUMMYFUNCTION("""COMPUTED_VALUE"""),"Reverse Linked List II")</f>
        <v>Reverse Linked List II</v>
      </c>
      <c r="C93" s="35" t="str">
        <f>IFERROR(__xludf.DUMMYFUNCTION("""COMPUTED_VALUE"""),"reverse-linked-list-ii")</f>
        <v>reverse-linked-list-ii</v>
      </c>
      <c r="D93" s="35" t="b">
        <f>IFERROR(__xludf.DUMMYFUNCTION("""COMPUTED_VALUE"""),FALSE)</f>
        <v>0</v>
      </c>
      <c r="E93" s="35" t="str">
        <f>IFERROR(__xludf.DUMMYFUNCTION("""COMPUTED_VALUE"""),"Medium")</f>
        <v>Medium</v>
      </c>
      <c r="F93" s="35">
        <f>IFERROR(__xludf.DUMMYFUNCTION("""COMPUTED_VALUE"""),5731.0)</f>
        <v>5731</v>
      </c>
      <c r="G93" s="35">
        <f>IFERROR(__xludf.DUMMYFUNCTION("""COMPUTED_VALUE"""),271.0)</f>
        <v>271</v>
      </c>
      <c r="H93" s="35" t="str">
        <f>IFERROR(__xludf.DUMMYFUNCTION("""COMPUTED_VALUE"""),"Algorithms")</f>
        <v>Algorithms</v>
      </c>
      <c r="I93" s="35">
        <f>IFERROR(__xludf.DUMMYFUNCTION("""COMPUTED_VALUE"""),0.432)</f>
        <v>0.432</v>
      </c>
      <c r="J93" s="35">
        <f>IFERROR(__xludf.DUMMYFUNCTION("""COMPUTED_VALUE"""),92.0)</f>
        <v>92</v>
      </c>
      <c r="K93" s="35" t="b">
        <f>IFERROR(__xludf.DUMMYFUNCTION("""COMPUTED_VALUE"""),FALSE)</f>
        <v>0</v>
      </c>
      <c r="L93" s="35" t="str">
        <f>IFERROR(__xludf.DUMMYFUNCTION("""COMPUTED_VALUE"""),"Linked List;")</f>
        <v>Linked List;</v>
      </c>
      <c r="M93" s="35" t="b">
        <f>IFERROR(__xludf.DUMMYFUNCTION("""COMPUTED_VALUE"""),TRUE)</f>
        <v>1</v>
      </c>
      <c r="N93" s="35" t="b">
        <f>IFERROR(__xludf.DUMMYFUNCTION("""COMPUTED_VALUE"""),FALSE)</f>
        <v>0</v>
      </c>
      <c r="O93" s="35">
        <f>IFERROR(__xludf.DUMMYFUNCTION("""COMPUTED_VALUE"""),43.1531060162714)</f>
        <v>43.15310602</v>
      </c>
      <c r="P93" s="35">
        <f>IFERROR(__xludf.DUMMYFUNCTION("""COMPUTED_VALUE"""),459385.0)</f>
        <v>459385</v>
      </c>
      <c r="Q93" s="35">
        <f>IFERROR(__xludf.DUMMYFUNCTION("""COMPUTED_VALUE"""),1064554.0)</f>
        <v>1064554</v>
      </c>
    </row>
    <row r="94">
      <c r="A94" s="35">
        <f>IFERROR(__xludf.DUMMYFUNCTION("""COMPUTED_VALUE"""),93.0)</f>
        <v>93</v>
      </c>
      <c r="B94" s="35" t="str">
        <f>IFERROR(__xludf.DUMMYFUNCTION("""COMPUTED_VALUE"""),"Restore IP Addresses")</f>
        <v>Restore IP Addresses</v>
      </c>
      <c r="C94" s="35" t="str">
        <f>IFERROR(__xludf.DUMMYFUNCTION("""COMPUTED_VALUE"""),"restore-ip-addresses")</f>
        <v>restore-ip-addresses</v>
      </c>
      <c r="D94" s="35" t="b">
        <f>IFERROR(__xludf.DUMMYFUNCTION("""COMPUTED_VALUE"""),FALSE)</f>
        <v>0</v>
      </c>
      <c r="E94" s="35" t="str">
        <f>IFERROR(__xludf.DUMMYFUNCTION("""COMPUTED_VALUE"""),"Medium")</f>
        <v>Medium</v>
      </c>
      <c r="F94" s="35">
        <f>IFERROR(__xludf.DUMMYFUNCTION("""COMPUTED_VALUE"""),2564.0)</f>
        <v>2564</v>
      </c>
      <c r="G94" s="35">
        <f>IFERROR(__xludf.DUMMYFUNCTION("""COMPUTED_VALUE"""),620.0)</f>
        <v>620</v>
      </c>
      <c r="H94" s="35" t="str">
        <f>IFERROR(__xludf.DUMMYFUNCTION("""COMPUTED_VALUE"""),"Algorithms")</f>
        <v>Algorithms</v>
      </c>
      <c r="I94" s="35">
        <f>IFERROR(__xludf.DUMMYFUNCTION("""COMPUTED_VALUE"""),0.414)</f>
        <v>0.414</v>
      </c>
      <c r="J94" s="35">
        <f>IFERROR(__xludf.DUMMYFUNCTION("""COMPUTED_VALUE"""),93.0)</f>
        <v>93</v>
      </c>
      <c r="K94" s="35" t="b">
        <f>IFERROR(__xludf.DUMMYFUNCTION("""COMPUTED_VALUE"""),FALSE)</f>
        <v>0</v>
      </c>
      <c r="L94" s="35" t="str">
        <f>IFERROR(__xludf.DUMMYFUNCTION("""COMPUTED_VALUE"""),"String;Backtracking;")</f>
        <v>String;Backtracking;</v>
      </c>
      <c r="M94" s="35" t="b">
        <f>IFERROR(__xludf.DUMMYFUNCTION("""COMPUTED_VALUE"""),TRUE)</f>
        <v>1</v>
      </c>
      <c r="N94" s="35" t="b">
        <f>IFERROR(__xludf.DUMMYFUNCTION("""COMPUTED_VALUE"""),FALSE)</f>
        <v>0</v>
      </c>
      <c r="O94" s="35">
        <f>IFERROR(__xludf.DUMMYFUNCTION("""COMPUTED_VALUE"""),41.3653505755954)</f>
        <v>41.36535058</v>
      </c>
      <c r="P94" s="35">
        <f>IFERROR(__xludf.DUMMYFUNCTION("""COMPUTED_VALUE"""),288141.0)</f>
        <v>288141</v>
      </c>
      <c r="Q94" s="35">
        <f>IFERROR(__xludf.DUMMYFUNCTION("""COMPUTED_VALUE"""),696578.0)</f>
        <v>696578</v>
      </c>
    </row>
    <row r="95">
      <c r="A95" s="35">
        <f>IFERROR(__xludf.DUMMYFUNCTION("""COMPUTED_VALUE"""),94.0)</f>
        <v>94</v>
      </c>
      <c r="B95" s="35" t="str">
        <f>IFERROR(__xludf.DUMMYFUNCTION("""COMPUTED_VALUE"""),"Binary Tree Inorder Traversal")</f>
        <v>Binary Tree Inorder Traversal</v>
      </c>
      <c r="C95" s="35" t="str">
        <f>IFERROR(__xludf.DUMMYFUNCTION("""COMPUTED_VALUE"""),"binary-tree-inorder-traversal")</f>
        <v>binary-tree-inorder-traversal</v>
      </c>
      <c r="D95" s="35" t="b">
        <f>IFERROR(__xludf.DUMMYFUNCTION("""COMPUTED_VALUE"""),FALSE)</f>
        <v>0</v>
      </c>
      <c r="E95" s="35" t="str">
        <f>IFERROR(__xludf.DUMMYFUNCTION("""COMPUTED_VALUE"""),"Easy")</f>
        <v>Easy</v>
      </c>
      <c r="F95" s="35">
        <f>IFERROR(__xludf.DUMMYFUNCTION("""COMPUTED_VALUE"""),7131.0)</f>
        <v>7131</v>
      </c>
      <c r="G95" s="35">
        <f>IFERROR(__xludf.DUMMYFUNCTION("""COMPUTED_VALUE"""),315.0)</f>
        <v>315</v>
      </c>
      <c r="H95" s="35" t="str">
        <f>IFERROR(__xludf.DUMMYFUNCTION("""COMPUTED_VALUE"""),"Algorithms")</f>
        <v>Algorithms</v>
      </c>
      <c r="I95" s="35">
        <f>IFERROR(__xludf.DUMMYFUNCTION("""COMPUTED_VALUE"""),0.703)</f>
        <v>0.703</v>
      </c>
      <c r="J95" s="35">
        <f>IFERROR(__xludf.DUMMYFUNCTION("""COMPUTED_VALUE"""),94.0)</f>
        <v>94</v>
      </c>
      <c r="K95" s="35" t="b">
        <f>IFERROR(__xludf.DUMMYFUNCTION("""COMPUTED_VALUE"""),FALSE)</f>
        <v>0</v>
      </c>
      <c r="L95" s="35" t="str">
        <f>IFERROR(__xludf.DUMMYFUNCTION("""COMPUTED_VALUE"""),"Stack;Tree;Depth-First Search;Binary Tree;")</f>
        <v>Stack;Tree;Depth-First Search;Binary Tree;</v>
      </c>
      <c r="M95" s="35" t="b">
        <f>IFERROR(__xludf.DUMMYFUNCTION("""COMPUTED_VALUE"""),TRUE)</f>
        <v>1</v>
      </c>
      <c r="N95" s="35" t="b">
        <f>IFERROR(__xludf.DUMMYFUNCTION("""COMPUTED_VALUE"""),FALSE)</f>
        <v>0</v>
      </c>
      <c r="O95" s="35">
        <f>IFERROR(__xludf.DUMMYFUNCTION("""COMPUTED_VALUE"""),70.2609970134975)</f>
        <v>70.26099701</v>
      </c>
      <c r="P95" s="35">
        <f>IFERROR(__xludf.DUMMYFUNCTION("""COMPUTED_VALUE"""),1374840.0)</f>
        <v>1374840</v>
      </c>
      <c r="Q95" s="35">
        <f>IFERROR(__xludf.DUMMYFUNCTION("""COMPUTED_VALUE"""),1956770.0)</f>
        <v>1956770</v>
      </c>
    </row>
    <row r="96">
      <c r="A96" s="35">
        <f>IFERROR(__xludf.DUMMYFUNCTION("""COMPUTED_VALUE"""),95.0)</f>
        <v>95</v>
      </c>
      <c r="B96" s="35" t="str">
        <f>IFERROR(__xludf.DUMMYFUNCTION("""COMPUTED_VALUE"""),"Unique Binary Search Trees II")</f>
        <v>Unique Binary Search Trees II</v>
      </c>
      <c r="C96" s="35" t="str">
        <f>IFERROR(__xludf.DUMMYFUNCTION("""COMPUTED_VALUE"""),"unique-binary-search-trees-ii")</f>
        <v>unique-binary-search-trees-ii</v>
      </c>
      <c r="D96" s="35" t="b">
        <f>IFERROR(__xludf.DUMMYFUNCTION("""COMPUTED_VALUE"""),FALSE)</f>
        <v>0</v>
      </c>
      <c r="E96" s="35" t="str">
        <f>IFERROR(__xludf.DUMMYFUNCTION("""COMPUTED_VALUE"""),"Medium")</f>
        <v>Medium</v>
      </c>
      <c r="F96" s="35">
        <f>IFERROR(__xludf.DUMMYFUNCTION("""COMPUTED_VALUE"""),4511.0)</f>
        <v>4511</v>
      </c>
      <c r="G96" s="35">
        <f>IFERROR(__xludf.DUMMYFUNCTION("""COMPUTED_VALUE"""),293.0)</f>
        <v>293</v>
      </c>
      <c r="H96" s="35" t="str">
        <f>IFERROR(__xludf.DUMMYFUNCTION("""COMPUTED_VALUE"""),"Algorithms")</f>
        <v>Algorithms</v>
      </c>
      <c r="I96" s="35">
        <f>IFERROR(__xludf.DUMMYFUNCTION("""COMPUTED_VALUE"""),0.489)</f>
        <v>0.489</v>
      </c>
      <c r="J96" s="35">
        <f>IFERROR(__xludf.DUMMYFUNCTION("""COMPUTED_VALUE"""),95.0)</f>
        <v>95</v>
      </c>
      <c r="K96" s="35" t="b">
        <f>IFERROR(__xludf.DUMMYFUNCTION("""COMPUTED_VALUE"""),FALSE)</f>
        <v>0</v>
      </c>
      <c r="L96" s="35" t="str">
        <f>IFERROR(__xludf.DUMMYFUNCTION("""COMPUTED_VALUE"""),"Dynamic Programming;Backtracking;Tree;Binary Search Tree;Binary Tree;")</f>
        <v>Dynamic Programming;Backtracking;Tree;Binary Search Tree;Binary Tree;</v>
      </c>
      <c r="M96" s="35" t="b">
        <f>IFERROR(__xludf.DUMMYFUNCTION("""COMPUTED_VALUE"""),TRUE)</f>
        <v>1</v>
      </c>
      <c r="N96" s="35" t="b">
        <f>IFERROR(__xludf.DUMMYFUNCTION("""COMPUTED_VALUE"""),FALSE)</f>
        <v>0</v>
      </c>
      <c r="O96" s="35">
        <f>IFERROR(__xludf.DUMMYFUNCTION("""COMPUTED_VALUE"""),48.9089555908703)</f>
        <v>48.90895559</v>
      </c>
      <c r="P96" s="35">
        <f>IFERROR(__xludf.DUMMYFUNCTION("""COMPUTED_VALUE"""),296377.0)</f>
        <v>296377</v>
      </c>
      <c r="Q96" s="35">
        <f>IFERROR(__xludf.DUMMYFUNCTION("""COMPUTED_VALUE"""),605978.0)</f>
        <v>605978</v>
      </c>
    </row>
    <row r="97">
      <c r="A97" s="35">
        <f>IFERROR(__xludf.DUMMYFUNCTION("""COMPUTED_VALUE"""),96.0)</f>
        <v>96</v>
      </c>
      <c r="B97" s="35" t="str">
        <f>IFERROR(__xludf.DUMMYFUNCTION("""COMPUTED_VALUE"""),"Unique Binary Search Trees")</f>
        <v>Unique Binary Search Trees</v>
      </c>
      <c r="C97" s="35" t="str">
        <f>IFERROR(__xludf.DUMMYFUNCTION("""COMPUTED_VALUE"""),"unique-binary-search-trees")</f>
        <v>unique-binary-search-trees</v>
      </c>
      <c r="D97" s="35" t="b">
        <f>IFERROR(__xludf.DUMMYFUNCTION("""COMPUTED_VALUE"""),FALSE)</f>
        <v>0</v>
      </c>
      <c r="E97" s="35" t="str">
        <f>IFERROR(__xludf.DUMMYFUNCTION("""COMPUTED_VALUE"""),"Medium")</f>
        <v>Medium</v>
      </c>
      <c r="F97" s="35">
        <f>IFERROR(__xludf.DUMMYFUNCTION("""COMPUTED_VALUE"""),6836.0)</f>
        <v>6836</v>
      </c>
      <c r="G97" s="35">
        <f>IFERROR(__xludf.DUMMYFUNCTION("""COMPUTED_VALUE"""),270.0)</f>
        <v>270</v>
      </c>
      <c r="H97" s="35" t="str">
        <f>IFERROR(__xludf.DUMMYFUNCTION("""COMPUTED_VALUE"""),"Algorithms")</f>
        <v>Algorithms</v>
      </c>
      <c r="I97" s="35">
        <f>IFERROR(__xludf.DUMMYFUNCTION("""COMPUTED_VALUE"""),0.58)</f>
        <v>0.58</v>
      </c>
      <c r="J97" s="35">
        <f>IFERROR(__xludf.DUMMYFUNCTION("""COMPUTED_VALUE"""),96.0)</f>
        <v>96</v>
      </c>
      <c r="K97" s="35" t="b">
        <f>IFERROR(__xludf.DUMMYFUNCTION("""COMPUTED_VALUE"""),FALSE)</f>
        <v>0</v>
      </c>
      <c r="L97" s="35" t="str">
        <f>IFERROR(__xludf.DUMMYFUNCTION("""COMPUTED_VALUE"""),"Math;Dynamic Programming;Tree;Binary Search Tree;Binary Tree;")</f>
        <v>Math;Dynamic Programming;Tree;Binary Search Tree;Binary Tree;</v>
      </c>
      <c r="M97" s="35" t="b">
        <f>IFERROR(__xludf.DUMMYFUNCTION("""COMPUTED_VALUE"""),TRUE)</f>
        <v>1</v>
      </c>
      <c r="N97" s="35" t="b">
        <f>IFERROR(__xludf.DUMMYFUNCTION("""COMPUTED_VALUE"""),FALSE)</f>
        <v>0</v>
      </c>
      <c r="O97" s="35">
        <f>IFERROR(__xludf.DUMMYFUNCTION("""COMPUTED_VALUE"""),58.0066431917267)</f>
        <v>58.00664319</v>
      </c>
      <c r="P97" s="35">
        <f>IFERROR(__xludf.DUMMYFUNCTION("""COMPUTED_VALUE"""),464873.0)</f>
        <v>464873</v>
      </c>
      <c r="Q97" s="35">
        <f>IFERROR(__xludf.DUMMYFUNCTION("""COMPUTED_VALUE"""),801416.0)</f>
        <v>801416</v>
      </c>
    </row>
    <row r="98">
      <c r="A98" s="35">
        <f>IFERROR(__xludf.DUMMYFUNCTION("""COMPUTED_VALUE"""),97.0)</f>
        <v>97</v>
      </c>
      <c r="B98" s="35" t="str">
        <f>IFERROR(__xludf.DUMMYFUNCTION("""COMPUTED_VALUE"""),"Interleaving String")</f>
        <v>Interleaving String</v>
      </c>
      <c r="C98" s="35" t="str">
        <f>IFERROR(__xludf.DUMMYFUNCTION("""COMPUTED_VALUE"""),"interleaving-string")</f>
        <v>interleaving-string</v>
      </c>
      <c r="D98" s="35" t="b">
        <f>IFERROR(__xludf.DUMMYFUNCTION("""COMPUTED_VALUE"""),FALSE)</f>
        <v>0</v>
      </c>
      <c r="E98" s="35" t="str">
        <f>IFERROR(__xludf.DUMMYFUNCTION("""COMPUTED_VALUE"""),"Medium")</f>
        <v>Medium</v>
      </c>
      <c r="F98" s="35">
        <f>IFERROR(__xludf.DUMMYFUNCTION("""COMPUTED_VALUE"""),3650.0)</f>
        <v>3650</v>
      </c>
      <c r="G98" s="35">
        <f>IFERROR(__xludf.DUMMYFUNCTION("""COMPUTED_VALUE"""),194.0)</f>
        <v>194</v>
      </c>
      <c r="H98" s="35" t="str">
        <f>IFERROR(__xludf.DUMMYFUNCTION("""COMPUTED_VALUE"""),"Algorithms")</f>
        <v>Algorithms</v>
      </c>
      <c r="I98" s="35">
        <f>IFERROR(__xludf.DUMMYFUNCTION("""COMPUTED_VALUE"""),0.346)</f>
        <v>0.346</v>
      </c>
      <c r="J98" s="35">
        <f>IFERROR(__xludf.DUMMYFUNCTION("""COMPUTED_VALUE"""),97.0)</f>
        <v>97</v>
      </c>
      <c r="K98" s="35" t="b">
        <f>IFERROR(__xludf.DUMMYFUNCTION("""COMPUTED_VALUE"""),FALSE)</f>
        <v>0</v>
      </c>
      <c r="L98" s="35" t="str">
        <f>IFERROR(__xludf.DUMMYFUNCTION("""COMPUTED_VALUE"""),"String;Dynamic Programming;")</f>
        <v>String;Dynamic Programming;</v>
      </c>
      <c r="M98" s="35" t="b">
        <f>IFERROR(__xludf.DUMMYFUNCTION("""COMPUTED_VALUE"""),TRUE)</f>
        <v>1</v>
      </c>
      <c r="N98" s="35" t="b">
        <f>IFERROR(__xludf.DUMMYFUNCTION("""COMPUTED_VALUE"""),FALSE)</f>
        <v>0</v>
      </c>
      <c r="O98" s="35">
        <f>IFERROR(__xludf.DUMMYFUNCTION("""COMPUTED_VALUE"""),34.5582617293635)</f>
        <v>34.55826173</v>
      </c>
      <c r="P98" s="35">
        <f>IFERROR(__xludf.DUMMYFUNCTION("""COMPUTED_VALUE"""),253743.0)</f>
        <v>253743</v>
      </c>
      <c r="Q98" s="35">
        <f>IFERROR(__xludf.DUMMYFUNCTION("""COMPUTED_VALUE"""),734247.0)</f>
        <v>734247</v>
      </c>
    </row>
    <row r="99">
      <c r="A99" s="35">
        <f>IFERROR(__xludf.DUMMYFUNCTION("""COMPUTED_VALUE"""),98.0)</f>
        <v>98</v>
      </c>
      <c r="B99" s="35" t="str">
        <f>IFERROR(__xludf.DUMMYFUNCTION("""COMPUTED_VALUE"""),"Validate Binary Search Tree")</f>
        <v>Validate Binary Search Tree</v>
      </c>
      <c r="C99" s="35" t="str">
        <f>IFERROR(__xludf.DUMMYFUNCTION("""COMPUTED_VALUE"""),"validate-binary-search-tree")</f>
        <v>validate-binary-search-tree</v>
      </c>
      <c r="D99" s="35" t="b">
        <f>IFERROR(__xludf.DUMMYFUNCTION("""COMPUTED_VALUE"""),FALSE)</f>
        <v>0</v>
      </c>
      <c r="E99" s="35" t="str">
        <f>IFERROR(__xludf.DUMMYFUNCTION("""COMPUTED_VALUE"""),"Medium")</f>
        <v>Medium</v>
      </c>
      <c r="F99" s="35">
        <f>IFERROR(__xludf.DUMMYFUNCTION("""COMPUTED_VALUE"""),9093.0)</f>
        <v>9093</v>
      </c>
      <c r="G99" s="35">
        <f>IFERROR(__xludf.DUMMYFUNCTION("""COMPUTED_VALUE"""),861.0)</f>
        <v>861</v>
      </c>
      <c r="H99" s="35" t="str">
        <f>IFERROR(__xludf.DUMMYFUNCTION("""COMPUTED_VALUE"""),"Algorithms")</f>
        <v>Algorithms</v>
      </c>
      <c r="I99" s="35">
        <f>IFERROR(__xludf.DUMMYFUNCTION("""COMPUTED_VALUE"""),0.303)</f>
        <v>0.303</v>
      </c>
      <c r="J99" s="35">
        <f>IFERROR(__xludf.DUMMYFUNCTION("""COMPUTED_VALUE"""),98.0)</f>
        <v>98</v>
      </c>
      <c r="K99" s="35" t="b">
        <f>IFERROR(__xludf.DUMMYFUNCTION("""COMPUTED_VALUE"""),FALSE)</f>
        <v>0</v>
      </c>
      <c r="L99" s="35" t="str">
        <f>IFERROR(__xludf.DUMMYFUNCTION("""COMPUTED_VALUE"""),"Tree;Depth-First Search;Binary Search Tree;Binary Tree;")</f>
        <v>Tree;Depth-First Search;Binary Search Tree;Binary Tree;</v>
      </c>
      <c r="M99" s="35" t="b">
        <f>IFERROR(__xludf.DUMMYFUNCTION("""COMPUTED_VALUE"""),TRUE)</f>
        <v>1</v>
      </c>
      <c r="N99" s="35" t="b">
        <f>IFERROR(__xludf.DUMMYFUNCTION("""COMPUTED_VALUE"""),TRUE)</f>
        <v>1</v>
      </c>
      <c r="O99" s="35">
        <f>IFERROR(__xludf.DUMMYFUNCTION("""COMPUTED_VALUE"""),30.3134683272355)</f>
        <v>30.31346833</v>
      </c>
      <c r="P99" s="35">
        <f>IFERROR(__xludf.DUMMYFUNCTION("""COMPUTED_VALUE"""),1320659.0)</f>
        <v>1320659</v>
      </c>
      <c r="Q99" s="35">
        <f>IFERROR(__xludf.DUMMYFUNCTION("""COMPUTED_VALUE"""),4356681.0)</f>
        <v>4356681</v>
      </c>
    </row>
    <row r="100">
      <c r="A100" s="35">
        <f>IFERROR(__xludf.DUMMYFUNCTION("""COMPUTED_VALUE"""),99.0)</f>
        <v>99</v>
      </c>
      <c r="B100" s="35" t="str">
        <f>IFERROR(__xludf.DUMMYFUNCTION("""COMPUTED_VALUE"""),"Recover Binary Search Tree")</f>
        <v>Recover Binary Search Tree</v>
      </c>
      <c r="C100" s="35" t="str">
        <f>IFERROR(__xludf.DUMMYFUNCTION("""COMPUTED_VALUE"""),"recover-binary-search-tree")</f>
        <v>recover-binary-search-tree</v>
      </c>
      <c r="D100" s="35" t="b">
        <f>IFERROR(__xludf.DUMMYFUNCTION("""COMPUTED_VALUE"""),FALSE)</f>
        <v>0</v>
      </c>
      <c r="E100" s="35" t="str">
        <f>IFERROR(__xludf.DUMMYFUNCTION("""COMPUTED_VALUE"""),"Medium")</f>
        <v>Medium</v>
      </c>
      <c r="F100" s="35">
        <f>IFERROR(__xludf.DUMMYFUNCTION("""COMPUTED_VALUE"""),3986.0)</f>
        <v>3986</v>
      </c>
      <c r="G100" s="35">
        <f>IFERROR(__xludf.DUMMYFUNCTION("""COMPUTED_VALUE"""),149.0)</f>
        <v>149</v>
      </c>
      <c r="H100" s="35" t="str">
        <f>IFERROR(__xludf.DUMMYFUNCTION("""COMPUTED_VALUE"""),"Algorithms")</f>
        <v>Algorithms</v>
      </c>
      <c r="I100" s="35">
        <f>IFERROR(__xludf.DUMMYFUNCTION("""COMPUTED_VALUE"""),0.46)</f>
        <v>0.46</v>
      </c>
      <c r="J100" s="35">
        <f>IFERROR(__xludf.DUMMYFUNCTION("""COMPUTED_VALUE"""),99.0)</f>
        <v>99</v>
      </c>
      <c r="K100" s="35" t="b">
        <f>IFERROR(__xludf.DUMMYFUNCTION("""COMPUTED_VALUE"""),FALSE)</f>
        <v>0</v>
      </c>
      <c r="L100" s="35" t="str">
        <f>IFERROR(__xludf.DUMMYFUNCTION("""COMPUTED_VALUE"""),"Tree;Depth-First Search;Binary Search Tree;Binary Tree;")</f>
        <v>Tree;Depth-First Search;Binary Search Tree;Binary Tree;</v>
      </c>
      <c r="M100" s="35" t="b">
        <f>IFERROR(__xludf.DUMMYFUNCTION("""COMPUTED_VALUE"""),TRUE)</f>
        <v>1</v>
      </c>
      <c r="N100" s="35" t="b">
        <f>IFERROR(__xludf.DUMMYFUNCTION("""COMPUTED_VALUE"""),FALSE)</f>
        <v>0</v>
      </c>
      <c r="O100" s="35">
        <f>IFERROR(__xludf.DUMMYFUNCTION("""COMPUTED_VALUE"""),45.9779632946902)</f>
        <v>45.97796329</v>
      </c>
      <c r="P100" s="35">
        <f>IFERROR(__xludf.DUMMYFUNCTION("""COMPUTED_VALUE"""),272068.0)</f>
        <v>272068</v>
      </c>
      <c r="Q100" s="35">
        <f>IFERROR(__xludf.DUMMYFUNCTION("""COMPUTED_VALUE"""),591738.0)</f>
        <v>591738</v>
      </c>
    </row>
    <row r="101">
      <c r="A101" s="35">
        <f>IFERROR(__xludf.DUMMYFUNCTION("""COMPUTED_VALUE"""),100.0)</f>
        <v>100</v>
      </c>
      <c r="B101" s="35" t="str">
        <f>IFERROR(__xludf.DUMMYFUNCTION("""COMPUTED_VALUE"""),"Same Tree")</f>
        <v>Same Tree</v>
      </c>
      <c r="C101" s="35" t="str">
        <f>IFERROR(__xludf.DUMMYFUNCTION("""COMPUTED_VALUE"""),"same-tree")</f>
        <v>same-tree</v>
      </c>
      <c r="D101" s="35" t="b">
        <f>IFERROR(__xludf.DUMMYFUNCTION("""COMPUTED_VALUE"""),FALSE)</f>
        <v>0</v>
      </c>
      <c r="E101" s="35" t="str">
        <f>IFERROR(__xludf.DUMMYFUNCTION("""COMPUTED_VALUE"""),"Easy")</f>
        <v>Easy</v>
      </c>
      <c r="F101" s="35">
        <f>IFERROR(__xludf.DUMMYFUNCTION("""COMPUTED_VALUE"""),5220.0)</f>
        <v>5220</v>
      </c>
      <c r="G101" s="35">
        <f>IFERROR(__xludf.DUMMYFUNCTION("""COMPUTED_VALUE"""),127.0)</f>
        <v>127</v>
      </c>
      <c r="H101" s="35" t="str">
        <f>IFERROR(__xludf.DUMMYFUNCTION("""COMPUTED_VALUE"""),"Algorithms")</f>
        <v>Algorithms</v>
      </c>
      <c r="I101" s="35">
        <f>IFERROR(__xludf.DUMMYFUNCTION("""COMPUTED_VALUE"""),0.553)</f>
        <v>0.553</v>
      </c>
      <c r="J101" s="35">
        <f>IFERROR(__xludf.DUMMYFUNCTION("""COMPUTED_VALUE"""),100.0)</f>
        <v>100</v>
      </c>
      <c r="K101" s="35" t="b">
        <f>IFERROR(__xludf.DUMMYFUNCTION("""COMPUTED_VALUE"""),FALSE)</f>
        <v>0</v>
      </c>
      <c r="L101" s="35" t="str">
        <f>IFERROR(__xludf.DUMMYFUNCTION("""COMPUTED_VALUE"""),"Tree;Depth-First Search;Breadth-First Search;Binary Tree;")</f>
        <v>Tree;Depth-First Search;Breadth-First Search;Binary Tree;</v>
      </c>
      <c r="M101" s="35" t="b">
        <f>IFERROR(__xludf.DUMMYFUNCTION("""COMPUTED_VALUE"""),TRUE)</f>
        <v>1</v>
      </c>
      <c r="N101" s="35" t="b">
        <f>IFERROR(__xludf.DUMMYFUNCTION("""COMPUTED_VALUE"""),FALSE)</f>
        <v>0</v>
      </c>
      <c r="O101" s="35">
        <f>IFERROR(__xludf.DUMMYFUNCTION("""COMPUTED_VALUE"""),55.3383966610063)</f>
        <v>55.33839666</v>
      </c>
      <c r="P101" s="35">
        <f>IFERROR(__xludf.DUMMYFUNCTION("""COMPUTED_VALUE"""),971446.0)</f>
        <v>971446</v>
      </c>
      <c r="Q101" s="35">
        <f>IFERROR(__xludf.DUMMYFUNCTION("""COMPUTED_VALUE"""),1755469.0)</f>
        <v>1755469</v>
      </c>
    </row>
    <row r="102">
      <c r="A102" s="35">
        <f>IFERROR(__xludf.DUMMYFUNCTION("""COMPUTED_VALUE"""),101.0)</f>
        <v>101</v>
      </c>
      <c r="B102" s="35" t="str">
        <f>IFERROR(__xludf.DUMMYFUNCTION("""COMPUTED_VALUE"""),"Symmetric Tree")</f>
        <v>Symmetric Tree</v>
      </c>
      <c r="C102" s="35" t="str">
        <f>IFERROR(__xludf.DUMMYFUNCTION("""COMPUTED_VALUE"""),"symmetric-tree")</f>
        <v>symmetric-tree</v>
      </c>
      <c r="D102" s="35" t="b">
        <f>IFERROR(__xludf.DUMMYFUNCTION("""COMPUTED_VALUE"""),FALSE)</f>
        <v>0</v>
      </c>
      <c r="E102" s="35" t="str">
        <f>IFERROR(__xludf.DUMMYFUNCTION("""COMPUTED_VALUE"""),"Easy")</f>
        <v>Easy</v>
      </c>
      <c r="F102" s="35">
        <f>IFERROR(__xludf.DUMMYFUNCTION("""COMPUTED_VALUE"""),8849.0)</f>
        <v>8849</v>
      </c>
      <c r="G102" s="35">
        <f>IFERROR(__xludf.DUMMYFUNCTION("""COMPUTED_VALUE"""),220.0)</f>
        <v>220</v>
      </c>
      <c r="H102" s="35" t="str">
        <f>IFERROR(__xludf.DUMMYFUNCTION("""COMPUTED_VALUE"""),"Algorithms")</f>
        <v>Algorithms</v>
      </c>
      <c r="I102" s="35">
        <f>IFERROR(__xludf.DUMMYFUNCTION("""COMPUTED_VALUE"""),0.512)</f>
        <v>0.512</v>
      </c>
      <c r="J102" s="35">
        <f>IFERROR(__xludf.DUMMYFUNCTION("""COMPUTED_VALUE"""),101.0)</f>
        <v>101</v>
      </c>
      <c r="K102" s="35" t="b">
        <f>IFERROR(__xludf.DUMMYFUNCTION("""COMPUTED_VALUE"""),FALSE)</f>
        <v>0</v>
      </c>
      <c r="L102" s="35" t="str">
        <f>IFERROR(__xludf.DUMMYFUNCTION("""COMPUTED_VALUE"""),"Tree;Depth-First Search;Breadth-First Search;Binary Tree;")</f>
        <v>Tree;Depth-First Search;Breadth-First Search;Binary Tree;</v>
      </c>
      <c r="M102" s="35" t="b">
        <f>IFERROR(__xludf.DUMMYFUNCTION("""COMPUTED_VALUE"""),TRUE)</f>
        <v>1</v>
      </c>
      <c r="N102" s="35" t="b">
        <f>IFERROR(__xludf.DUMMYFUNCTION("""COMPUTED_VALUE"""),FALSE)</f>
        <v>0</v>
      </c>
      <c r="O102" s="35">
        <f>IFERROR(__xludf.DUMMYFUNCTION("""COMPUTED_VALUE"""),51.2456772195806)</f>
        <v>51.24567722</v>
      </c>
      <c r="P102" s="35">
        <f>IFERROR(__xludf.DUMMYFUNCTION("""COMPUTED_VALUE"""),1173018.0)</f>
        <v>1173018</v>
      </c>
      <c r="Q102" s="35">
        <f>IFERROR(__xludf.DUMMYFUNCTION("""COMPUTED_VALUE"""),2289015.0)</f>
        <v>2289015</v>
      </c>
    </row>
    <row r="103">
      <c r="A103" s="35">
        <f>IFERROR(__xludf.DUMMYFUNCTION("""COMPUTED_VALUE"""),102.0)</f>
        <v>102</v>
      </c>
      <c r="B103" s="35" t="str">
        <f>IFERROR(__xludf.DUMMYFUNCTION("""COMPUTED_VALUE"""),"Binary Tree Level Order Traversal")</f>
        <v>Binary Tree Level Order Traversal</v>
      </c>
      <c r="C103" s="35" t="str">
        <f>IFERROR(__xludf.DUMMYFUNCTION("""COMPUTED_VALUE"""),"binary-tree-level-order-traversal")</f>
        <v>binary-tree-level-order-traversal</v>
      </c>
      <c r="D103" s="35" t="b">
        <f>IFERROR(__xludf.DUMMYFUNCTION("""COMPUTED_VALUE"""),FALSE)</f>
        <v>0</v>
      </c>
      <c r="E103" s="35" t="str">
        <f>IFERROR(__xludf.DUMMYFUNCTION("""COMPUTED_VALUE"""),"Medium")</f>
        <v>Medium</v>
      </c>
      <c r="F103" s="35">
        <f>IFERROR(__xludf.DUMMYFUNCTION("""COMPUTED_VALUE"""),7541.0)</f>
        <v>7541</v>
      </c>
      <c r="G103" s="35">
        <f>IFERROR(__xludf.DUMMYFUNCTION("""COMPUTED_VALUE"""),151.0)</f>
        <v>151</v>
      </c>
      <c r="H103" s="35" t="str">
        <f>IFERROR(__xludf.DUMMYFUNCTION("""COMPUTED_VALUE"""),"Algorithms")</f>
        <v>Algorithms</v>
      </c>
      <c r="I103" s="35">
        <f>IFERROR(__xludf.DUMMYFUNCTION("""COMPUTED_VALUE"""),0.605)</f>
        <v>0.605</v>
      </c>
      <c r="J103" s="35">
        <f>IFERROR(__xludf.DUMMYFUNCTION("""COMPUTED_VALUE"""),102.0)</f>
        <v>102</v>
      </c>
      <c r="K103" s="35" t="b">
        <f>IFERROR(__xludf.DUMMYFUNCTION("""COMPUTED_VALUE"""),FALSE)</f>
        <v>0</v>
      </c>
      <c r="L103" s="35" t="str">
        <f>IFERROR(__xludf.DUMMYFUNCTION("""COMPUTED_VALUE"""),"Tree;Breadth-First Search;Binary Tree;")</f>
        <v>Tree;Breadth-First Search;Binary Tree;</v>
      </c>
      <c r="M103" s="35" t="b">
        <f>IFERROR(__xludf.DUMMYFUNCTION("""COMPUTED_VALUE"""),TRUE)</f>
        <v>1</v>
      </c>
      <c r="N103" s="35" t="b">
        <f>IFERROR(__xludf.DUMMYFUNCTION("""COMPUTED_VALUE"""),FALSE)</f>
        <v>0</v>
      </c>
      <c r="O103" s="35">
        <f>IFERROR(__xludf.DUMMYFUNCTION("""COMPUTED_VALUE"""),60.4656103832802)</f>
        <v>60.46561038</v>
      </c>
      <c r="P103" s="35">
        <f>IFERROR(__xludf.DUMMYFUNCTION("""COMPUTED_VALUE"""),1161110.0)</f>
        <v>1161110</v>
      </c>
      <c r="Q103" s="35">
        <f>IFERROR(__xludf.DUMMYFUNCTION("""COMPUTED_VALUE"""),1920292.0)</f>
        <v>1920292</v>
      </c>
    </row>
    <row r="104">
      <c r="A104" s="35">
        <f>IFERROR(__xludf.DUMMYFUNCTION("""COMPUTED_VALUE"""),103.0)</f>
        <v>103</v>
      </c>
      <c r="B104" s="35" t="str">
        <f>IFERROR(__xludf.DUMMYFUNCTION("""COMPUTED_VALUE"""),"Binary Tree Zigzag Level Order Traversal")</f>
        <v>Binary Tree Zigzag Level Order Traversal</v>
      </c>
      <c r="C104" s="35" t="str">
        <f>IFERROR(__xludf.DUMMYFUNCTION("""COMPUTED_VALUE"""),"binary-tree-zigzag-level-order-traversal")</f>
        <v>binary-tree-zigzag-level-order-traversal</v>
      </c>
      <c r="D104" s="35" t="b">
        <f>IFERROR(__xludf.DUMMYFUNCTION("""COMPUTED_VALUE"""),FALSE)</f>
        <v>0</v>
      </c>
      <c r="E104" s="35" t="str">
        <f>IFERROR(__xludf.DUMMYFUNCTION("""COMPUTED_VALUE"""),"Medium")</f>
        <v>Medium</v>
      </c>
      <c r="F104" s="35">
        <f>IFERROR(__xludf.DUMMYFUNCTION("""COMPUTED_VALUE"""),5430.0)</f>
        <v>5430</v>
      </c>
      <c r="G104" s="35">
        <f>IFERROR(__xludf.DUMMYFUNCTION("""COMPUTED_VALUE"""),167.0)</f>
        <v>167</v>
      </c>
      <c r="H104" s="35" t="str">
        <f>IFERROR(__xludf.DUMMYFUNCTION("""COMPUTED_VALUE"""),"Algorithms")</f>
        <v>Algorithms</v>
      </c>
      <c r="I104" s="35">
        <f>IFERROR(__xludf.DUMMYFUNCTION("""COMPUTED_VALUE"""),0.532)</f>
        <v>0.532</v>
      </c>
      <c r="J104" s="35">
        <f>IFERROR(__xludf.DUMMYFUNCTION("""COMPUTED_VALUE"""),103.0)</f>
        <v>103</v>
      </c>
      <c r="K104" s="35" t="b">
        <f>IFERROR(__xludf.DUMMYFUNCTION("""COMPUTED_VALUE"""),FALSE)</f>
        <v>0</v>
      </c>
      <c r="L104" s="35" t="str">
        <f>IFERROR(__xludf.DUMMYFUNCTION("""COMPUTED_VALUE"""),"Tree;Breadth-First Search;Binary Tree;")</f>
        <v>Tree;Breadth-First Search;Binary Tree;</v>
      </c>
      <c r="M104" s="35" t="b">
        <f>IFERROR(__xludf.DUMMYFUNCTION("""COMPUTED_VALUE"""),TRUE)</f>
        <v>1</v>
      </c>
      <c r="N104" s="35" t="b">
        <f>IFERROR(__xludf.DUMMYFUNCTION("""COMPUTED_VALUE"""),FALSE)</f>
        <v>0</v>
      </c>
      <c r="O104" s="35">
        <f>IFERROR(__xludf.DUMMYFUNCTION("""COMPUTED_VALUE"""),53.203972725281)</f>
        <v>53.20397273</v>
      </c>
      <c r="P104" s="35">
        <f>IFERROR(__xludf.DUMMYFUNCTION("""COMPUTED_VALUE"""),672658.0)</f>
        <v>672658</v>
      </c>
      <c r="Q104" s="35">
        <f>IFERROR(__xludf.DUMMYFUNCTION("""COMPUTED_VALUE"""),1264306.0)</f>
        <v>1264306</v>
      </c>
    </row>
    <row r="105">
      <c r="A105" s="35">
        <f>IFERROR(__xludf.DUMMYFUNCTION("""COMPUTED_VALUE"""),104.0)</f>
        <v>104</v>
      </c>
      <c r="B105" s="35" t="str">
        <f>IFERROR(__xludf.DUMMYFUNCTION("""COMPUTED_VALUE"""),"Maximum Depth of Binary Tree")</f>
        <v>Maximum Depth of Binary Tree</v>
      </c>
      <c r="C105" s="35" t="str">
        <f>IFERROR(__xludf.DUMMYFUNCTION("""COMPUTED_VALUE"""),"maximum-depth-of-binary-tree")</f>
        <v>maximum-depth-of-binary-tree</v>
      </c>
      <c r="D105" s="35" t="b">
        <f>IFERROR(__xludf.DUMMYFUNCTION("""COMPUTED_VALUE"""),FALSE)</f>
        <v>0</v>
      </c>
      <c r="E105" s="35" t="str">
        <f>IFERROR(__xludf.DUMMYFUNCTION("""COMPUTED_VALUE"""),"Easy")</f>
        <v>Easy</v>
      </c>
      <c r="F105" s="35">
        <f>IFERROR(__xludf.DUMMYFUNCTION("""COMPUTED_VALUE"""),6484.0)</f>
        <v>6484</v>
      </c>
      <c r="G105" s="35">
        <f>IFERROR(__xludf.DUMMYFUNCTION("""COMPUTED_VALUE"""),123.0)</f>
        <v>123</v>
      </c>
      <c r="H105" s="35" t="str">
        <f>IFERROR(__xludf.DUMMYFUNCTION("""COMPUTED_VALUE"""),"Algorithms")</f>
        <v>Algorithms</v>
      </c>
      <c r="I105" s="35">
        <f>IFERROR(__xludf.DUMMYFUNCTION("""COMPUTED_VALUE"""),0.715)</f>
        <v>0.715</v>
      </c>
      <c r="J105" s="35">
        <f>IFERROR(__xludf.DUMMYFUNCTION("""COMPUTED_VALUE"""),104.0)</f>
        <v>104</v>
      </c>
      <c r="K105" s="35" t="b">
        <f>IFERROR(__xludf.DUMMYFUNCTION("""COMPUTED_VALUE"""),FALSE)</f>
        <v>0</v>
      </c>
      <c r="L105" s="35" t="str">
        <f>IFERROR(__xludf.DUMMYFUNCTION("""COMPUTED_VALUE"""),"Tree;Depth-First Search;Breadth-First Search;Binary Tree;")</f>
        <v>Tree;Depth-First Search;Breadth-First Search;Binary Tree;</v>
      </c>
      <c r="M105" s="35" t="b">
        <f>IFERROR(__xludf.DUMMYFUNCTION("""COMPUTED_VALUE"""),TRUE)</f>
        <v>1</v>
      </c>
      <c r="N105" s="35" t="b">
        <f>IFERROR(__xludf.DUMMYFUNCTION("""COMPUTED_VALUE"""),FALSE)</f>
        <v>0</v>
      </c>
      <c r="O105" s="35">
        <f>IFERROR(__xludf.DUMMYFUNCTION("""COMPUTED_VALUE"""),71.5222093027507)</f>
        <v>71.5222093</v>
      </c>
      <c r="P105" s="35">
        <f>IFERROR(__xludf.DUMMYFUNCTION("""COMPUTED_VALUE"""),1564817.0)</f>
        <v>1564817</v>
      </c>
      <c r="Q105" s="35">
        <f>IFERROR(__xludf.DUMMYFUNCTION("""COMPUTED_VALUE"""),2187878.0)</f>
        <v>2187878</v>
      </c>
    </row>
    <row r="106">
      <c r="A106" s="35">
        <f>IFERROR(__xludf.DUMMYFUNCTION("""COMPUTED_VALUE"""),105.0)</f>
        <v>105</v>
      </c>
      <c r="B106" s="35" t="str">
        <f>IFERROR(__xludf.DUMMYFUNCTION("""COMPUTED_VALUE"""),"Construct Binary Tree from Preorder and Inorder Traversal")</f>
        <v>Construct Binary Tree from Preorder and Inorder Traversal</v>
      </c>
      <c r="C106" s="35" t="str">
        <f>IFERROR(__xludf.DUMMYFUNCTION("""COMPUTED_VALUE"""),"construct-binary-tree-from-preorder-and-inorder-traversal")</f>
        <v>construct-binary-tree-from-preorder-and-inorder-traversal</v>
      </c>
      <c r="D106" s="35" t="b">
        <f>IFERROR(__xludf.DUMMYFUNCTION("""COMPUTED_VALUE"""),FALSE)</f>
        <v>0</v>
      </c>
      <c r="E106" s="35" t="str">
        <f>IFERROR(__xludf.DUMMYFUNCTION("""COMPUTED_VALUE"""),"Medium")</f>
        <v>Medium</v>
      </c>
      <c r="F106" s="35">
        <f>IFERROR(__xludf.DUMMYFUNCTION("""COMPUTED_VALUE"""),7901.0)</f>
        <v>7901</v>
      </c>
      <c r="G106" s="35">
        <f>IFERROR(__xludf.DUMMYFUNCTION("""COMPUTED_VALUE"""),204.0)</f>
        <v>204</v>
      </c>
      <c r="H106" s="35" t="str">
        <f>IFERROR(__xludf.DUMMYFUNCTION("""COMPUTED_VALUE"""),"Algorithms")</f>
        <v>Algorithms</v>
      </c>
      <c r="I106" s="35">
        <f>IFERROR(__xludf.DUMMYFUNCTION("""COMPUTED_VALUE"""),0.57)</f>
        <v>0.57</v>
      </c>
      <c r="J106" s="35">
        <f>IFERROR(__xludf.DUMMYFUNCTION("""COMPUTED_VALUE"""),105.0)</f>
        <v>105</v>
      </c>
      <c r="K106" s="35" t="b">
        <f>IFERROR(__xludf.DUMMYFUNCTION("""COMPUTED_VALUE"""),FALSE)</f>
        <v>0</v>
      </c>
      <c r="L106" s="35" t="str">
        <f>IFERROR(__xludf.DUMMYFUNCTION("""COMPUTED_VALUE"""),"Array;Hash Table;Divide and Conquer;Tree;Binary Tree;")</f>
        <v>Array;Hash Table;Divide and Conquer;Tree;Binary Tree;</v>
      </c>
      <c r="M106" s="35" t="b">
        <f>IFERROR(__xludf.DUMMYFUNCTION("""COMPUTED_VALUE"""),TRUE)</f>
        <v>1</v>
      </c>
      <c r="N106" s="35" t="b">
        <f>IFERROR(__xludf.DUMMYFUNCTION("""COMPUTED_VALUE"""),FALSE)</f>
        <v>0</v>
      </c>
      <c r="O106" s="35">
        <f>IFERROR(__xludf.DUMMYFUNCTION("""COMPUTED_VALUE"""),57.033233680072)</f>
        <v>57.03323368</v>
      </c>
      <c r="P106" s="35">
        <f>IFERROR(__xludf.DUMMYFUNCTION("""COMPUTED_VALUE"""),668461.0)</f>
        <v>668461</v>
      </c>
      <c r="Q106" s="35">
        <f>IFERROR(__xludf.DUMMYFUNCTION("""COMPUTED_VALUE"""),1172055.0)</f>
        <v>1172055</v>
      </c>
    </row>
    <row r="107">
      <c r="A107" s="35">
        <f>IFERROR(__xludf.DUMMYFUNCTION("""COMPUTED_VALUE"""),106.0)</f>
        <v>106</v>
      </c>
      <c r="B107" s="35" t="str">
        <f>IFERROR(__xludf.DUMMYFUNCTION("""COMPUTED_VALUE"""),"Construct Binary Tree from Inorder and Postorder Traversal")</f>
        <v>Construct Binary Tree from Inorder and Postorder Traversal</v>
      </c>
      <c r="C107" s="35" t="str">
        <f>IFERROR(__xludf.DUMMYFUNCTION("""COMPUTED_VALUE"""),"construct-binary-tree-from-inorder-and-postorder-traversal")</f>
        <v>construct-binary-tree-from-inorder-and-postorder-traversal</v>
      </c>
      <c r="D107" s="35" t="b">
        <f>IFERROR(__xludf.DUMMYFUNCTION("""COMPUTED_VALUE"""),FALSE)</f>
        <v>0</v>
      </c>
      <c r="E107" s="35" t="str">
        <f>IFERROR(__xludf.DUMMYFUNCTION("""COMPUTED_VALUE"""),"Medium")</f>
        <v>Medium</v>
      </c>
      <c r="F107" s="35">
        <f>IFERROR(__xludf.DUMMYFUNCTION("""COMPUTED_VALUE"""),4227.0)</f>
        <v>4227</v>
      </c>
      <c r="G107" s="35">
        <f>IFERROR(__xludf.DUMMYFUNCTION("""COMPUTED_VALUE"""),70.0)</f>
        <v>70</v>
      </c>
      <c r="H107" s="35" t="str">
        <f>IFERROR(__xludf.DUMMYFUNCTION("""COMPUTED_VALUE"""),"Algorithms")</f>
        <v>Algorithms</v>
      </c>
      <c r="I107" s="35">
        <f>IFERROR(__xludf.DUMMYFUNCTION("""COMPUTED_VALUE"""),0.549)</f>
        <v>0.549</v>
      </c>
      <c r="J107" s="35">
        <f>IFERROR(__xludf.DUMMYFUNCTION("""COMPUTED_VALUE"""),106.0)</f>
        <v>106</v>
      </c>
      <c r="K107" s="35" t="b">
        <f>IFERROR(__xludf.DUMMYFUNCTION("""COMPUTED_VALUE"""),FALSE)</f>
        <v>0</v>
      </c>
      <c r="L107" s="35" t="str">
        <f>IFERROR(__xludf.DUMMYFUNCTION("""COMPUTED_VALUE"""),"Array;Hash Table;Divide and Conquer;Tree;Binary Tree;")</f>
        <v>Array;Hash Table;Divide and Conquer;Tree;Binary Tree;</v>
      </c>
      <c r="M107" s="35" t="b">
        <f>IFERROR(__xludf.DUMMYFUNCTION("""COMPUTED_VALUE"""),TRUE)</f>
        <v>1</v>
      </c>
      <c r="N107" s="35" t="b">
        <f>IFERROR(__xludf.DUMMYFUNCTION("""COMPUTED_VALUE"""),FALSE)</f>
        <v>0</v>
      </c>
      <c r="O107" s="35">
        <f>IFERROR(__xludf.DUMMYFUNCTION("""COMPUTED_VALUE"""),54.8610015009025)</f>
        <v>54.8610015</v>
      </c>
      <c r="P107" s="35">
        <f>IFERROR(__xludf.DUMMYFUNCTION("""COMPUTED_VALUE"""),382327.0)</f>
        <v>382327</v>
      </c>
      <c r="Q107" s="35">
        <f>IFERROR(__xludf.DUMMYFUNCTION("""COMPUTED_VALUE"""),696907.0)</f>
        <v>696907</v>
      </c>
    </row>
    <row r="108">
      <c r="A108" s="35">
        <f>IFERROR(__xludf.DUMMYFUNCTION("""COMPUTED_VALUE"""),107.0)</f>
        <v>107</v>
      </c>
      <c r="B108" s="35" t="str">
        <f>IFERROR(__xludf.DUMMYFUNCTION("""COMPUTED_VALUE"""),"Binary Tree Level Order Traversal II")</f>
        <v>Binary Tree Level Order Traversal II</v>
      </c>
      <c r="C108" s="35" t="str">
        <f>IFERROR(__xludf.DUMMYFUNCTION("""COMPUTED_VALUE"""),"binary-tree-level-order-traversal-ii")</f>
        <v>binary-tree-level-order-traversal-ii</v>
      </c>
      <c r="D108" s="35" t="b">
        <f>IFERROR(__xludf.DUMMYFUNCTION("""COMPUTED_VALUE"""),FALSE)</f>
        <v>0</v>
      </c>
      <c r="E108" s="35" t="str">
        <f>IFERROR(__xludf.DUMMYFUNCTION("""COMPUTED_VALUE"""),"Medium")</f>
        <v>Medium</v>
      </c>
      <c r="F108" s="35">
        <f>IFERROR(__xludf.DUMMYFUNCTION("""COMPUTED_VALUE"""),3016.0)</f>
        <v>3016</v>
      </c>
      <c r="G108" s="35">
        <f>IFERROR(__xludf.DUMMYFUNCTION("""COMPUTED_VALUE"""),274.0)</f>
        <v>274</v>
      </c>
      <c r="H108" s="35" t="str">
        <f>IFERROR(__xludf.DUMMYFUNCTION("""COMPUTED_VALUE"""),"Algorithms")</f>
        <v>Algorithms</v>
      </c>
      <c r="I108" s="35">
        <f>IFERROR(__xludf.DUMMYFUNCTION("""COMPUTED_VALUE"""),0.583)</f>
        <v>0.583</v>
      </c>
      <c r="J108" s="35">
        <f>IFERROR(__xludf.DUMMYFUNCTION("""COMPUTED_VALUE"""),107.0)</f>
        <v>107</v>
      </c>
      <c r="K108" s="35" t="b">
        <f>IFERROR(__xludf.DUMMYFUNCTION("""COMPUTED_VALUE"""),FALSE)</f>
        <v>0</v>
      </c>
      <c r="L108" s="35" t="str">
        <f>IFERROR(__xludf.DUMMYFUNCTION("""COMPUTED_VALUE"""),"Tree;Breadth-First Search;Binary Tree;")</f>
        <v>Tree;Breadth-First Search;Binary Tree;</v>
      </c>
      <c r="M108" s="35" t="b">
        <f>IFERROR(__xludf.DUMMYFUNCTION("""COMPUTED_VALUE"""),TRUE)</f>
        <v>1</v>
      </c>
      <c r="N108" s="35" t="b">
        <f>IFERROR(__xludf.DUMMYFUNCTION("""COMPUTED_VALUE"""),FALSE)</f>
        <v>0</v>
      </c>
      <c r="O108" s="35">
        <f>IFERROR(__xludf.DUMMYFUNCTION("""COMPUTED_VALUE"""),58.2654318390797)</f>
        <v>58.26543184</v>
      </c>
      <c r="P108" s="35">
        <f>IFERROR(__xludf.DUMMYFUNCTION("""COMPUTED_VALUE"""),484744.0)</f>
        <v>484744</v>
      </c>
      <c r="Q108" s="35">
        <f>IFERROR(__xludf.DUMMYFUNCTION("""COMPUTED_VALUE"""),831961.0)</f>
        <v>831961</v>
      </c>
    </row>
    <row r="109">
      <c r="A109" s="35">
        <f>IFERROR(__xludf.DUMMYFUNCTION("""COMPUTED_VALUE"""),108.0)</f>
        <v>108</v>
      </c>
      <c r="B109" s="35" t="str">
        <f>IFERROR(__xludf.DUMMYFUNCTION("""COMPUTED_VALUE"""),"Convert Sorted Array to Binary Search Tree")</f>
        <v>Convert Sorted Array to Binary Search Tree</v>
      </c>
      <c r="C109" s="35" t="str">
        <f>IFERROR(__xludf.DUMMYFUNCTION("""COMPUTED_VALUE"""),"convert-sorted-array-to-binary-search-tree")</f>
        <v>convert-sorted-array-to-binary-search-tree</v>
      </c>
      <c r="D109" s="35" t="b">
        <f>IFERROR(__xludf.DUMMYFUNCTION("""COMPUTED_VALUE"""),FALSE)</f>
        <v>0</v>
      </c>
      <c r="E109" s="35" t="str">
        <f>IFERROR(__xludf.DUMMYFUNCTION("""COMPUTED_VALUE"""),"Easy")</f>
        <v>Easy</v>
      </c>
      <c r="F109" s="35">
        <f>IFERROR(__xludf.DUMMYFUNCTION("""COMPUTED_VALUE"""),5927.0)</f>
        <v>5927</v>
      </c>
      <c r="G109" s="35">
        <f>IFERROR(__xludf.DUMMYFUNCTION("""COMPUTED_VALUE"""),343.0)</f>
        <v>343</v>
      </c>
      <c r="H109" s="35" t="str">
        <f>IFERROR(__xludf.DUMMYFUNCTION("""COMPUTED_VALUE"""),"Algorithms")</f>
        <v>Algorithms</v>
      </c>
      <c r="I109" s="35">
        <f>IFERROR(__xludf.DUMMYFUNCTION("""COMPUTED_VALUE"""),0.655)</f>
        <v>0.655</v>
      </c>
      <c r="J109" s="35">
        <f>IFERROR(__xludf.DUMMYFUNCTION("""COMPUTED_VALUE"""),108.0)</f>
        <v>108</v>
      </c>
      <c r="K109" s="35" t="b">
        <f>IFERROR(__xludf.DUMMYFUNCTION("""COMPUTED_VALUE"""),FALSE)</f>
        <v>0</v>
      </c>
      <c r="L109" s="35" t="str">
        <f>IFERROR(__xludf.DUMMYFUNCTION("""COMPUTED_VALUE"""),"Array;Divide and Conquer;Tree;Binary Search Tree;Binary Tree;")</f>
        <v>Array;Divide and Conquer;Tree;Binary Search Tree;Binary Tree;</v>
      </c>
      <c r="M109" s="35" t="b">
        <f>IFERROR(__xludf.DUMMYFUNCTION("""COMPUTED_VALUE"""),TRUE)</f>
        <v>1</v>
      </c>
      <c r="N109" s="35" t="b">
        <f>IFERROR(__xludf.DUMMYFUNCTION("""COMPUTED_VALUE"""),FALSE)</f>
        <v>0</v>
      </c>
      <c r="O109" s="35">
        <f>IFERROR(__xludf.DUMMYFUNCTION("""COMPUTED_VALUE"""),65.5397989363118)</f>
        <v>65.53979894</v>
      </c>
      <c r="P109" s="35">
        <f>IFERROR(__xludf.DUMMYFUNCTION("""COMPUTED_VALUE"""),704012.0)</f>
        <v>704012</v>
      </c>
      <c r="Q109" s="35">
        <f>IFERROR(__xludf.DUMMYFUNCTION("""COMPUTED_VALUE"""),1074179.0)</f>
        <v>1074179</v>
      </c>
    </row>
    <row r="110">
      <c r="A110" s="35">
        <f>IFERROR(__xludf.DUMMYFUNCTION("""COMPUTED_VALUE"""),109.0)</f>
        <v>109</v>
      </c>
      <c r="B110" s="35" t="str">
        <f>IFERROR(__xludf.DUMMYFUNCTION("""COMPUTED_VALUE"""),"Convert Sorted List to Binary Search Tree")</f>
        <v>Convert Sorted List to Binary Search Tree</v>
      </c>
      <c r="C110" s="35" t="str">
        <f>IFERROR(__xludf.DUMMYFUNCTION("""COMPUTED_VALUE"""),"convert-sorted-list-to-binary-search-tree")</f>
        <v>convert-sorted-list-to-binary-search-tree</v>
      </c>
      <c r="D110" s="35" t="b">
        <f>IFERROR(__xludf.DUMMYFUNCTION("""COMPUTED_VALUE"""),FALSE)</f>
        <v>0</v>
      </c>
      <c r="E110" s="35" t="str">
        <f>IFERROR(__xludf.DUMMYFUNCTION("""COMPUTED_VALUE"""),"Medium")</f>
        <v>Medium</v>
      </c>
      <c r="F110" s="35">
        <f>IFERROR(__xludf.DUMMYFUNCTION("""COMPUTED_VALUE"""),4326.0)</f>
        <v>4326</v>
      </c>
      <c r="G110" s="35">
        <f>IFERROR(__xludf.DUMMYFUNCTION("""COMPUTED_VALUE"""),111.0)</f>
        <v>111</v>
      </c>
      <c r="H110" s="35" t="str">
        <f>IFERROR(__xludf.DUMMYFUNCTION("""COMPUTED_VALUE"""),"Algorithms")</f>
        <v>Algorithms</v>
      </c>
      <c r="I110" s="35">
        <f>IFERROR(__xludf.DUMMYFUNCTION("""COMPUTED_VALUE"""),0.551)</f>
        <v>0.551</v>
      </c>
      <c r="J110" s="35">
        <f>IFERROR(__xludf.DUMMYFUNCTION("""COMPUTED_VALUE"""),109.0)</f>
        <v>109</v>
      </c>
      <c r="K110" s="35" t="b">
        <f>IFERROR(__xludf.DUMMYFUNCTION("""COMPUTED_VALUE"""),FALSE)</f>
        <v>0</v>
      </c>
      <c r="L110" s="35" t="str">
        <f>IFERROR(__xludf.DUMMYFUNCTION("""COMPUTED_VALUE"""),"Linked List;Divide and Conquer;Tree;Binary Search Tree;Binary Tree;")</f>
        <v>Linked List;Divide and Conquer;Tree;Binary Search Tree;Binary Tree;</v>
      </c>
      <c r="M110" s="35" t="b">
        <f>IFERROR(__xludf.DUMMYFUNCTION("""COMPUTED_VALUE"""),TRUE)</f>
        <v>1</v>
      </c>
      <c r="N110" s="35" t="b">
        <f>IFERROR(__xludf.DUMMYFUNCTION("""COMPUTED_VALUE"""),FALSE)</f>
        <v>0</v>
      </c>
      <c r="O110" s="35">
        <f>IFERROR(__xludf.DUMMYFUNCTION("""COMPUTED_VALUE"""),55.053220272328)</f>
        <v>55.05322027</v>
      </c>
      <c r="P110" s="35">
        <f>IFERROR(__xludf.DUMMYFUNCTION("""COMPUTED_VALUE"""),361174.0)</f>
        <v>361174</v>
      </c>
      <c r="Q110" s="35">
        <f>IFERROR(__xludf.DUMMYFUNCTION("""COMPUTED_VALUE"""),656045.0)</f>
        <v>656045</v>
      </c>
    </row>
    <row r="111">
      <c r="A111" s="35">
        <f>IFERROR(__xludf.DUMMYFUNCTION("""COMPUTED_VALUE"""),110.0)</f>
        <v>110</v>
      </c>
      <c r="B111" s="35" t="str">
        <f>IFERROR(__xludf.DUMMYFUNCTION("""COMPUTED_VALUE"""),"Balanced Binary Tree")</f>
        <v>Balanced Binary Tree</v>
      </c>
      <c r="C111" s="35" t="str">
        <f>IFERROR(__xludf.DUMMYFUNCTION("""COMPUTED_VALUE"""),"balanced-binary-tree")</f>
        <v>balanced-binary-tree</v>
      </c>
      <c r="D111" s="35" t="b">
        <f>IFERROR(__xludf.DUMMYFUNCTION("""COMPUTED_VALUE"""),FALSE)</f>
        <v>0</v>
      </c>
      <c r="E111" s="35" t="str">
        <f>IFERROR(__xludf.DUMMYFUNCTION("""COMPUTED_VALUE"""),"Easy")</f>
        <v>Easy</v>
      </c>
      <c r="F111" s="35">
        <f>IFERROR(__xludf.DUMMYFUNCTION("""COMPUTED_VALUE"""),5317.0)</f>
        <v>5317</v>
      </c>
      <c r="G111" s="35">
        <f>IFERROR(__xludf.DUMMYFUNCTION("""COMPUTED_VALUE"""),289.0)</f>
        <v>289</v>
      </c>
      <c r="H111" s="35" t="str">
        <f>IFERROR(__xludf.DUMMYFUNCTION("""COMPUTED_VALUE"""),"Algorithms")</f>
        <v>Algorithms</v>
      </c>
      <c r="I111" s="35">
        <f>IFERROR(__xludf.DUMMYFUNCTION("""COMPUTED_VALUE"""),0.465)</f>
        <v>0.465</v>
      </c>
      <c r="J111" s="35">
        <f>IFERROR(__xludf.DUMMYFUNCTION("""COMPUTED_VALUE"""),110.0)</f>
        <v>110</v>
      </c>
      <c r="K111" s="35" t="b">
        <f>IFERROR(__xludf.DUMMYFUNCTION("""COMPUTED_VALUE"""),FALSE)</f>
        <v>0</v>
      </c>
      <c r="L111" s="35" t="str">
        <f>IFERROR(__xludf.DUMMYFUNCTION("""COMPUTED_VALUE"""),"Tree;Depth-First Search;Binary Tree;")</f>
        <v>Tree;Depth-First Search;Binary Tree;</v>
      </c>
      <c r="M111" s="35" t="b">
        <f>IFERROR(__xludf.DUMMYFUNCTION("""COMPUTED_VALUE"""),TRUE)</f>
        <v>1</v>
      </c>
      <c r="N111" s="35" t="b">
        <f>IFERROR(__xludf.DUMMYFUNCTION("""COMPUTED_VALUE"""),FALSE)</f>
        <v>0</v>
      </c>
      <c r="O111" s="35">
        <f>IFERROR(__xludf.DUMMYFUNCTION("""COMPUTED_VALUE"""),46.4879329176143)</f>
        <v>46.48793292</v>
      </c>
      <c r="P111" s="35">
        <f>IFERROR(__xludf.DUMMYFUNCTION("""COMPUTED_VALUE"""),718872.0)</f>
        <v>718872</v>
      </c>
      <c r="Q111" s="35">
        <f>IFERROR(__xludf.DUMMYFUNCTION("""COMPUTED_VALUE"""),1546379.0)</f>
        <v>1546379</v>
      </c>
    </row>
    <row r="112">
      <c r="A112" s="35">
        <f>IFERROR(__xludf.DUMMYFUNCTION("""COMPUTED_VALUE"""),111.0)</f>
        <v>111</v>
      </c>
      <c r="B112" s="35" t="str">
        <f>IFERROR(__xludf.DUMMYFUNCTION("""COMPUTED_VALUE"""),"Minimum Depth of Binary Tree")</f>
        <v>Minimum Depth of Binary Tree</v>
      </c>
      <c r="C112" s="35" t="str">
        <f>IFERROR(__xludf.DUMMYFUNCTION("""COMPUTED_VALUE"""),"minimum-depth-of-binary-tree")</f>
        <v>minimum-depth-of-binary-tree</v>
      </c>
      <c r="D112" s="35" t="b">
        <f>IFERROR(__xludf.DUMMYFUNCTION("""COMPUTED_VALUE"""),FALSE)</f>
        <v>0</v>
      </c>
      <c r="E112" s="35" t="str">
        <f>IFERROR(__xludf.DUMMYFUNCTION("""COMPUTED_VALUE"""),"Easy")</f>
        <v>Easy</v>
      </c>
      <c r="F112" s="35">
        <f>IFERROR(__xludf.DUMMYFUNCTION("""COMPUTED_VALUE"""),3821.0)</f>
        <v>3821</v>
      </c>
      <c r="G112" s="35">
        <f>IFERROR(__xludf.DUMMYFUNCTION("""COMPUTED_VALUE"""),934.0)</f>
        <v>934</v>
      </c>
      <c r="H112" s="35" t="str">
        <f>IFERROR(__xludf.DUMMYFUNCTION("""COMPUTED_VALUE"""),"Algorithms")</f>
        <v>Algorithms</v>
      </c>
      <c r="I112" s="35">
        <f>IFERROR(__xludf.DUMMYFUNCTION("""COMPUTED_VALUE"""),0.422)</f>
        <v>0.422</v>
      </c>
      <c r="J112" s="35">
        <f>IFERROR(__xludf.DUMMYFUNCTION("""COMPUTED_VALUE"""),111.0)</f>
        <v>111</v>
      </c>
      <c r="K112" s="35" t="b">
        <f>IFERROR(__xludf.DUMMYFUNCTION("""COMPUTED_VALUE"""),FALSE)</f>
        <v>0</v>
      </c>
      <c r="L112" s="35" t="str">
        <f>IFERROR(__xludf.DUMMYFUNCTION("""COMPUTED_VALUE"""),"Tree;Depth-First Search;Breadth-First Search;Binary Tree;")</f>
        <v>Tree;Depth-First Search;Breadth-First Search;Binary Tree;</v>
      </c>
      <c r="M112" s="35" t="b">
        <f>IFERROR(__xludf.DUMMYFUNCTION("""COMPUTED_VALUE"""),TRUE)</f>
        <v>1</v>
      </c>
      <c r="N112" s="35" t="b">
        <f>IFERROR(__xludf.DUMMYFUNCTION("""COMPUTED_VALUE"""),FALSE)</f>
        <v>0</v>
      </c>
      <c r="O112" s="35">
        <f>IFERROR(__xludf.DUMMYFUNCTION("""COMPUTED_VALUE"""),42.1960412042248)</f>
        <v>42.1960412</v>
      </c>
      <c r="P112" s="35">
        <f>IFERROR(__xludf.DUMMYFUNCTION("""COMPUTED_VALUE"""),717412.0)</f>
        <v>717412</v>
      </c>
      <c r="Q112" s="35">
        <f>IFERROR(__xludf.DUMMYFUNCTION("""COMPUTED_VALUE"""),1700197.0)</f>
        <v>1700197</v>
      </c>
    </row>
    <row r="113">
      <c r="A113" s="35">
        <f>IFERROR(__xludf.DUMMYFUNCTION("""COMPUTED_VALUE"""),112.0)</f>
        <v>112</v>
      </c>
      <c r="B113" s="35" t="str">
        <f>IFERROR(__xludf.DUMMYFUNCTION("""COMPUTED_VALUE"""),"Path Sum")</f>
        <v>Path Sum</v>
      </c>
      <c r="C113" s="35" t="str">
        <f>IFERROR(__xludf.DUMMYFUNCTION("""COMPUTED_VALUE"""),"path-sum")</f>
        <v>path-sum</v>
      </c>
      <c r="D113" s="35" t="b">
        <f>IFERROR(__xludf.DUMMYFUNCTION("""COMPUTED_VALUE"""),FALSE)</f>
        <v>0</v>
      </c>
      <c r="E113" s="35" t="str">
        <f>IFERROR(__xludf.DUMMYFUNCTION("""COMPUTED_VALUE"""),"Easy")</f>
        <v>Easy</v>
      </c>
      <c r="F113" s="35">
        <f>IFERROR(__xludf.DUMMYFUNCTION("""COMPUTED_VALUE"""),5083.0)</f>
        <v>5083</v>
      </c>
      <c r="G113" s="35">
        <f>IFERROR(__xludf.DUMMYFUNCTION("""COMPUTED_VALUE"""),763.0)</f>
        <v>763</v>
      </c>
      <c r="H113" s="35" t="str">
        <f>IFERROR(__xludf.DUMMYFUNCTION("""COMPUTED_VALUE"""),"Algorithms")</f>
        <v>Algorithms</v>
      </c>
      <c r="I113" s="35">
        <f>IFERROR(__xludf.DUMMYFUNCTION("""COMPUTED_VALUE"""),0.452)</f>
        <v>0.452</v>
      </c>
      <c r="J113" s="35">
        <f>IFERROR(__xludf.DUMMYFUNCTION("""COMPUTED_VALUE"""),112.0)</f>
        <v>112</v>
      </c>
      <c r="K113" s="35" t="b">
        <f>IFERROR(__xludf.DUMMYFUNCTION("""COMPUTED_VALUE"""),FALSE)</f>
        <v>0</v>
      </c>
      <c r="L113" s="35" t="str">
        <f>IFERROR(__xludf.DUMMYFUNCTION("""COMPUTED_VALUE"""),"Tree;Depth-First Search;Breadth-First Search;Binary Tree;")</f>
        <v>Tree;Depth-First Search;Breadth-First Search;Binary Tree;</v>
      </c>
      <c r="M113" s="35" t="b">
        <f>IFERROR(__xludf.DUMMYFUNCTION("""COMPUTED_VALUE"""),TRUE)</f>
        <v>1</v>
      </c>
      <c r="N113" s="35" t="b">
        <f>IFERROR(__xludf.DUMMYFUNCTION("""COMPUTED_VALUE"""),FALSE)</f>
        <v>0</v>
      </c>
      <c r="O113" s="35">
        <f>IFERROR(__xludf.DUMMYFUNCTION("""COMPUTED_VALUE"""),45.1581487034351)</f>
        <v>45.1581487</v>
      </c>
      <c r="P113" s="35">
        <f>IFERROR(__xludf.DUMMYFUNCTION("""COMPUTED_VALUE"""),828596.0)</f>
        <v>828596</v>
      </c>
      <c r="Q113" s="35">
        <f>IFERROR(__xludf.DUMMYFUNCTION("""COMPUTED_VALUE"""),1834881.0)</f>
        <v>1834881</v>
      </c>
    </row>
    <row r="114">
      <c r="A114" s="35">
        <f>IFERROR(__xludf.DUMMYFUNCTION("""COMPUTED_VALUE"""),113.0)</f>
        <v>113</v>
      </c>
      <c r="B114" s="35" t="str">
        <f>IFERROR(__xludf.DUMMYFUNCTION("""COMPUTED_VALUE"""),"Path Sum II")</f>
        <v>Path Sum II</v>
      </c>
      <c r="C114" s="35" t="str">
        <f>IFERROR(__xludf.DUMMYFUNCTION("""COMPUTED_VALUE"""),"path-sum-ii")</f>
        <v>path-sum-ii</v>
      </c>
      <c r="D114" s="35" t="b">
        <f>IFERROR(__xludf.DUMMYFUNCTION("""COMPUTED_VALUE"""),FALSE)</f>
        <v>0</v>
      </c>
      <c r="E114" s="35" t="str">
        <f>IFERROR(__xludf.DUMMYFUNCTION("""COMPUTED_VALUE"""),"Medium")</f>
        <v>Medium</v>
      </c>
      <c r="F114" s="35">
        <f>IFERROR(__xludf.DUMMYFUNCTION("""COMPUTED_VALUE"""),4440.0)</f>
        <v>4440</v>
      </c>
      <c r="G114" s="35">
        <f>IFERROR(__xludf.DUMMYFUNCTION("""COMPUTED_VALUE"""),104.0)</f>
        <v>104</v>
      </c>
      <c r="H114" s="35" t="str">
        <f>IFERROR(__xludf.DUMMYFUNCTION("""COMPUTED_VALUE"""),"Algorithms")</f>
        <v>Algorithms</v>
      </c>
      <c r="I114" s="35">
        <f>IFERROR(__xludf.DUMMYFUNCTION("""COMPUTED_VALUE"""),0.536)</f>
        <v>0.536</v>
      </c>
      <c r="J114" s="35">
        <f>IFERROR(__xludf.DUMMYFUNCTION("""COMPUTED_VALUE"""),113.0)</f>
        <v>113</v>
      </c>
      <c r="K114" s="35" t="b">
        <f>IFERROR(__xludf.DUMMYFUNCTION("""COMPUTED_VALUE"""),FALSE)</f>
        <v>0</v>
      </c>
      <c r="L114" s="35" t="str">
        <f>IFERROR(__xludf.DUMMYFUNCTION("""COMPUTED_VALUE"""),"Backtracking;Tree;Depth-First Search;Binary Tree;")</f>
        <v>Backtracking;Tree;Depth-First Search;Binary Tree;</v>
      </c>
      <c r="M114" s="35" t="b">
        <f>IFERROR(__xludf.DUMMYFUNCTION("""COMPUTED_VALUE"""),TRUE)</f>
        <v>1</v>
      </c>
      <c r="N114" s="35" t="b">
        <f>IFERROR(__xludf.DUMMYFUNCTION("""COMPUTED_VALUE"""),FALSE)</f>
        <v>0</v>
      </c>
      <c r="O114" s="35">
        <f>IFERROR(__xludf.DUMMYFUNCTION("""COMPUTED_VALUE"""),53.5626014906914)</f>
        <v>53.56260149</v>
      </c>
      <c r="P114" s="35">
        <f>IFERROR(__xludf.DUMMYFUNCTION("""COMPUTED_VALUE"""),553479.0)</f>
        <v>553479</v>
      </c>
      <c r="Q114" s="35">
        <f>IFERROR(__xludf.DUMMYFUNCTION("""COMPUTED_VALUE"""),1033336.0)</f>
        <v>1033336</v>
      </c>
    </row>
    <row r="115">
      <c r="A115" s="35">
        <f>IFERROR(__xludf.DUMMYFUNCTION("""COMPUTED_VALUE"""),114.0)</f>
        <v>114</v>
      </c>
      <c r="B115" s="35" t="str">
        <f>IFERROR(__xludf.DUMMYFUNCTION("""COMPUTED_VALUE"""),"Flatten Binary Tree to Linked List")</f>
        <v>Flatten Binary Tree to Linked List</v>
      </c>
      <c r="C115" s="35" t="str">
        <f>IFERROR(__xludf.DUMMYFUNCTION("""COMPUTED_VALUE"""),"flatten-binary-tree-to-linked-list")</f>
        <v>flatten-binary-tree-to-linked-list</v>
      </c>
      <c r="D115" s="35" t="b">
        <f>IFERROR(__xludf.DUMMYFUNCTION("""COMPUTED_VALUE"""),FALSE)</f>
        <v>0</v>
      </c>
      <c r="E115" s="35" t="str">
        <f>IFERROR(__xludf.DUMMYFUNCTION("""COMPUTED_VALUE"""),"Medium")</f>
        <v>Medium</v>
      </c>
      <c r="F115" s="35">
        <f>IFERROR(__xludf.DUMMYFUNCTION("""COMPUTED_VALUE"""),6654.0)</f>
        <v>6654</v>
      </c>
      <c r="G115" s="35">
        <f>IFERROR(__xludf.DUMMYFUNCTION("""COMPUTED_VALUE"""),455.0)</f>
        <v>455</v>
      </c>
      <c r="H115" s="35" t="str">
        <f>IFERROR(__xludf.DUMMYFUNCTION("""COMPUTED_VALUE"""),"Algorithms")</f>
        <v>Algorithms</v>
      </c>
      <c r="I115" s="35">
        <f>IFERROR(__xludf.DUMMYFUNCTION("""COMPUTED_VALUE"""),0.573)</f>
        <v>0.573</v>
      </c>
      <c r="J115" s="35">
        <f>IFERROR(__xludf.DUMMYFUNCTION("""COMPUTED_VALUE"""),114.0)</f>
        <v>114</v>
      </c>
      <c r="K115" s="35" t="b">
        <f>IFERROR(__xludf.DUMMYFUNCTION("""COMPUTED_VALUE"""),FALSE)</f>
        <v>0</v>
      </c>
      <c r="L115" s="35" t="str">
        <f>IFERROR(__xludf.DUMMYFUNCTION("""COMPUTED_VALUE"""),"Linked List;Stack;Tree;Depth-First Search;Binary Tree;")</f>
        <v>Linked List;Stack;Tree;Depth-First Search;Binary Tree;</v>
      </c>
      <c r="M115" s="35" t="b">
        <f>IFERROR(__xludf.DUMMYFUNCTION("""COMPUTED_VALUE"""),TRUE)</f>
        <v>1</v>
      </c>
      <c r="N115" s="35" t="b">
        <f>IFERROR(__xludf.DUMMYFUNCTION("""COMPUTED_VALUE"""),FALSE)</f>
        <v>0</v>
      </c>
      <c r="O115" s="35">
        <f>IFERROR(__xludf.DUMMYFUNCTION("""COMPUTED_VALUE"""),57.2598748389837)</f>
        <v>57.25987484</v>
      </c>
      <c r="P115" s="35">
        <f>IFERROR(__xludf.DUMMYFUNCTION("""COMPUTED_VALUE"""),576979.0)</f>
        <v>576979</v>
      </c>
      <c r="Q115" s="35">
        <f>IFERROR(__xludf.DUMMYFUNCTION("""COMPUTED_VALUE"""),1007649.0)</f>
        <v>1007649</v>
      </c>
    </row>
    <row r="116">
      <c r="A116" s="35">
        <f>IFERROR(__xludf.DUMMYFUNCTION("""COMPUTED_VALUE"""),115.0)</f>
        <v>115</v>
      </c>
      <c r="B116" s="35" t="str">
        <f>IFERROR(__xludf.DUMMYFUNCTION("""COMPUTED_VALUE"""),"Distinct Subsequences")</f>
        <v>Distinct Subsequences</v>
      </c>
      <c r="C116" s="35" t="str">
        <f>IFERROR(__xludf.DUMMYFUNCTION("""COMPUTED_VALUE"""),"distinct-subsequences")</f>
        <v>distinct-subsequences</v>
      </c>
      <c r="D116" s="35" t="b">
        <f>IFERROR(__xludf.DUMMYFUNCTION("""COMPUTED_VALUE"""),FALSE)</f>
        <v>0</v>
      </c>
      <c r="E116" s="35" t="str">
        <f>IFERROR(__xludf.DUMMYFUNCTION("""COMPUTED_VALUE"""),"Hard")</f>
        <v>Hard</v>
      </c>
      <c r="F116" s="35">
        <f>IFERROR(__xludf.DUMMYFUNCTION("""COMPUTED_VALUE"""),3149.0)</f>
        <v>3149</v>
      </c>
      <c r="G116" s="35">
        <f>IFERROR(__xludf.DUMMYFUNCTION("""COMPUTED_VALUE"""),140.0)</f>
        <v>140</v>
      </c>
      <c r="H116" s="35" t="str">
        <f>IFERROR(__xludf.DUMMYFUNCTION("""COMPUTED_VALUE"""),"Algorithms")</f>
        <v>Algorithms</v>
      </c>
      <c r="I116" s="35">
        <f>IFERROR(__xludf.DUMMYFUNCTION("""COMPUTED_VALUE"""),0.421)</f>
        <v>0.421</v>
      </c>
      <c r="J116" s="35">
        <f>IFERROR(__xludf.DUMMYFUNCTION("""COMPUTED_VALUE"""),115.0)</f>
        <v>115</v>
      </c>
      <c r="K116" s="35" t="b">
        <f>IFERROR(__xludf.DUMMYFUNCTION("""COMPUTED_VALUE"""),FALSE)</f>
        <v>0</v>
      </c>
      <c r="L116" s="35" t="str">
        <f>IFERROR(__xludf.DUMMYFUNCTION("""COMPUTED_VALUE"""),"String;Dynamic Programming;")</f>
        <v>String;Dynamic Programming;</v>
      </c>
      <c r="M116" s="35" t="b">
        <f>IFERROR(__xludf.DUMMYFUNCTION("""COMPUTED_VALUE"""),TRUE)</f>
        <v>1</v>
      </c>
      <c r="N116" s="35" t="b">
        <f>IFERROR(__xludf.DUMMYFUNCTION("""COMPUTED_VALUE"""),FALSE)</f>
        <v>0</v>
      </c>
      <c r="O116" s="35">
        <f>IFERROR(__xludf.DUMMYFUNCTION("""COMPUTED_VALUE"""),42.0649116278325)</f>
        <v>42.06491163</v>
      </c>
      <c r="P116" s="35">
        <f>IFERROR(__xludf.DUMMYFUNCTION("""COMPUTED_VALUE"""),210240.0)</f>
        <v>210240</v>
      </c>
      <c r="Q116" s="35">
        <f>IFERROR(__xludf.DUMMYFUNCTION("""COMPUTED_VALUE"""),499808.0)</f>
        <v>499808</v>
      </c>
    </row>
    <row r="117">
      <c r="A117" s="35">
        <f>IFERROR(__xludf.DUMMYFUNCTION("""COMPUTED_VALUE"""),116.0)</f>
        <v>116</v>
      </c>
      <c r="B117" s="35" t="str">
        <f>IFERROR(__xludf.DUMMYFUNCTION("""COMPUTED_VALUE"""),"Populating Next Right Pointers in Each Node")</f>
        <v>Populating Next Right Pointers in Each Node</v>
      </c>
      <c r="C117" s="35" t="str">
        <f>IFERROR(__xludf.DUMMYFUNCTION("""COMPUTED_VALUE"""),"populating-next-right-pointers-in-each-node")</f>
        <v>populating-next-right-pointers-in-each-node</v>
      </c>
      <c r="D117" s="35" t="b">
        <f>IFERROR(__xludf.DUMMYFUNCTION("""COMPUTED_VALUE"""),FALSE)</f>
        <v>0</v>
      </c>
      <c r="E117" s="35" t="str">
        <f>IFERROR(__xludf.DUMMYFUNCTION("""COMPUTED_VALUE"""),"Medium")</f>
        <v>Medium</v>
      </c>
      <c r="F117" s="35">
        <f>IFERROR(__xludf.DUMMYFUNCTION("""COMPUTED_VALUE"""),6026.0)</f>
        <v>6026</v>
      </c>
      <c r="G117" s="35">
        <f>IFERROR(__xludf.DUMMYFUNCTION("""COMPUTED_VALUE"""),220.0)</f>
        <v>220</v>
      </c>
      <c r="H117" s="35" t="str">
        <f>IFERROR(__xludf.DUMMYFUNCTION("""COMPUTED_VALUE"""),"Algorithms")</f>
        <v>Algorithms</v>
      </c>
      <c r="I117" s="35">
        <f>IFERROR(__xludf.DUMMYFUNCTION("""COMPUTED_VALUE"""),0.562)</f>
        <v>0.562</v>
      </c>
      <c r="J117" s="35">
        <f>IFERROR(__xludf.DUMMYFUNCTION("""COMPUTED_VALUE"""),116.0)</f>
        <v>116</v>
      </c>
      <c r="K117" s="35" t="b">
        <f>IFERROR(__xludf.DUMMYFUNCTION("""COMPUTED_VALUE"""),FALSE)</f>
        <v>0</v>
      </c>
      <c r="L117" s="35" t="str">
        <f>IFERROR(__xludf.DUMMYFUNCTION("""COMPUTED_VALUE"""),"Linked List;Tree;Depth-First Search;Breadth-First Search;Binary Tree;")</f>
        <v>Linked List;Tree;Depth-First Search;Breadth-First Search;Binary Tree;</v>
      </c>
      <c r="M117" s="35" t="b">
        <f>IFERROR(__xludf.DUMMYFUNCTION("""COMPUTED_VALUE"""),TRUE)</f>
        <v>1</v>
      </c>
      <c r="N117" s="35" t="b">
        <f>IFERROR(__xludf.DUMMYFUNCTION("""COMPUTED_VALUE"""),FALSE)</f>
        <v>0</v>
      </c>
      <c r="O117" s="35">
        <f>IFERROR(__xludf.DUMMYFUNCTION("""COMPUTED_VALUE"""),56.2339418200714)</f>
        <v>56.23394182</v>
      </c>
      <c r="P117" s="35">
        <f>IFERROR(__xludf.DUMMYFUNCTION("""COMPUTED_VALUE"""),701245.0)</f>
        <v>701245</v>
      </c>
      <c r="Q117" s="35">
        <f>IFERROR(__xludf.DUMMYFUNCTION("""COMPUTED_VALUE"""),1247017.0)</f>
        <v>1247017</v>
      </c>
    </row>
    <row r="118">
      <c r="A118" s="35">
        <f>IFERROR(__xludf.DUMMYFUNCTION("""COMPUTED_VALUE"""),117.0)</f>
        <v>117</v>
      </c>
      <c r="B118" s="35" t="str">
        <f>IFERROR(__xludf.DUMMYFUNCTION("""COMPUTED_VALUE"""),"Populating Next Right Pointers in Each Node II")</f>
        <v>Populating Next Right Pointers in Each Node II</v>
      </c>
      <c r="C118" s="35" t="str">
        <f>IFERROR(__xludf.DUMMYFUNCTION("""COMPUTED_VALUE"""),"populating-next-right-pointers-in-each-node-ii")</f>
        <v>populating-next-right-pointers-in-each-node-ii</v>
      </c>
      <c r="D118" s="35" t="b">
        <f>IFERROR(__xludf.DUMMYFUNCTION("""COMPUTED_VALUE"""),FALSE)</f>
        <v>0</v>
      </c>
      <c r="E118" s="35" t="str">
        <f>IFERROR(__xludf.DUMMYFUNCTION("""COMPUTED_VALUE"""),"Medium")</f>
        <v>Medium</v>
      </c>
      <c r="F118" s="35">
        <f>IFERROR(__xludf.DUMMYFUNCTION("""COMPUTED_VALUE"""),3490.0)</f>
        <v>3490</v>
      </c>
      <c r="G118" s="35">
        <f>IFERROR(__xludf.DUMMYFUNCTION("""COMPUTED_VALUE"""),231.0)</f>
        <v>231</v>
      </c>
      <c r="H118" s="35" t="str">
        <f>IFERROR(__xludf.DUMMYFUNCTION("""COMPUTED_VALUE"""),"Algorithms")</f>
        <v>Algorithms</v>
      </c>
      <c r="I118" s="35">
        <f>IFERROR(__xludf.DUMMYFUNCTION("""COMPUTED_VALUE"""),0.461)</f>
        <v>0.461</v>
      </c>
      <c r="J118" s="35">
        <f>IFERROR(__xludf.DUMMYFUNCTION("""COMPUTED_VALUE"""),117.0)</f>
        <v>117</v>
      </c>
      <c r="K118" s="35" t="b">
        <f>IFERROR(__xludf.DUMMYFUNCTION("""COMPUTED_VALUE"""),FALSE)</f>
        <v>0</v>
      </c>
      <c r="L118" s="35" t="str">
        <f>IFERROR(__xludf.DUMMYFUNCTION("""COMPUTED_VALUE"""),"Linked List;Tree;Depth-First Search;Breadth-First Search;Binary Tree;")</f>
        <v>Linked List;Tree;Depth-First Search;Breadth-First Search;Binary Tree;</v>
      </c>
      <c r="M118" s="35" t="b">
        <f>IFERROR(__xludf.DUMMYFUNCTION("""COMPUTED_VALUE"""),TRUE)</f>
        <v>1</v>
      </c>
      <c r="N118" s="35" t="b">
        <f>IFERROR(__xludf.DUMMYFUNCTION("""COMPUTED_VALUE"""),FALSE)</f>
        <v>0</v>
      </c>
      <c r="O118" s="35">
        <f>IFERROR(__xludf.DUMMYFUNCTION("""COMPUTED_VALUE"""),46.0669468046213)</f>
        <v>46.0669468</v>
      </c>
      <c r="P118" s="35">
        <f>IFERROR(__xludf.DUMMYFUNCTION("""COMPUTED_VALUE"""),418342.0)</f>
        <v>418342</v>
      </c>
      <c r="Q118" s="35">
        <f>IFERROR(__xludf.DUMMYFUNCTION("""COMPUTED_VALUE"""),908119.0)</f>
        <v>908119</v>
      </c>
    </row>
    <row r="119">
      <c r="A119" s="35">
        <f>IFERROR(__xludf.DUMMYFUNCTION("""COMPUTED_VALUE"""),118.0)</f>
        <v>118</v>
      </c>
      <c r="B119" s="35" t="str">
        <f>IFERROR(__xludf.DUMMYFUNCTION("""COMPUTED_VALUE"""),"Pascal's Triangle")</f>
        <v>Pascal's Triangle</v>
      </c>
      <c r="C119" s="35" t="str">
        <f>IFERROR(__xludf.DUMMYFUNCTION("""COMPUTED_VALUE"""),"pascals-triangle")</f>
        <v>pascals-triangle</v>
      </c>
      <c r="D119" s="35" t="b">
        <f>IFERROR(__xludf.DUMMYFUNCTION("""COMPUTED_VALUE"""),FALSE)</f>
        <v>0</v>
      </c>
      <c r="E119" s="35" t="str">
        <f>IFERROR(__xludf.DUMMYFUNCTION("""COMPUTED_VALUE"""),"Easy")</f>
        <v>Easy</v>
      </c>
      <c r="F119" s="35">
        <f>IFERROR(__xludf.DUMMYFUNCTION("""COMPUTED_VALUE"""),5134.0)</f>
        <v>5134</v>
      </c>
      <c r="G119" s="35">
        <f>IFERROR(__xludf.DUMMYFUNCTION("""COMPUTED_VALUE"""),198.0)</f>
        <v>198</v>
      </c>
      <c r="H119" s="35" t="str">
        <f>IFERROR(__xludf.DUMMYFUNCTION("""COMPUTED_VALUE"""),"Algorithms")</f>
        <v>Algorithms</v>
      </c>
      <c r="I119" s="35">
        <f>IFERROR(__xludf.DUMMYFUNCTION("""COMPUTED_VALUE"""),0.634)</f>
        <v>0.634</v>
      </c>
      <c r="J119" s="35">
        <f>IFERROR(__xludf.DUMMYFUNCTION("""COMPUTED_VALUE"""),118.0)</f>
        <v>118</v>
      </c>
      <c r="K119" s="35" t="b">
        <f>IFERROR(__xludf.DUMMYFUNCTION("""COMPUTED_VALUE"""),FALSE)</f>
        <v>0</v>
      </c>
      <c r="L119" s="35" t="str">
        <f>IFERROR(__xludf.DUMMYFUNCTION("""COMPUTED_VALUE"""),"Array;Dynamic Programming;")</f>
        <v>Array;Dynamic Programming;</v>
      </c>
      <c r="M119" s="35" t="b">
        <f>IFERROR(__xludf.DUMMYFUNCTION("""COMPUTED_VALUE"""),TRUE)</f>
        <v>1</v>
      </c>
      <c r="N119" s="35" t="b">
        <f>IFERROR(__xludf.DUMMYFUNCTION("""COMPUTED_VALUE"""),TRUE)</f>
        <v>1</v>
      </c>
      <c r="O119" s="35">
        <f>IFERROR(__xludf.DUMMYFUNCTION("""COMPUTED_VALUE"""),63.4473252424712)</f>
        <v>63.44732524</v>
      </c>
      <c r="P119" s="35">
        <f>IFERROR(__xludf.DUMMYFUNCTION("""COMPUTED_VALUE"""),735080.0)</f>
        <v>735080</v>
      </c>
      <c r="Q119" s="35">
        <f>IFERROR(__xludf.DUMMYFUNCTION("""COMPUTED_VALUE"""),1158576.0)</f>
        <v>1158576</v>
      </c>
    </row>
    <row r="120">
      <c r="A120" s="35">
        <f>IFERROR(__xludf.DUMMYFUNCTION("""COMPUTED_VALUE"""),119.0)</f>
        <v>119</v>
      </c>
      <c r="B120" s="35" t="str">
        <f>IFERROR(__xludf.DUMMYFUNCTION("""COMPUTED_VALUE"""),"Pascal's Triangle II")</f>
        <v>Pascal's Triangle II</v>
      </c>
      <c r="C120" s="35" t="str">
        <f>IFERROR(__xludf.DUMMYFUNCTION("""COMPUTED_VALUE"""),"pascals-triangle-ii")</f>
        <v>pascals-triangle-ii</v>
      </c>
      <c r="D120" s="35" t="b">
        <f>IFERROR(__xludf.DUMMYFUNCTION("""COMPUTED_VALUE"""),FALSE)</f>
        <v>0</v>
      </c>
      <c r="E120" s="35" t="str">
        <f>IFERROR(__xludf.DUMMYFUNCTION("""COMPUTED_VALUE"""),"Easy")</f>
        <v>Easy</v>
      </c>
      <c r="F120" s="35">
        <f>IFERROR(__xludf.DUMMYFUNCTION("""COMPUTED_VALUE"""),2333.0)</f>
        <v>2333</v>
      </c>
      <c r="G120" s="35">
        <f>IFERROR(__xludf.DUMMYFUNCTION("""COMPUTED_VALUE"""),258.0)</f>
        <v>258</v>
      </c>
      <c r="H120" s="35" t="str">
        <f>IFERROR(__xludf.DUMMYFUNCTION("""COMPUTED_VALUE"""),"Algorithms")</f>
        <v>Algorithms</v>
      </c>
      <c r="I120" s="35">
        <f>IFERROR(__xludf.DUMMYFUNCTION("""COMPUTED_VALUE"""),0.569)</f>
        <v>0.569</v>
      </c>
      <c r="J120" s="35">
        <f>IFERROR(__xludf.DUMMYFUNCTION("""COMPUTED_VALUE"""),119.0)</f>
        <v>119</v>
      </c>
      <c r="K120" s="35" t="b">
        <f>IFERROR(__xludf.DUMMYFUNCTION("""COMPUTED_VALUE"""),FALSE)</f>
        <v>0</v>
      </c>
      <c r="L120" s="35" t="str">
        <f>IFERROR(__xludf.DUMMYFUNCTION("""COMPUTED_VALUE"""),"Array;Dynamic Programming;")</f>
        <v>Array;Dynamic Programming;</v>
      </c>
      <c r="M120" s="35" t="b">
        <f>IFERROR(__xludf.DUMMYFUNCTION("""COMPUTED_VALUE"""),TRUE)</f>
        <v>1</v>
      </c>
      <c r="N120" s="35" t="b">
        <f>IFERROR(__xludf.DUMMYFUNCTION("""COMPUTED_VALUE"""),FALSE)</f>
        <v>0</v>
      </c>
      <c r="O120" s="35">
        <f>IFERROR(__xludf.DUMMYFUNCTION("""COMPUTED_VALUE"""),56.893580179451)</f>
        <v>56.89358018</v>
      </c>
      <c r="P120" s="35">
        <f>IFERROR(__xludf.DUMMYFUNCTION("""COMPUTED_VALUE"""),493501.0)</f>
        <v>493501</v>
      </c>
      <c r="Q120" s="35">
        <f>IFERROR(__xludf.DUMMYFUNCTION("""COMPUTED_VALUE"""),867408.0)</f>
        <v>867408</v>
      </c>
    </row>
    <row r="121">
      <c r="A121" s="35">
        <f>IFERROR(__xludf.DUMMYFUNCTION("""COMPUTED_VALUE"""),120.0)</f>
        <v>120</v>
      </c>
      <c r="B121" s="35" t="str">
        <f>IFERROR(__xludf.DUMMYFUNCTION("""COMPUTED_VALUE"""),"Triangle")</f>
        <v>Triangle</v>
      </c>
      <c r="C121" s="35" t="str">
        <f>IFERROR(__xludf.DUMMYFUNCTION("""COMPUTED_VALUE"""),"triangle")</f>
        <v>triangle</v>
      </c>
      <c r="D121" s="35" t="b">
        <f>IFERROR(__xludf.DUMMYFUNCTION("""COMPUTED_VALUE"""),FALSE)</f>
        <v>0</v>
      </c>
      <c r="E121" s="35" t="str">
        <f>IFERROR(__xludf.DUMMYFUNCTION("""COMPUTED_VALUE"""),"Medium")</f>
        <v>Medium</v>
      </c>
      <c r="F121" s="35">
        <f>IFERROR(__xludf.DUMMYFUNCTION("""COMPUTED_VALUE"""),4578.0)</f>
        <v>4578</v>
      </c>
      <c r="G121" s="35">
        <f>IFERROR(__xludf.DUMMYFUNCTION("""COMPUTED_VALUE"""),376.0)</f>
        <v>376</v>
      </c>
      <c r="H121" s="35" t="str">
        <f>IFERROR(__xludf.DUMMYFUNCTION("""COMPUTED_VALUE"""),"Algorithms")</f>
        <v>Algorithms</v>
      </c>
      <c r="I121" s="35">
        <f>IFERROR(__xludf.DUMMYFUNCTION("""COMPUTED_VALUE"""),0.502)</f>
        <v>0.502</v>
      </c>
      <c r="J121" s="35">
        <f>IFERROR(__xludf.DUMMYFUNCTION("""COMPUTED_VALUE"""),120.0)</f>
        <v>120</v>
      </c>
      <c r="K121" s="35" t="b">
        <f>IFERROR(__xludf.DUMMYFUNCTION("""COMPUTED_VALUE"""),FALSE)</f>
        <v>0</v>
      </c>
      <c r="L121" s="35" t="str">
        <f>IFERROR(__xludf.DUMMYFUNCTION("""COMPUTED_VALUE"""),"Array;Dynamic Programming;")</f>
        <v>Array;Dynamic Programming;</v>
      </c>
      <c r="M121" s="35" t="b">
        <f>IFERROR(__xludf.DUMMYFUNCTION("""COMPUTED_VALUE"""),TRUE)</f>
        <v>1</v>
      </c>
      <c r="N121" s="35" t="b">
        <f>IFERROR(__xludf.DUMMYFUNCTION("""COMPUTED_VALUE"""),FALSE)</f>
        <v>0</v>
      </c>
      <c r="O121" s="35">
        <f>IFERROR(__xludf.DUMMYFUNCTION("""COMPUTED_VALUE"""),50.2371251000934)</f>
        <v>50.2371251</v>
      </c>
      <c r="P121" s="35">
        <f>IFERROR(__xludf.DUMMYFUNCTION("""COMPUTED_VALUE"""),397125.0)</f>
        <v>397125</v>
      </c>
      <c r="Q121" s="35">
        <f>IFERROR(__xludf.DUMMYFUNCTION("""COMPUTED_VALUE"""),790504.0)</f>
        <v>790504</v>
      </c>
    </row>
    <row r="122">
      <c r="A122" s="35">
        <f>IFERROR(__xludf.DUMMYFUNCTION("""COMPUTED_VALUE"""),121.0)</f>
        <v>121</v>
      </c>
      <c r="B122" s="35" t="str">
        <f>IFERROR(__xludf.DUMMYFUNCTION("""COMPUTED_VALUE"""),"Best Time to Buy and Sell Stock")</f>
        <v>Best Time to Buy and Sell Stock</v>
      </c>
      <c r="C122" s="35" t="str">
        <f>IFERROR(__xludf.DUMMYFUNCTION("""COMPUTED_VALUE"""),"best-time-to-buy-and-sell-stock")</f>
        <v>best-time-to-buy-and-sell-stock</v>
      </c>
      <c r="D122" s="35" t="b">
        <f>IFERROR(__xludf.DUMMYFUNCTION("""COMPUTED_VALUE"""),FALSE)</f>
        <v>0</v>
      </c>
      <c r="E122" s="35" t="str">
        <f>IFERROR(__xludf.DUMMYFUNCTION("""COMPUTED_VALUE"""),"Easy")</f>
        <v>Easy</v>
      </c>
      <c r="F122" s="35">
        <f>IFERROR(__xludf.DUMMYFUNCTION("""COMPUTED_VALUE"""),14798.0)</f>
        <v>14798</v>
      </c>
      <c r="G122" s="35">
        <f>IFERROR(__xludf.DUMMYFUNCTION("""COMPUTED_VALUE"""),500.0)</f>
        <v>500</v>
      </c>
      <c r="H122" s="35" t="str">
        <f>IFERROR(__xludf.DUMMYFUNCTION("""COMPUTED_VALUE"""),"Algorithms")</f>
        <v>Algorithms</v>
      </c>
      <c r="I122" s="35">
        <f>IFERROR(__xludf.DUMMYFUNCTION("""COMPUTED_VALUE"""),0.539)</f>
        <v>0.539</v>
      </c>
      <c r="J122" s="35">
        <f>IFERROR(__xludf.DUMMYFUNCTION("""COMPUTED_VALUE"""),121.0)</f>
        <v>121</v>
      </c>
      <c r="K122" s="35" t="b">
        <f>IFERROR(__xludf.DUMMYFUNCTION("""COMPUTED_VALUE"""),FALSE)</f>
        <v>0</v>
      </c>
      <c r="L122" s="35" t="str">
        <f>IFERROR(__xludf.DUMMYFUNCTION("""COMPUTED_VALUE"""),"Array;Dynamic Programming;")</f>
        <v>Array;Dynamic Programming;</v>
      </c>
      <c r="M122" s="35" t="b">
        <f>IFERROR(__xludf.DUMMYFUNCTION("""COMPUTED_VALUE"""),TRUE)</f>
        <v>1</v>
      </c>
      <c r="N122" s="35" t="b">
        <f>IFERROR(__xludf.DUMMYFUNCTION("""COMPUTED_VALUE"""),TRUE)</f>
        <v>1</v>
      </c>
      <c r="O122" s="35">
        <f>IFERROR(__xludf.DUMMYFUNCTION("""COMPUTED_VALUE"""),53.8786876921165)</f>
        <v>53.87868769</v>
      </c>
      <c r="P122" s="35">
        <f>IFERROR(__xludf.DUMMYFUNCTION("""COMPUTED_VALUE"""),1994646.0)</f>
        <v>1994646</v>
      </c>
      <c r="Q122" s="35">
        <f>IFERROR(__xludf.DUMMYFUNCTION("""COMPUTED_VALUE"""),3702125.0)</f>
        <v>3702125</v>
      </c>
    </row>
    <row r="123">
      <c r="A123" s="35">
        <f>IFERROR(__xludf.DUMMYFUNCTION("""COMPUTED_VALUE"""),122.0)</f>
        <v>122</v>
      </c>
      <c r="B123" s="35" t="str">
        <f>IFERROR(__xludf.DUMMYFUNCTION("""COMPUTED_VALUE"""),"Best Time to Buy and Sell Stock II")</f>
        <v>Best Time to Buy and Sell Stock II</v>
      </c>
      <c r="C123" s="35" t="str">
        <f>IFERROR(__xludf.DUMMYFUNCTION("""COMPUTED_VALUE"""),"best-time-to-buy-and-sell-stock-ii")</f>
        <v>best-time-to-buy-and-sell-stock-ii</v>
      </c>
      <c r="D123" s="35" t="b">
        <f>IFERROR(__xludf.DUMMYFUNCTION("""COMPUTED_VALUE"""),FALSE)</f>
        <v>0</v>
      </c>
      <c r="E123" s="35" t="str">
        <f>IFERROR(__xludf.DUMMYFUNCTION("""COMPUTED_VALUE"""),"Medium")</f>
        <v>Medium</v>
      </c>
      <c r="F123" s="35">
        <f>IFERROR(__xludf.DUMMYFUNCTION("""COMPUTED_VALUE"""),6996.0)</f>
        <v>6996</v>
      </c>
      <c r="G123" s="35">
        <f>IFERROR(__xludf.DUMMYFUNCTION("""COMPUTED_VALUE"""),2337.0)</f>
        <v>2337</v>
      </c>
      <c r="H123" s="35" t="str">
        <f>IFERROR(__xludf.DUMMYFUNCTION("""COMPUTED_VALUE"""),"Algorithms")</f>
        <v>Algorithms</v>
      </c>
      <c r="I123" s="35">
        <f>IFERROR(__xludf.DUMMYFUNCTION("""COMPUTED_VALUE"""),0.616)</f>
        <v>0.616</v>
      </c>
      <c r="J123" s="35">
        <f>IFERROR(__xludf.DUMMYFUNCTION("""COMPUTED_VALUE"""),122.0)</f>
        <v>122</v>
      </c>
      <c r="K123" s="35" t="b">
        <f>IFERROR(__xludf.DUMMYFUNCTION("""COMPUTED_VALUE"""),FALSE)</f>
        <v>0</v>
      </c>
      <c r="L123" s="35" t="str">
        <f>IFERROR(__xludf.DUMMYFUNCTION("""COMPUTED_VALUE"""),"Array;Dynamic Programming;Greedy;")</f>
        <v>Array;Dynamic Programming;Greedy;</v>
      </c>
      <c r="M123" s="35" t="b">
        <f>IFERROR(__xludf.DUMMYFUNCTION("""COMPUTED_VALUE"""),TRUE)</f>
        <v>1</v>
      </c>
      <c r="N123" s="35" t="b">
        <f>IFERROR(__xludf.DUMMYFUNCTION("""COMPUTED_VALUE"""),TRUE)</f>
        <v>1</v>
      </c>
      <c r="O123" s="35">
        <f>IFERROR(__xludf.DUMMYFUNCTION("""COMPUTED_VALUE"""),61.6423216292482)</f>
        <v>61.64232163</v>
      </c>
      <c r="P123" s="35">
        <f>IFERROR(__xludf.DUMMYFUNCTION("""COMPUTED_VALUE"""),1094840.0)</f>
        <v>1094840</v>
      </c>
      <c r="Q123" s="35">
        <f>IFERROR(__xludf.DUMMYFUNCTION("""COMPUTED_VALUE"""),1776123.0)</f>
        <v>1776123</v>
      </c>
    </row>
    <row r="124">
      <c r="A124" s="35">
        <f>IFERROR(__xludf.DUMMYFUNCTION("""COMPUTED_VALUE"""),123.0)</f>
        <v>123</v>
      </c>
      <c r="B124" s="35" t="str">
        <f>IFERROR(__xludf.DUMMYFUNCTION("""COMPUTED_VALUE"""),"Best Time to Buy and Sell Stock III")</f>
        <v>Best Time to Buy and Sell Stock III</v>
      </c>
      <c r="C124" s="35" t="str">
        <f>IFERROR(__xludf.DUMMYFUNCTION("""COMPUTED_VALUE"""),"best-time-to-buy-and-sell-stock-iii")</f>
        <v>best-time-to-buy-and-sell-stock-iii</v>
      </c>
      <c r="D124" s="35" t="b">
        <f>IFERROR(__xludf.DUMMYFUNCTION("""COMPUTED_VALUE"""),FALSE)</f>
        <v>0</v>
      </c>
      <c r="E124" s="35" t="str">
        <f>IFERROR(__xludf.DUMMYFUNCTION("""COMPUTED_VALUE"""),"Hard")</f>
        <v>Hard</v>
      </c>
      <c r="F124" s="35">
        <f>IFERROR(__xludf.DUMMYFUNCTION("""COMPUTED_VALUE"""),5452.0)</f>
        <v>5452</v>
      </c>
      <c r="G124" s="35">
        <f>IFERROR(__xludf.DUMMYFUNCTION("""COMPUTED_VALUE"""),114.0)</f>
        <v>114</v>
      </c>
      <c r="H124" s="35" t="str">
        <f>IFERROR(__xludf.DUMMYFUNCTION("""COMPUTED_VALUE"""),"Algorithms")</f>
        <v>Algorithms</v>
      </c>
      <c r="I124" s="35">
        <f>IFERROR(__xludf.DUMMYFUNCTION("""COMPUTED_VALUE"""),0.429)</f>
        <v>0.429</v>
      </c>
      <c r="J124" s="35">
        <f>IFERROR(__xludf.DUMMYFUNCTION("""COMPUTED_VALUE"""),123.0)</f>
        <v>123</v>
      </c>
      <c r="K124" s="35" t="b">
        <f>IFERROR(__xludf.DUMMYFUNCTION("""COMPUTED_VALUE"""),FALSE)</f>
        <v>0</v>
      </c>
      <c r="L124" s="35" t="str">
        <f>IFERROR(__xludf.DUMMYFUNCTION("""COMPUTED_VALUE"""),"Array;Dynamic Programming;")</f>
        <v>Array;Dynamic Programming;</v>
      </c>
      <c r="M124" s="35" t="b">
        <f>IFERROR(__xludf.DUMMYFUNCTION("""COMPUTED_VALUE"""),TRUE)</f>
        <v>1</v>
      </c>
      <c r="N124" s="35" t="b">
        <f>IFERROR(__xludf.DUMMYFUNCTION("""COMPUTED_VALUE"""),FALSE)</f>
        <v>0</v>
      </c>
      <c r="O124" s="35">
        <f>IFERROR(__xludf.DUMMYFUNCTION("""COMPUTED_VALUE"""),42.8531183735876)</f>
        <v>42.85311837</v>
      </c>
      <c r="P124" s="35">
        <f>IFERROR(__xludf.DUMMYFUNCTION("""COMPUTED_VALUE"""),366596.0)</f>
        <v>366596</v>
      </c>
      <c r="Q124" s="35">
        <f>IFERROR(__xludf.DUMMYFUNCTION("""COMPUTED_VALUE"""),855475.0)</f>
        <v>855475</v>
      </c>
    </row>
    <row r="125">
      <c r="A125" s="35">
        <f>IFERROR(__xludf.DUMMYFUNCTION("""COMPUTED_VALUE"""),124.0)</f>
        <v>124</v>
      </c>
      <c r="B125" s="35" t="str">
        <f>IFERROR(__xludf.DUMMYFUNCTION("""COMPUTED_VALUE"""),"Binary Tree Maximum Path Sum")</f>
        <v>Binary Tree Maximum Path Sum</v>
      </c>
      <c r="C125" s="35" t="str">
        <f>IFERROR(__xludf.DUMMYFUNCTION("""COMPUTED_VALUE"""),"binary-tree-maximum-path-sum")</f>
        <v>binary-tree-maximum-path-sum</v>
      </c>
      <c r="D125" s="35" t="b">
        <f>IFERROR(__xludf.DUMMYFUNCTION("""COMPUTED_VALUE"""),FALSE)</f>
        <v>0</v>
      </c>
      <c r="E125" s="35" t="str">
        <f>IFERROR(__xludf.DUMMYFUNCTION("""COMPUTED_VALUE"""),"Hard")</f>
        <v>Hard</v>
      </c>
      <c r="F125" s="35">
        <f>IFERROR(__xludf.DUMMYFUNCTION("""COMPUTED_VALUE"""),8797.0)</f>
        <v>8797</v>
      </c>
      <c r="G125" s="35">
        <f>IFERROR(__xludf.DUMMYFUNCTION("""COMPUTED_VALUE"""),513.0)</f>
        <v>513</v>
      </c>
      <c r="H125" s="35" t="str">
        <f>IFERROR(__xludf.DUMMYFUNCTION("""COMPUTED_VALUE"""),"Algorithms")</f>
        <v>Algorithms</v>
      </c>
      <c r="I125" s="35">
        <f>IFERROR(__xludf.DUMMYFUNCTION("""COMPUTED_VALUE"""),0.375)</f>
        <v>0.375</v>
      </c>
      <c r="J125" s="35">
        <f>IFERROR(__xludf.DUMMYFUNCTION("""COMPUTED_VALUE"""),124.0)</f>
        <v>124</v>
      </c>
      <c r="K125" s="35" t="b">
        <f>IFERROR(__xludf.DUMMYFUNCTION("""COMPUTED_VALUE"""),FALSE)</f>
        <v>0</v>
      </c>
      <c r="L125" s="35" t="str">
        <f>IFERROR(__xludf.DUMMYFUNCTION("""COMPUTED_VALUE"""),"Dynamic Programming;Tree;Depth-First Search;Binary Tree;")</f>
        <v>Dynamic Programming;Tree;Depth-First Search;Binary Tree;</v>
      </c>
      <c r="M125" s="35" t="b">
        <f>IFERROR(__xludf.DUMMYFUNCTION("""COMPUTED_VALUE"""),TRUE)</f>
        <v>1</v>
      </c>
      <c r="N125" s="35" t="b">
        <f>IFERROR(__xludf.DUMMYFUNCTION("""COMPUTED_VALUE"""),FALSE)</f>
        <v>0</v>
      </c>
      <c r="O125" s="35">
        <f>IFERROR(__xludf.DUMMYFUNCTION("""COMPUTED_VALUE"""),37.4573504530871)</f>
        <v>37.45735045</v>
      </c>
      <c r="P125" s="35">
        <f>IFERROR(__xludf.DUMMYFUNCTION("""COMPUTED_VALUE"""),691608.0)</f>
        <v>691608</v>
      </c>
      <c r="Q125" s="35">
        <f>IFERROR(__xludf.DUMMYFUNCTION("""COMPUTED_VALUE"""),1846413.0)</f>
        <v>1846413</v>
      </c>
    </row>
    <row r="126">
      <c r="A126" s="35">
        <f>IFERROR(__xludf.DUMMYFUNCTION("""COMPUTED_VALUE"""),125.0)</f>
        <v>125</v>
      </c>
      <c r="B126" s="35" t="str">
        <f>IFERROR(__xludf.DUMMYFUNCTION("""COMPUTED_VALUE"""),"Valid Palindrome")</f>
        <v>Valid Palindrome</v>
      </c>
      <c r="C126" s="35" t="str">
        <f>IFERROR(__xludf.DUMMYFUNCTION("""COMPUTED_VALUE"""),"valid-palindrome")</f>
        <v>valid-palindrome</v>
      </c>
      <c r="D126" s="35" t="b">
        <f>IFERROR(__xludf.DUMMYFUNCTION("""COMPUTED_VALUE"""),FALSE)</f>
        <v>0</v>
      </c>
      <c r="E126" s="35" t="str">
        <f>IFERROR(__xludf.DUMMYFUNCTION("""COMPUTED_VALUE"""),"Easy")</f>
        <v>Easy</v>
      </c>
      <c r="F126" s="35">
        <f>IFERROR(__xludf.DUMMYFUNCTION("""COMPUTED_VALUE"""),3223.0)</f>
        <v>3223</v>
      </c>
      <c r="G126" s="35">
        <f>IFERROR(__xludf.DUMMYFUNCTION("""COMPUTED_VALUE"""),4936.0)</f>
        <v>4936</v>
      </c>
      <c r="H126" s="35" t="str">
        <f>IFERROR(__xludf.DUMMYFUNCTION("""COMPUTED_VALUE"""),"Algorithms")</f>
        <v>Algorithms</v>
      </c>
      <c r="I126" s="35">
        <f>IFERROR(__xludf.DUMMYFUNCTION("""COMPUTED_VALUE"""),0.411)</f>
        <v>0.411</v>
      </c>
      <c r="J126" s="35">
        <f>IFERROR(__xludf.DUMMYFUNCTION("""COMPUTED_VALUE"""),125.0)</f>
        <v>125</v>
      </c>
      <c r="K126" s="35" t="b">
        <f>IFERROR(__xludf.DUMMYFUNCTION("""COMPUTED_VALUE"""),FALSE)</f>
        <v>0</v>
      </c>
      <c r="L126" s="35" t="str">
        <f>IFERROR(__xludf.DUMMYFUNCTION("""COMPUTED_VALUE"""),"Two Pointers;String;")</f>
        <v>Two Pointers;String;</v>
      </c>
      <c r="M126" s="35" t="b">
        <f>IFERROR(__xludf.DUMMYFUNCTION("""COMPUTED_VALUE"""),TRUE)</f>
        <v>1</v>
      </c>
      <c r="N126" s="35" t="b">
        <f>IFERROR(__xludf.DUMMYFUNCTION("""COMPUTED_VALUE"""),FALSE)</f>
        <v>0</v>
      </c>
      <c r="O126" s="35">
        <f>IFERROR(__xludf.DUMMYFUNCTION("""COMPUTED_VALUE"""),41.0909429755931)</f>
        <v>41.09094298</v>
      </c>
      <c r="P126" s="35">
        <f>IFERROR(__xludf.DUMMYFUNCTION("""COMPUTED_VALUE"""),1168555.0)</f>
        <v>1168555</v>
      </c>
      <c r="Q126" s="35">
        <f>IFERROR(__xludf.DUMMYFUNCTION("""COMPUTED_VALUE"""),2843833.0)</f>
        <v>2843833</v>
      </c>
    </row>
    <row r="127">
      <c r="A127" s="35">
        <f>IFERROR(__xludf.DUMMYFUNCTION("""COMPUTED_VALUE"""),126.0)</f>
        <v>126</v>
      </c>
      <c r="B127" s="35" t="str">
        <f>IFERROR(__xludf.DUMMYFUNCTION("""COMPUTED_VALUE"""),"Word Ladder II")</f>
        <v>Word Ladder II</v>
      </c>
      <c r="C127" s="35" t="str">
        <f>IFERROR(__xludf.DUMMYFUNCTION("""COMPUTED_VALUE"""),"word-ladder-ii")</f>
        <v>word-ladder-ii</v>
      </c>
      <c r="D127" s="35" t="b">
        <f>IFERROR(__xludf.DUMMYFUNCTION("""COMPUTED_VALUE"""),FALSE)</f>
        <v>0</v>
      </c>
      <c r="E127" s="35" t="str">
        <f>IFERROR(__xludf.DUMMYFUNCTION("""COMPUTED_VALUE"""),"Hard")</f>
        <v>Hard</v>
      </c>
      <c r="F127" s="35">
        <f>IFERROR(__xludf.DUMMYFUNCTION("""COMPUTED_VALUE"""),3508.0)</f>
        <v>3508</v>
      </c>
      <c r="G127" s="35">
        <f>IFERROR(__xludf.DUMMYFUNCTION("""COMPUTED_VALUE"""),331.0)</f>
        <v>331</v>
      </c>
      <c r="H127" s="35" t="str">
        <f>IFERROR(__xludf.DUMMYFUNCTION("""COMPUTED_VALUE"""),"Algorithms")</f>
        <v>Algorithms</v>
      </c>
      <c r="I127" s="35">
        <f>IFERROR(__xludf.DUMMYFUNCTION("""COMPUTED_VALUE"""),0.267)</f>
        <v>0.267</v>
      </c>
      <c r="J127" s="35">
        <f>IFERROR(__xludf.DUMMYFUNCTION("""COMPUTED_VALUE"""),126.0)</f>
        <v>126</v>
      </c>
      <c r="K127" s="35" t="b">
        <f>IFERROR(__xludf.DUMMYFUNCTION("""COMPUTED_VALUE"""),FALSE)</f>
        <v>0</v>
      </c>
      <c r="L127" s="35" t="str">
        <f>IFERROR(__xludf.DUMMYFUNCTION("""COMPUTED_VALUE"""),"Hash Table;String;Backtracking;Breadth-First Search;")</f>
        <v>Hash Table;String;Backtracking;Breadth-First Search;</v>
      </c>
      <c r="M127" s="35" t="b">
        <f>IFERROR(__xludf.DUMMYFUNCTION("""COMPUTED_VALUE"""),TRUE)</f>
        <v>1</v>
      </c>
      <c r="N127" s="35" t="b">
        <f>IFERROR(__xludf.DUMMYFUNCTION("""COMPUTED_VALUE"""),FALSE)</f>
        <v>0</v>
      </c>
      <c r="O127" s="35">
        <f>IFERROR(__xludf.DUMMYFUNCTION("""COMPUTED_VALUE"""),26.7013592674742)</f>
        <v>26.70135927</v>
      </c>
      <c r="P127" s="35">
        <f>IFERROR(__xludf.DUMMYFUNCTION("""COMPUTED_VALUE"""),281694.0)</f>
        <v>281694</v>
      </c>
      <c r="Q127" s="35">
        <f>IFERROR(__xludf.DUMMYFUNCTION("""COMPUTED_VALUE"""),1054979.0)</f>
        <v>1054979</v>
      </c>
    </row>
    <row r="128">
      <c r="A128" s="35">
        <f>IFERROR(__xludf.DUMMYFUNCTION("""COMPUTED_VALUE"""),127.0)</f>
        <v>127</v>
      </c>
      <c r="B128" s="35" t="str">
        <f>IFERROR(__xludf.DUMMYFUNCTION("""COMPUTED_VALUE"""),"Word Ladder")</f>
        <v>Word Ladder</v>
      </c>
      <c r="C128" s="35" t="str">
        <f>IFERROR(__xludf.DUMMYFUNCTION("""COMPUTED_VALUE"""),"word-ladder")</f>
        <v>word-ladder</v>
      </c>
      <c r="D128" s="35" t="b">
        <f>IFERROR(__xludf.DUMMYFUNCTION("""COMPUTED_VALUE"""),FALSE)</f>
        <v>0</v>
      </c>
      <c r="E128" s="35" t="str">
        <f>IFERROR(__xludf.DUMMYFUNCTION("""COMPUTED_VALUE"""),"Hard")</f>
        <v>Hard</v>
      </c>
      <c r="F128" s="35">
        <f>IFERROR(__xludf.DUMMYFUNCTION("""COMPUTED_VALUE"""),7578.0)</f>
        <v>7578</v>
      </c>
      <c r="G128" s="35">
        <f>IFERROR(__xludf.DUMMYFUNCTION("""COMPUTED_VALUE"""),1625.0)</f>
        <v>1625</v>
      </c>
      <c r="H128" s="35" t="str">
        <f>IFERROR(__xludf.DUMMYFUNCTION("""COMPUTED_VALUE"""),"Algorithms")</f>
        <v>Algorithms</v>
      </c>
      <c r="I128" s="35">
        <f>IFERROR(__xludf.DUMMYFUNCTION("""COMPUTED_VALUE"""),0.351)</f>
        <v>0.351</v>
      </c>
      <c r="J128" s="35">
        <f>IFERROR(__xludf.DUMMYFUNCTION("""COMPUTED_VALUE"""),127.0)</f>
        <v>127</v>
      </c>
      <c r="K128" s="35" t="b">
        <f>IFERROR(__xludf.DUMMYFUNCTION("""COMPUTED_VALUE"""),FALSE)</f>
        <v>0</v>
      </c>
      <c r="L128" s="35" t="str">
        <f>IFERROR(__xludf.DUMMYFUNCTION("""COMPUTED_VALUE"""),"Hash Table;String;Breadth-First Search;")</f>
        <v>Hash Table;String;Breadth-First Search;</v>
      </c>
      <c r="M128" s="35" t="b">
        <f>IFERROR(__xludf.DUMMYFUNCTION("""COMPUTED_VALUE"""),TRUE)</f>
        <v>1</v>
      </c>
      <c r="N128" s="35" t="b">
        <f>IFERROR(__xludf.DUMMYFUNCTION("""COMPUTED_VALUE"""),TRUE)</f>
        <v>1</v>
      </c>
      <c r="O128" s="35">
        <f>IFERROR(__xludf.DUMMYFUNCTION("""COMPUTED_VALUE"""),35.1321085247136)</f>
        <v>35.13210852</v>
      </c>
      <c r="P128" s="35">
        <f>IFERROR(__xludf.DUMMYFUNCTION("""COMPUTED_VALUE"""),738815.0)</f>
        <v>738815</v>
      </c>
      <c r="Q128" s="35">
        <f>IFERROR(__xludf.DUMMYFUNCTION("""COMPUTED_VALUE"""),2102964.0)</f>
        <v>2102964</v>
      </c>
    </row>
    <row r="129">
      <c r="A129" s="35">
        <f>IFERROR(__xludf.DUMMYFUNCTION("""COMPUTED_VALUE"""),128.0)</f>
        <v>128</v>
      </c>
      <c r="B129" s="35" t="str">
        <f>IFERROR(__xludf.DUMMYFUNCTION("""COMPUTED_VALUE"""),"Longest Consecutive Sequence")</f>
        <v>Longest Consecutive Sequence</v>
      </c>
      <c r="C129" s="35" t="str">
        <f>IFERROR(__xludf.DUMMYFUNCTION("""COMPUTED_VALUE"""),"longest-consecutive-sequence")</f>
        <v>longest-consecutive-sequence</v>
      </c>
      <c r="D129" s="35" t="b">
        <f>IFERROR(__xludf.DUMMYFUNCTION("""COMPUTED_VALUE"""),FALSE)</f>
        <v>0</v>
      </c>
      <c r="E129" s="35" t="str">
        <f>IFERROR(__xludf.DUMMYFUNCTION("""COMPUTED_VALUE"""),"Medium")</f>
        <v>Medium</v>
      </c>
      <c r="F129" s="35">
        <f>IFERROR(__xludf.DUMMYFUNCTION("""COMPUTED_VALUE"""),8625.0)</f>
        <v>8625</v>
      </c>
      <c r="G129" s="35">
        <f>IFERROR(__xludf.DUMMYFUNCTION("""COMPUTED_VALUE"""),375.0)</f>
        <v>375</v>
      </c>
      <c r="H129" s="35" t="str">
        <f>IFERROR(__xludf.DUMMYFUNCTION("""COMPUTED_VALUE"""),"Algorithms")</f>
        <v>Algorithms</v>
      </c>
      <c r="I129" s="35">
        <f>IFERROR(__xludf.DUMMYFUNCTION("""COMPUTED_VALUE"""),0.485)</f>
        <v>0.485</v>
      </c>
      <c r="J129" s="35">
        <f>IFERROR(__xludf.DUMMYFUNCTION("""COMPUTED_VALUE"""),128.0)</f>
        <v>128</v>
      </c>
      <c r="K129" s="35" t="b">
        <f>IFERROR(__xludf.DUMMYFUNCTION("""COMPUTED_VALUE"""),FALSE)</f>
        <v>0</v>
      </c>
      <c r="L129" s="35" t="str">
        <f>IFERROR(__xludf.DUMMYFUNCTION("""COMPUTED_VALUE"""),"Array;Hash Table;Union Find;")</f>
        <v>Array;Hash Table;Union Find;</v>
      </c>
      <c r="M129" s="35" t="b">
        <f>IFERROR(__xludf.DUMMYFUNCTION("""COMPUTED_VALUE"""),TRUE)</f>
        <v>1</v>
      </c>
      <c r="N129" s="35" t="b">
        <f>IFERROR(__xludf.DUMMYFUNCTION("""COMPUTED_VALUE"""),FALSE)</f>
        <v>0</v>
      </c>
      <c r="O129" s="35">
        <f>IFERROR(__xludf.DUMMYFUNCTION("""COMPUTED_VALUE"""),48.5158247286749)</f>
        <v>48.51582473</v>
      </c>
      <c r="P129" s="35">
        <f>IFERROR(__xludf.DUMMYFUNCTION("""COMPUTED_VALUE"""),614467.0)</f>
        <v>614467</v>
      </c>
      <c r="Q129" s="35">
        <f>IFERROR(__xludf.DUMMYFUNCTION("""COMPUTED_VALUE"""),1266538.0)</f>
        <v>1266538</v>
      </c>
    </row>
    <row r="130">
      <c r="A130" s="35">
        <f>IFERROR(__xludf.DUMMYFUNCTION("""COMPUTED_VALUE"""),129.0)</f>
        <v>129</v>
      </c>
      <c r="B130" s="35" t="str">
        <f>IFERROR(__xludf.DUMMYFUNCTION("""COMPUTED_VALUE"""),"Sum Root to Leaf Numbers")</f>
        <v>Sum Root to Leaf Numbers</v>
      </c>
      <c r="C130" s="35" t="str">
        <f>IFERROR(__xludf.DUMMYFUNCTION("""COMPUTED_VALUE"""),"sum-root-to-leaf-numbers")</f>
        <v>sum-root-to-leaf-numbers</v>
      </c>
      <c r="D130" s="35" t="b">
        <f>IFERROR(__xludf.DUMMYFUNCTION("""COMPUTED_VALUE"""),FALSE)</f>
        <v>0</v>
      </c>
      <c r="E130" s="35" t="str">
        <f>IFERROR(__xludf.DUMMYFUNCTION("""COMPUTED_VALUE"""),"Medium")</f>
        <v>Medium</v>
      </c>
      <c r="F130" s="35">
        <f>IFERROR(__xludf.DUMMYFUNCTION("""COMPUTED_VALUE"""),3929.0)</f>
        <v>3929</v>
      </c>
      <c r="G130" s="35">
        <f>IFERROR(__xludf.DUMMYFUNCTION("""COMPUTED_VALUE"""),77.0)</f>
        <v>77</v>
      </c>
      <c r="H130" s="35" t="str">
        <f>IFERROR(__xludf.DUMMYFUNCTION("""COMPUTED_VALUE"""),"Algorithms")</f>
        <v>Algorithms</v>
      </c>
      <c r="I130" s="35">
        <f>IFERROR(__xludf.DUMMYFUNCTION("""COMPUTED_VALUE"""),0.563)</f>
        <v>0.563</v>
      </c>
      <c r="J130" s="35">
        <f>IFERROR(__xludf.DUMMYFUNCTION("""COMPUTED_VALUE"""),129.0)</f>
        <v>129</v>
      </c>
      <c r="K130" s="35" t="b">
        <f>IFERROR(__xludf.DUMMYFUNCTION("""COMPUTED_VALUE"""),FALSE)</f>
        <v>0</v>
      </c>
      <c r="L130" s="35" t="str">
        <f>IFERROR(__xludf.DUMMYFUNCTION("""COMPUTED_VALUE"""),"Tree;Depth-First Search;Binary Tree;")</f>
        <v>Tree;Depth-First Search;Binary Tree;</v>
      </c>
      <c r="M130" s="35" t="b">
        <f>IFERROR(__xludf.DUMMYFUNCTION("""COMPUTED_VALUE"""),TRUE)</f>
        <v>1</v>
      </c>
      <c r="N130" s="35" t="b">
        <f>IFERROR(__xludf.DUMMYFUNCTION("""COMPUTED_VALUE"""),FALSE)</f>
        <v>0</v>
      </c>
      <c r="O130" s="35">
        <f>IFERROR(__xludf.DUMMYFUNCTION("""COMPUTED_VALUE"""),56.3477336264673)</f>
        <v>56.34773363</v>
      </c>
      <c r="P130" s="35">
        <f>IFERROR(__xludf.DUMMYFUNCTION("""COMPUTED_VALUE"""),438784.0)</f>
        <v>438784</v>
      </c>
      <c r="Q130" s="35">
        <f>IFERROR(__xludf.DUMMYFUNCTION("""COMPUTED_VALUE"""),778709.0)</f>
        <v>778709</v>
      </c>
    </row>
    <row r="131">
      <c r="A131" s="35">
        <f>IFERROR(__xludf.DUMMYFUNCTION("""COMPUTED_VALUE"""),130.0)</f>
        <v>130</v>
      </c>
      <c r="B131" s="35" t="str">
        <f>IFERROR(__xludf.DUMMYFUNCTION("""COMPUTED_VALUE"""),"Surrounded Regions")</f>
        <v>Surrounded Regions</v>
      </c>
      <c r="C131" s="35" t="str">
        <f>IFERROR(__xludf.DUMMYFUNCTION("""COMPUTED_VALUE"""),"surrounded-regions")</f>
        <v>surrounded-regions</v>
      </c>
      <c r="D131" s="35" t="b">
        <f>IFERROR(__xludf.DUMMYFUNCTION("""COMPUTED_VALUE"""),FALSE)</f>
        <v>0</v>
      </c>
      <c r="E131" s="35" t="str">
        <f>IFERROR(__xludf.DUMMYFUNCTION("""COMPUTED_VALUE"""),"Medium")</f>
        <v>Medium</v>
      </c>
      <c r="F131" s="35">
        <f>IFERROR(__xludf.DUMMYFUNCTION("""COMPUTED_VALUE"""),4538.0)</f>
        <v>4538</v>
      </c>
      <c r="G131" s="35">
        <f>IFERROR(__xludf.DUMMYFUNCTION("""COMPUTED_VALUE"""),1121.0)</f>
        <v>1121</v>
      </c>
      <c r="H131" s="35" t="str">
        <f>IFERROR(__xludf.DUMMYFUNCTION("""COMPUTED_VALUE"""),"Algorithms")</f>
        <v>Algorithms</v>
      </c>
      <c r="I131" s="35">
        <f>IFERROR(__xludf.DUMMYFUNCTION("""COMPUTED_VALUE"""),0.336)</f>
        <v>0.336</v>
      </c>
      <c r="J131" s="35">
        <f>IFERROR(__xludf.DUMMYFUNCTION("""COMPUTED_VALUE"""),130.0)</f>
        <v>130</v>
      </c>
      <c r="K131" s="35" t="b">
        <f>IFERROR(__xludf.DUMMYFUNCTION("""COMPUTED_VALUE"""),FALSE)</f>
        <v>0</v>
      </c>
      <c r="L131" s="35" t="str">
        <f>IFERROR(__xludf.DUMMYFUNCTION("""COMPUTED_VALUE"""),"Array;Depth-First Search;Breadth-First Search;Union Find;Matrix;")</f>
        <v>Array;Depth-First Search;Breadth-First Search;Union Find;Matrix;</v>
      </c>
      <c r="M131" s="35" t="b">
        <f>IFERROR(__xludf.DUMMYFUNCTION("""COMPUTED_VALUE"""),TRUE)</f>
        <v>1</v>
      </c>
      <c r="N131" s="35" t="b">
        <f>IFERROR(__xludf.DUMMYFUNCTION("""COMPUTED_VALUE"""),FALSE)</f>
        <v>0</v>
      </c>
      <c r="O131" s="35">
        <f>IFERROR(__xludf.DUMMYFUNCTION("""COMPUTED_VALUE"""),33.584904058414)</f>
        <v>33.58490406</v>
      </c>
      <c r="P131" s="35">
        <f>IFERROR(__xludf.DUMMYFUNCTION("""COMPUTED_VALUE"""),395562.0)</f>
        <v>395562</v>
      </c>
      <c r="Q131" s="35">
        <f>IFERROR(__xludf.DUMMYFUNCTION("""COMPUTED_VALUE"""),1177797.0)</f>
        <v>1177797</v>
      </c>
    </row>
    <row r="132">
      <c r="A132" s="35">
        <f>IFERROR(__xludf.DUMMYFUNCTION("""COMPUTED_VALUE"""),131.0)</f>
        <v>131</v>
      </c>
      <c r="B132" s="35" t="str">
        <f>IFERROR(__xludf.DUMMYFUNCTION("""COMPUTED_VALUE"""),"Palindrome Partitioning")</f>
        <v>Palindrome Partitioning</v>
      </c>
      <c r="C132" s="35" t="str">
        <f>IFERROR(__xludf.DUMMYFUNCTION("""COMPUTED_VALUE"""),"palindrome-partitioning")</f>
        <v>palindrome-partitioning</v>
      </c>
      <c r="D132" s="35" t="b">
        <f>IFERROR(__xludf.DUMMYFUNCTION("""COMPUTED_VALUE"""),FALSE)</f>
        <v>0</v>
      </c>
      <c r="E132" s="35" t="str">
        <f>IFERROR(__xludf.DUMMYFUNCTION("""COMPUTED_VALUE"""),"Medium")</f>
        <v>Medium</v>
      </c>
      <c r="F132" s="35">
        <f>IFERROR(__xludf.DUMMYFUNCTION("""COMPUTED_VALUE"""),6237.0)</f>
        <v>6237</v>
      </c>
      <c r="G132" s="35">
        <f>IFERROR(__xludf.DUMMYFUNCTION("""COMPUTED_VALUE"""),193.0)</f>
        <v>193</v>
      </c>
      <c r="H132" s="35" t="str">
        <f>IFERROR(__xludf.DUMMYFUNCTION("""COMPUTED_VALUE"""),"Algorithms")</f>
        <v>Algorithms</v>
      </c>
      <c r="I132" s="35">
        <f>IFERROR(__xludf.DUMMYFUNCTION("""COMPUTED_VALUE"""),0.588)</f>
        <v>0.588</v>
      </c>
      <c r="J132" s="35">
        <f>IFERROR(__xludf.DUMMYFUNCTION("""COMPUTED_VALUE"""),131.0)</f>
        <v>131</v>
      </c>
      <c r="K132" s="35" t="b">
        <f>IFERROR(__xludf.DUMMYFUNCTION("""COMPUTED_VALUE"""),FALSE)</f>
        <v>0</v>
      </c>
      <c r="L132" s="35" t="str">
        <f>IFERROR(__xludf.DUMMYFUNCTION("""COMPUTED_VALUE"""),"String;Dynamic Programming;Backtracking;")</f>
        <v>String;Dynamic Programming;Backtracking;</v>
      </c>
      <c r="M132" s="35" t="b">
        <f>IFERROR(__xludf.DUMMYFUNCTION("""COMPUTED_VALUE"""),TRUE)</f>
        <v>1</v>
      </c>
      <c r="N132" s="35" t="b">
        <f>IFERROR(__xludf.DUMMYFUNCTION("""COMPUTED_VALUE"""),FALSE)</f>
        <v>0</v>
      </c>
      <c r="O132" s="35">
        <f>IFERROR(__xludf.DUMMYFUNCTION("""COMPUTED_VALUE"""),58.8303863677933)</f>
        <v>58.83038637</v>
      </c>
      <c r="P132" s="35">
        <f>IFERROR(__xludf.DUMMYFUNCTION("""COMPUTED_VALUE"""),430997.0)</f>
        <v>430997</v>
      </c>
      <c r="Q132" s="35">
        <f>IFERROR(__xludf.DUMMYFUNCTION("""COMPUTED_VALUE"""),732613.0)</f>
        <v>732613</v>
      </c>
    </row>
    <row r="133">
      <c r="A133" s="35">
        <f>IFERROR(__xludf.DUMMYFUNCTION("""COMPUTED_VALUE"""),132.0)</f>
        <v>132</v>
      </c>
      <c r="B133" s="35" t="str">
        <f>IFERROR(__xludf.DUMMYFUNCTION("""COMPUTED_VALUE"""),"Palindrome Partitioning II")</f>
        <v>Palindrome Partitioning II</v>
      </c>
      <c r="C133" s="35" t="str">
        <f>IFERROR(__xludf.DUMMYFUNCTION("""COMPUTED_VALUE"""),"palindrome-partitioning-ii")</f>
        <v>palindrome-partitioning-ii</v>
      </c>
      <c r="D133" s="35" t="b">
        <f>IFERROR(__xludf.DUMMYFUNCTION("""COMPUTED_VALUE"""),FALSE)</f>
        <v>0</v>
      </c>
      <c r="E133" s="35" t="str">
        <f>IFERROR(__xludf.DUMMYFUNCTION("""COMPUTED_VALUE"""),"Hard")</f>
        <v>Hard</v>
      </c>
      <c r="F133" s="35">
        <f>IFERROR(__xludf.DUMMYFUNCTION("""COMPUTED_VALUE"""),3167.0)</f>
        <v>3167</v>
      </c>
      <c r="G133" s="35">
        <f>IFERROR(__xludf.DUMMYFUNCTION("""COMPUTED_VALUE"""),77.0)</f>
        <v>77</v>
      </c>
      <c r="H133" s="35" t="str">
        <f>IFERROR(__xludf.DUMMYFUNCTION("""COMPUTED_VALUE"""),"Algorithms")</f>
        <v>Algorithms</v>
      </c>
      <c r="I133" s="35">
        <f>IFERROR(__xludf.DUMMYFUNCTION("""COMPUTED_VALUE"""),0.331)</f>
        <v>0.331</v>
      </c>
      <c r="J133" s="35">
        <f>IFERROR(__xludf.DUMMYFUNCTION("""COMPUTED_VALUE"""),132.0)</f>
        <v>132</v>
      </c>
      <c r="K133" s="35" t="b">
        <f>IFERROR(__xludf.DUMMYFUNCTION("""COMPUTED_VALUE"""),FALSE)</f>
        <v>0</v>
      </c>
      <c r="L133" s="35" t="str">
        <f>IFERROR(__xludf.DUMMYFUNCTION("""COMPUTED_VALUE"""),"String;Dynamic Programming;")</f>
        <v>String;Dynamic Programming;</v>
      </c>
      <c r="M133" s="35" t="b">
        <f>IFERROR(__xludf.DUMMYFUNCTION("""COMPUTED_VALUE"""),TRUE)</f>
        <v>1</v>
      </c>
      <c r="N133" s="35" t="b">
        <f>IFERROR(__xludf.DUMMYFUNCTION("""COMPUTED_VALUE"""),FALSE)</f>
        <v>0</v>
      </c>
      <c r="O133" s="35">
        <f>IFERROR(__xludf.DUMMYFUNCTION("""COMPUTED_VALUE"""),33.068048419228)</f>
        <v>33.06804842</v>
      </c>
      <c r="P133" s="35">
        <f>IFERROR(__xludf.DUMMYFUNCTION("""COMPUTED_VALUE"""),198026.0)</f>
        <v>198026</v>
      </c>
      <c r="Q133" s="35">
        <f>IFERROR(__xludf.DUMMYFUNCTION("""COMPUTED_VALUE"""),598848.0)</f>
        <v>598848</v>
      </c>
    </row>
    <row r="134">
      <c r="A134" s="35">
        <f>IFERROR(__xludf.DUMMYFUNCTION("""COMPUTED_VALUE"""),133.0)</f>
        <v>133</v>
      </c>
      <c r="B134" s="35" t="str">
        <f>IFERROR(__xludf.DUMMYFUNCTION("""COMPUTED_VALUE"""),"Clone Graph")</f>
        <v>Clone Graph</v>
      </c>
      <c r="C134" s="35" t="str">
        <f>IFERROR(__xludf.DUMMYFUNCTION("""COMPUTED_VALUE"""),"clone-graph")</f>
        <v>clone-graph</v>
      </c>
      <c r="D134" s="35" t="b">
        <f>IFERROR(__xludf.DUMMYFUNCTION("""COMPUTED_VALUE"""),FALSE)</f>
        <v>0</v>
      </c>
      <c r="E134" s="35" t="str">
        <f>IFERROR(__xludf.DUMMYFUNCTION("""COMPUTED_VALUE"""),"Medium")</f>
        <v>Medium</v>
      </c>
      <c r="F134" s="35">
        <f>IFERROR(__xludf.DUMMYFUNCTION("""COMPUTED_VALUE"""),5344.0)</f>
        <v>5344</v>
      </c>
      <c r="G134" s="35">
        <f>IFERROR(__xludf.DUMMYFUNCTION("""COMPUTED_VALUE"""),2390.0)</f>
        <v>2390</v>
      </c>
      <c r="H134" s="35" t="str">
        <f>IFERROR(__xludf.DUMMYFUNCTION("""COMPUTED_VALUE"""),"Algorithms")</f>
        <v>Algorithms</v>
      </c>
      <c r="I134" s="35">
        <f>IFERROR(__xludf.DUMMYFUNCTION("""COMPUTED_VALUE"""),0.468)</f>
        <v>0.468</v>
      </c>
      <c r="J134" s="35">
        <f>IFERROR(__xludf.DUMMYFUNCTION("""COMPUTED_VALUE"""),133.0)</f>
        <v>133</v>
      </c>
      <c r="K134" s="35" t="b">
        <f>IFERROR(__xludf.DUMMYFUNCTION("""COMPUTED_VALUE"""),FALSE)</f>
        <v>0</v>
      </c>
      <c r="L134" s="35" t="str">
        <f>IFERROR(__xludf.DUMMYFUNCTION("""COMPUTED_VALUE"""),"Hash Table;Depth-First Search;Breadth-First Search;Graph;")</f>
        <v>Hash Table;Depth-First Search;Breadth-First Search;Graph;</v>
      </c>
      <c r="M134" s="35" t="b">
        <f>IFERROR(__xludf.DUMMYFUNCTION("""COMPUTED_VALUE"""),TRUE)</f>
        <v>1</v>
      </c>
      <c r="N134" s="35" t="b">
        <f>IFERROR(__xludf.DUMMYFUNCTION("""COMPUTED_VALUE"""),FALSE)</f>
        <v>0</v>
      </c>
      <c r="O134" s="35">
        <f>IFERROR(__xludf.DUMMYFUNCTION("""COMPUTED_VALUE"""),46.8226600985221)</f>
        <v>46.8226601</v>
      </c>
      <c r="P134" s="35">
        <f>IFERROR(__xludf.DUMMYFUNCTION("""COMPUTED_VALUE"""),674843.0)</f>
        <v>674843</v>
      </c>
      <c r="Q134" s="35">
        <f>IFERROR(__xludf.DUMMYFUNCTION("""COMPUTED_VALUE"""),1441288.0)</f>
        <v>1441288</v>
      </c>
    </row>
    <row r="135">
      <c r="A135" s="35">
        <f>IFERROR(__xludf.DUMMYFUNCTION("""COMPUTED_VALUE"""),134.0)</f>
        <v>134</v>
      </c>
      <c r="B135" s="35" t="str">
        <f>IFERROR(__xludf.DUMMYFUNCTION("""COMPUTED_VALUE"""),"Gas Station")</f>
        <v>Gas Station</v>
      </c>
      <c r="C135" s="35" t="str">
        <f>IFERROR(__xludf.DUMMYFUNCTION("""COMPUTED_VALUE"""),"gas-station")</f>
        <v>gas-station</v>
      </c>
      <c r="D135" s="35" t="b">
        <f>IFERROR(__xludf.DUMMYFUNCTION("""COMPUTED_VALUE"""),FALSE)</f>
        <v>0</v>
      </c>
      <c r="E135" s="35" t="str">
        <f>IFERROR(__xludf.DUMMYFUNCTION("""COMPUTED_VALUE"""),"Medium")</f>
        <v>Medium</v>
      </c>
      <c r="F135" s="35">
        <f>IFERROR(__xludf.DUMMYFUNCTION("""COMPUTED_VALUE"""),5507.0)</f>
        <v>5507</v>
      </c>
      <c r="G135" s="35">
        <f>IFERROR(__xludf.DUMMYFUNCTION("""COMPUTED_VALUE"""),582.0)</f>
        <v>582</v>
      </c>
      <c r="H135" s="35" t="str">
        <f>IFERROR(__xludf.DUMMYFUNCTION("""COMPUTED_VALUE"""),"Algorithms")</f>
        <v>Algorithms</v>
      </c>
      <c r="I135" s="35">
        <f>IFERROR(__xludf.DUMMYFUNCTION("""COMPUTED_VALUE"""),0.444)</f>
        <v>0.444</v>
      </c>
      <c r="J135" s="35">
        <f>IFERROR(__xludf.DUMMYFUNCTION("""COMPUTED_VALUE"""),134.0)</f>
        <v>134</v>
      </c>
      <c r="K135" s="35" t="b">
        <f>IFERROR(__xludf.DUMMYFUNCTION("""COMPUTED_VALUE"""),FALSE)</f>
        <v>0</v>
      </c>
      <c r="L135" s="35" t="str">
        <f>IFERROR(__xludf.DUMMYFUNCTION("""COMPUTED_VALUE"""),"Array;Greedy;")</f>
        <v>Array;Greedy;</v>
      </c>
      <c r="M135" s="35" t="b">
        <f>IFERROR(__xludf.DUMMYFUNCTION("""COMPUTED_VALUE"""),TRUE)</f>
        <v>1</v>
      </c>
      <c r="N135" s="35" t="b">
        <f>IFERROR(__xludf.DUMMYFUNCTION("""COMPUTED_VALUE"""),FALSE)</f>
        <v>0</v>
      </c>
      <c r="O135" s="35">
        <f>IFERROR(__xludf.DUMMYFUNCTION("""COMPUTED_VALUE"""),44.3563408923902)</f>
        <v>44.35634089</v>
      </c>
      <c r="P135" s="35">
        <f>IFERROR(__xludf.DUMMYFUNCTION("""COMPUTED_VALUE"""),389337.0)</f>
        <v>389337</v>
      </c>
      <c r="Q135" s="35">
        <f>IFERROR(__xludf.DUMMYFUNCTION("""COMPUTED_VALUE"""),877749.0)</f>
        <v>877749</v>
      </c>
    </row>
    <row r="136">
      <c r="A136" s="35">
        <f>IFERROR(__xludf.DUMMYFUNCTION("""COMPUTED_VALUE"""),135.0)</f>
        <v>135</v>
      </c>
      <c r="B136" s="35" t="str">
        <f>IFERROR(__xludf.DUMMYFUNCTION("""COMPUTED_VALUE"""),"Candy")</f>
        <v>Candy</v>
      </c>
      <c r="C136" s="35" t="str">
        <f>IFERROR(__xludf.DUMMYFUNCTION("""COMPUTED_VALUE"""),"candy")</f>
        <v>candy</v>
      </c>
      <c r="D136" s="35" t="b">
        <f>IFERROR(__xludf.DUMMYFUNCTION("""COMPUTED_VALUE"""),FALSE)</f>
        <v>0</v>
      </c>
      <c r="E136" s="35" t="str">
        <f>IFERROR(__xludf.DUMMYFUNCTION("""COMPUTED_VALUE"""),"Hard")</f>
        <v>Hard</v>
      </c>
      <c r="F136" s="35">
        <f>IFERROR(__xludf.DUMMYFUNCTION("""COMPUTED_VALUE"""),2623.0)</f>
        <v>2623</v>
      </c>
      <c r="G136" s="35">
        <f>IFERROR(__xludf.DUMMYFUNCTION("""COMPUTED_VALUE"""),245.0)</f>
        <v>245</v>
      </c>
      <c r="H136" s="35" t="str">
        <f>IFERROR(__xludf.DUMMYFUNCTION("""COMPUTED_VALUE"""),"Algorithms")</f>
        <v>Algorithms</v>
      </c>
      <c r="I136" s="35">
        <f>IFERROR(__xludf.DUMMYFUNCTION("""COMPUTED_VALUE"""),0.367)</f>
        <v>0.367</v>
      </c>
      <c r="J136" s="35">
        <f>IFERROR(__xludf.DUMMYFUNCTION("""COMPUTED_VALUE"""),135.0)</f>
        <v>135</v>
      </c>
      <c r="K136" s="35" t="b">
        <f>IFERROR(__xludf.DUMMYFUNCTION("""COMPUTED_VALUE"""),FALSE)</f>
        <v>0</v>
      </c>
      <c r="L136" s="35" t="str">
        <f>IFERROR(__xludf.DUMMYFUNCTION("""COMPUTED_VALUE"""),"Array;Greedy;")</f>
        <v>Array;Greedy;</v>
      </c>
      <c r="M136" s="35" t="b">
        <f>IFERROR(__xludf.DUMMYFUNCTION("""COMPUTED_VALUE"""),TRUE)</f>
        <v>1</v>
      </c>
      <c r="N136" s="35" t="b">
        <f>IFERROR(__xludf.DUMMYFUNCTION("""COMPUTED_VALUE"""),FALSE)</f>
        <v>0</v>
      </c>
      <c r="O136" s="35">
        <f>IFERROR(__xludf.DUMMYFUNCTION("""COMPUTED_VALUE"""),36.7439776866423)</f>
        <v>36.74397769</v>
      </c>
      <c r="P136" s="35">
        <f>IFERROR(__xludf.DUMMYFUNCTION("""COMPUTED_VALUE"""),206695.0)</f>
        <v>206695</v>
      </c>
      <c r="Q136" s="35">
        <f>IFERROR(__xludf.DUMMYFUNCTION("""COMPUTED_VALUE"""),562524.0)</f>
        <v>562524</v>
      </c>
    </row>
    <row r="137">
      <c r="A137" s="35">
        <f>IFERROR(__xludf.DUMMYFUNCTION("""COMPUTED_VALUE"""),136.0)</f>
        <v>136</v>
      </c>
      <c r="B137" s="35" t="str">
        <f>IFERROR(__xludf.DUMMYFUNCTION("""COMPUTED_VALUE"""),"Single Number")</f>
        <v>Single Number</v>
      </c>
      <c r="C137" s="35" t="str">
        <f>IFERROR(__xludf.DUMMYFUNCTION("""COMPUTED_VALUE"""),"single-number")</f>
        <v>single-number</v>
      </c>
      <c r="D137" s="35" t="b">
        <f>IFERROR(__xludf.DUMMYFUNCTION("""COMPUTED_VALUE"""),FALSE)</f>
        <v>0</v>
      </c>
      <c r="E137" s="35" t="str">
        <f>IFERROR(__xludf.DUMMYFUNCTION("""COMPUTED_VALUE"""),"Easy")</f>
        <v>Easy</v>
      </c>
      <c r="F137" s="35">
        <f>IFERROR(__xludf.DUMMYFUNCTION("""COMPUTED_VALUE"""),9281.0)</f>
        <v>9281</v>
      </c>
      <c r="G137" s="35">
        <f>IFERROR(__xludf.DUMMYFUNCTION("""COMPUTED_VALUE"""),327.0)</f>
        <v>327</v>
      </c>
      <c r="H137" s="35" t="str">
        <f>IFERROR(__xludf.DUMMYFUNCTION("""COMPUTED_VALUE"""),"Algorithms")</f>
        <v>Algorithms</v>
      </c>
      <c r="I137" s="35">
        <f>IFERROR(__xludf.DUMMYFUNCTION("""COMPUTED_VALUE"""),0.691)</f>
        <v>0.691</v>
      </c>
      <c r="J137" s="35">
        <f>IFERROR(__xludf.DUMMYFUNCTION("""COMPUTED_VALUE"""),136.0)</f>
        <v>136</v>
      </c>
      <c r="K137" s="35" t="b">
        <f>IFERROR(__xludf.DUMMYFUNCTION("""COMPUTED_VALUE"""),FALSE)</f>
        <v>0</v>
      </c>
      <c r="L137" s="35" t="str">
        <f>IFERROR(__xludf.DUMMYFUNCTION("""COMPUTED_VALUE"""),"Array;Bit Manipulation;")</f>
        <v>Array;Bit Manipulation;</v>
      </c>
      <c r="M137" s="35" t="b">
        <f>IFERROR(__xludf.DUMMYFUNCTION("""COMPUTED_VALUE"""),TRUE)</f>
        <v>1</v>
      </c>
      <c r="N137" s="35" t="b">
        <f>IFERROR(__xludf.DUMMYFUNCTION("""COMPUTED_VALUE"""),FALSE)</f>
        <v>0</v>
      </c>
      <c r="O137" s="35">
        <f>IFERROR(__xludf.DUMMYFUNCTION("""COMPUTED_VALUE"""),69.1382950734135)</f>
        <v>69.13829507</v>
      </c>
      <c r="P137" s="35">
        <f>IFERROR(__xludf.DUMMYFUNCTION("""COMPUTED_VALUE"""),1563541.0)</f>
        <v>1563541</v>
      </c>
      <c r="Q137" s="35">
        <f>IFERROR(__xludf.DUMMYFUNCTION("""COMPUTED_VALUE"""),2261475.0)</f>
        <v>2261475</v>
      </c>
    </row>
    <row r="138">
      <c r="A138" s="35">
        <f>IFERROR(__xludf.DUMMYFUNCTION("""COMPUTED_VALUE"""),137.0)</f>
        <v>137</v>
      </c>
      <c r="B138" s="35" t="str">
        <f>IFERROR(__xludf.DUMMYFUNCTION("""COMPUTED_VALUE"""),"Single Number II")</f>
        <v>Single Number II</v>
      </c>
      <c r="C138" s="35" t="str">
        <f>IFERROR(__xludf.DUMMYFUNCTION("""COMPUTED_VALUE"""),"single-number-ii")</f>
        <v>single-number-ii</v>
      </c>
      <c r="D138" s="35" t="b">
        <f>IFERROR(__xludf.DUMMYFUNCTION("""COMPUTED_VALUE"""),FALSE)</f>
        <v>0</v>
      </c>
      <c r="E138" s="35" t="str">
        <f>IFERROR(__xludf.DUMMYFUNCTION("""COMPUTED_VALUE"""),"Medium")</f>
        <v>Medium</v>
      </c>
      <c r="F138" s="35">
        <f>IFERROR(__xludf.DUMMYFUNCTION("""COMPUTED_VALUE"""),3867.0)</f>
        <v>3867</v>
      </c>
      <c r="G138" s="35">
        <f>IFERROR(__xludf.DUMMYFUNCTION("""COMPUTED_VALUE"""),470.0)</f>
        <v>470</v>
      </c>
      <c r="H138" s="35" t="str">
        <f>IFERROR(__xludf.DUMMYFUNCTION("""COMPUTED_VALUE"""),"Algorithms")</f>
        <v>Algorithms</v>
      </c>
      <c r="I138" s="35">
        <f>IFERROR(__xludf.DUMMYFUNCTION("""COMPUTED_VALUE"""),0.563)</f>
        <v>0.563</v>
      </c>
      <c r="J138" s="35">
        <f>IFERROR(__xludf.DUMMYFUNCTION("""COMPUTED_VALUE"""),137.0)</f>
        <v>137</v>
      </c>
      <c r="K138" s="35" t="b">
        <f>IFERROR(__xludf.DUMMYFUNCTION("""COMPUTED_VALUE"""),FALSE)</f>
        <v>0</v>
      </c>
      <c r="L138" s="35" t="str">
        <f>IFERROR(__xludf.DUMMYFUNCTION("""COMPUTED_VALUE"""),"Array;Bit Manipulation;")</f>
        <v>Array;Bit Manipulation;</v>
      </c>
      <c r="M138" s="35" t="b">
        <f>IFERROR(__xludf.DUMMYFUNCTION("""COMPUTED_VALUE"""),TRUE)</f>
        <v>1</v>
      </c>
      <c r="N138" s="35" t="b">
        <f>IFERROR(__xludf.DUMMYFUNCTION("""COMPUTED_VALUE"""),FALSE)</f>
        <v>0</v>
      </c>
      <c r="O138" s="35">
        <f>IFERROR(__xludf.DUMMYFUNCTION("""COMPUTED_VALUE"""),56.3385818210406)</f>
        <v>56.33858182</v>
      </c>
      <c r="P138" s="35">
        <f>IFERROR(__xludf.DUMMYFUNCTION("""COMPUTED_VALUE"""),336803.0)</f>
        <v>336803</v>
      </c>
      <c r="Q138" s="35">
        <f>IFERROR(__xludf.DUMMYFUNCTION("""COMPUTED_VALUE"""),597815.0)</f>
        <v>597815</v>
      </c>
    </row>
    <row r="139">
      <c r="A139" s="35">
        <f>IFERROR(__xludf.DUMMYFUNCTION("""COMPUTED_VALUE"""),138.0)</f>
        <v>138</v>
      </c>
      <c r="B139" s="35" t="str">
        <f>IFERROR(__xludf.DUMMYFUNCTION("""COMPUTED_VALUE"""),"Copy List with Random Pointer")</f>
        <v>Copy List with Random Pointer</v>
      </c>
      <c r="C139" s="35" t="str">
        <f>IFERROR(__xludf.DUMMYFUNCTION("""COMPUTED_VALUE"""),"copy-list-with-random-pointer")</f>
        <v>copy-list-with-random-pointer</v>
      </c>
      <c r="D139" s="35" t="b">
        <f>IFERROR(__xludf.DUMMYFUNCTION("""COMPUTED_VALUE"""),FALSE)</f>
        <v>0</v>
      </c>
      <c r="E139" s="35" t="str">
        <f>IFERROR(__xludf.DUMMYFUNCTION("""COMPUTED_VALUE"""),"Medium")</f>
        <v>Medium</v>
      </c>
      <c r="F139" s="35">
        <f>IFERROR(__xludf.DUMMYFUNCTION("""COMPUTED_VALUE"""),7465.0)</f>
        <v>7465</v>
      </c>
      <c r="G139" s="35">
        <f>IFERROR(__xludf.DUMMYFUNCTION("""COMPUTED_VALUE"""),933.0)</f>
        <v>933</v>
      </c>
      <c r="H139" s="35" t="str">
        <f>IFERROR(__xludf.DUMMYFUNCTION("""COMPUTED_VALUE"""),"Algorithms")</f>
        <v>Algorithms</v>
      </c>
      <c r="I139" s="35">
        <f>IFERROR(__xludf.DUMMYFUNCTION("""COMPUTED_VALUE"""),0.466)</f>
        <v>0.466</v>
      </c>
      <c r="J139" s="35">
        <f>IFERROR(__xludf.DUMMYFUNCTION("""COMPUTED_VALUE"""),138.0)</f>
        <v>138</v>
      </c>
      <c r="K139" s="35" t="b">
        <f>IFERROR(__xludf.DUMMYFUNCTION("""COMPUTED_VALUE"""),FALSE)</f>
        <v>0</v>
      </c>
      <c r="L139" s="35" t="str">
        <f>IFERROR(__xludf.DUMMYFUNCTION("""COMPUTED_VALUE"""),"Hash Table;Linked List;")</f>
        <v>Hash Table;Linked List;</v>
      </c>
      <c r="M139" s="35" t="b">
        <f>IFERROR(__xludf.DUMMYFUNCTION("""COMPUTED_VALUE"""),TRUE)</f>
        <v>1</v>
      </c>
      <c r="N139" s="35" t="b">
        <f>IFERROR(__xludf.DUMMYFUNCTION("""COMPUTED_VALUE"""),FALSE)</f>
        <v>0</v>
      </c>
      <c r="O139" s="35">
        <f>IFERROR(__xludf.DUMMYFUNCTION("""COMPUTED_VALUE"""),46.5835881707296)</f>
        <v>46.58358817</v>
      </c>
      <c r="P139" s="35">
        <f>IFERROR(__xludf.DUMMYFUNCTION("""COMPUTED_VALUE"""),722337.0)</f>
        <v>722337</v>
      </c>
      <c r="Q139" s="35">
        <f>IFERROR(__xludf.DUMMYFUNCTION("""COMPUTED_VALUE"""),1550638.0)</f>
        <v>1550638</v>
      </c>
    </row>
    <row r="140">
      <c r="A140" s="35">
        <f>IFERROR(__xludf.DUMMYFUNCTION("""COMPUTED_VALUE"""),139.0)</f>
        <v>139</v>
      </c>
      <c r="B140" s="35" t="str">
        <f>IFERROR(__xludf.DUMMYFUNCTION("""COMPUTED_VALUE"""),"Word Break")</f>
        <v>Word Break</v>
      </c>
      <c r="C140" s="35" t="str">
        <f>IFERROR(__xludf.DUMMYFUNCTION("""COMPUTED_VALUE"""),"word-break")</f>
        <v>word-break</v>
      </c>
      <c r="D140" s="35" t="b">
        <f>IFERROR(__xludf.DUMMYFUNCTION("""COMPUTED_VALUE"""),FALSE)</f>
        <v>0</v>
      </c>
      <c r="E140" s="35" t="str">
        <f>IFERROR(__xludf.DUMMYFUNCTION("""COMPUTED_VALUE"""),"Medium")</f>
        <v>Medium</v>
      </c>
      <c r="F140" s="35">
        <f>IFERROR(__xludf.DUMMYFUNCTION("""COMPUTED_VALUE"""),9808.0)</f>
        <v>9808</v>
      </c>
      <c r="G140" s="35">
        <f>IFERROR(__xludf.DUMMYFUNCTION("""COMPUTED_VALUE"""),439.0)</f>
        <v>439</v>
      </c>
      <c r="H140" s="35" t="str">
        <f>IFERROR(__xludf.DUMMYFUNCTION("""COMPUTED_VALUE"""),"Algorithms")</f>
        <v>Algorithms</v>
      </c>
      <c r="I140" s="35">
        <f>IFERROR(__xludf.DUMMYFUNCTION("""COMPUTED_VALUE"""),0.443)</f>
        <v>0.443</v>
      </c>
      <c r="J140" s="35">
        <f>IFERROR(__xludf.DUMMYFUNCTION("""COMPUTED_VALUE"""),139.0)</f>
        <v>139</v>
      </c>
      <c r="K140" s="35" t="b">
        <f>IFERROR(__xludf.DUMMYFUNCTION("""COMPUTED_VALUE"""),FALSE)</f>
        <v>0</v>
      </c>
      <c r="L140" s="35" t="str">
        <f>IFERROR(__xludf.DUMMYFUNCTION("""COMPUTED_VALUE"""),"Hash Table;String;Dynamic Programming;Trie;Memoization;")</f>
        <v>Hash Table;String;Dynamic Programming;Trie;Memoization;</v>
      </c>
      <c r="M140" s="35" t="b">
        <f>IFERROR(__xludf.DUMMYFUNCTION("""COMPUTED_VALUE"""),TRUE)</f>
        <v>1</v>
      </c>
      <c r="N140" s="35" t="b">
        <f>IFERROR(__xludf.DUMMYFUNCTION("""COMPUTED_VALUE"""),TRUE)</f>
        <v>1</v>
      </c>
      <c r="O140" s="35">
        <f>IFERROR(__xludf.DUMMYFUNCTION("""COMPUTED_VALUE"""),44.2647304615852)</f>
        <v>44.26473046</v>
      </c>
      <c r="P140" s="35">
        <f>IFERROR(__xludf.DUMMYFUNCTION("""COMPUTED_VALUE"""),1019611.0)</f>
        <v>1019611</v>
      </c>
      <c r="Q140" s="35">
        <f>IFERROR(__xludf.DUMMYFUNCTION("""COMPUTED_VALUE"""),2303447.0)</f>
        <v>2303447</v>
      </c>
    </row>
    <row r="141">
      <c r="A141" s="35">
        <f>IFERROR(__xludf.DUMMYFUNCTION("""COMPUTED_VALUE"""),140.0)</f>
        <v>140</v>
      </c>
      <c r="B141" s="35" t="str">
        <f>IFERROR(__xludf.DUMMYFUNCTION("""COMPUTED_VALUE"""),"Word Break II")</f>
        <v>Word Break II</v>
      </c>
      <c r="C141" s="35" t="str">
        <f>IFERROR(__xludf.DUMMYFUNCTION("""COMPUTED_VALUE"""),"word-break-ii")</f>
        <v>word-break-ii</v>
      </c>
      <c r="D141" s="35" t="b">
        <f>IFERROR(__xludf.DUMMYFUNCTION("""COMPUTED_VALUE"""),FALSE)</f>
        <v>0</v>
      </c>
      <c r="E141" s="35" t="str">
        <f>IFERROR(__xludf.DUMMYFUNCTION("""COMPUTED_VALUE"""),"Hard")</f>
        <v>Hard</v>
      </c>
      <c r="F141" s="35">
        <f>IFERROR(__xludf.DUMMYFUNCTION("""COMPUTED_VALUE"""),4468.0)</f>
        <v>4468</v>
      </c>
      <c r="G141" s="35">
        <f>IFERROR(__xludf.DUMMYFUNCTION("""COMPUTED_VALUE"""),473.0)</f>
        <v>473</v>
      </c>
      <c r="H141" s="35" t="str">
        <f>IFERROR(__xludf.DUMMYFUNCTION("""COMPUTED_VALUE"""),"Algorithms")</f>
        <v>Algorithms</v>
      </c>
      <c r="I141" s="35">
        <f>IFERROR(__xludf.DUMMYFUNCTION("""COMPUTED_VALUE"""),0.415)</f>
        <v>0.415</v>
      </c>
      <c r="J141" s="35">
        <f>IFERROR(__xludf.DUMMYFUNCTION("""COMPUTED_VALUE"""),140.0)</f>
        <v>140</v>
      </c>
      <c r="K141" s="35" t="b">
        <f>IFERROR(__xludf.DUMMYFUNCTION("""COMPUTED_VALUE"""),FALSE)</f>
        <v>0</v>
      </c>
      <c r="L141" s="35" t="str">
        <f>IFERROR(__xludf.DUMMYFUNCTION("""COMPUTED_VALUE"""),"Hash Table;String;Dynamic Programming;Backtracking;Trie;Memoization;")</f>
        <v>Hash Table;String;Dynamic Programming;Backtracking;Trie;Memoization;</v>
      </c>
      <c r="M141" s="35" t="b">
        <f>IFERROR(__xludf.DUMMYFUNCTION("""COMPUTED_VALUE"""),TRUE)</f>
        <v>1</v>
      </c>
      <c r="N141" s="35" t="b">
        <f>IFERROR(__xludf.DUMMYFUNCTION("""COMPUTED_VALUE"""),FALSE)</f>
        <v>0</v>
      </c>
      <c r="O141" s="35">
        <f>IFERROR(__xludf.DUMMYFUNCTION("""COMPUTED_VALUE"""),41.4604117482801)</f>
        <v>41.46041175</v>
      </c>
      <c r="P141" s="35">
        <f>IFERROR(__xludf.DUMMYFUNCTION("""COMPUTED_VALUE"""),424643.0)</f>
        <v>424643</v>
      </c>
      <c r="Q141" s="35">
        <f>IFERROR(__xludf.DUMMYFUNCTION("""COMPUTED_VALUE"""),1024216.0)</f>
        <v>1024216</v>
      </c>
    </row>
    <row r="142">
      <c r="A142" s="35">
        <f>IFERROR(__xludf.DUMMYFUNCTION("""COMPUTED_VALUE"""),141.0)</f>
        <v>141</v>
      </c>
      <c r="B142" s="35" t="str">
        <f>IFERROR(__xludf.DUMMYFUNCTION("""COMPUTED_VALUE"""),"Linked List Cycle")</f>
        <v>Linked List Cycle</v>
      </c>
      <c r="C142" s="35" t="str">
        <f>IFERROR(__xludf.DUMMYFUNCTION("""COMPUTED_VALUE"""),"linked-list-cycle")</f>
        <v>linked-list-cycle</v>
      </c>
      <c r="D142" s="35" t="b">
        <f>IFERROR(__xludf.DUMMYFUNCTION("""COMPUTED_VALUE"""),FALSE)</f>
        <v>0</v>
      </c>
      <c r="E142" s="35" t="str">
        <f>IFERROR(__xludf.DUMMYFUNCTION("""COMPUTED_VALUE"""),"Easy")</f>
        <v>Easy</v>
      </c>
      <c r="F142" s="35">
        <f>IFERROR(__xludf.DUMMYFUNCTION("""COMPUTED_VALUE"""),7541.0)</f>
        <v>7541</v>
      </c>
      <c r="G142" s="35">
        <f>IFERROR(__xludf.DUMMYFUNCTION("""COMPUTED_VALUE"""),757.0)</f>
        <v>757</v>
      </c>
      <c r="H142" s="35" t="str">
        <f>IFERROR(__xludf.DUMMYFUNCTION("""COMPUTED_VALUE"""),"Algorithms")</f>
        <v>Algorithms</v>
      </c>
      <c r="I142" s="35">
        <f>IFERROR(__xludf.DUMMYFUNCTION("""COMPUTED_VALUE"""),0.456)</f>
        <v>0.456</v>
      </c>
      <c r="J142" s="35">
        <f>IFERROR(__xludf.DUMMYFUNCTION("""COMPUTED_VALUE"""),141.0)</f>
        <v>141</v>
      </c>
      <c r="K142" s="35" t="b">
        <f>IFERROR(__xludf.DUMMYFUNCTION("""COMPUTED_VALUE"""),FALSE)</f>
        <v>0</v>
      </c>
      <c r="L142" s="35" t="str">
        <f>IFERROR(__xludf.DUMMYFUNCTION("""COMPUTED_VALUE"""),"Hash Table;Linked List;Two Pointers;")</f>
        <v>Hash Table;Linked List;Two Pointers;</v>
      </c>
      <c r="M142" s="35" t="b">
        <f>IFERROR(__xludf.DUMMYFUNCTION("""COMPUTED_VALUE"""),TRUE)</f>
        <v>1</v>
      </c>
      <c r="N142" s="35" t="b">
        <f>IFERROR(__xludf.DUMMYFUNCTION("""COMPUTED_VALUE"""),TRUE)</f>
        <v>1</v>
      </c>
      <c r="O142" s="35">
        <f>IFERROR(__xludf.DUMMYFUNCTION("""COMPUTED_VALUE"""),45.5893964648093)</f>
        <v>45.58939646</v>
      </c>
      <c r="P142" s="35">
        <f>IFERROR(__xludf.DUMMYFUNCTION("""COMPUTED_VALUE"""),1342958.0)</f>
        <v>1342958</v>
      </c>
      <c r="Q142" s="35">
        <f>IFERROR(__xludf.DUMMYFUNCTION("""COMPUTED_VALUE"""),2945782.0)</f>
        <v>2945782</v>
      </c>
    </row>
    <row r="143">
      <c r="A143" s="35">
        <f>IFERROR(__xludf.DUMMYFUNCTION("""COMPUTED_VALUE"""),142.0)</f>
        <v>142</v>
      </c>
      <c r="B143" s="35" t="str">
        <f>IFERROR(__xludf.DUMMYFUNCTION("""COMPUTED_VALUE"""),"Linked List Cycle II")</f>
        <v>Linked List Cycle II</v>
      </c>
      <c r="C143" s="35" t="str">
        <f>IFERROR(__xludf.DUMMYFUNCTION("""COMPUTED_VALUE"""),"linked-list-cycle-ii")</f>
        <v>linked-list-cycle-ii</v>
      </c>
      <c r="D143" s="35" t="b">
        <f>IFERROR(__xludf.DUMMYFUNCTION("""COMPUTED_VALUE"""),FALSE)</f>
        <v>0</v>
      </c>
      <c r="E143" s="35" t="str">
        <f>IFERROR(__xludf.DUMMYFUNCTION("""COMPUTED_VALUE"""),"Medium")</f>
        <v>Medium</v>
      </c>
      <c r="F143" s="35">
        <f>IFERROR(__xludf.DUMMYFUNCTION("""COMPUTED_VALUE"""),6814.0)</f>
        <v>6814</v>
      </c>
      <c r="G143" s="35">
        <f>IFERROR(__xludf.DUMMYFUNCTION("""COMPUTED_VALUE"""),451.0)</f>
        <v>451</v>
      </c>
      <c r="H143" s="35" t="str">
        <f>IFERROR(__xludf.DUMMYFUNCTION("""COMPUTED_VALUE"""),"Algorithms")</f>
        <v>Algorithms</v>
      </c>
      <c r="I143" s="35">
        <f>IFERROR(__xludf.DUMMYFUNCTION("""COMPUTED_VALUE"""),0.439)</f>
        <v>0.439</v>
      </c>
      <c r="J143" s="35">
        <f>IFERROR(__xludf.DUMMYFUNCTION("""COMPUTED_VALUE"""),142.0)</f>
        <v>142</v>
      </c>
      <c r="K143" s="35" t="b">
        <f>IFERROR(__xludf.DUMMYFUNCTION("""COMPUTED_VALUE"""),FALSE)</f>
        <v>0</v>
      </c>
      <c r="L143" s="35" t="str">
        <f>IFERROR(__xludf.DUMMYFUNCTION("""COMPUTED_VALUE"""),"Hash Table;Linked List;Two Pointers;")</f>
        <v>Hash Table;Linked List;Two Pointers;</v>
      </c>
      <c r="M143" s="35" t="b">
        <f>IFERROR(__xludf.DUMMYFUNCTION("""COMPUTED_VALUE"""),TRUE)</f>
        <v>1</v>
      </c>
      <c r="N143" s="35" t="b">
        <f>IFERROR(__xludf.DUMMYFUNCTION("""COMPUTED_VALUE"""),FALSE)</f>
        <v>0</v>
      </c>
      <c r="O143" s="35">
        <f>IFERROR(__xludf.DUMMYFUNCTION("""COMPUTED_VALUE"""),43.8835916046861)</f>
        <v>43.8835916</v>
      </c>
      <c r="P143" s="35">
        <f>IFERROR(__xludf.DUMMYFUNCTION("""COMPUTED_VALUE"""),636032.0)</f>
        <v>636032</v>
      </c>
      <c r="Q143" s="35">
        <f>IFERROR(__xludf.DUMMYFUNCTION("""COMPUTED_VALUE"""),1449366.0)</f>
        <v>1449366</v>
      </c>
    </row>
    <row r="144">
      <c r="A144" s="35">
        <f>IFERROR(__xludf.DUMMYFUNCTION("""COMPUTED_VALUE"""),143.0)</f>
        <v>143</v>
      </c>
      <c r="B144" s="35" t="str">
        <f>IFERROR(__xludf.DUMMYFUNCTION("""COMPUTED_VALUE"""),"Reorder List")</f>
        <v>Reorder List</v>
      </c>
      <c r="C144" s="35" t="str">
        <f>IFERROR(__xludf.DUMMYFUNCTION("""COMPUTED_VALUE"""),"reorder-list")</f>
        <v>reorder-list</v>
      </c>
      <c r="D144" s="35" t="b">
        <f>IFERROR(__xludf.DUMMYFUNCTION("""COMPUTED_VALUE"""),FALSE)</f>
        <v>0</v>
      </c>
      <c r="E144" s="35" t="str">
        <f>IFERROR(__xludf.DUMMYFUNCTION("""COMPUTED_VALUE"""),"Medium")</f>
        <v>Medium</v>
      </c>
      <c r="F144" s="35">
        <f>IFERROR(__xludf.DUMMYFUNCTION("""COMPUTED_VALUE"""),5458.0)</f>
        <v>5458</v>
      </c>
      <c r="G144" s="35">
        <f>IFERROR(__xludf.DUMMYFUNCTION("""COMPUTED_VALUE"""),202.0)</f>
        <v>202</v>
      </c>
      <c r="H144" s="35" t="str">
        <f>IFERROR(__xludf.DUMMYFUNCTION("""COMPUTED_VALUE"""),"Algorithms")</f>
        <v>Algorithms</v>
      </c>
      <c r="I144" s="35">
        <f>IFERROR(__xludf.DUMMYFUNCTION("""COMPUTED_VALUE"""),0.471)</f>
        <v>0.471</v>
      </c>
      <c r="J144" s="35">
        <f>IFERROR(__xludf.DUMMYFUNCTION("""COMPUTED_VALUE"""),143.0)</f>
        <v>143</v>
      </c>
      <c r="K144" s="35" t="b">
        <f>IFERROR(__xludf.DUMMYFUNCTION("""COMPUTED_VALUE"""),FALSE)</f>
        <v>0</v>
      </c>
      <c r="L144" s="35" t="str">
        <f>IFERROR(__xludf.DUMMYFUNCTION("""COMPUTED_VALUE"""),"Linked List;Two Pointers;Stack;Recursion;")</f>
        <v>Linked List;Two Pointers;Stack;Recursion;</v>
      </c>
      <c r="M144" s="35" t="b">
        <f>IFERROR(__xludf.DUMMYFUNCTION("""COMPUTED_VALUE"""),TRUE)</f>
        <v>1</v>
      </c>
      <c r="N144" s="35" t="b">
        <f>IFERROR(__xludf.DUMMYFUNCTION("""COMPUTED_VALUE"""),FALSE)</f>
        <v>0</v>
      </c>
      <c r="O144" s="35">
        <f>IFERROR(__xludf.DUMMYFUNCTION("""COMPUTED_VALUE"""),47.0876273629312)</f>
        <v>47.08762736</v>
      </c>
      <c r="P144" s="35">
        <f>IFERROR(__xludf.DUMMYFUNCTION("""COMPUTED_VALUE"""),452150.0)</f>
        <v>452150</v>
      </c>
      <c r="Q144" s="35">
        <f>IFERROR(__xludf.DUMMYFUNCTION("""COMPUTED_VALUE"""),960240.0)</f>
        <v>960240</v>
      </c>
    </row>
    <row r="145">
      <c r="A145" s="35">
        <f>IFERROR(__xludf.DUMMYFUNCTION("""COMPUTED_VALUE"""),144.0)</f>
        <v>144</v>
      </c>
      <c r="B145" s="35" t="str">
        <f>IFERROR(__xludf.DUMMYFUNCTION("""COMPUTED_VALUE"""),"Binary Tree Preorder Traversal")</f>
        <v>Binary Tree Preorder Traversal</v>
      </c>
      <c r="C145" s="35" t="str">
        <f>IFERROR(__xludf.DUMMYFUNCTION("""COMPUTED_VALUE"""),"binary-tree-preorder-traversal")</f>
        <v>binary-tree-preorder-traversal</v>
      </c>
      <c r="D145" s="35" t="b">
        <f>IFERROR(__xludf.DUMMYFUNCTION("""COMPUTED_VALUE"""),FALSE)</f>
        <v>0</v>
      </c>
      <c r="E145" s="35" t="str">
        <f>IFERROR(__xludf.DUMMYFUNCTION("""COMPUTED_VALUE"""),"Easy")</f>
        <v>Easy</v>
      </c>
      <c r="F145" s="35">
        <f>IFERROR(__xludf.DUMMYFUNCTION("""COMPUTED_VALUE"""),3785.0)</f>
        <v>3785</v>
      </c>
      <c r="G145" s="35">
        <f>IFERROR(__xludf.DUMMYFUNCTION("""COMPUTED_VALUE"""),117.0)</f>
        <v>117</v>
      </c>
      <c r="H145" s="35" t="str">
        <f>IFERROR(__xludf.DUMMYFUNCTION("""COMPUTED_VALUE"""),"Algorithms")</f>
        <v>Algorithms</v>
      </c>
      <c r="I145" s="35">
        <f>IFERROR(__xludf.DUMMYFUNCTION("""COMPUTED_VALUE"""),0.62)</f>
        <v>0.62</v>
      </c>
      <c r="J145" s="35">
        <f>IFERROR(__xludf.DUMMYFUNCTION("""COMPUTED_VALUE"""),144.0)</f>
        <v>144</v>
      </c>
      <c r="K145" s="35" t="b">
        <f>IFERROR(__xludf.DUMMYFUNCTION("""COMPUTED_VALUE"""),FALSE)</f>
        <v>0</v>
      </c>
      <c r="L145" s="35" t="str">
        <f>IFERROR(__xludf.DUMMYFUNCTION("""COMPUTED_VALUE"""),"Stack;Tree;Depth-First Search;Binary Tree;")</f>
        <v>Stack;Tree;Depth-First Search;Binary Tree;</v>
      </c>
      <c r="M145" s="35" t="b">
        <f>IFERROR(__xludf.DUMMYFUNCTION("""COMPUTED_VALUE"""),TRUE)</f>
        <v>1</v>
      </c>
      <c r="N145" s="35" t="b">
        <f>IFERROR(__xludf.DUMMYFUNCTION("""COMPUTED_VALUE"""),FALSE)</f>
        <v>0</v>
      </c>
      <c r="O145" s="35">
        <f>IFERROR(__xludf.DUMMYFUNCTION("""COMPUTED_VALUE"""),61.9698441637943)</f>
        <v>61.96984416</v>
      </c>
      <c r="P145" s="35">
        <f>IFERROR(__xludf.DUMMYFUNCTION("""COMPUTED_VALUE"""),884736.0)</f>
        <v>884736</v>
      </c>
      <c r="Q145" s="35">
        <f>IFERROR(__xludf.DUMMYFUNCTION("""COMPUTED_VALUE"""),1427685.0)</f>
        <v>1427685</v>
      </c>
    </row>
    <row r="146">
      <c r="A146" s="35">
        <f>IFERROR(__xludf.DUMMYFUNCTION("""COMPUTED_VALUE"""),145.0)</f>
        <v>145</v>
      </c>
      <c r="B146" s="35" t="str">
        <f>IFERROR(__xludf.DUMMYFUNCTION("""COMPUTED_VALUE"""),"Binary Tree Postorder Traversal")</f>
        <v>Binary Tree Postorder Traversal</v>
      </c>
      <c r="C146" s="35" t="str">
        <f>IFERROR(__xludf.DUMMYFUNCTION("""COMPUTED_VALUE"""),"binary-tree-postorder-traversal")</f>
        <v>binary-tree-postorder-traversal</v>
      </c>
      <c r="D146" s="35" t="b">
        <f>IFERROR(__xludf.DUMMYFUNCTION("""COMPUTED_VALUE"""),FALSE)</f>
        <v>0</v>
      </c>
      <c r="E146" s="35" t="str">
        <f>IFERROR(__xludf.DUMMYFUNCTION("""COMPUTED_VALUE"""),"Easy")</f>
        <v>Easy</v>
      </c>
      <c r="F146" s="35">
        <f>IFERROR(__xludf.DUMMYFUNCTION("""COMPUTED_VALUE"""),3892.0)</f>
        <v>3892</v>
      </c>
      <c r="G146" s="35">
        <f>IFERROR(__xludf.DUMMYFUNCTION("""COMPUTED_VALUE"""),134.0)</f>
        <v>134</v>
      </c>
      <c r="H146" s="35" t="str">
        <f>IFERROR(__xludf.DUMMYFUNCTION("""COMPUTED_VALUE"""),"Algorithms")</f>
        <v>Algorithms</v>
      </c>
      <c r="I146" s="35">
        <f>IFERROR(__xludf.DUMMYFUNCTION("""COMPUTED_VALUE"""),0.634)</f>
        <v>0.634</v>
      </c>
      <c r="J146" s="35">
        <f>IFERROR(__xludf.DUMMYFUNCTION("""COMPUTED_VALUE"""),145.0)</f>
        <v>145</v>
      </c>
      <c r="K146" s="35" t="b">
        <f>IFERROR(__xludf.DUMMYFUNCTION("""COMPUTED_VALUE"""),FALSE)</f>
        <v>0</v>
      </c>
      <c r="L146" s="35" t="str">
        <f>IFERROR(__xludf.DUMMYFUNCTION("""COMPUTED_VALUE"""),"Stack;Tree;Depth-First Search;Binary Tree;")</f>
        <v>Stack;Tree;Depth-First Search;Binary Tree;</v>
      </c>
      <c r="M146" s="35" t="b">
        <f>IFERROR(__xludf.DUMMYFUNCTION("""COMPUTED_VALUE"""),FALSE)</f>
        <v>0</v>
      </c>
      <c r="N146" s="35" t="b">
        <f>IFERROR(__xludf.DUMMYFUNCTION("""COMPUTED_VALUE"""),FALSE)</f>
        <v>0</v>
      </c>
      <c r="O146" s="35">
        <f>IFERROR(__xludf.DUMMYFUNCTION("""COMPUTED_VALUE"""),63.3671525242381)</f>
        <v>63.36715252</v>
      </c>
      <c r="P146" s="35">
        <f>IFERROR(__xludf.DUMMYFUNCTION("""COMPUTED_VALUE"""),675144.0)</f>
        <v>675144</v>
      </c>
      <c r="Q146" s="35">
        <f>IFERROR(__xludf.DUMMYFUNCTION("""COMPUTED_VALUE"""),1065454.0)</f>
        <v>1065454</v>
      </c>
    </row>
    <row r="147">
      <c r="A147" s="35">
        <f>IFERROR(__xludf.DUMMYFUNCTION("""COMPUTED_VALUE"""),146.0)</f>
        <v>146</v>
      </c>
      <c r="B147" s="35" t="str">
        <f>IFERROR(__xludf.DUMMYFUNCTION("""COMPUTED_VALUE"""),"LRU Cache")</f>
        <v>LRU Cache</v>
      </c>
      <c r="C147" s="35" t="str">
        <f>IFERROR(__xludf.DUMMYFUNCTION("""COMPUTED_VALUE"""),"lru-cache")</f>
        <v>lru-cache</v>
      </c>
      <c r="D147" s="35" t="b">
        <f>IFERROR(__xludf.DUMMYFUNCTION("""COMPUTED_VALUE"""),FALSE)</f>
        <v>0</v>
      </c>
      <c r="E147" s="35" t="str">
        <f>IFERROR(__xludf.DUMMYFUNCTION("""COMPUTED_VALUE"""),"Medium")</f>
        <v>Medium</v>
      </c>
      <c r="F147" s="35">
        <f>IFERROR(__xludf.DUMMYFUNCTION("""COMPUTED_VALUE"""),12371.0)</f>
        <v>12371</v>
      </c>
      <c r="G147" s="35">
        <f>IFERROR(__xludf.DUMMYFUNCTION("""COMPUTED_VALUE"""),484.0)</f>
        <v>484</v>
      </c>
      <c r="H147" s="35" t="str">
        <f>IFERROR(__xludf.DUMMYFUNCTION("""COMPUTED_VALUE"""),"Algorithms")</f>
        <v>Algorithms</v>
      </c>
      <c r="I147" s="35">
        <f>IFERROR(__xludf.DUMMYFUNCTION("""COMPUTED_VALUE"""),0.395)</f>
        <v>0.395</v>
      </c>
      <c r="J147" s="35">
        <f>IFERROR(__xludf.DUMMYFUNCTION("""COMPUTED_VALUE"""),146.0)</f>
        <v>146</v>
      </c>
      <c r="K147" s="35" t="b">
        <f>IFERROR(__xludf.DUMMYFUNCTION("""COMPUTED_VALUE"""),FALSE)</f>
        <v>0</v>
      </c>
      <c r="L147" s="35" t="str">
        <f>IFERROR(__xludf.DUMMYFUNCTION("""COMPUTED_VALUE"""),"Hash Table;Linked List;Design;Doubly-Linked List;")</f>
        <v>Hash Table;Linked List;Design;Doubly-Linked List;</v>
      </c>
      <c r="M147" s="35" t="b">
        <f>IFERROR(__xludf.DUMMYFUNCTION("""COMPUTED_VALUE"""),TRUE)</f>
        <v>1</v>
      </c>
      <c r="N147" s="35" t="b">
        <f>IFERROR(__xludf.DUMMYFUNCTION("""COMPUTED_VALUE"""),FALSE)</f>
        <v>0</v>
      </c>
      <c r="O147" s="35">
        <f>IFERROR(__xludf.DUMMYFUNCTION("""COMPUTED_VALUE"""),39.4693940998829)</f>
        <v>39.4693941</v>
      </c>
      <c r="P147" s="35">
        <f>IFERROR(__xludf.DUMMYFUNCTION("""COMPUTED_VALUE"""),1010544.0)</f>
        <v>1010544</v>
      </c>
      <c r="Q147" s="35">
        <f>IFERROR(__xludf.DUMMYFUNCTION("""COMPUTED_VALUE"""),2560324.0)</f>
        <v>2560324</v>
      </c>
    </row>
    <row r="148">
      <c r="A148" s="35">
        <f>IFERROR(__xludf.DUMMYFUNCTION("""COMPUTED_VALUE"""),147.0)</f>
        <v>147</v>
      </c>
      <c r="B148" s="35" t="str">
        <f>IFERROR(__xludf.DUMMYFUNCTION("""COMPUTED_VALUE"""),"Insertion Sort List")</f>
        <v>Insertion Sort List</v>
      </c>
      <c r="C148" s="35" t="str">
        <f>IFERROR(__xludf.DUMMYFUNCTION("""COMPUTED_VALUE"""),"insertion-sort-list")</f>
        <v>insertion-sort-list</v>
      </c>
      <c r="D148" s="35" t="b">
        <f>IFERROR(__xludf.DUMMYFUNCTION("""COMPUTED_VALUE"""),FALSE)</f>
        <v>0</v>
      </c>
      <c r="E148" s="35" t="str">
        <f>IFERROR(__xludf.DUMMYFUNCTION("""COMPUTED_VALUE"""),"Medium")</f>
        <v>Medium</v>
      </c>
      <c r="F148" s="35">
        <f>IFERROR(__xludf.DUMMYFUNCTION("""COMPUTED_VALUE"""),1914.0)</f>
        <v>1914</v>
      </c>
      <c r="G148" s="35">
        <f>IFERROR(__xludf.DUMMYFUNCTION("""COMPUTED_VALUE"""),783.0)</f>
        <v>783</v>
      </c>
      <c r="H148" s="35" t="str">
        <f>IFERROR(__xludf.DUMMYFUNCTION("""COMPUTED_VALUE"""),"Algorithms")</f>
        <v>Algorithms</v>
      </c>
      <c r="I148" s="35">
        <f>IFERROR(__xludf.DUMMYFUNCTION("""COMPUTED_VALUE"""),0.485)</f>
        <v>0.485</v>
      </c>
      <c r="J148" s="35">
        <f>IFERROR(__xludf.DUMMYFUNCTION("""COMPUTED_VALUE"""),147.0)</f>
        <v>147</v>
      </c>
      <c r="K148" s="35" t="b">
        <f>IFERROR(__xludf.DUMMYFUNCTION("""COMPUTED_VALUE"""),FALSE)</f>
        <v>0</v>
      </c>
      <c r="L148" s="35" t="str">
        <f>IFERROR(__xludf.DUMMYFUNCTION("""COMPUTED_VALUE"""),"Linked List;Sorting;")</f>
        <v>Linked List;Sorting;</v>
      </c>
      <c r="M148" s="35" t="b">
        <f>IFERROR(__xludf.DUMMYFUNCTION("""COMPUTED_VALUE"""),TRUE)</f>
        <v>1</v>
      </c>
      <c r="N148" s="35" t="b">
        <f>IFERROR(__xludf.DUMMYFUNCTION("""COMPUTED_VALUE"""),TRUE)</f>
        <v>1</v>
      </c>
      <c r="O148" s="35">
        <f>IFERROR(__xludf.DUMMYFUNCTION("""COMPUTED_VALUE"""),48.5452420067141)</f>
        <v>48.54524201</v>
      </c>
      <c r="P148" s="35">
        <f>IFERROR(__xludf.DUMMYFUNCTION("""COMPUTED_VALUE"""),278655.0)</f>
        <v>278655</v>
      </c>
      <c r="Q148" s="35">
        <f>IFERROR(__xludf.DUMMYFUNCTION("""COMPUTED_VALUE"""),574008.0)</f>
        <v>574008</v>
      </c>
    </row>
    <row r="149">
      <c r="A149" s="35">
        <f>IFERROR(__xludf.DUMMYFUNCTION("""COMPUTED_VALUE"""),148.0)</f>
        <v>148</v>
      </c>
      <c r="B149" s="35" t="str">
        <f>IFERROR(__xludf.DUMMYFUNCTION("""COMPUTED_VALUE"""),"Sort List")</f>
        <v>Sort List</v>
      </c>
      <c r="C149" s="35" t="str">
        <f>IFERROR(__xludf.DUMMYFUNCTION("""COMPUTED_VALUE"""),"sort-list")</f>
        <v>sort-list</v>
      </c>
      <c r="D149" s="35" t="b">
        <f>IFERROR(__xludf.DUMMYFUNCTION("""COMPUTED_VALUE"""),FALSE)</f>
        <v>0</v>
      </c>
      <c r="E149" s="35" t="str">
        <f>IFERROR(__xludf.DUMMYFUNCTION("""COMPUTED_VALUE"""),"Medium")</f>
        <v>Medium</v>
      </c>
      <c r="F149" s="35">
        <f>IFERROR(__xludf.DUMMYFUNCTION("""COMPUTED_VALUE"""),6813.0)</f>
        <v>6813</v>
      </c>
      <c r="G149" s="35">
        <f>IFERROR(__xludf.DUMMYFUNCTION("""COMPUTED_VALUE"""),225.0)</f>
        <v>225</v>
      </c>
      <c r="H149" s="35" t="str">
        <f>IFERROR(__xludf.DUMMYFUNCTION("""COMPUTED_VALUE"""),"Algorithms")</f>
        <v>Algorithms</v>
      </c>
      <c r="I149" s="35">
        <f>IFERROR(__xludf.DUMMYFUNCTION("""COMPUTED_VALUE"""),0.516)</f>
        <v>0.516</v>
      </c>
      <c r="J149" s="35">
        <f>IFERROR(__xludf.DUMMYFUNCTION("""COMPUTED_VALUE"""),148.0)</f>
        <v>148</v>
      </c>
      <c r="K149" s="35" t="b">
        <f>IFERROR(__xludf.DUMMYFUNCTION("""COMPUTED_VALUE"""),FALSE)</f>
        <v>0</v>
      </c>
      <c r="L149" s="35" t="str">
        <f>IFERROR(__xludf.DUMMYFUNCTION("""COMPUTED_VALUE"""),"Linked List;Two Pointers;Divide and Conquer;Sorting;Merge Sort;")</f>
        <v>Linked List;Two Pointers;Divide and Conquer;Sorting;Merge Sort;</v>
      </c>
      <c r="M149" s="35" t="b">
        <f>IFERROR(__xludf.DUMMYFUNCTION("""COMPUTED_VALUE"""),TRUE)</f>
        <v>1</v>
      </c>
      <c r="N149" s="35" t="b">
        <f>IFERROR(__xludf.DUMMYFUNCTION("""COMPUTED_VALUE"""),FALSE)</f>
        <v>0</v>
      </c>
      <c r="O149" s="35">
        <f>IFERROR(__xludf.DUMMYFUNCTION("""COMPUTED_VALUE"""),51.6292506047913)</f>
        <v>51.6292506</v>
      </c>
      <c r="P149" s="35">
        <f>IFERROR(__xludf.DUMMYFUNCTION("""COMPUTED_VALUE"""),472707.0)</f>
        <v>472707</v>
      </c>
      <c r="Q149" s="35">
        <f>IFERROR(__xludf.DUMMYFUNCTION("""COMPUTED_VALUE"""),915591.0)</f>
        <v>915591</v>
      </c>
    </row>
    <row r="150">
      <c r="A150" s="35">
        <f>IFERROR(__xludf.DUMMYFUNCTION("""COMPUTED_VALUE"""),149.0)</f>
        <v>149</v>
      </c>
      <c r="B150" s="35" t="str">
        <f>IFERROR(__xludf.DUMMYFUNCTION("""COMPUTED_VALUE"""),"Max Points on a Line")</f>
        <v>Max Points on a Line</v>
      </c>
      <c r="C150" s="35" t="str">
        <f>IFERROR(__xludf.DUMMYFUNCTION("""COMPUTED_VALUE"""),"max-points-on-a-line")</f>
        <v>max-points-on-a-line</v>
      </c>
      <c r="D150" s="35" t="b">
        <f>IFERROR(__xludf.DUMMYFUNCTION("""COMPUTED_VALUE"""),FALSE)</f>
        <v>0</v>
      </c>
      <c r="E150" s="35" t="str">
        <f>IFERROR(__xludf.DUMMYFUNCTION("""COMPUTED_VALUE"""),"Hard")</f>
        <v>Hard</v>
      </c>
      <c r="F150" s="35">
        <f>IFERROR(__xludf.DUMMYFUNCTION("""COMPUTED_VALUE"""),899.0)</f>
        <v>899</v>
      </c>
      <c r="G150" s="35">
        <f>IFERROR(__xludf.DUMMYFUNCTION("""COMPUTED_VALUE"""),163.0)</f>
        <v>163</v>
      </c>
      <c r="H150" s="35" t="str">
        <f>IFERROR(__xludf.DUMMYFUNCTION("""COMPUTED_VALUE"""),"Algorithms")</f>
        <v>Algorithms</v>
      </c>
      <c r="I150" s="35">
        <f>IFERROR(__xludf.DUMMYFUNCTION("""COMPUTED_VALUE"""),0.201)</f>
        <v>0.201</v>
      </c>
      <c r="J150" s="35">
        <f>IFERROR(__xludf.DUMMYFUNCTION("""COMPUTED_VALUE"""),149.0)</f>
        <v>149</v>
      </c>
      <c r="K150" s="35" t="b">
        <f>IFERROR(__xludf.DUMMYFUNCTION("""COMPUTED_VALUE"""),FALSE)</f>
        <v>0</v>
      </c>
      <c r="L150" s="35" t="str">
        <f>IFERROR(__xludf.DUMMYFUNCTION("""COMPUTED_VALUE"""),"Array;Hash Table;Math;Geometry;")</f>
        <v>Array;Hash Table;Math;Geometry;</v>
      </c>
      <c r="M150" s="35" t="b">
        <f>IFERROR(__xludf.DUMMYFUNCTION("""COMPUTED_VALUE"""),TRUE)</f>
        <v>1</v>
      </c>
      <c r="N150" s="35" t="b">
        <f>IFERROR(__xludf.DUMMYFUNCTION("""COMPUTED_VALUE"""),FALSE)</f>
        <v>0</v>
      </c>
      <c r="O150" s="35">
        <f>IFERROR(__xludf.DUMMYFUNCTION("""COMPUTED_VALUE"""),20.1145538510074)</f>
        <v>20.11455385</v>
      </c>
      <c r="P150" s="35">
        <f>IFERROR(__xludf.DUMMYFUNCTION("""COMPUTED_VALUE"""),221857.0)</f>
        <v>221857</v>
      </c>
      <c r="Q150" s="35">
        <f>IFERROR(__xludf.DUMMYFUNCTION("""COMPUTED_VALUE"""),1103039.0)</f>
        <v>1103039</v>
      </c>
    </row>
    <row r="151">
      <c r="A151" s="35">
        <f>IFERROR(__xludf.DUMMYFUNCTION("""COMPUTED_VALUE"""),150.0)</f>
        <v>150</v>
      </c>
      <c r="B151" s="35" t="str">
        <f>IFERROR(__xludf.DUMMYFUNCTION("""COMPUTED_VALUE"""),"Evaluate Reverse Polish Notation")</f>
        <v>Evaluate Reverse Polish Notation</v>
      </c>
      <c r="C151" s="35" t="str">
        <f>IFERROR(__xludf.DUMMYFUNCTION("""COMPUTED_VALUE"""),"evaluate-reverse-polish-notation")</f>
        <v>evaluate-reverse-polish-notation</v>
      </c>
      <c r="D151" s="35" t="b">
        <f>IFERROR(__xludf.DUMMYFUNCTION("""COMPUTED_VALUE"""),FALSE)</f>
        <v>0</v>
      </c>
      <c r="E151" s="35" t="str">
        <f>IFERROR(__xludf.DUMMYFUNCTION("""COMPUTED_VALUE"""),"Medium")</f>
        <v>Medium</v>
      </c>
      <c r="F151" s="35">
        <f>IFERROR(__xludf.DUMMYFUNCTION("""COMPUTED_VALUE"""),2696.0)</f>
        <v>2696</v>
      </c>
      <c r="G151" s="35">
        <f>IFERROR(__xludf.DUMMYFUNCTION("""COMPUTED_VALUE"""),603.0)</f>
        <v>603</v>
      </c>
      <c r="H151" s="35" t="str">
        <f>IFERROR(__xludf.DUMMYFUNCTION("""COMPUTED_VALUE"""),"Algorithms")</f>
        <v>Algorithms</v>
      </c>
      <c r="I151" s="35">
        <f>IFERROR(__xludf.DUMMYFUNCTION("""COMPUTED_VALUE"""),0.419)</f>
        <v>0.419</v>
      </c>
      <c r="J151" s="35">
        <f>IFERROR(__xludf.DUMMYFUNCTION("""COMPUTED_VALUE"""),150.0)</f>
        <v>150</v>
      </c>
      <c r="K151" s="35" t="b">
        <f>IFERROR(__xludf.DUMMYFUNCTION("""COMPUTED_VALUE"""),FALSE)</f>
        <v>0</v>
      </c>
      <c r="L151" s="35" t="str">
        <f>IFERROR(__xludf.DUMMYFUNCTION("""COMPUTED_VALUE"""),"Array;Math;Stack;")</f>
        <v>Array;Math;Stack;</v>
      </c>
      <c r="M151" s="35" t="b">
        <f>IFERROR(__xludf.DUMMYFUNCTION("""COMPUTED_VALUE"""),TRUE)</f>
        <v>1</v>
      </c>
      <c r="N151" s="35" t="b">
        <f>IFERROR(__xludf.DUMMYFUNCTION("""COMPUTED_VALUE"""),FALSE)</f>
        <v>0</v>
      </c>
      <c r="O151" s="35">
        <f>IFERROR(__xludf.DUMMYFUNCTION("""COMPUTED_VALUE"""),41.8611335271553)</f>
        <v>41.86113353</v>
      </c>
      <c r="P151" s="35">
        <f>IFERROR(__xludf.DUMMYFUNCTION("""COMPUTED_VALUE"""),378673.0)</f>
        <v>378673</v>
      </c>
      <c r="Q151" s="35">
        <f>IFERROR(__xludf.DUMMYFUNCTION("""COMPUTED_VALUE"""),904599.0)</f>
        <v>904599</v>
      </c>
    </row>
    <row r="152">
      <c r="A152" s="35">
        <f>IFERROR(__xludf.DUMMYFUNCTION("""COMPUTED_VALUE"""),151.0)</f>
        <v>151</v>
      </c>
      <c r="B152" s="35" t="str">
        <f>IFERROR(__xludf.DUMMYFUNCTION("""COMPUTED_VALUE"""),"Reverse Words in a String")</f>
        <v>Reverse Words in a String</v>
      </c>
      <c r="C152" s="35" t="str">
        <f>IFERROR(__xludf.DUMMYFUNCTION("""COMPUTED_VALUE"""),"reverse-words-in-a-string")</f>
        <v>reverse-words-in-a-string</v>
      </c>
      <c r="D152" s="35" t="b">
        <f>IFERROR(__xludf.DUMMYFUNCTION("""COMPUTED_VALUE"""),FALSE)</f>
        <v>0</v>
      </c>
      <c r="E152" s="35" t="str">
        <f>IFERROR(__xludf.DUMMYFUNCTION("""COMPUTED_VALUE"""),"Medium")</f>
        <v>Medium</v>
      </c>
      <c r="F152" s="35">
        <f>IFERROR(__xludf.DUMMYFUNCTION("""COMPUTED_VALUE"""),2878.0)</f>
        <v>2878</v>
      </c>
      <c r="G152" s="35">
        <f>IFERROR(__xludf.DUMMYFUNCTION("""COMPUTED_VALUE"""),3795.0)</f>
        <v>3795</v>
      </c>
      <c r="H152" s="35" t="str">
        <f>IFERROR(__xludf.DUMMYFUNCTION("""COMPUTED_VALUE"""),"Algorithms")</f>
        <v>Algorithms</v>
      </c>
      <c r="I152" s="35">
        <f>IFERROR(__xludf.DUMMYFUNCTION("""COMPUTED_VALUE"""),0.28)</f>
        <v>0.28</v>
      </c>
      <c r="J152" s="35">
        <f>IFERROR(__xludf.DUMMYFUNCTION("""COMPUTED_VALUE"""),151.0)</f>
        <v>151</v>
      </c>
      <c r="K152" s="35" t="b">
        <f>IFERROR(__xludf.DUMMYFUNCTION("""COMPUTED_VALUE"""),FALSE)</f>
        <v>0</v>
      </c>
      <c r="L152" s="35" t="str">
        <f>IFERROR(__xludf.DUMMYFUNCTION("""COMPUTED_VALUE"""),"Two Pointers;String;")</f>
        <v>Two Pointers;String;</v>
      </c>
      <c r="M152" s="35" t="b">
        <f>IFERROR(__xludf.DUMMYFUNCTION("""COMPUTED_VALUE"""),TRUE)</f>
        <v>1</v>
      </c>
      <c r="N152" s="35" t="b">
        <f>IFERROR(__xludf.DUMMYFUNCTION("""COMPUTED_VALUE"""),FALSE)</f>
        <v>0</v>
      </c>
      <c r="O152" s="35">
        <f>IFERROR(__xludf.DUMMYFUNCTION("""COMPUTED_VALUE"""),28.0226654186527)</f>
        <v>28.02266542</v>
      </c>
      <c r="P152" s="35">
        <f>IFERROR(__xludf.DUMMYFUNCTION("""COMPUTED_VALUE"""),674203.0)</f>
        <v>674203</v>
      </c>
      <c r="Q152" s="35">
        <f>IFERROR(__xludf.DUMMYFUNCTION("""COMPUTED_VALUE"""),2405940.0)</f>
        <v>2405940</v>
      </c>
    </row>
    <row r="153">
      <c r="A153" s="35">
        <f>IFERROR(__xludf.DUMMYFUNCTION("""COMPUTED_VALUE"""),152.0)</f>
        <v>152</v>
      </c>
      <c r="B153" s="35" t="str">
        <f>IFERROR(__xludf.DUMMYFUNCTION("""COMPUTED_VALUE"""),"Maximum Product Subarray")</f>
        <v>Maximum Product Subarray</v>
      </c>
      <c r="C153" s="35" t="str">
        <f>IFERROR(__xludf.DUMMYFUNCTION("""COMPUTED_VALUE"""),"maximum-product-subarray")</f>
        <v>maximum-product-subarray</v>
      </c>
      <c r="D153" s="35" t="b">
        <f>IFERROR(__xludf.DUMMYFUNCTION("""COMPUTED_VALUE"""),FALSE)</f>
        <v>0</v>
      </c>
      <c r="E153" s="35" t="str">
        <f>IFERROR(__xludf.DUMMYFUNCTION("""COMPUTED_VALUE"""),"Medium")</f>
        <v>Medium</v>
      </c>
      <c r="F153" s="35">
        <f>IFERROR(__xludf.DUMMYFUNCTION("""COMPUTED_VALUE"""),10708.0)</f>
        <v>10708</v>
      </c>
      <c r="G153" s="35">
        <f>IFERROR(__xludf.DUMMYFUNCTION("""COMPUTED_VALUE"""),333.0)</f>
        <v>333</v>
      </c>
      <c r="H153" s="35" t="str">
        <f>IFERROR(__xludf.DUMMYFUNCTION("""COMPUTED_VALUE"""),"Algorithms")</f>
        <v>Algorithms</v>
      </c>
      <c r="I153" s="35">
        <f>IFERROR(__xludf.DUMMYFUNCTION("""COMPUTED_VALUE"""),0.344)</f>
        <v>0.344</v>
      </c>
      <c r="J153" s="35">
        <f>IFERROR(__xludf.DUMMYFUNCTION("""COMPUTED_VALUE"""),152.0)</f>
        <v>152</v>
      </c>
      <c r="K153" s="35" t="b">
        <f>IFERROR(__xludf.DUMMYFUNCTION("""COMPUTED_VALUE"""),FALSE)</f>
        <v>0</v>
      </c>
      <c r="L153" s="35" t="str">
        <f>IFERROR(__xludf.DUMMYFUNCTION("""COMPUTED_VALUE"""),"Array;Dynamic Programming;")</f>
        <v>Array;Dynamic Programming;</v>
      </c>
      <c r="M153" s="35" t="b">
        <f>IFERROR(__xludf.DUMMYFUNCTION("""COMPUTED_VALUE"""),TRUE)</f>
        <v>1</v>
      </c>
      <c r="N153" s="35" t="b">
        <f>IFERROR(__xludf.DUMMYFUNCTION("""COMPUTED_VALUE"""),FALSE)</f>
        <v>0</v>
      </c>
      <c r="O153" s="35">
        <f>IFERROR(__xludf.DUMMYFUNCTION("""COMPUTED_VALUE"""),34.4463818354455)</f>
        <v>34.44638184</v>
      </c>
      <c r="P153" s="35">
        <f>IFERROR(__xludf.DUMMYFUNCTION("""COMPUTED_VALUE"""),693991.0)</f>
        <v>693991</v>
      </c>
      <c r="Q153" s="35">
        <f>IFERROR(__xludf.DUMMYFUNCTION("""COMPUTED_VALUE"""),2014695.0)</f>
        <v>2014695</v>
      </c>
    </row>
    <row r="154">
      <c r="A154" s="35">
        <f>IFERROR(__xludf.DUMMYFUNCTION("""COMPUTED_VALUE"""),153.0)</f>
        <v>153</v>
      </c>
      <c r="B154" s="35" t="str">
        <f>IFERROR(__xludf.DUMMYFUNCTION("""COMPUTED_VALUE"""),"Find Minimum in Rotated Sorted Array")</f>
        <v>Find Minimum in Rotated Sorted Array</v>
      </c>
      <c r="C154" s="35" t="str">
        <f>IFERROR(__xludf.DUMMYFUNCTION("""COMPUTED_VALUE"""),"find-minimum-in-rotated-sorted-array")</f>
        <v>find-minimum-in-rotated-sorted-array</v>
      </c>
      <c r="D154" s="35" t="b">
        <f>IFERROR(__xludf.DUMMYFUNCTION("""COMPUTED_VALUE"""),FALSE)</f>
        <v>0</v>
      </c>
      <c r="E154" s="35" t="str">
        <f>IFERROR(__xludf.DUMMYFUNCTION("""COMPUTED_VALUE"""),"Medium")</f>
        <v>Medium</v>
      </c>
      <c r="F154" s="35">
        <f>IFERROR(__xludf.DUMMYFUNCTION("""COMPUTED_VALUE"""),6189.0)</f>
        <v>6189</v>
      </c>
      <c r="G154" s="35">
        <f>IFERROR(__xludf.DUMMYFUNCTION("""COMPUTED_VALUE"""),375.0)</f>
        <v>375</v>
      </c>
      <c r="H154" s="35" t="str">
        <f>IFERROR(__xludf.DUMMYFUNCTION("""COMPUTED_VALUE"""),"Algorithms")</f>
        <v>Algorithms</v>
      </c>
      <c r="I154" s="35">
        <f>IFERROR(__xludf.DUMMYFUNCTION("""COMPUTED_VALUE"""),0.478)</f>
        <v>0.478</v>
      </c>
      <c r="J154" s="35">
        <f>IFERROR(__xludf.DUMMYFUNCTION("""COMPUTED_VALUE"""),153.0)</f>
        <v>153</v>
      </c>
      <c r="K154" s="35" t="b">
        <f>IFERROR(__xludf.DUMMYFUNCTION("""COMPUTED_VALUE"""),FALSE)</f>
        <v>0</v>
      </c>
      <c r="L154" s="35" t="str">
        <f>IFERROR(__xludf.DUMMYFUNCTION("""COMPUTED_VALUE"""),"Array;Binary Search;")</f>
        <v>Array;Binary Search;</v>
      </c>
      <c r="M154" s="35" t="b">
        <f>IFERROR(__xludf.DUMMYFUNCTION("""COMPUTED_VALUE"""),TRUE)</f>
        <v>1</v>
      </c>
      <c r="N154" s="35" t="b">
        <f>IFERROR(__xludf.DUMMYFUNCTION("""COMPUTED_VALUE"""),FALSE)</f>
        <v>0</v>
      </c>
      <c r="O154" s="35">
        <f>IFERROR(__xludf.DUMMYFUNCTION("""COMPUTED_VALUE"""),47.764166821477)</f>
        <v>47.76416682</v>
      </c>
      <c r="P154" s="35">
        <f>IFERROR(__xludf.DUMMYFUNCTION("""COMPUTED_VALUE"""),858741.0)</f>
        <v>858741</v>
      </c>
      <c r="Q154" s="35">
        <f>IFERROR(__xludf.DUMMYFUNCTION("""COMPUTED_VALUE"""),1797880.0)</f>
        <v>1797880</v>
      </c>
    </row>
    <row r="155">
      <c r="A155" s="35">
        <f>IFERROR(__xludf.DUMMYFUNCTION("""COMPUTED_VALUE"""),154.0)</f>
        <v>154</v>
      </c>
      <c r="B155" s="35" t="str">
        <f>IFERROR(__xludf.DUMMYFUNCTION("""COMPUTED_VALUE"""),"Find Minimum in Rotated Sorted Array II")</f>
        <v>Find Minimum in Rotated Sorted Array II</v>
      </c>
      <c r="C155" s="35" t="str">
        <f>IFERROR(__xludf.DUMMYFUNCTION("""COMPUTED_VALUE"""),"find-minimum-in-rotated-sorted-array-ii")</f>
        <v>find-minimum-in-rotated-sorted-array-ii</v>
      </c>
      <c r="D155" s="35" t="b">
        <f>IFERROR(__xludf.DUMMYFUNCTION("""COMPUTED_VALUE"""),FALSE)</f>
        <v>0</v>
      </c>
      <c r="E155" s="35" t="str">
        <f>IFERROR(__xludf.DUMMYFUNCTION("""COMPUTED_VALUE"""),"Hard")</f>
        <v>Hard</v>
      </c>
      <c r="F155" s="35">
        <f>IFERROR(__xludf.DUMMYFUNCTION("""COMPUTED_VALUE"""),2713.0)</f>
        <v>2713</v>
      </c>
      <c r="G155" s="35">
        <f>IFERROR(__xludf.DUMMYFUNCTION("""COMPUTED_VALUE"""),365.0)</f>
        <v>365</v>
      </c>
      <c r="H155" s="35" t="str">
        <f>IFERROR(__xludf.DUMMYFUNCTION("""COMPUTED_VALUE"""),"Algorithms")</f>
        <v>Algorithms</v>
      </c>
      <c r="I155" s="35">
        <f>IFERROR(__xludf.DUMMYFUNCTION("""COMPUTED_VALUE"""),0.432)</f>
        <v>0.432</v>
      </c>
      <c r="J155" s="35">
        <f>IFERROR(__xludf.DUMMYFUNCTION("""COMPUTED_VALUE"""),154.0)</f>
        <v>154</v>
      </c>
      <c r="K155" s="35" t="b">
        <f>IFERROR(__xludf.DUMMYFUNCTION("""COMPUTED_VALUE"""),FALSE)</f>
        <v>0</v>
      </c>
      <c r="L155" s="35" t="str">
        <f>IFERROR(__xludf.DUMMYFUNCTION("""COMPUTED_VALUE"""),"Array;Binary Search;")</f>
        <v>Array;Binary Search;</v>
      </c>
      <c r="M155" s="35" t="b">
        <f>IFERROR(__xludf.DUMMYFUNCTION("""COMPUTED_VALUE"""),TRUE)</f>
        <v>1</v>
      </c>
      <c r="N155" s="35" t="b">
        <f>IFERROR(__xludf.DUMMYFUNCTION("""COMPUTED_VALUE"""),FALSE)</f>
        <v>0</v>
      </c>
      <c r="O155" s="35">
        <f>IFERROR(__xludf.DUMMYFUNCTION("""COMPUTED_VALUE"""),43.2376717533171)</f>
        <v>43.23767175</v>
      </c>
      <c r="P155" s="35">
        <f>IFERROR(__xludf.DUMMYFUNCTION("""COMPUTED_VALUE"""),315230.0)</f>
        <v>315230</v>
      </c>
      <c r="Q155" s="35">
        <f>IFERROR(__xludf.DUMMYFUNCTION("""COMPUTED_VALUE"""),729081.0)</f>
        <v>729081</v>
      </c>
    </row>
    <row r="156">
      <c r="A156" s="35">
        <f>IFERROR(__xludf.DUMMYFUNCTION("""COMPUTED_VALUE"""),155.0)</f>
        <v>155</v>
      </c>
      <c r="B156" s="35" t="str">
        <f>IFERROR(__xludf.DUMMYFUNCTION("""COMPUTED_VALUE"""),"Min Stack")</f>
        <v>Min Stack</v>
      </c>
      <c r="C156" s="35" t="str">
        <f>IFERROR(__xludf.DUMMYFUNCTION("""COMPUTED_VALUE"""),"min-stack")</f>
        <v>min-stack</v>
      </c>
      <c r="D156" s="35" t="b">
        <f>IFERROR(__xludf.DUMMYFUNCTION("""COMPUTED_VALUE"""),FALSE)</f>
        <v>0</v>
      </c>
      <c r="E156" s="35" t="str">
        <f>IFERROR(__xludf.DUMMYFUNCTION("""COMPUTED_VALUE"""),"Easy")</f>
        <v>Easy</v>
      </c>
      <c r="F156" s="35">
        <f>IFERROR(__xludf.DUMMYFUNCTION("""COMPUTED_VALUE"""),7527.0)</f>
        <v>7527</v>
      </c>
      <c r="G156" s="35">
        <f>IFERROR(__xludf.DUMMYFUNCTION("""COMPUTED_VALUE"""),593.0)</f>
        <v>593</v>
      </c>
      <c r="H156" s="35" t="str">
        <f>IFERROR(__xludf.DUMMYFUNCTION("""COMPUTED_VALUE"""),"Algorithms")</f>
        <v>Algorithms</v>
      </c>
      <c r="I156" s="35">
        <f>IFERROR(__xludf.DUMMYFUNCTION("""COMPUTED_VALUE"""),0.498)</f>
        <v>0.498</v>
      </c>
      <c r="J156" s="35">
        <f>IFERROR(__xludf.DUMMYFUNCTION("""COMPUTED_VALUE"""),155.0)</f>
        <v>155</v>
      </c>
      <c r="K156" s="35" t="b">
        <f>IFERROR(__xludf.DUMMYFUNCTION("""COMPUTED_VALUE"""),FALSE)</f>
        <v>0</v>
      </c>
      <c r="L156" s="35" t="str">
        <f>IFERROR(__xludf.DUMMYFUNCTION("""COMPUTED_VALUE"""),"Stack;Design;")</f>
        <v>Stack;Design;</v>
      </c>
      <c r="M156" s="35" t="b">
        <f>IFERROR(__xludf.DUMMYFUNCTION("""COMPUTED_VALUE"""),TRUE)</f>
        <v>1</v>
      </c>
      <c r="N156" s="35" t="b">
        <f>IFERROR(__xludf.DUMMYFUNCTION("""COMPUTED_VALUE"""),FALSE)</f>
        <v>0</v>
      </c>
      <c r="O156" s="35">
        <f>IFERROR(__xludf.DUMMYFUNCTION("""COMPUTED_VALUE"""),49.7647650252349)</f>
        <v>49.76476503</v>
      </c>
      <c r="P156" s="35">
        <f>IFERROR(__xludf.DUMMYFUNCTION("""COMPUTED_VALUE"""),927548.0)</f>
        <v>927548</v>
      </c>
      <c r="Q156" s="35">
        <f>IFERROR(__xludf.DUMMYFUNCTION("""COMPUTED_VALUE"""),1863873.0)</f>
        <v>1863873</v>
      </c>
    </row>
    <row r="157">
      <c r="A157" s="35">
        <f>IFERROR(__xludf.DUMMYFUNCTION("""COMPUTED_VALUE"""),156.0)</f>
        <v>156</v>
      </c>
      <c r="B157" s="35" t="str">
        <f>IFERROR(__xludf.DUMMYFUNCTION("""COMPUTED_VALUE"""),"Binary Tree Upside Down")</f>
        <v>Binary Tree Upside Down</v>
      </c>
      <c r="C157" s="35" t="str">
        <f>IFERROR(__xludf.DUMMYFUNCTION("""COMPUTED_VALUE"""),"binary-tree-upside-down")</f>
        <v>binary-tree-upside-down</v>
      </c>
      <c r="D157" s="35" t="b">
        <f>IFERROR(__xludf.DUMMYFUNCTION("""COMPUTED_VALUE"""),TRUE)</f>
        <v>1</v>
      </c>
      <c r="E157" s="35" t="str">
        <f>IFERROR(__xludf.DUMMYFUNCTION("""COMPUTED_VALUE"""),"Medium")</f>
        <v>Medium</v>
      </c>
      <c r="F157" s="35">
        <f>IFERROR(__xludf.DUMMYFUNCTION("""COMPUTED_VALUE"""),104.0)</f>
        <v>104</v>
      </c>
      <c r="G157" s="35">
        <f>IFERROR(__xludf.DUMMYFUNCTION("""COMPUTED_VALUE"""),188.0)</f>
        <v>188</v>
      </c>
      <c r="H157" s="35" t="str">
        <f>IFERROR(__xludf.DUMMYFUNCTION("""COMPUTED_VALUE"""),"Algorithms")</f>
        <v>Algorithms</v>
      </c>
      <c r="I157" s="35">
        <f>IFERROR(__xludf.DUMMYFUNCTION("""COMPUTED_VALUE"""),0.598)</f>
        <v>0.598</v>
      </c>
      <c r="J157" s="35">
        <f>IFERROR(__xludf.DUMMYFUNCTION("""COMPUTED_VALUE"""),156.0)</f>
        <v>156</v>
      </c>
      <c r="K157" s="35" t="b">
        <f>IFERROR(__xludf.DUMMYFUNCTION("""COMPUTED_VALUE"""),TRUE)</f>
        <v>1</v>
      </c>
      <c r="L157" s="35" t="str">
        <f>IFERROR(__xludf.DUMMYFUNCTION("""COMPUTED_VALUE"""),"Tree;Depth-First Search;Binary Tree;")</f>
        <v>Tree;Depth-First Search;Binary Tree;</v>
      </c>
      <c r="M157" s="35" t="b">
        <f>IFERROR(__xludf.DUMMYFUNCTION("""COMPUTED_VALUE"""),FALSE)</f>
        <v>0</v>
      </c>
      <c r="N157" s="35" t="b">
        <f>IFERROR(__xludf.DUMMYFUNCTION("""COMPUTED_VALUE"""),FALSE)</f>
        <v>0</v>
      </c>
      <c r="O157" s="35">
        <f>IFERROR(__xludf.DUMMYFUNCTION("""COMPUTED_VALUE"""),59.8129838167327)</f>
        <v>59.81298382</v>
      </c>
      <c r="P157" s="35">
        <f>IFERROR(__xludf.DUMMYFUNCTION("""COMPUTED_VALUE"""),83602.0)</f>
        <v>83602</v>
      </c>
      <c r="Q157" s="35">
        <f>IFERROR(__xludf.DUMMYFUNCTION("""COMPUTED_VALUE"""),139773.0)</f>
        <v>139773</v>
      </c>
    </row>
    <row r="158">
      <c r="A158" s="35">
        <f>IFERROR(__xludf.DUMMYFUNCTION("""COMPUTED_VALUE"""),157.0)</f>
        <v>157</v>
      </c>
      <c r="B158" s="35" t="str">
        <f>IFERROR(__xludf.DUMMYFUNCTION("""COMPUTED_VALUE"""),"Read N Characters Given Read4")</f>
        <v>Read N Characters Given Read4</v>
      </c>
      <c r="C158" s="35" t="str">
        <f>IFERROR(__xludf.DUMMYFUNCTION("""COMPUTED_VALUE"""),"read-n-characters-given-read4")</f>
        <v>read-n-characters-given-read4</v>
      </c>
      <c r="D158" s="35" t="b">
        <f>IFERROR(__xludf.DUMMYFUNCTION("""COMPUTED_VALUE"""),TRUE)</f>
        <v>1</v>
      </c>
      <c r="E158" s="35" t="str">
        <f>IFERROR(__xludf.DUMMYFUNCTION("""COMPUTED_VALUE"""),"Easy")</f>
        <v>Easy</v>
      </c>
      <c r="F158" s="35">
        <f>IFERROR(__xludf.DUMMYFUNCTION("""COMPUTED_VALUE"""),486.0)</f>
        <v>486</v>
      </c>
      <c r="G158" s="35">
        <f>IFERROR(__xludf.DUMMYFUNCTION("""COMPUTED_VALUE"""),2918.0)</f>
        <v>2918</v>
      </c>
      <c r="H158" s="35" t="str">
        <f>IFERROR(__xludf.DUMMYFUNCTION("""COMPUTED_VALUE"""),"Algorithms")</f>
        <v>Algorithms</v>
      </c>
      <c r="I158" s="35">
        <f>IFERROR(__xludf.DUMMYFUNCTION("""COMPUTED_VALUE"""),0.401)</f>
        <v>0.401</v>
      </c>
      <c r="J158" s="35">
        <f>IFERROR(__xludf.DUMMYFUNCTION("""COMPUTED_VALUE"""),157.0)</f>
        <v>157</v>
      </c>
      <c r="K158" s="35" t="b">
        <f>IFERROR(__xludf.DUMMYFUNCTION("""COMPUTED_VALUE"""),TRUE)</f>
        <v>1</v>
      </c>
      <c r="L158" s="35" t="str">
        <f>IFERROR(__xludf.DUMMYFUNCTION("""COMPUTED_VALUE"""),"String;Simulation;Interactive;")</f>
        <v>String;Simulation;Interactive;</v>
      </c>
      <c r="M158" s="35" t="b">
        <f>IFERROR(__xludf.DUMMYFUNCTION("""COMPUTED_VALUE"""),TRUE)</f>
        <v>1</v>
      </c>
      <c r="N158" s="35" t="b">
        <f>IFERROR(__xludf.DUMMYFUNCTION("""COMPUTED_VALUE"""),FALSE)</f>
        <v>0</v>
      </c>
      <c r="O158" s="35">
        <f>IFERROR(__xludf.DUMMYFUNCTION("""COMPUTED_VALUE"""),40.1300255051896)</f>
        <v>40.13002551</v>
      </c>
      <c r="P158" s="35">
        <f>IFERROR(__xludf.DUMMYFUNCTION("""COMPUTED_VALUE"""),165364.0)</f>
        <v>165364</v>
      </c>
      <c r="Q158" s="35">
        <f>IFERROR(__xludf.DUMMYFUNCTION("""COMPUTED_VALUE"""),412070.0)</f>
        <v>412070</v>
      </c>
    </row>
    <row r="159">
      <c r="A159" s="35">
        <f>IFERROR(__xludf.DUMMYFUNCTION("""COMPUTED_VALUE"""),158.0)</f>
        <v>158</v>
      </c>
      <c r="B159" s="35" t="str">
        <f>IFERROR(__xludf.DUMMYFUNCTION("""COMPUTED_VALUE"""),"Read N Characters Given read4 II - Call Multiple Times")</f>
        <v>Read N Characters Given read4 II - Call Multiple Times</v>
      </c>
      <c r="C159" s="35" t="str">
        <f>IFERROR(__xludf.DUMMYFUNCTION("""COMPUTED_VALUE"""),"read-n-characters-given-read4-ii-call-multiple-times")</f>
        <v>read-n-characters-given-read4-ii-call-multiple-times</v>
      </c>
      <c r="D159" s="35" t="b">
        <f>IFERROR(__xludf.DUMMYFUNCTION("""COMPUTED_VALUE"""),TRUE)</f>
        <v>1</v>
      </c>
      <c r="E159" s="35" t="str">
        <f>IFERROR(__xludf.DUMMYFUNCTION("""COMPUTED_VALUE"""),"Hard")</f>
        <v>Hard</v>
      </c>
      <c r="F159" s="35">
        <f>IFERROR(__xludf.DUMMYFUNCTION("""COMPUTED_VALUE"""),791.0)</f>
        <v>791</v>
      </c>
      <c r="G159" s="35">
        <f>IFERROR(__xludf.DUMMYFUNCTION("""COMPUTED_VALUE"""),1615.0)</f>
        <v>1615</v>
      </c>
      <c r="H159" s="35" t="str">
        <f>IFERROR(__xludf.DUMMYFUNCTION("""COMPUTED_VALUE"""),"Algorithms")</f>
        <v>Algorithms</v>
      </c>
      <c r="I159" s="35">
        <f>IFERROR(__xludf.DUMMYFUNCTION("""COMPUTED_VALUE"""),0.406)</f>
        <v>0.406</v>
      </c>
      <c r="J159" s="35">
        <f>IFERROR(__xludf.DUMMYFUNCTION("""COMPUTED_VALUE"""),158.0)</f>
        <v>158</v>
      </c>
      <c r="K159" s="35" t="b">
        <f>IFERROR(__xludf.DUMMYFUNCTION("""COMPUTED_VALUE"""),TRUE)</f>
        <v>1</v>
      </c>
      <c r="L159" s="35" t="str">
        <f>IFERROR(__xludf.DUMMYFUNCTION("""COMPUTED_VALUE"""),"String;Simulation;Interactive;")</f>
        <v>String;Simulation;Interactive;</v>
      </c>
      <c r="M159" s="35" t="b">
        <f>IFERROR(__xludf.DUMMYFUNCTION("""COMPUTED_VALUE"""),FALSE)</f>
        <v>0</v>
      </c>
      <c r="N159" s="35" t="b">
        <f>IFERROR(__xludf.DUMMYFUNCTION("""COMPUTED_VALUE"""),FALSE)</f>
        <v>0</v>
      </c>
      <c r="O159" s="35">
        <f>IFERROR(__xludf.DUMMYFUNCTION("""COMPUTED_VALUE"""),40.5714844161116)</f>
        <v>40.57148442</v>
      </c>
      <c r="P159" s="35">
        <f>IFERROR(__xludf.DUMMYFUNCTION("""COMPUTED_VALUE"""),161907.0)</f>
        <v>161907</v>
      </c>
      <c r="Q159" s="35">
        <f>IFERROR(__xludf.DUMMYFUNCTION("""COMPUTED_VALUE"""),399066.0)</f>
        <v>399066</v>
      </c>
    </row>
    <row r="160">
      <c r="A160" s="35">
        <f>IFERROR(__xludf.DUMMYFUNCTION("""COMPUTED_VALUE"""),159.0)</f>
        <v>159</v>
      </c>
      <c r="B160" s="35" t="str">
        <f>IFERROR(__xludf.DUMMYFUNCTION("""COMPUTED_VALUE"""),"Longest Substring with At Most Two Distinct Characters")</f>
        <v>Longest Substring with At Most Two Distinct Characters</v>
      </c>
      <c r="C160" s="35" t="str">
        <f>IFERROR(__xludf.DUMMYFUNCTION("""COMPUTED_VALUE"""),"longest-substring-with-at-most-two-distinct-characters")</f>
        <v>longest-substring-with-at-most-two-distinct-characters</v>
      </c>
      <c r="D160" s="35" t="b">
        <f>IFERROR(__xludf.DUMMYFUNCTION("""COMPUTED_VALUE"""),TRUE)</f>
        <v>1</v>
      </c>
      <c r="E160" s="35" t="str">
        <f>IFERROR(__xludf.DUMMYFUNCTION("""COMPUTED_VALUE"""),"Medium")</f>
        <v>Medium</v>
      </c>
      <c r="F160" s="35">
        <f>IFERROR(__xludf.DUMMYFUNCTION("""COMPUTED_VALUE"""),1646.0)</f>
        <v>1646</v>
      </c>
      <c r="G160" s="35">
        <f>IFERROR(__xludf.DUMMYFUNCTION("""COMPUTED_VALUE"""),25.0)</f>
        <v>25</v>
      </c>
      <c r="H160" s="35" t="str">
        <f>IFERROR(__xludf.DUMMYFUNCTION("""COMPUTED_VALUE"""),"Algorithms")</f>
        <v>Algorithms</v>
      </c>
      <c r="I160" s="35">
        <f>IFERROR(__xludf.DUMMYFUNCTION("""COMPUTED_VALUE"""),0.525)</f>
        <v>0.525</v>
      </c>
      <c r="J160" s="35">
        <f>IFERROR(__xludf.DUMMYFUNCTION("""COMPUTED_VALUE"""),159.0)</f>
        <v>159</v>
      </c>
      <c r="K160" s="35" t="b">
        <f>IFERROR(__xludf.DUMMYFUNCTION("""COMPUTED_VALUE"""),TRUE)</f>
        <v>1</v>
      </c>
      <c r="L160" s="35" t="str">
        <f>IFERROR(__xludf.DUMMYFUNCTION("""COMPUTED_VALUE"""),"Hash Table;String;Sliding Window;")</f>
        <v>Hash Table;String;Sliding Window;</v>
      </c>
      <c r="M160" s="35" t="b">
        <f>IFERROR(__xludf.DUMMYFUNCTION("""COMPUTED_VALUE"""),TRUE)</f>
        <v>1</v>
      </c>
      <c r="N160" s="35" t="b">
        <f>IFERROR(__xludf.DUMMYFUNCTION("""COMPUTED_VALUE"""),TRUE)</f>
        <v>1</v>
      </c>
      <c r="O160" s="35">
        <f>IFERROR(__xludf.DUMMYFUNCTION("""COMPUTED_VALUE"""),52.458218677169)</f>
        <v>52.45821868</v>
      </c>
      <c r="P160" s="35">
        <f>IFERROR(__xludf.DUMMYFUNCTION("""COMPUTED_VALUE"""),184345.0)</f>
        <v>184345</v>
      </c>
      <c r="Q160" s="35">
        <f>IFERROR(__xludf.DUMMYFUNCTION("""COMPUTED_VALUE"""),351413.0)</f>
        <v>351413</v>
      </c>
    </row>
    <row r="161">
      <c r="A161" s="35">
        <f>IFERROR(__xludf.DUMMYFUNCTION("""COMPUTED_VALUE"""),160.0)</f>
        <v>160</v>
      </c>
      <c r="B161" s="35" t="str">
        <f>IFERROR(__xludf.DUMMYFUNCTION("""COMPUTED_VALUE"""),"Intersection of Two Linked Lists")</f>
        <v>Intersection of Two Linked Lists</v>
      </c>
      <c r="C161" s="35" t="str">
        <f>IFERROR(__xludf.DUMMYFUNCTION("""COMPUTED_VALUE"""),"intersection-of-two-linked-lists")</f>
        <v>intersection-of-two-linked-lists</v>
      </c>
      <c r="D161" s="35" t="b">
        <f>IFERROR(__xludf.DUMMYFUNCTION("""COMPUTED_VALUE"""),FALSE)</f>
        <v>0</v>
      </c>
      <c r="E161" s="35" t="str">
        <f>IFERROR(__xludf.DUMMYFUNCTION("""COMPUTED_VALUE"""),"Easy")</f>
        <v>Easy</v>
      </c>
      <c r="F161" s="35">
        <f>IFERROR(__xludf.DUMMYFUNCTION("""COMPUTED_VALUE"""),8235.0)</f>
        <v>8235</v>
      </c>
      <c r="G161" s="35">
        <f>IFERROR(__xludf.DUMMYFUNCTION("""COMPUTED_VALUE"""),830.0)</f>
        <v>830</v>
      </c>
      <c r="H161" s="35" t="str">
        <f>IFERROR(__xludf.DUMMYFUNCTION("""COMPUTED_VALUE"""),"Algorithms")</f>
        <v>Algorithms</v>
      </c>
      <c r="I161" s="35">
        <f>IFERROR(__xludf.DUMMYFUNCTION("""COMPUTED_VALUE"""),0.493)</f>
        <v>0.493</v>
      </c>
      <c r="J161" s="35">
        <f>IFERROR(__xludf.DUMMYFUNCTION("""COMPUTED_VALUE"""),160.0)</f>
        <v>160</v>
      </c>
      <c r="K161" s="35" t="b">
        <f>IFERROR(__xludf.DUMMYFUNCTION("""COMPUTED_VALUE"""),FALSE)</f>
        <v>0</v>
      </c>
      <c r="L161" s="35" t="str">
        <f>IFERROR(__xludf.DUMMYFUNCTION("""COMPUTED_VALUE"""),"Hash Table;Linked List;Two Pointers;")</f>
        <v>Hash Table;Linked List;Two Pointers;</v>
      </c>
      <c r="M161" s="35" t="b">
        <f>IFERROR(__xludf.DUMMYFUNCTION("""COMPUTED_VALUE"""),TRUE)</f>
        <v>1</v>
      </c>
      <c r="N161" s="35" t="b">
        <f>IFERROR(__xludf.DUMMYFUNCTION("""COMPUTED_VALUE"""),TRUE)</f>
        <v>1</v>
      </c>
      <c r="O161" s="35">
        <f>IFERROR(__xludf.DUMMYFUNCTION("""COMPUTED_VALUE"""),49.2775558763203)</f>
        <v>49.27755588</v>
      </c>
      <c r="P161" s="35">
        <f>IFERROR(__xludf.DUMMYFUNCTION("""COMPUTED_VALUE"""),885557.0)</f>
        <v>885557</v>
      </c>
      <c r="Q161" s="35">
        <f>IFERROR(__xludf.DUMMYFUNCTION("""COMPUTED_VALUE"""),1797080.0)</f>
        <v>1797080</v>
      </c>
    </row>
    <row r="162">
      <c r="A162" s="35">
        <f>IFERROR(__xludf.DUMMYFUNCTION("""COMPUTED_VALUE"""),161.0)</f>
        <v>161</v>
      </c>
      <c r="B162" s="35" t="str">
        <f>IFERROR(__xludf.DUMMYFUNCTION("""COMPUTED_VALUE"""),"One Edit Distance")</f>
        <v>One Edit Distance</v>
      </c>
      <c r="C162" s="35" t="str">
        <f>IFERROR(__xludf.DUMMYFUNCTION("""COMPUTED_VALUE"""),"one-edit-distance")</f>
        <v>one-edit-distance</v>
      </c>
      <c r="D162" s="35" t="b">
        <f>IFERROR(__xludf.DUMMYFUNCTION("""COMPUTED_VALUE"""),TRUE)</f>
        <v>1</v>
      </c>
      <c r="E162" s="35" t="str">
        <f>IFERROR(__xludf.DUMMYFUNCTION("""COMPUTED_VALUE"""),"Medium")</f>
        <v>Medium</v>
      </c>
      <c r="F162" s="35">
        <f>IFERROR(__xludf.DUMMYFUNCTION("""COMPUTED_VALUE"""),1081.0)</f>
        <v>1081</v>
      </c>
      <c r="G162" s="35">
        <f>IFERROR(__xludf.DUMMYFUNCTION("""COMPUTED_VALUE"""),160.0)</f>
        <v>160</v>
      </c>
      <c r="H162" s="35" t="str">
        <f>IFERROR(__xludf.DUMMYFUNCTION("""COMPUTED_VALUE"""),"Algorithms")</f>
        <v>Algorithms</v>
      </c>
      <c r="I162" s="35">
        <f>IFERROR(__xludf.DUMMYFUNCTION("""COMPUTED_VALUE"""),0.339)</f>
        <v>0.339</v>
      </c>
      <c r="J162" s="35">
        <f>IFERROR(__xludf.DUMMYFUNCTION("""COMPUTED_VALUE"""),161.0)</f>
        <v>161</v>
      </c>
      <c r="K162" s="35" t="b">
        <f>IFERROR(__xludf.DUMMYFUNCTION("""COMPUTED_VALUE"""),TRUE)</f>
        <v>1</v>
      </c>
      <c r="L162" s="35" t="str">
        <f>IFERROR(__xludf.DUMMYFUNCTION("""COMPUTED_VALUE"""),"Two Pointers;String;")</f>
        <v>Two Pointers;String;</v>
      </c>
      <c r="M162" s="35" t="b">
        <f>IFERROR(__xludf.DUMMYFUNCTION("""COMPUTED_VALUE"""),TRUE)</f>
        <v>1</v>
      </c>
      <c r="N162" s="35" t="b">
        <f>IFERROR(__xludf.DUMMYFUNCTION("""COMPUTED_VALUE"""),FALSE)</f>
        <v>0</v>
      </c>
      <c r="O162" s="35">
        <f>IFERROR(__xludf.DUMMYFUNCTION("""COMPUTED_VALUE"""),33.8867851443581)</f>
        <v>33.88678514</v>
      </c>
      <c r="P162" s="35">
        <f>IFERROR(__xludf.DUMMYFUNCTION("""COMPUTED_VALUE"""),167968.0)</f>
        <v>167968</v>
      </c>
      <c r="Q162" s="35">
        <f>IFERROR(__xludf.DUMMYFUNCTION("""COMPUTED_VALUE"""),495674.0)</f>
        <v>495674</v>
      </c>
    </row>
    <row r="163">
      <c r="A163" s="35">
        <f>IFERROR(__xludf.DUMMYFUNCTION("""COMPUTED_VALUE"""),162.0)</f>
        <v>162</v>
      </c>
      <c r="B163" s="35" t="str">
        <f>IFERROR(__xludf.DUMMYFUNCTION("""COMPUTED_VALUE"""),"Find Peak Element")</f>
        <v>Find Peak Element</v>
      </c>
      <c r="C163" s="35" t="str">
        <f>IFERROR(__xludf.DUMMYFUNCTION("""COMPUTED_VALUE"""),"find-peak-element")</f>
        <v>find-peak-element</v>
      </c>
      <c r="D163" s="35" t="b">
        <f>IFERROR(__xludf.DUMMYFUNCTION("""COMPUTED_VALUE"""),FALSE)</f>
        <v>0</v>
      </c>
      <c r="E163" s="35" t="str">
        <f>IFERROR(__xludf.DUMMYFUNCTION("""COMPUTED_VALUE"""),"Medium")</f>
        <v>Medium</v>
      </c>
      <c r="F163" s="35">
        <f>IFERROR(__xludf.DUMMYFUNCTION("""COMPUTED_VALUE"""),5533.0)</f>
        <v>5533</v>
      </c>
      <c r="G163" s="35">
        <f>IFERROR(__xludf.DUMMYFUNCTION("""COMPUTED_VALUE"""),3570.0)</f>
        <v>3570</v>
      </c>
      <c r="H163" s="35" t="str">
        <f>IFERROR(__xludf.DUMMYFUNCTION("""COMPUTED_VALUE"""),"Algorithms")</f>
        <v>Algorithms</v>
      </c>
      <c r="I163" s="35">
        <f>IFERROR(__xludf.DUMMYFUNCTION("""COMPUTED_VALUE"""),0.457)</f>
        <v>0.457</v>
      </c>
      <c r="J163" s="35">
        <f>IFERROR(__xludf.DUMMYFUNCTION("""COMPUTED_VALUE"""),162.0)</f>
        <v>162</v>
      </c>
      <c r="K163" s="35" t="b">
        <f>IFERROR(__xludf.DUMMYFUNCTION("""COMPUTED_VALUE"""),FALSE)</f>
        <v>0</v>
      </c>
      <c r="L163" s="35" t="str">
        <f>IFERROR(__xludf.DUMMYFUNCTION("""COMPUTED_VALUE"""),"Array;Binary Search;")</f>
        <v>Array;Binary Search;</v>
      </c>
      <c r="M163" s="35" t="b">
        <f>IFERROR(__xludf.DUMMYFUNCTION("""COMPUTED_VALUE"""),TRUE)</f>
        <v>1</v>
      </c>
      <c r="N163" s="35" t="b">
        <f>IFERROR(__xludf.DUMMYFUNCTION("""COMPUTED_VALUE"""),FALSE)</f>
        <v>0</v>
      </c>
      <c r="O163" s="35">
        <f>IFERROR(__xludf.DUMMYFUNCTION("""COMPUTED_VALUE"""),45.7333370723849)</f>
        <v>45.73333707</v>
      </c>
      <c r="P163" s="35">
        <f>IFERROR(__xludf.DUMMYFUNCTION("""COMPUTED_VALUE"""),733863.0)</f>
        <v>733863</v>
      </c>
      <c r="Q163" s="35">
        <f>IFERROR(__xludf.DUMMYFUNCTION("""COMPUTED_VALUE"""),1604656.0)</f>
        <v>1604656</v>
      </c>
    </row>
    <row r="164">
      <c r="A164" s="35">
        <f>IFERROR(__xludf.DUMMYFUNCTION("""COMPUTED_VALUE"""),163.0)</f>
        <v>163</v>
      </c>
      <c r="B164" s="35" t="str">
        <f>IFERROR(__xludf.DUMMYFUNCTION("""COMPUTED_VALUE"""),"Missing Ranges")</f>
        <v>Missing Ranges</v>
      </c>
      <c r="C164" s="35" t="str">
        <f>IFERROR(__xludf.DUMMYFUNCTION("""COMPUTED_VALUE"""),"missing-ranges")</f>
        <v>missing-ranges</v>
      </c>
      <c r="D164" s="35" t="b">
        <f>IFERROR(__xludf.DUMMYFUNCTION("""COMPUTED_VALUE"""),TRUE)</f>
        <v>1</v>
      </c>
      <c r="E164" s="35" t="str">
        <f>IFERROR(__xludf.DUMMYFUNCTION("""COMPUTED_VALUE"""),"Easy")</f>
        <v>Easy</v>
      </c>
      <c r="F164" s="35">
        <f>IFERROR(__xludf.DUMMYFUNCTION("""COMPUTED_VALUE"""),741.0)</f>
        <v>741</v>
      </c>
      <c r="G164" s="35">
        <f>IFERROR(__xludf.DUMMYFUNCTION("""COMPUTED_VALUE"""),2457.0)</f>
        <v>2457</v>
      </c>
      <c r="H164" s="35" t="str">
        <f>IFERROR(__xludf.DUMMYFUNCTION("""COMPUTED_VALUE"""),"Algorithms")</f>
        <v>Algorithms</v>
      </c>
      <c r="I164" s="35">
        <f>IFERROR(__xludf.DUMMYFUNCTION("""COMPUTED_VALUE"""),0.31)</f>
        <v>0.31</v>
      </c>
      <c r="J164" s="35">
        <f>IFERROR(__xludf.DUMMYFUNCTION("""COMPUTED_VALUE"""),163.0)</f>
        <v>163</v>
      </c>
      <c r="K164" s="35" t="b">
        <f>IFERROR(__xludf.DUMMYFUNCTION("""COMPUTED_VALUE"""),TRUE)</f>
        <v>1</v>
      </c>
      <c r="L164" s="35" t="str">
        <f>IFERROR(__xludf.DUMMYFUNCTION("""COMPUTED_VALUE"""),"Array;")</f>
        <v>Array;</v>
      </c>
      <c r="M164" s="35" t="b">
        <f>IFERROR(__xludf.DUMMYFUNCTION("""COMPUTED_VALUE"""),TRUE)</f>
        <v>1</v>
      </c>
      <c r="N164" s="35" t="b">
        <f>IFERROR(__xludf.DUMMYFUNCTION("""COMPUTED_VALUE"""),TRUE)</f>
        <v>1</v>
      </c>
      <c r="O164" s="35">
        <f>IFERROR(__xludf.DUMMYFUNCTION("""COMPUTED_VALUE"""),30.9909445208619)</f>
        <v>30.99094452</v>
      </c>
      <c r="P164" s="35">
        <f>IFERROR(__xludf.DUMMYFUNCTION("""COMPUTED_VALUE"""),162217.0)</f>
        <v>162217</v>
      </c>
      <c r="Q164" s="35">
        <f>IFERROR(__xludf.DUMMYFUNCTION("""COMPUTED_VALUE"""),523438.0)</f>
        <v>523438</v>
      </c>
    </row>
    <row r="165">
      <c r="A165" s="35">
        <f>IFERROR(__xludf.DUMMYFUNCTION("""COMPUTED_VALUE"""),164.0)</f>
        <v>164</v>
      </c>
      <c r="B165" s="35" t="str">
        <f>IFERROR(__xludf.DUMMYFUNCTION("""COMPUTED_VALUE"""),"Maximum Gap")</f>
        <v>Maximum Gap</v>
      </c>
      <c r="C165" s="35" t="str">
        <f>IFERROR(__xludf.DUMMYFUNCTION("""COMPUTED_VALUE"""),"maximum-gap")</f>
        <v>maximum-gap</v>
      </c>
      <c r="D165" s="35" t="b">
        <f>IFERROR(__xludf.DUMMYFUNCTION("""COMPUTED_VALUE"""),FALSE)</f>
        <v>0</v>
      </c>
      <c r="E165" s="35" t="str">
        <f>IFERROR(__xludf.DUMMYFUNCTION("""COMPUTED_VALUE"""),"Hard")</f>
        <v>Hard</v>
      </c>
      <c r="F165" s="35">
        <f>IFERROR(__xludf.DUMMYFUNCTION("""COMPUTED_VALUE"""),1994.0)</f>
        <v>1994</v>
      </c>
      <c r="G165" s="35">
        <f>IFERROR(__xludf.DUMMYFUNCTION("""COMPUTED_VALUE"""),277.0)</f>
        <v>277</v>
      </c>
      <c r="H165" s="35" t="str">
        <f>IFERROR(__xludf.DUMMYFUNCTION("""COMPUTED_VALUE"""),"Algorithms")</f>
        <v>Algorithms</v>
      </c>
      <c r="I165" s="35">
        <f>IFERROR(__xludf.DUMMYFUNCTION("""COMPUTED_VALUE"""),0.411)</f>
        <v>0.411</v>
      </c>
      <c r="J165" s="35">
        <f>IFERROR(__xludf.DUMMYFUNCTION("""COMPUTED_VALUE"""),164.0)</f>
        <v>164</v>
      </c>
      <c r="K165" s="35" t="b">
        <f>IFERROR(__xludf.DUMMYFUNCTION("""COMPUTED_VALUE"""),FALSE)</f>
        <v>0</v>
      </c>
      <c r="L165" s="35" t="str">
        <f>IFERROR(__xludf.DUMMYFUNCTION("""COMPUTED_VALUE"""),"Array;Sorting;Bucket Sort;Radix Sort;")</f>
        <v>Array;Sorting;Bucket Sort;Radix Sort;</v>
      </c>
      <c r="M165" s="35" t="b">
        <f>IFERROR(__xludf.DUMMYFUNCTION("""COMPUTED_VALUE"""),TRUE)</f>
        <v>1</v>
      </c>
      <c r="N165" s="35" t="b">
        <f>IFERROR(__xludf.DUMMYFUNCTION("""COMPUTED_VALUE"""),FALSE)</f>
        <v>0</v>
      </c>
      <c r="O165" s="35">
        <f>IFERROR(__xludf.DUMMYFUNCTION("""COMPUTED_VALUE"""),41.1421858351471)</f>
        <v>41.14218584</v>
      </c>
      <c r="P165" s="35">
        <f>IFERROR(__xludf.DUMMYFUNCTION("""COMPUTED_VALUE"""),135531.0)</f>
        <v>135531</v>
      </c>
      <c r="Q165" s="35">
        <f>IFERROR(__xludf.DUMMYFUNCTION("""COMPUTED_VALUE"""),329421.0)</f>
        <v>329421</v>
      </c>
    </row>
    <row r="166">
      <c r="A166" s="35">
        <f>IFERROR(__xludf.DUMMYFUNCTION("""COMPUTED_VALUE"""),165.0)</f>
        <v>165</v>
      </c>
      <c r="B166" s="35" t="str">
        <f>IFERROR(__xludf.DUMMYFUNCTION("""COMPUTED_VALUE"""),"Compare Version Numbers")</f>
        <v>Compare Version Numbers</v>
      </c>
      <c r="C166" s="35" t="str">
        <f>IFERROR(__xludf.DUMMYFUNCTION("""COMPUTED_VALUE"""),"compare-version-numbers")</f>
        <v>compare-version-numbers</v>
      </c>
      <c r="D166" s="35" t="b">
        <f>IFERROR(__xludf.DUMMYFUNCTION("""COMPUTED_VALUE"""),FALSE)</f>
        <v>0</v>
      </c>
      <c r="E166" s="35" t="str">
        <f>IFERROR(__xludf.DUMMYFUNCTION("""COMPUTED_VALUE"""),"Medium")</f>
        <v>Medium</v>
      </c>
      <c r="F166" s="35">
        <f>IFERROR(__xludf.DUMMYFUNCTION("""COMPUTED_VALUE"""),1531.0)</f>
        <v>1531</v>
      </c>
      <c r="G166" s="35">
        <f>IFERROR(__xludf.DUMMYFUNCTION("""COMPUTED_VALUE"""),2212.0)</f>
        <v>2212</v>
      </c>
      <c r="H166" s="35" t="str">
        <f>IFERROR(__xludf.DUMMYFUNCTION("""COMPUTED_VALUE"""),"Algorithms")</f>
        <v>Algorithms</v>
      </c>
      <c r="I166" s="35">
        <f>IFERROR(__xludf.DUMMYFUNCTION("""COMPUTED_VALUE"""),0.343)</f>
        <v>0.343</v>
      </c>
      <c r="J166" s="35">
        <f>IFERROR(__xludf.DUMMYFUNCTION("""COMPUTED_VALUE"""),165.0)</f>
        <v>165</v>
      </c>
      <c r="K166" s="35" t="b">
        <f>IFERROR(__xludf.DUMMYFUNCTION("""COMPUTED_VALUE"""),FALSE)</f>
        <v>0</v>
      </c>
      <c r="L166" s="35" t="str">
        <f>IFERROR(__xludf.DUMMYFUNCTION("""COMPUTED_VALUE"""),"Two Pointers;String;")</f>
        <v>Two Pointers;String;</v>
      </c>
      <c r="M166" s="35" t="b">
        <f>IFERROR(__xludf.DUMMYFUNCTION("""COMPUTED_VALUE"""),TRUE)</f>
        <v>1</v>
      </c>
      <c r="N166" s="35" t="b">
        <f>IFERROR(__xludf.DUMMYFUNCTION("""COMPUTED_VALUE"""),FALSE)</f>
        <v>0</v>
      </c>
      <c r="O166" s="35">
        <f>IFERROR(__xludf.DUMMYFUNCTION("""COMPUTED_VALUE"""),34.318588000222)</f>
        <v>34.318588</v>
      </c>
      <c r="P166" s="35">
        <f>IFERROR(__xludf.DUMMYFUNCTION("""COMPUTED_VALUE"""),309158.0)</f>
        <v>309158</v>
      </c>
      <c r="Q166" s="35">
        <f>IFERROR(__xludf.DUMMYFUNCTION("""COMPUTED_VALUE"""),900849.0)</f>
        <v>900849</v>
      </c>
    </row>
    <row r="167">
      <c r="A167" s="35">
        <f>IFERROR(__xludf.DUMMYFUNCTION("""COMPUTED_VALUE"""),166.0)</f>
        <v>166</v>
      </c>
      <c r="B167" s="35" t="str">
        <f>IFERROR(__xludf.DUMMYFUNCTION("""COMPUTED_VALUE"""),"Fraction to Recurring Decimal")</f>
        <v>Fraction to Recurring Decimal</v>
      </c>
      <c r="C167" s="35" t="str">
        <f>IFERROR(__xludf.DUMMYFUNCTION("""COMPUTED_VALUE"""),"fraction-to-recurring-decimal")</f>
        <v>fraction-to-recurring-decimal</v>
      </c>
      <c r="D167" s="35" t="b">
        <f>IFERROR(__xludf.DUMMYFUNCTION("""COMPUTED_VALUE"""),FALSE)</f>
        <v>0</v>
      </c>
      <c r="E167" s="35" t="str">
        <f>IFERROR(__xludf.DUMMYFUNCTION("""COMPUTED_VALUE"""),"Medium")</f>
        <v>Medium</v>
      </c>
      <c r="F167" s="35">
        <f>IFERROR(__xludf.DUMMYFUNCTION("""COMPUTED_VALUE"""),1511.0)</f>
        <v>1511</v>
      </c>
      <c r="G167" s="35">
        <f>IFERROR(__xludf.DUMMYFUNCTION("""COMPUTED_VALUE"""),2857.0)</f>
        <v>2857</v>
      </c>
      <c r="H167" s="35" t="str">
        <f>IFERROR(__xludf.DUMMYFUNCTION("""COMPUTED_VALUE"""),"Algorithms")</f>
        <v>Algorithms</v>
      </c>
      <c r="I167" s="35">
        <f>IFERROR(__xludf.DUMMYFUNCTION("""COMPUTED_VALUE"""),0.235)</f>
        <v>0.235</v>
      </c>
      <c r="J167" s="35">
        <f>IFERROR(__xludf.DUMMYFUNCTION("""COMPUTED_VALUE"""),166.0)</f>
        <v>166</v>
      </c>
      <c r="K167" s="35" t="b">
        <f>IFERROR(__xludf.DUMMYFUNCTION("""COMPUTED_VALUE"""),FALSE)</f>
        <v>0</v>
      </c>
      <c r="L167" s="35" t="str">
        <f>IFERROR(__xludf.DUMMYFUNCTION("""COMPUTED_VALUE"""),"Hash Table;Math;String;")</f>
        <v>Hash Table;Math;String;</v>
      </c>
      <c r="M167" s="35" t="b">
        <f>IFERROR(__xludf.DUMMYFUNCTION("""COMPUTED_VALUE"""),TRUE)</f>
        <v>1</v>
      </c>
      <c r="N167" s="35" t="b">
        <f>IFERROR(__xludf.DUMMYFUNCTION("""COMPUTED_VALUE"""),FALSE)</f>
        <v>0</v>
      </c>
      <c r="O167" s="35">
        <f>IFERROR(__xludf.DUMMYFUNCTION("""COMPUTED_VALUE"""),23.4515632051131)</f>
        <v>23.45156321</v>
      </c>
      <c r="P167" s="35">
        <f>IFERROR(__xludf.DUMMYFUNCTION("""COMPUTED_VALUE"""),178249.0)</f>
        <v>178249</v>
      </c>
      <c r="Q167" s="35">
        <f>IFERROR(__xludf.DUMMYFUNCTION("""COMPUTED_VALUE"""),760073.0)</f>
        <v>760073</v>
      </c>
    </row>
    <row r="168">
      <c r="A168" s="35">
        <f>IFERROR(__xludf.DUMMYFUNCTION("""COMPUTED_VALUE"""),167.0)</f>
        <v>167</v>
      </c>
      <c r="B168" s="35" t="str">
        <f>IFERROR(__xludf.DUMMYFUNCTION("""COMPUTED_VALUE"""),"Two Sum II - Input Array Is Sorted")</f>
        <v>Two Sum II - Input Array Is Sorted</v>
      </c>
      <c r="C168" s="35" t="str">
        <f>IFERROR(__xludf.DUMMYFUNCTION("""COMPUTED_VALUE"""),"two-sum-ii-input-array-is-sorted")</f>
        <v>two-sum-ii-input-array-is-sorted</v>
      </c>
      <c r="D168" s="35" t="b">
        <f>IFERROR(__xludf.DUMMYFUNCTION("""COMPUTED_VALUE"""),FALSE)</f>
        <v>0</v>
      </c>
      <c r="E168" s="35" t="str">
        <f>IFERROR(__xludf.DUMMYFUNCTION("""COMPUTED_VALUE"""),"Medium")</f>
        <v>Medium</v>
      </c>
      <c r="F168" s="35">
        <f>IFERROR(__xludf.DUMMYFUNCTION("""COMPUTED_VALUE"""),4854.0)</f>
        <v>4854</v>
      </c>
      <c r="G168" s="35">
        <f>IFERROR(__xludf.DUMMYFUNCTION("""COMPUTED_VALUE"""),897.0)</f>
        <v>897</v>
      </c>
      <c r="H168" s="35" t="str">
        <f>IFERROR(__xludf.DUMMYFUNCTION("""COMPUTED_VALUE"""),"Algorithms")</f>
        <v>Algorithms</v>
      </c>
      <c r="I168" s="35">
        <f>IFERROR(__xludf.DUMMYFUNCTION("""COMPUTED_VALUE"""),0.584)</f>
        <v>0.584</v>
      </c>
      <c r="J168" s="35">
        <f>IFERROR(__xludf.DUMMYFUNCTION("""COMPUTED_VALUE"""),167.0)</f>
        <v>167</v>
      </c>
      <c r="K168" s="35" t="b">
        <f>IFERROR(__xludf.DUMMYFUNCTION("""COMPUTED_VALUE"""),FALSE)</f>
        <v>0</v>
      </c>
      <c r="L168" s="35" t="str">
        <f>IFERROR(__xludf.DUMMYFUNCTION("""COMPUTED_VALUE"""),"Array;Two Pointers;Binary Search;")</f>
        <v>Array;Two Pointers;Binary Search;</v>
      </c>
      <c r="M168" s="35" t="b">
        <f>IFERROR(__xludf.DUMMYFUNCTION("""COMPUTED_VALUE"""),TRUE)</f>
        <v>1</v>
      </c>
      <c r="N168" s="35" t="b">
        <f>IFERROR(__xludf.DUMMYFUNCTION("""COMPUTED_VALUE"""),FALSE)</f>
        <v>0</v>
      </c>
      <c r="O168" s="35">
        <f>IFERROR(__xludf.DUMMYFUNCTION("""COMPUTED_VALUE"""),58.3644883584038)</f>
        <v>58.36448836</v>
      </c>
      <c r="P168" s="35">
        <f>IFERROR(__xludf.DUMMYFUNCTION("""COMPUTED_VALUE"""),883416.0)</f>
        <v>883416</v>
      </c>
      <c r="Q168" s="35">
        <f>IFERROR(__xludf.DUMMYFUNCTION("""COMPUTED_VALUE"""),1513620.0)</f>
        <v>1513620</v>
      </c>
    </row>
    <row r="169">
      <c r="A169" s="35">
        <f>IFERROR(__xludf.DUMMYFUNCTION("""COMPUTED_VALUE"""),168.0)</f>
        <v>168</v>
      </c>
      <c r="B169" s="35" t="str">
        <f>IFERROR(__xludf.DUMMYFUNCTION("""COMPUTED_VALUE"""),"Excel Sheet Column Title")</f>
        <v>Excel Sheet Column Title</v>
      </c>
      <c r="C169" s="35" t="str">
        <f>IFERROR(__xludf.DUMMYFUNCTION("""COMPUTED_VALUE"""),"excel-sheet-column-title")</f>
        <v>excel-sheet-column-title</v>
      </c>
      <c r="D169" s="35" t="b">
        <f>IFERROR(__xludf.DUMMYFUNCTION("""COMPUTED_VALUE"""),FALSE)</f>
        <v>0</v>
      </c>
      <c r="E169" s="35" t="str">
        <f>IFERROR(__xludf.DUMMYFUNCTION("""COMPUTED_VALUE"""),"Easy")</f>
        <v>Easy</v>
      </c>
      <c r="F169" s="35">
        <f>IFERROR(__xludf.DUMMYFUNCTION("""COMPUTED_VALUE"""),2623.0)</f>
        <v>2623</v>
      </c>
      <c r="G169" s="35">
        <f>IFERROR(__xludf.DUMMYFUNCTION("""COMPUTED_VALUE"""),395.0)</f>
        <v>395</v>
      </c>
      <c r="H169" s="35" t="str">
        <f>IFERROR(__xludf.DUMMYFUNCTION("""COMPUTED_VALUE"""),"Algorithms")</f>
        <v>Algorithms</v>
      </c>
      <c r="I169" s="35">
        <f>IFERROR(__xludf.DUMMYFUNCTION("""COMPUTED_VALUE"""),0.337)</f>
        <v>0.337</v>
      </c>
      <c r="J169" s="35">
        <f>IFERROR(__xludf.DUMMYFUNCTION("""COMPUTED_VALUE"""),168.0)</f>
        <v>168</v>
      </c>
      <c r="K169" s="35" t="b">
        <f>IFERROR(__xludf.DUMMYFUNCTION("""COMPUTED_VALUE"""),FALSE)</f>
        <v>0</v>
      </c>
      <c r="L169" s="35" t="str">
        <f>IFERROR(__xludf.DUMMYFUNCTION("""COMPUTED_VALUE"""),"Math;String;")</f>
        <v>Math;String;</v>
      </c>
      <c r="M169" s="35" t="b">
        <f>IFERROR(__xludf.DUMMYFUNCTION("""COMPUTED_VALUE"""),FALSE)</f>
        <v>0</v>
      </c>
      <c r="N169" s="35" t="b">
        <f>IFERROR(__xludf.DUMMYFUNCTION("""COMPUTED_VALUE"""),FALSE)</f>
        <v>0</v>
      </c>
      <c r="O169" s="35">
        <f>IFERROR(__xludf.DUMMYFUNCTION("""COMPUTED_VALUE"""),33.7031070960027)</f>
        <v>33.7031071</v>
      </c>
      <c r="P169" s="35">
        <f>IFERROR(__xludf.DUMMYFUNCTION("""COMPUTED_VALUE"""),304424.0)</f>
        <v>304424</v>
      </c>
      <c r="Q169" s="35">
        <f>IFERROR(__xludf.DUMMYFUNCTION("""COMPUTED_VALUE"""),903245.0)</f>
        <v>903245</v>
      </c>
    </row>
    <row r="170">
      <c r="A170" s="35">
        <f>IFERROR(__xludf.DUMMYFUNCTION("""COMPUTED_VALUE"""),169.0)</f>
        <v>169</v>
      </c>
      <c r="B170" s="35" t="str">
        <f>IFERROR(__xludf.DUMMYFUNCTION("""COMPUTED_VALUE"""),"Majority Element")</f>
        <v>Majority Element</v>
      </c>
      <c r="C170" s="35" t="str">
        <f>IFERROR(__xludf.DUMMYFUNCTION("""COMPUTED_VALUE"""),"majority-element")</f>
        <v>majority-element</v>
      </c>
      <c r="D170" s="35" t="b">
        <f>IFERROR(__xludf.DUMMYFUNCTION("""COMPUTED_VALUE"""),FALSE)</f>
        <v>0</v>
      </c>
      <c r="E170" s="35" t="str">
        <f>IFERROR(__xludf.DUMMYFUNCTION("""COMPUTED_VALUE"""),"Easy")</f>
        <v>Easy</v>
      </c>
      <c r="F170" s="35">
        <f>IFERROR(__xludf.DUMMYFUNCTION("""COMPUTED_VALUE"""),8978.0)</f>
        <v>8978</v>
      </c>
      <c r="G170" s="35">
        <f>IFERROR(__xludf.DUMMYFUNCTION("""COMPUTED_VALUE"""),323.0)</f>
        <v>323</v>
      </c>
      <c r="H170" s="35" t="str">
        <f>IFERROR(__xludf.DUMMYFUNCTION("""COMPUTED_VALUE"""),"Algorithms")</f>
        <v>Algorithms</v>
      </c>
      <c r="I170" s="35">
        <f>IFERROR(__xludf.DUMMYFUNCTION("""COMPUTED_VALUE"""),0.627)</f>
        <v>0.627</v>
      </c>
      <c r="J170" s="35">
        <f>IFERROR(__xludf.DUMMYFUNCTION("""COMPUTED_VALUE"""),169.0)</f>
        <v>169</v>
      </c>
      <c r="K170" s="35" t="b">
        <f>IFERROR(__xludf.DUMMYFUNCTION("""COMPUTED_VALUE"""),FALSE)</f>
        <v>0</v>
      </c>
      <c r="L170" s="35" t="str">
        <f>IFERROR(__xludf.DUMMYFUNCTION("""COMPUTED_VALUE"""),"Array;Hash Table;Divide and Conquer;Sorting;Counting;")</f>
        <v>Array;Hash Table;Divide and Conquer;Sorting;Counting;</v>
      </c>
      <c r="M170" s="35" t="b">
        <f>IFERROR(__xludf.DUMMYFUNCTION("""COMPUTED_VALUE"""),TRUE)</f>
        <v>1</v>
      </c>
      <c r="N170" s="35" t="b">
        <f>IFERROR(__xludf.DUMMYFUNCTION("""COMPUTED_VALUE"""),FALSE)</f>
        <v>0</v>
      </c>
      <c r="O170" s="35">
        <f>IFERROR(__xludf.DUMMYFUNCTION("""COMPUTED_VALUE"""),62.6755448855058)</f>
        <v>62.67554489</v>
      </c>
      <c r="P170" s="35">
        <f>IFERROR(__xludf.DUMMYFUNCTION("""COMPUTED_VALUE"""),1163296.0)</f>
        <v>1163296</v>
      </c>
      <c r="Q170" s="35">
        <f>IFERROR(__xludf.DUMMYFUNCTION("""COMPUTED_VALUE"""),1856061.0)</f>
        <v>1856061</v>
      </c>
    </row>
    <row r="171">
      <c r="A171" s="35">
        <f>IFERROR(__xludf.DUMMYFUNCTION("""COMPUTED_VALUE"""),170.0)</f>
        <v>170</v>
      </c>
      <c r="B171" s="35" t="str">
        <f>IFERROR(__xludf.DUMMYFUNCTION("""COMPUTED_VALUE"""),"Two Sum III - Data structure design")</f>
        <v>Two Sum III - Data structure design</v>
      </c>
      <c r="C171" s="35" t="str">
        <f>IFERROR(__xludf.DUMMYFUNCTION("""COMPUTED_VALUE"""),"two-sum-iii-data-structure-design")</f>
        <v>two-sum-iii-data-structure-design</v>
      </c>
      <c r="D171" s="35" t="b">
        <f>IFERROR(__xludf.DUMMYFUNCTION("""COMPUTED_VALUE"""),TRUE)</f>
        <v>1</v>
      </c>
      <c r="E171" s="35" t="str">
        <f>IFERROR(__xludf.DUMMYFUNCTION("""COMPUTED_VALUE"""),"Easy")</f>
        <v>Easy</v>
      </c>
      <c r="F171" s="35">
        <f>IFERROR(__xludf.DUMMYFUNCTION("""COMPUTED_VALUE"""),514.0)</f>
        <v>514</v>
      </c>
      <c r="G171" s="35">
        <f>IFERROR(__xludf.DUMMYFUNCTION("""COMPUTED_VALUE"""),361.0)</f>
        <v>361</v>
      </c>
      <c r="H171" s="35" t="str">
        <f>IFERROR(__xludf.DUMMYFUNCTION("""COMPUTED_VALUE"""),"Algorithms")</f>
        <v>Algorithms</v>
      </c>
      <c r="I171" s="35">
        <f>IFERROR(__xludf.DUMMYFUNCTION("""COMPUTED_VALUE"""),0.366)</f>
        <v>0.366</v>
      </c>
      <c r="J171" s="35">
        <f>IFERROR(__xludf.DUMMYFUNCTION("""COMPUTED_VALUE"""),170.0)</f>
        <v>170</v>
      </c>
      <c r="K171" s="35" t="b">
        <f>IFERROR(__xludf.DUMMYFUNCTION("""COMPUTED_VALUE"""),TRUE)</f>
        <v>1</v>
      </c>
      <c r="L171" s="35" t="str">
        <f>IFERROR(__xludf.DUMMYFUNCTION("""COMPUTED_VALUE"""),"Array;Hash Table;Two Pointers;Design;Data Stream;")</f>
        <v>Array;Hash Table;Two Pointers;Design;Data Stream;</v>
      </c>
      <c r="M171" s="35" t="b">
        <f>IFERROR(__xludf.DUMMYFUNCTION("""COMPUTED_VALUE"""),TRUE)</f>
        <v>1</v>
      </c>
      <c r="N171" s="35" t="b">
        <f>IFERROR(__xludf.DUMMYFUNCTION("""COMPUTED_VALUE"""),FALSE)</f>
        <v>0</v>
      </c>
      <c r="O171" s="35">
        <f>IFERROR(__xludf.DUMMYFUNCTION("""COMPUTED_VALUE"""),36.5572490436298)</f>
        <v>36.55724904</v>
      </c>
      <c r="P171" s="35">
        <f>IFERROR(__xludf.DUMMYFUNCTION("""COMPUTED_VALUE"""),120786.0)</f>
        <v>120786</v>
      </c>
      <c r="Q171" s="35">
        <f>IFERROR(__xludf.DUMMYFUNCTION("""COMPUTED_VALUE"""),330411.0)</f>
        <v>330411</v>
      </c>
    </row>
    <row r="172">
      <c r="A172" s="35">
        <f>IFERROR(__xludf.DUMMYFUNCTION("""COMPUTED_VALUE"""),171.0)</f>
        <v>171</v>
      </c>
      <c r="B172" s="35" t="str">
        <f>IFERROR(__xludf.DUMMYFUNCTION("""COMPUTED_VALUE"""),"Excel Sheet Column Number")</f>
        <v>Excel Sheet Column Number</v>
      </c>
      <c r="C172" s="35" t="str">
        <f>IFERROR(__xludf.DUMMYFUNCTION("""COMPUTED_VALUE"""),"excel-sheet-column-number")</f>
        <v>excel-sheet-column-number</v>
      </c>
      <c r="D172" s="35" t="b">
        <f>IFERROR(__xludf.DUMMYFUNCTION("""COMPUTED_VALUE"""),FALSE)</f>
        <v>0</v>
      </c>
      <c r="E172" s="35" t="str">
        <f>IFERROR(__xludf.DUMMYFUNCTION("""COMPUTED_VALUE"""),"Easy")</f>
        <v>Easy</v>
      </c>
      <c r="F172" s="35">
        <f>IFERROR(__xludf.DUMMYFUNCTION("""COMPUTED_VALUE"""),3141.0)</f>
        <v>3141</v>
      </c>
      <c r="G172" s="35">
        <f>IFERROR(__xludf.DUMMYFUNCTION("""COMPUTED_VALUE"""),263.0)</f>
        <v>263</v>
      </c>
      <c r="H172" s="35" t="str">
        <f>IFERROR(__xludf.DUMMYFUNCTION("""COMPUTED_VALUE"""),"Algorithms")</f>
        <v>Algorithms</v>
      </c>
      <c r="I172" s="35">
        <f>IFERROR(__xludf.DUMMYFUNCTION("""COMPUTED_VALUE"""),0.605)</f>
        <v>0.605</v>
      </c>
      <c r="J172" s="35">
        <f>IFERROR(__xludf.DUMMYFUNCTION("""COMPUTED_VALUE"""),171.0)</f>
        <v>171</v>
      </c>
      <c r="K172" s="35" t="b">
        <f>IFERROR(__xludf.DUMMYFUNCTION("""COMPUTED_VALUE"""),FALSE)</f>
        <v>0</v>
      </c>
      <c r="L172" s="35" t="str">
        <f>IFERROR(__xludf.DUMMYFUNCTION("""COMPUTED_VALUE"""),"Math;String;")</f>
        <v>Math;String;</v>
      </c>
      <c r="M172" s="35" t="b">
        <f>IFERROR(__xludf.DUMMYFUNCTION("""COMPUTED_VALUE"""),TRUE)</f>
        <v>1</v>
      </c>
      <c r="N172" s="35" t="b">
        <f>IFERROR(__xludf.DUMMYFUNCTION("""COMPUTED_VALUE"""),FALSE)</f>
        <v>0</v>
      </c>
      <c r="O172" s="35">
        <f>IFERROR(__xludf.DUMMYFUNCTION("""COMPUTED_VALUE"""),60.4505200122151)</f>
        <v>60.45052001</v>
      </c>
      <c r="P172" s="35">
        <f>IFERROR(__xludf.DUMMYFUNCTION("""COMPUTED_VALUE"""),486964.0)</f>
        <v>486964</v>
      </c>
      <c r="Q172" s="35">
        <f>IFERROR(__xludf.DUMMYFUNCTION("""COMPUTED_VALUE"""),805558.0)</f>
        <v>805558</v>
      </c>
    </row>
    <row r="173">
      <c r="A173" s="35">
        <f>IFERROR(__xludf.DUMMYFUNCTION("""COMPUTED_VALUE"""),172.0)</f>
        <v>172</v>
      </c>
      <c r="B173" s="35" t="str">
        <f>IFERROR(__xludf.DUMMYFUNCTION("""COMPUTED_VALUE"""),"Factorial Trailing Zeroes")</f>
        <v>Factorial Trailing Zeroes</v>
      </c>
      <c r="C173" s="35" t="str">
        <f>IFERROR(__xludf.DUMMYFUNCTION("""COMPUTED_VALUE"""),"factorial-trailing-zeroes")</f>
        <v>factorial-trailing-zeroes</v>
      </c>
      <c r="D173" s="35" t="b">
        <f>IFERROR(__xludf.DUMMYFUNCTION("""COMPUTED_VALUE"""),FALSE)</f>
        <v>0</v>
      </c>
      <c r="E173" s="35" t="str">
        <f>IFERROR(__xludf.DUMMYFUNCTION("""COMPUTED_VALUE"""),"Medium")</f>
        <v>Medium</v>
      </c>
      <c r="F173" s="35">
        <f>IFERROR(__xludf.DUMMYFUNCTION("""COMPUTED_VALUE"""),1896.0)</f>
        <v>1896</v>
      </c>
      <c r="G173" s="35">
        <f>IFERROR(__xludf.DUMMYFUNCTION("""COMPUTED_VALUE"""),1639.0)</f>
        <v>1639</v>
      </c>
      <c r="H173" s="35" t="str">
        <f>IFERROR(__xludf.DUMMYFUNCTION("""COMPUTED_VALUE"""),"Algorithms")</f>
        <v>Algorithms</v>
      </c>
      <c r="I173" s="35">
        <f>IFERROR(__xludf.DUMMYFUNCTION("""COMPUTED_VALUE"""),0.406)</f>
        <v>0.406</v>
      </c>
      <c r="J173" s="35">
        <f>IFERROR(__xludf.DUMMYFUNCTION("""COMPUTED_VALUE"""),172.0)</f>
        <v>172</v>
      </c>
      <c r="K173" s="35" t="b">
        <f>IFERROR(__xludf.DUMMYFUNCTION("""COMPUTED_VALUE"""),FALSE)</f>
        <v>0</v>
      </c>
      <c r="L173" s="35" t="str">
        <f>IFERROR(__xludf.DUMMYFUNCTION("""COMPUTED_VALUE"""),"Math;")</f>
        <v>Math;</v>
      </c>
      <c r="M173" s="35" t="b">
        <f>IFERROR(__xludf.DUMMYFUNCTION("""COMPUTED_VALUE"""),TRUE)</f>
        <v>1</v>
      </c>
      <c r="N173" s="35" t="b">
        <f>IFERROR(__xludf.DUMMYFUNCTION("""COMPUTED_VALUE"""),FALSE)</f>
        <v>0</v>
      </c>
      <c r="O173" s="35">
        <f>IFERROR(__xludf.DUMMYFUNCTION("""COMPUTED_VALUE"""),40.5573226876569)</f>
        <v>40.55732269</v>
      </c>
      <c r="P173" s="35">
        <f>IFERROR(__xludf.DUMMYFUNCTION("""COMPUTED_VALUE"""),308942.0)</f>
        <v>308942</v>
      </c>
      <c r="Q173" s="35">
        <f>IFERROR(__xludf.DUMMYFUNCTION("""COMPUTED_VALUE"""),761739.0)</f>
        <v>761739</v>
      </c>
    </row>
    <row r="174">
      <c r="A174" s="35">
        <f>IFERROR(__xludf.DUMMYFUNCTION("""COMPUTED_VALUE"""),173.0)</f>
        <v>173</v>
      </c>
      <c r="B174" s="35" t="str">
        <f>IFERROR(__xludf.DUMMYFUNCTION("""COMPUTED_VALUE"""),"Binary Search Tree Iterator")</f>
        <v>Binary Search Tree Iterator</v>
      </c>
      <c r="C174" s="35" t="str">
        <f>IFERROR(__xludf.DUMMYFUNCTION("""COMPUTED_VALUE"""),"binary-search-tree-iterator")</f>
        <v>binary-search-tree-iterator</v>
      </c>
      <c r="D174" s="35" t="b">
        <f>IFERROR(__xludf.DUMMYFUNCTION("""COMPUTED_VALUE"""),FALSE)</f>
        <v>0</v>
      </c>
      <c r="E174" s="35" t="str">
        <f>IFERROR(__xludf.DUMMYFUNCTION("""COMPUTED_VALUE"""),"Medium")</f>
        <v>Medium</v>
      </c>
      <c r="F174" s="35">
        <f>IFERROR(__xludf.DUMMYFUNCTION("""COMPUTED_VALUE"""),5013.0)</f>
        <v>5013</v>
      </c>
      <c r="G174" s="35">
        <f>IFERROR(__xludf.DUMMYFUNCTION("""COMPUTED_VALUE"""),360.0)</f>
        <v>360</v>
      </c>
      <c r="H174" s="35" t="str">
        <f>IFERROR(__xludf.DUMMYFUNCTION("""COMPUTED_VALUE"""),"Algorithms")</f>
        <v>Algorithms</v>
      </c>
      <c r="I174" s="35">
        <f>IFERROR(__xludf.DUMMYFUNCTION("""COMPUTED_VALUE"""),0.652)</f>
        <v>0.652</v>
      </c>
      <c r="J174" s="35">
        <f>IFERROR(__xludf.DUMMYFUNCTION("""COMPUTED_VALUE"""),173.0)</f>
        <v>173</v>
      </c>
      <c r="K174" s="35" t="b">
        <f>IFERROR(__xludf.DUMMYFUNCTION("""COMPUTED_VALUE"""),FALSE)</f>
        <v>0</v>
      </c>
      <c r="L174" s="35" t="str">
        <f>IFERROR(__xludf.DUMMYFUNCTION("""COMPUTED_VALUE"""),"Stack;Tree;Design;Binary Search Tree;Binary Tree;Iterator;")</f>
        <v>Stack;Tree;Design;Binary Search Tree;Binary Tree;Iterator;</v>
      </c>
      <c r="M174" s="35" t="b">
        <f>IFERROR(__xludf.DUMMYFUNCTION("""COMPUTED_VALUE"""),TRUE)</f>
        <v>1</v>
      </c>
      <c r="N174" s="35" t="b">
        <f>IFERROR(__xludf.DUMMYFUNCTION("""COMPUTED_VALUE"""),FALSE)</f>
        <v>0</v>
      </c>
      <c r="O174" s="35">
        <f>IFERROR(__xludf.DUMMYFUNCTION("""COMPUTED_VALUE"""),65.1701025861617)</f>
        <v>65.17010259</v>
      </c>
      <c r="P174" s="35">
        <f>IFERROR(__xludf.DUMMYFUNCTION("""COMPUTED_VALUE"""),510563.0)</f>
        <v>510563</v>
      </c>
      <c r="Q174" s="35">
        <f>IFERROR(__xludf.DUMMYFUNCTION("""COMPUTED_VALUE"""),783432.0)</f>
        <v>783432</v>
      </c>
    </row>
    <row r="175">
      <c r="A175" s="35">
        <f>IFERROR(__xludf.DUMMYFUNCTION("""COMPUTED_VALUE"""),174.0)</f>
        <v>174</v>
      </c>
      <c r="B175" s="35" t="str">
        <f>IFERROR(__xludf.DUMMYFUNCTION("""COMPUTED_VALUE"""),"Dungeon Game")</f>
        <v>Dungeon Game</v>
      </c>
      <c r="C175" s="35" t="str">
        <f>IFERROR(__xludf.DUMMYFUNCTION("""COMPUTED_VALUE"""),"dungeon-game")</f>
        <v>dungeon-game</v>
      </c>
      <c r="D175" s="35" t="b">
        <f>IFERROR(__xludf.DUMMYFUNCTION("""COMPUTED_VALUE"""),FALSE)</f>
        <v>0</v>
      </c>
      <c r="E175" s="35" t="str">
        <f>IFERROR(__xludf.DUMMYFUNCTION("""COMPUTED_VALUE"""),"Hard")</f>
        <v>Hard</v>
      </c>
      <c r="F175" s="35">
        <f>IFERROR(__xludf.DUMMYFUNCTION("""COMPUTED_VALUE"""),3857.0)</f>
        <v>3857</v>
      </c>
      <c r="G175" s="35">
        <f>IFERROR(__xludf.DUMMYFUNCTION("""COMPUTED_VALUE"""),81.0)</f>
        <v>81</v>
      </c>
      <c r="H175" s="35" t="str">
        <f>IFERROR(__xludf.DUMMYFUNCTION("""COMPUTED_VALUE"""),"Algorithms")</f>
        <v>Algorithms</v>
      </c>
      <c r="I175" s="35">
        <f>IFERROR(__xludf.DUMMYFUNCTION("""COMPUTED_VALUE"""),0.363)</f>
        <v>0.363</v>
      </c>
      <c r="J175" s="35">
        <f>IFERROR(__xludf.DUMMYFUNCTION("""COMPUTED_VALUE"""),174.0)</f>
        <v>174</v>
      </c>
      <c r="K175" s="35" t="b">
        <f>IFERROR(__xludf.DUMMYFUNCTION("""COMPUTED_VALUE"""),FALSE)</f>
        <v>0</v>
      </c>
      <c r="L175" s="35" t="str">
        <f>IFERROR(__xludf.DUMMYFUNCTION("""COMPUTED_VALUE"""),"Array;Dynamic Programming;Matrix;")</f>
        <v>Array;Dynamic Programming;Matrix;</v>
      </c>
      <c r="M175" s="35" t="b">
        <f>IFERROR(__xludf.DUMMYFUNCTION("""COMPUTED_VALUE"""),TRUE)</f>
        <v>1</v>
      </c>
      <c r="N175" s="35" t="b">
        <f>IFERROR(__xludf.DUMMYFUNCTION("""COMPUTED_VALUE"""),FALSE)</f>
        <v>0</v>
      </c>
      <c r="O175" s="35">
        <f>IFERROR(__xludf.DUMMYFUNCTION("""COMPUTED_VALUE"""),36.2741918280543)</f>
        <v>36.27419183</v>
      </c>
      <c r="P175" s="35">
        <f>IFERROR(__xludf.DUMMYFUNCTION("""COMPUTED_VALUE"""),166639.0)</f>
        <v>166639</v>
      </c>
      <c r="Q175" s="35">
        <f>IFERROR(__xludf.DUMMYFUNCTION("""COMPUTED_VALUE"""),459384.0)</f>
        <v>459384</v>
      </c>
    </row>
    <row r="176">
      <c r="A176" s="35">
        <f>IFERROR(__xludf.DUMMYFUNCTION("""COMPUTED_VALUE"""),175.0)</f>
        <v>175</v>
      </c>
      <c r="B176" s="35" t="str">
        <f>IFERROR(__xludf.DUMMYFUNCTION("""COMPUTED_VALUE"""),"Combine Two Tables")</f>
        <v>Combine Two Tables</v>
      </c>
      <c r="C176" s="35" t="str">
        <f>IFERROR(__xludf.DUMMYFUNCTION("""COMPUTED_VALUE"""),"combine-two-tables")</f>
        <v>combine-two-tables</v>
      </c>
      <c r="D176" s="35" t="b">
        <f>IFERROR(__xludf.DUMMYFUNCTION("""COMPUTED_VALUE"""),FALSE)</f>
        <v>0</v>
      </c>
      <c r="E176" s="35" t="str">
        <f>IFERROR(__xludf.DUMMYFUNCTION("""COMPUTED_VALUE"""),"Easy")</f>
        <v>Easy</v>
      </c>
      <c r="F176" s="35">
        <f>IFERROR(__xludf.DUMMYFUNCTION("""COMPUTED_VALUE"""),1790.0)</f>
        <v>1790</v>
      </c>
      <c r="G176" s="35">
        <f>IFERROR(__xludf.DUMMYFUNCTION("""COMPUTED_VALUE"""),183.0)</f>
        <v>183</v>
      </c>
      <c r="H176" s="35" t="str">
        <f>IFERROR(__xludf.DUMMYFUNCTION("""COMPUTED_VALUE"""),"Database")</f>
        <v>Database</v>
      </c>
      <c r="I176" s="35">
        <f>IFERROR(__xludf.DUMMYFUNCTION("""COMPUTED_VALUE"""),0.695)</f>
        <v>0.695</v>
      </c>
      <c r="J176" s="35">
        <f>IFERROR(__xludf.DUMMYFUNCTION("""COMPUTED_VALUE"""),175.0)</f>
        <v>175</v>
      </c>
      <c r="K176" s="35" t="b">
        <f>IFERROR(__xludf.DUMMYFUNCTION("""COMPUTED_VALUE"""),FALSE)</f>
        <v>0</v>
      </c>
      <c r="L176" s="35" t="str">
        <f>IFERROR(__xludf.DUMMYFUNCTION("""COMPUTED_VALUE"""),"Database;")</f>
        <v>Database;</v>
      </c>
      <c r="M176" s="35" t="b">
        <f>IFERROR(__xludf.DUMMYFUNCTION("""COMPUTED_VALUE"""),TRUE)</f>
        <v>1</v>
      </c>
      <c r="N176" s="35" t="b">
        <f>IFERROR(__xludf.DUMMYFUNCTION("""COMPUTED_VALUE"""),FALSE)</f>
        <v>0</v>
      </c>
      <c r="O176" s="35">
        <f>IFERROR(__xludf.DUMMYFUNCTION("""COMPUTED_VALUE"""),69.4521896807213)</f>
        <v>69.45218968</v>
      </c>
      <c r="P176" s="35">
        <f>IFERROR(__xludf.DUMMYFUNCTION("""COMPUTED_VALUE"""),502896.0)</f>
        <v>502896</v>
      </c>
      <c r="Q176" s="35">
        <f>IFERROR(__xludf.DUMMYFUNCTION("""COMPUTED_VALUE"""),724092.0)</f>
        <v>724092</v>
      </c>
    </row>
    <row r="177">
      <c r="A177" s="35">
        <f>IFERROR(__xludf.DUMMYFUNCTION("""COMPUTED_VALUE"""),176.0)</f>
        <v>176</v>
      </c>
      <c r="B177" s="35" t="str">
        <f>IFERROR(__xludf.DUMMYFUNCTION("""COMPUTED_VALUE"""),"Second Highest Salary")</f>
        <v>Second Highest Salary</v>
      </c>
      <c r="C177" s="35" t="str">
        <f>IFERROR(__xludf.DUMMYFUNCTION("""COMPUTED_VALUE"""),"second-highest-salary")</f>
        <v>second-highest-salary</v>
      </c>
      <c r="D177" s="35" t="b">
        <f>IFERROR(__xludf.DUMMYFUNCTION("""COMPUTED_VALUE"""),FALSE)</f>
        <v>0</v>
      </c>
      <c r="E177" s="35" t="str">
        <f>IFERROR(__xludf.DUMMYFUNCTION("""COMPUTED_VALUE"""),"Medium")</f>
        <v>Medium</v>
      </c>
      <c r="F177" s="35">
        <f>IFERROR(__xludf.DUMMYFUNCTION("""COMPUTED_VALUE"""),1691.0)</f>
        <v>1691</v>
      </c>
      <c r="G177" s="35">
        <f>IFERROR(__xludf.DUMMYFUNCTION("""COMPUTED_VALUE"""),687.0)</f>
        <v>687</v>
      </c>
      <c r="H177" s="35" t="str">
        <f>IFERROR(__xludf.DUMMYFUNCTION("""COMPUTED_VALUE"""),"Database")</f>
        <v>Database</v>
      </c>
      <c r="I177" s="35">
        <f>IFERROR(__xludf.DUMMYFUNCTION("""COMPUTED_VALUE"""),0.351)</f>
        <v>0.351</v>
      </c>
      <c r="J177" s="35">
        <f>IFERROR(__xludf.DUMMYFUNCTION("""COMPUTED_VALUE"""),176.0)</f>
        <v>176</v>
      </c>
      <c r="K177" s="35" t="b">
        <f>IFERROR(__xludf.DUMMYFUNCTION("""COMPUTED_VALUE"""),FALSE)</f>
        <v>0</v>
      </c>
      <c r="L177" s="35" t="str">
        <f>IFERROR(__xludf.DUMMYFUNCTION("""COMPUTED_VALUE"""),"Database;")</f>
        <v>Database;</v>
      </c>
      <c r="M177" s="35" t="b">
        <f>IFERROR(__xludf.DUMMYFUNCTION("""COMPUTED_VALUE"""),TRUE)</f>
        <v>1</v>
      </c>
      <c r="N177" s="35" t="b">
        <f>IFERROR(__xludf.DUMMYFUNCTION("""COMPUTED_VALUE"""),FALSE)</f>
        <v>0</v>
      </c>
      <c r="O177" s="35">
        <f>IFERROR(__xludf.DUMMYFUNCTION("""COMPUTED_VALUE"""),35.0701950201801)</f>
        <v>35.07019502</v>
      </c>
      <c r="P177" s="35">
        <f>IFERROR(__xludf.DUMMYFUNCTION("""COMPUTED_VALUE"""),446801.0)</f>
        <v>446801</v>
      </c>
      <c r="Q177" s="35">
        <f>IFERROR(__xludf.DUMMYFUNCTION("""COMPUTED_VALUE"""),1274018.0)</f>
        <v>1274018</v>
      </c>
    </row>
    <row r="178">
      <c r="A178" s="35">
        <f>IFERROR(__xludf.DUMMYFUNCTION("""COMPUTED_VALUE"""),177.0)</f>
        <v>177</v>
      </c>
      <c r="B178" s="35" t="str">
        <f>IFERROR(__xludf.DUMMYFUNCTION("""COMPUTED_VALUE"""),"Nth Highest Salary")</f>
        <v>Nth Highest Salary</v>
      </c>
      <c r="C178" s="35" t="str">
        <f>IFERROR(__xludf.DUMMYFUNCTION("""COMPUTED_VALUE"""),"nth-highest-salary")</f>
        <v>nth-highest-salary</v>
      </c>
      <c r="D178" s="35" t="b">
        <f>IFERROR(__xludf.DUMMYFUNCTION("""COMPUTED_VALUE"""),FALSE)</f>
        <v>0</v>
      </c>
      <c r="E178" s="35" t="str">
        <f>IFERROR(__xludf.DUMMYFUNCTION("""COMPUTED_VALUE"""),"Medium")</f>
        <v>Medium</v>
      </c>
      <c r="F178" s="35">
        <f>IFERROR(__xludf.DUMMYFUNCTION("""COMPUTED_VALUE"""),979.0)</f>
        <v>979</v>
      </c>
      <c r="G178" s="35">
        <f>IFERROR(__xludf.DUMMYFUNCTION("""COMPUTED_VALUE"""),630.0)</f>
        <v>630</v>
      </c>
      <c r="H178" s="35" t="str">
        <f>IFERROR(__xludf.DUMMYFUNCTION("""COMPUTED_VALUE"""),"Database")</f>
        <v>Database</v>
      </c>
      <c r="I178" s="35">
        <f>IFERROR(__xludf.DUMMYFUNCTION("""COMPUTED_VALUE"""),0.358)</f>
        <v>0.358</v>
      </c>
      <c r="J178" s="35">
        <f>IFERROR(__xludf.DUMMYFUNCTION("""COMPUTED_VALUE"""),177.0)</f>
        <v>177</v>
      </c>
      <c r="K178" s="35" t="b">
        <f>IFERROR(__xludf.DUMMYFUNCTION("""COMPUTED_VALUE"""),FALSE)</f>
        <v>0</v>
      </c>
      <c r="L178" s="35" t="str">
        <f>IFERROR(__xludf.DUMMYFUNCTION("""COMPUTED_VALUE"""),"Database;")</f>
        <v>Database;</v>
      </c>
      <c r="M178" s="35" t="b">
        <f>IFERROR(__xludf.DUMMYFUNCTION("""COMPUTED_VALUE"""),FALSE)</f>
        <v>0</v>
      </c>
      <c r="N178" s="35" t="b">
        <f>IFERROR(__xludf.DUMMYFUNCTION("""COMPUTED_VALUE"""),FALSE)</f>
        <v>0</v>
      </c>
      <c r="O178" s="35">
        <f>IFERROR(__xludf.DUMMYFUNCTION("""COMPUTED_VALUE"""),35.8212657954079)</f>
        <v>35.8212658</v>
      </c>
      <c r="P178" s="35">
        <f>IFERROR(__xludf.DUMMYFUNCTION("""COMPUTED_VALUE"""),225249.0)</f>
        <v>225249</v>
      </c>
      <c r="Q178" s="35">
        <f>IFERROR(__xludf.DUMMYFUNCTION("""COMPUTED_VALUE"""),628817.0)</f>
        <v>628817</v>
      </c>
    </row>
    <row r="179">
      <c r="A179" s="35">
        <f>IFERROR(__xludf.DUMMYFUNCTION("""COMPUTED_VALUE"""),178.0)</f>
        <v>178</v>
      </c>
      <c r="B179" s="35" t="str">
        <f>IFERROR(__xludf.DUMMYFUNCTION("""COMPUTED_VALUE"""),"Rank Scores")</f>
        <v>Rank Scores</v>
      </c>
      <c r="C179" s="35" t="str">
        <f>IFERROR(__xludf.DUMMYFUNCTION("""COMPUTED_VALUE"""),"rank-scores")</f>
        <v>rank-scores</v>
      </c>
      <c r="D179" s="35" t="b">
        <f>IFERROR(__xludf.DUMMYFUNCTION("""COMPUTED_VALUE"""),FALSE)</f>
        <v>0</v>
      </c>
      <c r="E179" s="35" t="str">
        <f>IFERROR(__xludf.DUMMYFUNCTION("""COMPUTED_VALUE"""),"Medium")</f>
        <v>Medium</v>
      </c>
      <c r="F179" s="35">
        <f>IFERROR(__xludf.DUMMYFUNCTION("""COMPUTED_VALUE"""),1239.0)</f>
        <v>1239</v>
      </c>
      <c r="G179" s="35">
        <f>IFERROR(__xludf.DUMMYFUNCTION("""COMPUTED_VALUE"""),200.0)</f>
        <v>200</v>
      </c>
      <c r="H179" s="35" t="str">
        <f>IFERROR(__xludf.DUMMYFUNCTION("""COMPUTED_VALUE"""),"Database")</f>
        <v>Database</v>
      </c>
      <c r="I179" s="35">
        <f>IFERROR(__xludf.DUMMYFUNCTION("""COMPUTED_VALUE"""),0.567)</f>
        <v>0.567</v>
      </c>
      <c r="J179" s="35">
        <f>IFERROR(__xludf.DUMMYFUNCTION("""COMPUTED_VALUE"""),178.0)</f>
        <v>178</v>
      </c>
      <c r="K179" s="35" t="b">
        <f>IFERROR(__xludf.DUMMYFUNCTION("""COMPUTED_VALUE"""),FALSE)</f>
        <v>0</v>
      </c>
      <c r="L179" s="35" t="str">
        <f>IFERROR(__xludf.DUMMYFUNCTION("""COMPUTED_VALUE"""),"Database;")</f>
        <v>Database;</v>
      </c>
      <c r="M179" s="35" t="b">
        <f>IFERROR(__xludf.DUMMYFUNCTION("""COMPUTED_VALUE"""),FALSE)</f>
        <v>0</v>
      </c>
      <c r="N179" s="35" t="b">
        <f>IFERROR(__xludf.DUMMYFUNCTION("""COMPUTED_VALUE"""),FALSE)</f>
        <v>0</v>
      </c>
      <c r="O179" s="35">
        <f>IFERROR(__xludf.DUMMYFUNCTION("""COMPUTED_VALUE"""),56.7218386758717)</f>
        <v>56.72183868</v>
      </c>
      <c r="P179" s="35">
        <f>IFERROR(__xludf.DUMMYFUNCTION("""COMPUTED_VALUE"""),212710.0)</f>
        <v>212710</v>
      </c>
      <c r="Q179" s="35">
        <f>IFERROR(__xludf.DUMMYFUNCTION("""COMPUTED_VALUE"""),375007.0)</f>
        <v>375007</v>
      </c>
    </row>
    <row r="180">
      <c r="A180" s="35">
        <f>IFERROR(__xludf.DUMMYFUNCTION("""COMPUTED_VALUE"""),179.0)</f>
        <v>179</v>
      </c>
      <c r="B180" s="35" t="str">
        <f>IFERROR(__xludf.DUMMYFUNCTION("""COMPUTED_VALUE"""),"Largest Number")</f>
        <v>Largest Number</v>
      </c>
      <c r="C180" s="35" t="str">
        <f>IFERROR(__xludf.DUMMYFUNCTION("""COMPUTED_VALUE"""),"largest-number")</f>
        <v>largest-number</v>
      </c>
      <c r="D180" s="35" t="b">
        <f>IFERROR(__xludf.DUMMYFUNCTION("""COMPUTED_VALUE"""),FALSE)</f>
        <v>0</v>
      </c>
      <c r="E180" s="35" t="str">
        <f>IFERROR(__xludf.DUMMYFUNCTION("""COMPUTED_VALUE"""),"Medium")</f>
        <v>Medium</v>
      </c>
      <c r="F180" s="35">
        <f>IFERROR(__xludf.DUMMYFUNCTION("""COMPUTED_VALUE"""),4588.0)</f>
        <v>4588</v>
      </c>
      <c r="G180" s="35">
        <f>IFERROR(__xludf.DUMMYFUNCTION("""COMPUTED_VALUE"""),392.0)</f>
        <v>392</v>
      </c>
      <c r="H180" s="35" t="str">
        <f>IFERROR(__xludf.DUMMYFUNCTION("""COMPUTED_VALUE"""),"Algorithms")</f>
        <v>Algorithms</v>
      </c>
      <c r="I180" s="35">
        <f>IFERROR(__xludf.DUMMYFUNCTION("""COMPUTED_VALUE"""),0.326)</f>
        <v>0.326</v>
      </c>
      <c r="J180" s="35">
        <f>IFERROR(__xludf.DUMMYFUNCTION("""COMPUTED_VALUE"""),179.0)</f>
        <v>179</v>
      </c>
      <c r="K180" s="35" t="b">
        <f>IFERROR(__xludf.DUMMYFUNCTION("""COMPUTED_VALUE"""),FALSE)</f>
        <v>0</v>
      </c>
      <c r="L180" s="35" t="str">
        <f>IFERROR(__xludf.DUMMYFUNCTION("""COMPUTED_VALUE"""),"String;Greedy;Sorting;")</f>
        <v>String;Greedy;Sorting;</v>
      </c>
      <c r="M180" s="35" t="b">
        <f>IFERROR(__xludf.DUMMYFUNCTION("""COMPUTED_VALUE"""),TRUE)</f>
        <v>1</v>
      </c>
      <c r="N180" s="35" t="b">
        <f>IFERROR(__xludf.DUMMYFUNCTION("""COMPUTED_VALUE"""),FALSE)</f>
        <v>0</v>
      </c>
      <c r="O180" s="35">
        <f>IFERROR(__xludf.DUMMYFUNCTION("""COMPUTED_VALUE"""),32.6503127430749)</f>
        <v>32.65031274</v>
      </c>
      <c r="P180" s="35">
        <f>IFERROR(__xludf.DUMMYFUNCTION("""COMPUTED_VALUE"""),304734.0)</f>
        <v>304734</v>
      </c>
      <c r="Q180" s="35">
        <f>IFERROR(__xludf.DUMMYFUNCTION("""COMPUTED_VALUE"""),933341.0)</f>
        <v>933341</v>
      </c>
    </row>
    <row r="181">
      <c r="A181" s="35">
        <f>IFERROR(__xludf.DUMMYFUNCTION("""COMPUTED_VALUE"""),180.0)</f>
        <v>180</v>
      </c>
      <c r="B181" s="35" t="str">
        <f>IFERROR(__xludf.DUMMYFUNCTION("""COMPUTED_VALUE"""),"Consecutive Numbers")</f>
        <v>Consecutive Numbers</v>
      </c>
      <c r="C181" s="35" t="str">
        <f>IFERROR(__xludf.DUMMYFUNCTION("""COMPUTED_VALUE"""),"consecutive-numbers")</f>
        <v>consecutive-numbers</v>
      </c>
      <c r="D181" s="35" t="b">
        <f>IFERROR(__xludf.DUMMYFUNCTION("""COMPUTED_VALUE"""),FALSE)</f>
        <v>0</v>
      </c>
      <c r="E181" s="35" t="str">
        <f>IFERROR(__xludf.DUMMYFUNCTION("""COMPUTED_VALUE"""),"Medium")</f>
        <v>Medium</v>
      </c>
      <c r="F181" s="35">
        <f>IFERROR(__xludf.DUMMYFUNCTION("""COMPUTED_VALUE"""),915.0)</f>
        <v>915</v>
      </c>
      <c r="G181" s="35">
        <f>IFERROR(__xludf.DUMMYFUNCTION("""COMPUTED_VALUE"""),179.0)</f>
        <v>179</v>
      </c>
      <c r="H181" s="35" t="str">
        <f>IFERROR(__xludf.DUMMYFUNCTION("""COMPUTED_VALUE"""),"Database")</f>
        <v>Database</v>
      </c>
      <c r="I181" s="35">
        <f>IFERROR(__xludf.DUMMYFUNCTION("""COMPUTED_VALUE"""),0.453)</f>
        <v>0.453</v>
      </c>
      <c r="J181" s="35">
        <f>IFERROR(__xludf.DUMMYFUNCTION("""COMPUTED_VALUE"""),180.0)</f>
        <v>180</v>
      </c>
      <c r="K181" s="35" t="b">
        <f>IFERROR(__xludf.DUMMYFUNCTION("""COMPUTED_VALUE"""),FALSE)</f>
        <v>0</v>
      </c>
      <c r="L181" s="35" t="str">
        <f>IFERROR(__xludf.DUMMYFUNCTION("""COMPUTED_VALUE"""),"Database;")</f>
        <v>Database;</v>
      </c>
      <c r="M181" s="35" t="b">
        <f>IFERROR(__xludf.DUMMYFUNCTION("""COMPUTED_VALUE"""),TRUE)</f>
        <v>1</v>
      </c>
      <c r="N181" s="35" t="b">
        <f>IFERROR(__xludf.DUMMYFUNCTION("""COMPUTED_VALUE"""),FALSE)</f>
        <v>0</v>
      </c>
      <c r="O181" s="35">
        <f>IFERROR(__xludf.DUMMYFUNCTION("""COMPUTED_VALUE"""),45.3315414923185)</f>
        <v>45.33154149</v>
      </c>
      <c r="P181" s="35">
        <f>IFERROR(__xludf.DUMMYFUNCTION("""COMPUTED_VALUE"""),178103.0)</f>
        <v>178103</v>
      </c>
      <c r="Q181" s="35">
        <f>IFERROR(__xludf.DUMMYFUNCTION("""COMPUTED_VALUE"""),392891.0)</f>
        <v>392891</v>
      </c>
    </row>
    <row r="182">
      <c r="A182" s="35">
        <f>IFERROR(__xludf.DUMMYFUNCTION("""COMPUTED_VALUE"""),181.0)</f>
        <v>181</v>
      </c>
      <c r="B182" s="35" t="str">
        <f>IFERROR(__xludf.DUMMYFUNCTION("""COMPUTED_VALUE"""),"Employees Earning More Than Their Managers")</f>
        <v>Employees Earning More Than Their Managers</v>
      </c>
      <c r="C182" s="35" t="str">
        <f>IFERROR(__xludf.DUMMYFUNCTION("""COMPUTED_VALUE"""),"employees-earning-more-than-their-managers")</f>
        <v>employees-earning-more-than-their-managers</v>
      </c>
      <c r="D182" s="35" t="b">
        <f>IFERROR(__xludf.DUMMYFUNCTION("""COMPUTED_VALUE"""),FALSE)</f>
        <v>0</v>
      </c>
      <c r="E182" s="35" t="str">
        <f>IFERROR(__xludf.DUMMYFUNCTION("""COMPUTED_VALUE"""),"Easy")</f>
        <v>Easy</v>
      </c>
      <c r="F182" s="35">
        <f>IFERROR(__xludf.DUMMYFUNCTION("""COMPUTED_VALUE"""),1281.0)</f>
        <v>1281</v>
      </c>
      <c r="G182" s="35">
        <f>IFERROR(__xludf.DUMMYFUNCTION("""COMPUTED_VALUE"""),150.0)</f>
        <v>150</v>
      </c>
      <c r="H182" s="35" t="str">
        <f>IFERROR(__xludf.DUMMYFUNCTION("""COMPUTED_VALUE"""),"Database")</f>
        <v>Database</v>
      </c>
      <c r="I182" s="35">
        <f>IFERROR(__xludf.DUMMYFUNCTION("""COMPUTED_VALUE"""),0.658)</f>
        <v>0.658</v>
      </c>
      <c r="J182" s="35">
        <f>IFERROR(__xludf.DUMMYFUNCTION("""COMPUTED_VALUE"""),181.0)</f>
        <v>181</v>
      </c>
      <c r="K182" s="35" t="b">
        <f>IFERROR(__xludf.DUMMYFUNCTION("""COMPUTED_VALUE"""),FALSE)</f>
        <v>0</v>
      </c>
      <c r="L182" s="35" t="str">
        <f>IFERROR(__xludf.DUMMYFUNCTION("""COMPUTED_VALUE"""),"Database;")</f>
        <v>Database;</v>
      </c>
      <c r="M182" s="35" t="b">
        <f>IFERROR(__xludf.DUMMYFUNCTION("""COMPUTED_VALUE"""),TRUE)</f>
        <v>1</v>
      </c>
      <c r="N182" s="35" t="b">
        <f>IFERROR(__xludf.DUMMYFUNCTION("""COMPUTED_VALUE"""),FALSE)</f>
        <v>0</v>
      </c>
      <c r="O182" s="35">
        <f>IFERROR(__xludf.DUMMYFUNCTION("""COMPUTED_VALUE"""),65.7736011421642)</f>
        <v>65.77360114</v>
      </c>
      <c r="P182" s="35">
        <f>IFERROR(__xludf.DUMMYFUNCTION("""COMPUTED_VALUE"""),336303.0)</f>
        <v>336303</v>
      </c>
      <c r="Q182" s="35">
        <f>IFERROR(__xludf.DUMMYFUNCTION("""COMPUTED_VALUE"""),511305.0)</f>
        <v>511305</v>
      </c>
    </row>
    <row r="183">
      <c r="A183" s="35">
        <f>IFERROR(__xludf.DUMMYFUNCTION("""COMPUTED_VALUE"""),182.0)</f>
        <v>182</v>
      </c>
      <c r="B183" s="35" t="str">
        <f>IFERROR(__xludf.DUMMYFUNCTION("""COMPUTED_VALUE"""),"Duplicate Emails")</f>
        <v>Duplicate Emails</v>
      </c>
      <c r="C183" s="35" t="str">
        <f>IFERROR(__xludf.DUMMYFUNCTION("""COMPUTED_VALUE"""),"duplicate-emails")</f>
        <v>duplicate-emails</v>
      </c>
      <c r="D183" s="35" t="b">
        <f>IFERROR(__xludf.DUMMYFUNCTION("""COMPUTED_VALUE"""),FALSE)</f>
        <v>0</v>
      </c>
      <c r="E183" s="35" t="str">
        <f>IFERROR(__xludf.DUMMYFUNCTION("""COMPUTED_VALUE"""),"Easy")</f>
        <v>Easy</v>
      </c>
      <c r="F183" s="35">
        <f>IFERROR(__xludf.DUMMYFUNCTION("""COMPUTED_VALUE"""),990.0)</f>
        <v>990</v>
      </c>
      <c r="G183" s="35">
        <f>IFERROR(__xludf.DUMMYFUNCTION("""COMPUTED_VALUE"""),45.0)</f>
        <v>45</v>
      </c>
      <c r="H183" s="35" t="str">
        <f>IFERROR(__xludf.DUMMYFUNCTION("""COMPUTED_VALUE"""),"Database")</f>
        <v>Database</v>
      </c>
      <c r="I183" s="35">
        <f>IFERROR(__xludf.DUMMYFUNCTION("""COMPUTED_VALUE"""),0.685)</f>
        <v>0.685</v>
      </c>
      <c r="J183" s="35">
        <f>IFERROR(__xludf.DUMMYFUNCTION("""COMPUTED_VALUE"""),182.0)</f>
        <v>182</v>
      </c>
      <c r="K183" s="35" t="b">
        <f>IFERROR(__xludf.DUMMYFUNCTION("""COMPUTED_VALUE"""),FALSE)</f>
        <v>0</v>
      </c>
      <c r="L183" s="35" t="str">
        <f>IFERROR(__xludf.DUMMYFUNCTION("""COMPUTED_VALUE"""),"Database;")</f>
        <v>Database;</v>
      </c>
      <c r="M183" s="35" t="b">
        <f>IFERROR(__xludf.DUMMYFUNCTION("""COMPUTED_VALUE"""),TRUE)</f>
        <v>1</v>
      </c>
      <c r="N183" s="35" t="b">
        <f>IFERROR(__xludf.DUMMYFUNCTION("""COMPUTED_VALUE"""),FALSE)</f>
        <v>0</v>
      </c>
      <c r="O183" s="35">
        <f>IFERROR(__xludf.DUMMYFUNCTION("""COMPUTED_VALUE"""),68.4527027863649)</f>
        <v>68.45270279</v>
      </c>
      <c r="P183" s="35">
        <f>IFERROR(__xludf.DUMMYFUNCTION("""COMPUTED_VALUE"""),331704.0)</f>
        <v>331704</v>
      </c>
      <c r="Q183" s="35">
        <f>IFERROR(__xludf.DUMMYFUNCTION("""COMPUTED_VALUE"""),484574.0)</f>
        <v>484574</v>
      </c>
    </row>
    <row r="184">
      <c r="A184" s="35">
        <f>IFERROR(__xludf.DUMMYFUNCTION("""COMPUTED_VALUE"""),183.0)</f>
        <v>183</v>
      </c>
      <c r="B184" s="35" t="str">
        <f>IFERROR(__xludf.DUMMYFUNCTION("""COMPUTED_VALUE"""),"Customers Who Never Order")</f>
        <v>Customers Who Never Order</v>
      </c>
      <c r="C184" s="35" t="str">
        <f>IFERROR(__xludf.DUMMYFUNCTION("""COMPUTED_VALUE"""),"customers-who-never-order")</f>
        <v>customers-who-never-order</v>
      </c>
      <c r="D184" s="35" t="b">
        <f>IFERROR(__xludf.DUMMYFUNCTION("""COMPUTED_VALUE"""),FALSE)</f>
        <v>0</v>
      </c>
      <c r="E184" s="35" t="str">
        <f>IFERROR(__xludf.DUMMYFUNCTION("""COMPUTED_VALUE"""),"Easy")</f>
        <v>Easy</v>
      </c>
      <c r="F184" s="35">
        <f>IFERROR(__xludf.DUMMYFUNCTION("""COMPUTED_VALUE"""),826.0)</f>
        <v>826</v>
      </c>
      <c r="G184" s="35">
        <f>IFERROR(__xludf.DUMMYFUNCTION("""COMPUTED_VALUE"""),69.0)</f>
        <v>69</v>
      </c>
      <c r="H184" s="35" t="str">
        <f>IFERROR(__xludf.DUMMYFUNCTION("""COMPUTED_VALUE"""),"Database")</f>
        <v>Database</v>
      </c>
      <c r="I184" s="35">
        <f>IFERROR(__xludf.DUMMYFUNCTION("""COMPUTED_VALUE"""),0.621)</f>
        <v>0.621</v>
      </c>
      <c r="J184" s="35">
        <f>IFERROR(__xludf.DUMMYFUNCTION("""COMPUTED_VALUE"""),183.0)</f>
        <v>183</v>
      </c>
      <c r="K184" s="35" t="b">
        <f>IFERROR(__xludf.DUMMYFUNCTION("""COMPUTED_VALUE"""),FALSE)</f>
        <v>0</v>
      </c>
      <c r="L184" s="35" t="str">
        <f>IFERROR(__xludf.DUMMYFUNCTION("""COMPUTED_VALUE"""),"Database;")</f>
        <v>Database;</v>
      </c>
      <c r="M184" s="35" t="b">
        <f>IFERROR(__xludf.DUMMYFUNCTION("""COMPUTED_VALUE"""),TRUE)</f>
        <v>1</v>
      </c>
      <c r="N184" s="35" t="b">
        <f>IFERROR(__xludf.DUMMYFUNCTION("""COMPUTED_VALUE"""),FALSE)</f>
        <v>0</v>
      </c>
      <c r="O184" s="35">
        <f>IFERROR(__xludf.DUMMYFUNCTION("""COMPUTED_VALUE"""),62.1217938494677)</f>
        <v>62.12179385</v>
      </c>
      <c r="P184" s="35">
        <f>IFERROR(__xludf.DUMMYFUNCTION("""COMPUTED_VALUE"""),315506.0)</f>
        <v>315506</v>
      </c>
      <c r="Q184" s="35">
        <f>IFERROR(__xludf.DUMMYFUNCTION("""COMPUTED_VALUE"""),507886.0)</f>
        <v>507886</v>
      </c>
    </row>
    <row r="185">
      <c r="A185" s="35">
        <f>IFERROR(__xludf.DUMMYFUNCTION("""COMPUTED_VALUE"""),184.0)</f>
        <v>184</v>
      </c>
      <c r="B185" s="35" t="str">
        <f>IFERROR(__xludf.DUMMYFUNCTION("""COMPUTED_VALUE"""),"Department Highest Salary")</f>
        <v>Department Highest Salary</v>
      </c>
      <c r="C185" s="35" t="str">
        <f>IFERROR(__xludf.DUMMYFUNCTION("""COMPUTED_VALUE"""),"department-highest-salary")</f>
        <v>department-highest-salary</v>
      </c>
      <c r="D185" s="35" t="b">
        <f>IFERROR(__xludf.DUMMYFUNCTION("""COMPUTED_VALUE"""),FALSE)</f>
        <v>0</v>
      </c>
      <c r="E185" s="35" t="str">
        <f>IFERROR(__xludf.DUMMYFUNCTION("""COMPUTED_VALUE"""),"Medium")</f>
        <v>Medium</v>
      </c>
      <c r="F185" s="35">
        <f>IFERROR(__xludf.DUMMYFUNCTION("""COMPUTED_VALUE"""),1029.0)</f>
        <v>1029</v>
      </c>
      <c r="G185" s="35">
        <f>IFERROR(__xludf.DUMMYFUNCTION("""COMPUTED_VALUE"""),163.0)</f>
        <v>163</v>
      </c>
      <c r="H185" s="35" t="str">
        <f>IFERROR(__xludf.DUMMYFUNCTION("""COMPUTED_VALUE"""),"Database")</f>
        <v>Database</v>
      </c>
      <c r="I185" s="35">
        <f>IFERROR(__xludf.DUMMYFUNCTION("""COMPUTED_VALUE"""),0.461)</f>
        <v>0.461</v>
      </c>
      <c r="J185" s="35">
        <f>IFERROR(__xludf.DUMMYFUNCTION("""COMPUTED_VALUE"""),184.0)</f>
        <v>184</v>
      </c>
      <c r="K185" s="35" t="b">
        <f>IFERROR(__xludf.DUMMYFUNCTION("""COMPUTED_VALUE"""),FALSE)</f>
        <v>0</v>
      </c>
      <c r="L185" s="35" t="str">
        <f>IFERROR(__xludf.DUMMYFUNCTION("""COMPUTED_VALUE"""),"Database;")</f>
        <v>Database;</v>
      </c>
      <c r="M185" s="35" t="b">
        <f>IFERROR(__xludf.DUMMYFUNCTION("""COMPUTED_VALUE"""),TRUE)</f>
        <v>1</v>
      </c>
      <c r="N185" s="35" t="b">
        <f>IFERROR(__xludf.DUMMYFUNCTION("""COMPUTED_VALUE"""),FALSE)</f>
        <v>0</v>
      </c>
      <c r="O185" s="35">
        <f>IFERROR(__xludf.DUMMYFUNCTION("""COMPUTED_VALUE"""),46.090531347025)</f>
        <v>46.09053135</v>
      </c>
      <c r="P185" s="35">
        <f>IFERROR(__xludf.DUMMYFUNCTION("""COMPUTED_VALUE"""),208867.0)</f>
        <v>208867</v>
      </c>
      <c r="Q185" s="35">
        <f>IFERROR(__xludf.DUMMYFUNCTION("""COMPUTED_VALUE"""),453168.0)</f>
        <v>453168</v>
      </c>
    </row>
    <row r="186">
      <c r="A186" s="35">
        <f>IFERROR(__xludf.DUMMYFUNCTION("""COMPUTED_VALUE"""),185.0)</f>
        <v>185</v>
      </c>
      <c r="B186" s="35" t="str">
        <f>IFERROR(__xludf.DUMMYFUNCTION("""COMPUTED_VALUE"""),"Department Top Three Salaries")</f>
        <v>Department Top Three Salaries</v>
      </c>
      <c r="C186" s="35" t="str">
        <f>IFERROR(__xludf.DUMMYFUNCTION("""COMPUTED_VALUE"""),"department-top-three-salaries")</f>
        <v>department-top-three-salaries</v>
      </c>
      <c r="D186" s="35" t="b">
        <f>IFERROR(__xludf.DUMMYFUNCTION("""COMPUTED_VALUE"""),FALSE)</f>
        <v>0</v>
      </c>
      <c r="E186" s="35" t="str">
        <f>IFERROR(__xludf.DUMMYFUNCTION("""COMPUTED_VALUE"""),"Hard")</f>
        <v>Hard</v>
      </c>
      <c r="F186" s="35">
        <f>IFERROR(__xludf.DUMMYFUNCTION("""COMPUTED_VALUE"""),1012.0)</f>
        <v>1012</v>
      </c>
      <c r="G186" s="35">
        <f>IFERROR(__xludf.DUMMYFUNCTION("""COMPUTED_VALUE"""),180.0)</f>
        <v>180</v>
      </c>
      <c r="H186" s="35" t="str">
        <f>IFERROR(__xludf.DUMMYFUNCTION("""COMPUTED_VALUE"""),"Database")</f>
        <v>Database</v>
      </c>
      <c r="I186" s="35">
        <f>IFERROR(__xludf.DUMMYFUNCTION("""COMPUTED_VALUE"""),0.463)</f>
        <v>0.463</v>
      </c>
      <c r="J186" s="35">
        <f>IFERROR(__xludf.DUMMYFUNCTION("""COMPUTED_VALUE"""),185.0)</f>
        <v>185</v>
      </c>
      <c r="K186" s="35" t="b">
        <f>IFERROR(__xludf.DUMMYFUNCTION("""COMPUTED_VALUE"""),FALSE)</f>
        <v>0</v>
      </c>
      <c r="L186" s="35" t="str">
        <f>IFERROR(__xludf.DUMMYFUNCTION("""COMPUTED_VALUE"""),"Database;")</f>
        <v>Database;</v>
      </c>
      <c r="M186" s="35" t="b">
        <f>IFERROR(__xludf.DUMMYFUNCTION("""COMPUTED_VALUE"""),TRUE)</f>
        <v>1</v>
      </c>
      <c r="N186" s="35" t="b">
        <f>IFERROR(__xludf.DUMMYFUNCTION("""COMPUTED_VALUE"""),FALSE)</f>
        <v>0</v>
      </c>
      <c r="O186" s="35">
        <f>IFERROR(__xludf.DUMMYFUNCTION("""COMPUTED_VALUE"""),46.2740681494724)</f>
        <v>46.27406815</v>
      </c>
      <c r="P186" s="35">
        <f>IFERROR(__xludf.DUMMYFUNCTION("""COMPUTED_VALUE"""),157366.0)</f>
        <v>157366</v>
      </c>
      <c r="Q186" s="35">
        <f>IFERROR(__xludf.DUMMYFUNCTION("""COMPUTED_VALUE"""),340075.0)</f>
        <v>340075</v>
      </c>
    </row>
    <row r="187">
      <c r="A187" s="35">
        <f>IFERROR(__xludf.DUMMYFUNCTION("""COMPUTED_VALUE"""),186.0)</f>
        <v>186</v>
      </c>
      <c r="B187" s="35" t="str">
        <f>IFERROR(__xludf.DUMMYFUNCTION("""COMPUTED_VALUE"""),"Reverse Words in a String II")</f>
        <v>Reverse Words in a String II</v>
      </c>
      <c r="C187" s="35" t="str">
        <f>IFERROR(__xludf.DUMMYFUNCTION("""COMPUTED_VALUE"""),"reverse-words-in-a-string-ii")</f>
        <v>reverse-words-in-a-string-ii</v>
      </c>
      <c r="D187" s="35" t="b">
        <f>IFERROR(__xludf.DUMMYFUNCTION("""COMPUTED_VALUE"""),TRUE)</f>
        <v>1</v>
      </c>
      <c r="E187" s="35" t="str">
        <f>IFERROR(__xludf.DUMMYFUNCTION("""COMPUTED_VALUE"""),"Medium")</f>
        <v>Medium</v>
      </c>
      <c r="F187" s="35">
        <f>IFERROR(__xludf.DUMMYFUNCTION("""COMPUTED_VALUE"""),826.0)</f>
        <v>826</v>
      </c>
      <c r="G187" s="35">
        <f>IFERROR(__xludf.DUMMYFUNCTION("""COMPUTED_VALUE"""),125.0)</f>
        <v>125</v>
      </c>
      <c r="H187" s="35" t="str">
        <f>IFERROR(__xludf.DUMMYFUNCTION("""COMPUTED_VALUE"""),"Algorithms")</f>
        <v>Algorithms</v>
      </c>
      <c r="I187" s="35">
        <f>IFERROR(__xludf.DUMMYFUNCTION("""COMPUTED_VALUE"""),0.505)</f>
        <v>0.505</v>
      </c>
      <c r="J187" s="35">
        <f>IFERROR(__xludf.DUMMYFUNCTION("""COMPUTED_VALUE"""),186.0)</f>
        <v>186</v>
      </c>
      <c r="K187" s="35" t="b">
        <f>IFERROR(__xludf.DUMMYFUNCTION("""COMPUTED_VALUE"""),TRUE)</f>
        <v>1</v>
      </c>
      <c r="L187" s="35" t="str">
        <f>IFERROR(__xludf.DUMMYFUNCTION("""COMPUTED_VALUE"""),"Two Pointers;String;")</f>
        <v>Two Pointers;String;</v>
      </c>
      <c r="M187" s="35" t="b">
        <f>IFERROR(__xludf.DUMMYFUNCTION("""COMPUTED_VALUE"""),TRUE)</f>
        <v>1</v>
      </c>
      <c r="N187" s="35" t="b">
        <f>IFERROR(__xludf.DUMMYFUNCTION("""COMPUTED_VALUE"""),FALSE)</f>
        <v>0</v>
      </c>
      <c r="O187" s="35">
        <f>IFERROR(__xludf.DUMMYFUNCTION("""COMPUTED_VALUE"""),50.5109904903869)</f>
        <v>50.51099049</v>
      </c>
      <c r="P187" s="35">
        <f>IFERROR(__xludf.DUMMYFUNCTION("""COMPUTED_VALUE"""),129442.0)</f>
        <v>129442</v>
      </c>
      <c r="Q187" s="35">
        <f>IFERROR(__xludf.DUMMYFUNCTION("""COMPUTED_VALUE"""),256266.0)</f>
        <v>256266</v>
      </c>
    </row>
    <row r="188">
      <c r="A188" s="35">
        <f>IFERROR(__xludf.DUMMYFUNCTION("""COMPUTED_VALUE"""),187.0)</f>
        <v>187</v>
      </c>
      <c r="B188" s="35" t="str">
        <f>IFERROR(__xludf.DUMMYFUNCTION("""COMPUTED_VALUE"""),"Repeated DNA Sequences")</f>
        <v>Repeated DNA Sequences</v>
      </c>
      <c r="C188" s="35" t="str">
        <f>IFERROR(__xludf.DUMMYFUNCTION("""COMPUTED_VALUE"""),"repeated-dna-sequences")</f>
        <v>repeated-dna-sequences</v>
      </c>
      <c r="D188" s="35" t="b">
        <f>IFERROR(__xludf.DUMMYFUNCTION("""COMPUTED_VALUE"""),FALSE)</f>
        <v>0</v>
      </c>
      <c r="E188" s="35" t="str">
        <f>IFERROR(__xludf.DUMMYFUNCTION("""COMPUTED_VALUE"""),"Medium")</f>
        <v>Medium</v>
      </c>
      <c r="F188" s="35">
        <f>IFERROR(__xludf.DUMMYFUNCTION("""COMPUTED_VALUE"""),1846.0)</f>
        <v>1846</v>
      </c>
      <c r="G188" s="35">
        <f>IFERROR(__xludf.DUMMYFUNCTION("""COMPUTED_VALUE"""),399.0)</f>
        <v>399</v>
      </c>
      <c r="H188" s="35" t="str">
        <f>IFERROR(__xludf.DUMMYFUNCTION("""COMPUTED_VALUE"""),"Algorithms")</f>
        <v>Algorithms</v>
      </c>
      <c r="I188" s="35">
        <f>IFERROR(__xludf.DUMMYFUNCTION("""COMPUTED_VALUE"""),0.443)</f>
        <v>0.443</v>
      </c>
      <c r="J188" s="35">
        <f>IFERROR(__xludf.DUMMYFUNCTION("""COMPUTED_VALUE"""),187.0)</f>
        <v>187</v>
      </c>
      <c r="K188" s="35" t="b">
        <f>IFERROR(__xludf.DUMMYFUNCTION("""COMPUTED_VALUE"""),FALSE)</f>
        <v>0</v>
      </c>
      <c r="L188" s="35" t="str">
        <f>IFERROR(__xludf.DUMMYFUNCTION("""COMPUTED_VALUE"""),"Hash Table;String;Bit Manipulation;Sliding Window;Rolling Hash;Hash Function;")</f>
        <v>Hash Table;String;Bit Manipulation;Sliding Window;Rolling Hash;Hash Function;</v>
      </c>
      <c r="M188" s="35" t="b">
        <f>IFERROR(__xludf.DUMMYFUNCTION("""COMPUTED_VALUE"""),TRUE)</f>
        <v>1</v>
      </c>
      <c r="N188" s="35" t="b">
        <f>IFERROR(__xludf.DUMMYFUNCTION("""COMPUTED_VALUE"""),FALSE)</f>
        <v>0</v>
      </c>
      <c r="O188" s="35">
        <f>IFERROR(__xludf.DUMMYFUNCTION("""COMPUTED_VALUE"""),44.2529614593181)</f>
        <v>44.25296146</v>
      </c>
      <c r="P188" s="35">
        <f>IFERROR(__xludf.DUMMYFUNCTION("""COMPUTED_VALUE"""),254624.0)</f>
        <v>254624</v>
      </c>
      <c r="Q188" s="35">
        <f>IFERROR(__xludf.DUMMYFUNCTION("""COMPUTED_VALUE"""),575386.0)</f>
        <v>575386</v>
      </c>
    </row>
    <row r="189">
      <c r="A189" s="35">
        <f>IFERROR(__xludf.DUMMYFUNCTION("""COMPUTED_VALUE"""),188.0)</f>
        <v>188</v>
      </c>
      <c r="B189" s="35" t="str">
        <f>IFERROR(__xludf.DUMMYFUNCTION("""COMPUTED_VALUE"""),"Best Time to Buy and Sell Stock IV")</f>
        <v>Best Time to Buy and Sell Stock IV</v>
      </c>
      <c r="C189" s="35" t="str">
        <f>IFERROR(__xludf.DUMMYFUNCTION("""COMPUTED_VALUE"""),"best-time-to-buy-and-sell-stock-iv")</f>
        <v>best-time-to-buy-and-sell-stock-iv</v>
      </c>
      <c r="D189" s="35" t="b">
        <f>IFERROR(__xludf.DUMMYFUNCTION("""COMPUTED_VALUE"""),FALSE)</f>
        <v>0</v>
      </c>
      <c r="E189" s="35" t="str">
        <f>IFERROR(__xludf.DUMMYFUNCTION("""COMPUTED_VALUE"""),"Hard")</f>
        <v>Hard</v>
      </c>
      <c r="F189" s="35">
        <f>IFERROR(__xludf.DUMMYFUNCTION("""COMPUTED_VALUE"""),3631.0)</f>
        <v>3631</v>
      </c>
      <c r="G189" s="35">
        <f>IFERROR(__xludf.DUMMYFUNCTION("""COMPUTED_VALUE"""),150.0)</f>
        <v>150</v>
      </c>
      <c r="H189" s="35" t="str">
        <f>IFERROR(__xludf.DUMMYFUNCTION("""COMPUTED_VALUE"""),"Algorithms")</f>
        <v>Algorithms</v>
      </c>
      <c r="I189" s="35">
        <f>IFERROR(__xludf.DUMMYFUNCTION("""COMPUTED_VALUE"""),0.331)</f>
        <v>0.331</v>
      </c>
      <c r="J189" s="35">
        <f>IFERROR(__xludf.DUMMYFUNCTION("""COMPUTED_VALUE"""),188.0)</f>
        <v>188</v>
      </c>
      <c r="K189" s="35" t="b">
        <f>IFERROR(__xludf.DUMMYFUNCTION("""COMPUTED_VALUE"""),FALSE)</f>
        <v>0</v>
      </c>
      <c r="L189" s="35" t="str">
        <f>IFERROR(__xludf.DUMMYFUNCTION("""COMPUTED_VALUE"""),"Array;Dynamic Programming;")</f>
        <v>Array;Dynamic Programming;</v>
      </c>
      <c r="M189" s="35" t="b">
        <f>IFERROR(__xludf.DUMMYFUNCTION("""COMPUTED_VALUE"""),TRUE)</f>
        <v>1</v>
      </c>
      <c r="N189" s="35" t="b">
        <f>IFERROR(__xludf.DUMMYFUNCTION("""COMPUTED_VALUE"""),FALSE)</f>
        <v>0</v>
      </c>
      <c r="O189" s="35">
        <f>IFERROR(__xludf.DUMMYFUNCTION("""COMPUTED_VALUE"""),33.1498393598835)</f>
        <v>33.14983936</v>
      </c>
      <c r="P189" s="35">
        <f>IFERROR(__xludf.DUMMYFUNCTION("""COMPUTED_VALUE"""),233288.0)</f>
        <v>233288</v>
      </c>
      <c r="Q189" s="35">
        <f>IFERROR(__xludf.DUMMYFUNCTION("""COMPUTED_VALUE"""),703742.0)</f>
        <v>703742</v>
      </c>
    </row>
    <row r="190">
      <c r="A190" s="35">
        <f>IFERROR(__xludf.DUMMYFUNCTION("""COMPUTED_VALUE"""),189.0)</f>
        <v>189</v>
      </c>
      <c r="B190" s="35" t="str">
        <f>IFERROR(__xludf.DUMMYFUNCTION("""COMPUTED_VALUE"""),"Rotate Array")</f>
        <v>Rotate Array</v>
      </c>
      <c r="C190" s="35" t="str">
        <f>IFERROR(__xludf.DUMMYFUNCTION("""COMPUTED_VALUE"""),"rotate-array")</f>
        <v>rotate-array</v>
      </c>
      <c r="D190" s="35" t="b">
        <f>IFERROR(__xludf.DUMMYFUNCTION("""COMPUTED_VALUE"""),FALSE)</f>
        <v>0</v>
      </c>
      <c r="E190" s="35" t="str">
        <f>IFERROR(__xludf.DUMMYFUNCTION("""COMPUTED_VALUE"""),"Medium")</f>
        <v>Medium</v>
      </c>
      <c r="F190" s="35">
        <f>IFERROR(__xludf.DUMMYFUNCTION("""COMPUTED_VALUE"""),8703.0)</f>
        <v>8703</v>
      </c>
      <c r="G190" s="35">
        <f>IFERROR(__xludf.DUMMYFUNCTION("""COMPUTED_VALUE"""),1238.0)</f>
        <v>1238</v>
      </c>
      <c r="H190" s="35" t="str">
        <f>IFERROR(__xludf.DUMMYFUNCTION("""COMPUTED_VALUE"""),"Algorithms")</f>
        <v>Algorithms</v>
      </c>
      <c r="I190" s="35">
        <f>IFERROR(__xludf.DUMMYFUNCTION("""COMPUTED_VALUE"""),0.384)</f>
        <v>0.384</v>
      </c>
      <c r="J190" s="35">
        <f>IFERROR(__xludf.DUMMYFUNCTION("""COMPUTED_VALUE"""),189.0)</f>
        <v>189</v>
      </c>
      <c r="K190" s="35" t="b">
        <f>IFERROR(__xludf.DUMMYFUNCTION("""COMPUTED_VALUE"""),FALSE)</f>
        <v>0</v>
      </c>
      <c r="L190" s="35" t="str">
        <f>IFERROR(__xludf.DUMMYFUNCTION("""COMPUTED_VALUE"""),"Array;Math;Two Pointers;")</f>
        <v>Array;Math;Two Pointers;</v>
      </c>
      <c r="M190" s="35" t="b">
        <f>IFERROR(__xludf.DUMMYFUNCTION("""COMPUTED_VALUE"""),TRUE)</f>
        <v>1</v>
      </c>
      <c r="N190" s="35" t="b">
        <f>IFERROR(__xludf.DUMMYFUNCTION("""COMPUTED_VALUE"""),FALSE)</f>
        <v>0</v>
      </c>
      <c r="O190" s="35">
        <f>IFERROR(__xludf.DUMMYFUNCTION("""COMPUTED_VALUE"""),38.3870756122935)</f>
        <v>38.38707561</v>
      </c>
      <c r="P190" s="35">
        <f>IFERROR(__xludf.DUMMYFUNCTION("""COMPUTED_VALUE"""),1035688.0)</f>
        <v>1035688</v>
      </c>
      <c r="Q190" s="35">
        <f>IFERROR(__xludf.DUMMYFUNCTION("""COMPUTED_VALUE"""),2698026.0)</f>
        <v>2698026</v>
      </c>
    </row>
    <row r="191">
      <c r="A191" s="35">
        <f>IFERROR(__xludf.DUMMYFUNCTION("""COMPUTED_VALUE"""),190.0)</f>
        <v>190</v>
      </c>
      <c r="B191" s="35" t="str">
        <f>IFERROR(__xludf.DUMMYFUNCTION("""COMPUTED_VALUE"""),"Reverse Bits")</f>
        <v>Reverse Bits</v>
      </c>
      <c r="C191" s="35" t="str">
        <f>IFERROR(__xludf.DUMMYFUNCTION("""COMPUTED_VALUE"""),"reverse-bits")</f>
        <v>reverse-bits</v>
      </c>
      <c r="D191" s="35" t="b">
        <f>IFERROR(__xludf.DUMMYFUNCTION("""COMPUTED_VALUE"""),FALSE)</f>
        <v>0</v>
      </c>
      <c r="E191" s="35" t="str">
        <f>IFERROR(__xludf.DUMMYFUNCTION("""COMPUTED_VALUE"""),"Easy")</f>
        <v>Easy</v>
      </c>
      <c r="F191" s="35">
        <f>IFERROR(__xludf.DUMMYFUNCTION("""COMPUTED_VALUE"""),2832.0)</f>
        <v>2832</v>
      </c>
      <c r="G191" s="35">
        <f>IFERROR(__xludf.DUMMYFUNCTION("""COMPUTED_VALUE"""),768.0)</f>
        <v>768</v>
      </c>
      <c r="H191" s="35" t="str">
        <f>IFERROR(__xludf.DUMMYFUNCTION("""COMPUTED_VALUE"""),"Algorithms")</f>
        <v>Algorithms</v>
      </c>
      <c r="I191" s="35">
        <f>IFERROR(__xludf.DUMMYFUNCTION("""COMPUTED_VALUE"""),0.48)</f>
        <v>0.48</v>
      </c>
      <c r="J191" s="35">
        <f>IFERROR(__xludf.DUMMYFUNCTION("""COMPUTED_VALUE"""),190.0)</f>
        <v>190</v>
      </c>
      <c r="K191" s="35" t="b">
        <f>IFERROR(__xludf.DUMMYFUNCTION("""COMPUTED_VALUE"""),FALSE)</f>
        <v>0</v>
      </c>
      <c r="L191" s="35" t="str">
        <f>IFERROR(__xludf.DUMMYFUNCTION("""COMPUTED_VALUE"""),"Divide and Conquer;Bit Manipulation;")</f>
        <v>Divide and Conquer;Bit Manipulation;</v>
      </c>
      <c r="M191" s="35" t="b">
        <f>IFERROR(__xludf.DUMMYFUNCTION("""COMPUTED_VALUE"""),TRUE)</f>
        <v>1</v>
      </c>
      <c r="N191" s="35" t="b">
        <f>IFERROR(__xludf.DUMMYFUNCTION("""COMPUTED_VALUE"""),FALSE)</f>
        <v>0</v>
      </c>
      <c r="O191" s="35">
        <f>IFERROR(__xludf.DUMMYFUNCTION("""COMPUTED_VALUE"""),48.0368691865363)</f>
        <v>48.03686919</v>
      </c>
      <c r="P191" s="35">
        <f>IFERROR(__xludf.DUMMYFUNCTION("""COMPUTED_VALUE"""),444745.0)</f>
        <v>444745</v>
      </c>
      <c r="Q191" s="35">
        <f>IFERROR(__xludf.DUMMYFUNCTION("""COMPUTED_VALUE"""),925855.0)</f>
        <v>925855</v>
      </c>
    </row>
    <row r="192">
      <c r="A192" s="35">
        <f>IFERROR(__xludf.DUMMYFUNCTION("""COMPUTED_VALUE"""),191.0)</f>
        <v>191</v>
      </c>
      <c r="B192" s="35" t="str">
        <f>IFERROR(__xludf.DUMMYFUNCTION("""COMPUTED_VALUE"""),"Number of 1 Bits")</f>
        <v>Number of 1 Bits</v>
      </c>
      <c r="C192" s="35" t="str">
        <f>IFERROR(__xludf.DUMMYFUNCTION("""COMPUTED_VALUE"""),"number-of-1-bits")</f>
        <v>number-of-1-bits</v>
      </c>
      <c r="D192" s="35" t="b">
        <f>IFERROR(__xludf.DUMMYFUNCTION("""COMPUTED_VALUE"""),FALSE)</f>
        <v>0</v>
      </c>
      <c r="E192" s="35" t="str">
        <f>IFERROR(__xludf.DUMMYFUNCTION("""COMPUTED_VALUE"""),"Easy")</f>
        <v>Easy</v>
      </c>
      <c r="F192" s="35">
        <f>IFERROR(__xludf.DUMMYFUNCTION("""COMPUTED_VALUE"""),2722.0)</f>
        <v>2722</v>
      </c>
      <c r="G192" s="35">
        <f>IFERROR(__xludf.DUMMYFUNCTION("""COMPUTED_VALUE"""),763.0)</f>
        <v>763</v>
      </c>
      <c r="H192" s="35" t="str">
        <f>IFERROR(__xludf.DUMMYFUNCTION("""COMPUTED_VALUE"""),"Algorithms")</f>
        <v>Algorithms</v>
      </c>
      <c r="I192" s="35">
        <f>IFERROR(__xludf.DUMMYFUNCTION("""COMPUTED_VALUE"""),0.595)</f>
        <v>0.595</v>
      </c>
      <c r="J192" s="35">
        <f>IFERROR(__xludf.DUMMYFUNCTION("""COMPUTED_VALUE"""),191.0)</f>
        <v>191</v>
      </c>
      <c r="K192" s="35" t="b">
        <f>IFERROR(__xludf.DUMMYFUNCTION("""COMPUTED_VALUE"""),FALSE)</f>
        <v>0</v>
      </c>
      <c r="L192" s="35" t="str">
        <f>IFERROR(__xludf.DUMMYFUNCTION("""COMPUTED_VALUE"""),"Bit Manipulation;")</f>
        <v>Bit Manipulation;</v>
      </c>
      <c r="M192" s="35" t="b">
        <f>IFERROR(__xludf.DUMMYFUNCTION("""COMPUTED_VALUE"""),TRUE)</f>
        <v>1</v>
      </c>
      <c r="N192" s="35" t="b">
        <f>IFERROR(__xludf.DUMMYFUNCTION("""COMPUTED_VALUE"""),FALSE)</f>
        <v>0</v>
      </c>
      <c r="O192" s="35">
        <f>IFERROR(__xludf.DUMMYFUNCTION("""COMPUTED_VALUE"""),59.4889423956767)</f>
        <v>59.4889424</v>
      </c>
      <c r="P192" s="35">
        <f>IFERROR(__xludf.DUMMYFUNCTION("""COMPUTED_VALUE"""),663108.0)</f>
        <v>663108</v>
      </c>
      <c r="Q192" s="35">
        <f>IFERROR(__xludf.DUMMYFUNCTION("""COMPUTED_VALUE"""),1114685.0)</f>
        <v>1114685</v>
      </c>
    </row>
    <row r="193">
      <c r="A193" s="35">
        <f>IFERROR(__xludf.DUMMYFUNCTION("""COMPUTED_VALUE"""),192.0)</f>
        <v>192</v>
      </c>
      <c r="B193" s="35" t="str">
        <f>IFERROR(__xludf.DUMMYFUNCTION("""COMPUTED_VALUE"""),"Word Frequency")</f>
        <v>Word Frequency</v>
      </c>
      <c r="C193" s="35" t="str">
        <f>IFERROR(__xludf.DUMMYFUNCTION("""COMPUTED_VALUE"""),"word-frequency")</f>
        <v>word-frequency</v>
      </c>
      <c r="D193" s="35" t="b">
        <f>IFERROR(__xludf.DUMMYFUNCTION("""COMPUTED_VALUE"""),FALSE)</f>
        <v>0</v>
      </c>
      <c r="E193" s="35" t="str">
        <f>IFERROR(__xludf.DUMMYFUNCTION("""COMPUTED_VALUE"""),"Medium")</f>
        <v>Medium</v>
      </c>
      <c r="F193" s="35">
        <f>IFERROR(__xludf.DUMMYFUNCTION("""COMPUTED_VALUE"""),343.0)</f>
        <v>343</v>
      </c>
      <c r="G193" s="35">
        <f>IFERROR(__xludf.DUMMYFUNCTION("""COMPUTED_VALUE"""),232.0)</f>
        <v>232</v>
      </c>
      <c r="H193" s="35" t="str">
        <f>IFERROR(__xludf.DUMMYFUNCTION("""COMPUTED_VALUE"""),"Shell")</f>
        <v>Shell</v>
      </c>
      <c r="I193" s="35">
        <f>IFERROR(__xludf.DUMMYFUNCTION("""COMPUTED_VALUE"""),0.256)</f>
        <v>0.256</v>
      </c>
      <c r="J193" s="35">
        <f>IFERROR(__xludf.DUMMYFUNCTION("""COMPUTED_VALUE"""),192.0)</f>
        <v>192</v>
      </c>
      <c r="K193" s="35" t="b">
        <f>IFERROR(__xludf.DUMMYFUNCTION("""COMPUTED_VALUE"""),FALSE)</f>
        <v>0</v>
      </c>
      <c r="L193" s="35" t="str">
        <f>IFERROR(__xludf.DUMMYFUNCTION("""COMPUTED_VALUE"""),"Shell;")</f>
        <v>Shell;</v>
      </c>
      <c r="M193" s="35" t="b">
        <f>IFERROR(__xludf.DUMMYFUNCTION("""COMPUTED_VALUE"""),FALSE)</f>
        <v>0</v>
      </c>
      <c r="N193" s="35" t="b">
        <f>IFERROR(__xludf.DUMMYFUNCTION("""COMPUTED_VALUE"""),FALSE)</f>
        <v>0</v>
      </c>
      <c r="O193" s="35">
        <f>IFERROR(__xludf.DUMMYFUNCTION("""COMPUTED_VALUE"""),25.5925244230496)</f>
        <v>25.59252442</v>
      </c>
      <c r="P193" s="35">
        <f>IFERROR(__xludf.DUMMYFUNCTION("""COMPUTED_VALUE"""),36152.0)</f>
        <v>36152</v>
      </c>
      <c r="Q193" s="35">
        <f>IFERROR(__xludf.DUMMYFUNCTION("""COMPUTED_VALUE"""),141260.0)</f>
        <v>141260</v>
      </c>
    </row>
    <row r="194">
      <c r="A194" s="35">
        <f>IFERROR(__xludf.DUMMYFUNCTION("""COMPUTED_VALUE"""),193.0)</f>
        <v>193</v>
      </c>
      <c r="B194" s="35" t="str">
        <f>IFERROR(__xludf.DUMMYFUNCTION("""COMPUTED_VALUE"""),"Valid Phone Numbers")</f>
        <v>Valid Phone Numbers</v>
      </c>
      <c r="C194" s="35" t="str">
        <f>IFERROR(__xludf.DUMMYFUNCTION("""COMPUTED_VALUE"""),"valid-phone-numbers")</f>
        <v>valid-phone-numbers</v>
      </c>
      <c r="D194" s="35" t="b">
        <f>IFERROR(__xludf.DUMMYFUNCTION("""COMPUTED_VALUE"""),FALSE)</f>
        <v>0</v>
      </c>
      <c r="E194" s="35" t="str">
        <f>IFERROR(__xludf.DUMMYFUNCTION("""COMPUTED_VALUE"""),"Easy")</f>
        <v>Easy</v>
      </c>
      <c r="F194" s="35">
        <f>IFERROR(__xludf.DUMMYFUNCTION("""COMPUTED_VALUE"""),256.0)</f>
        <v>256</v>
      </c>
      <c r="G194" s="35">
        <f>IFERROR(__xludf.DUMMYFUNCTION("""COMPUTED_VALUE"""),687.0)</f>
        <v>687</v>
      </c>
      <c r="H194" s="35" t="str">
        <f>IFERROR(__xludf.DUMMYFUNCTION("""COMPUTED_VALUE"""),"Shell")</f>
        <v>Shell</v>
      </c>
      <c r="I194" s="35">
        <f>IFERROR(__xludf.DUMMYFUNCTION("""COMPUTED_VALUE"""),0.258)</f>
        <v>0.258</v>
      </c>
      <c r="J194" s="35">
        <f>IFERROR(__xludf.DUMMYFUNCTION("""COMPUTED_VALUE"""),193.0)</f>
        <v>193</v>
      </c>
      <c r="K194" s="35" t="b">
        <f>IFERROR(__xludf.DUMMYFUNCTION("""COMPUTED_VALUE"""),FALSE)</f>
        <v>0</v>
      </c>
      <c r="L194" s="35" t="str">
        <f>IFERROR(__xludf.DUMMYFUNCTION("""COMPUTED_VALUE"""),"Shell;")</f>
        <v>Shell;</v>
      </c>
      <c r="M194" s="35" t="b">
        <f>IFERROR(__xludf.DUMMYFUNCTION("""COMPUTED_VALUE"""),FALSE)</f>
        <v>0</v>
      </c>
      <c r="N194" s="35" t="b">
        <f>IFERROR(__xludf.DUMMYFUNCTION("""COMPUTED_VALUE"""),FALSE)</f>
        <v>0</v>
      </c>
      <c r="O194" s="35">
        <f>IFERROR(__xludf.DUMMYFUNCTION("""COMPUTED_VALUE"""),25.793891272087)</f>
        <v>25.79389127</v>
      </c>
      <c r="P194" s="35">
        <f>IFERROR(__xludf.DUMMYFUNCTION("""COMPUTED_VALUE"""),54055.0)</f>
        <v>54055</v>
      </c>
      <c r="Q194" s="35">
        <f>IFERROR(__xludf.DUMMYFUNCTION("""COMPUTED_VALUE"""),209565.0)</f>
        <v>209565</v>
      </c>
    </row>
    <row r="195">
      <c r="A195" s="35">
        <f>IFERROR(__xludf.DUMMYFUNCTION("""COMPUTED_VALUE"""),194.0)</f>
        <v>194</v>
      </c>
      <c r="B195" s="35" t="str">
        <f>IFERROR(__xludf.DUMMYFUNCTION("""COMPUTED_VALUE"""),"Transpose File")</f>
        <v>Transpose File</v>
      </c>
      <c r="C195" s="35" t="str">
        <f>IFERROR(__xludf.DUMMYFUNCTION("""COMPUTED_VALUE"""),"transpose-file")</f>
        <v>transpose-file</v>
      </c>
      <c r="D195" s="35" t="b">
        <f>IFERROR(__xludf.DUMMYFUNCTION("""COMPUTED_VALUE"""),FALSE)</f>
        <v>0</v>
      </c>
      <c r="E195" s="35" t="str">
        <f>IFERROR(__xludf.DUMMYFUNCTION("""COMPUTED_VALUE"""),"Medium")</f>
        <v>Medium</v>
      </c>
      <c r="F195" s="35">
        <f>IFERROR(__xludf.DUMMYFUNCTION("""COMPUTED_VALUE"""),98.0)</f>
        <v>98</v>
      </c>
      <c r="G195" s="35">
        <f>IFERROR(__xludf.DUMMYFUNCTION("""COMPUTED_VALUE"""),237.0)</f>
        <v>237</v>
      </c>
      <c r="H195" s="35" t="str">
        <f>IFERROR(__xludf.DUMMYFUNCTION("""COMPUTED_VALUE"""),"Shell")</f>
        <v>Shell</v>
      </c>
      <c r="I195" s="35">
        <f>IFERROR(__xludf.DUMMYFUNCTION("""COMPUTED_VALUE"""),0.25)</f>
        <v>0.25</v>
      </c>
      <c r="J195" s="35">
        <f>IFERROR(__xludf.DUMMYFUNCTION("""COMPUTED_VALUE"""),194.0)</f>
        <v>194</v>
      </c>
      <c r="K195" s="35" t="b">
        <f>IFERROR(__xludf.DUMMYFUNCTION("""COMPUTED_VALUE"""),FALSE)</f>
        <v>0</v>
      </c>
      <c r="L195" s="35" t="str">
        <f>IFERROR(__xludf.DUMMYFUNCTION("""COMPUTED_VALUE"""),"Shell;")</f>
        <v>Shell;</v>
      </c>
      <c r="M195" s="35" t="b">
        <f>IFERROR(__xludf.DUMMYFUNCTION("""COMPUTED_VALUE"""),FALSE)</f>
        <v>0</v>
      </c>
      <c r="N195" s="35" t="b">
        <f>IFERROR(__xludf.DUMMYFUNCTION("""COMPUTED_VALUE"""),FALSE)</f>
        <v>0</v>
      </c>
      <c r="O195" s="35">
        <f>IFERROR(__xludf.DUMMYFUNCTION("""COMPUTED_VALUE"""),24.9986083277666)</f>
        <v>24.99860833</v>
      </c>
      <c r="P195" s="35">
        <f>IFERROR(__xludf.DUMMYFUNCTION("""COMPUTED_VALUE"""),17963.0)</f>
        <v>17963</v>
      </c>
      <c r="Q195" s="35">
        <f>IFERROR(__xludf.DUMMYFUNCTION("""COMPUTED_VALUE"""),71856.0)</f>
        <v>71856</v>
      </c>
    </row>
    <row r="196">
      <c r="A196" s="35">
        <f>IFERROR(__xludf.DUMMYFUNCTION("""COMPUTED_VALUE"""),195.0)</f>
        <v>195</v>
      </c>
      <c r="B196" s="35" t="str">
        <f>IFERROR(__xludf.DUMMYFUNCTION("""COMPUTED_VALUE"""),"Tenth Line")</f>
        <v>Tenth Line</v>
      </c>
      <c r="C196" s="35" t="str">
        <f>IFERROR(__xludf.DUMMYFUNCTION("""COMPUTED_VALUE"""),"tenth-line")</f>
        <v>tenth-line</v>
      </c>
      <c r="D196" s="35" t="b">
        <f>IFERROR(__xludf.DUMMYFUNCTION("""COMPUTED_VALUE"""),FALSE)</f>
        <v>0</v>
      </c>
      <c r="E196" s="35" t="str">
        <f>IFERROR(__xludf.DUMMYFUNCTION("""COMPUTED_VALUE"""),"Easy")</f>
        <v>Easy</v>
      </c>
      <c r="F196" s="35">
        <f>IFERROR(__xludf.DUMMYFUNCTION("""COMPUTED_VALUE"""),250.0)</f>
        <v>250</v>
      </c>
      <c r="G196" s="35">
        <f>IFERROR(__xludf.DUMMYFUNCTION("""COMPUTED_VALUE"""),326.0)</f>
        <v>326</v>
      </c>
      <c r="H196" s="35" t="str">
        <f>IFERROR(__xludf.DUMMYFUNCTION("""COMPUTED_VALUE"""),"Shell")</f>
        <v>Shell</v>
      </c>
      <c r="I196" s="35">
        <f>IFERROR(__xludf.DUMMYFUNCTION("""COMPUTED_VALUE"""),0.328)</f>
        <v>0.328</v>
      </c>
      <c r="J196" s="35">
        <f>IFERROR(__xludf.DUMMYFUNCTION("""COMPUTED_VALUE"""),195.0)</f>
        <v>195</v>
      </c>
      <c r="K196" s="35" t="b">
        <f>IFERROR(__xludf.DUMMYFUNCTION("""COMPUTED_VALUE"""),FALSE)</f>
        <v>0</v>
      </c>
      <c r="L196" s="35" t="str">
        <f>IFERROR(__xludf.DUMMYFUNCTION("""COMPUTED_VALUE"""),"Shell;")</f>
        <v>Shell;</v>
      </c>
      <c r="M196" s="35" t="b">
        <f>IFERROR(__xludf.DUMMYFUNCTION("""COMPUTED_VALUE"""),FALSE)</f>
        <v>0</v>
      </c>
      <c r="N196" s="35" t="b">
        <f>IFERROR(__xludf.DUMMYFUNCTION("""COMPUTED_VALUE"""),FALSE)</f>
        <v>0</v>
      </c>
      <c r="O196" s="35">
        <f>IFERROR(__xludf.DUMMYFUNCTION("""COMPUTED_VALUE"""),32.841568060283)</f>
        <v>32.84156806</v>
      </c>
      <c r="P196" s="35">
        <f>IFERROR(__xludf.DUMMYFUNCTION("""COMPUTED_VALUE"""),71302.0)</f>
        <v>71302</v>
      </c>
      <c r="Q196" s="35">
        <f>IFERROR(__xludf.DUMMYFUNCTION("""COMPUTED_VALUE"""),217109.0)</f>
        <v>217109</v>
      </c>
    </row>
    <row r="197">
      <c r="A197" s="35">
        <f>IFERROR(__xludf.DUMMYFUNCTION("""COMPUTED_VALUE"""),196.0)</f>
        <v>196</v>
      </c>
      <c r="B197" s="35" t="str">
        <f>IFERROR(__xludf.DUMMYFUNCTION("""COMPUTED_VALUE"""),"Delete Duplicate Emails")</f>
        <v>Delete Duplicate Emails</v>
      </c>
      <c r="C197" s="35" t="str">
        <f>IFERROR(__xludf.DUMMYFUNCTION("""COMPUTED_VALUE"""),"delete-duplicate-emails")</f>
        <v>delete-duplicate-emails</v>
      </c>
      <c r="D197" s="35" t="b">
        <f>IFERROR(__xludf.DUMMYFUNCTION("""COMPUTED_VALUE"""),FALSE)</f>
        <v>0</v>
      </c>
      <c r="E197" s="35" t="str">
        <f>IFERROR(__xludf.DUMMYFUNCTION("""COMPUTED_VALUE"""),"Easy")</f>
        <v>Easy</v>
      </c>
      <c r="F197" s="35">
        <f>IFERROR(__xludf.DUMMYFUNCTION("""COMPUTED_VALUE"""),765.0)</f>
        <v>765</v>
      </c>
      <c r="G197" s="35">
        <f>IFERROR(__xludf.DUMMYFUNCTION("""COMPUTED_VALUE"""),1233.0)</f>
        <v>1233</v>
      </c>
      <c r="H197" s="35" t="str">
        <f>IFERROR(__xludf.DUMMYFUNCTION("""COMPUTED_VALUE"""),"Database")</f>
        <v>Database</v>
      </c>
      <c r="I197" s="35">
        <f>IFERROR(__xludf.DUMMYFUNCTION("""COMPUTED_VALUE"""),0.511)</f>
        <v>0.511</v>
      </c>
      <c r="J197" s="35">
        <f>IFERROR(__xludf.DUMMYFUNCTION("""COMPUTED_VALUE"""),196.0)</f>
        <v>196</v>
      </c>
      <c r="K197" s="35" t="b">
        <f>IFERROR(__xludf.DUMMYFUNCTION("""COMPUTED_VALUE"""),FALSE)</f>
        <v>0</v>
      </c>
      <c r="L197" s="35" t="str">
        <f>IFERROR(__xludf.DUMMYFUNCTION("""COMPUTED_VALUE"""),"Database;")</f>
        <v>Database;</v>
      </c>
      <c r="M197" s="35" t="b">
        <f>IFERROR(__xludf.DUMMYFUNCTION("""COMPUTED_VALUE"""),TRUE)</f>
        <v>1</v>
      </c>
      <c r="N197" s="35" t="b">
        <f>IFERROR(__xludf.DUMMYFUNCTION("""COMPUTED_VALUE"""),FALSE)</f>
        <v>0</v>
      </c>
      <c r="O197" s="35">
        <f>IFERROR(__xludf.DUMMYFUNCTION("""COMPUTED_VALUE"""),51.1249198649187)</f>
        <v>51.12491986</v>
      </c>
      <c r="P197" s="35">
        <f>IFERROR(__xludf.DUMMYFUNCTION("""COMPUTED_VALUE"""),202558.0)</f>
        <v>202558</v>
      </c>
      <c r="Q197" s="35">
        <f>IFERROR(__xludf.DUMMYFUNCTION("""COMPUTED_VALUE"""),396201.0)</f>
        <v>396201</v>
      </c>
    </row>
    <row r="198">
      <c r="A198" s="35">
        <f>IFERROR(__xludf.DUMMYFUNCTION("""COMPUTED_VALUE"""),197.0)</f>
        <v>197</v>
      </c>
      <c r="B198" s="35" t="str">
        <f>IFERROR(__xludf.DUMMYFUNCTION("""COMPUTED_VALUE"""),"Rising Temperature")</f>
        <v>Rising Temperature</v>
      </c>
      <c r="C198" s="35" t="str">
        <f>IFERROR(__xludf.DUMMYFUNCTION("""COMPUTED_VALUE"""),"rising-temperature")</f>
        <v>rising-temperature</v>
      </c>
      <c r="D198" s="35" t="b">
        <f>IFERROR(__xludf.DUMMYFUNCTION("""COMPUTED_VALUE"""),FALSE)</f>
        <v>0</v>
      </c>
      <c r="E198" s="35" t="str">
        <f>IFERROR(__xludf.DUMMYFUNCTION("""COMPUTED_VALUE"""),"Easy")</f>
        <v>Easy</v>
      </c>
      <c r="F198" s="35">
        <f>IFERROR(__xludf.DUMMYFUNCTION("""COMPUTED_VALUE"""),814.0)</f>
        <v>814</v>
      </c>
      <c r="G198" s="35">
        <f>IFERROR(__xludf.DUMMYFUNCTION("""COMPUTED_VALUE"""),341.0)</f>
        <v>341</v>
      </c>
      <c r="H198" s="35" t="str">
        <f>IFERROR(__xludf.DUMMYFUNCTION("""COMPUTED_VALUE"""),"Database")</f>
        <v>Database</v>
      </c>
      <c r="I198" s="35">
        <f>IFERROR(__xludf.DUMMYFUNCTION("""COMPUTED_VALUE"""),0.421)</f>
        <v>0.421</v>
      </c>
      <c r="J198" s="35">
        <f>IFERROR(__xludf.DUMMYFUNCTION("""COMPUTED_VALUE"""),197.0)</f>
        <v>197</v>
      </c>
      <c r="K198" s="35" t="b">
        <f>IFERROR(__xludf.DUMMYFUNCTION("""COMPUTED_VALUE"""),FALSE)</f>
        <v>0</v>
      </c>
      <c r="L198" s="35" t="str">
        <f>IFERROR(__xludf.DUMMYFUNCTION("""COMPUTED_VALUE"""),"Database;")</f>
        <v>Database;</v>
      </c>
      <c r="M198" s="35" t="b">
        <f>IFERROR(__xludf.DUMMYFUNCTION("""COMPUTED_VALUE"""),TRUE)</f>
        <v>1</v>
      </c>
      <c r="N198" s="35" t="b">
        <f>IFERROR(__xludf.DUMMYFUNCTION("""COMPUTED_VALUE"""),FALSE)</f>
        <v>0</v>
      </c>
      <c r="O198" s="35">
        <f>IFERROR(__xludf.DUMMYFUNCTION("""COMPUTED_VALUE"""),42.1415948863464)</f>
        <v>42.14159489</v>
      </c>
      <c r="P198" s="35">
        <f>IFERROR(__xludf.DUMMYFUNCTION("""COMPUTED_VALUE"""),208661.0)</f>
        <v>208661</v>
      </c>
      <c r="Q198" s="35">
        <f>IFERROR(__xludf.DUMMYFUNCTION("""COMPUTED_VALUE"""),495139.0)</f>
        <v>495139</v>
      </c>
    </row>
    <row r="199">
      <c r="A199" s="35">
        <f>IFERROR(__xludf.DUMMYFUNCTION("""COMPUTED_VALUE"""),198.0)</f>
        <v>198</v>
      </c>
      <c r="B199" s="35" t="str">
        <f>IFERROR(__xludf.DUMMYFUNCTION("""COMPUTED_VALUE"""),"House Robber")</f>
        <v>House Robber</v>
      </c>
      <c r="C199" s="35" t="str">
        <f>IFERROR(__xludf.DUMMYFUNCTION("""COMPUTED_VALUE"""),"house-robber")</f>
        <v>house-robber</v>
      </c>
      <c r="D199" s="35" t="b">
        <f>IFERROR(__xludf.DUMMYFUNCTION("""COMPUTED_VALUE"""),FALSE)</f>
        <v>0</v>
      </c>
      <c r="E199" s="35" t="str">
        <f>IFERROR(__xludf.DUMMYFUNCTION("""COMPUTED_VALUE"""),"Medium")</f>
        <v>Medium</v>
      </c>
      <c r="F199" s="35">
        <f>IFERROR(__xludf.DUMMYFUNCTION("""COMPUTED_VALUE"""),11433.0)</f>
        <v>11433</v>
      </c>
      <c r="G199" s="35">
        <f>IFERROR(__xludf.DUMMYFUNCTION("""COMPUTED_VALUE"""),247.0)</f>
        <v>247</v>
      </c>
      <c r="H199" s="35" t="str">
        <f>IFERROR(__xludf.DUMMYFUNCTION("""COMPUTED_VALUE"""),"Algorithms")</f>
        <v>Algorithms</v>
      </c>
      <c r="I199" s="35">
        <f>IFERROR(__xludf.DUMMYFUNCTION("""COMPUTED_VALUE"""),0.467)</f>
        <v>0.467</v>
      </c>
      <c r="J199" s="35">
        <f>IFERROR(__xludf.DUMMYFUNCTION("""COMPUTED_VALUE"""),198.0)</f>
        <v>198</v>
      </c>
      <c r="K199" s="35" t="b">
        <f>IFERROR(__xludf.DUMMYFUNCTION("""COMPUTED_VALUE"""),FALSE)</f>
        <v>0</v>
      </c>
      <c r="L199" s="35" t="str">
        <f>IFERROR(__xludf.DUMMYFUNCTION("""COMPUTED_VALUE"""),"Array;Dynamic Programming;")</f>
        <v>Array;Dynamic Programming;</v>
      </c>
      <c r="M199" s="35" t="b">
        <f>IFERROR(__xludf.DUMMYFUNCTION("""COMPUTED_VALUE"""),TRUE)</f>
        <v>1</v>
      </c>
      <c r="N199" s="35" t="b">
        <f>IFERROR(__xludf.DUMMYFUNCTION("""COMPUTED_VALUE"""),FALSE)</f>
        <v>0</v>
      </c>
      <c r="O199" s="35">
        <f>IFERROR(__xludf.DUMMYFUNCTION("""COMPUTED_VALUE"""),46.7276745717291)</f>
        <v>46.72767457</v>
      </c>
      <c r="P199" s="35">
        <f>IFERROR(__xludf.DUMMYFUNCTION("""COMPUTED_VALUE"""),1054565.0)</f>
        <v>1054565</v>
      </c>
      <c r="Q199" s="35">
        <f>IFERROR(__xludf.DUMMYFUNCTION("""COMPUTED_VALUE"""),2256834.0)</f>
        <v>2256834</v>
      </c>
    </row>
    <row r="200">
      <c r="A200" s="35">
        <f>IFERROR(__xludf.DUMMYFUNCTION("""COMPUTED_VALUE"""),199.0)</f>
        <v>199</v>
      </c>
      <c r="B200" s="35" t="str">
        <f>IFERROR(__xludf.DUMMYFUNCTION("""COMPUTED_VALUE"""),"Binary Tree Right Side View")</f>
        <v>Binary Tree Right Side View</v>
      </c>
      <c r="C200" s="35" t="str">
        <f>IFERROR(__xludf.DUMMYFUNCTION("""COMPUTED_VALUE"""),"binary-tree-right-side-view")</f>
        <v>binary-tree-right-side-view</v>
      </c>
      <c r="D200" s="35" t="b">
        <f>IFERROR(__xludf.DUMMYFUNCTION("""COMPUTED_VALUE"""),FALSE)</f>
        <v>0</v>
      </c>
      <c r="E200" s="35" t="str">
        <f>IFERROR(__xludf.DUMMYFUNCTION("""COMPUTED_VALUE"""),"Medium")</f>
        <v>Medium</v>
      </c>
      <c r="F200" s="35">
        <f>IFERROR(__xludf.DUMMYFUNCTION("""COMPUTED_VALUE"""),6062.0)</f>
        <v>6062</v>
      </c>
      <c r="G200" s="35">
        <f>IFERROR(__xludf.DUMMYFUNCTION("""COMPUTED_VALUE"""),327.0)</f>
        <v>327</v>
      </c>
      <c r="H200" s="35" t="str">
        <f>IFERROR(__xludf.DUMMYFUNCTION("""COMPUTED_VALUE"""),"Algorithms")</f>
        <v>Algorithms</v>
      </c>
      <c r="I200" s="35">
        <f>IFERROR(__xludf.DUMMYFUNCTION("""COMPUTED_VALUE"""),0.593)</f>
        <v>0.593</v>
      </c>
      <c r="J200" s="35">
        <f>IFERROR(__xludf.DUMMYFUNCTION("""COMPUTED_VALUE"""),199.0)</f>
        <v>199</v>
      </c>
      <c r="K200" s="35" t="b">
        <f>IFERROR(__xludf.DUMMYFUNCTION("""COMPUTED_VALUE"""),FALSE)</f>
        <v>0</v>
      </c>
      <c r="L200" s="35" t="str">
        <f>IFERROR(__xludf.DUMMYFUNCTION("""COMPUTED_VALUE"""),"Tree;Depth-First Search;Breadth-First Search;Binary Tree;")</f>
        <v>Tree;Depth-First Search;Breadth-First Search;Binary Tree;</v>
      </c>
      <c r="M200" s="35" t="b">
        <f>IFERROR(__xludf.DUMMYFUNCTION("""COMPUTED_VALUE"""),TRUE)</f>
        <v>1</v>
      </c>
      <c r="N200" s="35" t="b">
        <f>IFERROR(__xludf.DUMMYFUNCTION("""COMPUTED_VALUE"""),FALSE)</f>
        <v>0</v>
      </c>
      <c r="O200" s="35">
        <f>IFERROR(__xludf.DUMMYFUNCTION("""COMPUTED_VALUE"""),59.2624732521276)</f>
        <v>59.26247325</v>
      </c>
      <c r="P200" s="35">
        <f>IFERROR(__xludf.DUMMYFUNCTION("""COMPUTED_VALUE"""),630330.0)</f>
        <v>630330</v>
      </c>
      <c r="Q200" s="35">
        <f>IFERROR(__xludf.DUMMYFUNCTION("""COMPUTED_VALUE"""),1063625.0)</f>
        <v>1063625</v>
      </c>
    </row>
    <row r="201">
      <c r="A201" s="35">
        <f>IFERROR(__xludf.DUMMYFUNCTION("""COMPUTED_VALUE"""),200.0)</f>
        <v>200</v>
      </c>
      <c r="B201" s="35" t="str">
        <f>IFERROR(__xludf.DUMMYFUNCTION("""COMPUTED_VALUE"""),"Number of Islands")</f>
        <v>Number of Islands</v>
      </c>
      <c r="C201" s="35" t="str">
        <f>IFERROR(__xludf.DUMMYFUNCTION("""COMPUTED_VALUE"""),"number-of-islands")</f>
        <v>number-of-islands</v>
      </c>
      <c r="D201" s="35" t="b">
        <f>IFERROR(__xludf.DUMMYFUNCTION("""COMPUTED_VALUE"""),FALSE)</f>
        <v>0</v>
      </c>
      <c r="E201" s="35" t="str">
        <f>IFERROR(__xludf.DUMMYFUNCTION("""COMPUTED_VALUE"""),"Medium")</f>
        <v>Medium</v>
      </c>
      <c r="F201" s="35">
        <f>IFERROR(__xludf.DUMMYFUNCTION("""COMPUTED_VALUE"""),12751.0)</f>
        <v>12751</v>
      </c>
      <c r="G201" s="35">
        <f>IFERROR(__xludf.DUMMYFUNCTION("""COMPUTED_VALUE"""),315.0)</f>
        <v>315</v>
      </c>
      <c r="H201" s="35" t="str">
        <f>IFERROR(__xludf.DUMMYFUNCTION("""COMPUTED_VALUE"""),"Algorithms")</f>
        <v>Algorithms</v>
      </c>
      <c r="I201" s="35">
        <f>IFERROR(__xludf.DUMMYFUNCTION("""COMPUTED_VALUE"""),0.534)</f>
        <v>0.534</v>
      </c>
      <c r="J201" s="35">
        <f>IFERROR(__xludf.DUMMYFUNCTION("""COMPUTED_VALUE"""),200.0)</f>
        <v>200</v>
      </c>
      <c r="K201" s="35" t="b">
        <f>IFERROR(__xludf.DUMMYFUNCTION("""COMPUTED_VALUE"""),FALSE)</f>
        <v>0</v>
      </c>
      <c r="L201" s="35" t="str">
        <f>IFERROR(__xludf.DUMMYFUNCTION("""COMPUTED_VALUE"""),"Array;Depth-First Search;Breadth-First Search;Union Find;Matrix;")</f>
        <v>Array;Depth-First Search;Breadth-First Search;Union Find;Matrix;</v>
      </c>
      <c r="M201" s="35" t="b">
        <f>IFERROR(__xludf.DUMMYFUNCTION("""COMPUTED_VALUE"""),TRUE)</f>
        <v>1</v>
      </c>
      <c r="N201" s="35" t="b">
        <f>IFERROR(__xludf.DUMMYFUNCTION("""COMPUTED_VALUE"""),FALSE)</f>
        <v>0</v>
      </c>
      <c r="O201" s="35">
        <f>IFERROR(__xludf.DUMMYFUNCTION("""COMPUTED_VALUE"""),53.3825824720394)</f>
        <v>53.38258247</v>
      </c>
      <c r="P201" s="35">
        <f>IFERROR(__xludf.DUMMYFUNCTION("""COMPUTED_VALUE"""),1461753.0)</f>
        <v>1461753</v>
      </c>
      <c r="Q201" s="35">
        <f>IFERROR(__xludf.DUMMYFUNCTION("""COMPUTED_VALUE"""),2738286.0)</f>
        <v>2738286</v>
      </c>
    </row>
    <row r="202">
      <c r="A202" s="35">
        <f>IFERROR(__xludf.DUMMYFUNCTION("""COMPUTED_VALUE"""),201.0)</f>
        <v>201</v>
      </c>
      <c r="B202" s="35" t="str">
        <f>IFERROR(__xludf.DUMMYFUNCTION("""COMPUTED_VALUE"""),"Bitwise AND of Numbers Range")</f>
        <v>Bitwise AND of Numbers Range</v>
      </c>
      <c r="C202" s="35" t="str">
        <f>IFERROR(__xludf.DUMMYFUNCTION("""COMPUTED_VALUE"""),"bitwise-and-of-numbers-range")</f>
        <v>bitwise-and-of-numbers-range</v>
      </c>
      <c r="D202" s="35" t="b">
        <f>IFERROR(__xludf.DUMMYFUNCTION("""COMPUTED_VALUE"""),FALSE)</f>
        <v>0</v>
      </c>
      <c r="E202" s="35" t="str">
        <f>IFERROR(__xludf.DUMMYFUNCTION("""COMPUTED_VALUE"""),"Medium")</f>
        <v>Medium</v>
      </c>
      <c r="F202" s="35">
        <f>IFERROR(__xludf.DUMMYFUNCTION("""COMPUTED_VALUE"""),2170.0)</f>
        <v>2170</v>
      </c>
      <c r="G202" s="35">
        <f>IFERROR(__xludf.DUMMYFUNCTION("""COMPUTED_VALUE"""),177.0)</f>
        <v>177</v>
      </c>
      <c r="H202" s="35" t="str">
        <f>IFERROR(__xludf.DUMMYFUNCTION("""COMPUTED_VALUE"""),"Algorithms")</f>
        <v>Algorithms</v>
      </c>
      <c r="I202" s="35">
        <f>IFERROR(__xludf.DUMMYFUNCTION("""COMPUTED_VALUE"""),0.417)</f>
        <v>0.417</v>
      </c>
      <c r="J202" s="35">
        <f>IFERROR(__xludf.DUMMYFUNCTION("""COMPUTED_VALUE"""),201.0)</f>
        <v>201</v>
      </c>
      <c r="K202" s="35" t="b">
        <f>IFERROR(__xludf.DUMMYFUNCTION("""COMPUTED_VALUE"""),FALSE)</f>
        <v>0</v>
      </c>
      <c r="L202" s="35" t="str">
        <f>IFERROR(__xludf.DUMMYFUNCTION("""COMPUTED_VALUE"""),"Bit Manipulation;")</f>
        <v>Bit Manipulation;</v>
      </c>
      <c r="M202" s="35" t="b">
        <f>IFERROR(__xludf.DUMMYFUNCTION("""COMPUTED_VALUE"""),TRUE)</f>
        <v>1</v>
      </c>
      <c r="N202" s="35" t="b">
        <f>IFERROR(__xludf.DUMMYFUNCTION("""COMPUTED_VALUE"""),FALSE)</f>
        <v>0</v>
      </c>
      <c r="O202" s="35">
        <f>IFERROR(__xludf.DUMMYFUNCTION("""COMPUTED_VALUE"""),41.658739560446)</f>
        <v>41.65873956</v>
      </c>
      <c r="P202" s="35">
        <f>IFERROR(__xludf.DUMMYFUNCTION("""COMPUTED_VALUE"""),210646.0)</f>
        <v>210646</v>
      </c>
      <c r="Q202" s="35">
        <f>IFERROR(__xludf.DUMMYFUNCTION("""COMPUTED_VALUE"""),505647.0)</f>
        <v>505647</v>
      </c>
    </row>
    <row r="203">
      <c r="A203" s="35">
        <f>IFERROR(__xludf.DUMMYFUNCTION("""COMPUTED_VALUE"""),202.0)</f>
        <v>202</v>
      </c>
      <c r="B203" s="35" t="str">
        <f>IFERROR(__xludf.DUMMYFUNCTION("""COMPUTED_VALUE"""),"Happy Number")</f>
        <v>Happy Number</v>
      </c>
      <c r="C203" s="35" t="str">
        <f>IFERROR(__xludf.DUMMYFUNCTION("""COMPUTED_VALUE"""),"happy-number")</f>
        <v>happy-number</v>
      </c>
      <c r="D203" s="35" t="b">
        <f>IFERROR(__xludf.DUMMYFUNCTION("""COMPUTED_VALUE"""),FALSE)</f>
        <v>0</v>
      </c>
      <c r="E203" s="35" t="str">
        <f>IFERROR(__xludf.DUMMYFUNCTION("""COMPUTED_VALUE"""),"Easy")</f>
        <v>Easy</v>
      </c>
      <c r="F203" s="35">
        <f>IFERROR(__xludf.DUMMYFUNCTION("""COMPUTED_VALUE"""),4907.0)</f>
        <v>4907</v>
      </c>
      <c r="G203" s="35">
        <f>IFERROR(__xludf.DUMMYFUNCTION("""COMPUTED_VALUE"""),674.0)</f>
        <v>674</v>
      </c>
      <c r="H203" s="35" t="str">
        <f>IFERROR(__xludf.DUMMYFUNCTION("""COMPUTED_VALUE"""),"Algorithms")</f>
        <v>Algorithms</v>
      </c>
      <c r="I203" s="35">
        <f>IFERROR(__xludf.DUMMYFUNCTION("""COMPUTED_VALUE"""),0.529)</f>
        <v>0.529</v>
      </c>
      <c r="J203" s="35">
        <f>IFERROR(__xludf.DUMMYFUNCTION("""COMPUTED_VALUE"""),202.0)</f>
        <v>202</v>
      </c>
      <c r="K203" s="35" t="b">
        <f>IFERROR(__xludf.DUMMYFUNCTION("""COMPUTED_VALUE"""),FALSE)</f>
        <v>0</v>
      </c>
      <c r="L203" s="35" t="str">
        <f>IFERROR(__xludf.DUMMYFUNCTION("""COMPUTED_VALUE"""),"Hash Table;Math;Two Pointers;")</f>
        <v>Hash Table;Math;Two Pointers;</v>
      </c>
      <c r="M203" s="35" t="b">
        <f>IFERROR(__xludf.DUMMYFUNCTION("""COMPUTED_VALUE"""),TRUE)</f>
        <v>1</v>
      </c>
      <c r="N203" s="35" t="b">
        <f>IFERROR(__xludf.DUMMYFUNCTION("""COMPUTED_VALUE"""),FALSE)</f>
        <v>0</v>
      </c>
      <c r="O203" s="35">
        <f>IFERROR(__xludf.DUMMYFUNCTION("""COMPUTED_VALUE"""),52.9190485351508)</f>
        <v>52.91904854</v>
      </c>
      <c r="P203" s="35">
        <f>IFERROR(__xludf.DUMMYFUNCTION("""COMPUTED_VALUE"""),770186.0)</f>
        <v>770186</v>
      </c>
      <c r="Q203" s="35">
        <f>IFERROR(__xludf.DUMMYFUNCTION("""COMPUTED_VALUE"""),1455417.0)</f>
        <v>1455417</v>
      </c>
    </row>
    <row r="204">
      <c r="A204" s="35">
        <f>IFERROR(__xludf.DUMMYFUNCTION("""COMPUTED_VALUE"""),203.0)</f>
        <v>203</v>
      </c>
      <c r="B204" s="35" t="str">
        <f>IFERROR(__xludf.DUMMYFUNCTION("""COMPUTED_VALUE"""),"Remove Linked List Elements")</f>
        <v>Remove Linked List Elements</v>
      </c>
      <c r="C204" s="35" t="str">
        <f>IFERROR(__xludf.DUMMYFUNCTION("""COMPUTED_VALUE"""),"remove-linked-list-elements")</f>
        <v>remove-linked-list-elements</v>
      </c>
      <c r="D204" s="35" t="b">
        <f>IFERROR(__xludf.DUMMYFUNCTION("""COMPUTED_VALUE"""),FALSE)</f>
        <v>0</v>
      </c>
      <c r="E204" s="35" t="str">
        <f>IFERROR(__xludf.DUMMYFUNCTION("""COMPUTED_VALUE"""),"Easy")</f>
        <v>Easy</v>
      </c>
      <c r="F204" s="35">
        <f>IFERROR(__xludf.DUMMYFUNCTION("""COMPUTED_VALUE"""),4596.0)</f>
        <v>4596</v>
      </c>
      <c r="G204" s="35">
        <f>IFERROR(__xludf.DUMMYFUNCTION("""COMPUTED_VALUE"""),157.0)</f>
        <v>157</v>
      </c>
      <c r="H204" s="35" t="str">
        <f>IFERROR(__xludf.DUMMYFUNCTION("""COMPUTED_VALUE"""),"Algorithms")</f>
        <v>Algorithms</v>
      </c>
      <c r="I204" s="35">
        <f>IFERROR(__xludf.DUMMYFUNCTION("""COMPUTED_VALUE"""),0.431)</f>
        <v>0.431</v>
      </c>
      <c r="J204" s="35">
        <f>IFERROR(__xludf.DUMMYFUNCTION("""COMPUTED_VALUE"""),203.0)</f>
        <v>203</v>
      </c>
      <c r="K204" s="35" t="b">
        <f>IFERROR(__xludf.DUMMYFUNCTION("""COMPUTED_VALUE"""),FALSE)</f>
        <v>0</v>
      </c>
      <c r="L204" s="35" t="str">
        <f>IFERROR(__xludf.DUMMYFUNCTION("""COMPUTED_VALUE"""),"Linked List;Recursion;")</f>
        <v>Linked List;Recursion;</v>
      </c>
      <c r="M204" s="35" t="b">
        <f>IFERROR(__xludf.DUMMYFUNCTION("""COMPUTED_VALUE"""),TRUE)</f>
        <v>1</v>
      </c>
      <c r="N204" s="35" t="b">
        <f>IFERROR(__xludf.DUMMYFUNCTION("""COMPUTED_VALUE"""),FALSE)</f>
        <v>0</v>
      </c>
      <c r="O204" s="35">
        <f>IFERROR(__xludf.DUMMYFUNCTION("""COMPUTED_VALUE"""),43.1193357446286)</f>
        <v>43.11933574</v>
      </c>
      <c r="P204" s="35">
        <f>IFERROR(__xludf.DUMMYFUNCTION("""COMPUTED_VALUE"""),664128.0)</f>
        <v>664128</v>
      </c>
      <c r="Q204" s="35">
        <f>IFERROR(__xludf.DUMMYFUNCTION("""COMPUTED_VALUE"""),1540226.0)</f>
        <v>1540226</v>
      </c>
    </row>
    <row r="205">
      <c r="A205" s="35">
        <f>IFERROR(__xludf.DUMMYFUNCTION("""COMPUTED_VALUE"""),204.0)</f>
        <v>204</v>
      </c>
      <c r="B205" s="35" t="str">
        <f>IFERROR(__xludf.DUMMYFUNCTION("""COMPUTED_VALUE"""),"Count Primes")</f>
        <v>Count Primes</v>
      </c>
      <c r="C205" s="35" t="str">
        <f>IFERROR(__xludf.DUMMYFUNCTION("""COMPUTED_VALUE"""),"count-primes")</f>
        <v>count-primes</v>
      </c>
      <c r="D205" s="35" t="b">
        <f>IFERROR(__xludf.DUMMYFUNCTION("""COMPUTED_VALUE"""),FALSE)</f>
        <v>0</v>
      </c>
      <c r="E205" s="35" t="str">
        <f>IFERROR(__xludf.DUMMYFUNCTION("""COMPUTED_VALUE"""),"Medium")</f>
        <v>Medium</v>
      </c>
      <c r="F205" s="35">
        <f>IFERROR(__xludf.DUMMYFUNCTION("""COMPUTED_VALUE"""),4533.0)</f>
        <v>4533</v>
      </c>
      <c r="G205" s="35">
        <f>IFERROR(__xludf.DUMMYFUNCTION("""COMPUTED_VALUE"""),973.0)</f>
        <v>973</v>
      </c>
      <c r="H205" s="35" t="str">
        <f>IFERROR(__xludf.DUMMYFUNCTION("""COMPUTED_VALUE"""),"Algorithms")</f>
        <v>Algorithms</v>
      </c>
      <c r="I205" s="35">
        <f>IFERROR(__xludf.DUMMYFUNCTION("""COMPUTED_VALUE"""),0.33)</f>
        <v>0.33</v>
      </c>
      <c r="J205" s="35">
        <f>IFERROR(__xludf.DUMMYFUNCTION("""COMPUTED_VALUE"""),204.0)</f>
        <v>204</v>
      </c>
      <c r="K205" s="35" t="b">
        <f>IFERROR(__xludf.DUMMYFUNCTION("""COMPUTED_VALUE"""),FALSE)</f>
        <v>0</v>
      </c>
      <c r="L205" s="35" t="str">
        <f>IFERROR(__xludf.DUMMYFUNCTION("""COMPUTED_VALUE"""),"Array;Math;Enumeration;Number Theory;")</f>
        <v>Array;Math;Enumeration;Number Theory;</v>
      </c>
      <c r="M205" s="35" t="b">
        <f>IFERROR(__xludf.DUMMYFUNCTION("""COMPUTED_VALUE"""),TRUE)</f>
        <v>1</v>
      </c>
      <c r="N205" s="35" t="b">
        <f>IFERROR(__xludf.DUMMYFUNCTION("""COMPUTED_VALUE"""),FALSE)</f>
        <v>0</v>
      </c>
      <c r="O205" s="35">
        <f>IFERROR(__xludf.DUMMYFUNCTION("""COMPUTED_VALUE"""),32.965651654148)</f>
        <v>32.96565165</v>
      </c>
      <c r="P205" s="35">
        <f>IFERROR(__xludf.DUMMYFUNCTION("""COMPUTED_VALUE"""),589280.0)</f>
        <v>589280</v>
      </c>
      <c r="Q205" s="35">
        <f>IFERROR(__xludf.DUMMYFUNCTION("""COMPUTED_VALUE"""),1787579.0)</f>
        <v>1787579</v>
      </c>
    </row>
    <row r="206">
      <c r="A206" s="35">
        <f>IFERROR(__xludf.DUMMYFUNCTION("""COMPUTED_VALUE"""),205.0)</f>
        <v>205</v>
      </c>
      <c r="B206" s="35" t="str">
        <f>IFERROR(__xludf.DUMMYFUNCTION("""COMPUTED_VALUE"""),"Isomorphic Strings")</f>
        <v>Isomorphic Strings</v>
      </c>
      <c r="C206" s="35" t="str">
        <f>IFERROR(__xludf.DUMMYFUNCTION("""COMPUTED_VALUE"""),"isomorphic-strings")</f>
        <v>isomorphic-strings</v>
      </c>
      <c r="D206" s="35" t="b">
        <f>IFERROR(__xludf.DUMMYFUNCTION("""COMPUTED_VALUE"""),FALSE)</f>
        <v>0</v>
      </c>
      <c r="E206" s="35" t="str">
        <f>IFERROR(__xludf.DUMMYFUNCTION("""COMPUTED_VALUE"""),"Easy")</f>
        <v>Easy</v>
      </c>
      <c r="F206" s="35">
        <f>IFERROR(__xludf.DUMMYFUNCTION("""COMPUTED_VALUE"""),3304.0)</f>
        <v>3304</v>
      </c>
      <c r="G206" s="35">
        <f>IFERROR(__xludf.DUMMYFUNCTION("""COMPUTED_VALUE"""),626.0)</f>
        <v>626</v>
      </c>
      <c r="H206" s="35" t="str">
        <f>IFERROR(__xludf.DUMMYFUNCTION("""COMPUTED_VALUE"""),"Algorithms")</f>
        <v>Algorithms</v>
      </c>
      <c r="I206" s="35">
        <f>IFERROR(__xludf.DUMMYFUNCTION("""COMPUTED_VALUE"""),0.42)</f>
        <v>0.42</v>
      </c>
      <c r="J206" s="35">
        <f>IFERROR(__xludf.DUMMYFUNCTION("""COMPUTED_VALUE"""),205.0)</f>
        <v>205</v>
      </c>
      <c r="K206" s="35" t="b">
        <f>IFERROR(__xludf.DUMMYFUNCTION("""COMPUTED_VALUE"""),FALSE)</f>
        <v>0</v>
      </c>
      <c r="L206" s="35" t="str">
        <f>IFERROR(__xludf.DUMMYFUNCTION("""COMPUTED_VALUE"""),"Hash Table;String;")</f>
        <v>Hash Table;String;</v>
      </c>
      <c r="M206" s="35" t="b">
        <f>IFERROR(__xludf.DUMMYFUNCTION("""COMPUTED_VALUE"""),TRUE)</f>
        <v>1</v>
      </c>
      <c r="N206" s="35" t="b">
        <f>IFERROR(__xludf.DUMMYFUNCTION("""COMPUTED_VALUE"""),FALSE)</f>
        <v>0</v>
      </c>
      <c r="O206" s="35">
        <f>IFERROR(__xludf.DUMMYFUNCTION("""COMPUTED_VALUE"""),41.9749417244293)</f>
        <v>41.97494172</v>
      </c>
      <c r="P206" s="35">
        <f>IFERROR(__xludf.DUMMYFUNCTION("""COMPUTED_VALUE"""),477364.0)</f>
        <v>477364</v>
      </c>
      <c r="Q206" s="35">
        <f>IFERROR(__xludf.DUMMYFUNCTION("""COMPUTED_VALUE"""),1137261.0)</f>
        <v>1137261</v>
      </c>
    </row>
    <row r="207">
      <c r="A207" s="35">
        <f>IFERROR(__xludf.DUMMYFUNCTION("""COMPUTED_VALUE"""),206.0)</f>
        <v>206</v>
      </c>
      <c r="B207" s="35" t="str">
        <f>IFERROR(__xludf.DUMMYFUNCTION("""COMPUTED_VALUE"""),"Reverse Linked List")</f>
        <v>Reverse Linked List</v>
      </c>
      <c r="C207" s="35" t="str">
        <f>IFERROR(__xludf.DUMMYFUNCTION("""COMPUTED_VALUE"""),"reverse-linked-list")</f>
        <v>reverse-linked-list</v>
      </c>
      <c r="D207" s="35" t="b">
        <f>IFERROR(__xludf.DUMMYFUNCTION("""COMPUTED_VALUE"""),FALSE)</f>
        <v>0</v>
      </c>
      <c r="E207" s="35" t="str">
        <f>IFERROR(__xludf.DUMMYFUNCTION("""COMPUTED_VALUE"""),"Easy")</f>
        <v>Easy</v>
      </c>
      <c r="F207" s="35">
        <f>IFERROR(__xludf.DUMMYFUNCTION("""COMPUTED_VALUE"""),10938.0)</f>
        <v>10938</v>
      </c>
      <c r="G207" s="35">
        <f>IFERROR(__xludf.DUMMYFUNCTION("""COMPUTED_VALUE"""),185.0)</f>
        <v>185</v>
      </c>
      <c r="H207" s="35" t="str">
        <f>IFERROR(__xludf.DUMMYFUNCTION("""COMPUTED_VALUE"""),"Algorithms")</f>
        <v>Algorithms</v>
      </c>
      <c r="I207" s="35">
        <f>IFERROR(__xludf.DUMMYFUNCTION("""COMPUTED_VALUE"""),0.697)</f>
        <v>0.697</v>
      </c>
      <c r="J207" s="35">
        <f>IFERROR(__xludf.DUMMYFUNCTION("""COMPUTED_VALUE"""),206.0)</f>
        <v>206</v>
      </c>
      <c r="K207" s="35" t="b">
        <f>IFERROR(__xludf.DUMMYFUNCTION("""COMPUTED_VALUE"""),FALSE)</f>
        <v>0</v>
      </c>
      <c r="L207" s="35" t="str">
        <f>IFERROR(__xludf.DUMMYFUNCTION("""COMPUTED_VALUE"""),"Linked List;Recursion;")</f>
        <v>Linked List;Recursion;</v>
      </c>
      <c r="M207" s="35" t="b">
        <f>IFERROR(__xludf.DUMMYFUNCTION("""COMPUTED_VALUE"""),TRUE)</f>
        <v>1</v>
      </c>
      <c r="N207" s="35" t="b">
        <f>IFERROR(__xludf.DUMMYFUNCTION("""COMPUTED_VALUE"""),FALSE)</f>
        <v>0</v>
      </c>
      <c r="O207" s="35">
        <f>IFERROR(__xludf.DUMMYFUNCTION("""COMPUTED_VALUE"""),69.746428614296)</f>
        <v>69.74642861</v>
      </c>
      <c r="P207" s="35">
        <f>IFERROR(__xludf.DUMMYFUNCTION("""COMPUTED_VALUE"""),1975641.0)</f>
        <v>1975641</v>
      </c>
      <c r="Q207" s="35">
        <f>IFERROR(__xludf.DUMMYFUNCTION("""COMPUTED_VALUE"""),2832612.0)</f>
        <v>2832612</v>
      </c>
    </row>
    <row r="208">
      <c r="A208" s="35">
        <f>IFERROR(__xludf.DUMMYFUNCTION("""COMPUTED_VALUE"""),207.0)</f>
        <v>207</v>
      </c>
      <c r="B208" s="35" t="str">
        <f>IFERROR(__xludf.DUMMYFUNCTION("""COMPUTED_VALUE"""),"Course Schedule")</f>
        <v>Course Schedule</v>
      </c>
      <c r="C208" s="35" t="str">
        <f>IFERROR(__xludf.DUMMYFUNCTION("""COMPUTED_VALUE"""),"course-schedule")</f>
        <v>course-schedule</v>
      </c>
      <c r="D208" s="35" t="b">
        <f>IFERROR(__xludf.DUMMYFUNCTION("""COMPUTED_VALUE"""),FALSE)</f>
        <v>0</v>
      </c>
      <c r="E208" s="35" t="str">
        <f>IFERROR(__xludf.DUMMYFUNCTION("""COMPUTED_VALUE"""),"Medium")</f>
        <v>Medium</v>
      </c>
      <c r="F208" s="35">
        <f>IFERROR(__xludf.DUMMYFUNCTION("""COMPUTED_VALUE"""),8691.0)</f>
        <v>8691</v>
      </c>
      <c r="G208" s="35">
        <f>IFERROR(__xludf.DUMMYFUNCTION("""COMPUTED_VALUE"""),351.0)</f>
        <v>351</v>
      </c>
      <c r="H208" s="35" t="str">
        <f>IFERROR(__xludf.DUMMYFUNCTION("""COMPUTED_VALUE"""),"Algorithms")</f>
        <v>Algorithms</v>
      </c>
      <c r="I208" s="35">
        <f>IFERROR(__xludf.DUMMYFUNCTION("""COMPUTED_VALUE"""),0.449)</f>
        <v>0.449</v>
      </c>
      <c r="J208" s="35">
        <f>IFERROR(__xludf.DUMMYFUNCTION("""COMPUTED_VALUE"""),207.0)</f>
        <v>207</v>
      </c>
      <c r="K208" s="35" t="b">
        <f>IFERROR(__xludf.DUMMYFUNCTION("""COMPUTED_VALUE"""),FALSE)</f>
        <v>0</v>
      </c>
      <c r="L208" s="35" t="str">
        <f>IFERROR(__xludf.DUMMYFUNCTION("""COMPUTED_VALUE"""),"Depth-First Search;Breadth-First Search;Graph;Topological Sort;")</f>
        <v>Depth-First Search;Breadth-First Search;Graph;Topological Sort;</v>
      </c>
      <c r="M208" s="35" t="b">
        <f>IFERROR(__xludf.DUMMYFUNCTION("""COMPUTED_VALUE"""),TRUE)</f>
        <v>1</v>
      </c>
      <c r="N208" s="35" t="b">
        <f>IFERROR(__xludf.DUMMYFUNCTION("""COMPUTED_VALUE"""),FALSE)</f>
        <v>0</v>
      </c>
      <c r="O208" s="35">
        <f>IFERROR(__xludf.DUMMYFUNCTION("""COMPUTED_VALUE"""),44.9373532298952)</f>
        <v>44.93735323</v>
      </c>
      <c r="P208" s="35">
        <f>IFERROR(__xludf.DUMMYFUNCTION("""COMPUTED_VALUE"""),813462.0)</f>
        <v>813462</v>
      </c>
      <c r="Q208" s="35">
        <f>IFERROR(__xludf.DUMMYFUNCTION("""COMPUTED_VALUE"""),1810214.0)</f>
        <v>1810214</v>
      </c>
    </row>
    <row r="209">
      <c r="A209" s="35">
        <f>IFERROR(__xludf.DUMMYFUNCTION("""COMPUTED_VALUE"""),208.0)</f>
        <v>208</v>
      </c>
      <c r="B209" s="35" t="str">
        <f>IFERROR(__xludf.DUMMYFUNCTION("""COMPUTED_VALUE"""),"Implement Trie (Prefix Tree)")</f>
        <v>Implement Trie (Prefix Tree)</v>
      </c>
      <c r="C209" s="35" t="str">
        <f>IFERROR(__xludf.DUMMYFUNCTION("""COMPUTED_VALUE"""),"implement-trie-prefix-tree")</f>
        <v>implement-trie-prefix-tree</v>
      </c>
      <c r="D209" s="35" t="b">
        <f>IFERROR(__xludf.DUMMYFUNCTION("""COMPUTED_VALUE"""),FALSE)</f>
        <v>0</v>
      </c>
      <c r="E209" s="35" t="str">
        <f>IFERROR(__xludf.DUMMYFUNCTION("""COMPUTED_VALUE"""),"Medium")</f>
        <v>Medium</v>
      </c>
      <c r="F209" s="35">
        <f>IFERROR(__xludf.DUMMYFUNCTION("""COMPUTED_VALUE"""),6621.0)</f>
        <v>6621</v>
      </c>
      <c r="G209" s="35">
        <f>IFERROR(__xludf.DUMMYFUNCTION("""COMPUTED_VALUE"""),87.0)</f>
        <v>87</v>
      </c>
      <c r="H209" s="35" t="str">
        <f>IFERROR(__xludf.DUMMYFUNCTION("""COMPUTED_VALUE"""),"Algorithms")</f>
        <v>Algorithms</v>
      </c>
      <c r="I209" s="35">
        <f>IFERROR(__xludf.DUMMYFUNCTION("""COMPUTED_VALUE"""),0.575)</f>
        <v>0.575</v>
      </c>
      <c r="J209" s="35">
        <f>IFERROR(__xludf.DUMMYFUNCTION("""COMPUTED_VALUE"""),208.0)</f>
        <v>208</v>
      </c>
      <c r="K209" s="35" t="b">
        <f>IFERROR(__xludf.DUMMYFUNCTION("""COMPUTED_VALUE"""),FALSE)</f>
        <v>0</v>
      </c>
      <c r="L209" s="35" t="str">
        <f>IFERROR(__xludf.DUMMYFUNCTION("""COMPUTED_VALUE"""),"Hash Table;String;Design;Trie;")</f>
        <v>Hash Table;String;Design;Trie;</v>
      </c>
      <c r="M209" s="35" t="b">
        <f>IFERROR(__xludf.DUMMYFUNCTION("""COMPUTED_VALUE"""),TRUE)</f>
        <v>1</v>
      </c>
      <c r="N209" s="35" t="b">
        <f>IFERROR(__xludf.DUMMYFUNCTION("""COMPUTED_VALUE"""),FALSE)</f>
        <v>0</v>
      </c>
      <c r="O209" s="35">
        <f>IFERROR(__xludf.DUMMYFUNCTION("""COMPUTED_VALUE"""),57.4838878426449)</f>
        <v>57.48388784</v>
      </c>
      <c r="P209" s="35">
        <f>IFERROR(__xludf.DUMMYFUNCTION("""COMPUTED_VALUE"""),549425.0)</f>
        <v>549425</v>
      </c>
      <c r="Q209" s="35">
        <f>IFERROR(__xludf.DUMMYFUNCTION("""COMPUTED_VALUE"""),955793.0)</f>
        <v>955793</v>
      </c>
    </row>
    <row r="210">
      <c r="A210" s="35">
        <f>IFERROR(__xludf.DUMMYFUNCTION("""COMPUTED_VALUE"""),209.0)</f>
        <v>209</v>
      </c>
      <c r="B210" s="35" t="str">
        <f>IFERROR(__xludf.DUMMYFUNCTION("""COMPUTED_VALUE"""),"Minimum Size Subarray Sum")</f>
        <v>Minimum Size Subarray Sum</v>
      </c>
      <c r="C210" s="35" t="str">
        <f>IFERROR(__xludf.DUMMYFUNCTION("""COMPUTED_VALUE"""),"minimum-size-subarray-sum")</f>
        <v>minimum-size-subarray-sum</v>
      </c>
      <c r="D210" s="35" t="b">
        <f>IFERROR(__xludf.DUMMYFUNCTION("""COMPUTED_VALUE"""),FALSE)</f>
        <v>0</v>
      </c>
      <c r="E210" s="35" t="str">
        <f>IFERROR(__xludf.DUMMYFUNCTION("""COMPUTED_VALUE"""),"Medium")</f>
        <v>Medium</v>
      </c>
      <c r="F210" s="35">
        <f>IFERROR(__xludf.DUMMYFUNCTION("""COMPUTED_VALUE"""),6043.0)</f>
        <v>6043</v>
      </c>
      <c r="G210" s="35">
        <f>IFERROR(__xludf.DUMMYFUNCTION("""COMPUTED_VALUE"""),180.0)</f>
        <v>180</v>
      </c>
      <c r="H210" s="35" t="str">
        <f>IFERROR(__xludf.DUMMYFUNCTION("""COMPUTED_VALUE"""),"Algorithms")</f>
        <v>Algorithms</v>
      </c>
      <c r="I210" s="35">
        <f>IFERROR(__xludf.DUMMYFUNCTION("""COMPUTED_VALUE"""),0.428)</f>
        <v>0.428</v>
      </c>
      <c r="J210" s="35">
        <f>IFERROR(__xludf.DUMMYFUNCTION("""COMPUTED_VALUE"""),209.0)</f>
        <v>209</v>
      </c>
      <c r="K210" s="35" t="b">
        <f>IFERROR(__xludf.DUMMYFUNCTION("""COMPUTED_VALUE"""),FALSE)</f>
        <v>0</v>
      </c>
      <c r="L210" s="35" t="str">
        <f>IFERROR(__xludf.DUMMYFUNCTION("""COMPUTED_VALUE"""),"Array;Binary Search;Sliding Window;Prefix Sum;")</f>
        <v>Array;Binary Search;Sliding Window;Prefix Sum;</v>
      </c>
      <c r="M210" s="35" t="b">
        <f>IFERROR(__xludf.DUMMYFUNCTION("""COMPUTED_VALUE"""),TRUE)</f>
        <v>1</v>
      </c>
      <c r="N210" s="35" t="b">
        <f>IFERROR(__xludf.DUMMYFUNCTION("""COMPUTED_VALUE"""),FALSE)</f>
        <v>0</v>
      </c>
      <c r="O210" s="35">
        <f>IFERROR(__xludf.DUMMYFUNCTION("""COMPUTED_VALUE"""),42.8444228660869)</f>
        <v>42.84442287</v>
      </c>
      <c r="P210" s="35">
        <f>IFERROR(__xludf.DUMMYFUNCTION("""COMPUTED_VALUE"""),488876.0)</f>
        <v>488876</v>
      </c>
      <c r="Q210" s="35">
        <f>IFERROR(__xludf.DUMMYFUNCTION("""COMPUTED_VALUE"""),1141052.0)</f>
        <v>1141052</v>
      </c>
    </row>
    <row r="211">
      <c r="A211" s="35">
        <f>IFERROR(__xludf.DUMMYFUNCTION("""COMPUTED_VALUE"""),210.0)</f>
        <v>210</v>
      </c>
      <c r="B211" s="35" t="str">
        <f>IFERROR(__xludf.DUMMYFUNCTION("""COMPUTED_VALUE"""),"Course Schedule II")</f>
        <v>Course Schedule II</v>
      </c>
      <c r="C211" s="35" t="str">
        <f>IFERROR(__xludf.DUMMYFUNCTION("""COMPUTED_VALUE"""),"course-schedule-ii")</f>
        <v>course-schedule-ii</v>
      </c>
      <c r="D211" s="35" t="b">
        <f>IFERROR(__xludf.DUMMYFUNCTION("""COMPUTED_VALUE"""),FALSE)</f>
        <v>0</v>
      </c>
      <c r="E211" s="35" t="str">
        <f>IFERROR(__xludf.DUMMYFUNCTION("""COMPUTED_VALUE"""),"Medium")</f>
        <v>Medium</v>
      </c>
      <c r="F211" s="35">
        <f>IFERROR(__xludf.DUMMYFUNCTION("""COMPUTED_VALUE"""),6265.0)</f>
        <v>6265</v>
      </c>
      <c r="G211" s="35">
        <f>IFERROR(__xludf.DUMMYFUNCTION("""COMPUTED_VALUE"""),228.0)</f>
        <v>228</v>
      </c>
      <c r="H211" s="35" t="str">
        <f>IFERROR(__xludf.DUMMYFUNCTION("""COMPUTED_VALUE"""),"Algorithms")</f>
        <v>Algorithms</v>
      </c>
      <c r="I211" s="35">
        <f>IFERROR(__xludf.DUMMYFUNCTION("""COMPUTED_VALUE"""),0.462)</f>
        <v>0.462</v>
      </c>
      <c r="J211" s="35">
        <f>IFERROR(__xludf.DUMMYFUNCTION("""COMPUTED_VALUE"""),210.0)</f>
        <v>210</v>
      </c>
      <c r="K211" s="35" t="b">
        <f>IFERROR(__xludf.DUMMYFUNCTION("""COMPUTED_VALUE"""),FALSE)</f>
        <v>0</v>
      </c>
      <c r="L211" s="35" t="str">
        <f>IFERROR(__xludf.DUMMYFUNCTION("""COMPUTED_VALUE"""),"Depth-First Search;Breadth-First Search;Graph;Topological Sort;")</f>
        <v>Depth-First Search;Breadth-First Search;Graph;Topological Sort;</v>
      </c>
      <c r="M211" s="35" t="b">
        <f>IFERROR(__xludf.DUMMYFUNCTION("""COMPUTED_VALUE"""),TRUE)</f>
        <v>1</v>
      </c>
      <c r="N211" s="35" t="b">
        <f>IFERROR(__xludf.DUMMYFUNCTION("""COMPUTED_VALUE"""),FALSE)</f>
        <v>0</v>
      </c>
      <c r="O211" s="35">
        <f>IFERROR(__xludf.DUMMYFUNCTION("""COMPUTED_VALUE"""),46.188267144308)</f>
        <v>46.18826714</v>
      </c>
      <c r="P211" s="35">
        <f>IFERROR(__xludf.DUMMYFUNCTION("""COMPUTED_VALUE"""),584836.0)</f>
        <v>584836</v>
      </c>
      <c r="Q211" s="35">
        <f>IFERROR(__xludf.DUMMYFUNCTION("""COMPUTED_VALUE"""),1266204.0)</f>
        <v>1266204</v>
      </c>
    </row>
    <row r="212">
      <c r="A212" s="35">
        <f>IFERROR(__xludf.DUMMYFUNCTION("""COMPUTED_VALUE"""),211.0)</f>
        <v>211</v>
      </c>
      <c r="B212" s="35" t="str">
        <f>IFERROR(__xludf.DUMMYFUNCTION("""COMPUTED_VALUE"""),"Design Add and Search Words Data Structure")</f>
        <v>Design Add and Search Words Data Structure</v>
      </c>
      <c r="C212" s="35" t="str">
        <f>IFERROR(__xludf.DUMMYFUNCTION("""COMPUTED_VALUE"""),"design-add-and-search-words-data-structure")</f>
        <v>design-add-and-search-words-data-structure</v>
      </c>
      <c r="D212" s="35" t="b">
        <f>IFERROR(__xludf.DUMMYFUNCTION("""COMPUTED_VALUE"""),FALSE)</f>
        <v>0</v>
      </c>
      <c r="E212" s="35" t="str">
        <f>IFERROR(__xludf.DUMMYFUNCTION("""COMPUTED_VALUE"""),"Medium")</f>
        <v>Medium</v>
      </c>
      <c r="F212" s="35">
        <f>IFERROR(__xludf.DUMMYFUNCTION("""COMPUTED_VALUE"""),4652.0)</f>
        <v>4652</v>
      </c>
      <c r="G212" s="35">
        <f>IFERROR(__xludf.DUMMYFUNCTION("""COMPUTED_VALUE"""),194.0)</f>
        <v>194</v>
      </c>
      <c r="H212" s="35" t="str">
        <f>IFERROR(__xludf.DUMMYFUNCTION("""COMPUTED_VALUE"""),"Algorithms")</f>
        <v>Algorithms</v>
      </c>
      <c r="I212" s="35">
        <f>IFERROR(__xludf.DUMMYFUNCTION("""COMPUTED_VALUE"""),0.44)</f>
        <v>0.44</v>
      </c>
      <c r="J212" s="35">
        <f>IFERROR(__xludf.DUMMYFUNCTION("""COMPUTED_VALUE"""),211.0)</f>
        <v>211</v>
      </c>
      <c r="K212" s="35" t="b">
        <f>IFERROR(__xludf.DUMMYFUNCTION("""COMPUTED_VALUE"""),FALSE)</f>
        <v>0</v>
      </c>
      <c r="L212" s="35" t="str">
        <f>IFERROR(__xludf.DUMMYFUNCTION("""COMPUTED_VALUE"""),"String;Depth-First Search;Design;Trie;")</f>
        <v>String;Depth-First Search;Design;Trie;</v>
      </c>
      <c r="M212" s="35" t="b">
        <f>IFERROR(__xludf.DUMMYFUNCTION("""COMPUTED_VALUE"""),TRUE)</f>
        <v>1</v>
      </c>
      <c r="N212" s="35" t="b">
        <f>IFERROR(__xludf.DUMMYFUNCTION("""COMPUTED_VALUE"""),FALSE)</f>
        <v>0</v>
      </c>
      <c r="O212" s="35">
        <f>IFERROR(__xludf.DUMMYFUNCTION("""COMPUTED_VALUE"""),43.992211946636)</f>
        <v>43.99221195</v>
      </c>
      <c r="P212" s="35">
        <f>IFERROR(__xludf.DUMMYFUNCTION("""COMPUTED_VALUE"""),384785.0)</f>
        <v>384785</v>
      </c>
      <c r="Q212" s="35">
        <f>IFERROR(__xludf.DUMMYFUNCTION("""COMPUTED_VALUE"""),874665.0)</f>
        <v>874665</v>
      </c>
    </row>
    <row r="213">
      <c r="A213" s="35">
        <f>IFERROR(__xludf.DUMMYFUNCTION("""COMPUTED_VALUE"""),212.0)</f>
        <v>212</v>
      </c>
      <c r="B213" s="35" t="str">
        <f>IFERROR(__xludf.DUMMYFUNCTION("""COMPUTED_VALUE"""),"Word Search II")</f>
        <v>Word Search II</v>
      </c>
      <c r="C213" s="35" t="str">
        <f>IFERROR(__xludf.DUMMYFUNCTION("""COMPUTED_VALUE"""),"word-search-ii")</f>
        <v>word-search-ii</v>
      </c>
      <c r="D213" s="35" t="b">
        <f>IFERROR(__xludf.DUMMYFUNCTION("""COMPUTED_VALUE"""),FALSE)</f>
        <v>0</v>
      </c>
      <c r="E213" s="35" t="str">
        <f>IFERROR(__xludf.DUMMYFUNCTION("""COMPUTED_VALUE"""),"Hard")</f>
        <v>Hard</v>
      </c>
      <c r="F213" s="35">
        <f>IFERROR(__xludf.DUMMYFUNCTION("""COMPUTED_VALUE"""),5653.0)</f>
        <v>5653</v>
      </c>
      <c r="G213" s="35">
        <f>IFERROR(__xludf.DUMMYFUNCTION("""COMPUTED_VALUE"""),197.0)</f>
        <v>197</v>
      </c>
      <c r="H213" s="35" t="str">
        <f>IFERROR(__xludf.DUMMYFUNCTION("""COMPUTED_VALUE"""),"Algorithms")</f>
        <v>Algorithms</v>
      </c>
      <c r="I213" s="35">
        <f>IFERROR(__xludf.DUMMYFUNCTION("""COMPUTED_VALUE"""),0.383)</f>
        <v>0.383</v>
      </c>
      <c r="J213" s="35">
        <f>IFERROR(__xludf.DUMMYFUNCTION("""COMPUTED_VALUE"""),212.0)</f>
        <v>212</v>
      </c>
      <c r="K213" s="35" t="b">
        <f>IFERROR(__xludf.DUMMYFUNCTION("""COMPUTED_VALUE"""),FALSE)</f>
        <v>0</v>
      </c>
      <c r="L213" s="35" t="str">
        <f>IFERROR(__xludf.DUMMYFUNCTION("""COMPUTED_VALUE"""),"Array;String;Backtracking;Trie;Matrix;")</f>
        <v>Array;String;Backtracking;Trie;Matrix;</v>
      </c>
      <c r="M213" s="35" t="b">
        <f>IFERROR(__xludf.DUMMYFUNCTION("""COMPUTED_VALUE"""),TRUE)</f>
        <v>1</v>
      </c>
      <c r="N213" s="35" t="b">
        <f>IFERROR(__xludf.DUMMYFUNCTION("""COMPUTED_VALUE"""),FALSE)</f>
        <v>0</v>
      </c>
      <c r="O213" s="35">
        <f>IFERROR(__xludf.DUMMYFUNCTION("""COMPUTED_VALUE"""),38.2883961363285)</f>
        <v>38.28839614</v>
      </c>
      <c r="P213" s="35">
        <f>IFERROR(__xludf.DUMMYFUNCTION("""COMPUTED_VALUE"""),414190.0)</f>
        <v>414190</v>
      </c>
      <c r="Q213" s="35">
        <f>IFERROR(__xludf.DUMMYFUNCTION("""COMPUTED_VALUE"""),1081761.0)</f>
        <v>1081761</v>
      </c>
    </row>
    <row r="214">
      <c r="A214" s="35">
        <f>IFERROR(__xludf.DUMMYFUNCTION("""COMPUTED_VALUE"""),213.0)</f>
        <v>213</v>
      </c>
      <c r="B214" s="35" t="str">
        <f>IFERROR(__xludf.DUMMYFUNCTION("""COMPUTED_VALUE"""),"House Robber II")</f>
        <v>House Robber II</v>
      </c>
      <c r="C214" s="35" t="str">
        <f>IFERROR(__xludf.DUMMYFUNCTION("""COMPUTED_VALUE"""),"house-robber-ii")</f>
        <v>house-robber-ii</v>
      </c>
      <c r="D214" s="35" t="b">
        <f>IFERROR(__xludf.DUMMYFUNCTION("""COMPUTED_VALUE"""),FALSE)</f>
        <v>0</v>
      </c>
      <c r="E214" s="35" t="str">
        <f>IFERROR(__xludf.DUMMYFUNCTION("""COMPUTED_VALUE"""),"Medium")</f>
        <v>Medium</v>
      </c>
      <c r="F214" s="35">
        <f>IFERROR(__xludf.DUMMYFUNCTION("""COMPUTED_VALUE"""),4999.0)</f>
        <v>4999</v>
      </c>
      <c r="G214" s="35">
        <f>IFERROR(__xludf.DUMMYFUNCTION("""COMPUTED_VALUE"""),89.0)</f>
        <v>89</v>
      </c>
      <c r="H214" s="35" t="str">
        <f>IFERROR(__xludf.DUMMYFUNCTION("""COMPUTED_VALUE"""),"Algorithms")</f>
        <v>Algorithms</v>
      </c>
      <c r="I214" s="35">
        <f>IFERROR(__xludf.DUMMYFUNCTION("""COMPUTED_VALUE"""),0.396)</f>
        <v>0.396</v>
      </c>
      <c r="J214" s="35">
        <f>IFERROR(__xludf.DUMMYFUNCTION("""COMPUTED_VALUE"""),213.0)</f>
        <v>213</v>
      </c>
      <c r="K214" s="35" t="b">
        <f>IFERROR(__xludf.DUMMYFUNCTION("""COMPUTED_VALUE"""),FALSE)</f>
        <v>0</v>
      </c>
      <c r="L214" s="35" t="str">
        <f>IFERROR(__xludf.DUMMYFUNCTION("""COMPUTED_VALUE"""),"Array;Dynamic Programming;")</f>
        <v>Array;Dynamic Programming;</v>
      </c>
      <c r="M214" s="35" t="b">
        <f>IFERROR(__xludf.DUMMYFUNCTION("""COMPUTED_VALUE"""),TRUE)</f>
        <v>1</v>
      </c>
      <c r="N214" s="35" t="b">
        <f>IFERROR(__xludf.DUMMYFUNCTION("""COMPUTED_VALUE"""),FALSE)</f>
        <v>0</v>
      </c>
      <c r="O214" s="35">
        <f>IFERROR(__xludf.DUMMYFUNCTION("""COMPUTED_VALUE"""),39.6159434611784)</f>
        <v>39.61594346</v>
      </c>
      <c r="P214" s="35">
        <f>IFERROR(__xludf.DUMMYFUNCTION("""COMPUTED_VALUE"""),364792.0)</f>
        <v>364792</v>
      </c>
      <c r="Q214" s="35">
        <f>IFERROR(__xludf.DUMMYFUNCTION("""COMPUTED_VALUE"""),920830.0)</f>
        <v>920830</v>
      </c>
    </row>
    <row r="215">
      <c r="A215" s="35">
        <f>IFERROR(__xludf.DUMMYFUNCTION("""COMPUTED_VALUE"""),214.0)</f>
        <v>214</v>
      </c>
      <c r="B215" s="35" t="str">
        <f>IFERROR(__xludf.DUMMYFUNCTION("""COMPUTED_VALUE"""),"Shortest Palindrome")</f>
        <v>Shortest Palindrome</v>
      </c>
      <c r="C215" s="35" t="str">
        <f>IFERROR(__xludf.DUMMYFUNCTION("""COMPUTED_VALUE"""),"shortest-palindrome")</f>
        <v>shortest-palindrome</v>
      </c>
      <c r="D215" s="35" t="b">
        <f>IFERROR(__xludf.DUMMYFUNCTION("""COMPUTED_VALUE"""),FALSE)</f>
        <v>0</v>
      </c>
      <c r="E215" s="35" t="str">
        <f>IFERROR(__xludf.DUMMYFUNCTION("""COMPUTED_VALUE"""),"Hard")</f>
        <v>Hard</v>
      </c>
      <c r="F215" s="35">
        <f>IFERROR(__xludf.DUMMYFUNCTION("""COMPUTED_VALUE"""),2262.0)</f>
        <v>2262</v>
      </c>
      <c r="G215" s="35">
        <f>IFERROR(__xludf.DUMMYFUNCTION("""COMPUTED_VALUE"""),182.0)</f>
        <v>182</v>
      </c>
      <c r="H215" s="35" t="str">
        <f>IFERROR(__xludf.DUMMYFUNCTION("""COMPUTED_VALUE"""),"Algorithms")</f>
        <v>Algorithms</v>
      </c>
      <c r="I215" s="35">
        <f>IFERROR(__xludf.DUMMYFUNCTION("""COMPUTED_VALUE"""),0.317)</f>
        <v>0.317</v>
      </c>
      <c r="J215" s="35">
        <f>IFERROR(__xludf.DUMMYFUNCTION("""COMPUTED_VALUE"""),214.0)</f>
        <v>214</v>
      </c>
      <c r="K215" s="35" t="b">
        <f>IFERROR(__xludf.DUMMYFUNCTION("""COMPUTED_VALUE"""),FALSE)</f>
        <v>0</v>
      </c>
      <c r="L215" s="35" t="str">
        <f>IFERROR(__xludf.DUMMYFUNCTION("""COMPUTED_VALUE"""),"String;Rolling Hash;String Matching;Hash Function;")</f>
        <v>String;Rolling Hash;String Matching;Hash Function;</v>
      </c>
      <c r="M215" s="35" t="b">
        <f>IFERROR(__xludf.DUMMYFUNCTION("""COMPUTED_VALUE"""),TRUE)</f>
        <v>1</v>
      </c>
      <c r="N215" s="35" t="b">
        <f>IFERROR(__xludf.DUMMYFUNCTION("""COMPUTED_VALUE"""),FALSE)</f>
        <v>0</v>
      </c>
      <c r="O215" s="35">
        <f>IFERROR(__xludf.DUMMYFUNCTION("""COMPUTED_VALUE"""),31.6870584591191)</f>
        <v>31.68705846</v>
      </c>
      <c r="P215" s="35">
        <f>IFERROR(__xludf.DUMMYFUNCTION("""COMPUTED_VALUE"""),132989.0)</f>
        <v>132989</v>
      </c>
      <c r="Q215" s="35">
        <f>IFERROR(__xludf.DUMMYFUNCTION("""COMPUTED_VALUE"""),419695.0)</f>
        <v>419695</v>
      </c>
    </row>
    <row r="216">
      <c r="A216" s="35">
        <f>IFERROR(__xludf.DUMMYFUNCTION("""COMPUTED_VALUE"""),215.0)</f>
        <v>215</v>
      </c>
      <c r="B216" s="35" t="str">
        <f>IFERROR(__xludf.DUMMYFUNCTION("""COMPUTED_VALUE"""),"Kth Largest Element in an Array")</f>
        <v>Kth Largest Element in an Array</v>
      </c>
      <c r="C216" s="35" t="str">
        <f>IFERROR(__xludf.DUMMYFUNCTION("""COMPUTED_VALUE"""),"kth-largest-element-in-an-array")</f>
        <v>kth-largest-element-in-an-array</v>
      </c>
      <c r="D216" s="35" t="b">
        <f>IFERROR(__xludf.DUMMYFUNCTION("""COMPUTED_VALUE"""),FALSE)</f>
        <v>0</v>
      </c>
      <c r="E216" s="35" t="str">
        <f>IFERROR(__xludf.DUMMYFUNCTION("""COMPUTED_VALUE"""),"Medium")</f>
        <v>Medium</v>
      </c>
      <c r="F216" s="35">
        <f>IFERROR(__xludf.DUMMYFUNCTION("""COMPUTED_VALUE"""),8522.0)</f>
        <v>8522</v>
      </c>
      <c r="G216" s="35">
        <f>IFERROR(__xludf.DUMMYFUNCTION("""COMPUTED_VALUE"""),475.0)</f>
        <v>475</v>
      </c>
      <c r="H216" s="35" t="str">
        <f>IFERROR(__xludf.DUMMYFUNCTION("""COMPUTED_VALUE"""),"Algorithms")</f>
        <v>Algorithms</v>
      </c>
      <c r="I216" s="35">
        <f>IFERROR(__xludf.DUMMYFUNCTION("""COMPUTED_VALUE"""),0.629)</f>
        <v>0.629</v>
      </c>
      <c r="J216" s="35">
        <f>IFERROR(__xludf.DUMMYFUNCTION("""COMPUTED_VALUE"""),215.0)</f>
        <v>215</v>
      </c>
      <c r="K216" s="35" t="b">
        <f>IFERROR(__xludf.DUMMYFUNCTION("""COMPUTED_VALUE"""),FALSE)</f>
        <v>0</v>
      </c>
      <c r="L216" s="35" t="str">
        <f>IFERROR(__xludf.DUMMYFUNCTION("""COMPUTED_VALUE"""),"Array;Divide and Conquer;Sorting;Heap (Priority Queue);Quickselect;")</f>
        <v>Array;Divide and Conquer;Sorting;Heap (Priority Queue);Quickselect;</v>
      </c>
      <c r="M216" s="35" t="b">
        <f>IFERROR(__xludf.DUMMYFUNCTION("""COMPUTED_VALUE"""),TRUE)</f>
        <v>1</v>
      </c>
      <c r="N216" s="35" t="b">
        <f>IFERROR(__xludf.DUMMYFUNCTION("""COMPUTED_VALUE"""),FALSE)</f>
        <v>0</v>
      </c>
      <c r="O216" s="35">
        <f>IFERROR(__xludf.DUMMYFUNCTION("""COMPUTED_VALUE"""),62.9065611821777)</f>
        <v>62.90656118</v>
      </c>
      <c r="P216" s="35">
        <f>IFERROR(__xludf.DUMMYFUNCTION("""COMPUTED_VALUE"""),1232292.0)</f>
        <v>1232292</v>
      </c>
      <c r="Q216" s="35">
        <f>IFERROR(__xludf.DUMMYFUNCTION("""COMPUTED_VALUE"""),1958933.0)</f>
        <v>1958933</v>
      </c>
    </row>
    <row r="217">
      <c r="A217" s="35">
        <f>IFERROR(__xludf.DUMMYFUNCTION("""COMPUTED_VALUE"""),216.0)</f>
        <v>216</v>
      </c>
      <c r="B217" s="35" t="str">
        <f>IFERROR(__xludf.DUMMYFUNCTION("""COMPUTED_VALUE"""),"Combination Sum III")</f>
        <v>Combination Sum III</v>
      </c>
      <c r="C217" s="35" t="str">
        <f>IFERROR(__xludf.DUMMYFUNCTION("""COMPUTED_VALUE"""),"combination-sum-iii")</f>
        <v>combination-sum-iii</v>
      </c>
      <c r="D217" s="35" t="b">
        <f>IFERROR(__xludf.DUMMYFUNCTION("""COMPUTED_VALUE"""),FALSE)</f>
        <v>0</v>
      </c>
      <c r="E217" s="35" t="str">
        <f>IFERROR(__xludf.DUMMYFUNCTION("""COMPUTED_VALUE"""),"Medium")</f>
        <v>Medium</v>
      </c>
      <c r="F217" s="35">
        <f>IFERROR(__xludf.DUMMYFUNCTION("""COMPUTED_VALUE"""),2655.0)</f>
        <v>2655</v>
      </c>
      <c r="G217" s="35">
        <f>IFERROR(__xludf.DUMMYFUNCTION("""COMPUTED_VALUE"""),73.0)</f>
        <v>73</v>
      </c>
      <c r="H217" s="35" t="str">
        <f>IFERROR(__xludf.DUMMYFUNCTION("""COMPUTED_VALUE"""),"Algorithms")</f>
        <v>Algorithms</v>
      </c>
      <c r="I217" s="35">
        <f>IFERROR(__xludf.DUMMYFUNCTION("""COMPUTED_VALUE"""),0.636)</f>
        <v>0.636</v>
      </c>
      <c r="J217" s="35">
        <f>IFERROR(__xludf.DUMMYFUNCTION("""COMPUTED_VALUE"""),216.0)</f>
        <v>216</v>
      </c>
      <c r="K217" s="35" t="b">
        <f>IFERROR(__xludf.DUMMYFUNCTION("""COMPUTED_VALUE"""),FALSE)</f>
        <v>0</v>
      </c>
      <c r="L217" s="35" t="str">
        <f>IFERROR(__xludf.DUMMYFUNCTION("""COMPUTED_VALUE"""),"Array;Backtracking;")</f>
        <v>Array;Backtracking;</v>
      </c>
      <c r="M217" s="35" t="b">
        <f>IFERROR(__xludf.DUMMYFUNCTION("""COMPUTED_VALUE"""),TRUE)</f>
        <v>1</v>
      </c>
      <c r="N217" s="35" t="b">
        <f>IFERROR(__xludf.DUMMYFUNCTION("""COMPUTED_VALUE"""),FALSE)</f>
        <v>0</v>
      </c>
      <c r="O217" s="35">
        <f>IFERROR(__xludf.DUMMYFUNCTION("""COMPUTED_VALUE"""),63.625880317944)</f>
        <v>63.62588032</v>
      </c>
      <c r="P217" s="35">
        <f>IFERROR(__xludf.DUMMYFUNCTION("""COMPUTED_VALUE"""),278081.0)</f>
        <v>278081</v>
      </c>
      <c r="Q217" s="35">
        <f>IFERROR(__xludf.DUMMYFUNCTION("""COMPUTED_VALUE"""),437057.0)</f>
        <v>437057</v>
      </c>
    </row>
    <row r="218">
      <c r="A218" s="35">
        <f>IFERROR(__xludf.DUMMYFUNCTION("""COMPUTED_VALUE"""),217.0)</f>
        <v>217</v>
      </c>
      <c r="B218" s="35" t="str">
        <f>IFERROR(__xludf.DUMMYFUNCTION("""COMPUTED_VALUE"""),"Contains Duplicate")</f>
        <v>Contains Duplicate</v>
      </c>
      <c r="C218" s="35" t="str">
        <f>IFERROR(__xludf.DUMMYFUNCTION("""COMPUTED_VALUE"""),"contains-duplicate")</f>
        <v>contains-duplicate</v>
      </c>
      <c r="D218" s="35" t="b">
        <f>IFERROR(__xludf.DUMMYFUNCTION("""COMPUTED_VALUE"""),FALSE)</f>
        <v>0</v>
      </c>
      <c r="E218" s="35" t="str">
        <f>IFERROR(__xludf.DUMMYFUNCTION("""COMPUTED_VALUE"""),"Easy")</f>
        <v>Easy</v>
      </c>
      <c r="F218" s="35">
        <f>IFERROR(__xludf.DUMMYFUNCTION("""COMPUTED_VALUE"""),4054.0)</f>
        <v>4054</v>
      </c>
      <c r="G218" s="35">
        <f>IFERROR(__xludf.DUMMYFUNCTION("""COMPUTED_VALUE"""),931.0)</f>
        <v>931</v>
      </c>
      <c r="H218" s="35" t="str">
        <f>IFERROR(__xludf.DUMMYFUNCTION("""COMPUTED_VALUE"""),"Algorithms")</f>
        <v>Algorithms</v>
      </c>
      <c r="I218" s="35">
        <f>IFERROR(__xludf.DUMMYFUNCTION("""COMPUTED_VALUE"""),0.604)</f>
        <v>0.604</v>
      </c>
      <c r="J218" s="35">
        <f>IFERROR(__xludf.DUMMYFUNCTION("""COMPUTED_VALUE"""),217.0)</f>
        <v>217</v>
      </c>
      <c r="K218" s="35" t="b">
        <f>IFERROR(__xludf.DUMMYFUNCTION("""COMPUTED_VALUE"""),FALSE)</f>
        <v>0</v>
      </c>
      <c r="L218" s="35" t="str">
        <f>IFERROR(__xludf.DUMMYFUNCTION("""COMPUTED_VALUE"""),"Array;Hash Table;Sorting;")</f>
        <v>Array;Hash Table;Sorting;</v>
      </c>
      <c r="M218" s="35" t="b">
        <f>IFERROR(__xludf.DUMMYFUNCTION("""COMPUTED_VALUE"""),TRUE)</f>
        <v>1</v>
      </c>
      <c r="N218" s="35" t="b">
        <f>IFERROR(__xludf.DUMMYFUNCTION("""COMPUTED_VALUE"""),FALSE)</f>
        <v>0</v>
      </c>
      <c r="O218" s="35">
        <f>IFERROR(__xludf.DUMMYFUNCTION("""COMPUTED_VALUE"""),60.3852916510272)</f>
        <v>60.38529165</v>
      </c>
      <c r="P218" s="35">
        <f>IFERROR(__xludf.DUMMYFUNCTION("""COMPUTED_VALUE"""),1386740.0)</f>
        <v>1386740</v>
      </c>
      <c r="Q218" s="35">
        <f>IFERROR(__xludf.DUMMYFUNCTION("""COMPUTED_VALUE"""),2296499.0)</f>
        <v>2296499</v>
      </c>
    </row>
    <row r="219">
      <c r="A219" s="35">
        <f>IFERROR(__xludf.DUMMYFUNCTION("""COMPUTED_VALUE"""),218.0)</f>
        <v>218</v>
      </c>
      <c r="B219" s="35" t="str">
        <f>IFERROR(__xludf.DUMMYFUNCTION("""COMPUTED_VALUE"""),"The Skyline Problem")</f>
        <v>The Skyline Problem</v>
      </c>
      <c r="C219" s="35" t="str">
        <f>IFERROR(__xludf.DUMMYFUNCTION("""COMPUTED_VALUE"""),"the-skyline-problem")</f>
        <v>the-skyline-problem</v>
      </c>
      <c r="D219" s="35" t="b">
        <f>IFERROR(__xludf.DUMMYFUNCTION("""COMPUTED_VALUE"""),FALSE)</f>
        <v>0</v>
      </c>
      <c r="E219" s="35" t="str">
        <f>IFERROR(__xludf.DUMMYFUNCTION("""COMPUTED_VALUE"""),"Hard")</f>
        <v>Hard</v>
      </c>
      <c r="F219" s="35">
        <f>IFERROR(__xludf.DUMMYFUNCTION("""COMPUTED_VALUE"""),3670.0)</f>
        <v>3670</v>
      </c>
      <c r="G219" s="35">
        <f>IFERROR(__xludf.DUMMYFUNCTION("""COMPUTED_VALUE"""),190.0)</f>
        <v>190</v>
      </c>
      <c r="H219" s="35" t="str">
        <f>IFERROR(__xludf.DUMMYFUNCTION("""COMPUTED_VALUE"""),"Algorithms")</f>
        <v>Algorithms</v>
      </c>
      <c r="I219" s="35">
        <f>IFERROR(__xludf.DUMMYFUNCTION("""COMPUTED_VALUE"""),0.384)</f>
        <v>0.384</v>
      </c>
      <c r="J219" s="35">
        <f>IFERROR(__xludf.DUMMYFUNCTION("""COMPUTED_VALUE"""),218.0)</f>
        <v>218</v>
      </c>
      <c r="K219" s="35" t="b">
        <f>IFERROR(__xludf.DUMMYFUNCTION("""COMPUTED_VALUE"""),FALSE)</f>
        <v>0</v>
      </c>
      <c r="L219" s="35" t="str">
        <f>IFERROR(__xludf.DUMMYFUNCTION("""COMPUTED_VALUE"""),"Array;Divide and Conquer;Binary Indexed Tree;Segment Tree;Line Sweep;Heap (Priority Queue);Ordered Set;")</f>
        <v>Array;Divide and Conquer;Binary Indexed Tree;Segment Tree;Line Sweep;Heap (Priority Queue);Ordered Set;</v>
      </c>
      <c r="M219" s="35" t="b">
        <f>IFERROR(__xludf.DUMMYFUNCTION("""COMPUTED_VALUE"""),TRUE)</f>
        <v>1</v>
      </c>
      <c r="N219" s="35" t="b">
        <f>IFERROR(__xludf.DUMMYFUNCTION("""COMPUTED_VALUE"""),FALSE)</f>
        <v>0</v>
      </c>
      <c r="O219" s="35">
        <f>IFERROR(__xludf.DUMMYFUNCTION("""COMPUTED_VALUE"""),38.4466648269941)</f>
        <v>38.44666483</v>
      </c>
      <c r="P219" s="35">
        <f>IFERROR(__xludf.DUMMYFUNCTION("""COMPUTED_VALUE"""),200622.0)</f>
        <v>200622</v>
      </c>
      <c r="Q219" s="35">
        <f>IFERROR(__xludf.DUMMYFUNCTION("""COMPUTED_VALUE"""),521827.0)</f>
        <v>521827</v>
      </c>
    </row>
    <row r="220">
      <c r="A220" s="35">
        <f>IFERROR(__xludf.DUMMYFUNCTION("""COMPUTED_VALUE"""),219.0)</f>
        <v>219</v>
      </c>
      <c r="B220" s="35" t="str">
        <f>IFERROR(__xludf.DUMMYFUNCTION("""COMPUTED_VALUE"""),"Contains Duplicate II")</f>
        <v>Contains Duplicate II</v>
      </c>
      <c r="C220" s="35" t="str">
        <f>IFERROR(__xludf.DUMMYFUNCTION("""COMPUTED_VALUE"""),"contains-duplicate-ii")</f>
        <v>contains-duplicate-ii</v>
      </c>
      <c r="D220" s="35" t="b">
        <f>IFERROR(__xludf.DUMMYFUNCTION("""COMPUTED_VALUE"""),FALSE)</f>
        <v>0</v>
      </c>
      <c r="E220" s="35" t="str">
        <f>IFERROR(__xludf.DUMMYFUNCTION("""COMPUTED_VALUE"""),"Easy")</f>
        <v>Easy</v>
      </c>
      <c r="F220" s="35">
        <f>IFERROR(__xludf.DUMMYFUNCTION("""COMPUTED_VALUE"""),2237.0)</f>
        <v>2237</v>
      </c>
      <c r="G220" s="35">
        <f>IFERROR(__xludf.DUMMYFUNCTION("""COMPUTED_VALUE"""),1805.0)</f>
        <v>1805</v>
      </c>
      <c r="H220" s="35" t="str">
        <f>IFERROR(__xludf.DUMMYFUNCTION("""COMPUTED_VALUE"""),"Algorithms")</f>
        <v>Algorithms</v>
      </c>
      <c r="I220" s="35">
        <f>IFERROR(__xludf.DUMMYFUNCTION("""COMPUTED_VALUE"""),0.405)</f>
        <v>0.405</v>
      </c>
      <c r="J220" s="35">
        <f>IFERROR(__xludf.DUMMYFUNCTION("""COMPUTED_VALUE"""),219.0)</f>
        <v>219</v>
      </c>
      <c r="K220" s="35" t="b">
        <f>IFERROR(__xludf.DUMMYFUNCTION("""COMPUTED_VALUE"""),FALSE)</f>
        <v>0</v>
      </c>
      <c r="L220" s="35" t="str">
        <f>IFERROR(__xludf.DUMMYFUNCTION("""COMPUTED_VALUE"""),"Array;Hash Table;Sliding Window;")</f>
        <v>Array;Hash Table;Sliding Window;</v>
      </c>
      <c r="M220" s="35" t="b">
        <f>IFERROR(__xludf.DUMMYFUNCTION("""COMPUTED_VALUE"""),TRUE)</f>
        <v>1</v>
      </c>
      <c r="N220" s="35" t="b">
        <f>IFERROR(__xludf.DUMMYFUNCTION("""COMPUTED_VALUE"""),FALSE)</f>
        <v>0</v>
      </c>
      <c r="O220" s="35">
        <f>IFERROR(__xludf.DUMMYFUNCTION("""COMPUTED_VALUE"""),40.5187119493019)</f>
        <v>40.51871195</v>
      </c>
      <c r="P220" s="35">
        <f>IFERROR(__xludf.DUMMYFUNCTION("""COMPUTED_VALUE"""),435858.0)</f>
        <v>435858</v>
      </c>
      <c r="Q220" s="35">
        <f>IFERROR(__xludf.DUMMYFUNCTION("""COMPUTED_VALUE"""),1075698.0)</f>
        <v>1075698</v>
      </c>
    </row>
    <row r="221">
      <c r="A221" s="35">
        <f>IFERROR(__xludf.DUMMYFUNCTION("""COMPUTED_VALUE"""),220.0)</f>
        <v>220</v>
      </c>
      <c r="B221" s="35" t="str">
        <f>IFERROR(__xludf.DUMMYFUNCTION("""COMPUTED_VALUE"""),"Contains Duplicate III")</f>
        <v>Contains Duplicate III</v>
      </c>
      <c r="C221" s="35" t="str">
        <f>IFERROR(__xludf.DUMMYFUNCTION("""COMPUTED_VALUE"""),"contains-duplicate-iii")</f>
        <v>contains-duplicate-iii</v>
      </c>
      <c r="D221" s="35" t="b">
        <f>IFERROR(__xludf.DUMMYFUNCTION("""COMPUTED_VALUE"""),FALSE)</f>
        <v>0</v>
      </c>
      <c r="E221" s="35" t="str">
        <f>IFERROR(__xludf.DUMMYFUNCTION("""COMPUTED_VALUE"""),"Medium")</f>
        <v>Medium</v>
      </c>
      <c r="F221" s="35">
        <f>IFERROR(__xludf.DUMMYFUNCTION("""COMPUTED_VALUE"""),2194.0)</f>
        <v>2194</v>
      </c>
      <c r="G221" s="35">
        <f>IFERROR(__xludf.DUMMYFUNCTION("""COMPUTED_VALUE"""),2159.0)</f>
        <v>2159</v>
      </c>
      <c r="H221" s="35" t="str">
        <f>IFERROR(__xludf.DUMMYFUNCTION("""COMPUTED_VALUE"""),"Algorithms")</f>
        <v>Algorithms</v>
      </c>
      <c r="I221" s="35">
        <f>IFERROR(__xludf.DUMMYFUNCTION("""COMPUTED_VALUE"""),0.217)</f>
        <v>0.217</v>
      </c>
      <c r="J221" s="35">
        <f>IFERROR(__xludf.DUMMYFUNCTION("""COMPUTED_VALUE"""),220.0)</f>
        <v>220</v>
      </c>
      <c r="K221" s="35" t="b">
        <f>IFERROR(__xludf.DUMMYFUNCTION("""COMPUTED_VALUE"""),FALSE)</f>
        <v>0</v>
      </c>
      <c r="L221" s="35" t="str">
        <f>IFERROR(__xludf.DUMMYFUNCTION("""COMPUTED_VALUE"""),"Array;Sliding Window;Sorting;Bucket Sort;Ordered Set;")</f>
        <v>Array;Sliding Window;Sorting;Bucket Sort;Ordered Set;</v>
      </c>
      <c r="M221" s="35" t="b">
        <f>IFERROR(__xludf.DUMMYFUNCTION("""COMPUTED_VALUE"""),TRUE)</f>
        <v>1</v>
      </c>
      <c r="N221" s="35" t="b">
        <f>IFERROR(__xludf.DUMMYFUNCTION("""COMPUTED_VALUE"""),FALSE)</f>
        <v>0</v>
      </c>
      <c r="O221" s="35">
        <f>IFERROR(__xludf.DUMMYFUNCTION("""COMPUTED_VALUE"""),21.6898852921269)</f>
        <v>21.68988529</v>
      </c>
      <c r="P221" s="35">
        <f>IFERROR(__xludf.DUMMYFUNCTION("""COMPUTED_VALUE"""),196765.0)</f>
        <v>196765</v>
      </c>
      <c r="Q221" s="35">
        <f>IFERROR(__xludf.DUMMYFUNCTION("""COMPUTED_VALUE"""),907170.0)</f>
        <v>907170</v>
      </c>
    </row>
    <row r="222">
      <c r="A222" s="35">
        <f>IFERROR(__xludf.DUMMYFUNCTION("""COMPUTED_VALUE"""),221.0)</f>
        <v>221</v>
      </c>
      <c r="B222" s="35" t="str">
        <f>IFERROR(__xludf.DUMMYFUNCTION("""COMPUTED_VALUE"""),"Maximal Square")</f>
        <v>Maximal Square</v>
      </c>
      <c r="C222" s="35" t="str">
        <f>IFERROR(__xludf.DUMMYFUNCTION("""COMPUTED_VALUE"""),"maximal-square")</f>
        <v>maximal-square</v>
      </c>
      <c r="D222" s="35" t="b">
        <f>IFERROR(__xludf.DUMMYFUNCTION("""COMPUTED_VALUE"""),FALSE)</f>
        <v>0</v>
      </c>
      <c r="E222" s="35" t="str">
        <f>IFERROR(__xludf.DUMMYFUNCTION("""COMPUTED_VALUE"""),"Medium")</f>
        <v>Medium</v>
      </c>
      <c r="F222" s="35">
        <f>IFERROR(__xludf.DUMMYFUNCTION("""COMPUTED_VALUE"""),6838.0)</f>
        <v>6838</v>
      </c>
      <c r="G222" s="35">
        <f>IFERROR(__xludf.DUMMYFUNCTION("""COMPUTED_VALUE"""),144.0)</f>
        <v>144</v>
      </c>
      <c r="H222" s="35" t="str">
        <f>IFERROR(__xludf.DUMMYFUNCTION("""COMPUTED_VALUE"""),"Algorithms")</f>
        <v>Algorithms</v>
      </c>
      <c r="I222" s="35">
        <f>IFERROR(__xludf.DUMMYFUNCTION("""COMPUTED_VALUE"""),0.432)</f>
        <v>0.432</v>
      </c>
      <c r="J222" s="35">
        <f>IFERROR(__xludf.DUMMYFUNCTION("""COMPUTED_VALUE"""),221.0)</f>
        <v>221</v>
      </c>
      <c r="K222" s="35" t="b">
        <f>IFERROR(__xludf.DUMMYFUNCTION("""COMPUTED_VALUE"""),FALSE)</f>
        <v>0</v>
      </c>
      <c r="L222" s="35" t="str">
        <f>IFERROR(__xludf.DUMMYFUNCTION("""COMPUTED_VALUE"""),"Array;Dynamic Programming;Matrix;")</f>
        <v>Array;Dynamic Programming;Matrix;</v>
      </c>
      <c r="M222" s="35" t="b">
        <f>IFERROR(__xludf.DUMMYFUNCTION("""COMPUTED_VALUE"""),TRUE)</f>
        <v>1</v>
      </c>
      <c r="N222" s="35" t="b">
        <f>IFERROR(__xludf.DUMMYFUNCTION("""COMPUTED_VALUE"""),FALSE)</f>
        <v>0</v>
      </c>
      <c r="O222" s="35">
        <f>IFERROR(__xludf.DUMMYFUNCTION("""COMPUTED_VALUE"""),43.1505289564246)</f>
        <v>43.15052896</v>
      </c>
      <c r="P222" s="35">
        <f>IFERROR(__xludf.DUMMYFUNCTION("""COMPUTED_VALUE"""),473712.0)</f>
        <v>473712</v>
      </c>
      <c r="Q222" s="35">
        <f>IFERROR(__xludf.DUMMYFUNCTION("""COMPUTED_VALUE"""),1097817.0)</f>
        <v>1097817</v>
      </c>
    </row>
    <row r="223">
      <c r="A223" s="35">
        <f>IFERROR(__xludf.DUMMYFUNCTION("""COMPUTED_VALUE"""),222.0)</f>
        <v>222</v>
      </c>
      <c r="B223" s="35" t="str">
        <f>IFERROR(__xludf.DUMMYFUNCTION("""COMPUTED_VALUE"""),"Count Complete Tree Nodes")</f>
        <v>Count Complete Tree Nodes</v>
      </c>
      <c r="C223" s="35" t="str">
        <f>IFERROR(__xludf.DUMMYFUNCTION("""COMPUTED_VALUE"""),"count-complete-tree-nodes")</f>
        <v>count-complete-tree-nodes</v>
      </c>
      <c r="D223" s="35" t="b">
        <f>IFERROR(__xludf.DUMMYFUNCTION("""COMPUTED_VALUE"""),FALSE)</f>
        <v>0</v>
      </c>
      <c r="E223" s="35" t="str">
        <f>IFERROR(__xludf.DUMMYFUNCTION("""COMPUTED_VALUE"""),"Medium")</f>
        <v>Medium</v>
      </c>
      <c r="F223" s="35">
        <f>IFERROR(__xludf.DUMMYFUNCTION("""COMPUTED_VALUE"""),4574.0)</f>
        <v>4574</v>
      </c>
      <c r="G223" s="35">
        <f>IFERROR(__xludf.DUMMYFUNCTION("""COMPUTED_VALUE"""),305.0)</f>
        <v>305</v>
      </c>
      <c r="H223" s="35" t="str">
        <f>IFERROR(__xludf.DUMMYFUNCTION("""COMPUTED_VALUE"""),"Algorithms")</f>
        <v>Algorithms</v>
      </c>
      <c r="I223" s="35">
        <f>IFERROR(__xludf.DUMMYFUNCTION("""COMPUTED_VALUE"""),0.547)</f>
        <v>0.547</v>
      </c>
      <c r="J223" s="35">
        <f>IFERROR(__xludf.DUMMYFUNCTION("""COMPUTED_VALUE"""),222.0)</f>
        <v>222</v>
      </c>
      <c r="K223" s="35" t="b">
        <f>IFERROR(__xludf.DUMMYFUNCTION("""COMPUTED_VALUE"""),FALSE)</f>
        <v>0</v>
      </c>
      <c r="L223" s="35" t="str">
        <f>IFERROR(__xludf.DUMMYFUNCTION("""COMPUTED_VALUE"""),"Binary Search;Tree;Depth-First Search;Binary Tree;")</f>
        <v>Binary Search;Tree;Depth-First Search;Binary Tree;</v>
      </c>
      <c r="M223" s="35" t="b">
        <f>IFERROR(__xludf.DUMMYFUNCTION("""COMPUTED_VALUE"""),TRUE)</f>
        <v>1</v>
      </c>
      <c r="N223" s="35" t="b">
        <f>IFERROR(__xludf.DUMMYFUNCTION("""COMPUTED_VALUE"""),FALSE)</f>
        <v>0</v>
      </c>
      <c r="O223" s="35">
        <f>IFERROR(__xludf.DUMMYFUNCTION("""COMPUTED_VALUE"""),54.7118110414258)</f>
        <v>54.71181104</v>
      </c>
      <c r="P223" s="35">
        <f>IFERROR(__xludf.DUMMYFUNCTION("""COMPUTED_VALUE"""),387153.0)</f>
        <v>387153</v>
      </c>
      <c r="Q223" s="35">
        <f>IFERROR(__xludf.DUMMYFUNCTION("""COMPUTED_VALUE"""),707624.0)</f>
        <v>707624</v>
      </c>
    </row>
    <row r="224">
      <c r="A224" s="35">
        <f>IFERROR(__xludf.DUMMYFUNCTION("""COMPUTED_VALUE"""),223.0)</f>
        <v>223</v>
      </c>
      <c r="B224" s="35" t="str">
        <f>IFERROR(__xludf.DUMMYFUNCTION("""COMPUTED_VALUE"""),"Rectangle Area")</f>
        <v>Rectangle Area</v>
      </c>
      <c r="C224" s="35" t="str">
        <f>IFERROR(__xludf.DUMMYFUNCTION("""COMPUTED_VALUE"""),"rectangle-area")</f>
        <v>rectangle-area</v>
      </c>
      <c r="D224" s="35" t="b">
        <f>IFERROR(__xludf.DUMMYFUNCTION("""COMPUTED_VALUE"""),FALSE)</f>
        <v>0</v>
      </c>
      <c r="E224" s="35" t="str">
        <f>IFERROR(__xludf.DUMMYFUNCTION("""COMPUTED_VALUE"""),"Medium")</f>
        <v>Medium</v>
      </c>
      <c r="F224" s="35">
        <f>IFERROR(__xludf.DUMMYFUNCTION("""COMPUTED_VALUE"""),723.0)</f>
        <v>723</v>
      </c>
      <c r="G224" s="35">
        <f>IFERROR(__xludf.DUMMYFUNCTION("""COMPUTED_VALUE"""),997.0)</f>
        <v>997</v>
      </c>
      <c r="H224" s="35" t="str">
        <f>IFERROR(__xludf.DUMMYFUNCTION("""COMPUTED_VALUE"""),"Algorithms")</f>
        <v>Algorithms</v>
      </c>
      <c r="I224" s="35">
        <f>IFERROR(__xludf.DUMMYFUNCTION("""COMPUTED_VALUE"""),0.399)</f>
        <v>0.399</v>
      </c>
      <c r="J224" s="35">
        <f>IFERROR(__xludf.DUMMYFUNCTION("""COMPUTED_VALUE"""),223.0)</f>
        <v>223</v>
      </c>
      <c r="K224" s="35" t="b">
        <f>IFERROR(__xludf.DUMMYFUNCTION("""COMPUTED_VALUE"""),FALSE)</f>
        <v>0</v>
      </c>
      <c r="L224" s="35" t="str">
        <f>IFERROR(__xludf.DUMMYFUNCTION("""COMPUTED_VALUE"""),"Math;Geometry;")</f>
        <v>Math;Geometry;</v>
      </c>
      <c r="M224" s="35" t="b">
        <f>IFERROR(__xludf.DUMMYFUNCTION("""COMPUTED_VALUE"""),FALSE)</f>
        <v>0</v>
      </c>
      <c r="N224" s="35" t="b">
        <f>IFERROR(__xludf.DUMMYFUNCTION("""COMPUTED_VALUE"""),FALSE)</f>
        <v>0</v>
      </c>
      <c r="O224" s="35">
        <f>IFERROR(__xludf.DUMMYFUNCTION("""COMPUTED_VALUE"""),39.9084922093106)</f>
        <v>39.90849221</v>
      </c>
      <c r="P224" s="35">
        <f>IFERROR(__xludf.DUMMYFUNCTION("""COMPUTED_VALUE"""),133802.0)</f>
        <v>133802</v>
      </c>
      <c r="Q224" s="35">
        <f>IFERROR(__xludf.DUMMYFUNCTION("""COMPUTED_VALUE"""),335272.0)</f>
        <v>335272</v>
      </c>
    </row>
    <row r="225">
      <c r="A225" s="35">
        <f>IFERROR(__xludf.DUMMYFUNCTION("""COMPUTED_VALUE"""),224.0)</f>
        <v>224</v>
      </c>
      <c r="B225" s="35" t="str">
        <f>IFERROR(__xludf.DUMMYFUNCTION("""COMPUTED_VALUE"""),"Basic Calculator")</f>
        <v>Basic Calculator</v>
      </c>
      <c r="C225" s="35" t="str">
        <f>IFERROR(__xludf.DUMMYFUNCTION("""COMPUTED_VALUE"""),"basic-calculator")</f>
        <v>basic-calculator</v>
      </c>
      <c r="D225" s="35" t="b">
        <f>IFERROR(__xludf.DUMMYFUNCTION("""COMPUTED_VALUE"""),FALSE)</f>
        <v>0</v>
      </c>
      <c r="E225" s="35" t="str">
        <f>IFERROR(__xludf.DUMMYFUNCTION("""COMPUTED_VALUE"""),"Hard")</f>
        <v>Hard</v>
      </c>
      <c r="F225" s="35">
        <f>IFERROR(__xludf.DUMMYFUNCTION("""COMPUTED_VALUE"""),3403.0)</f>
        <v>3403</v>
      </c>
      <c r="G225" s="35">
        <f>IFERROR(__xludf.DUMMYFUNCTION("""COMPUTED_VALUE"""),285.0)</f>
        <v>285</v>
      </c>
      <c r="H225" s="35" t="str">
        <f>IFERROR(__xludf.DUMMYFUNCTION("""COMPUTED_VALUE"""),"Algorithms")</f>
        <v>Algorithms</v>
      </c>
      <c r="I225" s="35">
        <f>IFERROR(__xludf.DUMMYFUNCTION("""COMPUTED_VALUE"""),0.403)</f>
        <v>0.403</v>
      </c>
      <c r="J225" s="35">
        <f>IFERROR(__xludf.DUMMYFUNCTION("""COMPUTED_VALUE"""),224.0)</f>
        <v>224</v>
      </c>
      <c r="K225" s="35" t="b">
        <f>IFERROR(__xludf.DUMMYFUNCTION("""COMPUTED_VALUE"""),FALSE)</f>
        <v>0</v>
      </c>
      <c r="L225" s="35" t="str">
        <f>IFERROR(__xludf.DUMMYFUNCTION("""COMPUTED_VALUE"""),"Math;String;Stack;Recursion;")</f>
        <v>Math;String;Stack;Recursion;</v>
      </c>
      <c r="M225" s="35" t="b">
        <f>IFERROR(__xludf.DUMMYFUNCTION("""COMPUTED_VALUE"""),TRUE)</f>
        <v>1</v>
      </c>
      <c r="N225" s="35" t="b">
        <f>IFERROR(__xludf.DUMMYFUNCTION("""COMPUTED_VALUE"""),FALSE)</f>
        <v>0</v>
      </c>
      <c r="O225" s="35">
        <f>IFERROR(__xludf.DUMMYFUNCTION("""COMPUTED_VALUE"""),40.2907219064069)</f>
        <v>40.29072191</v>
      </c>
      <c r="P225" s="35">
        <f>IFERROR(__xludf.DUMMYFUNCTION("""COMPUTED_VALUE"""),281306.0)</f>
        <v>281306</v>
      </c>
      <c r="Q225" s="35">
        <f>IFERROR(__xludf.DUMMYFUNCTION("""COMPUTED_VALUE"""),698192.0)</f>
        <v>698192</v>
      </c>
    </row>
    <row r="226">
      <c r="A226" s="35">
        <f>IFERROR(__xludf.DUMMYFUNCTION("""COMPUTED_VALUE"""),225.0)</f>
        <v>225</v>
      </c>
      <c r="B226" s="35" t="str">
        <f>IFERROR(__xludf.DUMMYFUNCTION("""COMPUTED_VALUE"""),"Implement Stack using Queues")</f>
        <v>Implement Stack using Queues</v>
      </c>
      <c r="C226" s="35" t="str">
        <f>IFERROR(__xludf.DUMMYFUNCTION("""COMPUTED_VALUE"""),"implement-stack-using-queues")</f>
        <v>implement-stack-using-queues</v>
      </c>
      <c r="D226" s="35" t="b">
        <f>IFERROR(__xludf.DUMMYFUNCTION("""COMPUTED_VALUE"""),FALSE)</f>
        <v>0</v>
      </c>
      <c r="E226" s="35" t="str">
        <f>IFERROR(__xludf.DUMMYFUNCTION("""COMPUTED_VALUE"""),"Easy")</f>
        <v>Easy</v>
      </c>
      <c r="F226" s="35">
        <f>IFERROR(__xludf.DUMMYFUNCTION("""COMPUTED_VALUE"""),1913.0)</f>
        <v>1913</v>
      </c>
      <c r="G226" s="35">
        <f>IFERROR(__xludf.DUMMYFUNCTION("""COMPUTED_VALUE"""),775.0)</f>
        <v>775</v>
      </c>
      <c r="H226" s="35" t="str">
        <f>IFERROR(__xludf.DUMMYFUNCTION("""COMPUTED_VALUE"""),"Algorithms")</f>
        <v>Algorithms</v>
      </c>
      <c r="I226" s="35">
        <f>IFERROR(__xludf.DUMMYFUNCTION("""COMPUTED_VALUE"""),0.52)</f>
        <v>0.52</v>
      </c>
      <c r="J226" s="35">
        <f>IFERROR(__xludf.DUMMYFUNCTION("""COMPUTED_VALUE"""),225.0)</f>
        <v>225</v>
      </c>
      <c r="K226" s="35" t="b">
        <f>IFERROR(__xludf.DUMMYFUNCTION("""COMPUTED_VALUE"""),FALSE)</f>
        <v>0</v>
      </c>
      <c r="L226" s="35" t="str">
        <f>IFERROR(__xludf.DUMMYFUNCTION("""COMPUTED_VALUE"""),"Stack;Design;Queue;")</f>
        <v>Stack;Design;Queue;</v>
      </c>
      <c r="M226" s="35" t="b">
        <f>IFERROR(__xludf.DUMMYFUNCTION("""COMPUTED_VALUE"""),TRUE)</f>
        <v>1</v>
      </c>
      <c r="N226" s="35" t="b">
        <f>IFERROR(__xludf.DUMMYFUNCTION("""COMPUTED_VALUE"""),FALSE)</f>
        <v>0</v>
      </c>
      <c r="O226" s="35">
        <f>IFERROR(__xludf.DUMMYFUNCTION("""COMPUTED_VALUE"""),52.0470520303957)</f>
        <v>52.04705203</v>
      </c>
      <c r="P226" s="35">
        <f>IFERROR(__xludf.DUMMYFUNCTION("""COMPUTED_VALUE"""),281229.0)</f>
        <v>281229</v>
      </c>
      <c r="Q226" s="35">
        <f>IFERROR(__xludf.DUMMYFUNCTION("""COMPUTED_VALUE"""),540337.0)</f>
        <v>540337</v>
      </c>
    </row>
    <row r="227">
      <c r="A227" s="35">
        <f>IFERROR(__xludf.DUMMYFUNCTION("""COMPUTED_VALUE"""),226.0)</f>
        <v>226</v>
      </c>
      <c r="B227" s="35" t="str">
        <f>IFERROR(__xludf.DUMMYFUNCTION("""COMPUTED_VALUE"""),"Invert Binary Tree")</f>
        <v>Invert Binary Tree</v>
      </c>
      <c r="C227" s="35" t="str">
        <f>IFERROR(__xludf.DUMMYFUNCTION("""COMPUTED_VALUE"""),"invert-binary-tree")</f>
        <v>invert-binary-tree</v>
      </c>
      <c r="D227" s="35" t="b">
        <f>IFERROR(__xludf.DUMMYFUNCTION("""COMPUTED_VALUE"""),FALSE)</f>
        <v>0</v>
      </c>
      <c r="E227" s="35" t="str">
        <f>IFERROR(__xludf.DUMMYFUNCTION("""COMPUTED_VALUE"""),"Easy")</f>
        <v>Easy</v>
      </c>
      <c r="F227" s="35">
        <f>IFERROR(__xludf.DUMMYFUNCTION("""COMPUTED_VALUE"""),7795.0)</f>
        <v>7795</v>
      </c>
      <c r="G227" s="35">
        <f>IFERROR(__xludf.DUMMYFUNCTION("""COMPUTED_VALUE"""),105.0)</f>
        <v>105</v>
      </c>
      <c r="H227" s="35" t="str">
        <f>IFERROR(__xludf.DUMMYFUNCTION("""COMPUTED_VALUE"""),"Algorithms")</f>
        <v>Algorithms</v>
      </c>
      <c r="I227" s="35">
        <f>IFERROR(__xludf.DUMMYFUNCTION("""COMPUTED_VALUE"""),0.711)</f>
        <v>0.711</v>
      </c>
      <c r="J227" s="35">
        <f>IFERROR(__xludf.DUMMYFUNCTION("""COMPUTED_VALUE"""),226.0)</f>
        <v>226</v>
      </c>
      <c r="K227" s="35" t="b">
        <f>IFERROR(__xludf.DUMMYFUNCTION("""COMPUTED_VALUE"""),FALSE)</f>
        <v>0</v>
      </c>
      <c r="L227" s="35" t="str">
        <f>IFERROR(__xludf.DUMMYFUNCTION("""COMPUTED_VALUE"""),"Tree;Depth-First Search;Breadth-First Search;Binary Tree;")</f>
        <v>Tree;Depth-First Search;Breadth-First Search;Binary Tree;</v>
      </c>
      <c r="M227" s="35" t="b">
        <f>IFERROR(__xludf.DUMMYFUNCTION("""COMPUTED_VALUE"""),TRUE)</f>
        <v>1</v>
      </c>
      <c r="N227" s="35" t="b">
        <f>IFERROR(__xludf.DUMMYFUNCTION("""COMPUTED_VALUE"""),TRUE)</f>
        <v>1</v>
      </c>
      <c r="O227" s="35">
        <f>IFERROR(__xludf.DUMMYFUNCTION("""COMPUTED_VALUE"""),71.0582104577485)</f>
        <v>71.05821046</v>
      </c>
      <c r="P227" s="35">
        <f>IFERROR(__xludf.DUMMYFUNCTION("""COMPUTED_VALUE"""),959958.0)</f>
        <v>959958</v>
      </c>
      <c r="Q227" s="35">
        <f>IFERROR(__xludf.DUMMYFUNCTION("""COMPUTED_VALUE"""),1350948.0)</f>
        <v>1350948</v>
      </c>
    </row>
    <row r="228">
      <c r="A228" s="35">
        <f>IFERROR(__xludf.DUMMYFUNCTION("""COMPUTED_VALUE"""),227.0)</f>
        <v>227</v>
      </c>
      <c r="B228" s="35" t="str">
        <f>IFERROR(__xludf.DUMMYFUNCTION("""COMPUTED_VALUE"""),"Basic Calculator II")</f>
        <v>Basic Calculator II</v>
      </c>
      <c r="C228" s="35" t="str">
        <f>IFERROR(__xludf.DUMMYFUNCTION("""COMPUTED_VALUE"""),"basic-calculator-ii")</f>
        <v>basic-calculator-ii</v>
      </c>
      <c r="D228" s="35" t="b">
        <f>IFERROR(__xludf.DUMMYFUNCTION("""COMPUTED_VALUE"""),FALSE)</f>
        <v>0</v>
      </c>
      <c r="E228" s="35" t="str">
        <f>IFERROR(__xludf.DUMMYFUNCTION("""COMPUTED_VALUE"""),"Medium")</f>
        <v>Medium</v>
      </c>
      <c r="F228" s="35">
        <f>IFERROR(__xludf.DUMMYFUNCTION("""COMPUTED_VALUE"""),4044.0)</f>
        <v>4044</v>
      </c>
      <c r="G228" s="35">
        <f>IFERROR(__xludf.DUMMYFUNCTION("""COMPUTED_VALUE"""),533.0)</f>
        <v>533</v>
      </c>
      <c r="H228" s="35" t="str">
        <f>IFERROR(__xludf.DUMMYFUNCTION("""COMPUTED_VALUE"""),"Algorithms")</f>
        <v>Algorithms</v>
      </c>
      <c r="I228" s="35">
        <f>IFERROR(__xludf.DUMMYFUNCTION("""COMPUTED_VALUE"""),0.413)</f>
        <v>0.413</v>
      </c>
      <c r="J228" s="35">
        <f>IFERROR(__xludf.DUMMYFUNCTION("""COMPUTED_VALUE"""),227.0)</f>
        <v>227</v>
      </c>
      <c r="K228" s="35" t="b">
        <f>IFERROR(__xludf.DUMMYFUNCTION("""COMPUTED_VALUE"""),FALSE)</f>
        <v>0</v>
      </c>
      <c r="L228" s="35" t="str">
        <f>IFERROR(__xludf.DUMMYFUNCTION("""COMPUTED_VALUE"""),"Math;String;Stack;")</f>
        <v>Math;String;Stack;</v>
      </c>
      <c r="M228" s="35" t="b">
        <f>IFERROR(__xludf.DUMMYFUNCTION("""COMPUTED_VALUE"""),TRUE)</f>
        <v>1</v>
      </c>
      <c r="N228" s="35" t="b">
        <f>IFERROR(__xludf.DUMMYFUNCTION("""COMPUTED_VALUE"""),FALSE)</f>
        <v>0</v>
      </c>
      <c r="O228" s="35">
        <f>IFERROR(__xludf.DUMMYFUNCTION("""COMPUTED_VALUE"""),41.3101336521328)</f>
        <v>41.31013365</v>
      </c>
      <c r="P228" s="35">
        <f>IFERROR(__xludf.DUMMYFUNCTION("""COMPUTED_VALUE"""),400138.0)</f>
        <v>400138</v>
      </c>
      <c r="Q228" s="35">
        <f>IFERROR(__xludf.DUMMYFUNCTION("""COMPUTED_VALUE"""),968626.0)</f>
        <v>968626</v>
      </c>
    </row>
    <row r="229">
      <c r="A229" s="35">
        <f>IFERROR(__xludf.DUMMYFUNCTION("""COMPUTED_VALUE"""),228.0)</f>
        <v>228</v>
      </c>
      <c r="B229" s="35" t="str">
        <f>IFERROR(__xludf.DUMMYFUNCTION("""COMPUTED_VALUE"""),"Summary Ranges")</f>
        <v>Summary Ranges</v>
      </c>
      <c r="C229" s="35" t="str">
        <f>IFERROR(__xludf.DUMMYFUNCTION("""COMPUTED_VALUE"""),"summary-ranges")</f>
        <v>summary-ranges</v>
      </c>
      <c r="D229" s="35" t="b">
        <f>IFERROR(__xludf.DUMMYFUNCTION("""COMPUTED_VALUE"""),FALSE)</f>
        <v>0</v>
      </c>
      <c r="E229" s="35" t="str">
        <f>IFERROR(__xludf.DUMMYFUNCTION("""COMPUTED_VALUE"""),"Easy")</f>
        <v>Easy</v>
      </c>
      <c r="F229" s="35">
        <f>IFERROR(__xludf.DUMMYFUNCTION("""COMPUTED_VALUE"""),1985.0)</f>
        <v>1985</v>
      </c>
      <c r="G229" s="35">
        <f>IFERROR(__xludf.DUMMYFUNCTION("""COMPUTED_VALUE"""),1119.0)</f>
        <v>1119</v>
      </c>
      <c r="H229" s="35" t="str">
        <f>IFERROR(__xludf.DUMMYFUNCTION("""COMPUTED_VALUE"""),"Algorithms")</f>
        <v>Algorithms</v>
      </c>
      <c r="I229" s="35">
        <f>IFERROR(__xludf.DUMMYFUNCTION("""COMPUTED_VALUE"""),0.462)</f>
        <v>0.462</v>
      </c>
      <c r="J229" s="35">
        <f>IFERROR(__xludf.DUMMYFUNCTION("""COMPUTED_VALUE"""),228.0)</f>
        <v>228</v>
      </c>
      <c r="K229" s="35" t="b">
        <f>IFERROR(__xludf.DUMMYFUNCTION("""COMPUTED_VALUE"""),FALSE)</f>
        <v>0</v>
      </c>
      <c r="L229" s="35" t="str">
        <f>IFERROR(__xludf.DUMMYFUNCTION("""COMPUTED_VALUE"""),"Array;")</f>
        <v>Array;</v>
      </c>
      <c r="M229" s="35" t="b">
        <f>IFERROR(__xludf.DUMMYFUNCTION("""COMPUTED_VALUE"""),TRUE)</f>
        <v>1</v>
      </c>
      <c r="N229" s="35" t="b">
        <f>IFERROR(__xludf.DUMMYFUNCTION("""COMPUTED_VALUE"""),FALSE)</f>
        <v>0</v>
      </c>
      <c r="O229" s="35">
        <f>IFERROR(__xludf.DUMMYFUNCTION("""COMPUTED_VALUE"""),46.2300839334332)</f>
        <v>46.23008393</v>
      </c>
      <c r="P229" s="35">
        <f>IFERROR(__xludf.DUMMYFUNCTION("""COMPUTED_VALUE"""),286964.0)</f>
        <v>286964</v>
      </c>
      <c r="Q229" s="35">
        <f>IFERROR(__xludf.DUMMYFUNCTION("""COMPUTED_VALUE"""),620726.0)</f>
        <v>620726</v>
      </c>
    </row>
    <row r="230">
      <c r="A230" s="35">
        <f>IFERROR(__xludf.DUMMYFUNCTION("""COMPUTED_VALUE"""),229.0)</f>
        <v>229</v>
      </c>
      <c r="B230" s="35" t="str">
        <f>IFERROR(__xludf.DUMMYFUNCTION("""COMPUTED_VALUE"""),"Majority Element II")</f>
        <v>Majority Element II</v>
      </c>
      <c r="C230" s="35" t="str">
        <f>IFERROR(__xludf.DUMMYFUNCTION("""COMPUTED_VALUE"""),"majority-element-ii")</f>
        <v>majority-element-ii</v>
      </c>
      <c r="D230" s="35" t="b">
        <f>IFERROR(__xludf.DUMMYFUNCTION("""COMPUTED_VALUE"""),FALSE)</f>
        <v>0</v>
      </c>
      <c r="E230" s="35" t="str">
        <f>IFERROR(__xludf.DUMMYFUNCTION("""COMPUTED_VALUE"""),"Medium")</f>
        <v>Medium</v>
      </c>
      <c r="F230" s="35">
        <f>IFERROR(__xludf.DUMMYFUNCTION("""COMPUTED_VALUE"""),4482.0)</f>
        <v>4482</v>
      </c>
      <c r="G230" s="35">
        <f>IFERROR(__xludf.DUMMYFUNCTION("""COMPUTED_VALUE"""),270.0)</f>
        <v>270</v>
      </c>
      <c r="H230" s="35" t="str">
        <f>IFERROR(__xludf.DUMMYFUNCTION("""COMPUTED_VALUE"""),"Algorithms")</f>
        <v>Algorithms</v>
      </c>
      <c r="I230" s="35">
        <f>IFERROR(__xludf.DUMMYFUNCTION("""COMPUTED_VALUE"""),0.42)</f>
        <v>0.42</v>
      </c>
      <c r="J230" s="35">
        <f>IFERROR(__xludf.DUMMYFUNCTION("""COMPUTED_VALUE"""),229.0)</f>
        <v>229</v>
      </c>
      <c r="K230" s="35" t="b">
        <f>IFERROR(__xludf.DUMMYFUNCTION("""COMPUTED_VALUE"""),FALSE)</f>
        <v>0</v>
      </c>
      <c r="L230" s="35" t="str">
        <f>IFERROR(__xludf.DUMMYFUNCTION("""COMPUTED_VALUE"""),"Array;Hash Table;Sorting;Counting;")</f>
        <v>Array;Hash Table;Sorting;Counting;</v>
      </c>
      <c r="M230" s="35" t="b">
        <f>IFERROR(__xludf.DUMMYFUNCTION("""COMPUTED_VALUE"""),TRUE)</f>
        <v>1</v>
      </c>
      <c r="N230" s="35" t="b">
        <f>IFERROR(__xludf.DUMMYFUNCTION("""COMPUTED_VALUE"""),FALSE)</f>
        <v>0</v>
      </c>
      <c r="O230" s="35">
        <f>IFERROR(__xludf.DUMMYFUNCTION("""COMPUTED_VALUE"""),41.9657389354126)</f>
        <v>41.96573894</v>
      </c>
      <c r="P230" s="35">
        <f>IFERROR(__xludf.DUMMYFUNCTION("""COMPUTED_VALUE"""),273562.0)</f>
        <v>273562</v>
      </c>
      <c r="Q230" s="35">
        <f>IFERROR(__xludf.DUMMYFUNCTION("""COMPUTED_VALUE"""),651872.0)</f>
        <v>651872</v>
      </c>
    </row>
    <row r="231">
      <c r="A231" s="35">
        <f>IFERROR(__xludf.DUMMYFUNCTION("""COMPUTED_VALUE"""),230.0)</f>
        <v>230</v>
      </c>
      <c r="B231" s="35" t="str">
        <f>IFERROR(__xludf.DUMMYFUNCTION("""COMPUTED_VALUE"""),"Kth Smallest Element in a BST")</f>
        <v>Kth Smallest Element in a BST</v>
      </c>
      <c r="C231" s="35" t="str">
        <f>IFERROR(__xludf.DUMMYFUNCTION("""COMPUTED_VALUE"""),"kth-smallest-element-in-a-bst")</f>
        <v>kth-smallest-element-in-a-bst</v>
      </c>
      <c r="D231" s="35" t="b">
        <f>IFERROR(__xludf.DUMMYFUNCTION("""COMPUTED_VALUE"""),FALSE)</f>
        <v>0</v>
      </c>
      <c r="E231" s="35" t="str">
        <f>IFERROR(__xludf.DUMMYFUNCTION("""COMPUTED_VALUE"""),"Medium")</f>
        <v>Medium</v>
      </c>
      <c r="F231" s="35">
        <f>IFERROR(__xludf.DUMMYFUNCTION("""COMPUTED_VALUE"""),5908.0)</f>
        <v>5908</v>
      </c>
      <c r="G231" s="35">
        <f>IFERROR(__xludf.DUMMYFUNCTION("""COMPUTED_VALUE"""),116.0)</f>
        <v>116</v>
      </c>
      <c r="H231" s="35" t="str">
        <f>IFERROR(__xludf.DUMMYFUNCTION("""COMPUTED_VALUE"""),"Algorithms")</f>
        <v>Algorithms</v>
      </c>
      <c r="I231" s="35">
        <f>IFERROR(__xludf.DUMMYFUNCTION("""COMPUTED_VALUE"""),0.663)</f>
        <v>0.663</v>
      </c>
      <c r="J231" s="35">
        <f>IFERROR(__xludf.DUMMYFUNCTION("""COMPUTED_VALUE"""),230.0)</f>
        <v>230</v>
      </c>
      <c r="K231" s="35" t="b">
        <f>IFERROR(__xludf.DUMMYFUNCTION("""COMPUTED_VALUE"""),FALSE)</f>
        <v>0</v>
      </c>
      <c r="L231" s="35" t="str">
        <f>IFERROR(__xludf.DUMMYFUNCTION("""COMPUTED_VALUE"""),"Tree;Depth-First Search;Binary Search Tree;Binary Tree;")</f>
        <v>Tree;Depth-First Search;Binary Search Tree;Binary Tree;</v>
      </c>
      <c r="M231" s="35" t="b">
        <f>IFERROR(__xludf.DUMMYFUNCTION("""COMPUTED_VALUE"""),TRUE)</f>
        <v>1</v>
      </c>
      <c r="N231" s="35" t="b">
        <f>IFERROR(__xludf.DUMMYFUNCTION("""COMPUTED_VALUE"""),FALSE)</f>
        <v>0</v>
      </c>
      <c r="O231" s="35">
        <f>IFERROR(__xludf.DUMMYFUNCTION("""COMPUTED_VALUE"""),66.3117459297023)</f>
        <v>66.31174593</v>
      </c>
      <c r="P231" s="35">
        <f>IFERROR(__xludf.DUMMYFUNCTION("""COMPUTED_VALUE"""),709648.0)</f>
        <v>709648</v>
      </c>
      <c r="Q231" s="35">
        <f>IFERROR(__xludf.DUMMYFUNCTION("""COMPUTED_VALUE"""),1070168.0)</f>
        <v>1070168</v>
      </c>
    </row>
    <row r="232">
      <c r="A232" s="35">
        <f>IFERROR(__xludf.DUMMYFUNCTION("""COMPUTED_VALUE"""),231.0)</f>
        <v>231</v>
      </c>
      <c r="B232" s="35" t="str">
        <f>IFERROR(__xludf.DUMMYFUNCTION("""COMPUTED_VALUE"""),"Power of Two")</f>
        <v>Power of Two</v>
      </c>
      <c r="C232" s="35" t="str">
        <f>IFERROR(__xludf.DUMMYFUNCTION("""COMPUTED_VALUE"""),"power-of-two")</f>
        <v>power-of-two</v>
      </c>
      <c r="D232" s="35" t="b">
        <f>IFERROR(__xludf.DUMMYFUNCTION("""COMPUTED_VALUE"""),FALSE)</f>
        <v>0</v>
      </c>
      <c r="E232" s="35" t="str">
        <f>IFERROR(__xludf.DUMMYFUNCTION("""COMPUTED_VALUE"""),"Easy")</f>
        <v>Easy</v>
      </c>
      <c r="F232" s="35">
        <f>IFERROR(__xludf.DUMMYFUNCTION("""COMPUTED_VALUE"""),2950.0)</f>
        <v>2950</v>
      </c>
      <c r="G232" s="35">
        <f>IFERROR(__xludf.DUMMYFUNCTION("""COMPUTED_VALUE"""),281.0)</f>
        <v>281</v>
      </c>
      <c r="H232" s="35" t="str">
        <f>IFERROR(__xludf.DUMMYFUNCTION("""COMPUTED_VALUE"""),"Algorithms")</f>
        <v>Algorithms</v>
      </c>
      <c r="I232" s="35">
        <f>IFERROR(__xludf.DUMMYFUNCTION("""COMPUTED_VALUE"""),0.449)</f>
        <v>0.449</v>
      </c>
      <c r="J232" s="35">
        <f>IFERROR(__xludf.DUMMYFUNCTION("""COMPUTED_VALUE"""),231.0)</f>
        <v>231</v>
      </c>
      <c r="K232" s="35" t="b">
        <f>IFERROR(__xludf.DUMMYFUNCTION("""COMPUTED_VALUE"""),FALSE)</f>
        <v>0</v>
      </c>
      <c r="L232" s="35" t="str">
        <f>IFERROR(__xludf.DUMMYFUNCTION("""COMPUTED_VALUE"""),"Math;Bit Manipulation;Recursion;")</f>
        <v>Math;Bit Manipulation;Recursion;</v>
      </c>
      <c r="M232" s="35" t="b">
        <f>IFERROR(__xludf.DUMMYFUNCTION("""COMPUTED_VALUE"""),TRUE)</f>
        <v>1</v>
      </c>
      <c r="N232" s="35" t="b">
        <f>IFERROR(__xludf.DUMMYFUNCTION("""COMPUTED_VALUE"""),FALSE)</f>
        <v>0</v>
      </c>
      <c r="O232" s="35">
        <f>IFERROR(__xludf.DUMMYFUNCTION("""COMPUTED_VALUE"""),44.8622675767741)</f>
        <v>44.86226758</v>
      </c>
      <c r="P232" s="35">
        <f>IFERROR(__xludf.DUMMYFUNCTION("""COMPUTED_VALUE"""),588290.0)</f>
        <v>588290</v>
      </c>
      <c r="Q232" s="35">
        <f>IFERROR(__xludf.DUMMYFUNCTION("""COMPUTED_VALUE"""),1311328.0)</f>
        <v>1311328</v>
      </c>
    </row>
    <row r="233">
      <c r="A233" s="35">
        <f>IFERROR(__xludf.DUMMYFUNCTION("""COMPUTED_VALUE"""),232.0)</f>
        <v>232</v>
      </c>
      <c r="B233" s="35" t="str">
        <f>IFERROR(__xludf.DUMMYFUNCTION("""COMPUTED_VALUE"""),"Implement Queue using Stacks")</f>
        <v>Implement Queue using Stacks</v>
      </c>
      <c r="C233" s="35" t="str">
        <f>IFERROR(__xludf.DUMMYFUNCTION("""COMPUTED_VALUE"""),"implement-queue-using-stacks")</f>
        <v>implement-queue-using-stacks</v>
      </c>
      <c r="D233" s="35" t="b">
        <f>IFERROR(__xludf.DUMMYFUNCTION("""COMPUTED_VALUE"""),FALSE)</f>
        <v>0</v>
      </c>
      <c r="E233" s="35" t="str">
        <f>IFERROR(__xludf.DUMMYFUNCTION("""COMPUTED_VALUE"""),"Easy")</f>
        <v>Easy</v>
      </c>
      <c r="F233" s="35">
        <f>IFERROR(__xludf.DUMMYFUNCTION("""COMPUTED_VALUE"""),3031.0)</f>
        <v>3031</v>
      </c>
      <c r="G233" s="35">
        <f>IFERROR(__xludf.DUMMYFUNCTION("""COMPUTED_VALUE"""),211.0)</f>
        <v>211</v>
      </c>
      <c r="H233" s="35" t="str">
        <f>IFERROR(__xludf.DUMMYFUNCTION("""COMPUTED_VALUE"""),"Algorithms")</f>
        <v>Algorithms</v>
      </c>
      <c r="I233" s="35">
        <f>IFERROR(__xludf.DUMMYFUNCTION("""COMPUTED_VALUE"""),0.573)</f>
        <v>0.573</v>
      </c>
      <c r="J233" s="35">
        <f>IFERROR(__xludf.DUMMYFUNCTION("""COMPUTED_VALUE"""),232.0)</f>
        <v>232</v>
      </c>
      <c r="K233" s="35" t="b">
        <f>IFERROR(__xludf.DUMMYFUNCTION("""COMPUTED_VALUE"""),FALSE)</f>
        <v>0</v>
      </c>
      <c r="L233" s="35" t="str">
        <f>IFERROR(__xludf.DUMMYFUNCTION("""COMPUTED_VALUE"""),"Stack;Design;Queue;")</f>
        <v>Stack;Design;Queue;</v>
      </c>
      <c r="M233" s="35" t="b">
        <f>IFERROR(__xludf.DUMMYFUNCTION("""COMPUTED_VALUE"""),TRUE)</f>
        <v>1</v>
      </c>
      <c r="N233" s="35" t="b">
        <f>IFERROR(__xludf.DUMMYFUNCTION("""COMPUTED_VALUE"""),FALSE)</f>
        <v>0</v>
      </c>
      <c r="O233" s="35">
        <f>IFERROR(__xludf.DUMMYFUNCTION("""COMPUTED_VALUE"""),57.3286236186643)</f>
        <v>57.32862362</v>
      </c>
      <c r="P233" s="35">
        <f>IFERROR(__xludf.DUMMYFUNCTION("""COMPUTED_VALUE"""),378966.0)</f>
        <v>378966</v>
      </c>
      <c r="Q233" s="35">
        <f>IFERROR(__xludf.DUMMYFUNCTION("""COMPUTED_VALUE"""),661042.0)</f>
        <v>661042</v>
      </c>
    </row>
    <row r="234">
      <c r="A234" s="35">
        <f>IFERROR(__xludf.DUMMYFUNCTION("""COMPUTED_VALUE"""),233.0)</f>
        <v>233</v>
      </c>
      <c r="B234" s="35" t="str">
        <f>IFERROR(__xludf.DUMMYFUNCTION("""COMPUTED_VALUE"""),"Number of Digit One")</f>
        <v>Number of Digit One</v>
      </c>
      <c r="C234" s="35" t="str">
        <f>IFERROR(__xludf.DUMMYFUNCTION("""COMPUTED_VALUE"""),"number-of-digit-one")</f>
        <v>number-of-digit-one</v>
      </c>
      <c r="D234" s="35" t="b">
        <f>IFERROR(__xludf.DUMMYFUNCTION("""COMPUTED_VALUE"""),FALSE)</f>
        <v>0</v>
      </c>
      <c r="E234" s="35" t="str">
        <f>IFERROR(__xludf.DUMMYFUNCTION("""COMPUTED_VALUE"""),"Hard")</f>
        <v>Hard</v>
      </c>
      <c r="F234" s="35">
        <f>IFERROR(__xludf.DUMMYFUNCTION("""COMPUTED_VALUE"""),670.0)</f>
        <v>670</v>
      </c>
      <c r="G234" s="35">
        <f>IFERROR(__xludf.DUMMYFUNCTION("""COMPUTED_VALUE"""),985.0)</f>
        <v>985</v>
      </c>
      <c r="H234" s="35" t="str">
        <f>IFERROR(__xludf.DUMMYFUNCTION("""COMPUTED_VALUE"""),"Algorithms")</f>
        <v>Algorithms</v>
      </c>
      <c r="I234" s="35">
        <f>IFERROR(__xludf.DUMMYFUNCTION("""COMPUTED_VALUE"""),0.333)</f>
        <v>0.333</v>
      </c>
      <c r="J234" s="35">
        <f>IFERROR(__xludf.DUMMYFUNCTION("""COMPUTED_VALUE"""),233.0)</f>
        <v>233</v>
      </c>
      <c r="K234" s="35" t="b">
        <f>IFERROR(__xludf.DUMMYFUNCTION("""COMPUTED_VALUE"""),FALSE)</f>
        <v>0</v>
      </c>
      <c r="L234" s="35" t="str">
        <f>IFERROR(__xludf.DUMMYFUNCTION("""COMPUTED_VALUE"""),"Math;Dynamic Programming;Recursion;")</f>
        <v>Math;Dynamic Programming;Recursion;</v>
      </c>
      <c r="M234" s="35" t="b">
        <f>IFERROR(__xludf.DUMMYFUNCTION("""COMPUTED_VALUE"""),TRUE)</f>
        <v>1</v>
      </c>
      <c r="N234" s="35" t="b">
        <f>IFERROR(__xludf.DUMMYFUNCTION("""COMPUTED_VALUE"""),FALSE)</f>
        <v>0</v>
      </c>
      <c r="O234" s="35">
        <f>IFERROR(__xludf.DUMMYFUNCTION("""COMPUTED_VALUE"""),33.3343982110055)</f>
        <v>33.33439821</v>
      </c>
      <c r="P234" s="35">
        <f>IFERROR(__xludf.DUMMYFUNCTION("""COMPUTED_VALUE"""),62607.0)</f>
        <v>62607</v>
      </c>
      <c r="Q234" s="35">
        <f>IFERROR(__xludf.DUMMYFUNCTION("""COMPUTED_VALUE"""),187815.0)</f>
        <v>187815</v>
      </c>
    </row>
    <row r="235">
      <c r="A235" s="35">
        <f>IFERROR(__xludf.DUMMYFUNCTION("""COMPUTED_VALUE"""),234.0)</f>
        <v>234</v>
      </c>
      <c r="B235" s="35" t="str">
        <f>IFERROR(__xludf.DUMMYFUNCTION("""COMPUTED_VALUE"""),"Palindrome Linked List")</f>
        <v>Palindrome Linked List</v>
      </c>
      <c r="C235" s="35" t="str">
        <f>IFERROR(__xludf.DUMMYFUNCTION("""COMPUTED_VALUE"""),"palindrome-linked-list")</f>
        <v>palindrome-linked-list</v>
      </c>
      <c r="D235" s="35" t="b">
        <f>IFERROR(__xludf.DUMMYFUNCTION("""COMPUTED_VALUE"""),FALSE)</f>
        <v>0</v>
      </c>
      <c r="E235" s="35" t="str">
        <f>IFERROR(__xludf.DUMMYFUNCTION("""COMPUTED_VALUE"""),"Easy")</f>
        <v>Easy</v>
      </c>
      <c r="F235" s="35">
        <f>IFERROR(__xludf.DUMMYFUNCTION("""COMPUTED_VALUE"""),8193.0)</f>
        <v>8193</v>
      </c>
      <c r="G235" s="35">
        <f>IFERROR(__xludf.DUMMYFUNCTION("""COMPUTED_VALUE"""),508.0)</f>
        <v>508</v>
      </c>
      <c r="H235" s="35" t="str">
        <f>IFERROR(__xludf.DUMMYFUNCTION("""COMPUTED_VALUE"""),"Algorithms")</f>
        <v>Algorithms</v>
      </c>
      <c r="I235" s="35">
        <f>IFERROR(__xludf.DUMMYFUNCTION("""COMPUTED_VALUE"""),0.461)</f>
        <v>0.461</v>
      </c>
      <c r="J235" s="35">
        <f>IFERROR(__xludf.DUMMYFUNCTION("""COMPUTED_VALUE"""),234.0)</f>
        <v>234</v>
      </c>
      <c r="K235" s="35" t="b">
        <f>IFERROR(__xludf.DUMMYFUNCTION("""COMPUTED_VALUE"""),FALSE)</f>
        <v>0</v>
      </c>
      <c r="L235" s="35" t="str">
        <f>IFERROR(__xludf.DUMMYFUNCTION("""COMPUTED_VALUE"""),"Linked List;Two Pointers;Stack;Recursion;")</f>
        <v>Linked List;Two Pointers;Stack;Recursion;</v>
      </c>
      <c r="M235" s="35" t="b">
        <f>IFERROR(__xludf.DUMMYFUNCTION("""COMPUTED_VALUE"""),TRUE)</f>
        <v>1</v>
      </c>
      <c r="N235" s="35" t="b">
        <f>IFERROR(__xludf.DUMMYFUNCTION("""COMPUTED_VALUE"""),TRUE)</f>
        <v>1</v>
      </c>
      <c r="O235" s="35">
        <f>IFERROR(__xludf.DUMMYFUNCTION("""COMPUTED_VALUE"""),46.0773597871153)</f>
        <v>46.07735979</v>
      </c>
      <c r="P235" s="35">
        <f>IFERROR(__xludf.DUMMYFUNCTION("""COMPUTED_VALUE"""),899165.0)</f>
        <v>899165</v>
      </c>
      <c r="Q235" s="35">
        <f>IFERROR(__xludf.DUMMYFUNCTION("""COMPUTED_VALUE"""),1951442.0)</f>
        <v>1951442</v>
      </c>
    </row>
    <row r="236">
      <c r="A236" s="35">
        <f>IFERROR(__xludf.DUMMYFUNCTION("""COMPUTED_VALUE"""),235.0)</f>
        <v>235</v>
      </c>
      <c r="B236" s="35" t="str">
        <f>IFERROR(__xludf.DUMMYFUNCTION("""COMPUTED_VALUE"""),"Lowest Common Ancestor of a Binary Search Tree")</f>
        <v>Lowest Common Ancestor of a Binary Search Tree</v>
      </c>
      <c r="C236" s="35" t="str">
        <f>IFERROR(__xludf.DUMMYFUNCTION("""COMPUTED_VALUE"""),"lowest-common-ancestor-of-a-binary-search-tree")</f>
        <v>lowest-common-ancestor-of-a-binary-search-tree</v>
      </c>
      <c r="D236" s="35" t="b">
        <f>IFERROR(__xludf.DUMMYFUNCTION("""COMPUTED_VALUE"""),FALSE)</f>
        <v>0</v>
      </c>
      <c r="E236" s="35" t="str">
        <f>IFERROR(__xludf.DUMMYFUNCTION("""COMPUTED_VALUE"""),"Easy")</f>
        <v>Easy</v>
      </c>
      <c r="F236" s="35">
        <f>IFERROR(__xludf.DUMMYFUNCTION("""COMPUTED_VALUE"""),5191.0)</f>
        <v>5191</v>
      </c>
      <c r="G236" s="35">
        <f>IFERROR(__xludf.DUMMYFUNCTION("""COMPUTED_VALUE"""),174.0)</f>
        <v>174</v>
      </c>
      <c r="H236" s="35" t="str">
        <f>IFERROR(__xludf.DUMMYFUNCTION("""COMPUTED_VALUE"""),"Algorithms")</f>
        <v>Algorithms</v>
      </c>
      <c r="I236" s="35">
        <f>IFERROR(__xludf.DUMMYFUNCTION("""COMPUTED_VALUE"""),0.565)</f>
        <v>0.565</v>
      </c>
      <c r="J236" s="35">
        <f>IFERROR(__xludf.DUMMYFUNCTION("""COMPUTED_VALUE"""),235.0)</f>
        <v>235</v>
      </c>
      <c r="K236" s="35" t="b">
        <f>IFERROR(__xludf.DUMMYFUNCTION("""COMPUTED_VALUE"""),FALSE)</f>
        <v>0</v>
      </c>
      <c r="L236" s="35" t="str">
        <f>IFERROR(__xludf.DUMMYFUNCTION("""COMPUTED_VALUE"""),"Tree;Depth-First Search;Binary Search Tree;Binary Tree;")</f>
        <v>Tree;Depth-First Search;Binary Search Tree;Binary Tree;</v>
      </c>
      <c r="M236" s="35" t="b">
        <f>IFERROR(__xludf.DUMMYFUNCTION("""COMPUTED_VALUE"""),TRUE)</f>
        <v>1</v>
      </c>
      <c r="N236" s="35" t="b">
        <f>IFERROR(__xludf.DUMMYFUNCTION("""COMPUTED_VALUE"""),FALSE)</f>
        <v>0</v>
      </c>
      <c r="O236" s="35">
        <f>IFERROR(__xludf.DUMMYFUNCTION("""COMPUTED_VALUE"""),56.4572360563896)</f>
        <v>56.45723606</v>
      </c>
      <c r="P236" s="35">
        <f>IFERROR(__xludf.DUMMYFUNCTION("""COMPUTED_VALUE"""),701994.0)</f>
        <v>701994</v>
      </c>
      <c r="Q236" s="35">
        <f>IFERROR(__xludf.DUMMYFUNCTION("""COMPUTED_VALUE"""),1243412.0)</f>
        <v>1243412</v>
      </c>
    </row>
    <row r="237">
      <c r="A237" s="35">
        <f>IFERROR(__xludf.DUMMYFUNCTION("""COMPUTED_VALUE"""),236.0)</f>
        <v>236</v>
      </c>
      <c r="B237" s="35" t="str">
        <f>IFERROR(__xludf.DUMMYFUNCTION("""COMPUTED_VALUE"""),"Lowest Common Ancestor of a Binary Tree")</f>
        <v>Lowest Common Ancestor of a Binary Tree</v>
      </c>
      <c r="C237" s="35" t="str">
        <f>IFERROR(__xludf.DUMMYFUNCTION("""COMPUTED_VALUE"""),"lowest-common-ancestor-of-a-binary-tree")</f>
        <v>lowest-common-ancestor-of-a-binary-tree</v>
      </c>
      <c r="D237" s="35" t="b">
        <f>IFERROR(__xludf.DUMMYFUNCTION("""COMPUTED_VALUE"""),FALSE)</f>
        <v>0</v>
      </c>
      <c r="E237" s="35" t="str">
        <f>IFERROR(__xludf.DUMMYFUNCTION("""COMPUTED_VALUE"""),"Medium")</f>
        <v>Medium</v>
      </c>
      <c r="F237" s="35">
        <f>IFERROR(__xludf.DUMMYFUNCTION("""COMPUTED_VALUE"""),9006.0)</f>
        <v>9006</v>
      </c>
      <c r="G237" s="35">
        <f>IFERROR(__xludf.DUMMYFUNCTION("""COMPUTED_VALUE"""),260.0)</f>
        <v>260</v>
      </c>
      <c r="H237" s="35" t="str">
        <f>IFERROR(__xludf.DUMMYFUNCTION("""COMPUTED_VALUE"""),"Algorithms")</f>
        <v>Algorithms</v>
      </c>
      <c r="I237" s="35">
        <f>IFERROR(__xludf.DUMMYFUNCTION("""COMPUTED_VALUE"""),0.547)</f>
        <v>0.547</v>
      </c>
      <c r="J237" s="35">
        <f>IFERROR(__xludf.DUMMYFUNCTION("""COMPUTED_VALUE"""),236.0)</f>
        <v>236</v>
      </c>
      <c r="K237" s="35" t="b">
        <f>IFERROR(__xludf.DUMMYFUNCTION("""COMPUTED_VALUE"""),FALSE)</f>
        <v>0</v>
      </c>
      <c r="L237" s="35" t="str">
        <f>IFERROR(__xludf.DUMMYFUNCTION("""COMPUTED_VALUE"""),"Tree;Depth-First Search;Binary Tree;")</f>
        <v>Tree;Depth-First Search;Binary Tree;</v>
      </c>
      <c r="M237" s="35" t="b">
        <f>IFERROR(__xludf.DUMMYFUNCTION("""COMPUTED_VALUE"""),TRUE)</f>
        <v>1</v>
      </c>
      <c r="N237" s="35" t="b">
        <f>IFERROR(__xludf.DUMMYFUNCTION("""COMPUTED_VALUE"""),FALSE)</f>
        <v>0</v>
      </c>
      <c r="O237" s="35">
        <f>IFERROR(__xludf.DUMMYFUNCTION("""COMPUTED_VALUE"""),54.6739287941516)</f>
        <v>54.67392879</v>
      </c>
      <c r="P237" s="35">
        <f>IFERROR(__xludf.DUMMYFUNCTION("""COMPUTED_VALUE"""),931931.0)</f>
        <v>931931</v>
      </c>
      <c r="Q237" s="35">
        <f>IFERROR(__xludf.DUMMYFUNCTION("""COMPUTED_VALUE"""),1704535.0)</f>
        <v>1704535</v>
      </c>
    </row>
    <row r="238">
      <c r="A238" s="35">
        <f>IFERROR(__xludf.DUMMYFUNCTION("""COMPUTED_VALUE"""),237.0)</f>
        <v>237</v>
      </c>
      <c r="B238" s="35" t="str">
        <f>IFERROR(__xludf.DUMMYFUNCTION("""COMPUTED_VALUE"""),"Delete Node in a Linked List")</f>
        <v>Delete Node in a Linked List</v>
      </c>
      <c r="C238" s="35" t="str">
        <f>IFERROR(__xludf.DUMMYFUNCTION("""COMPUTED_VALUE"""),"delete-node-in-a-linked-list")</f>
        <v>delete-node-in-a-linked-list</v>
      </c>
      <c r="D238" s="35" t="b">
        <f>IFERROR(__xludf.DUMMYFUNCTION("""COMPUTED_VALUE"""),FALSE)</f>
        <v>0</v>
      </c>
      <c r="E238" s="35" t="str">
        <f>IFERROR(__xludf.DUMMYFUNCTION("""COMPUTED_VALUE"""),"Easy")</f>
        <v>Easy</v>
      </c>
      <c r="F238" s="35">
        <f>IFERROR(__xludf.DUMMYFUNCTION("""COMPUTED_VALUE"""),4080.0)</f>
        <v>4080</v>
      </c>
      <c r="G238" s="35">
        <f>IFERROR(__xludf.DUMMYFUNCTION("""COMPUTED_VALUE"""),11277.0)</f>
        <v>11277</v>
      </c>
      <c r="H238" s="35" t="str">
        <f>IFERROR(__xludf.DUMMYFUNCTION("""COMPUTED_VALUE"""),"Algorithms")</f>
        <v>Algorithms</v>
      </c>
      <c r="I238" s="35">
        <f>IFERROR(__xludf.DUMMYFUNCTION("""COMPUTED_VALUE"""),0.714)</f>
        <v>0.714</v>
      </c>
      <c r="J238" s="35">
        <f>IFERROR(__xludf.DUMMYFUNCTION("""COMPUTED_VALUE"""),237.0)</f>
        <v>237</v>
      </c>
      <c r="K238" s="35" t="b">
        <f>IFERROR(__xludf.DUMMYFUNCTION("""COMPUTED_VALUE"""),FALSE)</f>
        <v>0</v>
      </c>
      <c r="L238" s="35" t="str">
        <f>IFERROR(__xludf.DUMMYFUNCTION("""COMPUTED_VALUE"""),"Linked List;")</f>
        <v>Linked List;</v>
      </c>
      <c r="M238" s="35" t="b">
        <f>IFERROR(__xludf.DUMMYFUNCTION("""COMPUTED_VALUE"""),FALSE)</f>
        <v>0</v>
      </c>
      <c r="N238" s="35" t="b">
        <f>IFERROR(__xludf.DUMMYFUNCTION("""COMPUTED_VALUE"""),FALSE)</f>
        <v>0</v>
      </c>
      <c r="O238" s="35">
        <f>IFERROR(__xludf.DUMMYFUNCTION("""COMPUTED_VALUE"""),71.3901950121585)</f>
        <v>71.39019501</v>
      </c>
      <c r="P238" s="35">
        <f>IFERROR(__xludf.DUMMYFUNCTION("""COMPUTED_VALUE"""),765360.0)</f>
        <v>765360</v>
      </c>
      <c r="Q238" s="35">
        <f>IFERROR(__xludf.DUMMYFUNCTION("""COMPUTED_VALUE"""),1072081.0)</f>
        <v>1072081</v>
      </c>
    </row>
    <row r="239">
      <c r="A239" s="35">
        <f>IFERROR(__xludf.DUMMYFUNCTION("""COMPUTED_VALUE"""),238.0)</f>
        <v>238</v>
      </c>
      <c r="B239" s="35" t="str">
        <f>IFERROR(__xludf.DUMMYFUNCTION("""COMPUTED_VALUE"""),"Product of Array Except Self")</f>
        <v>Product of Array Except Self</v>
      </c>
      <c r="C239" s="35" t="str">
        <f>IFERROR(__xludf.DUMMYFUNCTION("""COMPUTED_VALUE"""),"product-of-array-except-self")</f>
        <v>product-of-array-except-self</v>
      </c>
      <c r="D239" s="35" t="b">
        <f>IFERROR(__xludf.DUMMYFUNCTION("""COMPUTED_VALUE"""),FALSE)</f>
        <v>0</v>
      </c>
      <c r="E239" s="35" t="str">
        <f>IFERROR(__xludf.DUMMYFUNCTION("""COMPUTED_VALUE"""),"Medium")</f>
        <v>Medium</v>
      </c>
      <c r="F239" s="35">
        <f>IFERROR(__xludf.DUMMYFUNCTION("""COMPUTED_VALUE"""),11406.0)</f>
        <v>11406</v>
      </c>
      <c r="G239" s="35">
        <f>IFERROR(__xludf.DUMMYFUNCTION("""COMPUTED_VALUE"""),696.0)</f>
        <v>696</v>
      </c>
      <c r="H239" s="35" t="str">
        <f>IFERROR(__xludf.DUMMYFUNCTION("""COMPUTED_VALUE"""),"Algorithms")</f>
        <v>Algorithms</v>
      </c>
      <c r="I239" s="35">
        <f>IFERROR(__xludf.DUMMYFUNCTION("""COMPUTED_VALUE"""),0.637)</f>
        <v>0.637</v>
      </c>
      <c r="J239" s="35">
        <f>IFERROR(__xludf.DUMMYFUNCTION("""COMPUTED_VALUE"""),238.0)</f>
        <v>238</v>
      </c>
      <c r="K239" s="35" t="b">
        <f>IFERROR(__xludf.DUMMYFUNCTION("""COMPUTED_VALUE"""),FALSE)</f>
        <v>0</v>
      </c>
      <c r="L239" s="35" t="str">
        <f>IFERROR(__xludf.DUMMYFUNCTION("""COMPUTED_VALUE"""),"Array;Prefix Sum;")</f>
        <v>Array;Prefix Sum;</v>
      </c>
      <c r="M239" s="35" t="b">
        <f>IFERROR(__xludf.DUMMYFUNCTION("""COMPUTED_VALUE"""),TRUE)</f>
        <v>1</v>
      </c>
      <c r="N239" s="35" t="b">
        <f>IFERROR(__xludf.DUMMYFUNCTION("""COMPUTED_VALUE"""),TRUE)</f>
        <v>1</v>
      </c>
      <c r="O239" s="35">
        <f>IFERROR(__xludf.DUMMYFUNCTION("""COMPUTED_VALUE"""),63.6829323553151)</f>
        <v>63.68293236</v>
      </c>
      <c r="P239" s="35">
        <f>IFERROR(__xludf.DUMMYFUNCTION("""COMPUTED_VALUE"""),1079312.0)</f>
        <v>1079312</v>
      </c>
      <c r="Q239" s="35">
        <f>IFERROR(__xludf.DUMMYFUNCTION("""COMPUTED_VALUE"""),1694815.0)</f>
        <v>1694815</v>
      </c>
    </row>
    <row r="240">
      <c r="A240" s="35">
        <f>IFERROR(__xludf.DUMMYFUNCTION("""COMPUTED_VALUE"""),239.0)</f>
        <v>239</v>
      </c>
      <c r="B240" s="35" t="str">
        <f>IFERROR(__xludf.DUMMYFUNCTION("""COMPUTED_VALUE"""),"Sliding Window Maximum")</f>
        <v>Sliding Window Maximum</v>
      </c>
      <c r="C240" s="35" t="str">
        <f>IFERROR(__xludf.DUMMYFUNCTION("""COMPUTED_VALUE"""),"sliding-window-maximum")</f>
        <v>sliding-window-maximum</v>
      </c>
      <c r="D240" s="35" t="b">
        <f>IFERROR(__xludf.DUMMYFUNCTION("""COMPUTED_VALUE"""),FALSE)</f>
        <v>0</v>
      </c>
      <c r="E240" s="35" t="str">
        <f>IFERROR(__xludf.DUMMYFUNCTION("""COMPUTED_VALUE"""),"Hard")</f>
        <v>Hard</v>
      </c>
      <c r="F240" s="35">
        <f>IFERROR(__xludf.DUMMYFUNCTION("""COMPUTED_VALUE"""),9088.0)</f>
        <v>9088</v>
      </c>
      <c r="G240" s="35">
        <f>IFERROR(__xludf.DUMMYFUNCTION("""COMPUTED_VALUE"""),317.0)</f>
        <v>317</v>
      </c>
      <c r="H240" s="35" t="str">
        <f>IFERROR(__xludf.DUMMYFUNCTION("""COMPUTED_VALUE"""),"Algorithms")</f>
        <v>Algorithms</v>
      </c>
      <c r="I240" s="35">
        <f>IFERROR(__xludf.DUMMYFUNCTION("""COMPUTED_VALUE"""),0.461)</f>
        <v>0.461</v>
      </c>
      <c r="J240" s="35">
        <f>IFERROR(__xludf.DUMMYFUNCTION("""COMPUTED_VALUE"""),239.0)</f>
        <v>239</v>
      </c>
      <c r="K240" s="35" t="b">
        <f>IFERROR(__xludf.DUMMYFUNCTION("""COMPUTED_VALUE"""),FALSE)</f>
        <v>0</v>
      </c>
      <c r="L240" s="35" t="str">
        <f>IFERROR(__xludf.DUMMYFUNCTION("""COMPUTED_VALUE"""),"Array;Queue;Sliding Window;Heap (Priority Queue);Monotonic Queue;")</f>
        <v>Array;Queue;Sliding Window;Heap (Priority Queue);Monotonic Queue;</v>
      </c>
      <c r="M240" s="35" t="b">
        <f>IFERROR(__xludf.DUMMYFUNCTION("""COMPUTED_VALUE"""),TRUE)</f>
        <v>1</v>
      </c>
      <c r="N240" s="35" t="b">
        <f>IFERROR(__xludf.DUMMYFUNCTION("""COMPUTED_VALUE"""),FALSE)</f>
        <v>0</v>
      </c>
      <c r="O240" s="35">
        <f>IFERROR(__xludf.DUMMYFUNCTION("""COMPUTED_VALUE"""),46.1181607547415)</f>
        <v>46.11816075</v>
      </c>
      <c r="P240" s="35">
        <f>IFERROR(__xludf.DUMMYFUNCTION("""COMPUTED_VALUE"""),537807.0)</f>
        <v>537807</v>
      </c>
      <c r="Q240" s="35">
        <f>IFERROR(__xludf.DUMMYFUNCTION("""COMPUTED_VALUE"""),1166152.0)</f>
        <v>1166152</v>
      </c>
    </row>
    <row r="241">
      <c r="A241" s="35">
        <f>IFERROR(__xludf.DUMMYFUNCTION("""COMPUTED_VALUE"""),240.0)</f>
        <v>240</v>
      </c>
      <c r="B241" s="35" t="str">
        <f>IFERROR(__xludf.DUMMYFUNCTION("""COMPUTED_VALUE"""),"Search a 2D Matrix II")</f>
        <v>Search a 2D Matrix II</v>
      </c>
      <c r="C241" s="35" t="str">
        <f>IFERROR(__xludf.DUMMYFUNCTION("""COMPUTED_VALUE"""),"search-a-2d-matrix-ii")</f>
        <v>search-a-2d-matrix-ii</v>
      </c>
      <c r="D241" s="35" t="b">
        <f>IFERROR(__xludf.DUMMYFUNCTION("""COMPUTED_VALUE"""),FALSE)</f>
        <v>0</v>
      </c>
      <c r="E241" s="35" t="str">
        <f>IFERROR(__xludf.DUMMYFUNCTION("""COMPUTED_VALUE"""),"Medium")</f>
        <v>Medium</v>
      </c>
      <c r="F241" s="35">
        <f>IFERROR(__xludf.DUMMYFUNCTION("""COMPUTED_VALUE"""),6848.0)</f>
        <v>6848</v>
      </c>
      <c r="G241" s="35">
        <f>IFERROR(__xludf.DUMMYFUNCTION("""COMPUTED_VALUE"""),119.0)</f>
        <v>119</v>
      </c>
      <c r="H241" s="35" t="str">
        <f>IFERROR(__xludf.DUMMYFUNCTION("""COMPUTED_VALUE"""),"Algorithms")</f>
        <v>Algorithms</v>
      </c>
      <c r="I241" s="35">
        <f>IFERROR(__xludf.DUMMYFUNCTION("""COMPUTED_VALUE"""),0.48)</f>
        <v>0.48</v>
      </c>
      <c r="J241" s="35">
        <f>IFERROR(__xludf.DUMMYFUNCTION("""COMPUTED_VALUE"""),240.0)</f>
        <v>240</v>
      </c>
      <c r="K241" s="35" t="b">
        <f>IFERROR(__xludf.DUMMYFUNCTION("""COMPUTED_VALUE"""),FALSE)</f>
        <v>0</v>
      </c>
      <c r="L241" s="35" t="str">
        <f>IFERROR(__xludf.DUMMYFUNCTION("""COMPUTED_VALUE"""),"Array;Binary Search;Divide and Conquer;Matrix;")</f>
        <v>Array;Binary Search;Divide and Conquer;Matrix;</v>
      </c>
      <c r="M241" s="35" t="b">
        <f>IFERROR(__xludf.DUMMYFUNCTION("""COMPUTED_VALUE"""),TRUE)</f>
        <v>1</v>
      </c>
      <c r="N241" s="35" t="b">
        <f>IFERROR(__xludf.DUMMYFUNCTION("""COMPUTED_VALUE"""),FALSE)</f>
        <v>0</v>
      </c>
      <c r="O241" s="35">
        <f>IFERROR(__xludf.DUMMYFUNCTION("""COMPUTED_VALUE"""),47.9734037938507)</f>
        <v>47.97340379</v>
      </c>
      <c r="P241" s="35">
        <f>IFERROR(__xludf.DUMMYFUNCTION("""COMPUTED_VALUE"""),569555.0)</f>
        <v>569555</v>
      </c>
      <c r="Q241" s="35">
        <f>IFERROR(__xludf.DUMMYFUNCTION("""COMPUTED_VALUE"""),1187227.0)</f>
        <v>1187227</v>
      </c>
    </row>
    <row r="242">
      <c r="A242" s="35">
        <f>IFERROR(__xludf.DUMMYFUNCTION("""COMPUTED_VALUE"""),241.0)</f>
        <v>241</v>
      </c>
      <c r="B242" s="35" t="str">
        <f>IFERROR(__xludf.DUMMYFUNCTION("""COMPUTED_VALUE"""),"Different Ways to Add Parentheses")</f>
        <v>Different Ways to Add Parentheses</v>
      </c>
      <c r="C242" s="35" t="str">
        <f>IFERROR(__xludf.DUMMYFUNCTION("""COMPUTED_VALUE"""),"different-ways-to-add-parentheses")</f>
        <v>different-ways-to-add-parentheses</v>
      </c>
      <c r="D242" s="35" t="b">
        <f>IFERROR(__xludf.DUMMYFUNCTION("""COMPUTED_VALUE"""),FALSE)</f>
        <v>0</v>
      </c>
      <c r="E242" s="35" t="str">
        <f>IFERROR(__xludf.DUMMYFUNCTION("""COMPUTED_VALUE"""),"Medium")</f>
        <v>Medium</v>
      </c>
      <c r="F242" s="35">
        <f>IFERROR(__xludf.DUMMYFUNCTION("""COMPUTED_VALUE"""),3385.0)</f>
        <v>3385</v>
      </c>
      <c r="G242" s="35">
        <f>IFERROR(__xludf.DUMMYFUNCTION("""COMPUTED_VALUE"""),169.0)</f>
        <v>169</v>
      </c>
      <c r="H242" s="35" t="str">
        <f>IFERROR(__xludf.DUMMYFUNCTION("""COMPUTED_VALUE"""),"Algorithms")</f>
        <v>Algorithms</v>
      </c>
      <c r="I242" s="35">
        <f>IFERROR(__xludf.DUMMYFUNCTION("""COMPUTED_VALUE"""),0.612)</f>
        <v>0.612</v>
      </c>
      <c r="J242" s="35">
        <f>IFERROR(__xludf.DUMMYFUNCTION("""COMPUTED_VALUE"""),241.0)</f>
        <v>241</v>
      </c>
      <c r="K242" s="35" t="b">
        <f>IFERROR(__xludf.DUMMYFUNCTION("""COMPUTED_VALUE"""),FALSE)</f>
        <v>0</v>
      </c>
      <c r="L242" s="35" t="str">
        <f>IFERROR(__xludf.DUMMYFUNCTION("""COMPUTED_VALUE"""),"Math;String;Dynamic Programming;Recursion;Memoization;")</f>
        <v>Math;String;Dynamic Programming;Recursion;Memoization;</v>
      </c>
      <c r="M242" s="35" t="b">
        <f>IFERROR(__xludf.DUMMYFUNCTION("""COMPUTED_VALUE"""),FALSE)</f>
        <v>0</v>
      </c>
      <c r="N242" s="35" t="b">
        <f>IFERROR(__xludf.DUMMYFUNCTION("""COMPUTED_VALUE"""),FALSE)</f>
        <v>0</v>
      </c>
      <c r="O242" s="35">
        <f>IFERROR(__xludf.DUMMYFUNCTION("""COMPUTED_VALUE"""),61.1691276852825)</f>
        <v>61.16912769</v>
      </c>
      <c r="P242" s="35">
        <f>IFERROR(__xludf.DUMMYFUNCTION("""COMPUTED_VALUE"""),155923.0)</f>
        <v>155923</v>
      </c>
      <c r="Q242" s="35">
        <f>IFERROR(__xludf.DUMMYFUNCTION("""COMPUTED_VALUE"""),254903.0)</f>
        <v>254903</v>
      </c>
    </row>
    <row r="243">
      <c r="A243" s="35">
        <f>IFERROR(__xludf.DUMMYFUNCTION("""COMPUTED_VALUE"""),242.0)</f>
        <v>242</v>
      </c>
      <c r="B243" s="35" t="str">
        <f>IFERROR(__xludf.DUMMYFUNCTION("""COMPUTED_VALUE"""),"Valid Anagram")</f>
        <v>Valid Anagram</v>
      </c>
      <c r="C243" s="35" t="str">
        <f>IFERROR(__xludf.DUMMYFUNCTION("""COMPUTED_VALUE"""),"valid-anagram")</f>
        <v>valid-anagram</v>
      </c>
      <c r="D243" s="35" t="b">
        <f>IFERROR(__xludf.DUMMYFUNCTION("""COMPUTED_VALUE"""),FALSE)</f>
        <v>0</v>
      </c>
      <c r="E243" s="35" t="str">
        <f>IFERROR(__xludf.DUMMYFUNCTION("""COMPUTED_VALUE"""),"Easy")</f>
        <v>Easy</v>
      </c>
      <c r="F243" s="35">
        <f>IFERROR(__xludf.DUMMYFUNCTION("""COMPUTED_VALUE"""),4367.0)</f>
        <v>4367</v>
      </c>
      <c r="G243" s="35">
        <f>IFERROR(__xludf.DUMMYFUNCTION("""COMPUTED_VALUE"""),203.0)</f>
        <v>203</v>
      </c>
      <c r="H243" s="35" t="str">
        <f>IFERROR(__xludf.DUMMYFUNCTION("""COMPUTED_VALUE"""),"Algorithms")</f>
        <v>Algorithms</v>
      </c>
      <c r="I243" s="35">
        <f>IFERROR(__xludf.DUMMYFUNCTION("""COMPUTED_VALUE"""),0.611)</f>
        <v>0.611</v>
      </c>
      <c r="J243" s="35">
        <f>IFERROR(__xludf.DUMMYFUNCTION("""COMPUTED_VALUE"""),242.0)</f>
        <v>242</v>
      </c>
      <c r="K243" s="35" t="b">
        <f>IFERROR(__xludf.DUMMYFUNCTION("""COMPUTED_VALUE"""),FALSE)</f>
        <v>0</v>
      </c>
      <c r="L243" s="35" t="str">
        <f>IFERROR(__xludf.DUMMYFUNCTION("""COMPUTED_VALUE"""),"Hash Table;String;Sorting;")</f>
        <v>Hash Table;String;Sorting;</v>
      </c>
      <c r="M243" s="35" t="b">
        <f>IFERROR(__xludf.DUMMYFUNCTION("""COMPUTED_VALUE"""),TRUE)</f>
        <v>1</v>
      </c>
      <c r="N243" s="35" t="b">
        <f>IFERROR(__xludf.DUMMYFUNCTION("""COMPUTED_VALUE"""),TRUE)</f>
        <v>1</v>
      </c>
      <c r="O243" s="35">
        <f>IFERROR(__xludf.DUMMYFUNCTION("""COMPUTED_VALUE"""),61.1302761582422)</f>
        <v>61.13027616</v>
      </c>
      <c r="P243" s="35">
        <f>IFERROR(__xludf.DUMMYFUNCTION("""COMPUTED_VALUE"""),1144693.0)</f>
        <v>1144693</v>
      </c>
      <c r="Q243" s="35">
        <f>IFERROR(__xludf.DUMMYFUNCTION("""COMPUTED_VALUE"""),1872557.0)</f>
        <v>1872557</v>
      </c>
    </row>
    <row r="244">
      <c r="A244" s="35">
        <f>IFERROR(__xludf.DUMMYFUNCTION("""COMPUTED_VALUE"""),243.0)</f>
        <v>243</v>
      </c>
      <c r="B244" s="35" t="str">
        <f>IFERROR(__xludf.DUMMYFUNCTION("""COMPUTED_VALUE"""),"Shortest Word Distance")</f>
        <v>Shortest Word Distance</v>
      </c>
      <c r="C244" s="35" t="str">
        <f>IFERROR(__xludf.DUMMYFUNCTION("""COMPUTED_VALUE"""),"shortest-word-distance")</f>
        <v>shortest-word-distance</v>
      </c>
      <c r="D244" s="35" t="b">
        <f>IFERROR(__xludf.DUMMYFUNCTION("""COMPUTED_VALUE"""),TRUE)</f>
        <v>1</v>
      </c>
      <c r="E244" s="35" t="str">
        <f>IFERROR(__xludf.DUMMYFUNCTION("""COMPUTED_VALUE"""),"Easy")</f>
        <v>Easy</v>
      </c>
      <c r="F244" s="35">
        <f>IFERROR(__xludf.DUMMYFUNCTION("""COMPUTED_VALUE"""),970.0)</f>
        <v>970</v>
      </c>
      <c r="G244" s="35">
        <f>IFERROR(__xludf.DUMMYFUNCTION("""COMPUTED_VALUE"""),82.0)</f>
        <v>82</v>
      </c>
      <c r="H244" s="35" t="str">
        <f>IFERROR(__xludf.DUMMYFUNCTION("""COMPUTED_VALUE"""),"Algorithms")</f>
        <v>Algorithms</v>
      </c>
      <c r="I244" s="35">
        <f>IFERROR(__xludf.DUMMYFUNCTION("""COMPUTED_VALUE"""),0.641)</f>
        <v>0.641</v>
      </c>
      <c r="J244" s="35">
        <f>IFERROR(__xludf.DUMMYFUNCTION("""COMPUTED_VALUE"""),243.0)</f>
        <v>243</v>
      </c>
      <c r="K244" s="35" t="b">
        <f>IFERROR(__xludf.DUMMYFUNCTION("""COMPUTED_VALUE"""),TRUE)</f>
        <v>1</v>
      </c>
      <c r="L244" s="35" t="str">
        <f>IFERROR(__xludf.DUMMYFUNCTION("""COMPUTED_VALUE"""),"Array;String;")</f>
        <v>Array;String;</v>
      </c>
      <c r="M244" s="35" t="b">
        <f>IFERROR(__xludf.DUMMYFUNCTION("""COMPUTED_VALUE"""),TRUE)</f>
        <v>1</v>
      </c>
      <c r="N244" s="35" t="b">
        <f>IFERROR(__xludf.DUMMYFUNCTION("""COMPUTED_VALUE"""),FALSE)</f>
        <v>0</v>
      </c>
      <c r="O244" s="35">
        <f>IFERROR(__xludf.DUMMYFUNCTION("""COMPUTED_VALUE"""),64.0888164533584)</f>
        <v>64.08881645</v>
      </c>
      <c r="P244" s="35">
        <f>IFERROR(__xludf.DUMMYFUNCTION("""COMPUTED_VALUE"""),168302.0)</f>
        <v>168302</v>
      </c>
      <c r="Q244" s="35">
        <f>IFERROR(__xludf.DUMMYFUNCTION("""COMPUTED_VALUE"""),262608.0)</f>
        <v>262608</v>
      </c>
    </row>
    <row r="245">
      <c r="A245" s="35">
        <f>IFERROR(__xludf.DUMMYFUNCTION("""COMPUTED_VALUE"""),244.0)</f>
        <v>244</v>
      </c>
      <c r="B245" s="35" t="str">
        <f>IFERROR(__xludf.DUMMYFUNCTION("""COMPUTED_VALUE"""),"Shortest Word Distance II")</f>
        <v>Shortest Word Distance II</v>
      </c>
      <c r="C245" s="35" t="str">
        <f>IFERROR(__xludf.DUMMYFUNCTION("""COMPUTED_VALUE"""),"shortest-word-distance-ii")</f>
        <v>shortest-word-distance-ii</v>
      </c>
      <c r="D245" s="35" t="b">
        <f>IFERROR(__xludf.DUMMYFUNCTION("""COMPUTED_VALUE"""),TRUE)</f>
        <v>1</v>
      </c>
      <c r="E245" s="35" t="str">
        <f>IFERROR(__xludf.DUMMYFUNCTION("""COMPUTED_VALUE"""),"Medium")</f>
        <v>Medium</v>
      </c>
      <c r="F245" s="35">
        <f>IFERROR(__xludf.DUMMYFUNCTION("""COMPUTED_VALUE"""),797.0)</f>
        <v>797</v>
      </c>
      <c r="G245" s="35">
        <f>IFERROR(__xludf.DUMMYFUNCTION("""COMPUTED_VALUE"""),242.0)</f>
        <v>242</v>
      </c>
      <c r="H245" s="35" t="str">
        <f>IFERROR(__xludf.DUMMYFUNCTION("""COMPUTED_VALUE"""),"Algorithms")</f>
        <v>Algorithms</v>
      </c>
      <c r="I245" s="35">
        <f>IFERROR(__xludf.DUMMYFUNCTION("""COMPUTED_VALUE"""),0.59)</f>
        <v>0.59</v>
      </c>
      <c r="J245" s="35">
        <f>IFERROR(__xludf.DUMMYFUNCTION("""COMPUTED_VALUE"""),244.0)</f>
        <v>244</v>
      </c>
      <c r="K245" s="35" t="b">
        <f>IFERROR(__xludf.DUMMYFUNCTION("""COMPUTED_VALUE"""),TRUE)</f>
        <v>1</v>
      </c>
      <c r="L245" s="35" t="str">
        <f>IFERROR(__xludf.DUMMYFUNCTION("""COMPUTED_VALUE"""),"Array;Hash Table;Two Pointers;String;Design;")</f>
        <v>Array;Hash Table;Two Pointers;String;Design;</v>
      </c>
      <c r="M245" s="35" t="b">
        <f>IFERROR(__xludf.DUMMYFUNCTION("""COMPUTED_VALUE"""),TRUE)</f>
        <v>1</v>
      </c>
      <c r="N245" s="35" t="b">
        <f>IFERROR(__xludf.DUMMYFUNCTION("""COMPUTED_VALUE"""),FALSE)</f>
        <v>0</v>
      </c>
      <c r="O245" s="35">
        <f>IFERROR(__xludf.DUMMYFUNCTION("""COMPUTED_VALUE"""),58.9834352876486)</f>
        <v>58.98343529</v>
      </c>
      <c r="P245" s="35">
        <f>IFERROR(__xludf.DUMMYFUNCTION("""COMPUTED_VALUE"""),120140.0)</f>
        <v>120140</v>
      </c>
      <c r="Q245" s="35">
        <f>IFERROR(__xludf.DUMMYFUNCTION("""COMPUTED_VALUE"""),203684.0)</f>
        <v>203684</v>
      </c>
    </row>
    <row r="246">
      <c r="A246" s="35">
        <f>IFERROR(__xludf.DUMMYFUNCTION("""COMPUTED_VALUE"""),245.0)</f>
        <v>245</v>
      </c>
      <c r="B246" s="35" t="str">
        <f>IFERROR(__xludf.DUMMYFUNCTION("""COMPUTED_VALUE"""),"Shortest Word Distance III")</f>
        <v>Shortest Word Distance III</v>
      </c>
      <c r="C246" s="35" t="str">
        <f>IFERROR(__xludf.DUMMYFUNCTION("""COMPUTED_VALUE"""),"shortest-word-distance-iii")</f>
        <v>shortest-word-distance-iii</v>
      </c>
      <c r="D246" s="35" t="b">
        <f>IFERROR(__xludf.DUMMYFUNCTION("""COMPUTED_VALUE"""),TRUE)</f>
        <v>1</v>
      </c>
      <c r="E246" s="35" t="str">
        <f>IFERROR(__xludf.DUMMYFUNCTION("""COMPUTED_VALUE"""),"Medium")</f>
        <v>Medium</v>
      </c>
      <c r="F246" s="35">
        <f>IFERROR(__xludf.DUMMYFUNCTION("""COMPUTED_VALUE"""),330.0)</f>
        <v>330</v>
      </c>
      <c r="G246" s="35">
        <f>IFERROR(__xludf.DUMMYFUNCTION("""COMPUTED_VALUE"""),82.0)</f>
        <v>82</v>
      </c>
      <c r="H246" s="35" t="str">
        <f>IFERROR(__xludf.DUMMYFUNCTION("""COMPUTED_VALUE"""),"Algorithms")</f>
        <v>Algorithms</v>
      </c>
      <c r="I246" s="35">
        <f>IFERROR(__xludf.DUMMYFUNCTION("""COMPUTED_VALUE"""),0.571)</f>
        <v>0.571</v>
      </c>
      <c r="J246" s="35">
        <f>IFERROR(__xludf.DUMMYFUNCTION("""COMPUTED_VALUE"""),245.0)</f>
        <v>245</v>
      </c>
      <c r="K246" s="35" t="b">
        <f>IFERROR(__xludf.DUMMYFUNCTION("""COMPUTED_VALUE"""),TRUE)</f>
        <v>1</v>
      </c>
      <c r="L246" s="35" t="str">
        <f>IFERROR(__xludf.DUMMYFUNCTION("""COMPUTED_VALUE"""),"Array;String;")</f>
        <v>Array;String;</v>
      </c>
      <c r="M246" s="35" t="b">
        <f>IFERROR(__xludf.DUMMYFUNCTION("""COMPUTED_VALUE"""),FALSE)</f>
        <v>0</v>
      </c>
      <c r="N246" s="35" t="b">
        <f>IFERROR(__xludf.DUMMYFUNCTION("""COMPUTED_VALUE"""),FALSE)</f>
        <v>0</v>
      </c>
      <c r="O246" s="35">
        <f>IFERROR(__xludf.DUMMYFUNCTION("""COMPUTED_VALUE"""),57.0778994957398)</f>
        <v>57.0778995</v>
      </c>
      <c r="P246" s="35">
        <f>IFERROR(__xludf.DUMMYFUNCTION("""COMPUTED_VALUE"""),65651.0)</f>
        <v>65651</v>
      </c>
      <c r="Q246" s="35">
        <f>IFERROR(__xludf.DUMMYFUNCTION("""COMPUTED_VALUE"""),115020.0)</f>
        <v>115020</v>
      </c>
    </row>
    <row r="247">
      <c r="A247" s="35">
        <f>IFERROR(__xludf.DUMMYFUNCTION("""COMPUTED_VALUE"""),246.0)</f>
        <v>246</v>
      </c>
      <c r="B247" s="35" t="str">
        <f>IFERROR(__xludf.DUMMYFUNCTION("""COMPUTED_VALUE"""),"Strobogrammatic Number")</f>
        <v>Strobogrammatic Number</v>
      </c>
      <c r="C247" s="35" t="str">
        <f>IFERROR(__xludf.DUMMYFUNCTION("""COMPUTED_VALUE"""),"strobogrammatic-number")</f>
        <v>strobogrammatic-number</v>
      </c>
      <c r="D247" s="35" t="b">
        <f>IFERROR(__xludf.DUMMYFUNCTION("""COMPUTED_VALUE"""),TRUE)</f>
        <v>1</v>
      </c>
      <c r="E247" s="35" t="str">
        <f>IFERROR(__xludf.DUMMYFUNCTION("""COMPUTED_VALUE"""),"Easy")</f>
        <v>Easy</v>
      </c>
      <c r="F247" s="35">
        <f>IFERROR(__xludf.DUMMYFUNCTION("""COMPUTED_VALUE"""),436.0)</f>
        <v>436</v>
      </c>
      <c r="G247" s="35">
        <f>IFERROR(__xludf.DUMMYFUNCTION("""COMPUTED_VALUE"""),719.0)</f>
        <v>719</v>
      </c>
      <c r="H247" s="35" t="str">
        <f>IFERROR(__xludf.DUMMYFUNCTION("""COMPUTED_VALUE"""),"Algorithms")</f>
        <v>Algorithms</v>
      </c>
      <c r="I247" s="35">
        <f>IFERROR(__xludf.DUMMYFUNCTION("""COMPUTED_VALUE"""),0.475)</f>
        <v>0.475</v>
      </c>
      <c r="J247" s="35">
        <f>IFERROR(__xludf.DUMMYFUNCTION("""COMPUTED_VALUE"""),246.0)</f>
        <v>246</v>
      </c>
      <c r="K247" s="35" t="b">
        <f>IFERROR(__xludf.DUMMYFUNCTION("""COMPUTED_VALUE"""),TRUE)</f>
        <v>1</v>
      </c>
      <c r="L247" s="35" t="str">
        <f>IFERROR(__xludf.DUMMYFUNCTION("""COMPUTED_VALUE"""),"Hash Table;Two Pointers;String;")</f>
        <v>Hash Table;Two Pointers;String;</v>
      </c>
      <c r="M247" s="35" t="b">
        <f>IFERROR(__xludf.DUMMYFUNCTION("""COMPUTED_VALUE"""),TRUE)</f>
        <v>1</v>
      </c>
      <c r="N247" s="35" t="b">
        <f>IFERROR(__xludf.DUMMYFUNCTION("""COMPUTED_VALUE"""),TRUE)</f>
        <v>1</v>
      </c>
      <c r="O247" s="35">
        <f>IFERROR(__xludf.DUMMYFUNCTION("""COMPUTED_VALUE"""),47.4525625942793)</f>
        <v>47.45256259</v>
      </c>
      <c r="P247" s="35">
        <f>IFERROR(__xludf.DUMMYFUNCTION("""COMPUTED_VALUE"""),131490.0)</f>
        <v>131490</v>
      </c>
      <c r="Q247" s="35">
        <f>IFERROR(__xludf.DUMMYFUNCTION("""COMPUTED_VALUE"""),277100.0)</f>
        <v>277100</v>
      </c>
    </row>
    <row r="248">
      <c r="A248" s="35">
        <f>IFERROR(__xludf.DUMMYFUNCTION("""COMPUTED_VALUE"""),247.0)</f>
        <v>247</v>
      </c>
      <c r="B248" s="35" t="str">
        <f>IFERROR(__xludf.DUMMYFUNCTION("""COMPUTED_VALUE"""),"Strobogrammatic Number II")</f>
        <v>Strobogrammatic Number II</v>
      </c>
      <c r="C248" s="35" t="str">
        <f>IFERROR(__xludf.DUMMYFUNCTION("""COMPUTED_VALUE"""),"strobogrammatic-number-ii")</f>
        <v>strobogrammatic-number-ii</v>
      </c>
      <c r="D248" s="35" t="b">
        <f>IFERROR(__xludf.DUMMYFUNCTION("""COMPUTED_VALUE"""),TRUE)</f>
        <v>1</v>
      </c>
      <c r="E248" s="35" t="str">
        <f>IFERROR(__xludf.DUMMYFUNCTION("""COMPUTED_VALUE"""),"Medium")</f>
        <v>Medium</v>
      </c>
      <c r="F248" s="35">
        <f>IFERROR(__xludf.DUMMYFUNCTION("""COMPUTED_VALUE"""),730.0)</f>
        <v>730</v>
      </c>
      <c r="G248" s="35">
        <f>IFERROR(__xludf.DUMMYFUNCTION("""COMPUTED_VALUE"""),187.0)</f>
        <v>187</v>
      </c>
      <c r="H248" s="35" t="str">
        <f>IFERROR(__xludf.DUMMYFUNCTION("""COMPUTED_VALUE"""),"Algorithms")</f>
        <v>Algorithms</v>
      </c>
      <c r="I248" s="35">
        <f>IFERROR(__xludf.DUMMYFUNCTION("""COMPUTED_VALUE"""),0.506)</f>
        <v>0.506</v>
      </c>
      <c r="J248" s="35">
        <f>IFERROR(__xludf.DUMMYFUNCTION("""COMPUTED_VALUE"""),247.0)</f>
        <v>247</v>
      </c>
      <c r="K248" s="35" t="b">
        <f>IFERROR(__xludf.DUMMYFUNCTION("""COMPUTED_VALUE"""),TRUE)</f>
        <v>1</v>
      </c>
      <c r="L248" s="35" t="str">
        <f>IFERROR(__xludf.DUMMYFUNCTION("""COMPUTED_VALUE"""),"Array;String;Recursion;")</f>
        <v>Array;String;Recursion;</v>
      </c>
      <c r="M248" s="35" t="b">
        <f>IFERROR(__xludf.DUMMYFUNCTION("""COMPUTED_VALUE"""),TRUE)</f>
        <v>1</v>
      </c>
      <c r="N248" s="35" t="b">
        <f>IFERROR(__xludf.DUMMYFUNCTION("""COMPUTED_VALUE"""),FALSE)</f>
        <v>0</v>
      </c>
      <c r="O248" s="35">
        <f>IFERROR(__xludf.DUMMYFUNCTION("""COMPUTED_VALUE"""),50.5939979609025)</f>
        <v>50.59399796</v>
      </c>
      <c r="P248" s="35">
        <f>IFERROR(__xludf.DUMMYFUNCTION("""COMPUTED_VALUE"""),114132.0)</f>
        <v>114132</v>
      </c>
      <c r="Q248" s="35">
        <f>IFERROR(__xludf.DUMMYFUNCTION("""COMPUTED_VALUE"""),225586.0)</f>
        <v>225586</v>
      </c>
    </row>
    <row r="249">
      <c r="A249" s="35">
        <f>IFERROR(__xludf.DUMMYFUNCTION("""COMPUTED_VALUE"""),248.0)</f>
        <v>248</v>
      </c>
      <c r="B249" s="35" t="str">
        <f>IFERROR(__xludf.DUMMYFUNCTION("""COMPUTED_VALUE"""),"Strobogrammatic Number III")</f>
        <v>Strobogrammatic Number III</v>
      </c>
      <c r="C249" s="35" t="str">
        <f>IFERROR(__xludf.DUMMYFUNCTION("""COMPUTED_VALUE"""),"strobogrammatic-number-iii")</f>
        <v>strobogrammatic-number-iii</v>
      </c>
      <c r="D249" s="35" t="b">
        <f>IFERROR(__xludf.DUMMYFUNCTION("""COMPUTED_VALUE"""),TRUE)</f>
        <v>1</v>
      </c>
      <c r="E249" s="35" t="str">
        <f>IFERROR(__xludf.DUMMYFUNCTION("""COMPUTED_VALUE"""),"Hard")</f>
        <v>Hard</v>
      </c>
      <c r="F249" s="35">
        <f>IFERROR(__xludf.DUMMYFUNCTION("""COMPUTED_VALUE"""),266.0)</f>
        <v>266</v>
      </c>
      <c r="G249" s="35">
        <f>IFERROR(__xludf.DUMMYFUNCTION("""COMPUTED_VALUE"""),170.0)</f>
        <v>170</v>
      </c>
      <c r="H249" s="35" t="str">
        <f>IFERROR(__xludf.DUMMYFUNCTION("""COMPUTED_VALUE"""),"Algorithms")</f>
        <v>Algorithms</v>
      </c>
      <c r="I249" s="35">
        <f>IFERROR(__xludf.DUMMYFUNCTION("""COMPUTED_VALUE"""),0.413)</f>
        <v>0.413</v>
      </c>
      <c r="J249" s="35">
        <f>IFERROR(__xludf.DUMMYFUNCTION("""COMPUTED_VALUE"""),248.0)</f>
        <v>248</v>
      </c>
      <c r="K249" s="35" t="b">
        <f>IFERROR(__xludf.DUMMYFUNCTION("""COMPUTED_VALUE"""),TRUE)</f>
        <v>1</v>
      </c>
      <c r="L249" s="35" t="str">
        <f>IFERROR(__xludf.DUMMYFUNCTION("""COMPUTED_VALUE"""),"Array;String;Recursion;")</f>
        <v>Array;String;Recursion;</v>
      </c>
      <c r="M249" s="35" t="b">
        <f>IFERROR(__xludf.DUMMYFUNCTION("""COMPUTED_VALUE"""),FALSE)</f>
        <v>0</v>
      </c>
      <c r="N249" s="35" t="b">
        <f>IFERROR(__xludf.DUMMYFUNCTION("""COMPUTED_VALUE"""),FALSE)</f>
        <v>0</v>
      </c>
      <c r="O249" s="35">
        <f>IFERROR(__xludf.DUMMYFUNCTION("""COMPUTED_VALUE"""),41.2690355329949)</f>
        <v>41.26903553</v>
      </c>
      <c r="P249" s="35">
        <f>IFERROR(__xludf.DUMMYFUNCTION("""COMPUTED_VALUE"""),33333.0)</f>
        <v>33333</v>
      </c>
      <c r="Q249" s="35">
        <f>IFERROR(__xludf.DUMMYFUNCTION("""COMPUTED_VALUE"""),80770.0)</f>
        <v>80770</v>
      </c>
    </row>
    <row r="250">
      <c r="A250" s="35">
        <f>IFERROR(__xludf.DUMMYFUNCTION("""COMPUTED_VALUE"""),249.0)</f>
        <v>249</v>
      </c>
      <c r="B250" s="35" t="str">
        <f>IFERROR(__xludf.DUMMYFUNCTION("""COMPUTED_VALUE"""),"Group Shifted Strings")</f>
        <v>Group Shifted Strings</v>
      </c>
      <c r="C250" s="35" t="str">
        <f>IFERROR(__xludf.DUMMYFUNCTION("""COMPUTED_VALUE"""),"group-shifted-strings")</f>
        <v>group-shifted-strings</v>
      </c>
      <c r="D250" s="35" t="b">
        <f>IFERROR(__xludf.DUMMYFUNCTION("""COMPUTED_VALUE"""),TRUE)</f>
        <v>1</v>
      </c>
      <c r="E250" s="35" t="str">
        <f>IFERROR(__xludf.DUMMYFUNCTION("""COMPUTED_VALUE"""),"Medium")</f>
        <v>Medium</v>
      </c>
      <c r="F250" s="35">
        <f>IFERROR(__xludf.DUMMYFUNCTION("""COMPUTED_VALUE"""),1238.0)</f>
        <v>1238</v>
      </c>
      <c r="G250" s="35">
        <f>IFERROR(__xludf.DUMMYFUNCTION("""COMPUTED_VALUE"""),227.0)</f>
        <v>227</v>
      </c>
      <c r="H250" s="35" t="str">
        <f>IFERROR(__xludf.DUMMYFUNCTION("""COMPUTED_VALUE"""),"Algorithms")</f>
        <v>Algorithms</v>
      </c>
      <c r="I250" s="35">
        <f>IFERROR(__xludf.DUMMYFUNCTION("""COMPUTED_VALUE"""),0.63)</f>
        <v>0.63</v>
      </c>
      <c r="J250" s="35">
        <f>IFERROR(__xludf.DUMMYFUNCTION("""COMPUTED_VALUE"""),249.0)</f>
        <v>249</v>
      </c>
      <c r="K250" s="35" t="b">
        <f>IFERROR(__xludf.DUMMYFUNCTION("""COMPUTED_VALUE"""),TRUE)</f>
        <v>1</v>
      </c>
      <c r="L250" s="35" t="str">
        <f>IFERROR(__xludf.DUMMYFUNCTION("""COMPUTED_VALUE"""),"Array;Hash Table;String;")</f>
        <v>Array;Hash Table;String;</v>
      </c>
      <c r="M250" s="35" t="b">
        <f>IFERROR(__xludf.DUMMYFUNCTION("""COMPUTED_VALUE"""),TRUE)</f>
        <v>1</v>
      </c>
      <c r="N250" s="35" t="b">
        <f>IFERROR(__xludf.DUMMYFUNCTION("""COMPUTED_VALUE"""),FALSE)</f>
        <v>0</v>
      </c>
      <c r="O250" s="35">
        <f>IFERROR(__xludf.DUMMYFUNCTION("""COMPUTED_VALUE"""),63.0142127115937)</f>
        <v>63.01421271</v>
      </c>
      <c r="P250" s="35">
        <f>IFERROR(__xludf.DUMMYFUNCTION("""COMPUTED_VALUE"""),157836.0)</f>
        <v>157836</v>
      </c>
      <c r="Q250" s="35">
        <f>IFERROR(__xludf.DUMMYFUNCTION("""COMPUTED_VALUE"""),250477.0)</f>
        <v>250477</v>
      </c>
    </row>
    <row r="251">
      <c r="A251" s="35">
        <f>IFERROR(__xludf.DUMMYFUNCTION("""COMPUTED_VALUE"""),250.0)</f>
        <v>250</v>
      </c>
      <c r="B251" s="35" t="str">
        <f>IFERROR(__xludf.DUMMYFUNCTION("""COMPUTED_VALUE"""),"Count Univalue Subtrees")</f>
        <v>Count Univalue Subtrees</v>
      </c>
      <c r="C251" s="35" t="str">
        <f>IFERROR(__xludf.DUMMYFUNCTION("""COMPUTED_VALUE"""),"count-univalue-subtrees")</f>
        <v>count-univalue-subtrees</v>
      </c>
      <c r="D251" s="35" t="b">
        <f>IFERROR(__xludf.DUMMYFUNCTION("""COMPUTED_VALUE"""),TRUE)</f>
        <v>1</v>
      </c>
      <c r="E251" s="35" t="str">
        <f>IFERROR(__xludf.DUMMYFUNCTION("""COMPUTED_VALUE"""),"Medium")</f>
        <v>Medium</v>
      </c>
      <c r="F251" s="35">
        <f>IFERROR(__xludf.DUMMYFUNCTION("""COMPUTED_VALUE"""),909.0)</f>
        <v>909</v>
      </c>
      <c r="G251" s="35">
        <f>IFERROR(__xludf.DUMMYFUNCTION("""COMPUTED_VALUE"""),286.0)</f>
        <v>286</v>
      </c>
      <c r="H251" s="35" t="str">
        <f>IFERROR(__xludf.DUMMYFUNCTION("""COMPUTED_VALUE"""),"Algorithms")</f>
        <v>Algorithms</v>
      </c>
      <c r="I251" s="35">
        <f>IFERROR(__xludf.DUMMYFUNCTION("""COMPUTED_VALUE"""),0.547)</f>
        <v>0.547</v>
      </c>
      <c r="J251" s="35">
        <f>IFERROR(__xludf.DUMMYFUNCTION("""COMPUTED_VALUE"""),250.0)</f>
        <v>250</v>
      </c>
      <c r="K251" s="35" t="b">
        <f>IFERROR(__xludf.DUMMYFUNCTION("""COMPUTED_VALUE"""),TRUE)</f>
        <v>1</v>
      </c>
      <c r="L251" s="35" t="str">
        <f>IFERROR(__xludf.DUMMYFUNCTION("""COMPUTED_VALUE"""),"Tree;Depth-First Search;Binary Tree;")</f>
        <v>Tree;Depth-First Search;Binary Tree;</v>
      </c>
      <c r="M251" s="35" t="b">
        <f>IFERROR(__xludf.DUMMYFUNCTION("""COMPUTED_VALUE"""),TRUE)</f>
        <v>1</v>
      </c>
      <c r="N251" s="35" t="b">
        <f>IFERROR(__xludf.DUMMYFUNCTION("""COMPUTED_VALUE"""),FALSE)</f>
        <v>0</v>
      </c>
      <c r="O251" s="35">
        <f>IFERROR(__xludf.DUMMYFUNCTION("""COMPUTED_VALUE"""),54.6842215694502)</f>
        <v>54.68422157</v>
      </c>
      <c r="P251" s="35">
        <f>IFERROR(__xludf.DUMMYFUNCTION("""COMPUTED_VALUE"""),114674.0)</f>
        <v>114674</v>
      </c>
      <c r="Q251" s="35">
        <f>IFERROR(__xludf.DUMMYFUNCTION("""COMPUTED_VALUE"""),209700.0)</f>
        <v>209700</v>
      </c>
    </row>
    <row r="252">
      <c r="A252" s="35">
        <f>IFERROR(__xludf.DUMMYFUNCTION("""COMPUTED_VALUE"""),251.0)</f>
        <v>251</v>
      </c>
      <c r="B252" s="35" t="str">
        <f>IFERROR(__xludf.DUMMYFUNCTION("""COMPUTED_VALUE"""),"Flatten 2D Vector")</f>
        <v>Flatten 2D Vector</v>
      </c>
      <c r="C252" s="35" t="str">
        <f>IFERROR(__xludf.DUMMYFUNCTION("""COMPUTED_VALUE"""),"flatten-2d-vector")</f>
        <v>flatten-2d-vector</v>
      </c>
      <c r="D252" s="35" t="b">
        <f>IFERROR(__xludf.DUMMYFUNCTION("""COMPUTED_VALUE"""),TRUE)</f>
        <v>1</v>
      </c>
      <c r="E252" s="35" t="str">
        <f>IFERROR(__xludf.DUMMYFUNCTION("""COMPUTED_VALUE"""),"Medium")</f>
        <v>Medium</v>
      </c>
      <c r="F252" s="35">
        <f>IFERROR(__xludf.DUMMYFUNCTION("""COMPUTED_VALUE"""),551.0)</f>
        <v>551</v>
      </c>
      <c r="G252" s="35">
        <f>IFERROR(__xludf.DUMMYFUNCTION("""COMPUTED_VALUE"""),304.0)</f>
        <v>304</v>
      </c>
      <c r="H252" s="35" t="str">
        <f>IFERROR(__xludf.DUMMYFUNCTION("""COMPUTED_VALUE"""),"Algorithms")</f>
        <v>Algorithms</v>
      </c>
      <c r="I252" s="35">
        <f>IFERROR(__xludf.DUMMYFUNCTION("""COMPUTED_VALUE"""),0.477)</f>
        <v>0.477</v>
      </c>
      <c r="J252" s="35">
        <f>IFERROR(__xludf.DUMMYFUNCTION("""COMPUTED_VALUE"""),251.0)</f>
        <v>251</v>
      </c>
      <c r="K252" s="35" t="b">
        <f>IFERROR(__xludf.DUMMYFUNCTION("""COMPUTED_VALUE"""),TRUE)</f>
        <v>1</v>
      </c>
      <c r="L252" s="35" t="str">
        <f>IFERROR(__xludf.DUMMYFUNCTION("""COMPUTED_VALUE"""),"Array;Two Pointers;Design;Iterator;")</f>
        <v>Array;Two Pointers;Design;Iterator;</v>
      </c>
      <c r="M252" s="35" t="b">
        <f>IFERROR(__xludf.DUMMYFUNCTION("""COMPUTED_VALUE"""),TRUE)</f>
        <v>1</v>
      </c>
      <c r="N252" s="35" t="b">
        <f>IFERROR(__xludf.DUMMYFUNCTION("""COMPUTED_VALUE"""),FALSE)</f>
        <v>0</v>
      </c>
      <c r="O252" s="35">
        <f>IFERROR(__xludf.DUMMYFUNCTION("""COMPUTED_VALUE"""),47.7358267809496)</f>
        <v>47.73582678</v>
      </c>
      <c r="P252" s="35">
        <f>IFERROR(__xludf.DUMMYFUNCTION("""COMPUTED_VALUE"""),101083.0)</f>
        <v>101083</v>
      </c>
      <c r="Q252" s="35">
        <f>IFERROR(__xludf.DUMMYFUNCTION("""COMPUTED_VALUE"""),211755.0)</f>
        <v>211755</v>
      </c>
    </row>
    <row r="253">
      <c r="A253" s="35">
        <f>IFERROR(__xludf.DUMMYFUNCTION("""COMPUTED_VALUE"""),252.0)</f>
        <v>252</v>
      </c>
      <c r="B253" s="35" t="str">
        <f>IFERROR(__xludf.DUMMYFUNCTION("""COMPUTED_VALUE"""),"Meeting Rooms")</f>
        <v>Meeting Rooms</v>
      </c>
      <c r="C253" s="35" t="str">
        <f>IFERROR(__xludf.DUMMYFUNCTION("""COMPUTED_VALUE"""),"meeting-rooms")</f>
        <v>meeting-rooms</v>
      </c>
      <c r="D253" s="35" t="b">
        <f>IFERROR(__xludf.DUMMYFUNCTION("""COMPUTED_VALUE"""),TRUE)</f>
        <v>1</v>
      </c>
      <c r="E253" s="35" t="str">
        <f>IFERROR(__xludf.DUMMYFUNCTION("""COMPUTED_VALUE"""),"Easy")</f>
        <v>Easy</v>
      </c>
      <c r="F253" s="35">
        <f>IFERROR(__xludf.DUMMYFUNCTION("""COMPUTED_VALUE"""),1329.0)</f>
        <v>1329</v>
      </c>
      <c r="G253" s="35">
        <f>IFERROR(__xludf.DUMMYFUNCTION("""COMPUTED_VALUE"""),65.0)</f>
        <v>65</v>
      </c>
      <c r="H253" s="35" t="str">
        <f>IFERROR(__xludf.DUMMYFUNCTION("""COMPUTED_VALUE"""),"Algorithms")</f>
        <v>Algorithms</v>
      </c>
      <c r="I253" s="35">
        <f>IFERROR(__xludf.DUMMYFUNCTION("""COMPUTED_VALUE"""),0.566)</f>
        <v>0.566</v>
      </c>
      <c r="J253" s="35">
        <f>IFERROR(__xludf.DUMMYFUNCTION("""COMPUTED_VALUE"""),252.0)</f>
        <v>252</v>
      </c>
      <c r="K253" s="35" t="b">
        <f>IFERROR(__xludf.DUMMYFUNCTION("""COMPUTED_VALUE"""),TRUE)</f>
        <v>1</v>
      </c>
      <c r="L253" s="35" t="str">
        <f>IFERROR(__xludf.DUMMYFUNCTION("""COMPUTED_VALUE"""),"Array;Sorting;")</f>
        <v>Array;Sorting;</v>
      </c>
      <c r="M253" s="35" t="b">
        <f>IFERROR(__xludf.DUMMYFUNCTION("""COMPUTED_VALUE"""),TRUE)</f>
        <v>1</v>
      </c>
      <c r="N253" s="35" t="b">
        <f>IFERROR(__xludf.DUMMYFUNCTION("""COMPUTED_VALUE"""),TRUE)</f>
        <v>1</v>
      </c>
      <c r="O253" s="35">
        <f>IFERROR(__xludf.DUMMYFUNCTION("""COMPUTED_VALUE"""),56.5915016889296)</f>
        <v>56.59150169</v>
      </c>
      <c r="P253" s="35">
        <f>IFERROR(__xludf.DUMMYFUNCTION("""COMPUTED_VALUE"""),254147.0)</f>
        <v>254147</v>
      </c>
      <c r="Q253" s="35">
        <f>IFERROR(__xludf.DUMMYFUNCTION("""COMPUTED_VALUE"""),449093.0)</f>
        <v>449093</v>
      </c>
    </row>
    <row r="254">
      <c r="A254" s="35">
        <f>IFERROR(__xludf.DUMMYFUNCTION("""COMPUTED_VALUE"""),253.0)</f>
        <v>253</v>
      </c>
      <c r="B254" s="35" t="str">
        <f>IFERROR(__xludf.DUMMYFUNCTION("""COMPUTED_VALUE"""),"Meeting Rooms II")</f>
        <v>Meeting Rooms II</v>
      </c>
      <c r="C254" s="35" t="str">
        <f>IFERROR(__xludf.DUMMYFUNCTION("""COMPUTED_VALUE"""),"meeting-rooms-ii")</f>
        <v>meeting-rooms-ii</v>
      </c>
      <c r="D254" s="35" t="b">
        <f>IFERROR(__xludf.DUMMYFUNCTION("""COMPUTED_VALUE"""),TRUE)</f>
        <v>1</v>
      </c>
      <c r="E254" s="35" t="str">
        <f>IFERROR(__xludf.DUMMYFUNCTION("""COMPUTED_VALUE"""),"Medium")</f>
        <v>Medium</v>
      </c>
      <c r="F254" s="35">
        <f>IFERROR(__xludf.DUMMYFUNCTION("""COMPUTED_VALUE"""),5236.0)</f>
        <v>5236</v>
      </c>
      <c r="G254" s="35">
        <f>IFERROR(__xludf.DUMMYFUNCTION("""COMPUTED_VALUE"""),104.0)</f>
        <v>104</v>
      </c>
      <c r="H254" s="35" t="str">
        <f>IFERROR(__xludf.DUMMYFUNCTION("""COMPUTED_VALUE"""),"Algorithms")</f>
        <v>Algorithms</v>
      </c>
      <c r="I254" s="35">
        <f>IFERROR(__xludf.DUMMYFUNCTION("""COMPUTED_VALUE"""),0.494)</f>
        <v>0.494</v>
      </c>
      <c r="J254" s="35">
        <f>IFERROR(__xludf.DUMMYFUNCTION("""COMPUTED_VALUE"""),253.0)</f>
        <v>253</v>
      </c>
      <c r="K254" s="35" t="b">
        <f>IFERROR(__xludf.DUMMYFUNCTION("""COMPUTED_VALUE"""),TRUE)</f>
        <v>1</v>
      </c>
      <c r="L254" s="35" t="str">
        <f>IFERROR(__xludf.DUMMYFUNCTION("""COMPUTED_VALUE"""),"Array;Two Pointers;Greedy;Sorting;Heap (Priority Queue);")</f>
        <v>Array;Two Pointers;Greedy;Sorting;Heap (Priority Queue);</v>
      </c>
      <c r="M254" s="35" t="b">
        <f>IFERROR(__xludf.DUMMYFUNCTION("""COMPUTED_VALUE"""),TRUE)</f>
        <v>1</v>
      </c>
      <c r="N254" s="35" t="b">
        <f>IFERROR(__xludf.DUMMYFUNCTION("""COMPUTED_VALUE"""),FALSE)</f>
        <v>0</v>
      </c>
      <c r="O254" s="35">
        <f>IFERROR(__xludf.DUMMYFUNCTION("""COMPUTED_VALUE"""),49.4034928031633)</f>
        <v>49.4034928</v>
      </c>
      <c r="P254" s="35">
        <f>IFERROR(__xludf.DUMMYFUNCTION("""COMPUTED_VALUE"""),599198.0)</f>
        <v>599198</v>
      </c>
      <c r="Q254" s="35">
        <f>IFERROR(__xludf.DUMMYFUNCTION("""COMPUTED_VALUE"""),1212875.0)</f>
        <v>1212875</v>
      </c>
    </row>
    <row r="255">
      <c r="A255" s="35">
        <f>IFERROR(__xludf.DUMMYFUNCTION("""COMPUTED_VALUE"""),254.0)</f>
        <v>254</v>
      </c>
      <c r="B255" s="35" t="str">
        <f>IFERROR(__xludf.DUMMYFUNCTION("""COMPUTED_VALUE"""),"Factor Combinations")</f>
        <v>Factor Combinations</v>
      </c>
      <c r="C255" s="35" t="str">
        <f>IFERROR(__xludf.DUMMYFUNCTION("""COMPUTED_VALUE"""),"factor-combinations")</f>
        <v>factor-combinations</v>
      </c>
      <c r="D255" s="35" t="b">
        <f>IFERROR(__xludf.DUMMYFUNCTION("""COMPUTED_VALUE"""),TRUE)</f>
        <v>1</v>
      </c>
      <c r="E255" s="35" t="str">
        <f>IFERROR(__xludf.DUMMYFUNCTION("""COMPUTED_VALUE"""),"Medium")</f>
        <v>Medium</v>
      </c>
      <c r="F255" s="35">
        <f>IFERROR(__xludf.DUMMYFUNCTION("""COMPUTED_VALUE"""),871.0)</f>
        <v>871</v>
      </c>
      <c r="G255" s="35">
        <f>IFERROR(__xludf.DUMMYFUNCTION("""COMPUTED_VALUE"""),45.0)</f>
        <v>45</v>
      </c>
      <c r="H255" s="35" t="str">
        <f>IFERROR(__xludf.DUMMYFUNCTION("""COMPUTED_VALUE"""),"Algorithms")</f>
        <v>Algorithms</v>
      </c>
      <c r="I255" s="35">
        <f>IFERROR(__xludf.DUMMYFUNCTION("""COMPUTED_VALUE"""),0.486)</f>
        <v>0.486</v>
      </c>
      <c r="J255" s="35">
        <f>IFERROR(__xludf.DUMMYFUNCTION("""COMPUTED_VALUE"""),254.0)</f>
        <v>254</v>
      </c>
      <c r="K255" s="35" t="b">
        <f>IFERROR(__xludf.DUMMYFUNCTION("""COMPUTED_VALUE"""),TRUE)</f>
        <v>1</v>
      </c>
      <c r="L255" s="35" t="str">
        <f>IFERROR(__xludf.DUMMYFUNCTION("""COMPUTED_VALUE"""),"Array;Backtracking;")</f>
        <v>Array;Backtracking;</v>
      </c>
      <c r="M255" s="35" t="b">
        <f>IFERROR(__xludf.DUMMYFUNCTION("""COMPUTED_VALUE"""),FALSE)</f>
        <v>0</v>
      </c>
      <c r="N255" s="35" t="b">
        <f>IFERROR(__xludf.DUMMYFUNCTION("""COMPUTED_VALUE"""),FALSE)</f>
        <v>0</v>
      </c>
      <c r="O255" s="35">
        <f>IFERROR(__xludf.DUMMYFUNCTION("""COMPUTED_VALUE"""),48.5505853450417)</f>
        <v>48.55058535</v>
      </c>
      <c r="P255" s="35">
        <f>IFERROR(__xludf.DUMMYFUNCTION("""COMPUTED_VALUE"""),103555.0)</f>
        <v>103555</v>
      </c>
      <c r="Q255" s="35">
        <f>IFERROR(__xludf.DUMMYFUNCTION("""COMPUTED_VALUE"""),213293.0)</f>
        <v>213293</v>
      </c>
    </row>
    <row r="256">
      <c r="A256" s="35">
        <f>IFERROR(__xludf.DUMMYFUNCTION("""COMPUTED_VALUE"""),255.0)</f>
        <v>255</v>
      </c>
      <c r="B256" s="35" t="str">
        <f>IFERROR(__xludf.DUMMYFUNCTION("""COMPUTED_VALUE"""),"Verify Preorder Sequence in Binary Search Tree")</f>
        <v>Verify Preorder Sequence in Binary Search Tree</v>
      </c>
      <c r="C256" s="35" t="str">
        <f>IFERROR(__xludf.DUMMYFUNCTION("""COMPUTED_VALUE"""),"verify-preorder-sequence-in-binary-search-tree")</f>
        <v>verify-preorder-sequence-in-binary-search-tree</v>
      </c>
      <c r="D256" s="35" t="b">
        <f>IFERROR(__xludf.DUMMYFUNCTION("""COMPUTED_VALUE"""),TRUE)</f>
        <v>1</v>
      </c>
      <c r="E256" s="35" t="str">
        <f>IFERROR(__xludf.DUMMYFUNCTION("""COMPUTED_VALUE"""),"Medium")</f>
        <v>Medium</v>
      </c>
      <c r="F256" s="35">
        <f>IFERROR(__xludf.DUMMYFUNCTION("""COMPUTED_VALUE"""),900.0)</f>
        <v>900</v>
      </c>
      <c r="G256" s="35">
        <f>IFERROR(__xludf.DUMMYFUNCTION("""COMPUTED_VALUE"""),68.0)</f>
        <v>68</v>
      </c>
      <c r="H256" s="35" t="str">
        <f>IFERROR(__xludf.DUMMYFUNCTION("""COMPUTED_VALUE"""),"Algorithms")</f>
        <v>Algorithms</v>
      </c>
      <c r="I256" s="35">
        <f>IFERROR(__xludf.DUMMYFUNCTION("""COMPUTED_VALUE"""),0.474)</f>
        <v>0.474</v>
      </c>
      <c r="J256" s="35">
        <f>IFERROR(__xludf.DUMMYFUNCTION("""COMPUTED_VALUE"""),255.0)</f>
        <v>255</v>
      </c>
      <c r="K256" s="35" t="b">
        <f>IFERROR(__xludf.DUMMYFUNCTION("""COMPUTED_VALUE"""),TRUE)</f>
        <v>1</v>
      </c>
      <c r="L256" s="35" t="str">
        <f>IFERROR(__xludf.DUMMYFUNCTION("""COMPUTED_VALUE"""),"Stack;Tree;Binary Search Tree;Recursion;Monotonic Stack;Binary Tree;")</f>
        <v>Stack;Tree;Binary Search Tree;Recursion;Monotonic Stack;Binary Tree;</v>
      </c>
      <c r="M256" s="35" t="b">
        <f>IFERROR(__xludf.DUMMYFUNCTION("""COMPUTED_VALUE"""),FALSE)</f>
        <v>0</v>
      </c>
      <c r="N256" s="35" t="b">
        <f>IFERROR(__xludf.DUMMYFUNCTION("""COMPUTED_VALUE"""),FALSE)</f>
        <v>0</v>
      </c>
      <c r="O256" s="35">
        <f>IFERROR(__xludf.DUMMYFUNCTION("""COMPUTED_VALUE"""),47.4067162775298)</f>
        <v>47.40671628</v>
      </c>
      <c r="P256" s="35">
        <f>IFERROR(__xludf.DUMMYFUNCTION("""COMPUTED_VALUE"""),63004.0)</f>
        <v>63004</v>
      </c>
      <c r="Q256" s="35">
        <f>IFERROR(__xludf.DUMMYFUNCTION("""COMPUTED_VALUE"""),132901.0)</f>
        <v>132901</v>
      </c>
    </row>
    <row r="257">
      <c r="A257" s="35">
        <f>IFERROR(__xludf.DUMMYFUNCTION("""COMPUTED_VALUE"""),256.0)</f>
        <v>256</v>
      </c>
      <c r="B257" s="35" t="str">
        <f>IFERROR(__xludf.DUMMYFUNCTION("""COMPUTED_VALUE"""),"Paint House")</f>
        <v>Paint House</v>
      </c>
      <c r="C257" s="35" t="str">
        <f>IFERROR(__xludf.DUMMYFUNCTION("""COMPUTED_VALUE"""),"paint-house")</f>
        <v>paint-house</v>
      </c>
      <c r="D257" s="35" t="b">
        <f>IFERROR(__xludf.DUMMYFUNCTION("""COMPUTED_VALUE"""),TRUE)</f>
        <v>1</v>
      </c>
      <c r="E257" s="35" t="str">
        <f>IFERROR(__xludf.DUMMYFUNCTION("""COMPUTED_VALUE"""),"Medium")</f>
        <v>Medium</v>
      </c>
      <c r="F257" s="35">
        <f>IFERROR(__xludf.DUMMYFUNCTION("""COMPUTED_VALUE"""),1707.0)</f>
        <v>1707</v>
      </c>
      <c r="G257" s="35">
        <f>IFERROR(__xludf.DUMMYFUNCTION("""COMPUTED_VALUE"""),117.0)</f>
        <v>117</v>
      </c>
      <c r="H257" s="35" t="str">
        <f>IFERROR(__xludf.DUMMYFUNCTION("""COMPUTED_VALUE"""),"Algorithms")</f>
        <v>Algorithms</v>
      </c>
      <c r="I257" s="35">
        <f>IFERROR(__xludf.DUMMYFUNCTION("""COMPUTED_VALUE"""),0.582)</f>
        <v>0.582</v>
      </c>
      <c r="J257" s="35">
        <f>IFERROR(__xludf.DUMMYFUNCTION("""COMPUTED_VALUE"""),256.0)</f>
        <v>256</v>
      </c>
      <c r="K257" s="35" t="b">
        <f>IFERROR(__xludf.DUMMYFUNCTION("""COMPUTED_VALUE"""),TRUE)</f>
        <v>1</v>
      </c>
      <c r="L257" s="35" t="str">
        <f>IFERROR(__xludf.DUMMYFUNCTION("""COMPUTED_VALUE"""),"Array;Dynamic Programming;")</f>
        <v>Array;Dynamic Programming;</v>
      </c>
      <c r="M257" s="35" t="b">
        <f>IFERROR(__xludf.DUMMYFUNCTION("""COMPUTED_VALUE"""),TRUE)</f>
        <v>1</v>
      </c>
      <c r="N257" s="35" t="b">
        <f>IFERROR(__xludf.DUMMYFUNCTION("""COMPUTED_VALUE"""),FALSE)</f>
        <v>0</v>
      </c>
      <c r="O257" s="35">
        <f>IFERROR(__xludf.DUMMYFUNCTION("""COMPUTED_VALUE"""),58.2433506287103)</f>
        <v>58.24335063</v>
      </c>
      <c r="P257" s="35">
        <f>IFERROR(__xludf.DUMMYFUNCTION("""COMPUTED_VALUE"""),149518.0)</f>
        <v>149518</v>
      </c>
      <c r="Q257" s="35">
        <f>IFERROR(__xludf.DUMMYFUNCTION("""COMPUTED_VALUE"""),256714.0)</f>
        <v>256714</v>
      </c>
    </row>
    <row r="258">
      <c r="A258" s="35">
        <f>IFERROR(__xludf.DUMMYFUNCTION("""COMPUTED_VALUE"""),257.0)</f>
        <v>257</v>
      </c>
      <c r="B258" s="35" t="str">
        <f>IFERROR(__xludf.DUMMYFUNCTION("""COMPUTED_VALUE"""),"Binary Tree Paths")</f>
        <v>Binary Tree Paths</v>
      </c>
      <c r="C258" s="35" t="str">
        <f>IFERROR(__xludf.DUMMYFUNCTION("""COMPUTED_VALUE"""),"binary-tree-paths")</f>
        <v>binary-tree-paths</v>
      </c>
      <c r="D258" s="35" t="b">
        <f>IFERROR(__xludf.DUMMYFUNCTION("""COMPUTED_VALUE"""),FALSE)</f>
        <v>0</v>
      </c>
      <c r="E258" s="35" t="str">
        <f>IFERROR(__xludf.DUMMYFUNCTION("""COMPUTED_VALUE"""),"Easy")</f>
        <v>Easy</v>
      </c>
      <c r="F258" s="35">
        <f>IFERROR(__xludf.DUMMYFUNCTION("""COMPUTED_VALUE"""),3790.0)</f>
        <v>3790</v>
      </c>
      <c r="G258" s="35">
        <f>IFERROR(__xludf.DUMMYFUNCTION("""COMPUTED_VALUE"""),175.0)</f>
        <v>175</v>
      </c>
      <c r="H258" s="35" t="str">
        <f>IFERROR(__xludf.DUMMYFUNCTION("""COMPUTED_VALUE"""),"Algorithms")</f>
        <v>Algorithms</v>
      </c>
      <c r="I258" s="35">
        <f>IFERROR(__xludf.DUMMYFUNCTION("""COMPUTED_VALUE"""),0.581)</f>
        <v>0.581</v>
      </c>
      <c r="J258" s="35">
        <f>IFERROR(__xludf.DUMMYFUNCTION("""COMPUTED_VALUE"""),257.0)</f>
        <v>257</v>
      </c>
      <c r="K258" s="35" t="b">
        <f>IFERROR(__xludf.DUMMYFUNCTION("""COMPUTED_VALUE"""),FALSE)</f>
        <v>0</v>
      </c>
      <c r="L258" s="35" t="str">
        <f>IFERROR(__xludf.DUMMYFUNCTION("""COMPUTED_VALUE"""),"String;Backtracking;Tree;Depth-First Search;Binary Tree;")</f>
        <v>String;Backtracking;Tree;Depth-First Search;Binary Tree;</v>
      </c>
      <c r="M258" s="35" t="b">
        <f>IFERROR(__xludf.DUMMYFUNCTION("""COMPUTED_VALUE"""),TRUE)</f>
        <v>1</v>
      </c>
      <c r="N258" s="35" t="b">
        <f>IFERROR(__xludf.DUMMYFUNCTION("""COMPUTED_VALUE"""),FALSE)</f>
        <v>0</v>
      </c>
      <c r="O258" s="35">
        <f>IFERROR(__xludf.DUMMYFUNCTION("""COMPUTED_VALUE"""),58.0716999309482)</f>
        <v>58.07169993</v>
      </c>
      <c r="P258" s="35">
        <f>IFERROR(__xludf.DUMMYFUNCTION("""COMPUTED_VALUE"""),489450.0)</f>
        <v>489450</v>
      </c>
      <c r="Q258" s="35">
        <f>IFERROR(__xludf.DUMMYFUNCTION("""COMPUTED_VALUE"""),842837.0)</f>
        <v>842837</v>
      </c>
    </row>
    <row r="259">
      <c r="A259" s="35">
        <f>IFERROR(__xludf.DUMMYFUNCTION("""COMPUTED_VALUE"""),258.0)</f>
        <v>258</v>
      </c>
      <c r="B259" s="35" t="str">
        <f>IFERROR(__xludf.DUMMYFUNCTION("""COMPUTED_VALUE"""),"Add Digits")</f>
        <v>Add Digits</v>
      </c>
      <c r="C259" s="35" t="str">
        <f>IFERROR(__xludf.DUMMYFUNCTION("""COMPUTED_VALUE"""),"add-digits")</f>
        <v>add-digits</v>
      </c>
      <c r="D259" s="35" t="b">
        <f>IFERROR(__xludf.DUMMYFUNCTION("""COMPUTED_VALUE"""),FALSE)</f>
        <v>0</v>
      </c>
      <c r="E259" s="35" t="str">
        <f>IFERROR(__xludf.DUMMYFUNCTION("""COMPUTED_VALUE"""),"Easy")</f>
        <v>Easy</v>
      </c>
      <c r="F259" s="35">
        <f>IFERROR(__xludf.DUMMYFUNCTION("""COMPUTED_VALUE"""),2350.0)</f>
        <v>2350</v>
      </c>
      <c r="G259" s="35">
        <f>IFERROR(__xludf.DUMMYFUNCTION("""COMPUTED_VALUE"""),1635.0)</f>
        <v>1635</v>
      </c>
      <c r="H259" s="35" t="str">
        <f>IFERROR(__xludf.DUMMYFUNCTION("""COMPUTED_VALUE"""),"Algorithms")</f>
        <v>Algorithms</v>
      </c>
      <c r="I259" s="35">
        <f>IFERROR(__xludf.DUMMYFUNCTION("""COMPUTED_VALUE"""),0.622)</f>
        <v>0.622</v>
      </c>
      <c r="J259" s="35">
        <f>IFERROR(__xludf.DUMMYFUNCTION("""COMPUTED_VALUE"""),258.0)</f>
        <v>258</v>
      </c>
      <c r="K259" s="35" t="b">
        <f>IFERROR(__xludf.DUMMYFUNCTION("""COMPUTED_VALUE"""),FALSE)</f>
        <v>0</v>
      </c>
      <c r="L259" s="35" t="str">
        <f>IFERROR(__xludf.DUMMYFUNCTION("""COMPUTED_VALUE"""),"Math;Simulation;Number Theory;")</f>
        <v>Math;Simulation;Number Theory;</v>
      </c>
      <c r="M259" s="35" t="b">
        <f>IFERROR(__xludf.DUMMYFUNCTION("""COMPUTED_VALUE"""),TRUE)</f>
        <v>1</v>
      </c>
      <c r="N259" s="35" t="b">
        <f>IFERROR(__xludf.DUMMYFUNCTION("""COMPUTED_VALUE"""),FALSE)</f>
        <v>0</v>
      </c>
      <c r="O259" s="35">
        <f>IFERROR(__xludf.DUMMYFUNCTION("""COMPUTED_VALUE"""),62.2418232693857)</f>
        <v>62.24182327</v>
      </c>
      <c r="P259" s="35">
        <f>IFERROR(__xludf.DUMMYFUNCTION("""COMPUTED_VALUE"""),457326.0)</f>
        <v>457326</v>
      </c>
      <c r="Q259" s="35">
        <f>IFERROR(__xludf.DUMMYFUNCTION("""COMPUTED_VALUE"""),734761.0)</f>
        <v>734761</v>
      </c>
    </row>
    <row r="260">
      <c r="A260" s="35">
        <f>IFERROR(__xludf.DUMMYFUNCTION("""COMPUTED_VALUE"""),259.0)</f>
        <v>259</v>
      </c>
      <c r="B260" s="35" t="str">
        <f>IFERROR(__xludf.DUMMYFUNCTION("""COMPUTED_VALUE"""),"3Sum Smaller")</f>
        <v>3Sum Smaller</v>
      </c>
      <c r="C260" s="35" t="str">
        <f>IFERROR(__xludf.DUMMYFUNCTION("""COMPUTED_VALUE"""),"3sum-smaller")</f>
        <v>3sum-smaller</v>
      </c>
      <c r="D260" s="35" t="b">
        <f>IFERROR(__xludf.DUMMYFUNCTION("""COMPUTED_VALUE"""),TRUE)</f>
        <v>1</v>
      </c>
      <c r="E260" s="35" t="str">
        <f>IFERROR(__xludf.DUMMYFUNCTION("""COMPUTED_VALUE"""),"Medium")</f>
        <v>Medium</v>
      </c>
      <c r="F260" s="35">
        <f>IFERROR(__xludf.DUMMYFUNCTION("""COMPUTED_VALUE"""),1195.0)</f>
        <v>1195</v>
      </c>
      <c r="G260" s="35">
        <f>IFERROR(__xludf.DUMMYFUNCTION("""COMPUTED_VALUE"""),122.0)</f>
        <v>122</v>
      </c>
      <c r="H260" s="35" t="str">
        <f>IFERROR(__xludf.DUMMYFUNCTION("""COMPUTED_VALUE"""),"Algorithms")</f>
        <v>Algorithms</v>
      </c>
      <c r="I260" s="35">
        <f>IFERROR(__xludf.DUMMYFUNCTION("""COMPUTED_VALUE"""),0.502)</f>
        <v>0.502</v>
      </c>
      <c r="J260" s="35">
        <f>IFERROR(__xludf.DUMMYFUNCTION("""COMPUTED_VALUE"""),259.0)</f>
        <v>259</v>
      </c>
      <c r="K260" s="35" t="b">
        <f>IFERROR(__xludf.DUMMYFUNCTION("""COMPUTED_VALUE"""),TRUE)</f>
        <v>1</v>
      </c>
      <c r="L260" s="35" t="str">
        <f>IFERROR(__xludf.DUMMYFUNCTION("""COMPUTED_VALUE"""),"Array;Two Pointers;Binary Search;Sorting;")</f>
        <v>Array;Two Pointers;Binary Search;Sorting;</v>
      </c>
      <c r="M260" s="35" t="b">
        <f>IFERROR(__xludf.DUMMYFUNCTION("""COMPUTED_VALUE"""),TRUE)</f>
        <v>1</v>
      </c>
      <c r="N260" s="35" t="b">
        <f>IFERROR(__xludf.DUMMYFUNCTION("""COMPUTED_VALUE"""),FALSE)</f>
        <v>0</v>
      </c>
      <c r="O260" s="35">
        <f>IFERROR(__xludf.DUMMYFUNCTION("""COMPUTED_VALUE"""),50.2364082207741)</f>
        <v>50.23640822</v>
      </c>
      <c r="P260" s="35">
        <f>IFERROR(__xludf.DUMMYFUNCTION("""COMPUTED_VALUE"""),111242.0)</f>
        <v>111242</v>
      </c>
      <c r="Q260" s="35">
        <f>IFERROR(__xludf.DUMMYFUNCTION("""COMPUTED_VALUE"""),221436.0)</f>
        <v>221436</v>
      </c>
    </row>
    <row r="261">
      <c r="A261" s="35">
        <f>IFERROR(__xludf.DUMMYFUNCTION("""COMPUTED_VALUE"""),260.0)</f>
        <v>260</v>
      </c>
      <c r="B261" s="35" t="str">
        <f>IFERROR(__xludf.DUMMYFUNCTION("""COMPUTED_VALUE"""),"Single Number III")</f>
        <v>Single Number III</v>
      </c>
      <c r="C261" s="35" t="str">
        <f>IFERROR(__xludf.DUMMYFUNCTION("""COMPUTED_VALUE"""),"single-number-iii")</f>
        <v>single-number-iii</v>
      </c>
      <c r="D261" s="35" t="b">
        <f>IFERROR(__xludf.DUMMYFUNCTION("""COMPUTED_VALUE"""),FALSE)</f>
        <v>0</v>
      </c>
      <c r="E261" s="35" t="str">
        <f>IFERROR(__xludf.DUMMYFUNCTION("""COMPUTED_VALUE"""),"Medium")</f>
        <v>Medium</v>
      </c>
      <c r="F261" s="35">
        <f>IFERROR(__xludf.DUMMYFUNCTION("""COMPUTED_VALUE"""),3720.0)</f>
        <v>3720</v>
      </c>
      <c r="G261" s="35">
        <f>IFERROR(__xludf.DUMMYFUNCTION("""COMPUTED_VALUE"""),178.0)</f>
        <v>178</v>
      </c>
      <c r="H261" s="35" t="str">
        <f>IFERROR(__xludf.DUMMYFUNCTION("""COMPUTED_VALUE"""),"Algorithms")</f>
        <v>Algorithms</v>
      </c>
      <c r="I261" s="35">
        <f>IFERROR(__xludf.DUMMYFUNCTION("""COMPUTED_VALUE"""),0.67)</f>
        <v>0.67</v>
      </c>
      <c r="J261" s="35">
        <f>IFERROR(__xludf.DUMMYFUNCTION("""COMPUTED_VALUE"""),260.0)</f>
        <v>260</v>
      </c>
      <c r="K261" s="35" t="b">
        <f>IFERROR(__xludf.DUMMYFUNCTION("""COMPUTED_VALUE"""),FALSE)</f>
        <v>0</v>
      </c>
      <c r="L261" s="35" t="str">
        <f>IFERROR(__xludf.DUMMYFUNCTION("""COMPUTED_VALUE"""),"Array;Bit Manipulation;")</f>
        <v>Array;Bit Manipulation;</v>
      </c>
      <c r="M261" s="35" t="b">
        <f>IFERROR(__xludf.DUMMYFUNCTION("""COMPUTED_VALUE"""),TRUE)</f>
        <v>1</v>
      </c>
      <c r="N261" s="35" t="b">
        <f>IFERROR(__xludf.DUMMYFUNCTION("""COMPUTED_VALUE"""),FALSE)</f>
        <v>0</v>
      </c>
      <c r="O261" s="35">
        <f>IFERROR(__xludf.DUMMYFUNCTION("""COMPUTED_VALUE"""),67.0399581681119)</f>
        <v>67.03995817</v>
      </c>
      <c r="P261" s="35">
        <f>IFERROR(__xludf.DUMMYFUNCTION("""COMPUTED_VALUE"""),246158.0)</f>
        <v>246158</v>
      </c>
      <c r="Q261" s="35">
        <f>IFERROR(__xludf.DUMMYFUNCTION("""COMPUTED_VALUE"""),367182.0)</f>
        <v>367182</v>
      </c>
    </row>
    <row r="262">
      <c r="A262" s="35">
        <f>IFERROR(__xludf.DUMMYFUNCTION("""COMPUTED_VALUE"""),261.0)</f>
        <v>261</v>
      </c>
      <c r="B262" s="35" t="str">
        <f>IFERROR(__xludf.DUMMYFUNCTION("""COMPUTED_VALUE"""),"Graph Valid Tree")</f>
        <v>Graph Valid Tree</v>
      </c>
      <c r="C262" s="35" t="str">
        <f>IFERROR(__xludf.DUMMYFUNCTION("""COMPUTED_VALUE"""),"graph-valid-tree")</f>
        <v>graph-valid-tree</v>
      </c>
      <c r="D262" s="35" t="b">
        <f>IFERROR(__xludf.DUMMYFUNCTION("""COMPUTED_VALUE"""),TRUE)</f>
        <v>1</v>
      </c>
      <c r="E262" s="35" t="str">
        <f>IFERROR(__xludf.DUMMYFUNCTION("""COMPUTED_VALUE"""),"Medium")</f>
        <v>Medium</v>
      </c>
      <c r="F262" s="35">
        <f>IFERROR(__xludf.DUMMYFUNCTION("""COMPUTED_VALUE"""),2237.0)</f>
        <v>2237</v>
      </c>
      <c r="G262" s="35">
        <f>IFERROR(__xludf.DUMMYFUNCTION("""COMPUTED_VALUE"""),57.0)</f>
        <v>57</v>
      </c>
      <c r="H262" s="35" t="str">
        <f>IFERROR(__xludf.DUMMYFUNCTION("""COMPUTED_VALUE"""),"Algorithms")</f>
        <v>Algorithms</v>
      </c>
      <c r="I262" s="35">
        <f>IFERROR(__xludf.DUMMYFUNCTION("""COMPUTED_VALUE"""),0.455)</f>
        <v>0.455</v>
      </c>
      <c r="J262" s="35">
        <f>IFERROR(__xludf.DUMMYFUNCTION("""COMPUTED_VALUE"""),261.0)</f>
        <v>261</v>
      </c>
      <c r="K262" s="35" t="b">
        <f>IFERROR(__xludf.DUMMYFUNCTION("""COMPUTED_VALUE"""),TRUE)</f>
        <v>1</v>
      </c>
      <c r="L262" s="35" t="str">
        <f>IFERROR(__xludf.DUMMYFUNCTION("""COMPUTED_VALUE"""),"Depth-First Search;Breadth-First Search;Union Find;Graph;")</f>
        <v>Depth-First Search;Breadth-First Search;Union Find;Graph;</v>
      </c>
      <c r="M262" s="35" t="b">
        <f>IFERROR(__xludf.DUMMYFUNCTION("""COMPUTED_VALUE"""),TRUE)</f>
        <v>1</v>
      </c>
      <c r="N262" s="35" t="b">
        <f>IFERROR(__xludf.DUMMYFUNCTION("""COMPUTED_VALUE"""),FALSE)</f>
        <v>0</v>
      </c>
      <c r="O262" s="35">
        <f>IFERROR(__xludf.DUMMYFUNCTION("""COMPUTED_VALUE"""),45.5105427035396)</f>
        <v>45.5105427</v>
      </c>
      <c r="P262" s="35">
        <f>IFERROR(__xludf.DUMMYFUNCTION("""COMPUTED_VALUE"""),242189.0)</f>
        <v>242189</v>
      </c>
      <c r="Q262" s="35">
        <f>IFERROR(__xludf.DUMMYFUNCTION("""COMPUTED_VALUE"""),532160.0)</f>
        <v>532160</v>
      </c>
    </row>
    <row r="263">
      <c r="A263" s="35">
        <f>IFERROR(__xludf.DUMMYFUNCTION("""COMPUTED_VALUE"""),262.0)</f>
        <v>262</v>
      </c>
      <c r="B263" s="35" t="str">
        <f>IFERROR(__xludf.DUMMYFUNCTION("""COMPUTED_VALUE"""),"Trips and Users")</f>
        <v>Trips and Users</v>
      </c>
      <c r="C263" s="35" t="str">
        <f>IFERROR(__xludf.DUMMYFUNCTION("""COMPUTED_VALUE"""),"trips-and-users")</f>
        <v>trips-and-users</v>
      </c>
      <c r="D263" s="35" t="b">
        <f>IFERROR(__xludf.DUMMYFUNCTION("""COMPUTED_VALUE"""),FALSE)</f>
        <v>0</v>
      </c>
      <c r="E263" s="35" t="str">
        <f>IFERROR(__xludf.DUMMYFUNCTION("""COMPUTED_VALUE"""),"Hard")</f>
        <v>Hard</v>
      </c>
      <c r="F263" s="35">
        <f>IFERROR(__xludf.DUMMYFUNCTION("""COMPUTED_VALUE"""),680.0)</f>
        <v>680</v>
      </c>
      <c r="G263" s="35">
        <f>IFERROR(__xludf.DUMMYFUNCTION("""COMPUTED_VALUE"""),443.0)</f>
        <v>443</v>
      </c>
      <c r="H263" s="35" t="str">
        <f>IFERROR(__xludf.DUMMYFUNCTION("""COMPUTED_VALUE"""),"Database")</f>
        <v>Database</v>
      </c>
      <c r="I263" s="35">
        <f>IFERROR(__xludf.DUMMYFUNCTION("""COMPUTED_VALUE"""),0.376)</f>
        <v>0.376</v>
      </c>
      <c r="J263" s="35">
        <f>IFERROR(__xludf.DUMMYFUNCTION("""COMPUTED_VALUE"""),262.0)</f>
        <v>262</v>
      </c>
      <c r="K263" s="35" t="b">
        <f>IFERROR(__xludf.DUMMYFUNCTION("""COMPUTED_VALUE"""),FALSE)</f>
        <v>0</v>
      </c>
      <c r="L263" s="35" t="str">
        <f>IFERROR(__xludf.DUMMYFUNCTION("""COMPUTED_VALUE"""),"Database;")</f>
        <v>Database;</v>
      </c>
      <c r="M263" s="35" t="b">
        <f>IFERROR(__xludf.DUMMYFUNCTION("""COMPUTED_VALUE"""),FALSE)</f>
        <v>0</v>
      </c>
      <c r="N263" s="35" t="b">
        <f>IFERROR(__xludf.DUMMYFUNCTION("""COMPUTED_VALUE"""),FALSE)</f>
        <v>0</v>
      </c>
      <c r="O263" s="35">
        <f>IFERROR(__xludf.DUMMYFUNCTION("""COMPUTED_VALUE"""),37.5849617305067)</f>
        <v>37.58496173</v>
      </c>
      <c r="P263" s="35">
        <f>IFERROR(__xludf.DUMMYFUNCTION("""COMPUTED_VALUE"""),108768.0)</f>
        <v>108768</v>
      </c>
      <c r="Q263" s="35">
        <f>IFERROR(__xludf.DUMMYFUNCTION("""COMPUTED_VALUE"""),289394.0)</f>
        <v>289394</v>
      </c>
    </row>
    <row r="264">
      <c r="A264" s="35">
        <f>IFERROR(__xludf.DUMMYFUNCTION("""COMPUTED_VALUE"""),263.0)</f>
        <v>263</v>
      </c>
      <c r="B264" s="35" t="str">
        <f>IFERROR(__xludf.DUMMYFUNCTION("""COMPUTED_VALUE"""),"Ugly Number")</f>
        <v>Ugly Number</v>
      </c>
      <c r="C264" s="35" t="str">
        <f>IFERROR(__xludf.DUMMYFUNCTION("""COMPUTED_VALUE"""),"ugly-number")</f>
        <v>ugly-number</v>
      </c>
      <c r="D264" s="35" t="b">
        <f>IFERROR(__xludf.DUMMYFUNCTION("""COMPUTED_VALUE"""),FALSE)</f>
        <v>0</v>
      </c>
      <c r="E264" s="35" t="str">
        <f>IFERROR(__xludf.DUMMYFUNCTION("""COMPUTED_VALUE"""),"Easy")</f>
        <v>Easy</v>
      </c>
      <c r="F264" s="35">
        <f>IFERROR(__xludf.DUMMYFUNCTION("""COMPUTED_VALUE"""),1300.0)</f>
        <v>1300</v>
      </c>
      <c r="G264" s="35">
        <f>IFERROR(__xludf.DUMMYFUNCTION("""COMPUTED_VALUE"""),1004.0)</f>
        <v>1004</v>
      </c>
      <c r="H264" s="35" t="str">
        <f>IFERROR(__xludf.DUMMYFUNCTION("""COMPUTED_VALUE"""),"Algorithms")</f>
        <v>Algorithms</v>
      </c>
      <c r="I264" s="35">
        <f>IFERROR(__xludf.DUMMYFUNCTION("""COMPUTED_VALUE"""),0.419)</f>
        <v>0.419</v>
      </c>
      <c r="J264" s="35">
        <f>IFERROR(__xludf.DUMMYFUNCTION("""COMPUTED_VALUE"""),263.0)</f>
        <v>263</v>
      </c>
      <c r="K264" s="35" t="b">
        <f>IFERROR(__xludf.DUMMYFUNCTION("""COMPUTED_VALUE"""),FALSE)</f>
        <v>0</v>
      </c>
      <c r="L264" s="35" t="str">
        <f>IFERROR(__xludf.DUMMYFUNCTION("""COMPUTED_VALUE"""),"Math;")</f>
        <v>Math;</v>
      </c>
      <c r="M264" s="35" t="b">
        <f>IFERROR(__xludf.DUMMYFUNCTION("""COMPUTED_VALUE"""),FALSE)</f>
        <v>0</v>
      </c>
      <c r="N264" s="35" t="b">
        <f>IFERROR(__xludf.DUMMYFUNCTION("""COMPUTED_VALUE"""),FALSE)</f>
        <v>0</v>
      </c>
      <c r="O264" s="35">
        <f>IFERROR(__xludf.DUMMYFUNCTION("""COMPUTED_VALUE"""),41.855202958929)</f>
        <v>41.85520296</v>
      </c>
      <c r="P264" s="35">
        <f>IFERROR(__xludf.DUMMYFUNCTION("""COMPUTED_VALUE"""),286527.0)</f>
        <v>286527</v>
      </c>
      <c r="Q264" s="35">
        <f>IFERROR(__xludf.DUMMYFUNCTION("""COMPUTED_VALUE"""),684561.0)</f>
        <v>684561</v>
      </c>
    </row>
    <row r="265">
      <c r="A265" s="35">
        <f>IFERROR(__xludf.DUMMYFUNCTION("""COMPUTED_VALUE"""),264.0)</f>
        <v>264</v>
      </c>
      <c r="B265" s="35" t="str">
        <f>IFERROR(__xludf.DUMMYFUNCTION("""COMPUTED_VALUE"""),"Ugly Number II")</f>
        <v>Ugly Number II</v>
      </c>
      <c r="C265" s="35" t="str">
        <f>IFERROR(__xludf.DUMMYFUNCTION("""COMPUTED_VALUE"""),"ugly-number-ii")</f>
        <v>ugly-number-ii</v>
      </c>
      <c r="D265" s="35" t="b">
        <f>IFERROR(__xludf.DUMMYFUNCTION("""COMPUTED_VALUE"""),FALSE)</f>
        <v>0</v>
      </c>
      <c r="E265" s="35" t="str">
        <f>IFERROR(__xludf.DUMMYFUNCTION("""COMPUTED_VALUE"""),"Medium")</f>
        <v>Medium</v>
      </c>
      <c r="F265" s="35">
        <f>IFERROR(__xludf.DUMMYFUNCTION("""COMPUTED_VALUE"""),3810.0)</f>
        <v>3810</v>
      </c>
      <c r="G265" s="35">
        <f>IFERROR(__xludf.DUMMYFUNCTION("""COMPUTED_VALUE"""),205.0)</f>
        <v>205</v>
      </c>
      <c r="H265" s="35" t="str">
        <f>IFERROR(__xludf.DUMMYFUNCTION("""COMPUTED_VALUE"""),"Algorithms")</f>
        <v>Algorithms</v>
      </c>
      <c r="I265" s="35">
        <f>IFERROR(__xludf.DUMMYFUNCTION("""COMPUTED_VALUE"""),0.45)</f>
        <v>0.45</v>
      </c>
      <c r="J265" s="35">
        <f>IFERROR(__xludf.DUMMYFUNCTION("""COMPUTED_VALUE"""),264.0)</f>
        <v>264</v>
      </c>
      <c r="K265" s="35" t="b">
        <f>IFERROR(__xludf.DUMMYFUNCTION("""COMPUTED_VALUE"""),FALSE)</f>
        <v>0</v>
      </c>
      <c r="L265" s="35" t="str">
        <f>IFERROR(__xludf.DUMMYFUNCTION("""COMPUTED_VALUE"""),"Hash Table;Math;Dynamic Programming;Heap (Priority Queue);")</f>
        <v>Hash Table;Math;Dynamic Programming;Heap (Priority Queue);</v>
      </c>
      <c r="M265" s="35" t="b">
        <f>IFERROR(__xludf.DUMMYFUNCTION("""COMPUTED_VALUE"""),FALSE)</f>
        <v>0</v>
      </c>
      <c r="N265" s="35" t="b">
        <f>IFERROR(__xludf.DUMMYFUNCTION("""COMPUTED_VALUE"""),FALSE)</f>
        <v>0</v>
      </c>
      <c r="O265" s="35">
        <f>IFERROR(__xludf.DUMMYFUNCTION("""COMPUTED_VALUE"""),45.0302300946176)</f>
        <v>45.03023009</v>
      </c>
      <c r="P265" s="35">
        <f>IFERROR(__xludf.DUMMYFUNCTION("""COMPUTED_VALUE"""),249952.0)</f>
        <v>249952</v>
      </c>
      <c r="Q265" s="35">
        <f>IFERROR(__xludf.DUMMYFUNCTION("""COMPUTED_VALUE"""),555073.0)</f>
        <v>555073</v>
      </c>
    </row>
    <row r="266">
      <c r="A266" s="35">
        <f>IFERROR(__xludf.DUMMYFUNCTION("""COMPUTED_VALUE"""),265.0)</f>
        <v>265</v>
      </c>
      <c r="B266" s="35" t="str">
        <f>IFERROR(__xludf.DUMMYFUNCTION("""COMPUTED_VALUE"""),"Paint House II")</f>
        <v>Paint House II</v>
      </c>
      <c r="C266" s="35" t="str">
        <f>IFERROR(__xludf.DUMMYFUNCTION("""COMPUTED_VALUE"""),"paint-house-ii")</f>
        <v>paint-house-ii</v>
      </c>
      <c r="D266" s="35" t="b">
        <f>IFERROR(__xludf.DUMMYFUNCTION("""COMPUTED_VALUE"""),TRUE)</f>
        <v>1</v>
      </c>
      <c r="E266" s="35" t="str">
        <f>IFERROR(__xludf.DUMMYFUNCTION("""COMPUTED_VALUE"""),"Hard")</f>
        <v>Hard</v>
      </c>
      <c r="F266" s="35">
        <f>IFERROR(__xludf.DUMMYFUNCTION("""COMPUTED_VALUE"""),941.0)</f>
        <v>941</v>
      </c>
      <c r="G266" s="35">
        <f>IFERROR(__xludf.DUMMYFUNCTION("""COMPUTED_VALUE"""),32.0)</f>
        <v>32</v>
      </c>
      <c r="H266" s="35" t="str">
        <f>IFERROR(__xludf.DUMMYFUNCTION("""COMPUTED_VALUE"""),"Algorithms")</f>
        <v>Algorithms</v>
      </c>
      <c r="I266" s="35">
        <f>IFERROR(__xludf.DUMMYFUNCTION("""COMPUTED_VALUE"""),0.503)</f>
        <v>0.503</v>
      </c>
      <c r="J266" s="35">
        <f>IFERROR(__xludf.DUMMYFUNCTION("""COMPUTED_VALUE"""),265.0)</f>
        <v>265</v>
      </c>
      <c r="K266" s="35" t="b">
        <f>IFERROR(__xludf.DUMMYFUNCTION("""COMPUTED_VALUE"""),TRUE)</f>
        <v>1</v>
      </c>
      <c r="L266" s="35" t="str">
        <f>IFERROR(__xludf.DUMMYFUNCTION("""COMPUTED_VALUE"""),"Array;Dynamic Programming;")</f>
        <v>Array;Dynamic Programming;</v>
      </c>
      <c r="M266" s="35" t="b">
        <f>IFERROR(__xludf.DUMMYFUNCTION("""COMPUTED_VALUE"""),TRUE)</f>
        <v>1</v>
      </c>
      <c r="N266" s="35" t="b">
        <f>IFERROR(__xludf.DUMMYFUNCTION("""COMPUTED_VALUE"""),FALSE)</f>
        <v>0</v>
      </c>
      <c r="O266" s="35">
        <f>IFERROR(__xludf.DUMMYFUNCTION("""COMPUTED_VALUE"""),50.2634721354936)</f>
        <v>50.26347214</v>
      </c>
      <c r="P266" s="35">
        <f>IFERROR(__xludf.DUMMYFUNCTION("""COMPUTED_VALUE"""),91762.0)</f>
        <v>91762</v>
      </c>
      <c r="Q266" s="35">
        <f>IFERROR(__xludf.DUMMYFUNCTION("""COMPUTED_VALUE"""),182562.0)</f>
        <v>182562</v>
      </c>
    </row>
    <row r="267">
      <c r="A267" s="35">
        <f>IFERROR(__xludf.DUMMYFUNCTION("""COMPUTED_VALUE"""),266.0)</f>
        <v>266</v>
      </c>
      <c r="B267" s="35" t="str">
        <f>IFERROR(__xludf.DUMMYFUNCTION("""COMPUTED_VALUE"""),"Palindrome Permutation")</f>
        <v>Palindrome Permutation</v>
      </c>
      <c r="C267" s="35" t="str">
        <f>IFERROR(__xludf.DUMMYFUNCTION("""COMPUTED_VALUE"""),"palindrome-permutation")</f>
        <v>palindrome-permutation</v>
      </c>
      <c r="D267" s="35" t="b">
        <f>IFERROR(__xludf.DUMMYFUNCTION("""COMPUTED_VALUE"""),TRUE)</f>
        <v>1</v>
      </c>
      <c r="E267" s="35" t="str">
        <f>IFERROR(__xludf.DUMMYFUNCTION("""COMPUTED_VALUE"""),"Easy")</f>
        <v>Easy</v>
      </c>
      <c r="F267" s="35">
        <f>IFERROR(__xludf.DUMMYFUNCTION("""COMPUTED_VALUE"""),843.0)</f>
        <v>843</v>
      </c>
      <c r="G267" s="35">
        <f>IFERROR(__xludf.DUMMYFUNCTION("""COMPUTED_VALUE"""),63.0)</f>
        <v>63</v>
      </c>
      <c r="H267" s="35" t="str">
        <f>IFERROR(__xludf.DUMMYFUNCTION("""COMPUTED_VALUE"""),"Algorithms")</f>
        <v>Algorithms</v>
      </c>
      <c r="I267" s="35">
        <f>IFERROR(__xludf.DUMMYFUNCTION("""COMPUTED_VALUE"""),0.651)</f>
        <v>0.651</v>
      </c>
      <c r="J267" s="35">
        <f>IFERROR(__xludf.DUMMYFUNCTION("""COMPUTED_VALUE"""),266.0)</f>
        <v>266</v>
      </c>
      <c r="K267" s="35" t="b">
        <f>IFERROR(__xludf.DUMMYFUNCTION("""COMPUTED_VALUE"""),TRUE)</f>
        <v>1</v>
      </c>
      <c r="L267" s="35" t="str">
        <f>IFERROR(__xludf.DUMMYFUNCTION("""COMPUTED_VALUE"""),"Hash Table;String;Bit Manipulation;")</f>
        <v>Hash Table;String;Bit Manipulation;</v>
      </c>
      <c r="M267" s="35" t="b">
        <f>IFERROR(__xludf.DUMMYFUNCTION("""COMPUTED_VALUE"""),TRUE)</f>
        <v>1</v>
      </c>
      <c r="N267" s="35" t="b">
        <f>IFERROR(__xludf.DUMMYFUNCTION("""COMPUTED_VALUE"""),FALSE)</f>
        <v>0</v>
      </c>
      <c r="O267" s="35">
        <f>IFERROR(__xludf.DUMMYFUNCTION("""COMPUTED_VALUE"""),65.1149427646187)</f>
        <v>65.11494276</v>
      </c>
      <c r="P267" s="35">
        <f>IFERROR(__xludf.DUMMYFUNCTION("""COMPUTED_VALUE"""),158641.0)</f>
        <v>158641</v>
      </c>
      <c r="Q267" s="35">
        <f>IFERROR(__xludf.DUMMYFUNCTION("""COMPUTED_VALUE"""),243636.0)</f>
        <v>243636</v>
      </c>
    </row>
    <row r="268">
      <c r="A268" s="35">
        <f>IFERROR(__xludf.DUMMYFUNCTION("""COMPUTED_VALUE"""),267.0)</f>
        <v>267</v>
      </c>
      <c r="B268" s="35" t="str">
        <f>IFERROR(__xludf.DUMMYFUNCTION("""COMPUTED_VALUE"""),"Palindrome Permutation II")</f>
        <v>Palindrome Permutation II</v>
      </c>
      <c r="C268" s="35" t="str">
        <f>IFERROR(__xludf.DUMMYFUNCTION("""COMPUTED_VALUE"""),"palindrome-permutation-ii")</f>
        <v>palindrome-permutation-ii</v>
      </c>
      <c r="D268" s="35" t="b">
        <f>IFERROR(__xludf.DUMMYFUNCTION("""COMPUTED_VALUE"""),TRUE)</f>
        <v>1</v>
      </c>
      <c r="E268" s="35" t="str">
        <f>IFERROR(__xludf.DUMMYFUNCTION("""COMPUTED_VALUE"""),"Medium")</f>
        <v>Medium</v>
      </c>
      <c r="F268" s="35">
        <f>IFERROR(__xludf.DUMMYFUNCTION("""COMPUTED_VALUE"""),696.0)</f>
        <v>696</v>
      </c>
      <c r="G268" s="35">
        <f>IFERROR(__xludf.DUMMYFUNCTION("""COMPUTED_VALUE"""),83.0)</f>
        <v>83</v>
      </c>
      <c r="H268" s="35" t="str">
        <f>IFERROR(__xludf.DUMMYFUNCTION("""COMPUTED_VALUE"""),"Algorithms")</f>
        <v>Algorithms</v>
      </c>
      <c r="I268" s="35">
        <f>IFERROR(__xludf.DUMMYFUNCTION("""COMPUTED_VALUE"""),0.394)</f>
        <v>0.394</v>
      </c>
      <c r="J268" s="35">
        <f>IFERROR(__xludf.DUMMYFUNCTION("""COMPUTED_VALUE"""),267.0)</f>
        <v>267</v>
      </c>
      <c r="K268" s="35" t="b">
        <f>IFERROR(__xludf.DUMMYFUNCTION("""COMPUTED_VALUE"""),TRUE)</f>
        <v>1</v>
      </c>
      <c r="L268" s="35" t="str">
        <f>IFERROR(__xludf.DUMMYFUNCTION("""COMPUTED_VALUE"""),"Hash Table;String;Backtracking;")</f>
        <v>Hash Table;String;Backtracking;</v>
      </c>
      <c r="M268" s="35" t="b">
        <f>IFERROR(__xludf.DUMMYFUNCTION("""COMPUTED_VALUE"""),TRUE)</f>
        <v>1</v>
      </c>
      <c r="N268" s="35" t="b">
        <f>IFERROR(__xludf.DUMMYFUNCTION("""COMPUTED_VALUE"""),FALSE)</f>
        <v>0</v>
      </c>
      <c r="O268" s="35">
        <f>IFERROR(__xludf.DUMMYFUNCTION("""COMPUTED_VALUE"""),39.3974818135112)</f>
        <v>39.39748181</v>
      </c>
      <c r="P268" s="35">
        <f>IFERROR(__xludf.DUMMYFUNCTION("""COMPUTED_VALUE"""),52912.0)</f>
        <v>52912</v>
      </c>
      <c r="Q268" s="35">
        <f>IFERROR(__xludf.DUMMYFUNCTION("""COMPUTED_VALUE"""),134303.0)</f>
        <v>134303</v>
      </c>
    </row>
    <row r="269">
      <c r="A269" s="35">
        <f>IFERROR(__xludf.DUMMYFUNCTION("""COMPUTED_VALUE"""),268.0)</f>
        <v>268</v>
      </c>
      <c r="B269" s="35" t="str">
        <f>IFERROR(__xludf.DUMMYFUNCTION("""COMPUTED_VALUE"""),"Missing Number")</f>
        <v>Missing Number</v>
      </c>
      <c r="C269" s="35" t="str">
        <f>IFERROR(__xludf.DUMMYFUNCTION("""COMPUTED_VALUE"""),"missing-number")</f>
        <v>missing-number</v>
      </c>
      <c r="D269" s="35" t="b">
        <f>IFERROR(__xludf.DUMMYFUNCTION("""COMPUTED_VALUE"""),FALSE)</f>
        <v>0</v>
      </c>
      <c r="E269" s="35" t="str">
        <f>IFERROR(__xludf.DUMMYFUNCTION("""COMPUTED_VALUE"""),"Easy")</f>
        <v>Easy</v>
      </c>
      <c r="F269" s="35">
        <f>IFERROR(__xludf.DUMMYFUNCTION("""COMPUTED_VALUE"""),5039.0)</f>
        <v>5039</v>
      </c>
      <c r="G269" s="35">
        <f>IFERROR(__xludf.DUMMYFUNCTION("""COMPUTED_VALUE"""),2806.0)</f>
        <v>2806</v>
      </c>
      <c r="H269" s="35" t="str">
        <f>IFERROR(__xludf.DUMMYFUNCTION("""COMPUTED_VALUE"""),"Algorithms")</f>
        <v>Algorithms</v>
      </c>
      <c r="I269" s="35">
        <f>IFERROR(__xludf.DUMMYFUNCTION("""COMPUTED_VALUE"""),0.59)</f>
        <v>0.59</v>
      </c>
      <c r="J269" s="35">
        <f>IFERROR(__xludf.DUMMYFUNCTION("""COMPUTED_VALUE"""),268.0)</f>
        <v>268</v>
      </c>
      <c r="K269" s="35" t="b">
        <f>IFERROR(__xludf.DUMMYFUNCTION("""COMPUTED_VALUE"""),FALSE)</f>
        <v>0</v>
      </c>
      <c r="L269" s="35" t="str">
        <f>IFERROR(__xludf.DUMMYFUNCTION("""COMPUTED_VALUE"""),"Array;Hash Table;Math;Bit Manipulation;Sorting;")</f>
        <v>Array;Hash Table;Math;Bit Manipulation;Sorting;</v>
      </c>
      <c r="M269" s="35" t="b">
        <f>IFERROR(__xludf.DUMMYFUNCTION("""COMPUTED_VALUE"""),TRUE)</f>
        <v>1</v>
      </c>
      <c r="N269" s="35" t="b">
        <f>IFERROR(__xludf.DUMMYFUNCTION("""COMPUTED_VALUE"""),FALSE)</f>
        <v>0</v>
      </c>
      <c r="O269" s="35">
        <f>IFERROR(__xludf.DUMMYFUNCTION("""COMPUTED_VALUE"""),58.975794742125)</f>
        <v>58.97579474</v>
      </c>
      <c r="P269" s="35">
        <f>IFERROR(__xludf.DUMMYFUNCTION("""COMPUTED_VALUE"""),939465.0)</f>
        <v>939465</v>
      </c>
      <c r="Q269" s="35">
        <f>IFERROR(__xludf.DUMMYFUNCTION("""COMPUTED_VALUE"""),1592981.0)</f>
        <v>1592981</v>
      </c>
    </row>
    <row r="270">
      <c r="A270" s="35">
        <f>IFERROR(__xludf.DUMMYFUNCTION("""COMPUTED_VALUE"""),269.0)</f>
        <v>269</v>
      </c>
      <c r="B270" s="35" t="str">
        <f>IFERROR(__xludf.DUMMYFUNCTION("""COMPUTED_VALUE"""),"Alien Dictionary")</f>
        <v>Alien Dictionary</v>
      </c>
      <c r="C270" s="35" t="str">
        <f>IFERROR(__xludf.DUMMYFUNCTION("""COMPUTED_VALUE"""),"alien-dictionary")</f>
        <v>alien-dictionary</v>
      </c>
      <c r="D270" s="35" t="b">
        <f>IFERROR(__xludf.DUMMYFUNCTION("""COMPUTED_VALUE"""),TRUE)</f>
        <v>1</v>
      </c>
      <c r="E270" s="35" t="str">
        <f>IFERROR(__xludf.DUMMYFUNCTION("""COMPUTED_VALUE"""),"Hard")</f>
        <v>Hard</v>
      </c>
      <c r="F270" s="35">
        <f>IFERROR(__xludf.DUMMYFUNCTION("""COMPUTED_VALUE"""),3402.0)</f>
        <v>3402</v>
      </c>
      <c r="G270" s="35">
        <f>IFERROR(__xludf.DUMMYFUNCTION("""COMPUTED_VALUE"""),694.0)</f>
        <v>694</v>
      </c>
      <c r="H270" s="35" t="str">
        <f>IFERROR(__xludf.DUMMYFUNCTION("""COMPUTED_VALUE"""),"Algorithms")</f>
        <v>Algorithms</v>
      </c>
      <c r="I270" s="35">
        <f>IFERROR(__xludf.DUMMYFUNCTION("""COMPUTED_VALUE"""),0.347)</f>
        <v>0.347</v>
      </c>
      <c r="J270" s="35">
        <f>IFERROR(__xludf.DUMMYFUNCTION("""COMPUTED_VALUE"""),269.0)</f>
        <v>269</v>
      </c>
      <c r="K270" s="35" t="b">
        <f>IFERROR(__xludf.DUMMYFUNCTION("""COMPUTED_VALUE"""),TRUE)</f>
        <v>1</v>
      </c>
      <c r="L270" s="35" t="str">
        <f>IFERROR(__xludf.DUMMYFUNCTION("""COMPUTED_VALUE"""),"Array;String;Depth-First Search;Breadth-First Search;Graph;Topological Sort;")</f>
        <v>Array;String;Depth-First Search;Breadth-First Search;Graph;Topological Sort;</v>
      </c>
      <c r="M270" s="35" t="b">
        <f>IFERROR(__xludf.DUMMYFUNCTION("""COMPUTED_VALUE"""),TRUE)</f>
        <v>1</v>
      </c>
      <c r="N270" s="35" t="b">
        <f>IFERROR(__xludf.DUMMYFUNCTION("""COMPUTED_VALUE"""),FALSE)</f>
        <v>0</v>
      </c>
      <c r="O270" s="35">
        <f>IFERROR(__xludf.DUMMYFUNCTION("""COMPUTED_VALUE"""),34.7011605794189)</f>
        <v>34.70116058</v>
      </c>
      <c r="P270" s="35">
        <f>IFERROR(__xludf.DUMMYFUNCTION("""COMPUTED_VALUE"""),274986.0)</f>
        <v>274986</v>
      </c>
      <c r="Q270" s="35">
        <f>IFERROR(__xludf.DUMMYFUNCTION("""COMPUTED_VALUE"""),792439.0)</f>
        <v>792439</v>
      </c>
    </row>
    <row r="271">
      <c r="A271" s="35">
        <f>IFERROR(__xludf.DUMMYFUNCTION("""COMPUTED_VALUE"""),270.0)</f>
        <v>270</v>
      </c>
      <c r="B271" s="35" t="str">
        <f>IFERROR(__xludf.DUMMYFUNCTION("""COMPUTED_VALUE"""),"Closest Binary Search Tree Value")</f>
        <v>Closest Binary Search Tree Value</v>
      </c>
      <c r="C271" s="35" t="str">
        <f>IFERROR(__xludf.DUMMYFUNCTION("""COMPUTED_VALUE"""),"closest-binary-search-tree-value")</f>
        <v>closest-binary-search-tree-value</v>
      </c>
      <c r="D271" s="35" t="b">
        <f>IFERROR(__xludf.DUMMYFUNCTION("""COMPUTED_VALUE"""),TRUE)</f>
        <v>1</v>
      </c>
      <c r="E271" s="35" t="str">
        <f>IFERROR(__xludf.DUMMYFUNCTION("""COMPUTED_VALUE"""),"Easy")</f>
        <v>Easy</v>
      </c>
      <c r="F271" s="35">
        <f>IFERROR(__xludf.DUMMYFUNCTION("""COMPUTED_VALUE"""),1370.0)</f>
        <v>1370</v>
      </c>
      <c r="G271" s="35">
        <f>IFERROR(__xludf.DUMMYFUNCTION("""COMPUTED_VALUE"""),86.0)</f>
        <v>86</v>
      </c>
      <c r="H271" s="35" t="str">
        <f>IFERROR(__xludf.DUMMYFUNCTION("""COMPUTED_VALUE"""),"Algorithms")</f>
        <v>Algorithms</v>
      </c>
      <c r="I271" s="35">
        <f>IFERROR(__xludf.DUMMYFUNCTION("""COMPUTED_VALUE"""),0.534)</f>
        <v>0.534</v>
      </c>
      <c r="J271" s="35">
        <f>IFERROR(__xludf.DUMMYFUNCTION("""COMPUTED_VALUE"""),270.0)</f>
        <v>270</v>
      </c>
      <c r="K271" s="35" t="b">
        <f>IFERROR(__xludf.DUMMYFUNCTION("""COMPUTED_VALUE"""),TRUE)</f>
        <v>1</v>
      </c>
      <c r="L271" s="35" t="str">
        <f>IFERROR(__xludf.DUMMYFUNCTION("""COMPUTED_VALUE"""),"Binary Search;Tree;Depth-First Search;Binary Search Tree;Binary Tree;")</f>
        <v>Binary Search;Tree;Depth-First Search;Binary Search Tree;Binary Tree;</v>
      </c>
      <c r="M271" s="35" t="b">
        <f>IFERROR(__xludf.DUMMYFUNCTION("""COMPUTED_VALUE"""),TRUE)</f>
        <v>1</v>
      </c>
      <c r="N271" s="35" t="b">
        <f>IFERROR(__xludf.DUMMYFUNCTION("""COMPUTED_VALUE"""),FALSE)</f>
        <v>0</v>
      </c>
      <c r="O271" s="35">
        <f>IFERROR(__xludf.DUMMYFUNCTION("""COMPUTED_VALUE"""),53.4167470840438)</f>
        <v>53.41674708</v>
      </c>
      <c r="P271" s="35">
        <f>IFERROR(__xludf.DUMMYFUNCTION("""COMPUTED_VALUE"""),242448.0)</f>
        <v>242448</v>
      </c>
      <c r="Q271" s="35">
        <f>IFERROR(__xludf.DUMMYFUNCTION("""COMPUTED_VALUE"""),453880.0)</f>
        <v>453880</v>
      </c>
    </row>
    <row r="272">
      <c r="A272" s="35">
        <f>IFERROR(__xludf.DUMMYFUNCTION("""COMPUTED_VALUE"""),271.0)</f>
        <v>271</v>
      </c>
      <c r="B272" s="35" t="str">
        <f>IFERROR(__xludf.DUMMYFUNCTION("""COMPUTED_VALUE"""),"Encode and Decode Strings")</f>
        <v>Encode and Decode Strings</v>
      </c>
      <c r="C272" s="35" t="str">
        <f>IFERROR(__xludf.DUMMYFUNCTION("""COMPUTED_VALUE"""),"encode-and-decode-strings")</f>
        <v>encode-and-decode-strings</v>
      </c>
      <c r="D272" s="35" t="b">
        <f>IFERROR(__xludf.DUMMYFUNCTION("""COMPUTED_VALUE"""),TRUE)</f>
        <v>1</v>
      </c>
      <c r="E272" s="35" t="str">
        <f>IFERROR(__xludf.DUMMYFUNCTION("""COMPUTED_VALUE"""),"Medium")</f>
        <v>Medium</v>
      </c>
      <c r="F272" s="35">
        <f>IFERROR(__xludf.DUMMYFUNCTION("""COMPUTED_VALUE"""),786.0)</f>
        <v>786</v>
      </c>
      <c r="G272" s="35">
        <f>IFERROR(__xludf.DUMMYFUNCTION("""COMPUTED_VALUE"""),219.0)</f>
        <v>219</v>
      </c>
      <c r="H272" s="35" t="str">
        <f>IFERROR(__xludf.DUMMYFUNCTION("""COMPUTED_VALUE"""),"Algorithms")</f>
        <v>Algorithms</v>
      </c>
      <c r="I272" s="35">
        <f>IFERROR(__xludf.DUMMYFUNCTION("""COMPUTED_VALUE"""),0.371)</f>
        <v>0.371</v>
      </c>
      <c r="J272" s="35">
        <f>IFERROR(__xludf.DUMMYFUNCTION("""COMPUTED_VALUE"""),271.0)</f>
        <v>271</v>
      </c>
      <c r="K272" s="35" t="b">
        <f>IFERROR(__xludf.DUMMYFUNCTION("""COMPUTED_VALUE"""),TRUE)</f>
        <v>1</v>
      </c>
      <c r="L272" s="35" t="str">
        <f>IFERROR(__xludf.DUMMYFUNCTION("""COMPUTED_VALUE"""),"Array;String;Design;")</f>
        <v>Array;String;Design;</v>
      </c>
      <c r="M272" s="35" t="b">
        <f>IFERROR(__xludf.DUMMYFUNCTION("""COMPUTED_VALUE"""),TRUE)</f>
        <v>1</v>
      </c>
      <c r="N272" s="35" t="b">
        <f>IFERROR(__xludf.DUMMYFUNCTION("""COMPUTED_VALUE"""),FALSE)</f>
        <v>0</v>
      </c>
      <c r="O272" s="35">
        <f>IFERROR(__xludf.DUMMYFUNCTION("""COMPUTED_VALUE"""),37.0899731441978)</f>
        <v>37.08997314</v>
      </c>
      <c r="P272" s="35">
        <f>IFERROR(__xludf.DUMMYFUNCTION("""COMPUTED_VALUE"""),89631.0)</f>
        <v>89631</v>
      </c>
      <c r="Q272" s="35">
        <f>IFERROR(__xludf.DUMMYFUNCTION("""COMPUTED_VALUE"""),241660.0)</f>
        <v>241660</v>
      </c>
    </row>
    <row r="273">
      <c r="A273" s="35">
        <f>IFERROR(__xludf.DUMMYFUNCTION("""COMPUTED_VALUE"""),272.0)</f>
        <v>272</v>
      </c>
      <c r="B273" s="35" t="str">
        <f>IFERROR(__xludf.DUMMYFUNCTION("""COMPUTED_VALUE"""),"Closest Binary Search Tree Value II")</f>
        <v>Closest Binary Search Tree Value II</v>
      </c>
      <c r="C273" s="35" t="str">
        <f>IFERROR(__xludf.DUMMYFUNCTION("""COMPUTED_VALUE"""),"closest-binary-search-tree-value-ii")</f>
        <v>closest-binary-search-tree-value-ii</v>
      </c>
      <c r="D273" s="35" t="b">
        <f>IFERROR(__xludf.DUMMYFUNCTION("""COMPUTED_VALUE"""),TRUE)</f>
        <v>1</v>
      </c>
      <c r="E273" s="35" t="str">
        <f>IFERROR(__xludf.DUMMYFUNCTION("""COMPUTED_VALUE"""),"Hard")</f>
        <v>Hard</v>
      </c>
      <c r="F273" s="35">
        <f>IFERROR(__xludf.DUMMYFUNCTION("""COMPUTED_VALUE"""),1005.0)</f>
        <v>1005</v>
      </c>
      <c r="G273" s="35">
        <f>IFERROR(__xludf.DUMMYFUNCTION("""COMPUTED_VALUE"""),32.0)</f>
        <v>32</v>
      </c>
      <c r="H273" s="35" t="str">
        <f>IFERROR(__xludf.DUMMYFUNCTION("""COMPUTED_VALUE"""),"Algorithms")</f>
        <v>Algorithms</v>
      </c>
      <c r="I273" s="35">
        <f>IFERROR(__xludf.DUMMYFUNCTION("""COMPUTED_VALUE"""),0.563)</f>
        <v>0.563</v>
      </c>
      <c r="J273" s="35">
        <f>IFERROR(__xludf.DUMMYFUNCTION("""COMPUTED_VALUE"""),272.0)</f>
        <v>272</v>
      </c>
      <c r="K273" s="35" t="b">
        <f>IFERROR(__xludf.DUMMYFUNCTION("""COMPUTED_VALUE"""),TRUE)</f>
        <v>1</v>
      </c>
      <c r="L273" s="35" t="str">
        <f>IFERROR(__xludf.DUMMYFUNCTION("""COMPUTED_VALUE"""),"Two Pointers;Stack;Tree;Depth-First Search;Binary Search Tree;Heap (Priority Queue);Binary Tree;")</f>
        <v>Two Pointers;Stack;Tree;Depth-First Search;Binary Search Tree;Heap (Priority Queue);Binary Tree;</v>
      </c>
      <c r="M273" s="35" t="b">
        <f>IFERROR(__xludf.DUMMYFUNCTION("""COMPUTED_VALUE"""),TRUE)</f>
        <v>1</v>
      </c>
      <c r="N273" s="35" t="b">
        <f>IFERROR(__xludf.DUMMYFUNCTION("""COMPUTED_VALUE"""),FALSE)</f>
        <v>0</v>
      </c>
      <c r="O273" s="35">
        <f>IFERROR(__xludf.DUMMYFUNCTION("""COMPUTED_VALUE"""),56.2927753146848)</f>
        <v>56.29277531</v>
      </c>
      <c r="P273" s="35">
        <f>IFERROR(__xludf.DUMMYFUNCTION("""COMPUTED_VALUE"""),91544.0)</f>
        <v>91544</v>
      </c>
      <c r="Q273" s="35">
        <f>IFERROR(__xludf.DUMMYFUNCTION("""COMPUTED_VALUE"""),162622.0)</f>
        <v>162622</v>
      </c>
    </row>
    <row r="274">
      <c r="A274" s="35">
        <f>IFERROR(__xludf.DUMMYFUNCTION("""COMPUTED_VALUE"""),273.0)</f>
        <v>273</v>
      </c>
      <c r="B274" s="35" t="str">
        <f>IFERROR(__xludf.DUMMYFUNCTION("""COMPUTED_VALUE"""),"Integer to English Words")</f>
        <v>Integer to English Words</v>
      </c>
      <c r="C274" s="35" t="str">
        <f>IFERROR(__xludf.DUMMYFUNCTION("""COMPUTED_VALUE"""),"integer-to-english-words")</f>
        <v>integer-to-english-words</v>
      </c>
      <c r="D274" s="35" t="b">
        <f>IFERROR(__xludf.DUMMYFUNCTION("""COMPUTED_VALUE"""),FALSE)</f>
        <v>0</v>
      </c>
      <c r="E274" s="35" t="str">
        <f>IFERROR(__xludf.DUMMYFUNCTION("""COMPUTED_VALUE"""),"Hard")</f>
        <v>Hard</v>
      </c>
      <c r="F274" s="35">
        <f>IFERROR(__xludf.DUMMYFUNCTION("""COMPUTED_VALUE"""),1974.0)</f>
        <v>1974</v>
      </c>
      <c r="G274" s="35">
        <f>IFERROR(__xludf.DUMMYFUNCTION("""COMPUTED_VALUE"""),4826.0)</f>
        <v>4826</v>
      </c>
      <c r="H274" s="35" t="str">
        <f>IFERROR(__xludf.DUMMYFUNCTION("""COMPUTED_VALUE"""),"Algorithms")</f>
        <v>Algorithms</v>
      </c>
      <c r="I274" s="35">
        <f>IFERROR(__xludf.DUMMYFUNCTION("""COMPUTED_VALUE"""),0.295)</f>
        <v>0.295</v>
      </c>
      <c r="J274" s="35">
        <f>IFERROR(__xludf.DUMMYFUNCTION("""COMPUTED_VALUE"""),273.0)</f>
        <v>273</v>
      </c>
      <c r="K274" s="35" t="b">
        <f>IFERROR(__xludf.DUMMYFUNCTION("""COMPUTED_VALUE"""),FALSE)</f>
        <v>0</v>
      </c>
      <c r="L274" s="35" t="str">
        <f>IFERROR(__xludf.DUMMYFUNCTION("""COMPUTED_VALUE"""),"Math;String;Recursion;")</f>
        <v>Math;String;Recursion;</v>
      </c>
      <c r="M274" s="35" t="b">
        <f>IFERROR(__xludf.DUMMYFUNCTION("""COMPUTED_VALUE"""),TRUE)</f>
        <v>1</v>
      </c>
      <c r="N274" s="35" t="b">
        <f>IFERROR(__xludf.DUMMYFUNCTION("""COMPUTED_VALUE"""),FALSE)</f>
        <v>0</v>
      </c>
      <c r="O274" s="35">
        <f>IFERROR(__xludf.DUMMYFUNCTION("""COMPUTED_VALUE"""),29.4881232128195)</f>
        <v>29.48812321</v>
      </c>
      <c r="P274" s="35">
        <f>IFERROR(__xludf.DUMMYFUNCTION("""COMPUTED_VALUE"""),291632.0)</f>
        <v>291632</v>
      </c>
      <c r="Q274" s="35">
        <f>IFERROR(__xludf.DUMMYFUNCTION("""COMPUTED_VALUE"""),988982.0)</f>
        <v>988982</v>
      </c>
    </row>
    <row r="275">
      <c r="A275" s="35">
        <f>IFERROR(__xludf.DUMMYFUNCTION("""COMPUTED_VALUE"""),274.0)</f>
        <v>274</v>
      </c>
      <c r="B275" s="35" t="str">
        <f>IFERROR(__xludf.DUMMYFUNCTION("""COMPUTED_VALUE"""),"H-Index")</f>
        <v>H-Index</v>
      </c>
      <c r="C275" s="35" t="str">
        <f>IFERROR(__xludf.DUMMYFUNCTION("""COMPUTED_VALUE"""),"h-index")</f>
        <v>h-index</v>
      </c>
      <c r="D275" s="35" t="b">
        <f>IFERROR(__xludf.DUMMYFUNCTION("""COMPUTED_VALUE"""),FALSE)</f>
        <v>0</v>
      </c>
      <c r="E275" s="35" t="str">
        <f>IFERROR(__xludf.DUMMYFUNCTION("""COMPUTED_VALUE"""),"Medium")</f>
        <v>Medium</v>
      </c>
      <c r="F275" s="35">
        <f>IFERROR(__xludf.DUMMYFUNCTION("""COMPUTED_VALUE"""),1159.0)</f>
        <v>1159</v>
      </c>
      <c r="G275" s="35">
        <f>IFERROR(__xludf.DUMMYFUNCTION("""COMPUTED_VALUE"""),1764.0)</f>
        <v>1764</v>
      </c>
      <c r="H275" s="35" t="str">
        <f>IFERROR(__xludf.DUMMYFUNCTION("""COMPUTED_VALUE"""),"Algorithms")</f>
        <v>Algorithms</v>
      </c>
      <c r="I275" s="35">
        <f>IFERROR(__xludf.DUMMYFUNCTION("""COMPUTED_VALUE"""),0.374)</f>
        <v>0.374</v>
      </c>
      <c r="J275" s="35">
        <f>IFERROR(__xludf.DUMMYFUNCTION("""COMPUTED_VALUE"""),274.0)</f>
        <v>274</v>
      </c>
      <c r="K275" s="35" t="b">
        <f>IFERROR(__xludf.DUMMYFUNCTION("""COMPUTED_VALUE"""),FALSE)</f>
        <v>0</v>
      </c>
      <c r="L275" s="35" t="str">
        <f>IFERROR(__xludf.DUMMYFUNCTION("""COMPUTED_VALUE"""),"Array;Sorting;Counting Sort;")</f>
        <v>Array;Sorting;Counting Sort;</v>
      </c>
      <c r="M275" s="35" t="b">
        <f>IFERROR(__xludf.DUMMYFUNCTION("""COMPUTED_VALUE"""),TRUE)</f>
        <v>1</v>
      </c>
      <c r="N275" s="35" t="b">
        <f>IFERROR(__xludf.DUMMYFUNCTION("""COMPUTED_VALUE"""),FALSE)</f>
        <v>0</v>
      </c>
      <c r="O275" s="35">
        <f>IFERROR(__xludf.DUMMYFUNCTION("""COMPUTED_VALUE"""),37.4115976034958)</f>
        <v>37.4115976</v>
      </c>
      <c r="P275" s="35">
        <f>IFERROR(__xludf.DUMMYFUNCTION("""COMPUTED_VALUE"""),227043.0)</f>
        <v>227043</v>
      </c>
      <c r="Q275" s="35">
        <f>IFERROR(__xludf.DUMMYFUNCTION("""COMPUTED_VALUE"""),606882.0)</f>
        <v>606882</v>
      </c>
    </row>
    <row r="276">
      <c r="A276" s="35">
        <f>IFERROR(__xludf.DUMMYFUNCTION("""COMPUTED_VALUE"""),275.0)</f>
        <v>275</v>
      </c>
      <c r="B276" s="35" t="str">
        <f>IFERROR(__xludf.DUMMYFUNCTION("""COMPUTED_VALUE"""),"H-Index II")</f>
        <v>H-Index II</v>
      </c>
      <c r="C276" s="35" t="str">
        <f>IFERROR(__xludf.DUMMYFUNCTION("""COMPUTED_VALUE"""),"h-index-ii")</f>
        <v>h-index-ii</v>
      </c>
      <c r="D276" s="35" t="b">
        <f>IFERROR(__xludf.DUMMYFUNCTION("""COMPUTED_VALUE"""),FALSE)</f>
        <v>0</v>
      </c>
      <c r="E276" s="35" t="str">
        <f>IFERROR(__xludf.DUMMYFUNCTION("""COMPUTED_VALUE"""),"Medium")</f>
        <v>Medium</v>
      </c>
      <c r="F276" s="35">
        <f>IFERROR(__xludf.DUMMYFUNCTION("""COMPUTED_VALUE"""),683.0)</f>
        <v>683</v>
      </c>
      <c r="G276" s="35">
        <f>IFERROR(__xludf.DUMMYFUNCTION("""COMPUTED_VALUE"""),1001.0)</f>
        <v>1001</v>
      </c>
      <c r="H276" s="35" t="str">
        <f>IFERROR(__xludf.DUMMYFUNCTION("""COMPUTED_VALUE"""),"Algorithms")</f>
        <v>Algorithms</v>
      </c>
      <c r="I276" s="35">
        <f>IFERROR(__xludf.DUMMYFUNCTION("""COMPUTED_VALUE"""),0.369)</f>
        <v>0.369</v>
      </c>
      <c r="J276" s="35">
        <f>IFERROR(__xludf.DUMMYFUNCTION("""COMPUTED_VALUE"""),275.0)</f>
        <v>275</v>
      </c>
      <c r="K276" s="35" t="b">
        <f>IFERROR(__xludf.DUMMYFUNCTION("""COMPUTED_VALUE"""),FALSE)</f>
        <v>0</v>
      </c>
      <c r="L276" s="35" t="str">
        <f>IFERROR(__xludf.DUMMYFUNCTION("""COMPUTED_VALUE"""),"Array;Binary Search;")</f>
        <v>Array;Binary Search;</v>
      </c>
      <c r="M276" s="35" t="b">
        <f>IFERROR(__xludf.DUMMYFUNCTION("""COMPUTED_VALUE"""),TRUE)</f>
        <v>1</v>
      </c>
      <c r="N276" s="35" t="b">
        <f>IFERROR(__xludf.DUMMYFUNCTION("""COMPUTED_VALUE"""),FALSE)</f>
        <v>0</v>
      </c>
      <c r="O276" s="35">
        <f>IFERROR(__xludf.DUMMYFUNCTION("""COMPUTED_VALUE"""),36.9029107284667)</f>
        <v>36.90291073</v>
      </c>
      <c r="P276" s="35">
        <f>IFERROR(__xludf.DUMMYFUNCTION("""COMPUTED_VALUE"""),155205.0)</f>
        <v>155205</v>
      </c>
      <c r="Q276" s="35">
        <f>IFERROR(__xludf.DUMMYFUNCTION("""COMPUTED_VALUE"""),420580.0)</f>
        <v>420580</v>
      </c>
    </row>
    <row r="277">
      <c r="A277" s="35">
        <f>IFERROR(__xludf.DUMMYFUNCTION("""COMPUTED_VALUE"""),276.0)</f>
        <v>276</v>
      </c>
      <c r="B277" s="35" t="str">
        <f>IFERROR(__xludf.DUMMYFUNCTION("""COMPUTED_VALUE"""),"Paint Fence")</f>
        <v>Paint Fence</v>
      </c>
      <c r="C277" s="35" t="str">
        <f>IFERROR(__xludf.DUMMYFUNCTION("""COMPUTED_VALUE"""),"paint-fence")</f>
        <v>paint-fence</v>
      </c>
      <c r="D277" s="35" t="b">
        <f>IFERROR(__xludf.DUMMYFUNCTION("""COMPUTED_VALUE"""),TRUE)</f>
        <v>1</v>
      </c>
      <c r="E277" s="35" t="str">
        <f>IFERROR(__xludf.DUMMYFUNCTION("""COMPUTED_VALUE"""),"Medium")</f>
        <v>Medium</v>
      </c>
      <c r="F277" s="35">
        <f>IFERROR(__xludf.DUMMYFUNCTION("""COMPUTED_VALUE"""),1205.0)</f>
        <v>1205</v>
      </c>
      <c r="G277" s="35">
        <f>IFERROR(__xludf.DUMMYFUNCTION("""COMPUTED_VALUE"""),350.0)</f>
        <v>350</v>
      </c>
      <c r="H277" s="35" t="str">
        <f>IFERROR(__xludf.DUMMYFUNCTION("""COMPUTED_VALUE"""),"Algorithms")</f>
        <v>Algorithms</v>
      </c>
      <c r="I277" s="35">
        <f>IFERROR(__xludf.DUMMYFUNCTION("""COMPUTED_VALUE"""),0.425)</f>
        <v>0.425</v>
      </c>
      <c r="J277" s="35">
        <f>IFERROR(__xludf.DUMMYFUNCTION("""COMPUTED_VALUE"""),276.0)</f>
        <v>276</v>
      </c>
      <c r="K277" s="35" t="b">
        <f>IFERROR(__xludf.DUMMYFUNCTION("""COMPUTED_VALUE"""),TRUE)</f>
        <v>1</v>
      </c>
      <c r="L277" s="35" t="str">
        <f>IFERROR(__xludf.DUMMYFUNCTION("""COMPUTED_VALUE"""),"Dynamic Programming;")</f>
        <v>Dynamic Programming;</v>
      </c>
      <c r="M277" s="35" t="b">
        <f>IFERROR(__xludf.DUMMYFUNCTION("""COMPUTED_VALUE"""),TRUE)</f>
        <v>1</v>
      </c>
      <c r="N277" s="35" t="b">
        <f>IFERROR(__xludf.DUMMYFUNCTION("""COMPUTED_VALUE"""),FALSE)</f>
        <v>0</v>
      </c>
      <c r="O277" s="35">
        <f>IFERROR(__xludf.DUMMYFUNCTION("""COMPUTED_VALUE"""),42.4517453163434)</f>
        <v>42.45174532</v>
      </c>
      <c r="P277" s="35">
        <f>IFERROR(__xludf.DUMMYFUNCTION("""COMPUTED_VALUE"""),82322.0)</f>
        <v>82322</v>
      </c>
      <c r="Q277" s="35">
        <f>IFERROR(__xludf.DUMMYFUNCTION("""COMPUTED_VALUE"""),193919.0)</f>
        <v>193919</v>
      </c>
    </row>
    <row r="278">
      <c r="A278" s="35">
        <f>IFERROR(__xludf.DUMMYFUNCTION("""COMPUTED_VALUE"""),277.0)</f>
        <v>277</v>
      </c>
      <c r="B278" s="35" t="str">
        <f>IFERROR(__xludf.DUMMYFUNCTION("""COMPUTED_VALUE"""),"Find the Celebrity")</f>
        <v>Find the Celebrity</v>
      </c>
      <c r="C278" s="35" t="str">
        <f>IFERROR(__xludf.DUMMYFUNCTION("""COMPUTED_VALUE"""),"find-the-celebrity")</f>
        <v>find-the-celebrity</v>
      </c>
      <c r="D278" s="35" t="b">
        <f>IFERROR(__xludf.DUMMYFUNCTION("""COMPUTED_VALUE"""),TRUE)</f>
        <v>1</v>
      </c>
      <c r="E278" s="35" t="str">
        <f>IFERROR(__xludf.DUMMYFUNCTION("""COMPUTED_VALUE"""),"Medium")</f>
        <v>Medium</v>
      </c>
      <c r="F278" s="35">
        <f>IFERROR(__xludf.DUMMYFUNCTION("""COMPUTED_VALUE"""),2178.0)</f>
        <v>2178</v>
      </c>
      <c r="G278" s="35">
        <f>IFERROR(__xludf.DUMMYFUNCTION("""COMPUTED_VALUE"""),199.0)</f>
        <v>199</v>
      </c>
      <c r="H278" s="35" t="str">
        <f>IFERROR(__xludf.DUMMYFUNCTION("""COMPUTED_VALUE"""),"Algorithms")</f>
        <v>Algorithms</v>
      </c>
      <c r="I278" s="35">
        <f>IFERROR(__xludf.DUMMYFUNCTION("""COMPUTED_VALUE"""),0.462)</f>
        <v>0.462</v>
      </c>
      <c r="J278" s="35">
        <f>IFERROR(__xludf.DUMMYFUNCTION("""COMPUTED_VALUE"""),277.0)</f>
        <v>277</v>
      </c>
      <c r="K278" s="35" t="b">
        <f>IFERROR(__xludf.DUMMYFUNCTION("""COMPUTED_VALUE"""),TRUE)</f>
        <v>1</v>
      </c>
      <c r="L278" s="35" t="str">
        <f>IFERROR(__xludf.DUMMYFUNCTION("""COMPUTED_VALUE"""),"Two Pointers;Greedy;Graph;Interactive;")</f>
        <v>Two Pointers;Greedy;Graph;Interactive;</v>
      </c>
      <c r="M278" s="35" t="b">
        <f>IFERROR(__xludf.DUMMYFUNCTION("""COMPUTED_VALUE"""),TRUE)</f>
        <v>1</v>
      </c>
      <c r="N278" s="35" t="b">
        <f>IFERROR(__xludf.DUMMYFUNCTION("""COMPUTED_VALUE"""),TRUE)</f>
        <v>1</v>
      </c>
      <c r="O278" s="35">
        <f>IFERROR(__xludf.DUMMYFUNCTION("""COMPUTED_VALUE"""),46.2363405892123)</f>
        <v>46.23634059</v>
      </c>
      <c r="P278" s="35">
        <f>IFERROR(__xludf.DUMMYFUNCTION("""COMPUTED_VALUE"""),211558.0)</f>
        <v>211558</v>
      </c>
      <c r="Q278" s="35">
        <f>IFERROR(__xludf.DUMMYFUNCTION("""COMPUTED_VALUE"""),457555.0)</f>
        <v>457555</v>
      </c>
    </row>
    <row r="279">
      <c r="A279" s="35">
        <f>IFERROR(__xludf.DUMMYFUNCTION("""COMPUTED_VALUE"""),278.0)</f>
        <v>278</v>
      </c>
      <c r="B279" s="35" t="str">
        <f>IFERROR(__xludf.DUMMYFUNCTION("""COMPUTED_VALUE"""),"First Bad Version")</f>
        <v>First Bad Version</v>
      </c>
      <c r="C279" s="35" t="str">
        <f>IFERROR(__xludf.DUMMYFUNCTION("""COMPUTED_VALUE"""),"first-bad-version")</f>
        <v>first-bad-version</v>
      </c>
      <c r="D279" s="35" t="b">
        <f>IFERROR(__xludf.DUMMYFUNCTION("""COMPUTED_VALUE"""),FALSE)</f>
        <v>0</v>
      </c>
      <c r="E279" s="35" t="str">
        <f>IFERROR(__xludf.DUMMYFUNCTION("""COMPUTED_VALUE"""),"Easy")</f>
        <v>Easy</v>
      </c>
      <c r="F279" s="35">
        <f>IFERROR(__xludf.DUMMYFUNCTION("""COMPUTED_VALUE"""),4384.0)</f>
        <v>4384</v>
      </c>
      <c r="G279" s="35">
        <f>IFERROR(__xludf.DUMMYFUNCTION("""COMPUTED_VALUE"""),1642.0)</f>
        <v>1642</v>
      </c>
      <c r="H279" s="35" t="str">
        <f>IFERROR(__xludf.DUMMYFUNCTION("""COMPUTED_VALUE"""),"Algorithms")</f>
        <v>Algorithms</v>
      </c>
      <c r="I279" s="35">
        <f>IFERROR(__xludf.DUMMYFUNCTION("""COMPUTED_VALUE"""),0.412)</f>
        <v>0.412</v>
      </c>
      <c r="J279" s="35">
        <f>IFERROR(__xludf.DUMMYFUNCTION("""COMPUTED_VALUE"""),278.0)</f>
        <v>278</v>
      </c>
      <c r="K279" s="35" t="b">
        <f>IFERROR(__xludf.DUMMYFUNCTION("""COMPUTED_VALUE"""),FALSE)</f>
        <v>0</v>
      </c>
      <c r="L279" s="35" t="str">
        <f>IFERROR(__xludf.DUMMYFUNCTION("""COMPUTED_VALUE"""),"Binary Search;Interactive;")</f>
        <v>Binary Search;Interactive;</v>
      </c>
      <c r="M279" s="35" t="b">
        <f>IFERROR(__xludf.DUMMYFUNCTION("""COMPUTED_VALUE"""),TRUE)</f>
        <v>1</v>
      </c>
      <c r="N279" s="35" t="b">
        <f>IFERROR(__xludf.DUMMYFUNCTION("""COMPUTED_VALUE"""),TRUE)</f>
        <v>1</v>
      </c>
      <c r="O279" s="35">
        <f>IFERROR(__xludf.DUMMYFUNCTION("""COMPUTED_VALUE"""),41.1943859062172)</f>
        <v>41.19438591</v>
      </c>
      <c r="P279" s="35">
        <f>IFERROR(__xludf.DUMMYFUNCTION("""COMPUTED_VALUE"""),906214.0)</f>
        <v>906214</v>
      </c>
      <c r="Q279" s="35">
        <f>IFERROR(__xludf.DUMMYFUNCTION("""COMPUTED_VALUE"""),2199854.0)</f>
        <v>2199854</v>
      </c>
    </row>
    <row r="280">
      <c r="A280" s="35">
        <f>IFERROR(__xludf.DUMMYFUNCTION("""COMPUTED_VALUE"""),279.0)</f>
        <v>279</v>
      </c>
      <c r="B280" s="35" t="str">
        <f>IFERROR(__xludf.DUMMYFUNCTION("""COMPUTED_VALUE"""),"Perfect Squares")</f>
        <v>Perfect Squares</v>
      </c>
      <c r="C280" s="35" t="str">
        <f>IFERROR(__xludf.DUMMYFUNCTION("""COMPUTED_VALUE"""),"perfect-squares")</f>
        <v>perfect-squares</v>
      </c>
      <c r="D280" s="35" t="b">
        <f>IFERROR(__xludf.DUMMYFUNCTION("""COMPUTED_VALUE"""),FALSE)</f>
        <v>0</v>
      </c>
      <c r="E280" s="35" t="str">
        <f>IFERROR(__xludf.DUMMYFUNCTION("""COMPUTED_VALUE"""),"Medium")</f>
        <v>Medium</v>
      </c>
      <c r="F280" s="35">
        <f>IFERROR(__xludf.DUMMYFUNCTION("""COMPUTED_VALUE"""),6403.0)</f>
        <v>6403</v>
      </c>
      <c r="G280" s="35">
        <f>IFERROR(__xludf.DUMMYFUNCTION("""COMPUTED_VALUE"""),286.0)</f>
        <v>286</v>
      </c>
      <c r="H280" s="35" t="str">
        <f>IFERROR(__xludf.DUMMYFUNCTION("""COMPUTED_VALUE"""),"Algorithms")</f>
        <v>Algorithms</v>
      </c>
      <c r="I280" s="35">
        <f>IFERROR(__xludf.DUMMYFUNCTION("""COMPUTED_VALUE"""),0.516)</f>
        <v>0.516</v>
      </c>
      <c r="J280" s="35">
        <f>IFERROR(__xludf.DUMMYFUNCTION("""COMPUTED_VALUE"""),279.0)</f>
        <v>279</v>
      </c>
      <c r="K280" s="35" t="b">
        <f>IFERROR(__xludf.DUMMYFUNCTION("""COMPUTED_VALUE"""),FALSE)</f>
        <v>0</v>
      </c>
      <c r="L280" s="35" t="str">
        <f>IFERROR(__xludf.DUMMYFUNCTION("""COMPUTED_VALUE"""),"Math;Dynamic Programming;Breadth-First Search;")</f>
        <v>Math;Dynamic Programming;Breadth-First Search;</v>
      </c>
      <c r="M280" s="35" t="b">
        <f>IFERROR(__xludf.DUMMYFUNCTION("""COMPUTED_VALUE"""),TRUE)</f>
        <v>1</v>
      </c>
      <c r="N280" s="35" t="b">
        <f>IFERROR(__xludf.DUMMYFUNCTION("""COMPUTED_VALUE"""),FALSE)</f>
        <v>0</v>
      </c>
      <c r="O280" s="35">
        <f>IFERROR(__xludf.DUMMYFUNCTION("""COMPUTED_VALUE"""),51.6494689338759)</f>
        <v>51.64946893</v>
      </c>
      <c r="P280" s="35">
        <f>IFERROR(__xludf.DUMMYFUNCTION("""COMPUTED_VALUE"""),508501.0)</f>
        <v>508501</v>
      </c>
      <c r="Q280" s="35">
        <f>IFERROR(__xludf.DUMMYFUNCTION("""COMPUTED_VALUE"""),984526.0)</f>
        <v>984526</v>
      </c>
    </row>
    <row r="281">
      <c r="A281" s="35">
        <f>IFERROR(__xludf.DUMMYFUNCTION("""COMPUTED_VALUE"""),280.0)</f>
        <v>280</v>
      </c>
      <c r="B281" s="35" t="str">
        <f>IFERROR(__xludf.DUMMYFUNCTION("""COMPUTED_VALUE"""),"Wiggle Sort")</f>
        <v>Wiggle Sort</v>
      </c>
      <c r="C281" s="35" t="str">
        <f>IFERROR(__xludf.DUMMYFUNCTION("""COMPUTED_VALUE"""),"wiggle-sort")</f>
        <v>wiggle-sort</v>
      </c>
      <c r="D281" s="35" t="b">
        <f>IFERROR(__xludf.DUMMYFUNCTION("""COMPUTED_VALUE"""),TRUE)</f>
        <v>1</v>
      </c>
      <c r="E281" s="35" t="str">
        <f>IFERROR(__xludf.DUMMYFUNCTION("""COMPUTED_VALUE"""),"Medium")</f>
        <v>Medium</v>
      </c>
      <c r="F281" s="35">
        <f>IFERROR(__xludf.DUMMYFUNCTION("""COMPUTED_VALUE"""),896.0)</f>
        <v>896</v>
      </c>
      <c r="G281" s="35">
        <f>IFERROR(__xludf.DUMMYFUNCTION("""COMPUTED_VALUE"""),74.0)</f>
        <v>74</v>
      </c>
      <c r="H281" s="35" t="str">
        <f>IFERROR(__xludf.DUMMYFUNCTION("""COMPUTED_VALUE"""),"Algorithms")</f>
        <v>Algorithms</v>
      </c>
      <c r="I281" s="35">
        <f>IFERROR(__xludf.DUMMYFUNCTION("""COMPUTED_VALUE"""),0.659)</f>
        <v>0.659</v>
      </c>
      <c r="J281" s="35">
        <f>IFERROR(__xludf.DUMMYFUNCTION("""COMPUTED_VALUE"""),280.0)</f>
        <v>280</v>
      </c>
      <c r="K281" s="35" t="b">
        <f>IFERROR(__xludf.DUMMYFUNCTION("""COMPUTED_VALUE"""),TRUE)</f>
        <v>1</v>
      </c>
      <c r="L281" s="35" t="str">
        <f>IFERROR(__xludf.DUMMYFUNCTION("""COMPUTED_VALUE"""),"Array;Greedy;Sorting;")</f>
        <v>Array;Greedy;Sorting;</v>
      </c>
      <c r="M281" s="35" t="b">
        <f>IFERROR(__xludf.DUMMYFUNCTION("""COMPUTED_VALUE"""),TRUE)</f>
        <v>1</v>
      </c>
      <c r="N281" s="35" t="b">
        <f>IFERROR(__xludf.DUMMYFUNCTION("""COMPUTED_VALUE"""),FALSE)</f>
        <v>0</v>
      </c>
      <c r="O281" s="35">
        <f>IFERROR(__xludf.DUMMYFUNCTION("""COMPUTED_VALUE"""),65.8888484692021)</f>
        <v>65.88884847</v>
      </c>
      <c r="P281" s="35">
        <f>IFERROR(__xludf.DUMMYFUNCTION("""COMPUTED_VALUE"""),112297.0)</f>
        <v>112297</v>
      </c>
      <c r="Q281" s="35">
        <f>IFERROR(__xludf.DUMMYFUNCTION("""COMPUTED_VALUE"""),170434.0)</f>
        <v>170434</v>
      </c>
    </row>
    <row r="282">
      <c r="A282" s="35">
        <f>IFERROR(__xludf.DUMMYFUNCTION("""COMPUTED_VALUE"""),281.0)</f>
        <v>281</v>
      </c>
      <c r="B282" s="35" t="str">
        <f>IFERROR(__xludf.DUMMYFUNCTION("""COMPUTED_VALUE"""),"Zigzag Iterator")</f>
        <v>Zigzag Iterator</v>
      </c>
      <c r="C282" s="35" t="str">
        <f>IFERROR(__xludf.DUMMYFUNCTION("""COMPUTED_VALUE"""),"zigzag-iterator")</f>
        <v>zigzag-iterator</v>
      </c>
      <c r="D282" s="35" t="b">
        <f>IFERROR(__xludf.DUMMYFUNCTION("""COMPUTED_VALUE"""),TRUE)</f>
        <v>1</v>
      </c>
      <c r="E282" s="35" t="str">
        <f>IFERROR(__xludf.DUMMYFUNCTION("""COMPUTED_VALUE"""),"Medium")</f>
        <v>Medium</v>
      </c>
      <c r="F282" s="35">
        <f>IFERROR(__xludf.DUMMYFUNCTION("""COMPUTED_VALUE"""),546.0)</f>
        <v>546</v>
      </c>
      <c r="G282" s="35">
        <f>IFERROR(__xludf.DUMMYFUNCTION("""COMPUTED_VALUE"""),30.0)</f>
        <v>30</v>
      </c>
      <c r="H282" s="35" t="str">
        <f>IFERROR(__xludf.DUMMYFUNCTION("""COMPUTED_VALUE"""),"Algorithms")</f>
        <v>Algorithms</v>
      </c>
      <c r="I282" s="35">
        <f>IFERROR(__xludf.DUMMYFUNCTION("""COMPUTED_VALUE"""),0.612)</f>
        <v>0.612</v>
      </c>
      <c r="J282" s="35">
        <f>IFERROR(__xludf.DUMMYFUNCTION("""COMPUTED_VALUE"""),281.0)</f>
        <v>281</v>
      </c>
      <c r="K282" s="35" t="b">
        <f>IFERROR(__xludf.DUMMYFUNCTION("""COMPUTED_VALUE"""),TRUE)</f>
        <v>1</v>
      </c>
      <c r="L282" s="35" t="str">
        <f>IFERROR(__xludf.DUMMYFUNCTION("""COMPUTED_VALUE"""),"Array;Design;Queue;Iterator;")</f>
        <v>Array;Design;Queue;Iterator;</v>
      </c>
      <c r="M282" s="35" t="b">
        <f>IFERROR(__xludf.DUMMYFUNCTION("""COMPUTED_VALUE"""),TRUE)</f>
        <v>1</v>
      </c>
      <c r="N282" s="35" t="b">
        <f>IFERROR(__xludf.DUMMYFUNCTION("""COMPUTED_VALUE"""),FALSE)</f>
        <v>0</v>
      </c>
      <c r="O282" s="35">
        <f>IFERROR(__xludf.DUMMYFUNCTION("""COMPUTED_VALUE"""),61.2481801265931)</f>
        <v>61.24818013</v>
      </c>
      <c r="P282" s="35">
        <f>IFERROR(__xludf.DUMMYFUNCTION("""COMPUTED_VALUE"""),78668.0)</f>
        <v>78668</v>
      </c>
      <c r="Q282" s="35">
        <f>IFERROR(__xludf.DUMMYFUNCTION("""COMPUTED_VALUE"""),128442.0)</f>
        <v>128442</v>
      </c>
    </row>
    <row r="283">
      <c r="A283" s="35">
        <f>IFERROR(__xludf.DUMMYFUNCTION("""COMPUTED_VALUE"""),282.0)</f>
        <v>282</v>
      </c>
      <c r="B283" s="35" t="str">
        <f>IFERROR(__xludf.DUMMYFUNCTION("""COMPUTED_VALUE"""),"Expression Add Operators")</f>
        <v>Expression Add Operators</v>
      </c>
      <c r="C283" s="35" t="str">
        <f>IFERROR(__xludf.DUMMYFUNCTION("""COMPUTED_VALUE"""),"expression-add-operators")</f>
        <v>expression-add-operators</v>
      </c>
      <c r="D283" s="35" t="b">
        <f>IFERROR(__xludf.DUMMYFUNCTION("""COMPUTED_VALUE"""),FALSE)</f>
        <v>0</v>
      </c>
      <c r="E283" s="35" t="str">
        <f>IFERROR(__xludf.DUMMYFUNCTION("""COMPUTED_VALUE"""),"Hard")</f>
        <v>Hard</v>
      </c>
      <c r="F283" s="35">
        <f>IFERROR(__xludf.DUMMYFUNCTION("""COMPUTED_VALUE"""),2414.0)</f>
        <v>2414</v>
      </c>
      <c r="G283" s="35">
        <f>IFERROR(__xludf.DUMMYFUNCTION("""COMPUTED_VALUE"""),405.0)</f>
        <v>405</v>
      </c>
      <c r="H283" s="35" t="str">
        <f>IFERROR(__xludf.DUMMYFUNCTION("""COMPUTED_VALUE"""),"Algorithms")</f>
        <v>Algorithms</v>
      </c>
      <c r="I283" s="35">
        <f>IFERROR(__xludf.DUMMYFUNCTION("""COMPUTED_VALUE"""),0.391)</f>
        <v>0.391</v>
      </c>
      <c r="J283" s="35">
        <f>IFERROR(__xludf.DUMMYFUNCTION("""COMPUTED_VALUE"""),282.0)</f>
        <v>282</v>
      </c>
      <c r="K283" s="35" t="b">
        <f>IFERROR(__xludf.DUMMYFUNCTION("""COMPUTED_VALUE"""),FALSE)</f>
        <v>0</v>
      </c>
      <c r="L283" s="35" t="str">
        <f>IFERROR(__xludf.DUMMYFUNCTION("""COMPUTED_VALUE"""),"Math;String;Backtracking;")</f>
        <v>Math;String;Backtracking;</v>
      </c>
      <c r="M283" s="35" t="b">
        <f>IFERROR(__xludf.DUMMYFUNCTION("""COMPUTED_VALUE"""),TRUE)</f>
        <v>1</v>
      </c>
      <c r="N283" s="35" t="b">
        <f>IFERROR(__xludf.DUMMYFUNCTION("""COMPUTED_VALUE"""),FALSE)</f>
        <v>0</v>
      </c>
      <c r="O283" s="35">
        <f>IFERROR(__xludf.DUMMYFUNCTION("""COMPUTED_VALUE"""),39.0926349110374)</f>
        <v>39.09263491</v>
      </c>
      <c r="P283" s="35">
        <f>IFERROR(__xludf.DUMMYFUNCTION("""COMPUTED_VALUE"""),175857.0)</f>
        <v>175857</v>
      </c>
      <c r="Q283" s="35">
        <f>IFERROR(__xludf.DUMMYFUNCTION("""COMPUTED_VALUE"""),449847.0)</f>
        <v>449847</v>
      </c>
    </row>
    <row r="284">
      <c r="A284" s="35">
        <f>IFERROR(__xludf.DUMMYFUNCTION("""COMPUTED_VALUE"""),283.0)</f>
        <v>283</v>
      </c>
      <c r="B284" s="35" t="str">
        <f>IFERROR(__xludf.DUMMYFUNCTION("""COMPUTED_VALUE"""),"Move Zeroes")</f>
        <v>Move Zeroes</v>
      </c>
      <c r="C284" s="35" t="str">
        <f>IFERROR(__xludf.DUMMYFUNCTION("""COMPUTED_VALUE"""),"move-zeroes")</f>
        <v>move-zeroes</v>
      </c>
      <c r="D284" s="35" t="b">
        <f>IFERROR(__xludf.DUMMYFUNCTION("""COMPUTED_VALUE"""),FALSE)</f>
        <v>0</v>
      </c>
      <c r="E284" s="35" t="str">
        <f>IFERROR(__xludf.DUMMYFUNCTION("""COMPUTED_VALUE"""),"Easy")</f>
        <v>Easy</v>
      </c>
      <c r="F284" s="35">
        <f>IFERROR(__xludf.DUMMYFUNCTION("""COMPUTED_VALUE"""),8447.0)</f>
        <v>8447</v>
      </c>
      <c r="G284" s="35">
        <f>IFERROR(__xludf.DUMMYFUNCTION("""COMPUTED_VALUE"""),230.0)</f>
        <v>230</v>
      </c>
      <c r="H284" s="35" t="str">
        <f>IFERROR(__xludf.DUMMYFUNCTION("""COMPUTED_VALUE"""),"Algorithms")</f>
        <v>Algorithms</v>
      </c>
      <c r="I284" s="35">
        <f>IFERROR(__xludf.DUMMYFUNCTION("""COMPUTED_VALUE"""),0.604)</f>
        <v>0.604</v>
      </c>
      <c r="J284" s="35">
        <f>IFERROR(__xludf.DUMMYFUNCTION("""COMPUTED_VALUE"""),283.0)</f>
        <v>283</v>
      </c>
      <c r="K284" s="35" t="b">
        <f>IFERROR(__xludf.DUMMYFUNCTION("""COMPUTED_VALUE"""),FALSE)</f>
        <v>0</v>
      </c>
      <c r="L284" s="35" t="str">
        <f>IFERROR(__xludf.DUMMYFUNCTION("""COMPUTED_VALUE"""),"Array;Two Pointers;")</f>
        <v>Array;Two Pointers;</v>
      </c>
      <c r="M284" s="35" t="b">
        <f>IFERROR(__xludf.DUMMYFUNCTION("""COMPUTED_VALUE"""),TRUE)</f>
        <v>1</v>
      </c>
      <c r="N284" s="35" t="b">
        <f>IFERROR(__xludf.DUMMYFUNCTION("""COMPUTED_VALUE"""),FALSE)</f>
        <v>0</v>
      </c>
      <c r="O284" s="35">
        <f>IFERROR(__xludf.DUMMYFUNCTION("""COMPUTED_VALUE"""),60.3686623451965)</f>
        <v>60.36866235</v>
      </c>
      <c r="P284" s="35">
        <f>IFERROR(__xludf.DUMMYFUNCTION("""COMPUTED_VALUE"""),1558785.0)</f>
        <v>1558785</v>
      </c>
      <c r="Q284" s="35">
        <f>IFERROR(__xludf.DUMMYFUNCTION("""COMPUTED_VALUE"""),2582109.0)</f>
        <v>2582109</v>
      </c>
    </row>
    <row r="285">
      <c r="A285" s="35">
        <f>IFERROR(__xludf.DUMMYFUNCTION("""COMPUTED_VALUE"""),284.0)</f>
        <v>284</v>
      </c>
      <c r="B285" s="35" t="str">
        <f>IFERROR(__xludf.DUMMYFUNCTION("""COMPUTED_VALUE"""),"Peeking Iterator")</f>
        <v>Peeking Iterator</v>
      </c>
      <c r="C285" s="35" t="str">
        <f>IFERROR(__xludf.DUMMYFUNCTION("""COMPUTED_VALUE"""),"peeking-iterator")</f>
        <v>peeking-iterator</v>
      </c>
      <c r="D285" s="35" t="b">
        <f>IFERROR(__xludf.DUMMYFUNCTION("""COMPUTED_VALUE"""),FALSE)</f>
        <v>0</v>
      </c>
      <c r="E285" s="35" t="str">
        <f>IFERROR(__xludf.DUMMYFUNCTION("""COMPUTED_VALUE"""),"Medium")</f>
        <v>Medium</v>
      </c>
      <c r="F285" s="35">
        <f>IFERROR(__xludf.DUMMYFUNCTION("""COMPUTED_VALUE"""),979.0)</f>
        <v>979</v>
      </c>
      <c r="G285" s="35">
        <f>IFERROR(__xludf.DUMMYFUNCTION("""COMPUTED_VALUE"""),677.0)</f>
        <v>677</v>
      </c>
      <c r="H285" s="35" t="str">
        <f>IFERROR(__xludf.DUMMYFUNCTION("""COMPUTED_VALUE"""),"Algorithms")</f>
        <v>Algorithms</v>
      </c>
      <c r="I285" s="35">
        <f>IFERROR(__xludf.DUMMYFUNCTION("""COMPUTED_VALUE"""),0.534)</f>
        <v>0.534</v>
      </c>
      <c r="J285" s="35">
        <f>IFERROR(__xludf.DUMMYFUNCTION("""COMPUTED_VALUE"""),284.0)</f>
        <v>284</v>
      </c>
      <c r="K285" s="35" t="b">
        <f>IFERROR(__xludf.DUMMYFUNCTION("""COMPUTED_VALUE"""),FALSE)</f>
        <v>0</v>
      </c>
      <c r="L285" s="35" t="str">
        <f>IFERROR(__xludf.DUMMYFUNCTION("""COMPUTED_VALUE"""),"Array;Design;Iterator;")</f>
        <v>Array;Design;Iterator;</v>
      </c>
      <c r="M285" s="35" t="b">
        <f>IFERROR(__xludf.DUMMYFUNCTION("""COMPUTED_VALUE"""),TRUE)</f>
        <v>1</v>
      </c>
      <c r="N285" s="35" t="b">
        <f>IFERROR(__xludf.DUMMYFUNCTION("""COMPUTED_VALUE"""),FALSE)</f>
        <v>0</v>
      </c>
      <c r="O285" s="35">
        <f>IFERROR(__xludf.DUMMYFUNCTION("""COMPUTED_VALUE"""),53.3962074846995)</f>
        <v>53.39620748</v>
      </c>
      <c r="P285" s="35">
        <f>IFERROR(__xludf.DUMMYFUNCTION("""COMPUTED_VALUE"""),154338.0)</f>
        <v>154338</v>
      </c>
      <c r="Q285" s="35">
        <f>IFERROR(__xludf.DUMMYFUNCTION("""COMPUTED_VALUE"""),289043.0)</f>
        <v>289043</v>
      </c>
    </row>
    <row r="286">
      <c r="A286" s="35">
        <f>IFERROR(__xludf.DUMMYFUNCTION("""COMPUTED_VALUE"""),285.0)</f>
        <v>285</v>
      </c>
      <c r="B286" s="35" t="str">
        <f>IFERROR(__xludf.DUMMYFUNCTION("""COMPUTED_VALUE"""),"Inorder Successor in BST")</f>
        <v>Inorder Successor in BST</v>
      </c>
      <c r="C286" s="35" t="str">
        <f>IFERROR(__xludf.DUMMYFUNCTION("""COMPUTED_VALUE"""),"inorder-successor-in-bst")</f>
        <v>inorder-successor-in-bst</v>
      </c>
      <c r="D286" s="35" t="b">
        <f>IFERROR(__xludf.DUMMYFUNCTION("""COMPUTED_VALUE"""),TRUE)</f>
        <v>1</v>
      </c>
      <c r="E286" s="35" t="str">
        <f>IFERROR(__xludf.DUMMYFUNCTION("""COMPUTED_VALUE"""),"Medium")</f>
        <v>Medium</v>
      </c>
      <c r="F286" s="35">
        <f>IFERROR(__xludf.DUMMYFUNCTION("""COMPUTED_VALUE"""),2044.0)</f>
        <v>2044</v>
      </c>
      <c r="G286" s="35">
        <f>IFERROR(__xludf.DUMMYFUNCTION("""COMPUTED_VALUE"""),77.0)</f>
        <v>77</v>
      </c>
      <c r="H286" s="35" t="str">
        <f>IFERROR(__xludf.DUMMYFUNCTION("""COMPUTED_VALUE"""),"Algorithms")</f>
        <v>Algorithms</v>
      </c>
      <c r="I286" s="35">
        <f>IFERROR(__xludf.DUMMYFUNCTION("""COMPUTED_VALUE"""),0.466)</f>
        <v>0.466</v>
      </c>
      <c r="J286" s="35">
        <f>IFERROR(__xludf.DUMMYFUNCTION("""COMPUTED_VALUE"""),285.0)</f>
        <v>285</v>
      </c>
      <c r="K286" s="35" t="b">
        <f>IFERROR(__xludf.DUMMYFUNCTION("""COMPUTED_VALUE"""),TRUE)</f>
        <v>1</v>
      </c>
      <c r="L286" s="35" t="str">
        <f>IFERROR(__xludf.DUMMYFUNCTION("""COMPUTED_VALUE"""),"Tree;Depth-First Search;Binary Search Tree;Binary Tree;")</f>
        <v>Tree;Depth-First Search;Binary Search Tree;Binary Tree;</v>
      </c>
      <c r="M286" s="35" t="b">
        <f>IFERROR(__xludf.DUMMYFUNCTION("""COMPUTED_VALUE"""),TRUE)</f>
        <v>1</v>
      </c>
      <c r="N286" s="35" t="b">
        <f>IFERROR(__xludf.DUMMYFUNCTION("""COMPUTED_VALUE"""),FALSE)</f>
        <v>0</v>
      </c>
      <c r="O286" s="35">
        <f>IFERROR(__xludf.DUMMYFUNCTION("""COMPUTED_VALUE"""),46.6415318796781)</f>
        <v>46.64153188</v>
      </c>
      <c r="P286" s="35">
        <f>IFERROR(__xludf.DUMMYFUNCTION("""COMPUTED_VALUE"""),252493.0)</f>
        <v>252493</v>
      </c>
      <c r="Q286" s="35">
        <f>IFERROR(__xludf.DUMMYFUNCTION("""COMPUTED_VALUE"""),541348.0)</f>
        <v>541348</v>
      </c>
    </row>
    <row r="287">
      <c r="A287" s="35">
        <f>IFERROR(__xludf.DUMMYFUNCTION("""COMPUTED_VALUE"""),286.0)</f>
        <v>286</v>
      </c>
      <c r="B287" s="35" t="str">
        <f>IFERROR(__xludf.DUMMYFUNCTION("""COMPUTED_VALUE"""),"Walls and Gates")</f>
        <v>Walls and Gates</v>
      </c>
      <c r="C287" s="35" t="str">
        <f>IFERROR(__xludf.DUMMYFUNCTION("""COMPUTED_VALUE"""),"walls-and-gates")</f>
        <v>walls-and-gates</v>
      </c>
      <c r="D287" s="35" t="b">
        <f>IFERROR(__xludf.DUMMYFUNCTION("""COMPUTED_VALUE"""),TRUE)</f>
        <v>1</v>
      </c>
      <c r="E287" s="35" t="str">
        <f>IFERROR(__xludf.DUMMYFUNCTION("""COMPUTED_VALUE"""),"Medium")</f>
        <v>Medium</v>
      </c>
      <c r="F287" s="35">
        <f>IFERROR(__xludf.DUMMYFUNCTION("""COMPUTED_VALUE"""),2216.0)</f>
        <v>2216</v>
      </c>
      <c r="G287" s="35">
        <f>IFERROR(__xludf.DUMMYFUNCTION("""COMPUTED_VALUE"""),35.0)</f>
        <v>35</v>
      </c>
      <c r="H287" s="35" t="str">
        <f>IFERROR(__xludf.DUMMYFUNCTION("""COMPUTED_VALUE"""),"Algorithms")</f>
        <v>Algorithms</v>
      </c>
      <c r="I287" s="35">
        <f>IFERROR(__xludf.DUMMYFUNCTION("""COMPUTED_VALUE"""),0.589)</f>
        <v>0.589</v>
      </c>
      <c r="J287" s="35">
        <f>IFERROR(__xludf.DUMMYFUNCTION("""COMPUTED_VALUE"""),286.0)</f>
        <v>286</v>
      </c>
      <c r="K287" s="35" t="b">
        <f>IFERROR(__xludf.DUMMYFUNCTION("""COMPUTED_VALUE"""),TRUE)</f>
        <v>1</v>
      </c>
      <c r="L287" s="35" t="str">
        <f>IFERROR(__xludf.DUMMYFUNCTION("""COMPUTED_VALUE"""),"Array;Breadth-First Search;Matrix;")</f>
        <v>Array;Breadth-First Search;Matrix;</v>
      </c>
      <c r="M287" s="35" t="b">
        <f>IFERROR(__xludf.DUMMYFUNCTION("""COMPUTED_VALUE"""),TRUE)</f>
        <v>1</v>
      </c>
      <c r="N287" s="35" t="b">
        <f>IFERROR(__xludf.DUMMYFUNCTION("""COMPUTED_VALUE"""),FALSE)</f>
        <v>0</v>
      </c>
      <c r="O287" s="35">
        <f>IFERROR(__xludf.DUMMYFUNCTION("""COMPUTED_VALUE"""),58.9274118771284)</f>
        <v>58.92741188</v>
      </c>
      <c r="P287" s="35">
        <f>IFERROR(__xludf.DUMMYFUNCTION("""COMPUTED_VALUE"""),207814.0)</f>
        <v>207814</v>
      </c>
      <c r="Q287" s="35">
        <f>IFERROR(__xludf.DUMMYFUNCTION("""COMPUTED_VALUE"""),352661.0)</f>
        <v>352661</v>
      </c>
    </row>
    <row r="288">
      <c r="A288" s="35">
        <f>IFERROR(__xludf.DUMMYFUNCTION("""COMPUTED_VALUE"""),287.0)</f>
        <v>287</v>
      </c>
      <c r="B288" s="35" t="str">
        <f>IFERROR(__xludf.DUMMYFUNCTION("""COMPUTED_VALUE"""),"Find the Duplicate Number")</f>
        <v>Find the Duplicate Number</v>
      </c>
      <c r="C288" s="35" t="str">
        <f>IFERROR(__xludf.DUMMYFUNCTION("""COMPUTED_VALUE"""),"find-the-duplicate-number")</f>
        <v>find-the-duplicate-number</v>
      </c>
      <c r="D288" s="35" t="b">
        <f>IFERROR(__xludf.DUMMYFUNCTION("""COMPUTED_VALUE"""),FALSE)</f>
        <v>0</v>
      </c>
      <c r="E288" s="35" t="str">
        <f>IFERROR(__xludf.DUMMYFUNCTION("""COMPUTED_VALUE"""),"Medium")</f>
        <v>Medium</v>
      </c>
      <c r="F288" s="35">
        <f>IFERROR(__xludf.DUMMYFUNCTION("""COMPUTED_VALUE"""),11972.0)</f>
        <v>11972</v>
      </c>
      <c r="G288" s="35">
        <f>IFERROR(__xludf.DUMMYFUNCTION("""COMPUTED_VALUE"""),1319.0)</f>
        <v>1319</v>
      </c>
      <c r="H288" s="35" t="str">
        <f>IFERROR(__xludf.DUMMYFUNCTION("""COMPUTED_VALUE"""),"Algorithms")</f>
        <v>Algorithms</v>
      </c>
      <c r="I288" s="35">
        <f>IFERROR(__xludf.DUMMYFUNCTION("""COMPUTED_VALUE"""),0.584)</f>
        <v>0.584</v>
      </c>
      <c r="J288" s="35">
        <f>IFERROR(__xludf.DUMMYFUNCTION("""COMPUTED_VALUE"""),287.0)</f>
        <v>287</v>
      </c>
      <c r="K288" s="35" t="b">
        <f>IFERROR(__xludf.DUMMYFUNCTION("""COMPUTED_VALUE"""),FALSE)</f>
        <v>0</v>
      </c>
      <c r="L288" s="35" t="str">
        <f>IFERROR(__xludf.DUMMYFUNCTION("""COMPUTED_VALUE"""),"Array;Two Pointers;Binary Search;Bit Manipulation;")</f>
        <v>Array;Two Pointers;Binary Search;Bit Manipulation;</v>
      </c>
      <c r="M288" s="35" t="b">
        <f>IFERROR(__xludf.DUMMYFUNCTION("""COMPUTED_VALUE"""),TRUE)</f>
        <v>1</v>
      </c>
      <c r="N288" s="35" t="b">
        <f>IFERROR(__xludf.DUMMYFUNCTION("""COMPUTED_VALUE"""),FALSE)</f>
        <v>0</v>
      </c>
      <c r="O288" s="35">
        <f>IFERROR(__xludf.DUMMYFUNCTION("""COMPUTED_VALUE"""),58.4166375863408)</f>
        <v>58.41663759</v>
      </c>
      <c r="P288" s="35">
        <f>IFERROR(__xludf.DUMMYFUNCTION("""COMPUTED_VALUE"""),738227.0)</f>
        <v>738227</v>
      </c>
      <c r="Q288" s="35">
        <f>IFERROR(__xludf.DUMMYFUNCTION("""COMPUTED_VALUE"""),1263718.0)</f>
        <v>1263718</v>
      </c>
    </row>
    <row r="289">
      <c r="A289" s="35">
        <f>IFERROR(__xludf.DUMMYFUNCTION("""COMPUTED_VALUE"""),288.0)</f>
        <v>288</v>
      </c>
      <c r="B289" s="35" t="str">
        <f>IFERROR(__xludf.DUMMYFUNCTION("""COMPUTED_VALUE"""),"Unique Word Abbreviation")</f>
        <v>Unique Word Abbreviation</v>
      </c>
      <c r="C289" s="35" t="str">
        <f>IFERROR(__xludf.DUMMYFUNCTION("""COMPUTED_VALUE"""),"unique-word-abbreviation")</f>
        <v>unique-word-abbreviation</v>
      </c>
      <c r="D289" s="35" t="b">
        <f>IFERROR(__xludf.DUMMYFUNCTION("""COMPUTED_VALUE"""),TRUE)</f>
        <v>1</v>
      </c>
      <c r="E289" s="35" t="str">
        <f>IFERROR(__xludf.DUMMYFUNCTION("""COMPUTED_VALUE"""),"Medium")</f>
        <v>Medium</v>
      </c>
      <c r="F289" s="35">
        <f>IFERROR(__xludf.DUMMYFUNCTION("""COMPUTED_VALUE"""),157.0)</f>
        <v>157</v>
      </c>
      <c r="G289" s="35">
        <f>IFERROR(__xludf.DUMMYFUNCTION("""COMPUTED_VALUE"""),1625.0)</f>
        <v>1625</v>
      </c>
      <c r="H289" s="35" t="str">
        <f>IFERROR(__xludf.DUMMYFUNCTION("""COMPUTED_VALUE"""),"Algorithms")</f>
        <v>Algorithms</v>
      </c>
      <c r="I289" s="35">
        <f>IFERROR(__xludf.DUMMYFUNCTION("""COMPUTED_VALUE"""),0.246)</f>
        <v>0.246</v>
      </c>
      <c r="J289" s="35">
        <f>IFERROR(__xludf.DUMMYFUNCTION("""COMPUTED_VALUE"""),288.0)</f>
        <v>288</v>
      </c>
      <c r="K289" s="35" t="b">
        <f>IFERROR(__xludf.DUMMYFUNCTION("""COMPUTED_VALUE"""),TRUE)</f>
        <v>1</v>
      </c>
      <c r="L289" s="35" t="str">
        <f>IFERROR(__xludf.DUMMYFUNCTION("""COMPUTED_VALUE"""),"Array;Hash Table;String;Design;")</f>
        <v>Array;Hash Table;String;Design;</v>
      </c>
      <c r="M289" s="35" t="b">
        <f>IFERROR(__xludf.DUMMYFUNCTION("""COMPUTED_VALUE"""),FALSE)</f>
        <v>0</v>
      </c>
      <c r="N289" s="35" t="b">
        <f>IFERROR(__xludf.DUMMYFUNCTION("""COMPUTED_VALUE"""),FALSE)</f>
        <v>0</v>
      </c>
      <c r="O289" s="35">
        <f>IFERROR(__xludf.DUMMYFUNCTION("""COMPUTED_VALUE"""),24.5901259367998)</f>
        <v>24.59012594</v>
      </c>
      <c r="P289" s="35">
        <f>IFERROR(__xludf.DUMMYFUNCTION("""COMPUTED_VALUE"""),63654.0)</f>
        <v>63654</v>
      </c>
      <c r="Q289" s="35">
        <f>IFERROR(__xludf.DUMMYFUNCTION("""COMPUTED_VALUE"""),258860.0)</f>
        <v>258860</v>
      </c>
    </row>
    <row r="290">
      <c r="A290" s="35">
        <f>IFERROR(__xludf.DUMMYFUNCTION("""COMPUTED_VALUE"""),289.0)</f>
        <v>289</v>
      </c>
      <c r="B290" s="35" t="str">
        <f>IFERROR(__xludf.DUMMYFUNCTION("""COMPUTED_VALUE"""),"Game of Life")</f>
        <v>Game of Life</v>
      </c>
      <c r="C290" s="35" t="str">
        <f>IFERROR(__xludf.DUMMYFUNCTION("""COMPUTED_VALUE"""),"game-of-life")</f>
        <v>game-of-life</v>
      </c>
      <c r="D290" s="35" t="b">
        <f>IFERROR(__xludf.DUMMYFUNCTION("""COMPUTED_VALUE"""),FALSE)</f>
        <v>0</v>
      </c>
      <c r="E290" s="35" t="str">
        <f>IFERROR(__xludf.DUMMYFUNCTION("""COMPUTED_VALUE"""),"Medium")</f>
        <v>Medium</v>
      </c>
      <c r="F290" s="35">
        <f>IFERROR(__xludf.DUMMYFUNCTION("""COMPUTED_VALUE"""),3617.0)</f>
        <v>3617</v>
      </c>
      <c r="G290" s="35">
        <f>IFERROR(__xludf.DUMMYFUNCTION("""COMPUTED_VALUE"""),391.0)</f>
        <v>391</v>
      </c>
      <c r="H290" s="35" t="str">
        <f>IFERROR(__xludf.DUMMYFUNCTION("""COMPUTED_VALUE"""),"Algorithms")</f>
        <v>Algorithms</v>
      </c>
      <c r="I290" s="35">
        <f>IFERROR(__xludf.DUMMYFUNCTION("""COMPUTED_VALUE"""),0.624)</f>
        <v>0.624</v>
      </c>
      <c r="J290" s="35">
        <f>IFERROR(__xludf.DUMMYFUNCTION("""COMPUTED_VALUE"""),289.0)</f>
        <v>289</v>
      </c>
      <c r="K290" s="35" t="b">
        <f>IFERROR(__xludf.DUMMYFUNCTION("""COMPUTED_VALUE"""),FALSE)</f>
        <v>0</v>
      </c>
      <c r="L290" s="35" t="str">
        <f>IFERROR(__xludf.DUMMYFUNCTION("""COMPUTED_VALUE"""),"Array;Matrix;Simulation;")</f>
        <v>Array;Matrix;Simulation;</v>
      </c>
      <c r="M290" s="35" t="b">
        <f>IFERROR(__xludf.DUMMYFUNCTION("""COMPUTED_VALUE"""),TRUE)</f>
        <v>1</v>
      </c>
      <c r="N290" s="35" t="b">
        <f>IFERROR(__xludf.DUMMYFUNCTION("""COMPUTED_VALUE"""),TRUE)</f>
        <v>1</v>
      </c>
      <c r="O290" s="35">
        <f>IFERROR(__xludf.DUMMYFUNCTION("""COMPUTED_VALUE"""),62.373224932484)</f>
        <v>62.37322493</v>
      </c>
      <c r="P290" s="35">
        <f>IFERROR(__xludf.DUMMYFUNCTION("""COMPUTED_VALUE"""),288002.0)</f>
        <v>288002</v>
      </c>
      <c r="Q290" s="35">
        <f>IFERROR(__xludf.DUMMYFUNCTION("""COMPUTED_VALUE"""),461741.0)</f>
        <v>461741</v>
      </c>
    </row>
    <row r="291">
      <c r="A291" s="35">
        <f>IFERROR(__xludf.DUMMYFUNCTION("""COMPUTED_VALUE"""),290.0)</f>
        <v>290</v>
      </c>
      <c r="B291" s="35" t="str">
        <f>IFERROR(__xludf.DUMMYFUNCTION("""COMPUTED_VALUE"""),"Word Pattern")</f>
        <v>Word Pattern</v>
      </c>
      <c r="C291" s="35" t="str">
        <f>IFERROR(__xludf.DUMMYFUNCTION("""COMPUTED_VALUE"""),"word-pattern")</f>
        <v>word-pattern</v>
      </c>
      <c r="D291" s="35" t="b">
        <f>IFERROR(__xludf.DUMMYFUNCTION("""COMPUTED_VALUE"""),FALSE)</f>
        <v>0</v>
      </c>
      <c r="E291" s="35" t="str">
        <f>IFERROR(__xludf.DUMMYFUNCTION("""COMPUTED_VALUE"""),"Easy")</f>
        <v>Easy</v>
      </c>
      <c r="F291" s="35">
        <f>IFERROR(__xludf.DUMMYFUNCTION("""COMPUTED_VALUE"""),3380.0)</f>
        <v>3380</v>
      </c>
      <c r="G291" s="35">
        <f>IFERROR(__xludf.DUMMYFUNCTION("""COMPUTED_VALUE"""),386.0)</f>
        <v>386</v>
      </c>
      <c r="H291" s="35" t="str">
        <f>IFERROR(__xludf.DUMMYFUNCTION("""COMPUTED_VALUE"""),"Algorithms")</f>
        <v>Algorithms</v>
      </c>
      <c r="I291" s="35">
        <f>IFERROR(__xludf.DUMMYFUNCTION("""COMPUTED_VALUE"""),0.401)</f>
        <v>0.401</v>
      </c>
      <c r="J291" s="35">
        <f>IFERROR(__xludf.DUMMYFUNCTION("""COMPUTED_VALUE"""),290.0)</f>
        <v>290</v>
      </c>
      <c r="K291" s="35" t="b">
        <f>IFERROR(__xludf.DUMMYFUNCTION("""COMPUTED_VALUE"""),FALSE)</f>
        <v>0</v>
      </c>
      <c r="L291" s="35" t="str">
        <f>IFERROR(__xludf.DUMMYFUNCTION("""COMPUTED_VALUE"""),"Hash Table;String;")</f>
        <v>Hash Table;String;</v>
      </c>
      <c r="M291" s="35" t="b">
        <f>IFERROR(__xludf.DUMMYFUNCTION("""COMPUTED_VALUE"""),TRUE)</f>
        <v>1</v>
      </c>
      <c r="N291" s="35" t="b">
        <f>IFERROR(__xludf.DUMMYFUNCTION("""COMPUTED_VALUE"""),FALSE)</f>
        <v>0</v>
      </c>
      <c r="O291" s="35">
        <f>IFERROR(__xludf.DUMMYFUNCTION("""COMPUTED_VALUE"""),40.1334086012833)</f>
        <v>40.1334086</v>
      </c>
      <c r="P291" s="35">
        <f>IFERROR(__xludf.DUMMYFUNCTION("""COMPUTED_VALUE"""),348358.0)</f>
        <v>348358</v>
      </c>
      <c r="Q291" s="35">
        <f>IFERROR(__xludf.DUMMYFUNCTION("""COMPUTED_VALUE"""),868003.0)</f>
        <v>868003</v>
      </c>
    </row>
    <row r="292">
      <c r="A292" s="35">
        <f>IFERROR(__xludf.DUMMYFUNCTION("""COMPUTED_VALUE"""),291.0)</f>
        <v>291</v>
      </c>
      <c r="B292" s="35" t="str">
        <f>IFERROR(__xludf.DUMMYFUNCTION("""COMPUTED_VALUE"""),"Word Pattern II")</f>
        <v>Word Pattern II</v>
      </c>
      <c r="C292" s="35" t="str">
        <f>IFERROR(__xludf.DUMMYFUNCTION("""COMPUTED_VALUE"""),"word-pattern-ii")</f>
        <v>word-pattern-ii</v>
      </c>
      <c r="D292" s="35" t="b">
        <f>IFERROR(__xludf.DUMMYFUNCTION("""COMPUTED_VALUE"""),TRUE)</f>
        <v>1</v>
      </c>
      <c r="E292" s="35" t="str">
        <f>IFERROR(__xludf.DUMMYFUNCTION("""COMPUTED_VALUE"""),"Medium")</f>
        <v>Medium</v>
      </c>
      <c r="F292" s="35">
        <f>IFERROR(__xludf.DUMMYFUNCTION("""COMPUTED_VALUE"""),701.0)</f>
        <v>701</v>
      </c>
      <c r="G292" s="35">
        <f>IFERROR(__xludf.DUMMYFUNCTION("""COMPUTED_VALUE"""),52.0)</f>
        <v>52</v>
      </c>
      <c r="H292" s="35" t="str">
        <f>IFERROR(__xludf.DUMMYFUNCTION("""COMPUTED_VALUE"""),"Algorithms")</f>
        <v>Algorithms</v>
      </c>
      <c r="I292" s="35">
        <f>IFERROR(__xludf.DUMMYFUNCTION("""COMPUTED_VALUE"""),0.46)</f>
        <v>0.46</v>
      </c>
      <c r="J292" s="35">
        <f>IFERROR(__xludf.DUMMYFUNCTION("""COMPUTED_VALUE"""),291.0)</f>
        <v>291</v>
      </c>
      <c r="K292" s="35" t="b">
        <f>IFERROR(__xludf.DUMMYFUNCTION("""COMPUTED_VALUE"""),TRUE)</f>
        <v>1</v>
      </c>
      <c r="L292" s="35" t="str">
        <f>IFERROR(__xludf.DUMMYFUNCTION("""COMPUTED_VALUE"""),"Hash Table;String;Backtracking;")</f>
        <v>Hash Table;String;Backtracking;</v>
      </c>
      <c r="M292" s="35" t="b">
        <f>IFERROR(__xludf.DUMMYFUNCTION("""COMPUTED_VALUE"""),FALSE)</f>
        <v>0</v>
      </c>
      <c r="N292" s="35" t="b">
        <f>IFERROR(__xludf.DUMMYFUNCTION("""COMPUTED_VALUE"""),FALSE)</f>
        <v>0</v>
      </c>
      <c r="O292" s="35">
        <f>IFERROR(__xludf.DUMMYFUNCTION("""COMPUTED_VALUE"""),46.0220903525206)</f>
        <v>46.02209035</v>
      </c>
      <c r="P292" s="35">
        <f>IFERROR(__xludf.DUMMYFUNCTION("""COMPUTED_VALUE"""),58709.0)</f>
        <v>58709</v>
      </c>
      <c r="Q292" s="35">
        <f>IFERROR(__xludf.DUMMYFUNCTION("""COMPUTED_VALUE"""),127567.0)</f>
        <v>127567</v>
      </c>
    </row>
    <row r="293">
      <c r="A293" s="35">
        <f>IFERROR(__xludf.DUMMYFUNCTION("""COMPUTED_VALUE"""),292.0)</f>
        <v>292</v>
      </c>
      <c r="B293" s="35" t="str">
        <f>IFERROR(__xludf.DUMMYFUNCTION("""COMPUTED_VALUE"""),"Nim Game")</f>
        <v>Nim Game</v>
      </c>
      <c r="C293" s="35" t="str">
        <f>IFERROR(__xludf.DUMMYFUNCTION("""COMPUTED_VALUE"""),"nim-game")</f>
        <v>nim-game</v>
      </c>
      <c r="D293" s="35" t="b">
        <f>IFERROR(__xludf.DUMMYFUNCTION("""COMPUTED_VALUE"""),FALSE)</f>
        <v>0</v>
      </c>
      <c r="E293" s="35" t="str">
        <f>IFERROR(__xludf.DUMMYFUNCTION("""COMPUTED_VALUE"""),"Easy")</f>
        <v>Easy</v>
      </c>
      <c r="F293" s="35">
        <f>IFERROR(__xludf.DUMMYFUNCTION("""COMPUTED_VALUE"""),1016.0)</f>
        <v>1016</v>
      </c>
      <c r="G293" s="35">
        <f>IFERROR(__xludf.DUMMYFUNCTION("""COMPUTED_VALUE"""),2169.0)</f>
        <v>2169</v>
      </c>
      <c r="H293" s="35" t="str">
        <f>IFERROR(__xludf.DUMMYFUNCTION("""COMPUTED_VALUE"""),"Algorithms")</f>
        <v>Algorithms</v>
      </c>
      <c r="I293" s="35">
        <f>IFERROR(__xludf.DUMMYFUNCTION("""COMPUTED_VALUE"""),0.554)</f>
        <v>0.554</v>
      </c>
      <c r="J293" s="35">
        <f>IFERROR(__xludf.DUMMYFUNCTION("""COMPUTED_VALUE"""),292.0)</f>
        <v>292</v>
      </c>
      <c r="K293" s="35" t="b">
        <f>IFERROR(__xludf.DUMMYFUNCTION("""COMPUTED_VALUE"""),FALSE)</f>
        <v>0</v>
      </c>
      <c r="L293" s="35" t="str">
        <f>IFERROR(__xludf.DUMMYFUNCTION("""COMPUTED_VALUE"""),"Math;Brainteaser;Game Theory;")</f>
        <v>Math;Brainteaser;Game Theory;</v>
      </c>
      <c r="M293" s="35" t="b">
        <f>IFERROR(__xludf.DUMMYFUNCTION("""COMPUTED_VALUE"""),TRUE)</f>
        <v>1</v>
      </c>
      <c r="N293" s="35" t="b">
        <f>IFERROR(__xludf.DUMMYFUNCTION("""COMPUTED_VALUE"""),FALSE)</f>
        <v>0</v>
      </c>
      <c r="O293" s="35">
        <f>IFERROR(__xludf.DUMMYFUNCTION("""COMPUTED_VALUE"""),55.4265444341724)</f>
        <v>55.42654443</v>
      </c>
      <c r="P293" s="35">
        <f>IFERROR(__xludf.DUMMYFUNCTION("""COMPUTED_VALUE"""),272192.0)</f>
        <v>272192</v>
      </c>
      <c r="Q293" s="35">
        <f>IFERROR(__xludf.DUMMYFUNCTION("""COMPUTED_VALUE"""),491086.0)</f>
        <v>491086</v>
      </c>
    </row>
    <row r="294">
      <c r="A294" s="35">
        <f>IFERROR(__xludf.DUMMYFUNCTION("""COMPUTED_VALUE"""),293.0)</f>
        <v>293</v>
      </c>
      <c r="B294" s="35" t="str">
        <f>IFERROR(__xludf.DUMMYFUNCTION("""COMPUTED_VALUE"""),"Flip Game")</f>
        <v>Flip Game</v>
      </c>
      <c r="C294" s="35" t="str">
        <f>IFERROR(__xludf.DUMMYFUNCTION("""COMPUTED_VALUE"""),"flip-game")</f>
        <v>flip-game</v>
      </c>
      <c r="D294" s="35" t="b">
        <f>IFERROR(__xludf.DUMMYFUNCTION("""COMPUTED_VALUE"""),TRUE)</f>
        <v>1</v>
      </c>
      <c r="E294" s="35" t="str">
        <f>IFERROR(__xludf.DUMMYFUNCTION("""COMPUTED_VALUE"""),"Easy")</f>
        <v>Easy</v>
      </c>
      <c r="F294" s="35">
        <f>IFERROR(__xludf.DUMMYFUNCTION("""COMPUTED_VALUE"""),157.0)</f>
        <v>157</v>
      </c>
      <c r="G294" s="35">
        <f>IFERROR(__xludf.DUMMYFUNCTION("""COMPUTED_VALUE"""),374.0)</f>
        <v>374</v>
      </c>
      <c r="H294" s="35" t="str">
        <f>IFERROR(__xludf.DUMMYFUNCTION("""COMPUTED_VALUE"""),"Algorithms")</f>
        <v>Algorithms</v>
      </c>
      <c r="I294" s="35">
        <f>IFERROR(__xludf.DUMMYFUNCTION("""COMPUTED_VALUE"""),0.624)</f>
        <v>0.624</v>
      </c>
      <c r="J294" s="35">
        <f>IFERROR(__xludf.DUMMYFUNCTION("""COMPUTED_VALUE"""),293.0)</f>
        <v>293</v>
      </c>
      <c r="K294" s="35" t="b">
        <f>IFERROR(__xludf.DUMMYFUNCTION("""COMPUTED_VALUE"""),TRUE)</f>
        <v>1</v>
      </c>
      <c r="L294" s="35" t="str">
        <f>IFERROR(__xludf.DUMMYFUNCTION("""COMPUTED_VALUE"""),"String;")</f>
        <v>String;</v>
      </c>
      <c r="M294" s="35" t="b">
        <f>IFERROR(__xludf.DUMMYFUNCTION("""COMPUTED_VALUE"""),FALSE)</f>
        <v>0</v>
      </c>
      <c r="N294" s="35" t="b">
        <f>IFERROR(__xludf.DUMMYFUNCTION("""COMPUTED_VALUE"""),FALSE)</f>
        <v>0</v>
      </c>
      <c r="O294" s="35">
        <f>IFERROR(__xludf.DUMMYFUNCTION("""COMPUTED_VALUE"""),62.4155639370112)</f>
        <v>62.41556394</v>
      </c>
      <c r="P294" s="35">
        <f>IFERROR(__xludf.DUMMYFUNCTION("""COMPUTED_VALUE"""),58582.0)</f>
        <v>58582</v>
      </c>
      <c r="Q294" s="35">
        <f>IFERROR(__xludf.DUMMYFUNCTION("""COMPUTED_VALUE"""),93858.0)</f>
        <v>93858</v>
      </c>
    </row>
    <row r="295">
      <c r="A295" s="35">
        <f>IFERROR(__xludf.DUMMYFUNCTION("""COMPUTED_VALUE"""),294.0)</f>
        <v>294</v>
      </c>
      <c r="B295" s="35" t="str">
        <f>IFERROR(__xludf.DUMMYFUNCTION("""COMPUTED_VALUE"""),"Flip Game II")</f>
        <v>Flip Game II</v>
      </c>
      <c r="C295" s="35" t="str">
        <f>IFERROR(__xludf.DUMMYFUNCTION("""COMPUTED_VALUE"""),"flip-game-ii")</f>
        <v>flip-game-ii</v>
      </c>
      <c r="D295" s="35" t="b">
        <f>IFERROR(__xludf.DUMMYFUNCTION("""COMPUTED_VALUE"""),TRUE)</f>
        <v>1</v>
      </c>
      <c r="E295" s="35" t="str">
        <f>IFERROR(__xludf.DUMMYFUNCTION("""COMPUTED_VALUE"""),"Medium")</f>
        <v>Medium</v>
      </c>
      <c r="F295" s="35">
        <f>IFERROR(__xludf.DUMMYFUNCTION("""COMPUTED_VALUE"""),516.0)</f>
        <v>516</v>
      </c>
      <c r="G295" s="35">
        <f>IFERROR(__xludf.DUMMYFUNCTION("""COMPUTED_VALUE"""),49.0)</f>
        <v>49</v>
      </c>
      <c r="H295" s="35" t="str">
        <f>IFERROR(__xludf.DUMMYFUNCTION("""COMPUTED_VALUE"""),"Algorithms")</f>
        <v>Algorithms</v>
      </c>
      <c r="I295" s="35">
        <f>IFERROR(__xludf.DUMMYFUNCTION("""COMPUTED_VALUE"""),0.514)</f>
        <v>0.514</v>
      </c>
      <c r="J295" s="35">
        <f>IFERROR(__xludf.DUMMYFUNCTION("""COMPUTED_VALUE"""),294.0)</f>
        <v>294</v>
      </c>
      <c r="K295" s="35" t="b">
        <f>IFERROR(__xludf.DUMMYFUNCTION("""COMPUTED_VALUE"""),TRUE)</f>
        <v>1</v>
      </c>
      <c r="L295" s="35" t="str">
        <f>IFERROR(__xludf.DUMMYFUNCTION("""COMPUTED_VALUE"""),"Math;Dynamic Programming;Backtracking;Memoization;Game Theory;")</f>
        <v>Math;Dynamic Programming;Backtracking;Memoization;Game Theory;</v>
      </c>
      <c r="M295" s="35" t="b">
        <f>IFERROR(__xludf.DUMMYFUNCTION("""COMPUTED_VALUE"""),FALSE)</f>
        <v>0</v>
      </c>
      <c r="N295" s="35" t="b">
        <f>IFERROR(__xludf.DUMMYFUNCTION("""COMPUTED_VALUE"""),FALSE)</f>
        <v>0</v>
      </c>
      <c r="O295" s="35">
        <f>IFERROR(__xludf.DUMMYFUNCTION("""COMPUTED_VALUE"""),51.4075687003217)</f>
        <v>51.4075687</v>
      </c>
      <c r="P295" s="35">
        <f>IFERROR(__xludf.DUMMYFUNCTION("""COMPUTED_VALUE"""),62800.0)</f>
        <v>62800</v>
      </c>
      <c r="Q295" s="35">
        <f>IFERROR(__xludf.DUMMYFUNCTION("""COMPUTED_VALUE"""),122161.0)</f>
        <v>122161</v>
      </c>
    </row>
    <row r="296">
      <c r="A296" s="35">
        <f>IFERROR(__xludf.DUMMYFUNCTION("""COMPUTED_VALUE"""),295.0)</f>
        <v>295</v>
      </c>
      <c r="B296" s="35" t="str">
        <f>IFERROR(__xludf.DUMMYFUNCTION("""COMPUTED_VALUE"""),"Find Median from Data Stream")</f>
        <v>Find Median from Data Stream</v>
      </c>
      <c r="C296" s="35" t="str">
        <f>IFERROR(__xludf.DUMMYFUNCTION("""COMPUTED_VALUE"""),"find-median-from-data-stream")</f>
        <v>find-median-from-data-stream</v>
      </c>
      <c r="D296" s="35" t="b">
        <f>IFERROR(__xludf.DUMMYFUNCTION("""COMPUTED_VALUE"""),FALSE)</f>
        <v>0</v>
      </c>
      <c r="E296" s="35" t="str">
        <f>IFERROR(__xludf.DUMMYFUNCTION("""COMPUTED_VALUE"""),"Hard")</f>
        <v>Hard</v>
      </c>
      <c r="F296" s="35">
        <f>IFERROR(__xludf.DUMMYFUNCTION("""COMPUTED_VALUE"""),6401.0)</f>
        <v>6401</v>
      </c>
      <c r="G296" s="35">
        <f>IFERROR(__xludf.DUMMYFUNCTION("""COMPUTED_VALUE"""),119.0)</f>
        <v>119</v>
      </c>
      <c r="H296" s="35" t="str">
        <f>IFERROR(__xludf.DUMMYFUNCTION("""COMPUTED_VALUE"""),"Algorithms")</f>
        <v>Algorithms</v>
      </c>
      <c r="I296" s="35">
        <f>IFERROR(__xludf.DUMMYFUNCTION("""COMPUTED_VALUE"""),0.501)</f>
        <v>0.501</v>
      </c>
      <c r="J296" s="35">
        <f>IFERROR(__xludf.DUMMYFUNCTION("""COMPUTED_VALUE"""),295.0)</f>
        <v>295</v>
      </c>
      <c r="K296" s="35" t="b">
        <f>IFERROR(__xludf.DUMMYFUNCTION("""COMPUTED_VALUE"""),FALSE)</f>
        <v>0</v>
      </c>
      <c r="L296" s="35" t="str">
        <f>IFERROR(__xludf.DUMMYFUNCTION("""COMPUTED_VALUE"""),"Two Pointers;Design;Sorting;Heap (Priority Queue);Data Stream;")</f>
        <v>Two Pointers;Design;Sorting;Heap (Priority Queue);Data Stream;</v>
      </c>
      <c r="M296" s="35" t="b">
        <f>IFERROR(__xludf.DUMMYFUNCTION("""COMPUTED_VALUE"""),TRUE)</f>
        <v>1</v>
      </c>
      <c r="N296" s="35" t="b">
        <f>IFERROR(__xludf.DUMMYFUNCTION("""COMPUTED_VALUE"""),FALSE)</f>
        <v>0</v>
      </c>
      <c r="O296" s="35">
        <f>IFERROR(__xludf.DUMMYFUNCTION("""COMPUTED_VALUE"""),50.0784544074627)</f>
        <v>50.07845441</v>
      </c>
      <c r="P296" s="35">
        <f>IFERROR(__xludf.DUMMYFUNCTION("""COMPUTED_VALUE"""),430532.0)</f>
        <v>430532</v>
      </c>
      <c r="Q296" s="35">
        <f>IFERROR(__xludf.DUMMYFUNCTION("""COMPUTED_VALUE"""),859720.0)</f>
        <v>859720</v>
      </c>
    </row>
    <row r="297">
      <c r="A297" s="35">
        <f>IFERROR(__xludf.DUMMYFUNCTION("""COMPUTED_VALUE"""),296.0)</f>
        <v>296</v>
      </c>
      <c r="B297" s="35" t="str">
        <f>IFERROR(__xludf.DUMMYFUNCTION("""COMPUTED_VALUE"""),"Best Meeting Point")</f>
        <v>Best Meeting Point</v>
      </c>
      <c r="C297" s="35" t="str">
        <f>IFERROR(__xludf.DUMMYFUNCTION("""COMPUTED_VALUE"""),"best-meeting-point")</f>
        <v>best-meeting-point</v>
      </c>
      <c r="D297" s="35" t="b">
        <f>IFERROR(__xludf.DUMMYFUNCTION("""COMPUTED_VALUE"""),TRUE)</f>
        <v>1</v>
      </c>
      <c r="E297" s="35" t="str">
        <f>IFERROR(__xludf.DUMMYFUNCTION("""COMPUTED_VALUE"""),"Hard")</f>
        <v>Hard</v>
      </c>
      <c r="F297" s="35">
        <f>IFERROR(__xludf.DUMMYFUNCTION("""COMPUTED_VALUE"""),846.0)</f>
        <v>846</v>
      </c>
      <c r="G297" s="35">
        <f>IFERROR(__xludf.DUMMYFUNCTION("""COMPUTED_VALUE"""),66.0)</f>
        <v>66</v>
      </c>
      <c r="H297" s="35" t="str">
        <f>IFERROR(__xludf.DUMMYFUNCTION("""COMPUTED_VALUE"""),"Algorithms")</f>
        <v>Algorithms</v>
      </c>
      <c r="I297" s="35">
        <f>IFERROR(__xludf.DUMMYFUNCTION("""COMPUTED_VALUE"""),0.594)</f>
        <v>0.594</v>
      </c>
      <c r="J297" s="35">
        <f>IFERROR(__xludf.DUMMYFUNCTION("""COMPUTED_VALUE"""),296.0)</f>
        <v>296</v>
      </c>
      <c r="K297" s="35" t="b">
        <f>IFERROR(__xludf.DUMMYFUNCTION("""COMPUTED_VALUE"""),TRUE)</f>
        <v>1</v>
      </c>
      <c r="L297" s="35" t="str">
        <f>IFERROR(__xludf.DUMMYFUNCTION("""COMPUTED_VALUE"""),"Array;Math;Sorting;Matrix;")</f>
        <v>Array;Math;Sorting;Matrix;</v>
      </c>
      <c r="M297" s="35" t="b">
        <f>IFERROR(__xludf.DUMMYFUNCTION("""COMPUTED_VALUE"""),TRUE)</f>
        <v>1</v>
      </c>
      <c r="N297" s="35" t="b">
        <f>IFERROR(__xludf.DUMMYFUNCTION("""COMPUTED_VALUE"""),FALSE)</f>
        <v>0</v>
      </c>
      <c r="O297" s="35">
        <f>IFERROR(__xludf.DUMMYFUNCTION("""COMPUTED_VALUE"""),59.3683946173325)</f>
        <v>59.36839462</v>
      </c>
      <c r="P297" s="35">
        <f>IFERROR(__xludf.DUMMYFUNCTION("""COMPUTED_VALUE"""),56736.0)</f>
        <v>56736</v>
      </c>
      <c r="Q297" s="35">
        <f>IFERROR(__xludf.DUMMYFUNCTION("""COMPUTED_VALUE"""),95566.0)</f>
        <v>95566</v>
      </c>
    </row>
    <row r="298">
      <c r="A298" s="35">
        <f>IFERROR(__xludf.DUMMYFUNCTION("""COMPUTED_VALUE"""),297.0)</f>
        <v>297</v>
      </c>
      <c r="B298" s="35" t="str">
        <f>IFERROR(__xludf.DUMMYFUNCTION("""COMPUTED_VALUE"""),"Serialize and Deserialize Binary Tree")</f>
        <v>Serialize and Deserialize Binary Tree</v>
      </c>
      <c r="C298" s="35" t="str">
        <f>IFERROR(__xludf.DUMMYFUNCTION("""COMPUTED_VALUE"""),"serialize-and-deserialize-binary-tree")</f>
        <v>serialize-and-deserialize-binary-tree</v>
      </c>
      <c r="D298" s="35" t="b">
        <f>IFERROR(__xludf.DUMMYFUNCTION("""COMPUTED_VALUE"""),FALSE)</f>
        <v>0</v>
      </c>
      <c r="E298" s="35" t="str">
        <f>IFERROR(__xludf.DUMMYFUNCTION("""COMPUTED_VALUE"""),"Hard")</f>
        <v>Hard</v>
      </c>
      <c r="F298" s="35">
        <f>IFERROR(__xludf.DUMMYFUNCTION("""COMPUTED_VALUE"""),6203.0)</f>
        <v>6203</v>
      </c>
      <c r="G298" s="35">
        <f>IFERROR(__xludf.DUMMYFUNCTION("""COMPUTED_VALUE"""),241.0)</f>
        <v>241</v>
      </c>
      <c r="H298" s="35" t="str">
        <f>IFERROR(__xludf.DUMMYFUNCTION("""COMPUTED_VALUE"""),"Algorithms")</f>
        <v>Algorithms</v>
      </c>
      <c r="I298" s="35">
        <f>IFERROR(__xludf.DUMMYFUNCTION("""COMPUTED_VALUE"""),0.533)</f>
        <v>0.533</v>
      </c>
      <c r="J298" s="35">
        <f>IFERROR(__xludf.DUMMYFUNCTION("""COMPUTED_VALUE"""),297.0)</f>
        <v>297</v>
      </c>
      <c r="K298" s="35" t="b">
        <f>IFERROR(__xludf.DUMMYFUNCTION("""COMPUTED_VALUE"""),FALSE)</f>
        <v>0</v>
      </c>
      <c r="L298" s="35" t="str">
        <f>IFERROR(__xludf.DUMMYFUNCTION("""COMPUTED_VALUE"""),"String;Tree;Depth-First Search;Breadth-First Search;Design;Binary Tree;")</f>
        <v>String;Tree;Depth-First Search;Breadth-First Search;Design;Binary Tree;</v>
      </c>
      <c r="M298" s="35" t="b">
        <f>IFERROR(__xludf.DUMMYFUNCTION("""COMPUTED_VALUE"""),TRUE)</f>
        <v>1</v>
      </c>
      <c r="N298" s="35" t="b">
        <f>IFERROR(__xludf.DUMMYFUNCTION("""COMPUTED_VALUE"""),FALSE)</f>
        <v>0</v>
      </c>
      <c r="O298" s="35">
        <f>IFERROR(__xludf.DUMMYFUNCTION("""COMPUTED_VALUE"""),53.3074810983256)</f>
        <v>53.3074811</v>
      </c>
      <c r="P298" s="35">
        <f>IFERROR(__xludf.DUMMYFUNCTION("""COMPUTED_VALUE"""),576810.0)</f>
        <v>576810</v>
      </c>
      <c r="Q298" s="35">
        <f>IFERROR(__xludf.DUMMYFUNCTION("""COMPUTED_VALUE"""),1082045.0)</f>
        <v>1082045</v>
      </c>
    </row>
    <row r="299">
      <c r="A299" s="35">
        <f>IFERROR(__xludf.DUMMYFUNCTION("""COMPUTED_VALUE"""),298.0)</f>
        <v>298</v>
      </c>
      <c r="B299" s="35" t="str">
        <f>IFERROR(__xludf.DUMMYFUNCTION("""COMPUTED_VALUE"""),"Binary Tree Longest Consecutive Sequence")</f>
        <v>Binary Tree Longest Consecutive Sequence</v>
      </c>
      <c r="C299" s="35" t="str">
        <f>IFERROR(__xludf.DUMMYFUNCTION("""COMPUTED_VALUE"""),"binary-tree-longest-consecutive-sequence")</f>
        <v>binary-tree-longest-consecutive-sequence</v>
      </c>
      <c r="D299" s="35" t="b">
        <f>IFERROR(__xludf.DUMMYFUNCTION("""COMPUTED_VALUE"""),TRUE)</f>
        <v>1</v>
      </c>
      <c r="E299" s="35" t="str">
        <f>IFERROR(__xludf.DUMMYFUNCTION("""COMPUTED_VALUE"""),"Medium")</f>
        <v>Medium</v>
      </c>
      <c r="F299" s="35">
        <f>IFERROR(__xludf.DUMMYFUNCTION("""COMPUTED_VALUE"""),858.0)</f>
        <v>858</v>
      </c>
      <c r="G299" s="35">
        <f>IFERROR(__xludf.DUMMYFUNCTION("""COMPUTED_VALUE"""),209.0)</f>
        <v>209</v>
      </c>
      <c r="H299" s="35" t="str">
        <f>IFERROR(__xludf.DUMMYFUNCTION("""COMPUTED_VALUE"""),"Algorithms")</f>
        <v>Algorithms</v>
      </c>
      <c r="I299" s="35">
        <f>IFERROR(__xludf.DUMMYFUNCTION("""COMPUTED_VALUE"""),0.509)</f>
        <v>0.509</v>
      </c>
      <c r="J299" s="35">
        <f>IFERROR(__xludf.DUMMYFUNCTION("""COMPUTED_VALUE"""),298.0)</f>
        <v>298</v>
      </c>
      <c r="K299" s="35" t="b">
        <f>IFERROR(__xludf.DUMMYFUNCTION("""COMPUTED_VALUE"""),TRUE)</f>
        <v>1</v>
      </c>
      <c r="L299" s="35" t="str">
        <f>IFERROR(__xludf.DUMMYFUNCTION("""COMPUTED_VALUE"""),"Tree;Depth-First Search;Binary Tree;")</f>
        <v>Tree;Depth-First Search;Binary Tree;</v>
      </c>
      <c r="M299" s="35" t="b">
        <f>IFERROR(__xludf.DUMMYFUNCTION("""COMPUTED_VALUE"""),TRUE)</f>
        <v>1</v>
      </c>
      <c r="N299" s="35" t="b">
        <f>IFERROR(__xludf.DUMMYFUNCTION("""COMPUTED_VALUE"""),FALSE)</f>
        <v>0</v>
      </c>
      <c r="O299" s="35">
        <f>IFERROR(__xludf.DUMMYFUNCTION("""COMPUTED_VALUE"""),50.9008970082441)</f>
        <v>50.90089701</v>
      </c>
      <c r="P299" s="35">
        <f>IFERROR(__xludf.DUMMYFUNCTION("""COMPUTED_VALUE"""),117802.0)</f>
        <v>117802</v>
      </c>
      <c r="Q299" s="35">
        <f>IFERROR(__xludf.DUMMYFUNCTION("""COMPUTED_VALUE"""),231435.0)</f>
        <v>231435</v>
      </c>
    </row>
    <row r="300">
      <c r="A300" s="35">
        <f>IFERROR(__xludf.DUMMYFUNCTION("""COMPUTED_VALUE"""),299.0)</f>
        <v>299</v>
      </c>
      <c r="B300" s="35" t="str">
        <f>IFERROR(__xludf.DUMMYFUNCTION("""COMPUTED_VALUE"""),"Bulls and Cows")</f>
        <v>Bulls and Cows</v>
      </c>
      <c r="C300" s="35" t="str">
        <f>IFERROR(__xludf.DUMMYFUNCTION("""COMPUTED_VALUE"""),"bulls-and-cows")</f>
        <v>bulls-and-cows</v>
      </c>
      <c r="D300" s="35" t="b">
        <f>IFERROR(__xludf.DUMMYFUNCTION("""COMPUTED_VALUE"""),FALSE)</f>
        <v>0</v>
      </c>
      <c r="E300" s="35" t="str">
        <f>IFERROR(__xludf.DUMMYFUNCTION("""COMPUTED_VALUE"""),"Medium")</f>
        <v>Medium</v>
      </c>
      <c r="F300" s="35">
        <f>IFERROR(__xludf.DUMMYFUNCTION("""COMPUTED_VALUE"""),1316.0)</f>
        <v>1316</v>
      </c>
      <c r="G300" s="35">
        <f>IFERROR(__xludf.DUMMYFUNCTION("""COMPUTED_VALUE"""),1268.0)</f>
        <v>1268</v>
      </c>
      <c r="H300" s="35" t="str">
        <f>IFERROR(__xludf.DUMMYFUNCTION("""COMPUTED_VALUE"""),"Algorithms")</f>
        <v>Algorithms</v>
      </c>
      <c r="I300" s="35">
        <f>IFERROR(__xludf.DUMMYFUNCTION("""COMPUTED_VALUE"""),0.47)</f>
        <v>0.47</v>
      </c>
      <c r="J300" s="35">
        <f>IFERROR(__xludf.DUMMYFUNCTION("""COMPUTED_VALUE"""),299.0)</f>
        <v>299</v>
      </c>
      <c r="K300" s="35" t="b">
        <f>IFERROR(__xludf.DUMMYFUNCTION("""COMPUTED_VALUE"""),FALSE)</f>
        <v>0</v>
      </c>
      <c r="L300" s="35" t="str">
        <f>IFERROR(__xludf.DUMMYFUNCTION("""COMPUTED_VALUE"""),"Hash Table;String;Counting;")</f>
        <v>Hash Table;String;Counting;</v>
      </c>
      <c r="M300" s="35" t="b">
        <f>IFERROR(__xludf.DUMMYFUNCTION("""COMPUTED_VALUE"""),TRUE)</f>
        <v>1</v>
      </c>
      <c r="N300" s="35" t="b">
        <f>IFERROR(__xludf.DUMMYFUNCTION("""COMPUTED_VALUE"""),FALSE)</f>
        <v>0</v>
      </c>
      <c r="O300" s="35">
        <f>IFERROR(__xludf.DUMMYFUNCTION("""COMPUTED_VALUE"""),46.9542444887749)</f>
        <v>46.95424449</v>
      </c>
      <c r="P300" s="35">
        <f>IFERROR(__xludf.DUMMYFUNCTION("""COMPUTED_VALUE"""),259618.0)</f>
        <v>259618</v>
      </c>
      <c r="Q300" s="35">
        <f>IFERROR(__xludf.DUMMYFUNCTION("""COMPUTED_VALUE"""),552915.0)</f>
        <v>552915</v>
      </c>
    </row>
    <row r="301">
      <c r="A301" s="35">
        <f>IFERROR(__xludf.DUMMYFUNCTION("""COMPUTED_VALUE"""),300.0)</f>
        <v>300</v>
      </c>
      <c r="B301" s="35" t="str">
        <f>IFERROR(__xludf.DUMMYFUNCTION("""COMPUTED_VALUE"""),"Longest Increasing Subsequence")</f>
        <v>Longest Increasing Subsequence</v>
      </c>
      <c r="C301" s="35" t="str">
        <f>IFERROR(__xludf.DUMMYFUNCTION("""COMPUTED_VALUE"""),"longest-increasing-subsequence")</f>
        <v>longest-increasing-subsequence</v>
      </c>
      <c r="D301" s="35" t="b">
        <f>IFERROR(__xludf.DUMMYFUNCTION("""COMPUTED_VALUE"""),FALSE)</f>
        <v>0</v>
      </c>
      <c r="E301" s="35" t="str">
        <f>IFERROR(__xludf.DUMMYFUNCTION("""COMPUTED_VALUE"""),"Medium")</f>
        <v>Medium</v>
      </c>
      <c r="F301" s="35">
        <f>IFERROR(__xludf.DUMMYFUNCTION("""COMPUTED_VALUE"""),11027.0)</f>
        <v>11027</v>
      </c>
      <c r="G301" s="35">
        <f>IFERROR(__xludf.DUMMYFUNCTION("""COMPUTED_VALUE"""),217.0)</f>
        <v>217</v>
      </c>
      <c r="H301" s="35" t="str">
        <f>IFERROR(__xludf.DUMMYFUNCTION("""COMPUTED_VALUE"""),"Algorithms")</f>
        <v>Algorithms</v>
      </c>
      <c r="I301" s="35">
        <f>IFERROR(__xludf.DUMMYFUNCTION("""COMPUTED_VALUE"""),0.488)</f>
        <v>0.488</v>
      </c>
      <c r="J301" s="35">
        <f>IFERROR(__xludf.DUMMYFUNCTION("""COMPUTED_VALUE"""),300.0)</f>
        <v>300</v>
      </c>
      <c r="K301" s="35" t="b">
        <f>IFERROR(__xludf.DUMMYFUNCTION("""COMPUTED_VALUE"""),FALSE)</f>
        <v>0</v>
      </c>
      <c r="L301" s="35" t="str">
        <f>IFERROR(__xludf.DUMMYFUNCTION("""COMPUTED_VALUE"""),"Array;Binary Search;Dynamic Programming;")</f>
        <v>Array;Binary Search;Dynamic Programming;</v>
      </c>
      <c r="M301" s="35" t="b">
        <f>IFERROR(__xludf.DUMMYFUNCTION("""COMPUTED_VALUE"""),TRUE)</f>
        <v>1</v>
      </c>
      <c r="N301" s="35" t="b">
        <f>IFERROR(__xludf.DUMMYFUNCTION("""COMPUTED_VALUE"""),FALSE)</f>
        <v>0</v>
      </c>
      <c r="O301" s="35">
        <f>IFERROR(__xludf.DUMMYFUNCTION("""COMPUTED_VALUE"""),48.7754527483153)</f>
        <v>48.77545275</v>
      </c>
      <c r="P301" s="35">
        <f>IFERROR(__xludf.DUMMYFUNCTION("""COMPUTED_VALUE"""),796935.0)</f>
        <v>796935</v>
      </c>
      <c r="Q301" s="35">
        <f>IFERROR(__xludf.DUMMYFUNCTION("""COMPUTED_VALUE"""),1633889.0)</f>
        <v>1633889</v>
      </c>
    </row>
    <row r="302">
      <c r="A302" s="35">
        <f>IFERROR(__xludf.DUMMYFUNCTION("""COMPUTED_VALUE"""),301.0)</f>
        <v>301</v>
      </c>
      <c r="B302" s="35" t="str">
        <f>IFERROR(__xludf.DUMMYFUNCTION("""COMPUTED_VALUE"""),"Remove Invalid Parentheses")</f>
        <v>Remove Invalid Parentheses</v>
      </c>
      <c r="C302" s="35" t="str">
        <f>IFERROR(__xludf.DUMMYFUNCTION("""COMPUTED_VALUE"""),"remove-invalid-parentheses")</f>
        <v>remove-invalid-parentheses</v>
      </c>
      <c r="D302" s="35" t="b">
        <f>IFERROR(__xludf.DUMMYFUNCTION("""COMPUTED_VALUE"""),FALSE)</f>
        <v>0</v>
      </c>
      <c r="E302" s="35" t="str">
        <f>IFERROR(__xludf.DUMMYFUNCTION("""COMPUTED_VALUE"""),"Hard")</f>
        <v>Hard</v>
      </c>
      <c r="F302" s="35">
        <f>IFERROR(__xludf.DUMMYFUNCTION("""COMPUTED_VALUE"""),4448.0)</f>
        <v>4448</v>
      </c>
      <c r="G302" s="35">
        <f>IFERROR(__xludf.DUMMYFUNCTION("""COMPUTED_VALUE"""),225.0)</f>
        <v>225</v>
      </c>
      <c r="H302" s="35" t="str">
        <f>IFERROR(__xludf.DUMMYFUNCTION("""COMPUTED_VALUE"""),"Algorithms")</f>
        <v>Algorithms</v>
      </c>
      <c r="I302" s="35">
        <f>IFERROR(__xludf.DUMMYFUNCTION("""COMPUTED_VALUE"""),0.467)</f>
        <v>0.467</v>
      </c>
      <c r="J302" s="35">
        <f>IFERROR(__xludf.DUMMYFUNCTION("""COMPUTED_VALUE"""),301.0)</f>
        <v>301</v>
      </c>
      <c r="K302" s="35" t="b">
        <f>IFERROR(__xludf.DUMMYFUNCTION("""COMPUTED_VALUE"""),FALSE)</f>
        <v>0</v>
      </c>
      <c r="L302" s="35" t="str">
        <f>IFERROR(__xludf.DUMMYFUNCTION("""COMPUTED_VALUE"""),"String;Backtracking;Breadth-First Search;")</f>
        <v>String;Backtracking;Breadth-First Search;</v>
      </c>
      <c r="M302" s="35" t="b">
        <f>IFERROR(__xludf.DUMMYFUNCTION("""COMPUTED_VALUE"""),TRUE)</f>
        <v>1</v>
      </c>
      <c r="N302" s="35" t="b">
        <f>IFERROR(__xludf.DUMMYFUNCTION("""COMPUTED_VALUE"""),FALSE)</f>
        <v>0</v>
      </c>
      <c r="O302" s="35">
        <f>IFERROR(__xludf.DUMMYFUNCTION("""COMPUTED_VALUE"""),46.679320308124)</f>
        <v>46.67932031</v>
      </c>
      <c r="P302" s="35">
        <f>IFERROR(__xludf.DUMMYFUNCTION("""COMPUTED_VALUE"""),336677.0)</f>
        <v>336677</v>
      </c>
      <c r="Q302" s="35">
        <f>IFERROR(__xludf.DUMMYFUNCTION("""COMPUTED_VALUE"""),721261.0)</f>
        <v>721261</v>
      </c>
    </row>
    <row r="303">
      <c r="A303" s="35">
        <f>IFERROR(__xludf.DUMMYFUNCTION("""COMPUTED_VALUE"""),302.0)</f>
        <v>302</v>
      </c>
      <c r="B303" s="35" t="str">
        <f>IFERROR(__xludf.DUMMYFUNCTION("""COMPUTED_VALUE"""),"Smallest Rectangle Enclosing Black Pixels")</f>
        <v>Smallest Rectangle Enclosing Black Pixels</v>
      </c>
      <c r="C303" s="35" t="str">
        <f>IFERROR(__xludf.DUMMYFUNCTION("""COMPUTED_VALUE"""),"smallest-rectangle-enclosing-black-pixels")</f>
        <v>smallest-rectangle-enclosing-black-pixels</v>
      </c>
      <c r="D303" s="35" t="b">
        <f>IFERROR(__xludf.DUMMYFUNCTION("""COMPUTED_VALUE"""),TRUE)</f>
        <v>1</v>
      </c>
      <c r="E303" s="35" t="str">
        <f>IFERROR(__xludf.DUMMYFUNCTION("""COMPUTED_VALUE"""),"Hard")</f>
        <v>Hard</v>
      </c>
      <c r="F303" s="35">
        <f>IFERROR(__xludf.DUMMYFUNCTION("""COMPUTED_VALUE"""),393.0)</f>
        <v>393</v>
      </c>
      <c r="G303" s="35">
        <f>IFERROR(__xludf.DUMMYFUNCTION("""COMPUTED_VALUE"""),80.0)</f>
        <v>80</v>
      </c>
      <c r="H303" s="35" t="str">
        <f>IFERROR(__xludf.DUMMYFUNCTION("""COMPUTED_VALUE"""),"Algorithms")</f>
        <v>Algorithms</v>
      </c>
      <c r="I303" s="35">
        <f>IFERROR(__xludf.DUMMYFUNCTION("""COMPUTED_VALUE"""),0.561)</f>
        <v>0.561</v>
      </c>
      <c r="J303" s="35">
        <f>IFERROR(__xludf.DUMMYFUNCTION("""COMPUTED_VALUE"""),302.0)</f>
        <v>302</v>
      </c>
      <c r="K303" s="35" t="b">
        <f>IFERROR(__xludf.DUMMYFUNCTION("""COMPUTED_VALUE"""),TRUE)</f>
        <v>1</v>
      </c>
      <c r="L303" s="35" t="str">
        <f>IFERROR(__xludf.DUMMYFUNCTION("""COMPUTED_VALUE"""),"Array;Binary Search;Depth-First Search;Breadth-First Search;Matrix;")</f>
        <v>Array;Binary Search;Depth-First Search;Breadth-First Search;Matrix;</v>
      </c>
      <c r="M303" s="35" t="b">
        <f>IFERROR(__xludf.DUMMYFUNCTION("""COMPUTED_VALUE"""),TRUE)</f>
        <v>1</v>
      </c>
      <c r="N303" s="35" t="b">
        <f>IFERROR(__xludf.DUMMYFUNCTION("""COMPUTED_VALUE"""),FALSE)</f>
        <v>0</v>
      </c>
      <c r="O303" s="35">
        <f>IFERROR(__xludf.DUMMYFUNCTION("""COMPUTED_VALUE"""),56.1481908606025)</f>
        <v>56.14819086</v>
      </c>
      <c r="P303" s="35">
        <f>IFERROR(__xludf.DUMMYFUNCTION("""COMPUTED_VALUE"""),38950.0)</f>
        <v>38950</v>
      </c>
      <c r="Q303" s="35">
        <f>IFERROR(__xludf.DUMMYFUNCTION("""COMPUTED_VALUE"""),69370.0)</f>
        <v>69370</v>
      </c>
    </row>
    <row r="304">
      <c r="A304" s="35">
        <f>IFERROR(__xludf.DUMMYFUNCTION("""COMPUTED_VALUE"""),303.0)</f>
        <v>303</v>
      </c>
      <c r="B304" s="35" t="str">
        <f>IFERROR(__xludf.DUMMYFUNCTION("""COMPUTED_VALUE"""),"Range Sum Query - Immutable")</f>
        <v>Range Sum Query - Immutable</v>
      </c>
      <c r="C304" s="35" t="str">
        <f>IFERROR(__xludf.DUMMYFUNCTION("""COMPUTED_VALUE"""),"range-sum-query-immutable")</f>
        <v>range-sum-query-immutable</v>
      </c>
      <c r="D304" s="35" t="b">
        <f>IFERROR(__xludf.DUMMYFUNCTION("""COMPUTED_VALUE"""),FALSE)</f>
        <v>0</v>
      </c>
      <c r="E304" s="35" t="str">
        <f>IFERROR(__xludf.DUMMYFUNCTION("""COMPUTED_VALUE"""),"Easy")</f>
        <v>Easy</v>
      </c>
      <c r="F304" s="35">
        <f>IFERROR(__xludf.DUMMYFUNCTION("""COMPUTED_VALUE"""),1845.0)</f>
        <v>1845</v>
      </c>
      <c r="G304" s="35">
        <f>IFERROR(__xludf.DUMMYFUNCTION("""COMPUTED_VALUE"""),1611.0)</f>
        <v>1611</v>
      </c>
      <c r="H304" s="35" t="str">
        <f>IFERROR(__xludf.DUMMYFUNCTION("""COMPUTED_VALUE"""),"Algorithms")</f>
        <v>Algorithms</v>
      </c>
      <c r="I304" s="35">
        <f>IFERROR(__xludf.DUMMYFUNCTION("""COMPUTED_VALUE"""),0.546)</f>
        <v>0.546</v>
      </c>
      <c r="J304" s="35">
        <f>IFERROR(__xludf.DUMMYFUNCTION("""COMPUTED_VALUE"""),303.0)</f>
        <v>303</v>
      </c>
      <c r="K304" s="35" t="b">
        <f>IFERROR(__xludf.DUMMYFUNCTION("""COMPUTED_VALUE"""),FALSE)</f>
        <v>0</v>
      </c>
      <c r="L304" s="35" t="str">
        <f>IFERROR(__xludf.DUMMYFUNCTION("""COMPUTED_VALUE"""),"Array;Design;Prefix Sum;")</f>
        <v>Array;Design;Prefix Sum;</v>
      </c>
      <c r="M304" s="35" t="b">
        <f>IFERROR(__xludf.DUMMYFUNCTION("""COMPUTED_VALUE"""),TRUE)</f>
        <v>1</v>
      </c>
      <c r="N304" s="35" t="b">
        <f>IFERROR(__xludf.DUMMYFUNCTION("""COMPUTED_VALUE"""),FALSE)</f>
        <v>0</v>
      </c>
      <c r="O304" s="35">
        <f>IFERROR(__xludf.DUMMYFUNCTION("""COMPUTED_VALUE"""),54.6133685167685)</f>
        <v>54.61336852</v>
      </c>
      <c r="P304" s="35">
        <f>IFERROR(__xludf.DUMMYFUNCTION("""COMPUTED_VALUE"""),336935.0)</f>
        <v>336935</v>
      </c>
      <c r="Q304" s="35">
        <f>IFERROR(__xludf.DUMMYFUNCTION("""COMPUTED_VALUE"""),616949.0)</f>
        <v>616949</v>
      </c>
    </row>
    <row r="305">
      <c r="A305" s="35">
        <f>IFERROR(__xludf.DUMMYFUNCTION("""COMPUTED_VALUE"""),304.0)</f>
        <v>304</v>
      </c>
      <c r="B305" s="35" t="str">
        <f>IFERROR(__xludf.DUMMYFUNCTION("""COMPUTED_VALUE"""),"Range Sum Query 2D - Immutable")</f>
        <v>Range Sum Query 2D - Immutable</v>
      </c>
      <c r="C305" s="35" t="str">
        <f>IFERROR(__xludf.DUMMYFUNCTION("""COMPUTED_VALUE"""),"range-sum-query-2d-immutable")</f>
        <v>range-sum-query-2d-immutable</v>
      </c>
      <c r="D305" s="35" t="b">
        <f>IFERROR(__xludf.DUMMYFUNCTION("""COMPUTED_VALUE"""),FALSE)</f>
        <v>0</v>
      </c>
      <c r="E305" s="35" t="str">
        <f>IFERROR(__xludf.DUMMYFUNCTION("""COMPUTED_VALUE"""),"Medium")</f>
        <v>Medium</v>
      </c>
      <c r="F305" s="35">
        <f>IFERROR(__xludf.DUMMYFUNCTION("""COMPUTED_VALUE"""),2434.0)</f>
        <v>2434</v>
      </c>
      <c r="G305" s="35">
        <f>IFERROR(__xludf.DUMMYFUNCTION("""COMPUTED_VALUE"""),242.0)</f>
        <v>242</v>
      </c>
      <c r="H305" s="35" t="str">
        <f>IFERROR(__xludf.DUMMYFUNCTION("""COMPUTED_VALUE"""),"Algorithms")</f>
        <v>Algorithms</v>
      </c>
      <c r="I305" s="35">
        <f>IFERROR(__xludf.DUMMYFUNCTION("""COMPUTED_VALUE"""),0.471)</f>
        <v>0.471</v>
      </c>
      <c r="J305" s="35">
        <f>IFERROR(__xludf.DUMMYFUNCTION("""COMPUTED_VALUE"""),304.0)</f>
        <v>304</v>
      </c>
      <c r="K305" s="35" t="b">
        <f>IFERROR(__xludf.DUMMYFUNCTION("""COMPUTED_VALUE"""),FALSE)</f>
        <v>0</v>
      </c>
      <c r="L305" s="35" t="str">
        <f>IFERROR(__xludf.DUMMYFUNCTION("""COMPUTED_VALUE"""),"Array;Design;Matrix;Prefix Sum;")</f>
        <v>Array;Design;Matrix;Prefix Sum;</v>
      </c>
      <c r="M305" s="35" t="b">
        <f>IFERROR(__xludf.DUMMYFUNCTION("""COMPUTED_VALUE"""),TRUE)</f>
        <v>1</v>
      </c>
      <c r="N305" s="35" t="b">
        <f>IFERROR(__xludf.DUMMYFUNCTION("""COMPUTED_VALUE"""),FALSE)</f>
        <v>0</v>
      </c>
      <c r="O305" s="35">
        <f>IFERROR(__xludf.DUMMYFUNCTION("""COMPUTED_VALUE"""),47.0732952292488)</f>
        <v>47.07329523</v>
      </c>
      <c r="P305" s="35">
        <f>IFERROR(__xludf.DUMMYFUNCTION("""COMPUTED_VALUE"""),214874.0)</f>
        <v>214874</v>
      </c>
      <c r="Q305" s="35">
        <f>IFERROR(__xludf.DUMMYFUNCTION("""COMPUTED_VALUE"""),456468.0)</f>
        <v>456468</v>
      </c>
    </row>
    <row r="306">
      <c r="A306" s="35">
        <f>IFERROR(__xludf.DUMMYFUNCTION("""COMPUTED_VALUE"""),305.0)</f>
        <v>305</v>
      </c>
      <c r="B306" s="35" t="str">
        <f>IFERROR(__xludf.DUMMYFUNCTION("""COMPUTED_VALUE"""),"Number of Islands II")</f>
        <v>Number of Islands II</v>
      </c>
      <c r="C306" s="35" t="str">
        <f>IFERROR(__xludf.DUMMYFUNCTION("""COMPUTED_VALUE"""),"number-of-islands-ii")</f>
        <v>number-of-islands-ii</v>
      </c>
      <c r="D306" s="35" t="b">
        <f>IFERROR(__xludf.DUMMYFUNCTION("""COMPUTED_VALUE"""),TRUE)</f>
        <v>1</v>
      </c>
      <c r="E306" s="35" t="str">
        <f>IFERROR(__xludf.DUMMYFUNCTION("""COMPUTED_VALUE"""),"Hard")</f>
        <v>Hard</v>
      </c>
      <c r="F306" s="35">
        <f>IFERROR(__xludf.DUMMYFUNCTION("""COMPUTED_VALUE"""),1370.0)</f>
        <v>1370</v>
      </c>
      <c r="G306" s="35">
        <f>IFERROR(__xludf.DUMMYFUNCTION("""COMPUTED_VALUE"""),42.0)</f>
        <v>42</v>
      </c>
      <c r="H306" s="35" t="str">
        <f>IFERROR(__xludf.DUMMYFUNCTION("""COMPUTED_VALUE"""),"Algorithms")</f>
        <v>Algorithms</v>
      </c>
      <c r="I306" s="35">
        <f>IFERROR(__xludf.DUMMYFUNCTION("""COMPUTED_VALUE"""),0.393)</f>
        <v>0.393</v>
      </c>
      <c r="J306" s="35">
        <f>IFERROR(__xludf.DUMMYFUNCTION("""COMPUTED_VALUE"""),305.0)</f>
        <v>305</v>
      </c>
      <c r="K306" s="35" t="b">
        <f>IFERROR(__xludf.DUMMYFUNCTION("""COMPUTED_VALUE"""),TRUE)</f>
        <v>1</v>
      </c>
      <c r="L306" s="35" t="str">
        <f>IFERROR(__xludf.DUMMYFUNCTION("""COMPUTED_VALUE"""),"Array;Union Find;")</f>
        <v>Array;Union Find;</v>
      </c>
      <c r="M306" s="35" t="b">
        <f>IFERROR(__xludf.DUMMYFUNCTION("""COMPUTED_VALUE"""),TRUE)</f>
        <v>1</v>
      </c>
      <c r="N306" s="35" t="b">
        <f>IFERROR(__xludf.DUMMYFUNCTION("""COMPUTED_VALUE"""),FALSE)</f>
        <v>0</v>
      </c>
      <c r="O306" s="35">
        <f>IFERROR(__xludf.DUMMYFUNCTION("""COMPUTED_VALUE"""),39.3274638661675)</f>
        <v>39.32746387</v>
      </c>
      <c r="P306" s="35">
        <f>IFERROR(__xludf.DUMMYFUNCTION("""COMPUTED_VALUE"""),109573.0)</f>
        <v>109573</v>
      </c>
      <c r="Q306" s="35">
        <f>IFERROR(__xludf.DUMMYFUNCTION("""COMPUTED_VALUE"""),278616.0)</f>
        <v>278616</v>
      </c>
    </row>
    <row r="307">
      <c r="A307" s="35">
        <f>IFERROR(__xludf.DUMMYFUNCTION("""COMPUTED_VALUE"""),306.0)</f>
        <v>306</v>
      </c>
      <c r="B307" s="35" t="str">
        <f>IFERROR(__xludf.DUMMYFUNCTION("""COMPUTED_VALUE"""),"Additive Number")</f>
        <v>Additive Number</v>
      </c>
      <c r="C307" s="35" t="str">
        <f>IFERROR(__xludf.DUMMYFUNCTION("""COMPUTED_VALUE"""),"additive-number")</f>
        <v>additive-number</v>
      </c>
      <c r="D307" s="35" t="b">
        <f>IFERROR(__xludf.DUMMYFUNCTION("""COMPUTED_VALUE"""),FALSE)</f>
        <v>0</v>
      </c>
      <c r="E307" s="35" t="str">
        <f>IFERROR(__xludf.DUMMYFUNCTION("""COMPUTED_VALUE"""),"Medium")</f>
        <v>Medium</v>
      </c>
      <c r="F307" s="35">
        <f>IFERROR(__xludf.DUMMYFUNCTION("""COMPUTED_VALUE"""),699.0)</f>
        <v>699</v>
      </c>
      <c r="G307" s="35">
        <f>IFERROR(__xludf.DUMMYFUNCTION("""COMPUTED_VALUE"""),615.0)</f>
        <v>615</v>
      </c>
      <c r="H307" s="35" t="str">
        <f>IFERROR(__xludf.DUMMYFUNCTION("""COMPUTED_VALUE"""),"Algorithms")</f>
        <v>Algorithms</v>
      </c>
      <c r="I307" s="35">
        <f>IFERROR(__xludf.DUMMYFUNCTION("""COMPUTED_VALUE"""),0.305)</f>
        <v>0.305</v>
      </c>
      <c r="J307" s="35">
        <f>IFERROR(__xludf.DUMMYFUNCTION("""COMPUTED_VALUE"""),306.0)</f>
        <v>306</v>
      </c>
      <c r="K307" s="35" t="b">
        <f>IFERROR(__xludf.DUMMYFUNCTION("""COMPUTED_VALUE"""),FALSE)</f>
        <v>0</v>
      </c>
      <c r="L307" s="35" t="str">
        <f>IFERROR(__xludf.DUMMYFUNCTION("""COMPUTED_VALUE"""),"String;Backtracking;")</f>
        <v>String;Backtracking;</v>
      </c>
      <c r="M307" s="35" t="b">
        <f>IFERROR(__xludf.DUMMYFUNCTION("""COMPUTED_VALUE"""),FALSE)</f>
        <v>0</v>
      </c>
      <c r="N307" s="35" t="b">
        <f>IFERROR(__xludf.DUMMYFUNCTION("""COMPUTED_VALUE"""),FALSE)</f>
        <v>0</v>
      </c>
      <c r="O307" s="35">
        <f>IFERROR(__xludf.DUMMYFUNCTION("""COMPUTED_VALUE"""),30.5170602024411)</f>
        <v>30.5170602</v>
      </c>
      <c r="P307" s="35">
        <f>IFERROR(__xludf.DUMMYFUNCTION("""COMPUTED_VALUE"""),67956.0)</f>
        <v>67956</v>
      </c>
      <c r="Q307" s="35">
        <f>IFERROR(__xludf.DUMMYFUNCTION("""COMPUTED_VALUE"""),222682.0)</f>
        <v>222682</v>
      </c>
    </row>
    <row r="308">
      <c r="A308" s="35">
        <f>IFERROR(__xludf.DUMMYFUNCTION("""COMPUTED_VALUE"""),307.0)</f>
        <v>307</v>
      </c>
      <c r="B308" s="35" t="str">
        <f>IFERROR(__xludf.DUMMYFUNCTION("""COMPUTED_VALUE"""),"Range Sum Query - Mutable")</f>
        <v>Range Sum Query - Mutable</v>
      </c>
      <c r="C308" s="35" t="str">
        <f>IFERROR(__xludf.DUMMYFUNCTION("""COMPUTED_VALUE"""),"range-sum-query-mutable")</f>
        <v>range-sum-query-mutable</v>
      </c>
      <c r="D308" s="35" t="b">
        <f>IFERROR(__xludf.DUMMYFUNCTION("""COMPUTED_VALUE"""),FALSE)</f>
        <v>0</v>
      </c>
      <c r="E308" s="35" t="str">
        <f>IFERROR(__xludf.DUMMYFUNCTION("""COMPUTED_VALUE"""),"Medium")</f>
        <v>Medium</v>
      </c>
      <c r="F308" s="35">
        <f>IFERROR(__xludf.DUMMYFUNCTION("""COMPUTED_VALUE"""),2623.0)</f>
        <v>2623</v>
      </c>
      <c r="G308" s="35">
        <f>IFERROR(__xludf.DUMMYFUNCTION("""COMPUTED_VALUE"""),142.0)</f>
        <v>142</v>
      </c>
      <c r="H308" s="35" t="str">
        <f>IFERROR(__xludf.DUMMYFUNCTION("""COMPUTED_VALUE"""),"Algorithms")</f>
        <v>Algorithms</v>
      </c>
      <c r="I308" s="35">
        <f>IFERROR(__xludf.DUMMYFUNCTION("""COMPUTED_VALUE"""),0.385)</f>
        <v>0.385</v>
      </c>
      <c r="J308" s="35">
        <f>IFERROR(__xludf.DUMMYFUNCTION("""COMPUTED_VALUE"""),307.0)</f>
        <v>307</v>
      </c>
      <c r="K308" s="35" t="b">
        <f>IFERROR(__xludf.DUMMYFUNCTION("""COMPUTED_VALUE"""),FALSE)</f>
        <v>0</v>
      </c>
      <c r="L308" s="35" t="str">
        <f>IFERROR(__xludf.DUMMYFUNCTION("""COMPUTED_VALUE"""),"Array;Design;Binary Indexed Tree;Segment Tree;")</f>
        <v>Array;Design;Binary Indexed Tree;Segment Tree;</v>
      </c>
      <c r="M308" s="35" t="b">
        <f>IFERROR(__xludf.DUMMYFUNCTION("""COMPUTED_VALUE"""),TRUE)</f>
        <v>1</v>
      </c>
      <c r="N308" s="35" t="b">
        <f>IFERROR(__xludf.DUMMYFUNCTION("""COMPUTED_VALUE"""),FALSE)</f>
        <v>0</v>
      </c>
      <c r="O308" s="35">
        <f>IFERROR(__xludf.DUMMYFUNCTION("""COMPUTED_VALUE"""),38.5346015058274)</f>
        <v>38.53460151</v>
      </c>
      <c r="P308" s="35">
        <f>IFERROR(__xludf.DUMMYFUNCTION("""COMPUTED_VALUE"""),176521.0)</f>
        <v>176521</v>
      </c>
      <c r="Q308" s="35">
        <f>IFERROR(__xludf.DUMMYFUNCTION("""COMPUTED_VALUE"""),458083.0)</f>
        <v>458083</v>
      </c>
    </row>
    <row r="309">
      <c r="A309" s="35">
        <f>IFERROR(__xludf.DUMMYFUNCTION("""COMPUTED_VALUE"""),308.0)</f>
        <v>308</v>
      </c>
      <c r="B309" s="35" t="str">
        <f>IFERROR(__xludf.DUMMYFUNCTION("""COMPUTED_VALUE"""),"Range Sum Query 2D - Mutable")</f>
        <v>Range Sum Query 2D - Mutable</v>
      </c>
      <c r="C309" s="35" t="str">
        <f>IFERROR(__xludf.DUMMYFUNCTION("""COMPUTED_VALUE"""),"range-sum-query-2d-mutable")</f>
        <v>range-sum-query-2d-mutable</v>
      </c>
      <c r="D309" s="35" t="b">
        <f>IFERROR(__xludf.DUMMYFUNCTION("""COMPUTED_VALUE"""),TRUE)</f>
        <v>1</v>
      </c>
      <c r="E309" s="35" t="str">
        <f>IFERROR(__xludf.DUMMYFUNCTION("""COMPUTED_VALUE"""),"Hard")</f>
        <v>Hard</v>
      </c>
      <c r="F309" s="35">
        <f>IFERROR(__xludf.DUMMYFUNCTION("""COMPUTED_VALUE"""),637.0)</f>
        <v>637</v>
      </c>
      <c r="G309" s="35">
        <f>IFERROR(__xludf.DUMMYFUNCTION("""COMPUTED_VALUE"""),73.0)</f>
        <v>73</v>
      </c>
      <c r="H309" s="35" t="str">
        <f>IFERROR(__xludf.DUMMYFUNCTION("""COMPUTED_VALUE"""),"Algorithms")</f>
        <v>Algorithms</v>
      </c>
      <c r="I309" s="35">
        <f>IFERROR(__xludf.DUMMYFUNCTION("""COMPUTED_VALUE"""),0.407)</f>
        <v>0.407</v>
      </c>
      <c r="J309" s="35">
        <f>IFERROR(__xludf.DUMMYFUNCTION("""COMPUTED_VALUE"""),308.0)</f>
        <v>308</v>
      </c>
      <c r="K309" s="35" t="b">
        <f>IFERROR(__xludf.DUMMYFUNCTION("""COMPUTED_VALUE"""),TRUE)</f>
        <v>1</v>
      </c>
      <c r="L309" s="35" t="str">
        <f>IFERROR(__xludf.DUMMYFUNCTION("""COMPUTED_VALUE"""),"Array;Design;Binary Indexed Tree;Segment Tree;Matrix;")</f>
        <v>Array;Design;Binary Indexed Tree;Segment Tree;Matrix;</v>
      </c>
      <c r="M309" s="35" t="b">
        <f>IFERROR(__xludf.DUMMYFUNCTION("""COMPUTED_VALUE"""),TRUE)</f>
        <v>1</v>
      </c>
      <c r="N309" s="35" t="b">
        <f>IFERROR(__xludf.DUMMYFUNCTION("""COMPUTED_VALUE"""),FALSE)</f>
        <v>0</v>
      </c>
      <c r="O309" s="35">
        <f>IFERROR(__xludf.DUMMYFUNCTION("""COMPUTED_VALUE"""),40.7315679176986)</f>
        <v>40.73156792</v>
      </c>
      <c r="P309" s="35">
        <f>IFERROR(__xludf.DUMMYFUNCTION("""COMPUTED_VALUE"""),64140.0)</f>
        <v>64140</v>
      </c>
      <c r="Q309" s="35">
        <f>IFERROR(__xludf.DUMMYFUNCTION("""COMPUTED_VALUE"""),157470.0)</f>
        <v>157470</v>
      </c>
    </row>
    <row r="310">
      <c r="A310" s="35">
        <f>IFERROR(__xludf.DUMMYFUNCTION("""COMPUTED_VALUE"""),309.0)</f>
        <v>309</v>
      </c>
      <c r="B310" s="35" t="str">
        <f>IFERROR(__xludf.DUMMYFUNCTION("""COMPUTED_VALUE"""),"Best Time to Buy and Sell Stock with Cooldown")</f>
        <v>Best Time to Buy and Sell Stock with Cooldown</v>
      </c>
      <c r="C310" s="35" t="str">
        <f>IFERROR(__xludf.DUMMYFUNCTION("""COMPUTED_VALUE"""),"best-time-to-buy-and-sell-stock-with-cooldown")</f>
        <v>best-time-to-buy-and-sell-stock-with-cooldown</v>
      </c>
      <c r="D310" s="35" t="b">
        <f>IFERROR(__xludf.DUMMYFUNCTION("""COMPUTED_VALUE"""),FALSE)</f>
        <v>0</v>
      </c>
      <c r="E310" s="35" t="str">
        <f>IFERROR(__xludf.DUMMYFUNCTION("""COMPUTED_VALUE"""),"Medium")</f>
        <v>Medium</v>
      </c>
      <c r="F310" s="35">
        <f>IFERROR(__xludf.DUMMYFUNCTION("""COMPUTED_VALUE"""),5399.0)</f>
        <v>5399</v>
      </c>
      <c r="G310" s="35">
        <f>IFERROR(__xludf.DUMMYFUNCTION("""COMPUTED_VALUE"""),185.0)</f>
        <v>185</v>
      </c>
      <c r="H310" s="35" t="str">
        <f>IFERROR(__xludf.DUMMYFUNCTION("""COMPUTED_VALUE"""),"Algorithms")</f>
        <v>Algorithms</v>
      </c>
      <c r="I310" s="35">
        <f>IFERROR(__xludf.DUMMYFUNCTION("""COMPUTED_VALUE"""),0.52)</f>
        <v>0.52</v>
      </c>
      <c r="J310" s="35">
        <f>IFERROR(__xludf.DUMMYFUNCTION("""COMPUTED_VALUE"""),309.0)</f>
        <v>309</v>
      </c>
      <c r="K310" s="35" t="b">
        <f>IFERROR(__xludf.DUMMYFUNCTION("""COMPUTED_VALUE"""),FALSE)</f>
        <v>0</v>
      </c>
      <c r="L310" s="35" t="str">
        <f>IFERROR(__xludf.DUMMYFUNCTION("""COMPUTED_VALUE"""),"Array;Dynamic Programming;")</f>
        <v>Array;Dynamic Programming;</v>
      </c>
      <c r="M310" s="35" t="b">
        <f>IFERROR(__xludf.DUMMYFUNCTION("""COMPUTED_VALUE"""),TRUE)</f>
        <v>1</v>
      </c>
      <c r="N310" s="35" t="b">
        <f>IFERROR(__xludf.DUMMYFUNCTION("""COMPUTED_VALUE"""),FALSE)</f>
        <v>0</v>
      </c>
      <c r="O310" s="35">
        <f>IFERROR(__xludf.DUMMYFUNCTION("""COMPUTED_VALUE"""),51.9948522484952)</f>
        <v>51.99485225</v>
      </c>
      <c r="P310" s="35">
        <f>IFERROR(__xludf.DUMMYFUNCTION("""COMPUTED_VALUE"""),263825.0)</f>
        <v>263825</v>
      </c>
      <c r="Q310" s="35">
        <f>IFERROR(__xludf.DUMMYFUNCTION("""COMPUTED_VALUE"""),507406.0)</f>
        <v>507406</v>
      </c>
    </row>
    <row r="311">
      <c r="A311" s="35">
        <f>IFERROR(__xludf.DUMMYFUNCTION("""COMPUTED_VALUE"""),310.0)</f>
        <v>310</v>
      </c>
      <c r="B311" s="35" t="str">
        <f>IFERROR(__xludf.DUMMYFUNCTION("""COMPUTED_VALUE"""),"Minimum Height Trees")</f>
        <v>Minimum Height Trees</v>
      </c>
      <c r="C311" s="35" t="str">
        <f>IFERROR(__xludf.DUMMYFUNCTION("""COMPUTED_VALUE"""),"minimum-height-trees")</f>
        <v>minimum-height-trees</v>
      </c>
      <c r="D311" s="35" t="b">
        <f>IFERROR(__xludf.DUMMYFUNCTION("""COMPUTED_VALUE"""),FALSE)</f>
        <v>0</v>
      </c>
      <c r="E311" s="35" t="str">
        <f>IFERROR(__xludf.DUMMYFUNCTION("""COMPUTED_VALUE"""),"Medium")</f>
        <v>Medium</v>
      </c>
      <c r="F311" s="35">
        <f>IFERROR(__xludf.DUMMYFUNCTION("""COMPUTED_VALUE"""),4942.0)</f>
        <v>4942</v>
      </c>
      <c r="G311" s="35">
        <f>IFERROR(__xludf.DUMMYFUNCTION("""COMPUTED_VALUE"""),205.0)</f>
        <v>205</v>
      </c>
      <c r="H311" s="35" t="str">
        <f>IFERROR(__xludf.DUMMYFUNCTION("""COMPUTED_VALUE"""),"Algorithms")</f>
        <v>Algorithms</v>
      </c>
      <c r="I311" s="35">
        <f>IFERROR(__xludf.DUMMYFUNCTION("""COMPUTED_VALUE"""),0.38)</f>
        <v>0.38</v>
      </c>
      <c r="J311" s="35">
        <f>IFERROR(__xludf.DUMMYFUNCTION("""COMPUTED_VALUE"""),310.0)</f>
        <v>310</v>
      </c>
      <c r="K311" s="35" t="b">
        <f>IFERROR(__xludf.DUMMYFUNCTION("""COMPUTED_VALUE"""),FALSE)</f>
        <v>0</v>
      </c>
      <c r="L311" s="35" t="str">
        <f>IFERROR(__xludf.DUMMYFUNCTION("""COMPUTED_VALUE"""),"Depth-First Search;Breadth-First Search;Graph;Topological Sort;")</f>
        <v>Depth-First Search;Breadth-First Search;Graph;Topological Sort;</v>
      </c>
      <c r="M311" s="35" t="b">
        <f>IFERROR(__xludf.DUMMYFUNCTION("""COMPUTED_VALUE"""),TRUE)</f>
        <v>1</v>
      </c>
      <c r="N311" s="35" t="b">
        <f>IFERROR(__xludf.DUMMYFUNCTION("""COMPUTED_VALUE"""),FALSE)</f>
        <v>0</v>
      </c>
      <c r="O311" s="35">
        <f>IFERROR(__xludf.DUMMYFUNCTION("""COMPUTED_VALUE"""),38.0153802082702)</f>
        <v>38.01538021</v>
      </c>
      <c r="P311" s="35">
        <f>IFERROR(__xludf.DUMMYFUNCTION("""COMPUTED_VALUE"""),188440.0)</f>
        <v>188440</v>
      </c>
      <c r="Q311" s="35">
        <f>IFERROR(__xludf.DUMMYFUNCTION("""COMPUTED_VALUE"""),495698.0)</f>
        <v>495698</v>
      </c>
    </row>
    <row r="312">
      <c r="A312" s="35">
        <f>IFERROR(__xludf.DUMMYFUNCTION("""COMPUTED_VALUE"""),311.0)</f>
        <v>311</v>
      </c>
      <c r="B312" s="35" t="str">
        <f>IFERROR(__xludf.DUMMYFUNCTION("""COMPUTED_VALUE"""),"Sparse Matrix Multiplication")</f>
        <v>Sparse Matrix Multiplication</v>
      </c>
      <c r="C312" s="35" t="str">
        <f>IFERROR(__xludf.DUMMYFUNCTION("""COMPUTED_VALUE"""),"sparse-matrix-multiplication")</f>
        <v>sparse-matrix-multiplication</v>
      </c>
      <c r="D312" s="35" t="b">
        <f>IFERROR(__xludf.DUMMYFUNCTION("""COMPUTED_VALUE"""),TRUE)</f>
        <v>1</v>
      </c>
      <c r="E312" s="35" t="str">
        <f>IFERROR(__xludf.DUMMYFUNCTION("""COMPUTED_VALUE"""),"Medium")</f>
        <v>Medium</v>
      </c>
      <c r="F312" s="35">
        <f>IFERROR(__xludf.DUMMYFUNCTION("""COMPUTED_VALUE"""),780.0)</f>
        <v>780</v>
      </c>
      <c r="G312" s="35">
        <f>IFERROR(__xludf.DUMMYFUNCTION("""COMPUTED_VALUE"""),278.0)</f>
        <v>278</v>
      </c>
      <c r="H312" s="35" t="str">
        <f>IFERROR(__xludf.DUMMYFUNCTION("""COMPUTED_VALUE"""),"Algorithms")</f>
        <v>Algorithms</v>
      </c>
      <c r="I312" s="35">
        <f>IFERROR(__xludf.DUMMYFUNCTION("""COMPUTED_VALUE"""),0.657)</f>
        <v>0.657</v>
      </c>
      <c r="J312" s="35">
        <f>IFERROR(__xludf.DUMMYFUNCTION("""COMPUTED_VALUE"""),311.0)</f>
        <v>311</v>
      </c>
      <c r="K312" s="35" t="b">
        <f>IFERROR(__xludf.DUMMYFUNCTION("""COMPUTED_VALUE"""),TRUE)</f>
        <v>1</v>
      </c>
      <c r="L312" s="35" t="str">
        <f>IFERROR(__xludf.DUMMYFUNCTION("""COMPUTED_VALUE"""),"Array;Hash Table;Matrix;")</f>
        <v>Array;Hash Table;Matrix;</v>
      </c>
      <c r="M312" s="35" t="b">
        <f>IFERROR(__xludf.DUMMYFUNCTION("""COMPUTED_VALUE"""),TRUE)</f>
        <v>1</v>
      </c>
      <c r="N312" s="35" t="b">
        <f>IFERROR(__xludf.DUMMYFUNCTION("""COMPUTED_VALUE"""),FALSE)</f>
        <v>0</v>
      </c>
      <c r="O312" s="35">
        <f>IFERROR(__xludf.DUMMYFUNCTION("""COMPUTED_VALUE"""),65.7310505079616)</f>
        <v>65.73105051</v>
      </c>
      <c r="P312" s="35">
        <f>IFERROR(__xludf.DUMMYFUNCTION("""COMPUTED_VALUE"""),145965.0)</f>
        <v>145965</v>
      </c>
      <c r="Q312" s="35">
        <f>IFERROR(__xludf.DUMMYFUNCTION("""COMPUTED_VALUE"""),222064.0)</f>
        <v>222064</v>
      </c>
    </row>
    <row r="313">
      <c r="A313" s="35">
        <f>IFERROR(__xludf.DUMMYFUNCTION("""COMPUTED_VALUE"""),312.0)</f>
        <v>312</v>
      </c>
      <c r="B313" s="35" t="str">
        <f>IFERROR(__xludf.DUMMYFUNCTION("""COMPUTED_VALUE"""),"Burst Balloons")</f>
        <v>Burst Balloons</v>
      </c>
      <c r="C313" s="35" t="str">
        <f>IFERROR(__xludf.DUMMYFUNCTION("""COMPUTED_VALUE"""),"burst-balloons")</f>
        <v>burst-balloons</v>
      </c>
      <c r="D313" s="35" t="b">
        <f>IFERROR(__xludf.DUMMYFUNCTION("""COMPUTED_VALUE"""),FALSE)</f>
        <v>0</v>
      </c>
      <c r="E313" s="35" t="str">
        <f>IFERROR(__xludf.DUMMYFUNCTION("""COMPUTED_VALUE"""),"Hard")</f>
        <v>Hard</v>
      </c>
      <c r="F313" s="35">
        <f>IFERROR(__xludf.DUMMYFUNCTION("""COMPUTED_VALUE"""),5666.0)</f>
        <v>5666</v>
      </c>
      <c r="G313" s="35">
        <f>IFERROR(__xludf.DUMMYFUNCTION("""COMPUTED_VALUE"""),154.0)</f>
        <v>154</v>
      </c>
      <c r="H313" s="35" t="str">
        <f>IFERROR(__xludf.DUMMYFUNCTION("""COMPUTED_VALUE"""),"Algorithms")</f>
        <v>Algorithms</v>
      </c>
      <c r="I313" s="35">
        <f>IFERROR(__xludf.DUMMYFUNCTION("""COMPUTED_VALUE"""),0.562)</f>
        <v>0.562</v>
      </c>
      <c r="J313" s="35">
        <f>IFERROR(__xludf.DUMMYFUNCTION("""COMPUTED_VALUE"""),312.0)</f>
        <v>312</v>
      </c>
      <c r="K313" s="35" t="b">
        <f>IFERROR(__xludf.DUMMYFUNCTION("""COMPUTED_VALUE"""),FALSE)</f>
        <v>0</v>
      </c>
      <c r="L313" s="35" t="str">
        <f>IFERROR(__xludf.DUMMYFUNCTION("""COMPUTED_VALUE"""),"Array;Dynamic Programming;")</f>
        <v>Array;Dynamic Programming;</v>
      </c>
      <c r="M313" s="35" t="b">
        <f>IFERROR(__xludf.DUMMYFUNCTION("""COMPUTED_VALUE"""),TRUE)</f>
        <v>1</v>
      </c>
      <c r="N313" s="35" t="b">
        <f>IFERROR(__xludf.DUMMYFUNCTION("""COMPUTED_VALUE"""),FALSE)</f>
        <v>0</v>
      </c>
      <c r="O313" s="35">
        <f>IFERROR(__xludf.DUMMYFUNCTION("""COMPUTED_VALUE"""),56.1659150695227)</f>
        <v>56.16591507</v>
      </c>
      <c r="P313" s="35">
        <f>IFERROR(__xludf.DUMMYFUNCTION("""COMPUTED_VALUE"""),179349.0)</f>
        <v>179349</v>
      </c>
      <c r="Q313" s="35">
        <f>IFERROR(__xludf.DUMMYFUNCTION("""COMPUTED_VALUE"""),319320.0)</f>
        <v>319320</v>
      </c>
    </row>
    <row r="314">
      <c r="A314" s="35">
        <f>IFERROR(__xludf.DUMMYFUNCTION("""COMPUTED_VALUE"""),313.0)</f>
        <v>313</v>
      </c>
      <c r="B314" s="35" t="str">
        <f>IFERROR(__xludf.DUMMYFUNCTION("""COMPUTED_VALUE"""),"Super Ugly Number")</f>
        <v>Super Ugly Number</v>
      </c>
      <c r="C314" s="35" t="str">
        <f>IFERROR(__xludf.DUMMYFUNCTION("""COMPUTED_VALUE"""),"super-ugly-number")</f>
        <v>super-ugly-number</v>
      </c>
      <c r="D314" s="35" t="b">
        <f>IFERROR(__xludf.DUMMYFUNCTION("""COMPUTED_VALUE"""),FALSE)</f>
        <v>0</v>
      </c>
      <c r="E314" s="35" t="str">
        <f>IFERROR(__xludf.DUMMYFUNCTION("""COMPUTED_VALUE"""),"Medium")</f>
        <v>Medium</v>
      </c>
      <c r="F314" s="35">
        <f>IFERROR(__xludf.DUMMYFUNCTION("""COMPUTED_VALUE"""),1403.0)</f>
        <v>1403</v>
      </c>
      <c r="G314" s="35">
        <f>IFERROR(__xludf.DUMMYFUNCTION("""COMPUTED_VALUE"""),261.0)</f>
        <v>261</v>
      </c>
      <c r="H314" s="35" t="str">
        <f>IFERROR(__xludf.DUMMYFUNCTION("""COMPUTED_VALUE"""),"Algorithms")</f>
        <v>Algorithms</v>
      </c>
      <c r="I314" s="35">
        <f>IFERROR(__xludf.DUMMYFUNCTION("""COMPUTED_VALUE"""),0.46)</f>
        <v>0.46</v>
      </c>
      <c r="J314" s="35">
        <f>IFERROR(__xludf.DUMMYFUNCTION("""COMPUTED_VALUE"""),313.0)</f>
        <v>313</v>
      </c>
      <c r="K314" s="35" t="b">
        <f>IFERROR(__xludf.DUMMYFUNCTION("""COMPUTED_VALUE"""),FALSE)</f>
        <v>0</v>
      </c>
      <c r="L314" s="35" t="str">
        <f>IFERROR(__xludf.DUMMYFUNCTION("""COMPUTED_VALUE"""),"Array;Hash Table;Math;Dynamic Programming;Heap (Priority Queue);")</f>
        <v>Array;Hash Table;Math;Dynamic Programming;Heap (Priority Queue);</v>
      </c>
      <c r="M314" s="35" t="b">
        <f>IFERROR(__xludf.DUMMYFUNCTION("""COMPUTED_VALUE"""),FALSE)</f>
        <v>0</v>
      </c>
      <c r="N314" s="35" t="b">
        <f>IFERROR(__xludf.DUMMYFUNCTION("""COMPUTED_VALUE"""),FALSE)</f>
        <v>0</v>
      </c>
      <c r="O314" s="35">
        <f>IFERROR(__xludf.DUMMYFUNCTION("""COMPUTED_VALUE"""),45.9759494408985)</f>
        <v>45.97594944</v>
      </c>
      <c r="P314" s="35">
        <f>IFERROR(__xludf.DUMMYFUNCTION("""COMPUTED_VALUE"""),102502.0)</f>
        <v>102502</v>
      </c>
      <c r="Q314" s="35">
        <f>IFERROR(__xludf.DUMMYFUNCTION("""COMPUTED_VALUE"""),222947.0)</f>
        <v>222947</v>
      </c>
    </row>
    <row r="315">
      <c r="A315" s="35">
        <f>IFERROR(__xludf.DUMMYFUNCTION("""COMPUTED_VALUE"""),314.0)</f>
        <v>314</v>
      </c>
      <c r="B315" s="35" t="str">
        <f>IFERROR(__xludf.DUMMYFUNCTION("""COMPUTED_VALUE"""),"Binary Tree Vertical Order Traversal")</f>
        <v>Binary Tree Vertical Order Traversal</v>
      </c>
      <c r="C315" s="35" t="str">
        <f>IFERROR(__xludf.DUMMYFUNCTION("""COMPUTED_VALUE"""),"binary-tree-vertical-order-traversal")</f>
        <v>binary-tree-vertical-order-traversal</v>
      </c>
      <c r="D315" s="35" t="b">
        <f>IFERROR(__xludf.DUMMYFUNCTION("""COMPUTED_VALUE"""),TRUE)</f>
        <v>1</v>
      </c>
      <c r="E315" s="35" t="str">
        <f>IFERROR(__xludf.DUMMYFUNCTION("""COMPUTED_VALUE"""),"Medium")</f>
        <v>Medium</v>
      </c>
      <c r="F315" s="35">
        <f>IFERROR(__xludf.DUMMYFUNCTION("""COMPUTED_VALUE"""),2228.0)</f>
        <v>2228</v>
      </c>
      <c r="G315" s="35">
        <f>IFERROR(__xludf.DUMMYFUNCTION("""COMPUTED_VALUE"""),250.0)</f>
        <v>250</v>
      </c>
      <c r="H315" s="35" t="str">
        <f>IFERROR(__xludf.DUMMYFUNCTION("""COMPUTED_VALUE"""),"Algorithms")</f>
        <v>Algorithms</v>
      </c>
      <c r="I315" s="35">
        <f>IFERROR(__xludf.DUMMYFUNCTION("""COMPUTED_VALUE"""),0.508)</f>
        <v>0.508</v>
      </c>
      <c r="J315" s="35">
        <f>IFERROR(__xludf.DUMMYFUNCTION("""COMPUTED_VALUE"""),314.0)</f>
        <v>314</v>
      </c>
      <c r="K315" s="35" t="b">
        <f>IFERROR(__xludf.DUMMYFUNCTION("""COMPUTED_VALUE"""),TRUE)</f>
        <v>1</v>
      </c>
      <c r="L315" s="35" t="str">
        <f>IFERROR(__xludf.DUMMYFUNCTION("""COMPUTED_VALUE"""),"Hash Table;Tree;Depth-First Search;Breadth-First Search;Binary Tree;")</f>
        <v>Hash Table;Tree;Depth-First Search;Breadth-First Search;Binary Tree;</v>
      </c>
      <c r="M315" s="35" t="b">
        <f>IFERROR(__xludf.DUMMYFUNCTION("""COMPUTED_VALUE"""),TRUE)</f>
        <v>1</v>
      </c>
      <c r="N315" s="35" t="b">
        <f>IFERROR(__xludf.DUMMYFUNCTION("""COMPUTED_VALUE"""),FALSE)</f>
        <v>0</v>
      </c>
      <c r="O315" s="35">
        <f>IFERROR(__xludf.DUMMYFUNCTION("""COMPUTED_VALUE"""),50.7806400449183)</f>
        <v>50.78064004</v>
      </c>
      <c r="P315" s="35">
        <f>IFERROR(__xludf.DUMMYFUNCTION("""COMPUTED_VALUE"""),247805.0)</f>
        <v>247805</v>
      </c>
      <c r="Q315" s="35">
        <f>IFERROR(__xludf.DUMMYFUNCTION("""COMPUTED_VALUE"""),487992.0)</f>
        <v>487992</v>
      </c>
    </row>
    <row r="316">
      <c r="A316" s="35">
        <f>IFERROR(__xludf.DUMMYFUNCTION("""COMPUTED_VALUE"""),315.0)</f>
        <v>315</v>
      </c>
      <c r="B316" s="35" t="str">
        <f>IFERROR(__xludf.DUMMYFUNCTION("""COMPUTED_VALUE"""),"Count of Smaller Numbers After Self")</f>
        <v>Count of Smaller Numbers After Self</v>
      </c>
      <c r="C316" s="35" t="str">
        <f>IFERROR(__xludf.DUMMYFUNCTION("""COMPUTED_VALUE"""),"count-of-smaller-numbers-after-self")</f>
        <v>count-of-smaller-numbers-after-self</v>
      </c>
      <c r="D316" s="35" t="b">
        <f>IFERROR(__xludf.DUMMYFUNCTION("""COMPUTED_VALUE"""),FALSE)</f>
        <v>0</v>
      </c>
      <c r="E316" s="35" t="str">
        <f>IFERROR(__xludf.DUMMYFUNCTION("""COMPUTED_VALUE"""),"Hard")</f>
        <v>Hard</v>
      </c>
      <c r="F316" s="35">
        <f>IFERROR(__xludf.DUMMYFUNCTION("""COMPUTED_VALUE"""),5234.0)</f>
        <v>5234</v>
      </c>
      <c r="G316" s="35">
        <f>IFERROR(__xludf.DUMMYFUNCTION("""COMPUTED_VALUE"""),150.0)</f>
        <v>150</v>
      </c>
      <c r="H316" s="35" t="str">
        <f>IFERROR(__xludf.DUMMYFUNCTION("""COMPUTED_VALUE"""),"Algorithms")</f>
        <v>Algorithms</v>
      </c>
      <c r="I316" s="35">
        <f>IFERROR(__xludf.DUMMYFUNCTION("""COMPUTED_VALUE"""),0.421)</f>
        <v>0.421</v>
      </c>
      <c r="J316" s="35">
        <f>IFERROR(__xludf.DUMMYFUNCTION("""COMPUTED_VALUE"""),315.0)</f>
        <v>315</v>
      </c>
      <c r="K316" s="35" t="b">
        <f>IFERROR(__xludf.DUMMYFUNCTION("""COMPUTED_VALUE"""),FALSE)</f>
        <v>0</v>
      </c>
      <c r="L316" s="35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316" s="35" t="b">
        <f>IFERROR(__xludf.DUMMYFUNCTION("""COMPUTED_VALUE"""),TRUE)</f>
        <v>1</v>
      </c>
      <c r="N316" s="35" t="b">
        <f>IFERROR(__xludf.DUMMYFUNCTION("""COMPUTED_VALUE"""),FALSE)</f>
        <v>0</v>
      </c>
      <c r="O316" s="35">
        <f>IFERROR(__xludf.DUMMYFUNCTION("""COMPUTED_VALUE"""),42.0637636170054)</f>
        <v>42.06376362</v>
      </c>
      <c r="P316" s="35">
        <f>IFERROR(__xludf.DUMMYFUNCTION("""COMPUTED_VALUE"""),220056.0)</f>
        <v>220056</v>
      </c>
      <c r="Q316" s="35">
        <f>IFERROR(__xludf.DUMMYFUNCTION("""COMPUTED_VALUE"""),523149.0)</f>
        <v>523149</v>
      </c>
    </row>
    <row r="317">
      <c r="A317" s="35">
        <f>IFERROR(__xludf.DUMMYFUNCTION("""COMPUTED_VALUE"""),316.0)</f>
        <v>316</v>
      </c>
      <c r="B317" s="35" t="str">
        <f>IFERROR(__xludf.DUMMYFUNCTION("""COMPUTED_VALUE"""),"Remove Duplicate Letters")</f>
        <v>Remove Duplicate Letters</v>
      </c>
      <c r="C317" s="35" t="str">
        <f>IFERROR(__xludf.DUMMYFUNCTION("""COMPUTED_VALUE"""),"remove-duplicate-letters")</f>
        <v>remove-duplicate-letters</v>
      </c>
      <c r="D317" s="35" t="b">
        <f>IFERROR(__xludf.DUMMYFUNCTION("""COMPUTED_VALUE"""),FALSE)</f>
        <v>0</v>
      </c>
      <c r="E317" s="35" t="str">
        <f>IFERROR(__xludf.DUMMYFUNCTION("""COMPUTED_VALUE"""),"Medium")</f>
        <v>Medium</v>
      </c>
      <c r="F317" s="35">
        <f>IFERROR(__xludf.DUMMYFUNCTION("""COMPUTED_VALUE"""),3918.0)</f>
        <v>3918</v>
      </c>
      <c r="G317" s="35">
        <f>IFERROR(__xludf.DUMMYFUNCTION("""COMPUTED_VALUE"""),275.0)</f>
        <v>275</v>
      </c>
      <c r="H317" s="35" t="str">
        <f>IFERROR(__xludf.DUMMYFUNCTION("""COMPUTED_VALUE"""),"Algorithms")</f>
        <v>Algorithms</v>
      </c>
      <c r="I317" s="35">
        <f>IFERROR(__xludf.DUMMYFUNCTION("""COMPUTED_VALUE"""),0.414)</f>
        <v>0.414</v>
      </c>
      <c r="J317" s="35">
        <f>IFERROR(__xludf.DUMMYFUNCTION("""COMPUTED_VALUE"""),316.0)</f>
        <v>316</v>
      </c>
      <c r="K317" s="35" t="b">
        <f>IFERROR(__xludf.DUMMYFUNCTION("""COMPUTED_VALUE"""),FALSE)</f>
        <v>0</v>
      </c>
      <c r="L317" s="35" t="str">
        <f>IFERROR(__xludf.DUMMYFUNCTION("""COMPUTED_VALUE"""),"String;Stack;Greedy;Monotonic Stack;")</f>
        <v>String;Stack;Greedy;Monotonic Stack;</v>
      </c>
      <c r="M317" s="35" t="b">
        <f>IFERROR(__xludf.DUMMYFUNCTION("""COMPUTED_VALUE"""),TRUE)</f>
        <v>1</v>
      </c>
      <c r="N317" s="35" t="b">
        <f>IFERROR(__xludf.DUMMYFUNCTION("""COMPUTED_VALUE"""),FALSE)</f>
        <v>0</v>
      </c>
      <c r="O317" s="35">
        <f>IFERROR(__xludf.DUMMYFUNCTION("""COMPUTED_VALUE"""),41.4237770011008)</f>
        <v>41.423777</v>
      </c>
      <c r="P317" s="35">
        <f>IFERROR(__xludf.DUMMYFUNCTION("""COMPUTED_VALUE"""),155026.0)</f>
        <v>155026</v>
      </c>
      <c r="Q317" s="35">
        <f>IFERROR(__xludf.DUMMYFUNCTION("""COMPUTED_VALUE"""),374244.0)</f>
        <v>374244</v>
      </c>
    </row>
    <row r="318">
      <c r="A318" s="35">
        <f>IFERROR(__xludf.DUMMYFUNCTION("""COMPUTED_VALUE"""),317.0)</f>
        <v>317</v>
      </c>
      <c r="B318" s="35" t="str">
        <f>IFERROR(__xludf.DUMMYFUNCTION("""COMPUTED_VALUE"""),"Shortest Distance from All Buildings")</f>
        <v>Shortest Distance from All Buildings</v>
      </c>
      <c r="C318" s="35" t="str">
        <f>IFERROR(__xludf.DUMMYFUNCTION("""COMPUTED_VALUE"""),"shortest-distance-from-all-buildings")</f>
        <v>shortest-distance-from-all-buildings</v>
      </c>
      <c r="D318" s="35" t="b">
        <f>IFERROR(__xludf.DUMMYFUNCTION("""COMPUTED_VALUE"""),TRUE)</f>
        <v>1</v>
      </c>
      <c r="E318" s="35" t="str">
        <f>IFERROR(__xludf.DUMMYFUNCTION("""COMPUTED_VALUE"""),"Hard")</f>
        <v>Hard</v>
      </c>
      <c r="F318" s="35">
        <f>IFERROR(__xludf.DUMMYFUNCTION("""COMPUTED_VALUE"""),1470.0)</f>
        <v>1470</v>
      </c>
      <c r="G318" s="35">
        <f>IFERROR(__xludf.DUMMYFUNCTION("""COMPUTED_VALUE"""),156.0)</f>
        <v>156</v>
      </c>
      <c r="H318" s="35" t="str">
        <f>IFERROR(__xludf.DUMMYFUNCTION("""COMPUTED_VALUE"""),"Algorithms")</f>
        <v>Algorithms</v>
      </c>
      <c r="I318" s="35">
        <f>IFERROR(__xludf.DUMMYFUNCTION("""COMPUTED_VALUE"""),0.434)</f>
        <v>0.434</v>
      </c>
      <c r="J318" s="35">
        <f>IFERROR(__xludf.DUMMYFUNCTION("""COMPUTED_VALUE"""),317.0)</f>
        <v>317</v>
      </c>
      <c r="K318" s="35" t="b">
        <f>IFERROR(__xludf.DUMMYFUNCTION("""COMPUTED_VALUE"""),TRUE)</f>
        <v>1</v>
      </c>
      <c r="L318" s="35" t="str">
        <f>IFERROR(__xludf.DUMMYFUNCTION("""COMPUTED_VALUE"""),"Array;Breadth-First Search;Matrix;")</f>
        <v>Array;Breadth-First Search;Matrix;</v>
      </c>
      <c r="M318" s="35" t="b">
        <f>IFERROR(__xludf.DUMMYFUNCTION("""COMPUTED_VALUE"""),TRUE)</f>
        <v>1</v>
      </c>
      <c r="N318" s="35" t="b">
        <f>IFERROR(__xludf.DUMMYFUNCTION("""COMPUTED_VALUE"""),FALSE)</f>
        <v>0</v>
      </c>
      <c r="O318" s="35">
        <f>IFERROR(__xludf.DUMMYFUNCTION("""COMPUTED_VALUE"""),43.4093907232965)</f>
        <v>43.40939072</v>
      </c>
      <c r="P318" s="35">
        <f>IFERROR(__xludf.DUMMYFUNCTION("""COMPUTED_VALUE"""),130967.0)</f>
        <v>130967</v>
      </c>
      <c r="Q318" s="35">
        <f>IFERROR(__xludf.DUMMYFUNCTION("""COMPUTED_VALUE"""),301697.0)</f>
        <v>301697</v>
      </c>
    </row>
    <row r="319">
      <c r="A319" s="35">
        <f>IFERROR(__xludf.DUMMYFUNCTION("""COMPUTED_VALUE"""),318.0)</f>
        <v>318</v>
      </c>
      <c r="B319" s="35" t="str">
        <f>IFERROR(__xludf.DUMMYFUNCTION("""COMPUTED_VALUE"""),"Maximum Product of Word Lengths")</f>
        <v>Maximum Product of Word Lengths</v>
      </c>
      <c r="C319" s="35" t="str">
        <f>IFERROR(__xludf.DUMMYFUNCTION("""COMPUTED_VALUE"""),"maximum-product-of-word-lengths")</f>
        <v>maximum-product-of-word-lengths</v>
      </c>
      <c r="D319" s="35" t="b">
        <f>IFERROR(__xludf.DUMMYFUNCTION("""COMPUTED_VALUE"""),FALSE)</f>
        <v>0</v>
      </c>
      <c r="E319" s="35" t="str">
        <f>IFERROR(__xludf.DUMMYFUNCTION("""COMPUTED_VALUE"""),"Medium")</f>
        <v>Medium</v>
      </c>
      <c r="F319" s="35">
        <f>IFERROR(__xludf.DUMMYFUNCTION("""COMPUTED_VALUE"""),1657.0)</f>
        <v>1657</v>
      </c>
      <c r="G319" s="35">
        <f>IFERROR(__xludf.DUMMYFUNCTION("""COMPUTED_VALUE"""),93.0)</f>
        <v>93</v>
      </c>
      <c r="H319" s="35" t="str">
        <f>IFERROR(__xludf.DUMMYFUNCTION("""COMPUTED_VALUE"""),"Algorithms")</f>
        <v>Algorithms</v>
      </c>
      <c r="I319" s="35">
        <f>IFERROR(__xludf.DUMMYFUNCTION("""COMPUTED_VALUE"""),0.565)</f>
        <v>0.565</v>
      </c>
      <c r="J319" s="35">
        <f>IFERROR(__xludf.DUMMYFUNCTION("""COMPUTED_VALUE"""),318.0)</f>
        <v>318</v>
      </c>
      <c r="K319" s="35" t="b">
        <f>IFERROR(__xludf.DUMMYFUNCTION("""COMPUTED_VALUE"""),FALSE)</f>
        <v>0</v>
      </c>
      <c r="L319" s="35" t="str">
        <f>IFERROR(__xludf.DUMMYFUNCTION("""COMPUTED_VALUE"""),"Array;String;Bit Manipulation;")</f>
        <v>Array;String;Bit Manipulation;</v>
      </c>
      <c r="M319" s="35" t="b">
        <f>IFERROR(__xludf.DUMMYFUNCTION("""COMPUTED_VALUE"""),TRUE)</f>
        <v>1</v>
      </c>
      <c r="N319" s="35" t="b">
        <f>IFERROR(__xludf.DUMMYFUNCTION("""COMPUTED_VALUE"""),FALSE)</f>
        <v>0</v>
      </c>
      <c r="O319" s="35">
        <f>IFERROR(__xludf.DUMMYFUNCTION("""COMPUTED_VALUE"""),56.460241582316)</f>
        <v>56.46024158</v>
      </c>
      <c r="P319" s="35">
        <f>IFERROR(__xludf.DUMMYFUNCTION("""COMPUTED_VALUE"""),140785.0)</f>
        <v>140785</v>
      </c>
      <c r="Q319" s="35">
        <f>IFERROR(__xludf.DUMMYFUNCTION("""COMPUTED_VALUE"""),249354.0)</f>
        <v>249354</v>
      </c>
    </row>
    <row r="320">
      <c r="A320" s="35">
        <f>IFERROR(__xludf.DUMMYFUNCTION("""COMPUTED_VALUE"""),319.0)</f>
        <v>319</v>
      </c>
      <c r="B320" s="35" t="str">
        <f>IFERROR(__xludf.DUMMYFUNCTION("""COMPUTED_VALUE"""),"Bulb Switcher")</f>
        <v>Bulb Switcher</v>
      </c>
      <c r="C320" s="35" t="str">
        <f>IFERROR(__xludf.DUMMYFUNCTION("""COMPUTED_VALUE"""),"bulb-switcher")</f>
        <v>bulb-switcher</v>
      </c>
      <c r="D320" s="35" t="b">
        <f>IFERROR(__xludf.DUMMYFUNCTION("""COMPUTED_VALUE"""),FALSE)</f>
        <v>0</v>
      </c>
      <c r="E320" s="35" t="str">
        <f>IFERROR(__xludf.DUMMYFUNCTION("""COMPUTED_VALUE"""),"Medium")</f>
        <v>Medium</v>
      </c>
      <c r="F320" s="35">
        <f>IFERROR(__xludf.DUMMYFUNCTION("""COMPUTED_VALUE"""),880.0)</f>
        <v>880</v>
      </c>
      <c r="G320" s="35">
        <f>IFERROR(__xludf.DUMMYFUNCTION("""COMPUTED_VALUE"""),1607.0)</f>
        <v>1607</v>
      </c>
      <c r="H320" s="35" t="str">
        <f>IFERROR(__xludf.DUMMYFUNCTION("""COMPUTED_VALUE"""),"Algorithms")</f>
        <v>Algorithms</v>
      </c>
      <c r="I320" s="35">
        <f>IFERROR(__xludf.DUMMYFUNCTION("""COMPUTED_VALUE"""),0.471)</f>
        <v>0.471</v>
      </c>
      <c r="J320" s="35">
        <f>IFERROR(__xludf.DUMMYFUNCTION("""COMPUTED_VALUE"""),319.0)</f>
        <v>319</v>
      </c>
      <c r="K320" s="35" t="b">
        <f>IFERROR(__xludf.DUMMYFUNCTION("""COMPUTED_VALUE"""),FALSE)</f>
        <v>0</v>
      </c>
      <c r="L320" s="35" t="str">
        <f>IFERROR(__xludf.DUMMYFUNCTION("""COMPUTED_VALUE"""),"Math;Brainteaser;")</f>
        <v>Math;Brainteaser;</v>
      </c>
      <c r="M320" s="35" t="b">
        <f>IFERROR(__xludf.DUMMYFUNCTION("""COMPUTED_VALUE"""),FALSE)</f>
        <v>0</v>
      </c>
      <c r="N320" s="35" t="b">
        <f>IFERROR(__xludf.DUMMYFUNCTION("""COMPUTED_VALUE"""),FALSE)</f>
        <v>0</v>
      </c>
      <c r="O320" s="35">
        <f>IFERROR(__xludf.DUMMYFUNCTION("""COMPUTED_VALUE"""),47.0968150713863)</f>
        <v>47.09681507</v>
      </c>
      <c r="P320" s="35">
        <f>IFERROR(__xludf.DUMMYFUNCTION("""COMPUTED_VALUE"""),111496.0)</f>
        <v>111496</v>
      </c>
      <c r="Q320" s="35">
        <f>IFERROR(__xludf.DUMMYFUNCTION("""COMPUTED_VALUE"""),236739.0)</f>
        <v>236739</v>
      </c>
    </row>
    <row r="321">
      <c r="A321" s="35">
        <f>IFERROR(__xludf.DUMMYFUNCTION("""COMPUTED_VALUE"""),320.0)</f>
        <v>320</v>
      </c>
      <c r="B321" s="35" t="str">
        <f>IFERROR(__xludf.DUMMYFUNCTION("""COMPUTED_VALUE"""),"Generalized Abbreviation")</f>
        <v>Generalized Abbreviation</v>
      </c>
      <c r="C321" s="35" t="str">
        <f>IFERROR(__xludf.DUMMYFUNCTION("""COMPUTED_VALUE"""),"generalized-abbreviation")</f>
        <v>generalized-abbreviation</v>
      </c>
      <c r="D321" s="35" t="b">
        <f>IFERROR(__xludf.DUMMYFUNCTION("""COMPUTED_VALUE"""),TRUE)</f>
        <v>1</v>
      </c>
      <c r="E321" s="35" t="str">
        <f>IFERROR(__xludf.DUMMYFUNCTION("""COMPUTED_VALUE"""),"Medium")</f>
        <v>Medium</v>
      </c>
      <c r="F321" s="35">
        <f>IFERROR(__xludf.DUMMYFUNCTION("""COMPUTED_VALUE"""),586.0)</f>
        <v>586</v>
      </c>
      <c r="G321" s="35">
        <f>IFERROR(__xludf.DUMMYFUNCTION("""COMPUTED_VALUE"""),202.0)</f>
        <v>202</v>
      </c>
      <c r="H321" s="35" t="str">
        <f>IFERROR(__xludf.DUMMYFUNCTION("""COMPUTED_VALUE"""),"Algorithms")</f>
        <v>Algorithms</v>
      </c>
      <c r="I321" s="35">
        <f>IFERROR(__xludf.DUMMYFUNCTION("""COMPUTED_VALUE"""),0.56)</f>
        <v>0.56</v>
      </c>
      <c r="J321" s="35">
        <f>IFERROR(__xludf.DUMMYFUNCTION("""COMPUTED_VALUE"""),320.0)</f>
        <v>320</v>
      </c>
      <c r="K321" s="35" t="b">
        <f>IFERROR(__xludf.DUMMYFUNCTION("""COMPUTED_VALUE"""),TRUE)</f>
        <v>1</v>
      </c>
      <c r="L321" s="35" t="str">
        <f>IFERROR(__xludf.DUMMYFUNCTION("""COMPUTED_VALUE"""),"String;Backtracking;Bit Manipulation;")</f>
        <v>String;Backtracking;Bit Manipulation;</v>
      </c>
      <c r="M321" s="35" t="b">
        <f>IFERROR(__xludf.DUMMYFUNCTION("""COMPUTED_VALUE"""),TRUE)</f>
        <v>1</v>
      </c>
      <c r="N321" s="35" t="b">
        <f>IFERROR(__xludf.DUMMYFUNCTION("""COMPUTED_VALUE"""),FALSE)</f>
        <v>0</v>
      </c>
      <c r="O321" s="35">
        <f>IFERROR(__xludf.DUMMYFUNCTION("""COMPUTED_VALUE"""),56.0279546396413)</f>
        <v>56.02795464</v>
      </c>
      <c r="P321" s="35">
        <f>IFERROR(__xludf.DUMMYFUNCTION("""COMPUTED_VALUE"""),59485.0)</f>
        <v>59485</v>
      </c>
      <c r="Q321" s="35">
        <f>IFERROR(__xludf.DUMMYFUNCTION("""COMPUTED_VALUE"""),106171.0)</f>
        <v>106171</v>
      </c>
    </row>
    <row r="322">
      <c r="A322" s="35">
        <f>IFERROR(__xludf.DUMMYFUNCTION("""COMPUTED_VALUE"""),321.0)</f>
        <v>321</v>
      </c>
      <c r="B322" s="35" t="str">
        <f>IFERROR(__xludf.DUMMYFUNCTION("""COMPUTED_VALUE"""),"Create Maximum Number")</f>
        <v>Create Maximum Number</v>
      </c>
      <c r="C322" s="35" t="str">
        <f>IFERROR(__xludf.DUMMYFUNCTION("""COMPUTED_VALUE"""),"create-maximum-number")</f>
        <v>create-maximum-number</v>
      </c>
      <c r="D322" s="35" t="b">
        <f>IFERROR(__xludf.DUMMYFUNCTION("""COMPUTED_VALUE"""),FALSE)</f>
        <v>0</v>
      </c>
      <c r="E322" s="35" t="str">
        <f>IFERROR(__xludf.DUMMYFUNCTION("""COMPUTED_VALUE"""),"Hard")</f>
        <v>Hard</v>
      </c>
      <c r="F322" s="35">
        <f>IFERROR(__xludf.DUMMYFUNCTION("""COMPUTED_VALUE"""),1281.0)</f>
        <v>1281</v>
      </c>
      <c r="G322" s="35">
        <f>IFERROR(__xludf.DUMMYFUNCTION("""COMPUTED_VALUE"""),306.0)</f>
        <v>306</v>
      </c>
      <c r="H322" s="35" t="str">
        <f>IFERROR(__xludf.DUMMYFUNCTION("""COMPUTED_VALUE"""),"Algorithms")</f>
        <v>Algorithms</v>
      </c>
      <c r="I322" s="35">
        <f>IFERROR(__xludf.DUMMYFUNCTION("""COMPUTED_VALUE"""),0.283)</f>
        <v>0.283</v>
      </c>
      <c r="J322" s="35">
        <f>IFERROR(__xludf.DUMMYFUNCTION("""COMPUTED_VALUE"""),321.0)</f>
        <v>321</v>
      </c>
      <c r="K322" s="35" t="b">
        <f>IFERROR(__xludf.DUMMYFUNCTION("""COMPUTED_VALUE"""),FALSE)</f>
        <v>0</v>
      </c>
      <c r="L322" s="35" t="str">
        <f>IFERROR(__xludf.DUMMYFUNCTION("""COMPUTED_VALUE"""),"Stack;Greedy;Monotonic Stack;")</f>
        <v>Stack;Greedy;Monotonic Stack;</v>
      </c>
      <c r="M322" s="35" t="b">
        <f>IFERROR(__xludf.DUMMYFUNCTION("""COMPUTED_VALUE"""),FALSE)</f>
        <v>0</v>
      </c>
      <c r="N322" s="35" t="b">
        <f>IFERROR(__xludf.DUMMYFUNCTION("""COMPUTED_VALUE"""),FALSE)</f>
        <v>0</v>
      </c>
      <c r="O322" s="35">
        <f>IFERROR(__xludf.DUMMYFUNCTION("""COMPUTED_VALUE"""),28.2782059981788)</f>
        <v>28.278206</v>
      </c>
      <c r="P322" s="35">
        <f>IFERROR(__xludf.DUMMYFUNCTION("""COMPUTED_VALUE"""),48757.0)</f>
        <v>48757</v>
      </c>
      <c r="Q322" s="35">
        <f>IFERROR(__xludf.DUMMYFUNCTION("""COMPUTED_VALUE"""),172419.0)</f>
        <v>172419</v>
      </c>
    </row>
    <row r="323">
      <c r="A323" s="35">
        <f>IFERROR(__xludf.DUMMYFUNCTION("""COMPUTED_VALUE"""),322.0)</f>
        <v>322</v>
      </c>
      <c r="B323" s="35" t="str">
        <f>IFERROR(__xludf.DUMMYFUNCTION("""COMPUTED_VALUE"""),"Coin Change")</f>
        <v>Coin Change</v>
      </c>
      <c r="C323" s="35" t="str">
        <f>IFERROR(__xludf.DUMMYFUNCTION("""COMPUTED_VALUE"""),"coin-change")</f>
        <v>coin-change</v>
      </c>
      <c r="D323" s="35" t="b">
        <f>IFERROR(__xludf.DUMMYFUNCTION("""COMPUTED_VALUE"""),FALSE)</f>
        <v>0</v>
      </c>
      <c r="E323" s="35" t="str">
        <f>IFERROR(__xludf.DUMMYFUNCTION("""COMPUTED_VALUE"""),"Medium")</f>
        <v>Medium</v>
      </c>
      <c r="F323" s="35">
        <f>IFERROR(__xludf.DUMMYFUNCTION("""COMPUTED_VALUE"""),10362.0)</f>
        <v>10362</v>
      </c>
      <c r="G323" s="35">
        <f>IFERROR(__xludf.DUMMYFUNCTION("""COMPUTED_VALUE"""),252.0)</f>
        <v>252</v>
      </c>
      <c r="H323" s="35" t="str">
        <f>IFERROR(__xludf.DUMMYFUNCTION("""COMPUTED_VALUE"""),"Algorithms")</f>
        <v>Algorithms</v>
      </c>
      <c r="I323" s="35">
        <f>IFERROR(__xludf.DUMMYFUNCTION("""COMPUTED_VALUE"""),0.398)</f>
        <v>0.398</v>
      </c>
      <c r="J323" s="35">
        <f>IFERROR(__xludf.DUMMYFUNCTION("""COMPUTED_VALUE"""),322.0)</f>
        <v>322</v>
      </c>
      <c r="K323" s="35" t="b">
        <f>IFERROR(__xludf.DUMMYFUNCTION("""COMPUTED_VALUE"""),FALSE)</f>
        <v>0</v>
      </c>
      <c r="L323" s="35" t="str">
        <f>IFERROR(__xludf.DUMMYFUNCTION("""COMPUTED_VALUE"""),"Array;Dynamic Programming;Breadth-First Search;")</f>
        <v>Array;Dynamic Programming;Breadth-First Search;</v>
      </c>
      <c r="M323" s="35" t="b">
        <f>IFERROR(__xludf.DUMMYFUNCTION("""COMPUTED_VALUE"""),TRUE)</f>
        <v>1</v>
      </c>
      <c r="N323" s="35" t="b">
        <f>IFERROR(__xludf.DUMMYFUNCTION("""COMPUTED_VALUE"""),TRUE)</f>
        <v>1</v>
      </c>
      <c r="O323" s="35">
        <f>IFERROR(__xludf.DUMMYFUNCTION("""COMPUTED_VALUE"""),39.8404227277143)</f>
        <v>39.84042273</v>
      </c>
      <c r="P323" s="35">
        <f>IFERROR(__xludf.DUMMYFUNCTION("""COMPUTED_VALUE"""),914402.0)</f>
        <v>914402</v>
      </c>
      <c r="Q323" s="35">
        <f>IFERROR(__xludf.DUMMYFUNCTION("""COMPUTED_VALUE"""),2295156.0)</f>
        <v>2295156</v>
      </c>
    </row>
    <row r="324">
      <c r="A324" s="35">
        <f>IFERROR(__xludf.DUMMYFUNCTION("""COMPUTED_VALUE"""),323.0)</f>
        <v>323</v>
      </c>
      <c r="B324" s="35" t="str">
        <f>IFERROR(__xludf.DUMMYFUNCTION("""COMPUTED_VALUE"""),"Number of Connected Components in an Undirected Graph")</f>
        <v>Number of Connected Components in an Undirected Graph</v>
      </c>
      <c r="C324" s="35" t="str">
        <f>IFERROR(__xludf.DUMMYFUNCTION("""COMPUTED_VALUE"""),"number-of-connected-components-in-an-undirected-graph")</f>
        <v>number-of-connected-components-in-an-undirected-graph</v>
      </c>
      <c r="D324" s="35" t="b">
        <f>IFERROR(__xludf.DUMMYFUNCTION("""COMPUTED_VALUE"""),TRUE)</f>
        <v>1</v>
      </c>
      <c r="E324" s="35" t="str">
        <f>IFERROR(__xludf.DUMMYFUNCTION("""COMPUTED_VALUE"""),"Medium")</f>
        <v>Medium</v>
      </c>
      <c r="F324" s="35">
        <f>IFERROR(__xludf.DUMMYFUNCTION("""COMPUTED_VALUE"""),1856.0)</f>
        <v>1856</v>
      </c>
      <c r="G324" s="35">
        <f>IFERROR(__xludf.DUMMYFUNCTION("""COMPUTED_VALUE"""),56.0)</f>
        <v>56</v>
      </c>
      <c r="H324" s="35" t="str">
        <f>IFERROR(__xludf.DUMMYFUNCTION("""COMPUTED_VALUE"""),"Algorithms")</f>
        <v>Algorithms</v>
      </c>
      <c r="I324" s="35">
        <f>IFERROR(__xludf.DUMMYFUNCTION("""COMPUTED_VALUE"""),0.608)</f>
        <v>0.608</v>
      </c>
      <c r="J324" s="35">
        <f>IFERROR(__xludf.DUMMYFUNCTION("""COMPUTED_VALUE"""),323.0)</f>
        <v>323</v>
      </c>
      <c r="K324" s="35" t="b">
        <f>IFERROR(__xludf.DUMMYFUNCTION("""COMPUTED_VALUE"""),TRUE)</f>
        <v>1</v>
      </c>
      <c r="L324" s="35" t="str">
        <f>IFERROR(__xludf.DUMMYFUNCTION("""COMPUTED_VALUE"""),"Depth-First Search;Breadth-First Search;Union Find;Graph;")</f>
        <v>Depth-First Search;Breadth-First Search;Union Find;Graph;</v>
      </c>
      <c r="M324" s="35" t="b">
        <f>IFERROR(__xludf.DUMMYFUNCTION("""COMPUTED_VALUE"""),TRUE)</f>
        <v>1</v>
      </c>
      <c r="N324" s="35" t="b">
        <f>IFERROR(__xludf.DUMMYFUNCTION("""COMPUTED_VALUE"""),TRUE)</f>
        <v>1</v>
      </c>
      <c r="O324" s="35">
        <f>IFERROR(__xludf.DUMMYFUNCTION("""COMPUTED_VALUE"""),60.7847918055451)</f>
        <v>60.78479181</v>
      </c>
      <c r="P324" s="35">
        <f>IFERROR(__xludf.DUMMYFUNCTION("""COMPUTED_VALUE"""),234337.0)</f>
        <v>234337</v>
      </c>
      <c r="Q324" s="35">
        <f>IFERROR(__xludf.DUMMYFUNCTION("""COMPUTED_VALUE"""),385518.0)</f>
        <v>385518</v>
      </c>
    </row>
    <row r="325">
      <c r="A325" s="35">
        <f>IFERROR(__xludf.DUMMYFUNCTION("""COMPUTED_VALUE"""),324.0)</f>
        <v>324</v>
      </c>
      <c r="B325" s="35" t="str">
        <f>IFERROR(__xludf.DUMMYFUNCTION("""COMPUTED_VALUE"""),"Wiggle Sort II")</f>
        <v>Wiggle Sort II</v>
      </c>
      <c r="C325" s="35" t="str">
        <f>IFERROR(__xludf.DUMMYFUNCTION("""COMPUTED_VALUE"""),"wiggle-sort-ii")</f>
        <v>wiggle-sort-ii</v>
      </c>
      <c r="D325" s="35" t="b">
        <f>IFERROR(__xludf.DUMMYFUNCTION("""COMPUTED_VALUE"""),FALSE)</f>
        <v>0</v>
      </c>
      <c r="E325" s="35" t="str">
        <f>IFERROR(__xludf.DUMMYFUNCTION("""COMPUTED_VALUE"""),"Medium")</f>
        <v>Medium</v>
      </c>
      <c r="F325" s="35">
        <f>IFERROR(__xludf.DUMMYFUNCTION("""COMPUTED_VALUE"""),1987.0)</f>
        <v>1987</v>
      </c>
      <c r="G325" s="35">
        <f>IFERROR(__xludf.DUMMYFUNCTION("""COMPUTED_VALUE"""),780.0)</f>
        <v>780</v>
      </c>
      <c r="H325" s="35" t="str">
        <f>IFERROR(__xludf.DUMMYFUNCTION("""COMPUTED_VALUE"""),"Algorithms")</f>
        <v>Algorithms</v>
      </c>
      <c r="I325" s="35">
        <f>IFERROR(__xludf.DUMMYFUNCTION("""COMPUTED_VALUE"""),0.321)</f>
        <v>0.321</v>
      </c>
      <c r="J325" s="35">
        <f>IFERROR(__xludf.DUMMYFUNCTION("""COMPUTED_VALUE"""),324.0)</f>
        <v>324</v>
      </c>
      <c r="K325" s="35" t="b">
        <f>IFERROR(__xludf.DUMMYFUNCTION("""COMPUTED_VALUE"""),FALSE)</f>
        <v>0</v>
      </c>
      <c r="L325" s="35" t="str">
        <f>IFERROR(__xludf.DUMMYFUNCTION("""COMPUTED_VALUE"""),"Array;Divide and Conquer;Sorting;Quickselect;")</f>
        <v>Array;Divide and Conquer;Sorting;Quickselect;</v>
      </c>
      <c r="M325" s="35" t="b">
        <f>IFERROR(__xludf.DUMMYFUNCTION("""COMPUTED_VALUE"""),FALSE)</f>
        <v>0</v>
      </c>
      <c r="N325" s="35" t="b">
        <f>IFERROR(__xludf.DUMMYFUNCTION("""COMPUTED_VALUE"""),FALSE)</f>
        <v>0</v>
      </c>
      <c r="O325" s="35">
        <f>IFERROR(__xludf.DUMMYFUNCTION("""COMPUTED_VALUE"""),32.0550095233943)</f>
        <v>32.05500952</v>
      </c>
      <c r="P325" s="35">
        <f>IFERROR(__xludf.DUMMYFUNCTION("""COMPUTED_VALUE"""),117638.0)</f>
        <v>117638</v>
      </c>
      <c r="Q325" s="35">
        <f>IFERROR(__xludf.DUMMYFUNCTION("""COMPUTED_VALUE"""),366988.0)</f>
        <v>366988</v>
      </c>
    </row>
    <row r="326">
      <c r="A326" s="35">
        <f>IFERROR(__xludf.DUMMYFUNCTION("""COMPUTED_VALUE"""),325.0)</f>
        <v>325</v>
      </c>
      <c r="B326" s="35" t="str">
        <f>IFERROR(__xludf.DUMMYFUNCTION("""COMPUTED_VALUE"""),"Maximum Size Subarray Sum Equals k")</f>
        <v>Maximum Size Subarray Sum Equals k</v>
      </c>
      <c r="C326" s="35" t="str">
        <f>IFERROR(__xludf.DUMMYFUNCTION("""COMPUTED_VALUE"""),"maximum-size-subarray-sum-equals-k")</f>
        <v>maximum-size-subarray-sum-equals-k</v>
      </c>
      <c r="D326" s="35" t="b">
        <f>IFERROR(__xludf.DUMMYFUNCTION("""COMPUTED_VALUE"""),TRUE)</f>
        <v>1</v>
      </c>
      <c r="E326" s="35" t="str">
        <f>IFERROR(__xludf.DUMMYFUNCTION("""COMPUTED_VALUE"""),"Medium")</f>
        <v>Medium</v>
      </c>
      <c r="F326" s="35">
        <f>IFERROR(__xludf.DUMMYFUNCTION("""COMPUTED_VALUE"""),1583.0)</f>
        <v>1583</v>
      </c>
      <c r="G326" s="35">
        <f>IFERROR(__xludf.DUMMYFUNCTION("""COMPUTED_VALUE"""),47.0)</f>
        <v>47</v>
      </c>
      <c r="H326" s="35" t="str">
        <f>IFERROR(__xludf.DUMMYFUNCTION("""COMPUTED_VALUE"""),"Algorithms")</f>
        <v>Algorithms</v>
      </c>
      <c r="I326" s="35">
        <f>IFERROR(__xludf.DUMMYFUNCTION("""COMPUTED_VALUE"""),0.49)</f>
        <v>0.49</v>
      </c>
      <c r="J326" s="35">
        <f>IFERROR(__xludf.DUMMYFUNCTION("""COMPUTED_VALUE"""),325.0)</f>
        <v>325</v>
      </c>
      <c r="K326" s="35" t="b">
        <f>IFERROR(__xludf.DUMMYFUNCTION("""COMPUTED_VALUE"""),TRUE)</f>
        <v>1</v>
      </c>
      <c r="L326" s="35" t="str">
        <f>IFERROR(__xludf.DUMMYFUNCTION("""COMPUTED_VALUE"""),"Array;Hash Table;")</f>
        <v>Array;Hash Table;</v>
      </c>
      <c r="M326" s="35" t="b">
        <f>IFERROR(__xludf.DUMMYFUNCTION("""COMPUTED_VALUE"""),TRUE)</f>
        <v>1</v>
      </c>
      <c r="N326" s="35" t="b">
        <f>IFERROR(__xludf.DUMMYFUNCTION("""COMPUTED_VALUE"""),FALSE)</f>
        <v>0</v>
      </c>
      <c r="O326" s="35">
        <f>IFERROR(__xludf.DUMMYFUNCTION("""COMPUTED_VALUE"""),48.970276425318)</f>
        <v>48.97027643</v>
      </c>
      <c r="P326" s="35">
        <f>IFERROR(__xludf.DUMMYFUNCTION("""COMPUTED_VALUE"""),149659.0)</f>
        <v>149659</v>
      </c>
      <c r="Q326" s="35">
        <f>IFERROR(__xludf.DUMMYFUNCTION("""COMPUTED_VALUE"""),305614.0)</f>
        <v>305614</v>
      </c>
    </row>
    <row r="327">
      <c r="A327" s="35">
        <f>IFERROR(__xludf.DUMMYFUNCTION("""COMPUTED_VALUE"""),326.0)</f>
        <v>326</v>
      </c>
      <c r="B327" s="35" t="str">
        <f>IFERROR(__xludf.DUMMYFUNCTION("""COMPUTED_VALUE"""),"Power of Three")</f>
        <v>Power of Three</v>
      </c>
      <c r="C327" s="35" t="str">
        <f>IFERROR(__xludf.DUMMYFUNCTION("""COMPUTED_VALUE"""),"power-of-three")</f>
        <v>power-of-three</v>
      </c>
      <c r="D327" s="35" t="b">
        <f>IFERROR(__xludf.DUMMYFUNCTION("""COMPUTED_VALUE"""),FALSE)</f>
        <v>0</v>
      </c>
      <c r="E327" s="35" t="str">
        <f>IFERROR(__xludf.DUMMYFUNCTION("""COMPUTED_VALUE"""),"Easy")</f>
        <v>Easy</v>
      </c>
      <c r="F327" s="35">
        <f>IFERROR(__xludf.DUMMYFUNCTION("""COMPUTED_VALUE"""),818.0)</f>
        <v>818</v>
      </c>
      <c r="G327" s="35">
        <f>IFERROR(__xludf.DUMMYFUNCTION("""COMPUTED_VALUE"""),102.0)</f>
        <v>102</v>
      </c>
      <c r="H327" s="35" t="str">
        <f>IFERROR(__xludf.DUMMYFUNCTION("""COMPUTED_VALUE"""),"Algorithms")</f>
        <v>Algorithms</v>
      </c>
      <c r="I327" s="35">
        <f>IFERROR(__xludf.DUMMYFUNCTION("""COMPUTED_VALUE"""),0.433)</f>
        <v>0.433</v>
      </c>
      <c r="J327" s="35">
        <f>IFERROR(__xludf.DUMMYFUNCTION("""COMPUTED_VALUE"""),326.0)</f>
        <v>326</v>
      </c>
      <c r="K327" s="35" t="b">
        <f>IFERROR(__xludf.DUMMYFUNCTION("""COMPUTED_VALUE"""),FALSE)</f>
        <v>0</v>
      </c>
      <c r="L327" s="35" t="str">
        <f>IFERROR(__xludf.DUMMYFUNCTION("""COMPUTED_VALUE"""),"Math;Recursion;")</f>
        <v>Math;Recursion;</v>
      </c>
      <c r="M327" s="35" t="b">
        <f>IFERROR(__xludf.DUMMYFUNCTION("""COMPUTED_VALUE"""),TRUE)</f>
        <v>1</v>
      </c>
      <c r="N327" s="35" t="b">
        <f>IFERROR(__xludf.DUMMYFUNCTION("""COMPUTED_VALUE"""),FALSE)</f>
        <v>0</v>
      </c>
      <c r="O327" s="35">
        <f>IFERROR(__xludf.DUMMYFUNCTION("""COMPUTED_VALUE"""),43.3293640551553)</f>
        <v>43.32936406</v>
      </c>
      <c r="P327" s="35">
        <f>IFERROR(__xludf.DUMMYFUNCTION("""COMPUTED_VALUE"""),443196.0)</f>
        <v>443196</v>
      </c>
      <c r="Q327" s="35">
        <f>IFERROR(__xludf.DUMMYFUNCTION("""COMPUTED_VALUE"""),1022855.0)</f>
        <v>1022855</v>
      </c>
    </row>
    <row r="328">
      <c r="A328" s="35">
        <f>IFERROR(__xludf.DUMMYFUNCTION("""COMPUTED_VALUE"""),327.0)</f>
        <v>327</v>
      </c>
      <c r="B328" s="35" t="str">
        <f>IFERROR(__xludf.DUMMYFUNCTION("""COMPUTED_VALUE"""),"Count of Range Sum")</f>
        <v>Count of Range Sum</v>
      </c>
      <c r="C328" s="35" t="str">
        <f>IFERROR(__xludf.DUMMYFUNCTION("""COMPUTED_VALUE"""),"count-of-range-sum")</f>
        <v>count-of-range-sum</v>
      </c>
      <c r="D328" s="35" t="b">
        <f>IFERROR(__xludf.DUMMYFUNCTION("""COMPUTED_VALUE"""),FALSE)</f>
        <v>0</v>
      </c>
      <c r="E328" s="35" t="str">
        <f>IFERROR(__xludf.DUMMYFUNCTION("""COMPUTED_VALUE"""),"Hard")</f>
        <v>Hard</v>
      </c>
      <c r="F328" s="35">
        <f>IFERROR(__xludf.DUMMYFUNCTION("""COMPUTED_VALUE"""),1464.0)</f>
        <v>1464</v>
      </c>
      <c r="G328" s="35">
        <f>IFERROR(__xludf.DUMMYFUNCTION("""COMPUTED_VALUE"""),153.0)</f>
        <v>153</v>
      </c>
      <c r="H328" s="35" t="str">
        <f>IFERROR(__xludf.DUMMYFUNCTION("""COMPUTED_VALUE"""),"Algorithms")</f>
        <v>Algorithms</v>
      </c>
      <c r="I328" s="35">
        <f>IFERROR(__xludf.DUMMYFUNCTION("""COMPUTED_VALUE"""),0.36)</f>
        <v>0.36</v>
      </c>
      <c r="J328" s="35">
        <f>IFERROR(__xludf.DUMMYFUNCTION("""COMPUTED_VALUE"""),327.0)</f>
        <v>327</v>
      </c>
      <c r="K328" s="35" t="b">
        <f>IFERROR(__xludf.DUMMYFUNCTION("""COMPUTED_VALUE"""),FALSE)</f>
        <v>0</v>
      </c>
      <c r="L328" s="35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328" s="35" t="b">
        <f>IFERROR(__xludf.DUMMYFUNCTION("""COMPUTED_VALUE"""),FALSE)</f>
        <v>0</v>
      </c>
      <c r="N328" s="35" t="b">
        <f>IFERROR(__xludf.DUMMYFUNCTION("""COMPUTED_VALUE"""),FALSE)</f>
        <v>0</v>
      </c>
      <c r="O328" s="35">
        <f>IFERROR(__xludf.DUMMYFUNCTION("""COMPUTED_VALUE"""),36.0297776008756)</f>
        <v>36.0297776</v>
      </c>
      <c r="P328" s="35">
        <f>IFERROR(__xludf.DUMMYFUNCTION("""COMPUTED_VALUE"""),57933.0)</f>
        <v>57933</v>
      </c>
      <c r="Q328" s="35">
        <f>IFERROR(__xludf.DUMMYFUNCTION("""COMPUTED_VALUE"""),160791.0)</f>
        <v>160791</v>
      </c>
    </row>
    <row r="329">
      <c r="A329" s="35">
        <f>IFERROR(__xludf.DUMMYFUNCTION("""COMPUTED_VALUE"""),328.0)</f>
        <v>328</v>
      </c>
      <c r="B329" s="35" t="str">
        <f>IFERROR(__xludf.DUMMYFUNCTION("""COMPUTED_VALUE"""),"Odd Even Linked List")</f>
        <v>Odd Even Linked List</v>
      </c>
      <c r="C329" s="35" t="str">
        <f>IFERROR(__xludf.DUMMYFUNCTION("""COMPUTED_VALUE"""),"odd-even-linked-list")</f>
        <v>odd-even-linked-list</v>
      </c>
      <c r="D329" s="35" t="b">
        <f>IFERROR(__xludf.DUMMYFUNCTION("""COMPUTED_VALUE"""),FALSE)</f>
        <v>0</v>
      </c>
      <c r="E329" s="35" t="str">
        <f>IFERROR(__xludf.DUMMYFUNCTION("""COMPUTED_VALUE"""),"Medium")</f>
        <v>Medium</v>
      </c>
      <c r="F329" s="35">
        <f>IFERROR(__xludf.DUMMYFUNCTION("""COMPUTED_VALUE"""),5037.0)</f>
        <v>5037</v>
      </c>
      <c r="G329" s="35">
        <f>IFERROR(__xludf.DUMMYFUNCTION("""COMPUTED_VALUE"""),380.0)</f>
        <v>380</v>
      </c>
      <c r="H329" s="35" t="str">
        <f>IFERROR(__xludf.DUMMYFUNCTION("""COMPUTED_VALUE"""),"Algorithms")</f>
        <v>Algorithms</v>
      </c>
      <c r="I329" s="35">
        <f>IFERROR(__xludf.DUMMYFUNCTION("""COMPUTED_VALUE"""),0.594)</f>
        <v>0.594</v>
      </c>
      <c r="J329" s="35">
        <f>IFERROR(__xludf.DUMMYFUNCTION("""COMPUTED_VALUE"""),328.0)</f>
        <v>328</v>
      </c>
      <c r="K329" s="35" t="b">
        <f>IFERROR(__xludf.DUMMYFUNCTION("""COMPUTED_VALUE"""),FALSE)</f>
        <v>0</v>
      </c>
      <c r="L329" s="35" t="str">
        <f>IFERROR(__xludf.DUMMYFUNCTION("""COMPUTED_VALUE"""),"Linked List;")</f>
        <v>Linked List;</v>
      </c>
      <c r="M329" s="35" t="b">
        <f>IFERROR(__xludf.DUMMYFUNCTION("""COMPUTED_VALUE"""),TRUE)</f>
        <v>1</v>
      </c>
      <c r="N329" s="35" t="b">
        <f>IFERROR(__xludf.DUMMYFUNCTION("""COMPUTED_VALUE"""),FALSE)</f>
        <v>0</v>
      </c>
      <c r="O329" s="35">
        <f>IFERROR(__xludf.DUMMYFUNCTION("""COMPUTED_VALUE"""),59.3713634117958)</f>
        <v>59.37136341</v>
      </c>
      <c r="P329" s="35">
        <f>IFERROR(__xludf.DUMMYFUNCTION("""COMPUTED_VALUE"""),507124.0)</f>
        <v>507124</v>
      </c>
      <c r="Q329" s="35">
        <f>IFERROR(__xludf.DUMMYFUNCTION("""COMPUTED_VALUE"""),854156.0)</f>
        <v>854156</v>
      </c>
    </row>
    <row r="330">
      <c r="A330" s="35">
        <f>IFERROR(__xludf.DUMMYFUNCTION("""COMPUTED_VALUE"""),329.0)</f>
        <v>329</v>
      </c>
      <c r="B330" s="35" t="str">
        <f>IFERROR(__xludf.DUMMYFUNCTION("""COMPUTED_VALUE"""),"Longest Increasing Path in a Matrix")</f>
        <v>Longest Increasing Path in a Matrix</v>
      </c>
      <c r="C330" s="35" t="str">
        <f>IFERROR(__xludf.DUMMYFUNCTION("""COMPUTED_VALUE"""),"longest-increasing-path-in-a-matrix")</f>
        <v>longest-increasing-path-in-a-matrix</v>
      </c>
      <c r="D330" s="35" t="b">
        <f>IFERROR(__xludf.DUMMYFUNCTION("""COMPUTED_VALUE"""),FALSE)</f>
        <v>0</v>
      </c>
      <c r="E330" s="35" t="str">
        <f>IFERROR(__xludf.DUMMYFUNCTION("""COMPUTED_VALUE"""),"Hard")</f>
        <v>Hard</v>
      </c>
      <c r="F330" s="35">
        <f>IFERROR(__xludf.DUMMYFUNCTION("""COMPUTED_VALUE"""),4958.0)</f>
        <v>4958</v>
      </c>
      <c r="G330" s="35">
        <f>IFERROR(__xludf.DUMMYFUNCTION("""COMPUTED_VALUE"""),86.0)</f>
        <v>86</v>
      </c>
      <c r="H330" s="35" t="str">
        <f>IFERROR(__xludf.DUMMYFUNCTION("""COMPUTED_VALUE"""),"Algorithms")</f>
        <v>Algorithms</v>
      </c>
      <c r="I330" s="35">
        <f>IFERROR(__xludf.DUMMYFUNCTION("""COMPUTED_VALUE"""),0.493)</f>
        <v>0.493</v>
      </c>
      <c r="J330" s="35">
        <f>IFERROR(__xludf.DUMMYFUNCTION("""COMPUTED_VALUE"""),329.0)</f>
        <v>329</v>
      </c>
      <c r="K330" s="35" t="b">
        <f>IFERROR(__xludf.DUMMYFUNCTION("""COMPUTED_VALUE"""),FALSE)</f>
        <v>0</v>
      </c>
      <c r="L330" s="35" t="str">
        <f>IFERROR(__xludf.DUMMYFUNCTION("""COMPUTED_VALUE"""),"Dynamic Programming;Depth-First Search;Breadth-First Search;Graph;Topological Sort;Memoization;")</f>
        <v>Dynamic Programming;Depth-First Search;Breadth-First Search;Graph;Topological Sort;Memoization;</v>
      </c>
      <c r="M330" s="35" t="b">
        <f>IFERROR(__xludf.DUMMYFUNCTION("""COMPUTED_VALUE"""),TRUE)</f>
        <v>1</v>
      </c>
      <c r="N330" s="35" t="b">
        <f>IFERROR(__xludf.DUMMYFUNCTION("""COMPUTED_VALUE"""),FALSE)</f>
        <v>0</v>
      </c>
      <c r="O330" s="35">
        <f>IFERROR(__xludf.DUMMYFUNCTION("""COMPUTED_VALUE"""),49.3145649333346)</f>
        <v>49.31456493</v>
      </c>
      <c r="P330" s="35">
        <f>IFERROR(__xludf.DUMMYFUNCTION("""COMPUTED_VALUE"""),307204.0)</f>
        <v>307204</v>
      </c>
      <c r="Q330" s="35">
        <f>IFERROR(__xludf.DUMMYFUNCTION("""COMPUTED_VALUE"""),622948.0)</f>
        <v>622948</v>
      </c>
    </row>
    <row r="331">
      <c r="A331" s="35">
        <f>IFERROR(__xludf.DUMMYFUNCTION("""COMPUTED_VALUE"""),330.0)</f>
        <v>330</v>
      </c>
      <c r="B331" s="35" t="str">
        <f>IFERROR(__xludf.DUMMYFUNCTION("""COMPUTED_VALUE"""),"Patching Array")</f>
        <v>Patching Array</v>
      </c>
      <c r="C331" s="35" t="str">
        <f>IFERROR(__xludf.DUMMYFUNCTION("""COMPUTED_VALUE"""),"patching-array")</f>
        <v>patching-array</v>
      </c>
      <c r="D331" s="35" t="b">
        <f>IFERROR(__xludf.DUMMYFUNCTION("""COMPUTED_VALUE"""),FALSE)</f>
        <v>0</v>
      </c>
      <c r="E331" s="35" t="str">
        <f>IFERROR(__xludf.DUMMYFUNCTION("""COMPUTED_VALUE"""),"Hard")</f>
        <v>Hard</v>
      </c>
      <c r="F331" s="35">
        <f>IFERROR(__xludf.DUMMYFUNCTION("""COMPUTED_VALUE"""),1071.0)</f>
        <v>1071</v>
      </c>
      <c r="G331" s="35">
        <f>IFERROR(__xludf.DUMMYFUNCTION("""COMPUTED_VALUE"""),113.0)</f>
        <v>113</v>
      </c>
      <c r="H331" s="35" t="str">
        <f>IFERROR(__xludf.DUMMYFUNCTION("""COMPUTED_VALUE"""),"Algorithms")</f>
        <v>Algorithms</v>
      </c>
      <c r="I331" s="35">
        <f>IFERROR(__xludf.DUMMYFUNCTION("""COMPUTED_VALUE"""),0.394)</f>
        <v>0.394</v>
      </c>
      <c r="J331" s="35">
        <f>IFERROR(__xludf.DUMMYFUNCTION("""COMPUTED_VALUE"""),330.0)</f>
        <v>330</v>
      </c>
      <c r="K331" s="35" t="b">
        <f>IFERROR(__xludf.DUMMYFUNCTION("""COMPUTED_VALUE"""),FALSE)</f>
        <v>0</v>
      </c>
      <c r="L331" s="35" t="str">
        <f>IFERROR(__xludf.DUMMYFUNCTION("""COMPUTED_VALUE"""),"Array;Greedy;")</f>
        <v>Array;Greedy;</v>
      </c>
      <c r="M331" s="35" t="b">
        <f>IFERROR(__xludf.DUMMYFUNCTION("""COMPUTED_VALUE"""),TRUE)</f>
        <v>1</v>
      </c>
      <c r="N331" s="35" t="b">
        <f>IFERROR(__xludf.DUMMYFUNCTION("""COMPUTED_VALUE"""),FALSE)</f>
        <v>0</v>
      </c>
      <c r="O331" s="35">
        <f>IFERROR(__xludf.DUMMYFUNCTION("""COMPUTED_VALUE"""),39.4128802676345)</f>
        <v>39.41288027</v>
      </c>
      <c r="P331" s="35">
        <f>IFERROR(__xludf.DUMMYFUNCTION("""COMPUTED_VALUE"""),55489.0)</f>
        <v>55489</v>
      </c>
      <c r="Q331" s="35">
        <f>IFERROR(__xludf.DUMMYFUNCTION("""COMPUTED_VALUE"""),140789.0)</f>
        <v>140789</v>
      </c>
    </row>
    <row r="332">
      <c r="A332" s="35">
        <f>IFERROR(__xludf.DUMMYFUNCTION("""COMPUTED_VALUE"""),331.0)</f>
        <v>331</v>
      </c>
      <c r="B332" s="35" t="str">
        <f>IFERROR(__xludf.DUMMYFUNCTION("""COMPUTED_VALUE"""),"Verify Preorder Serialization of a Binary Tree")</f>
        <v>Verify Preorder Serialization of a Binary Tree</v>
      </c>
      <c r="C332" s="35" t="str">
        <f>IFERROR(__xludf.DUMMYFUNCTION("""COMPUTED_VALUE"""),"verify-preorder-serialization-of-a-binary-tree")</f>
        <v>verify-preorder-serialization-of-a-binary-tree</v>
      </c>
      <c r="D332" s="35" t="b">
        <f>IFERROR(__xludf.DUMMYFUNCTION("""COMPUTED_VALUE"""),FALSE)</f>
        <v>0</v>
      </c>
      <c r="E332" s="35" t="str">
        <f>IFERROR(__xludf.DUMMYFUNCTION("""COMPUTED_VALUE"""),"Medium")</f>
        <v>Medium</v>
      </c>
      <c r="F332" s="35">
        <f>IFERROR(__xludf.DUMMYFUNCTION("""COMPUTED_VALUE"""),1618.0)</f>
        <v>1618</v>
      </c>
      <c r="G332" s="35">
        <f>IFERROR(__xludf.DUMMYFUNCTION("""COMPUTED_VALUE"""),80.0)</f>
        <v>80</v>
      </c>
      <c r="H332" s="35" t="str">
        <f>IFERROR(__xludf.DUMMYFUNCTION("""COMPUTED_VALUE"""),"Algorithms")</f>
        <v>Algorithms</v>
      </c>
      <c r="I332" s="35">
        <f>IFERROR(__xludf.DUMMYFUNCTION("""COMPUTED_VALUE"""),0.436)</f>
        <v>0.436</v>
      </c>
      <c r="J332" s="35">
        <f>IFERROR(__xludf.DUMMYFUNCTION("""COMPUTED_VALUE"""),331.0)</f>
        <v>331</v>
      </c>
      <c r="K332" s="35" t="b">
        <f>IFERROR(__xludf.DUMMYFUNCTION("""COMPUTED_VALUE"""),FALSE)</f>
        <v>0</v>
      </c>
      <c r="L332" s="35" t="str">
        <f>IFERROR(__xludf.DUMMYFUNCTION("""COMPUTED_VALUE"""),"String;Stack;Tree;Binary Tree;")</f>
        <v>String;Stack;Tree;Binary Tree;</v>
      </c>
      <c r="M332" s="35" t="b">
        <f>IFERROR(__xludf.DUMMYFUNCTION("""COMPUTED_VALUE"""),TRUE)</f>
        <v>1</v>
      </c>
      <c r="N332" s="35" t="b">
        <f>IFERROR(__xludf.DUMMYFUNCTION("""COMPUTED_VALUE"""),FALSE)</f>
        <v>0</v>
      </c>
      <c r="O332" s="35">
        <f>IFERROR(__xludf.DUMMYFUNCTION("""COMPUTED_VALUE"""),43.6072407603658)</f>
        <v>43.60724076</v>
      </c>
      <c r="P332" s="35">
        <f>IFERROR(__xludf.DUMMYFUNCTION("""COMPUTED_VALUE"""),111512.0)</f>
        <v>111512</v>
      </c>
      <c r="Q332" s="35">
        <f>IFERROR(__xludf.DUMMYFUNCTION("""COMPUTED_VALUE"""),255717.0)</f>
        <v>255717</v>
      </c>
    </row>
    <row r="333">
      <c r="A333" s="35">
        <f>IFERROR(__xludf.DUMMYFUNCTION("""COMPUTED_VALUE"""),332.0)</f>
        <v>332</v>
      </c>
      <c r="B333" s="35" t="str">
        <f>IFERROR(__xludf.DUMMYFUNCTION("""COMPUTED_VALUE"""),"Reconstruct Itinerary")</f>
        <v>Reconstruct Itinerary</v>
      </c>
      <c r="C333" s="35" t="str">
        <f>IFERROR(__xludf.DUMMYFUNCTION("""COMPUTED_VALUE"""),"reconstruct-itinerary")</f>
        <v>reconstruct-itinerary</v>
      </c>
      <c r="D333" s="35" t="b">
        <f>IFERROR(__xludf.DUMMYFUNCTION("""COMPUTED_VALUE"""),FALSE)</f>
        <v>0</v>
      </c>
      <c r="E333" s="35" t="str">
        <f>IFERROR(__xludf.DUMMYFUNCTION("""COMPUTED_VALUE"""),"Hard")</f>
        <v>Hard</v>
      </c>
      <c r="F333" s="35">
        <f>IFERROR(__xludf.DUMMYFUNCTION("""COMPUTED_VALUE"""),3674.0)</f>
        <v>3674</v>
      </c>
      <c r="G333" s="35">
        <f>IFERROR(__xludf.DUMMYFUNCTION("""COMPUTED_VALUE"""),1539.0)</f>
        <v>1539</v>
      </c>
      <c r="H333" s="35" t="str">
        <f>IFERROR(__xludf.DUMMYFUNCTION("""COMPUTED_VALUE"""),"Algorithms")</f>
        <v>Algorithms</v>
      </c>
      <c r="I333" s="35">
        <f>IFERROR(__xludf.DUMMYFUNCTION("""COMPUTED_VALUE"""),0.4)</f>
        <v>0.4</v>
      </c>
      <c r="J333" s="35">
        <f>IFERROR(__xludf.DUMMYFUNCTION("""COMPUTED_VALUE"""),332.0)</f>
        <v>332</v>
      </c>
      <c r="K333" s="35" t="b">
        <f>IFERROR(__xludf.DUMMYFUNCTION("""COMPUTED_VALUE"""),FALSE)</f>
        <v>0</v>
      </c>
      <c r="L333" s="35" t="str">
        <f>IFERROR(__xludf.DUMMYFUNCTION("""COMPUTED_VALUE"""),"Depth-First Search;Graph;Eulerian Circuit;")</f>
        <v>Depth-First Search;Graph;Eulerian Circuit;</v>
      </c>
      <c r="M333" s="35" t="b">
        <f>IFERROR(__xludf.DUMMYFUNCTION("""COMPUTED_VALUE"""),TRUE)</f>
        <v>1</v>
      </c>
      <c r="N333" s="35" t="b">
        <f>IFERROR(__xludf.DUMMYFUNCTION("""COMPUTED_VALUE"""),FALSE)</f>
        <v>0</v>
      </c>
      <c r="O333" s="35">
        <f>IFERROR(__xludf.DUMMYFUNCTION("""COMPUTED_VALUE"""),39.9631599766207)</f>
        <v>39.96315998</v>
      </c>
      <c r="P333" s="35">
        <f>IFERROR(__xludf.DUMMYFUNCTION("""COMPUTED_VALUE"""),270755.0)</f>
        <v>270755</v>
      </c>
      <c r="Q333" s="35">
        <f>IFERROR(__xludf.DUMMYFUNCTION("""COMPUTED_VALUE"""),677518.0)</f>
        <v>677518</v>
      </c>
    </row>
    <row r="334">
      <c r="A334" s="35">
        <f>IFERROR(__xludf.DUMMYFUNCTION("""COMPUTED_VALUE"""),333.0)</f>
        <v>333</v>
      </c>
      <c r="B334" s="35" t="str">
        <f>IFERROR(__xludf.DUMMYFUNCTION("""COMPUTED_VALUE"""),"Largest BST Subtree")</f>
        <v>Largest BST Subtree</v>
      </c>
      <c r="C334" s="35" t="str">
        <f>IFERROR(__xludf.DUMMYFUNCTION("""COMPUTED_VALUE"""),"largest-bst-subtree")</f>
        <v>largest-bst-subtree</v>
      </c>
      <c r="D334" s="35" t="b">
        <f>IFERROR(__xludf.DUMMYFUNCTION("""COMPUTED_VALUE"""),TRUE)</f>
        <v>1</v>
      </c>
      <c r="E334" s="35" t="str">
        <f>IFERROR(__xludf.DUMMYFUNCTION("""COMPUTED_VALUE"""),"Medium")</f>
        <v>Medium</v>
      </c>
      <c r="F334" s="35">
        <f>IFERROR(__xludf.DUMMYFUNCTION("""COMPUTED_VALUE"""),1140.0)</f>
        <v>1140</v>
      </c>
      <c r="G334" s="35">
        <f>IFERROR(__xludf.DUMMYFUNCTION("""COMPUTED_VALUE"""),94.0)</f>
        <v>94</v>
      </c>
      <c r="H334" s="35" t="str">
        <f>IFERROR(__xludf.DUMMYFUNCTION("""COMPUTED_VALUE"""),"Algorithms")</f>
        <v>Algorithms</v>
      </c>
      <c r="I334" s="35">
        <f>IFERROR(__xludf.DUMMYFUNCTION("""COMPUTED_VALUE"""),0.409)</f>
        <v>0.409</v>
      </c>
      <c r="J334" s="35">
        <f>IFERROR(__xludf.DUMMYFUNCTION("""COMPUTED_VALUE"""),333.0)</f>
        <v>333</v>
      </c>
      <c r="K334" s="35" t="b">
        <f>IFERROR(__xludf.DUMMYFUNCTION("""COMPUTED_VALUE"""),TRUE)</f>
        <v>1</v>
      </c>
      <c r="L334" s="35" t="str">
        <f>IFERROR(__xludf.DUMMYFUNCTION("""COMPUTED_VALUE"""),"Dynamic Programming;Tree;Depth-First Search;Binary Search Tree;Binary Tree;")</f>
        <v>Dynamic Programming;Tree;Depth-First Search;Binary Search Tree;Binary Tree;</v>
      </c>
      <c r="M334" s="35" t="b">
        <f>IFERROR(__xludf.DUMMYFUNCTION("""COMPUTED_VALUE"""),TRUE)</f>
        <v>1</v>
      </c>
      <c r="N334" s="35" t="b">
        <f>IFERROR(__xludf.DUMMYFUNCTION("""COMPUTED_VALUE"""),FALSE)</f>
        <v>0</v>
      </c>
      <c r="O334" s="35">
        <f>IFERROR(__xludf.DUMMYFUNCTION("""COMPUTED_VALUE"""),40.9341453344343)</f>
        <v>40.93414533</v>
      </c>
      <c r="P334" s="35">
        <f>IFERROR(__xludf.DUMMYFUNCTION("""COMPUTED_VALUE"""),79314.0)</f>
        <v>79314</v>
      </c>
      <c r="Q334" s="35">
        <f>IFERROR(__xludf.DUMMYFUNCTION("""COMPUTED_VALUE"""),193760.0)</f>
        <v>193760</v>
      </c>
    </row>
    <row r="335">
      <c r="A335" s="35">
        <f>IFERROR(__xludf.DUMMYFUNCTION("""COMPUTED_VALUE"""),334.0)</f>
        <v>334</v>
      </c>
      <c r="B335" s="35" t="str">
        <f>IFERROR(__xludf.DUMMYFUNCTION("""COMPUTED_VALUE"""),"Increasing Triplet Subsequence")</f>
        <v>Increasing Triplet Subsequence</v>
      </c>
      <c r="C335" s="35" t="str">
        <f>IFERROR(__xludf.DUMMYFUNCTION("""COMPUTED_VALUE"""),"increasing-triplet-subsequence")</f>
        <v>increasing-triplet-subsequence</v>
      </c>
      <c r="D335" s="35" t="b">
        <f>IFERROR(__xludf.DUMMYFUNCTION("""COMPUTED_VALUE"""),FALSE)</f>
        <v>0</v>
      </c>
      <c r="E335" s="35" t="str">
        <f>IFERROR(__xludf.DUMMYFUNCTION("""COMPUTED_VALUE"""),"Medium")</f>
        <v>Medium</v>
      </c>
      <c r="F335" s="35">
        <f>IFERROR(__xludf.DUMMYFUNCTION("""COMPUTED_VALUE"""),3655.0)</f>
        <v>3655</v>
      </c>
      <c r="G335" s="35">
        <f>IFERROR(__xludf.DUMMYFUNCTION("""COMPUTED_VALUE"""),204.0)</f>
        <v>204</v>
      </c>
      <c r="H335" s="35" t="str">
        <f>IFERROR(__xludf.DUMMYFUNCTION("""COMPUTED_VALUE"""),"Algorithms")</f>
        <v>Algorithms</v>
      </c>
      <c r="I335" s="35">
        <f>IFERROR(__xludf.DUMMYFUNCTION("""COMPUTED_VALUE"""),0.414)</f>
        <v>0.414</v>
      </c>
      <c r="J335" s="35">
        <f>IFERROR(__xludf.DUMMYFUNCTION("""COMPUTED_VALUE"""),334.0)</f>
        <v>334</v>
      </c>
      <c r="K335" s="35" t="b">
        <f>IFERROR(__xludf.DUMMYFUNCTION("""COMPUTED_VALUE"""),FALSE)</f>
        <v>0</v>
      </c>
      <c r="L335" s="35" t="str">
        <f>IFERROR(__xludf.DUMMYFUNCTION("""COMPUTED_VALUE"""),"Array;Greedy;")</f>
        <v>Array;Greedy;</v>
      </c>
      <c r="M335" s="35" t="b">
        <f>IFERROR(__xludf.DUMMYFUNCTION("""COMPUTED_VALUE"""),TRUE)</f>
        <v>1</v>
      </c>
      <c r="N335" s="35" t="b">
        <f>IFERROR(__xludf.DUMMYFUNCTION("""COMPUTED_VALUE"""),FALSE)</f>
        <v>0</v>
      </c>
      <c r="O335" s="35">
        <f>IFERROR(__xludf.DUMMYFUNCTION("""COMPUTED_VALUE"""),41.4154863258631)</f>
        <v>41.41548633</v>
      </c>
      <c r="P335" s="35">
        <f>IFERROR(__xludf.DUMMYFUNCTION("""COMPUTED_VALUE"""),260349.0)</f>
        <v>260349</v>
      </c>
      <c r="Q335" s="35">
        <f>IFERROR(__xludf.DUMMYFUNCTION("""COMPUTED_VALUE"""),628619.0)</f>
        <v>628619</v>
      </c>
    </row>
    <row r="336">
      <c r="A336" s="35">
        <f>IFERROR(__xludf.DUMMYFUNCTION("""COMPUTED_VALUE"""),335.0)</f>
        <v>335</v>
      </c>
      <c r="B336" s="35" t="str">
        <f>IFERROR(__xludf.DUMMYFUNCTION("""COMPUTED_VALUE"""),"Self Crossing")</f>
        <v>Self Crossing</v>
      </c>
      <c r="C336" s="35" t="str">
        <f>IFERROR(__xludf.DUMMYFUNCTION("""COMPUTED_VALUE"""),"self-crossing")</f>
        <v>self-crossing</v>
      </c>
      <c r="D336" s="35" t="b">
        <f>IFERROR(__xludf.DUMMYFUNCTION("""COMPUTED_VALUE"""),FALSE)</f>
        <v>0</v>
      </c>
      <c r="E336" s="35" t="str">
        <f>IFERROR(__xludf.DUMMYFUNCTION("""COMPUTED_VALUE"""),"Hard")</f>
        <v>Hard</v>
      </c>
      <c r="F336" s="35">
        <f>IFERROR(__xludf.DUMMYFUNCTION("""COMPUTED_VALUE"""),242.0)</f>
        <v>242</v>
      </c>
      <c r="G336" s="35">
        <f>IFERROR(__xludf.DUMMYFUNCTION("""COMPUTED_VALUE"""),439.0)</f>
        <v>439</v>
      </c>
      <c r="H336" s="35" t="str">
        <f>IFERROR(__xludf.DUMMYFUNCTION("""COMPUTED_VALUE"""),"Algorithms")</f>
        <v>Algorithms</v>
      </c>
      <c r="I336" s="35">
        <f>IFERROR(__xludf.DUMMYFUNCTION("""COMPUTED_VALUE"""),0.291)</f>
        <v>0.291</v>
      </c>
      <c r="J336" s="35">
        <f>IFERROR(__xludf.DUMMYFUNCTION("""COMPUTED_VALUE"""),335.0)</f>
        <v>335</v>
      </c>
      <c r="K336" s="35" t="b">
        <f>IFERROR(__xludf.DUMMYFUNCTION("""COMPUTED_VALUE"""),FALSE)</f>
        <v>0</v>
      </c>
      <c r="L336" s="35" t="str">
        <f>IFERROR(__xludf.DUMMYFUNCTION("""COMPUTED_VALUE"""),"Array;Math;Geometry;")</f>
        <v>Array;Math;Geometry;</v>
      </c>
      <c r="M336" s="35" t="b">
        <f>IFERROR(__xludf.DUMMYFUNCTION("""COMPUTED_VALUE"""),FALSE)</f>
        <v>0</v>
      </c>
      <c r="N336" s="35" t="b">
        <f>IFERROR(__xludf.DUMMYFUNCTION("""COMPUTED_VALUE"""),FALSE)</f>
        <v>0</v>
      </c>
      <c r="O336" s="35">
        <f>IFERROR(__xludf.DUMMYFUNCTION("""COMPUTED_VALUE"""),29.0828884697759)</f>
        <v>29.08288847</v>
      </c>
      <c r="P336" s="35">
        <f>IFERROR(__xludf.DUMMYFUNCTION("""COMPUTED_VALUE"""),27294.0)</f>
        <v>27294</v>
      </c>
      <c r="Q336" s="35">
        <f>IFERROR(__xludf.DUMMYFUNCTION("""COMPUTED_VALUE"""),93849.0)</f>
        <v>93849</v>
      </c>
    </row>
    <row r="337">
      <c r="A337" s="35">
        <f>IFERROR(__xludf.DUMMYFUNCTION("""COMPUTED_VALUE"""),336.0)</f>
        <v>336</v>
      </c>
      <c r="B337" s="35" t="str">
        <f>IFERROR(__xludf.DUMMYFUNCTION("""COMPUTED_VALUE"""),"Palindrome Pairs")</f>
        <v>Palindrome Pairs</v>
      </c>
      <c r="C337" s="35" t="str">
        <f>IFERROR(__xludf.DUMMYFUNCTION("""COMPUTED_VALUE"""),"palindrome-pairs")</f>
        <v>palindrome-pairs</v>
      </c>
      <c r="D337" s="35" t="b">
        <f>IFERROR(__xludf.DUMMYFUNCTION("""COMPUTED_VALUE"""),FALSE)</f>
        <v>0</v>
      </c>
      <c r="E337" s="35" t="str">
        <f>IFERROR(__xludf.DUMMYFUNCTION("""COMPUTED_VALUE"""),"Hard")</f>
        <v>Hard</v>
      </c>
      <c r="F337" s="35">
        <f>IFERROR(__xludf.DUMMYFUNCTION("""COMPUTED_VALUE"""),2567.0)</f>
        <v>2567</v>
      </c>
      <c r="G337" s="35">
        <f>IFERROR(__xludf.DUMMYFUNCTION("""COMPUTED_VALUE"""),230.0)</f>
        <v>230</v>
      </c>
      <c r="H337" s="35" t="str">
        <f>IFERROR(__xludf.DUMMYFUNCTION("""COMPUTED_VALUE"""),"Algorithms")</f>
        <v>Algorithms</v>
      </c>
      <c r="I337" s="35">
        <f>IFERROR(__xludf.DUMMYFUNCTION("""COMPUTED_VALUE"""),0.36)</f>
        <v>0.36</v>
      </c>
      <c r="J337" s="35">
        <f>IFERROR(__xludf.DUMMYFUNCTION("""COMPUTED_VALUE"""),336.0)</f>
        <v>336</v>
      </c>
      <c r="K337" s="35" t="b">
        <f>IFERROR(__xludf.DUMMYFUNCTION("""COMPUTED_VALUE"""),FALSE)</f>
        <v>0</v>
      </c>
      <c r="L337" s="35" t="str">
        <f>IFERROR(__xludf.DUMMYFUNCTION("""COMPUTED_VALUE"""),"Array;Hash Table;String;Trie;")</f>
        <v>Array;Hash Table;String;Trie;</v>
      </c>
      <c r="M337" s="35" t="b">
        <f>IFERROR(__xludf.DUMMYFUNCTION("""COMPUTED_VALUE"""),TRUE)</f>
        <v>1</v>
      </c>
      <c r="N337" s="35" t="b">
        <f>IFERROR(__xludf.DUMMYFUNCTION("""COMPUTED_VALUE"""),FALSE)</f>
        <v>0</v>
      </c>
      <c r="O337" s="35">
        <f>IFERROR(__xludf.DUMMYFUNCTION("""COMPUTED_VALUE"""),35.9804488619579)</f>
        <v>35.98044886</v>
      </c>
      <c r="P337" s="35">
        <f>IFERROR(__xludf.DUMMYFUNCTION("""COMPUTED_VALUE"""),144943.0)</f>
        <v>144943</v>
      </c>
      <c r="Q337" s="35">
        <f>IFERROR(__xludf.DUMMYFUNCTION("""COMPUTED_VALUE"""),402834.0)</f>
        <v>402834</v>
      </c>
    </row>
    <row r="338">
      <c r="A338" s="35">
        <f>IFERROR(__xludf.DUMMYFUNCTION("""COMPUTED_VALUE"""),337.0)</f>
        <v>337</v>
      </c>
      <c r="B338" s="35" t="str">
        <f>IFERROR(__xludf.DUMMYFUNCTION("""COMPUTED_VALUE"""),"House Robber III")</f>
        <v>House Robber III</v>
      </c>
      <c r="C338" s="35" t="str">
        <f>IFERROR(__xludf.DUMMYFUNCTION("""COMPUTED_VALUE"""),"house-robber-iii")</f>
        <v>house-robber-iii</v>
      </c>
      <c r="D338" s="35" t="b">
        <f>IFERROR(__xludf.DUMMYFUNCTION("""COMPUTED_VALUE"""),FALSE)</f>
        <v>0</v>
      </c>
      <c r="E338" s="35" t="str">
        <f>IFERROR(__xludf.DUMMYFUNCTION("""COMPUTED_VALUE"""),"Medium")</f>
        <v>Medium</v>
      </c>
      <c r="F338" s="35">
        <f>IFERROR(__xludf.DUMMYFUNCTION("""COMPUTED_VALUE"""),6007.0)</f>
        <v>6007</v>
      </c>
      <c r="G338" s="35">
        <f>IFERROR(__xludf.DUMMYFUNCTION("""COMPUTED_VALUE"""),93.0)</f>
        <v>93</v>
      </c>
      <c r="H338" s="35" t="str">
        <f>IFERROR(__xludf.DUMMYFUNCTION("""COMPUTED_VALUE"""),"Algorithms")</f>
        <v>Algorithms</v>
      </c>
      <c r="I338" s="35">
        <f>IFERROR(__xludf.DUMMYFUNCTION("""COMPUTED_VALUE"""),0.534)</f>
        <v>0.534</v>
      </c>
      <c r="J338" s="35">
        <f>IFERROR(__xludf.DUMMYFUNCTION("""COMPUTED_VALUE"""),337.0)</f>
        <v>337</v>
      </c>
      <c r="K338" s="35" t="b">
        <f>IFERROR(__xludf.DUMMYFUNCTION("""COMPUTED_VALUE"""),FALSE)</f>
        <v>0</v>
      </c>
      <c r="L338" s="35" t="str">
        <f>IFERROR(__xludf.DUMMYFUNCTION("""COMPUTED_VALUE"""),"Dynamic Programming;Tree;Depth-First Search;Binary Tree;")</f>
        <v>Dynamic Programming;Tree;Depth-First Search;Binary Tree;</v>
      </c>
      <c r="M338" s="35" t="b">
        <f>IFERROR(__xludf.DUMMYFUNCTION("""COMPUTED_VALUE"""),TRUE)</f>
        <v>1</v>
      </c>
      <c r="N338" s="35" t="b">
        <f>IFERROR(__xludf.DUMMYFUNCTION("""COMPUTED_VALUE"""),FALSE)</f>
        <v>0</v>
      </c>
      <c r="O338" s="35">
        <f>IFERROR(__xludf.DUMMYFUNCTION("""COMPUTED_VALUE"""),53.4026599571421)</f>
        <v>53.40265996</v>
      </c>
      <c r="P338" s="35">
        <f>IFERROR(__xludf.DUMMYFUNCTION("""COMPUTED_VALUE"""),277617.0)</f>
        <v>277617</v>
      </c>
      <c r="Q338" s="35">
        <f>IFERROR(__xludf.DUMMYFUNCTION("""COMPUTED_VALUE"""),519854.0)</f>
        <v>519854</v>
      </c>
    </row>
    <row r="339">
      <c r="A339" s="35">
        <f>IFERROR(__xludf.DUMMYFUNCTION("""COMPUTED_VALUE"""),338.0)</f>
        <v>338</v>
      </c>
      <c r="B339" s="35" t="str">
        <f>IFERROR(__xludf.DUMMYFUNCTION("""COMPUTED_VALUE"""),"Counting Bits")</f>
        <v>Counting Bits</v>
      </c>
      <c r="C339" s="35" t="str">
        <f>IFERROR(__xludf.DUMMYFUNCTION("""COMPUTED_VALUE"""),"counting-bits")</f>
        <v>counting-bits</v>
      </c>
      <c r="D339" s="35" t="b">
        <f>IFERROR(__xludf.DUMMYFUNCTION("""COMPUTED_VALUE"""),FALSE)</f>
        <v>0</v>
      </c>
      <c r="E339" s="35" t="str">
        <f>IFERROR(__xludf.DUMMYFUNCTION("""COMPUTED_VALUE"""),"Easy")</f>
        <v>Easy</v>
      </c>
      <c r="F339" s="35">
        <f>IFERROR(__xludf.DUMMYFUNCTION("""COMPUTED_VALUE"""),6551.0)</f>
        <v>6551</v>
      </c>
      <c r="G339" s="35">
        <f>IFERROR(__xludf.DUMMYFUNCTION("""COMPUTED_VALUE"""),308.0)</f>
        <v>308</v>
      </c>
      <c r="H339" s="35" t="str">
        <f>IFERROR(__xludf.DUMMYFUNCTION("""COMPUTED_VALUE"""),"Algorithms")</f>
        <v>Algorithms</v>
      </c>
      <c r="I339" s="35">
        <f>IFERROR(__xludf.DUMMYFUNCTION("""COMPUTED_VALUE"""),0.74)</f>
        <v>0.74</v>
      </c>
      <c r="J339" s="35">
        <f>IFERROR(__xludf.DUMMYFUNCTION("""COMPUTED_VALUE"""),338.0)</f>
        <v>338</v>
      </c>
      <c r="K339" s="35" t="b">
        <f>IFERROR(__xludf.DUMMYFUNCTION("""COMPUTED_VALUE"""),FALSE)</f>
        <v>0</v>
      </c>
      <c r="L339" s="35" t="str">
        <f>IFERROR(__xludf.DUMMYFUNCTION("""COMPUTED_VALUE"""),"Dynamic Programming;Bit Manipulation;")</f>
        <v>Dynamic Programming;Bit Manipulation;</v>
      </c>
      <c r="M339" s="35" t="b">
        <f>IFERROR(__xludf.DUMMYFUNCTION("""COMPUTED_VALUE"""),TRUE)</f>
        <v>1</v>
      </c>
      <c r="N339" s="35" t="b">
        <f>IFERROR(__xludf.DUMMYFUNCTION("""COMPUTED_VALUE"""),FALSE)</f>
        <v>0</v>
      </c>
      <c r="O339" s="35">
        <f>IFERROR(__xludf.DUMMYFUNCTION("""COMPUTED_VALUE"""),73.9935261296166)</f>
        <v>73.99352613</v>
      </c>
      <c r="P339" s="35">
        <f>IFERROR(__xludf.DUMMYFUNCTION("""COMPUTED_VALUE"""),541978.0)</f>
        <v>541978</v>
      </c>
      <c r="Q339" s="35">
        <f>IFERROR(__xludf.DUMMYFUNCTION("""COMPUTED_VALUE"""),732468.0)</f>
        <v>732468</v>
      </c>
    </row>
    <row r="340">
      <c r="A340" s="35">
        <f>IFERROR(__xludf.DUMMYFUNCTION("""COMPUTED_VALUE"""),339.0)</f>
        <v>339</v>
      </c>
      <c r="B340" s="35" t="str">
        <f>IFERROR(__xludf.DUMMYFUNCTION("""COMPUTED_VALUE"""),"Nested List Weight Sum")</f>
        <v>Nested List Weight Sum</v>
      </c>
      <c r="C340" s="35" t="str">
        <f>IFERROR(__xludf.DUMMYFUNCTION("""COMPUTED_VALUE"""),"nested-list-weight-sum")</f>
        <v>nested-list-weight-sum</v>
      </c>
      <c r="D340" s="35" t="b">
        <f>IFERROR(__xludf.DUMMYFUNCTION("""COMPUTED_VALUE"""),TRUE)</f>
        <v>1</v>
      </c>
      <c r="E340" s="35" t="str">
        <f>IFERROR(__xludf.DUMMYFUNCTION("""COMPUTED_VALUE"""),"Medium")</f>
        <v>Medium</v>
      </c>
      <c r="F340" s="35">
        <f>IFERROR(__xludf.DUMMYFUNCTION("""COMPUTED_VALUE"""),1211.0)</f>
        <v>1211</v>
      </c>
      <c r="G340" s="35">
        <f>IFERROR(__xludf.DUMMYFUNCTION("""COMPUTED_VALUE"""),279.0)</f>
        <v>279</v>
      </c>
      <c r="H340" s="35" t="str">
        <f>IFERROR(__xludf.DUMMYFUNCTION("""COMPUTED_VALUE"""),"Algorithms")</f>
        <v>Algorithms</v>
      </c>
      <c r="I340" s="35">
        <f>IFERROR(__xludf.DUMMYFUNCTION("""COMPUTED_VALUE"""),0.806)</f>
        <v>0.806</v>
      </c>
      <c r="J340" s="35">
        <f>IFERROR(__xludf.DUMMYFUNCTION("""COMPUTED_VALUE"""),339.0)</f>
        <v>339</v>
      </c>
      <c r="K340" s="35" t="b">
        <f>IFERROR(__xludf.DUMMYFUNCTION("""COMPUTED_VALUE"""),TRUE)</f>
        <v>1</v>
      </c>
      <c r="L340" s="35" t="str">
        <f>IFERROR(__xludf.DUMMYFUNCTION("""COMPUTED_VALUE"""),"Depth-First Search;Breadth-First Search;")</f>
        <v>Depth-First Search;Breadth-First Search;</v>
      </c>
      <c r="M340" s="35" t="b">
        <f>IFERROR(__xludf.DUMMYFUNCTION("""COMPUTED_VALUE"""),TRUE)</f>
        <v>1</v>
      </c>
      <c r="N340" s="35" t="b">
        <f>IFERROR(__xludf.DUMMYFUNCTION("""COMPUTED_VALUE"""),TRUE)</f>
        <v>1</v>
      </c>
      <c r="O340" s="35">
        <f>IFERROR(__xludf.DUMMYFUNCTION("""COMPUTED_VALUE"""),80.5868264017343)</f>
        <v>80.5868264</v>
      </c>
      <c r="P340" s="35">
        <f>IFERROR(__xludf.DUMMYFUNCTION("""COMPUTED_VALUE"""),177313.0)</f>
        <v>177313</v>
      </c>
      <c r="Q340" s="35">
        <f>IFERROR(__xludf.DUMMYFUNCTION("""COMPUTED_VALUE"""),220028.0)</f>
        <v>220028</v>
      </c>
    </row>
    <row r="341">
      <c r="A341" s="35">
        <f>IFERROR(__xludf.DUMMYFUNCTION("""COMPUTED_VALUE"""),340.0)</f>
        <v>340</v>
      </c>
      <c r="B341" s="35" t="str">
        <f>IFERROR(__xludf.DUMMYFUNCTION("""COMPUTED_VALUE"""),"Longest Substring with At Most K Distinct Characters")</f>
        <v>Longest Substring with At Most K Distinct Characters</v>
      </c>
      <c r="C341" s="35" t="str">
        <f>IFERROR(__xludf.DUMMYFUNCTION("""COMPUTED_VALUE"""),"longest-substring-with-at-most-k-distinct-characters")</f>
        <v>longest-substring-with-at-most-k-distinct-characters</v>
      </c>
      <c r="D341" s="35" t="b">
        <f>IFERROR(__xludf.DUMMYFUNCTION("""COMPUTED_VALUE"""),TRUE)</f>
        <v>1</v>
      </c>
      <c r="E341" s="35" t="str">
        <f>IFERROR(__xludf.DUMMYFUNCTION("""COMPUTED_VALUE"""),"Medium")</f>
        <v>Medium</v>
      </c>
      <c r="F341" s="35">
        <f>IFERROR(__xludf.DUMMYFUNCTION("""COMPUTED_VALUE"""),2190.0)</f>
        <v>2190</v>
      </c>
      <c r="G341" s="35">
        <f>IFERROR(__xludf.DUMMYFUNCTION("""COMPUTED_VALUE"""),67.0)</f>
        <v>67</v>
      </c>
      <c r="H341" s="35" t="str">
        <f>IFERROR(__xludf.DUMMYFUNCTION("""COMPUTED_VALUE"""),"Algorithms")</f>
        <v>Algorithms</v>
      </c>
      <c r="I341" s="35">
        <f>IFERROR(__xludf.DUMMYFUNCTION("""COMPUTED_VALUE"""),0.472)</f>
        <v>0.472</v>
      </c>
      <c r="J341" s="35">
        <f>IFERROR(__xludf.DUMMYFUNCTION("""COMPUTED_VALUE"""),340.0)</f>
        <v>340</v>
      </c>
      <c r="K341" s="35" t="b">
        <f>IFERROR(__xludf.DUMMYFUNCTION("""COMPUTED_VALUE"""),TRUE)</f>
        <v>1</v>
      </c>
      <c r="L341" s="35" t="str">
        <f>IFERROR(__xludf.DUMMYFUNCTION("""COMPUTED_VALUE"""),"Hash Table;String;Sliding Window;")</f>
        <v>Hash Table;String;Sliding Window;</v>
      </c>
      <c r="M341" s="35" t="b">
        <f>IFERROR(__xludf.DUMMYFUNCTION("""COMPUTED_VALUE"""),TRUE)</f>
        <v>1</v>
      </c>
      <c r="N341" s="35" t="b">
        <f>IFERROR(__xludf.DUMMYFUNCTION("""COMPUTED_VALUE"""),TRUE)</f>
        <v>1</v>
      </c>
      <c r="O341" s="35">
        <f>IFERROR(__xludf.DUMMYFUNCTION("""COMPUTED_VALUE"""),47.2080337971562)</f>
        <v>47.2080338</v>
      </c>
      <c r="P341" s="35">
        <f>IFERROR(__xludf.DUMMYFUNCTION("""COMPUTED_VALUE"""),264048.0)</f>
        <v>264048</v>
      </c>
      <c r="Q341" s="35">
        <f>IFERROR(__xludf.DUMMYFUNCTION("""COMPUTED_VALUE"""),559326.0)</f>
        <v>559326</v>
      </c>
    </row>
    <row r="342">
      <c r="A342" s="35">
        <f>IFERROR(__xludf.DUMMYFUNCTION("""COMPUTED_VALUE"""),341.0)</f>
        <v>341</v>
      </c>
      <c r="B342" s="35" t="str">
        <f>IFERROR(__xludf.DUMMYFUNCTION("""COMPUTED_VALUE"""),"Flatten Nested List Iterator")</f>
        <v>Flatten Nested List Iterator</v>
      </c>
      <c r="C342" s="35" t="str">
        <f>IFERROR(__xludf.DUMMYFUNCTION("""COMPUTED_VALUE"""),"flatten-nested-list-iterator")</f>
        <v>flatten-nested-list-iterator</v>
      </c>
      <c r="D342" s="35" t="b">
        <f>IFERROR(__xludf.DUMMYFUNCTION("""COMPUTED_VALUE"""),FALSE)</f>
        <v>0</v>
      </c>
      <c r="E342" s="35" t="str">
        <f>IFERROR(__xludf.DUMMYFUNCTION("""COMPUTED_VALUE"""),"Medium")</f>
        <v>Medium</v>
      </c>
      <c r="F342" s="35">
        <f>IFERROR(__xludf.DUMMYFUNCTION("""COMPUTED_VALUE"""),2984.0)</f>
        <v>2984</v>
      </c>
      <c r="G342" s="35">
        <f>IFERROR(__xludf.DUMMYFUNCTION("""COMPUTED_VALUE"""),1039.0)</f>
        <v>1039</v>
      </c>
      <c r="H342" s="35" t="str">
        <f>IFERROR(__xludf.DUMMYFUNCTION("""COMPUTED_VALUE"""),"Algorithms")</f>
        <v>Algorithms</v>
      </c>
      <c r="I342" s="35">
        <f>IFERROR(__xludf.DUMMYFUNCTION("""COMPUTED_VALUE"""),0.584)</f>
        <v>0.584</v>
      </c>
      <c r="J342" s="35">
        <f>IFERROR(__xludf.DUMMYFUNCTION("""COMPUTED_VALUE"""),341.0)</f>
        <v>341</v>
      </c>
      <c r="K342" s="35" t="b">
        <f>IFERROR(__xludf.DUMMYFUNCTION("""COMPUTED_VALUE"""),FALSE)</f>
        <v>0</v>
      </c>
      <c r="L342" s="35" t="str">
        <f>IFERROR(__xludf.DUMMYFUNCTION("""COMPUTED_VALUE"""),"Stack;Tree;Depth-First Search;Design;Queue;Iterator;")</f>
        <v>Stack;Tree;Depth-First Search;Design;Queue;Iterator;</v>
      </c>
      <c r="M342" s="35" t="b">
        <f>IFERROR(__xludf.DUMMYFUNCTION("""COMPUTED_VALUE"""),TRUE)</f>
        <v>1</v>
      </c>
      <c r="N342" s="35" t="b">
        <f>IFERROR(__xludf.DUMMYFUNCTION("""COMPUTED_VALUE"""),FALSE)</f>
        <v>0</v>
      </c>
      <c r="O342" s="35">
        <f>IFERROR(__xludf.DUMMYFUNCTION("""COMPUTED_VALUE"""),58.3551300555264)</f>
        <v>58.35513006</v>
      </c>
      <c r="P342" s="35">
        <f>IFERROR(__xludf.DUMMYFUNCTION("""COMPUTED_VALUE"""),277761.0)</f>
        <v>277761</v>
      </c>
      <c r="Q342" s="35">
        <f>IFERROR(__xludf.DUMMYFUNCTION("""COMPUTED_VALUE"""),475984.0)</f>
        <v>475984</v>
      </c>
    </row>
    <row r="343">
      <c r="A343" s="35">
        <f>IFERROR(__xludf.DUMMYFUNCTION("""COMPUTED_VALUE"""),342.0)</f>
        <v>342</v>
      </c>
      <c r="B343" s="35" t="str">
        <f>IFERROR(__xludf.DUMMYFUNCTION("""COMPUTED_VALUE"""),"Power of Four")</f>
        <v>Power of Four</v>
      </c>
      <c r="C343" s="35" t="str">
        <f>IFERROR(__xludf.DUMMYFUNCTION("""COMPUTED_VALUE"""),"power-of-four")</f>
        <v>power-of-four</v>
      </c>
      <c r="D343" s="35" t="b">
        <f>IFERROR(__xludf.DUMMYFUNCTION("""COMPUTED_VALUE"""),FALSE)</f>
        <v>0</v>
      </c>
      <c r="E343" s="35" t="str">
        <f>IFERROR(__xludf.DUMMYFUNCTION("""COMPUTED_VALUE"""),"Easy")</f>
        <v>Easy</v>
      </c>
      <c r="F343" s="35">
        <f>IFERROR(__xludf.DUMMYFUNCTION("""COMPUTED_VALUE"""),1370.0)</f>
        <v>1370</v>
      </c>
      <c r="G343" s="35">
        <f>IFERROR(__xludf.DUMMYFUNCTION("""COMPUTED_VALUE"""),283.0)</f>
        <v>283</v>
      </c>
      <c r="H343" s="35" t="str">
        <f>IFERROR(__xludf.DUMMYFUNCTION("""COMPUTED_VALUE"""),"Algorithms")</f>
        <v>Algorithms</v>
      </c>
      <c r="I343" s="35">
        <f>IFERROR(__xludf.DUMMYFUNCTION("""COMPUTED_VALUE"""),0.437)</f>
        <v>0.437</v>
      </c>
      <c r="J343" s="35">
        <f>IFERROR(__xludf.DUMMYFUNCTION("""COMPUTED_VALUE"""),342.0)</f>
        <v>342</v>
      </c>
      <c r="K343" s="35" t="b">
        <f>IFERROR(__xludf.DUMMYFUNCTION("""COMPUTED_VALUE"""),FALSE)</f>
        <v>0</v>
      </c>
      <c r="L343" s="35" t="str">
        <f>IFERROR(__xludf.DUMMYFUNCTION("""COMPUTED_VALUE"""),"Math;Bit Manipulation;Recursion;")</f>
        <v>Math;Bit Manipulation;Recursion;</v>
      </c>
      <c r="M343" s="35" t="b">
        <f>IFERROR(__xludf.DUMMYFUNCTION("""COMPUTED_VALUE"""),TRUE)</f>
        <v>1</v>
      </c>
      <c r="N343" s="35" t="b">
        <f>IFERROR(__xludf.DUMMYFUNCTION("""COMPUTED_VALUE"""),FALSE)</f>
        <v>0</v>
      </c>
      <c r="O343" s="35">
        <f>IFERROR(__xludf.DUMMYFUNCTION("""COMPUTED_VALUE"""),43.6799514807454)</f>
        <v>43.67995148</v>
      </c>
      <c r="P343" s="35">
        <f>IFERROR(__xludf.DUMMYFUNCTION("""COMPUTED_VALUE"""),283758.0)</f>
        <v>283758</v>
      </c>
      <c r="Q343" s="35">
        <f>IFERROR(__xludf.DUMMYFUNCTION("""COMPUTED_VALUE"""),649635.0)</f>
        <v>649635</v>
      </c>
    </row>
    <row r="344">
      <c r="A344" s="35">
        <f>IFERROR(__xludf.DUMMYFUNCTION("""COMPUTED_VALUE"""),343.0)</f>
        <v>343</v>
      </c>
      <c r="B344" s="35" t="str">
        <f>IFERROR(__xludf.DUMMYFUNCTION("""COMPUTED_VALUE"""),"Integer Break")</f>
        <v>Integer Break</v>
      </c>
      <c r="C344" s="35" t="str">
        <f>IFERROR(__xludf.DUMMYFUNCTION("""COMPUTED_VALUE"""),"integer-break")</f>
        <v>integer-break</v>
      </c>
      <c r="D344" s="35" t="b">
        <f>IFERROR(__xludf.DUMMYFUNCTION("""COMPUTED_VALUE"""),FALSE)</f>
        <v>0</v>
      </c>
      <c r="E344" s="35" t="str">
        <f>IFERROR(__xludf.DUMMYFUNCTION("""COMPUTED_VALUE"""),"Medium")</f>
        <v>Medium</v>
      </c>
      <c r="F344" s="35">
        <f>IFERROR(__xludf.DUMMYFUNCTION("""COMPUTED_VALUE"""),2589.0)</f>
        <v>2589</v>
      </c>
      <c r="G344" s="35">
        <f>IFERROR(__xludf.DUMMYFUNCTION("""COMPUTED_VALUE"""),317.0)</f>
        <v>317</v>
      </c>
      <c r="H344" s="35" t="str">
        <f>IFERROR(__xludf.DUMMYFUNCTION("""COMPUTED_VALUE"""),"Algorithms")</f>
        <v>Algorithms</v>
      </c>
      <c r="I344" s="35">
        <f>IFERROR(__xludf.DUMMYFUNCTION("""COMPUTED_VALUE"""),0.538)</f>
        <v>0.538</v>
      </c>
      <c r="J344" s="35">
        <f>IFERROR(__xludf.DUMMYFUNCTION("""COMPUTED_VALUE"""),343.0)</f>
        <v>343</v>
      </c>
      <c r="K344" s="35" t="b">
        <f>IFERROR(__xludf.DUMMYFUNCTION("""COMPUTED_VALUE"""),FALSE)</f>
        <v>0</v>
      </c>
      <c r="L344" s="35" t="str">
        <f>IFERROR(__xludf.DUMMYFUNCTION("""COMPUTED_VALUE"""),"Math;Dynamic Programming;")</f>
        <v>Math;Dynamic Programming;</v>
      </c>
      <c r="M344" s="35" t="b">
        <f>IFERROR(__xludf.DUMMYFUNCTION("""COMPUTED_VALUE"""),FALSE)</f>
        <v>0</v>
      </c>
      <c r="N344" s="35" t="b">
        <f>IFERROR(__xludf.DUMMYFUNCTION("""COMPUTED_VALUE"""),FALSE)</f>
        <v>0</v>
      </c>
      <c r="O344" s="35">
        <f>IFERROR(__xludf.DUMMYFUNCTION("""COMPUTED_VALUE"""),53.7642226180522)</f>
        <v>53.76422262</v>
      </c>
      <c r="P344" s="35">
        <f>IFERROR(__xludf.DUMMYFUNCTION("""COMPUTED_VALUE"""),177476.0)</f>
        <v>177476</v>
      </c>
      <c r="Q344" s="35">
        <f>IFERROR(__xludf.DUMMYFUNCTION("""COMPUTED_VALUE"""),330102.0)</f>
        <v>330102</v>
      </c>
    </row>
    <row r="345">
      <c r="A345" s="35">
        <f>IFERROR(__xludf.DUMMYFUNCTION("""COMPUTED_VALUE"""),344.0)</f>
        <v>344</v>
      </c>
      <c r="B345" s="35" t="str">
        <f>IFERROR(__xludf.DUMMYFUNCTION("""COMPUTED_VALUE"""),"Reverse String")</f>
        <v>Reverse String</v>
      </c>
      <c r="C345" s="35" t="str">
        <f>IFERROR(__xludf.DUMMYFUNCTION("""COMPUTED_VALUE"""),"reverse-string")</f>
        <v>reverse-string</v>
      </c>
      <c r="D345" s="35" t="b">
        <f>IFERROR(__xludf.DUMMYFUNCTION("""COMPUTED_VALUE"""),FALSE)</f>
        <v>0</v>
      </c>
      <c r="E345" s="35" t="str">
        <f>IFERROR(__xludf.DUMMYFUNCTION("""COMPUTED_VALUE"""),"Easy")</f>
        <v>Easy</v>
      </c>
      <c r="F345" s="35">
        <f>IFERROR(__xludf.DUMMYFUNCTION("""COMPUTED_VALUE"""),4120.0)</f>
        <v>4120</v>
      </c>
      <c r="G345" s="35">
        <f>IFERROR(__xludf.DUMMYFUNCTION("""COMPUTED_VALUE"""),901.0)</f>
        <v>901</v>
      </c>
      <c r="H345" s="35" t="str">
        <f>IFERROR(__xludf.DUMMYFUNCTION("""COMPUTED_VALUE"""),"Algorithms")</f>
        <v>Algorithms</v>
      </c>
      <c r="I345" s="35">
        <f>IFERROR(__xludf.DUMMYFUNCTION("""COMPUTED_VALUE"""),0.739)</f>
        <v>0.739</v>
      </c>
      <c r="J345" s="35">
        <f>IFERROR(__xludf.DUMMYFUNCTION("""COMPUTED_VALUE"""),344.0)</f>
        <v>344</v>
      </c>
      <c r="K345" s="35" t="b">
        <f>IFERROR(__xludf.DUMMYFUNCTION("""COMPUTED_VALUE"""),FALSE)</f>
        <v>0</v>
      </c>
      <c r="L345" s="35" t="str">
        <f>IFERROR(__xludf.DUMMYFUNCTION("""COMPUTED_VALUE"""),"Two Pointers;String;Recursion;")</f>
        <v>Two Pointers;String;Recursion;</v>
      </c>
      <c r="M345" s="35" t="b">
        <f>IFERROR(__xludf.DUMMYFUNCTION("""COMPUTED_VALUE"""),TRUE)</f>
        <v>1</v>
      </c>
      <c r="N345" s="35" t="b">
        <f>IFERROR(__xludf.DUMMYFUNCTION("""COMPUTED_VALUE"""),TRUE)</f>
        <v>1</v>
      </c>
      <c r="O345" s="35">
        <f>IFERROR(__xludf.DUMMYFUNCTION("""COMPUTED_VALUE"""),73.8668542522564)</f>
        <v>73.86685425</v>
      </c>
      <c r="P345" s="35">
        <f>IFERROR(__xludf.DUMMYFUNCTION("""COMPUTED_VALUE"""),1439626.0)</f>
        <v>1439626</v>
      </c>
      <c r="Q345" s="35">
        <f>IFERROR(__xludf.DUMMYFUNCTION("""COMPUTED_VALUE"""),1948948.0)</f>
        <v>1948948</v>
      </c>
    </row>
    <row r="346">
      <c r="A346" s="35">
        <f>IFERROR(__xludf.DUMMYFUNCTION("""COMPUTED_VALUE"""),345.0)</f>
        <v>345</v>
      </c>
      <c r="B346" s="35" t="str">
        <f>IFERROR(__xludf.DUMMYFUNCTION("""COMPUTED_VALUE"""),"Reverse Vowels of a String")</f>
        <v>Reverse Vowels of a String</v>
      </c>
      <c r="C346" s="35" t="str">
        <f>IFERROR(__xludf.DUMMYFUNCTION("""COMPUTED_VALUE"""),"reverse-vowels-of-a-string")</f>
        <v>reverse-vowels-of-a-string</v>
      </c>
      <c r="D346" s="35" t="b">
        <f>IFERROR(__xludf.DUMMYFUNCTION("""COMPUTED_VALUE"""),FALSE)</f>
        <v>0</v>
      </c>
      <c r="E346" s="35" t="str">
        <f>IFERROR(__xludf.DUMMYFUNCTION("""COMPUTED_VALUE"""),"Easy")</f>
        <v>Easy</v>
      </c>
      <c r="F346" s="35">
        <f>IFERROR(__xludf.DUMMYFUNCTION("""COMPUTED_VALUE"""),1480.0)</f>
        <v>1480</v>
      </c>
      <c r="G346" s="35">
        <f>IFERROR(__xludf.DUMMYFUNCTION("""COMPUTED_VALUE"""),1774.0)</f>
        <v>1774</v>
      </c>
      <c r="H346" s="35" t="str">
        <f>IFERROR(__xludf.DUMMYFUNCTION("""COMPUTED_VALUE"""),"Algorithms")</f>
        <v>Algorithms</v>
      </c>
      <c r="I346" s="35">
        <f>IFERROR(__xludf.DUMMYFUNCTION("""COMPUTED_VALUE"""),0.467)</f>
        <v>0.467</v>
      </c>
      <c r="J346" s="35">
        <f>IFERROR(__xludf.DUMMYFUNCTION("""COMPUTED_VALUE"""),345.0)</f>
        <v>345</v>
      </c>
      <c r="K346" s="35" t="b">
        <f>IFERROR(__xludf.DUMMYFUNCTION("""COMPUTED_VALUE"""),FALSE)</f>
        <v>0</v>
      </c>
      <c r="L346" s="35" t="str">
        <f>IFERROR(__xludf.DUMMYFUNCTION("""COMPUTED_VALUE"""),"Two Pointers;String;")</f>
        <v>Two Pointers;String;</v>
      </c>
      <c r="M346" s="35" t="b">
        <f>IFERROR(__xludf.DUMMYFUNCTION("""COMPUTED_VALUE"""),FALSE)</f>
        <v>0</v>
      </c>
      <c r="N346" s="35" t="b">
        <f>IFERROR(__xludf.DUMMYFUNCTION("""COMPUTED_VALUE"""),FALSE)</f>
        <v>0</v>
      </c>
      <c r="O346" s="35">
        <f>IFERROR(__xludf.DUMMYFUNCTION("""COMPUTED_VALUE"""),46.7467206522643)</f>
        <v>46.74672065</v>
      </c>
      <c r="P346" s="35">
        <f>IFERROR(__xludf.DUMMYFUNCTION("""COMPUTED_VALUE"""),337127.0)</f>
        <v>337127</v>
      </c>
      <c r="Q346" s="35">
        <f>IFERROR(__xludf.DUMMYFUNCTION("""COMPUTED_VALUE"""),721178.0)</f>
        <v>721178</v>
      </c>
    </row>
    <row r="347">
      <c r="A347" s="35">
        <f>IFERROR(__xludf.DUMMYFUNCTION("""COMPUTED_VALUE"""),346.0)</f>
        <v>346</v>
      </c>
      <c r="B347" s="35" t="str">
        <f>IFERROR(__xludf.DUMMYFUNCTION("""COMPUTED_VALUE"""),"Moving Average from Data Stream")</f>
        <v>Moving Average from Data Stream</v>
      </c>
      <c r="C347" s="35" t="str">
        <f>IFERROR(__xludf.DUMMYFUNCTION("""COMPUTED_VALUE"""),"moving-average-from-data-stream")</f>
        <v>moving-average-from-data-stream</v>
      </c>
      <c r="D347" s="35" t="b">
        <f>IFERROR(__xludf.DUMMYFUNCTION("""COMPUTED_VALUE"""),TRUE)</f>
        <v>1</v>
      </c>
      <c r="E347" s="35" t="str">
        <f>IFERROR(__xludf.DUMMYFUNCTION("""COMPUTED_VALUE"""),"Easy")</f>
        <v>Easy</v>
      </c>
      <c r="F347" s="35">
        <f>IFERROR(__xludf.DUMMYFUNCTION("""COMPUTED_VALUE"""),1204.0)</f>
        <v>1204</v>
      </c>
      <c r="G347" s="35">
        <f>IFERROR(__xludf.DUMMYFUNCTION("""COMPUTED_VALUE"""),116.0)</f>
        <v>116</v>
      </c>
      <c r="H347" s="35" t="str">
        <f>IFERROR(__xludf.DUMMYFUNCTION("""COMPUTED_VALUE"""),"Algorithms")</f>
        <v>Algorithms</v>
      </c>
      <c r="I347" s="35">
        <f>IFERROR(__xludf.DUMMYFUNCTION("""COMPUTED_VALUE"""),0.759)</f>
        <v>0.759</v>
      </c>
      <c r="J347" s="35">
        <f>IFERROR(__xludf.DUMMYFUNCTION("""COMPUTED_VALUE"""),346.0)</f>
        <v>346</v>
      </c>
      <c r="K347" s="35" t="b">
        <f>IFERROR(__xludf.DUMMYFUNCTION("""COMPUTED_VALUE"""),TRUE)</f>
        <v>1</v>
      </c>
      <c r="L347" s="35" t="str">
        <f>IFERROR(__xludf.DUMMYFUNCTION("""COMPUTED_VALUE"""),"Array;Design;Queue;Data Stream;")</f>
        <v>Array;Design;Queue;Data Stream;</v>
      </c>
      <c r="M347" s="35" t="b">
        <f>IFERROR(__xludf.DUMMYFUNCTION("""COMPUTED_VALUE"""),TRUE)</f>
        <v>1</v>
      </c>
      <c r="N347" s="35" t="b">
        <f>IFERROR(__xludf.DUMMYFUNCTION("""COMPUTED_VALUE"""),FALSE)</f>
        <v>0</v>
      </c>
      <c r="O347" s="35">
        <f>IFERROR(__xludf.DUMMYFUNCTION("""COMPUTED_VALUE"""),75.9029336563466)</f>
        <v>75.90293366</v>
      </c>
      <c r="P347" s="35">
        <f>IFERROR(__xludf.DUMMYFUNCTION("""COMPUTED_VALUE"""),243127.0)</f>
        <v>243127</v>
      </c>
      <c r="Q347" s="35">
        <f>IFERROR(__xludf.DUMMYFUNCTION("""COMPUTED_VALUE"""),320313.0)</f>
        <v>320313</v>
      </c>
    </row>
    <row r="348">
      <c r="A348" s="35">
        <f>IFERROR(__xludf.DUMMYFUNCTION("""COMPUTED_VALUE"""),347.0)</f>
        <v>347</v>
      </c>
      <c r="B348" s="35" t="str">
        <f>IFERROR(__xludf.DUMMYFUNCTION("""COMPUTED_VALUE"""),"Top K Frequent Elements")</f>
        <v>Top K Frequent Elements</v>
      </c>
      <c r="C348" s="35" t="str">
        <f>IFERROR(__xludf.DUMMYFUNCTION("""COMPUTED_VALUE"""),"top-k-frequent-elements")</f>
        <v>top-k-frequent-elements</v>
      </c>
      <c r="D348" s="35" t="b">
        <f>IFERROR(__xludf.DUMMYFUNCTION("""COMPUTED_VALUE"""),FALSE)</f>
        <v>0</v>
      </c>
      <c r="E348" s="35" t="str">
        <f>IFERROR(__xludf.DUMMYFUNCTION("""COMPUTED_VALUE"""),"Medium")</f>
        <v>Medium</v>
      </c>
      <c r="F348" s="35">
        <f>IFERROR(__xludf.DUMMYFUNCTION("""COMPUTED_VALUE"""),7610.0)</f>
        <v>7610</v>
      </c>
      <c r="G348" s="35">
        <f>IFERROR(__xludf.DUMMYFUNCTION("""COMPUTED_VALUE"""),333.0)</f>
        <v>333</v>
      </c>
      <c r="H348" s="35" t="str">
        <f>IFERROR(__xludf.DUMMYFUNCTION("""COMPUTED_VALUE"""),"Algorithms")</f>
        <v>Algorithms</v>
      </c>
      <c r="I348" s="35">
        <f>IFERROR(__xludf.DUMMYFUNCTION("""COMPUTED_VALUE"""),0.645)</f>
        <v>0.645</v>
      </c>
      <c r="J348" s="35">
        <f>IFERROR(__xludf.DUMMYFUNCTION("""COMPUTED_VALUE"""),347.0)</f>
        <v>347</v>
      </c>
      <c r="K348" s="35" t="b">
        <f>IFERROR(__xludf.DUMMYFUNCTION("""COMPUTED_VALUE"""),FALSE)</f>
        <v>0</v>
      </c>
      <c r="L348" s="35" t="str">
        <f>IFERROR(__xludf.DUMMYFUNCTION("""COMPUTED_VALUE"""),"Array;Hash Table;Divide and Conquer;Sorting;Heap (Priority Queue);Bucket Sort;Counting;Quickselect;")</f>
        <v>Array;Hash Table;Divide and Conquer;Sorting;Heap (Priority Queue);Bucket Sort;Counting;Quickselect;</v>
      </c>
      <c r="M348" s="35" t="b">
        <f>IFERROR(__xludf.DUMMYFUNCTION("""COMPUTED_VALUE"""),TRUE)</f>
        <v>1</v>
      </c>
      <c r="N348" s="35" t="b">
        <f>IFERROR(__xludf.DUMMYFUNCTION("""COMPUTED_VALUE"""),FALSE)</f>
        <v>0</v>
      </c>
      <c r="O348" s="35">
        <f>IFERROR(__xludf.DUMMYFUNCTION("""COMPUTED_VALUE"""),64.5166601605528)</f>
        <v>64.51666016</v>
      </c>
      <c r="P348" s="35">
        <f>IFERROR(__xludf.DUMMYFUNCTION("""COMPUTED_VALUE"""),834608.0)</f>
        <v>834608</v>
      </c>
      <c r="Q348" s="35">
        <f>IFERROR(__xludf.DUMMYFUNCTION("""COMPUTED_VALUE"""),1293636.0)</f>
        <v>1293636</v>
      </c>
    </row>
    <row r="349">
      <c r="A349" s="35">
        <f>IFERROR(__xludf.DUMMYFUNCTION("""COMPUTED_VALUE"""),348.0)</f>
        <v>348</v>
      </c>
      <c r="B349" s="35" t="str">
        <f>IFERROR(__xludf.DUMMYFUNCTION("""COMPUTED_VALUE"""),"Design Tic-Tac-Toe")</f>
        <v>Design Tic-Tac-Toe</v>
      </c>
      <c r="C349" s="35" t="str">
        <f>IFERROR(__xludf.DUMMYFUNCTION("""COMPUTED_VALUE"""),"design-tic-tac-toe")</f>
        <v>design-tic-tac-toe</v>
      </c>
      <c r="D349" s="35" t="b">
        <f>IFERROR(__xludf.DUMMYFUNCTION("""COMPUTED_VALUE"""),TRUE)</f>
        <v>1</v>
      </c>
      <c r="E349" s="35" t="str">
        <f>IFERROR(__xludf.DUMMYFUNCTION("""COMPUTED_VALUE"""),"Medium")</f>
        <v>Medium</v>
      </c>
      <c r="F349" s="35">
        <f>IFERROR(__xludf.DUMMYFUNCTION("""COMPUTED_VALUE"""),1577.0)</f>
        <v>1577</v>
      </c>
      <c r="G349" s="35">
        <f>IFERROR(__xludf.DUMMYFUNCTION("""COMPUTED_VALUE"""),92.0)</f>
        <v>92</v>
      </c>
      <c r="H349" s="35" t="str">
        <f>IFERROR(__xludf.DUMMYFUNCTION("""COMPUTED_VALUE"""),"Algorithms")</f>
        <v>Algorithms</v>
      </c>
      <c r="I349" s="35">
        <f>IFERROR(__xludf.DUMMYFUNCTION("""COMPUTED_VALUE"""),0.571)</f>
        <v>0.571</v>
      </c>
      <c r="J349" s="35">
        <f>IFERROR(__xludf.DUMMYFUNCTION("""COMPUTED_VALUE"""),348.0)</f>
        <v>348</v>
      </c>
      <c r="K349" s="35" t="b">
        <f>IFERROR(__xludf.DUMMYFUNCTION("""COMPUTED_VALUE"""),TRUE)</f>
        <v>1</v>
      </c>
      <c r="L349" s="35" t="str">
        <f>IFERROR(__xludf.DUMMYFUNCTION("""COMPUTED_VALUE"""),"Array;Hash Table;Design;Matrix;")</f>
        <v>Array;Hash Table;Design;Matrix;</v>
      </c>
      <c r="M349" s="35" t="b">
        <f>IFERROR(__xludf.DUMMYFUNCTION("""COMPUTED_VALUE"""),TRUE)</f>
        <v>1</v>
      </c>
      <c r="N349" s="35" t="b">
        <f>IFERROR(__xludf.DUMMYFUNCTION("""COMPUTED_VALUE"""),FALSE)</f>
        <v>0</v>
      </c>
      <c r="O349" s="35">
        <f>IFERROR(__xludf.DUMMYFUNCTION("""COMPUTED_VALUE"""),57.1164036798455)</f>
        <v>57.11640368</v>
      </c>
      <c r="P349" s="35">
        <f>IFERROR(__xludf.DUMMYFUNCTION("""COMPUTED_VALUE"""),173963.0)</f>
        <v>173963</v>
      </c>
      <c r="Q349" s="35">
        <f>IFERROR(__xludf.DUMMYFUNCTION("""COMPUTED_VALUE"""),304570.0)</f>
        <v>304570</v>
      </c>
    </row>
    <row r="350">
      <c r="A350" s="35">
        <f>IFERROR(__xludf.DUMMYFUNCTION("""COMPUTED_VALUE"""),349.0)</f>
        <v>349</v>
      </c>
      <c r="B350" s="35" t="str">
        <f>IFERROR(__xludf.DUMMYFUNCTION("""COMPUTED_VALUE"""),"Intersection of Two Arrays")</f>
        <v>Intersection of Two Arrays</v>
      </c>
      <c r="C350" s="35" t="str">
        <f>IFERROR(__xludf.DUMMYFUNCTION("""COMPUTED_VALUE"""),"intersection-of-two-arrays")</f>
        <v>intersection-of-two-arrays</v>
      </c>
      <c r="D350" s="35" t="b">
        <f>IFERROR(__xludf.DUMMYFUNCTION("""COMPUTED_VALUE"""),FALSE)</f>
        <v>0</v>
      </c>
      <c r="E350" s="35" t="str">
        <f>IFERROR(__xludf.DUMMYFUNCTION("""COMPUTED_VALUE"""),"Easy")</f>
        <v>Easy</v>
      </c>
      <c r="F350" s="35">
        <f>IFERROR(__xludf.DUMMYFUNCTION("""COMPUTED_VALUE"""),2580.0)</f>
        <v>2580</v>
      </c>
      <c r="G350" s="35">
        <f>IFERROR(__xludf.DUMMYFUNCTION("""COMPUTED_VALUE"""),1860.0)</f>
        <v>1860</v>
      </c>
      <c r="H350" s="35" t="str">
        <f>IFERROR(__xludf.DUMMYFUNCTION("""COMPUTED_VALUE"""),"Algorithms")</f>
        <v>Algorithms</v>
      </c>
      <c r="I350" s="35">
        <f>IFERROR(__xludf.DUMMYFUNCTION("""COMPUTED_VALUE"""),0.686)</f>
        <v>0.686</v>
      </c>
      <c r="J350" s="35">
        <f>IFERROR(__xludf.DUMMYFUNCTION("""COMPUTED_VALUE"""),349.0)</f>
        <v>349</v>
      </c>
      <c r="K350" s="35" t="b">
        <f>IFERROR(__xludf.DUMMYFUNCTION("""COMPUTED_VALUE"""),FALSE)</f>
        <v>0</v>
      </c>
      <c r="L350" s="35" t="str">
        <f>IFERROR(__xludf.DUMMYFUNCTION("""COMPUTED_VALUE"""),"Array;Hash Table;Two Pointers;Binary Search;Sorting;")</f>
        <v>Array;Hash Table;Two Pointers;Binary Search;Sorting;</v>
      </c>
      <c r="M350" s="35" t="b">
        <f>IFERROR(__xludf.DUMMYFUNCTION("""COMPUTED_VALUE"""),TRUE)</f>
        <v>1</v>
      </c>
      <c r="N350" s="35" t="b">
        <f>IFERROR(__xludf.DUMMYFUNCTION("""COMPUTED_VALUE"""),FALSE)</f>
        <v>0</v>
      </c>
      <c r="O350" s="35">
        <f>IFERROR(__xludf.DUMMYFUNCTION("""COMPUTED_VALUE"""),68.614045719839)</f>
        <v>68.61404572</v>
      </c>
      <c r="P350" s="35">
        <f>IFERROR(__xludf.DUMMYFUNCTION("""COMPUTED_VALUE"""),628357.0)</f>
        <v>628357</v>
      </c>
      <c r="Q350" s="35">
        <f>IFERROR(__xludf.DUMMYFUNCTION("""COMPUTED_VALUE"""),915786.0)</f>
        <v>915786</v>
      </c>
    </row>
    <row r="351">
      <c r="A351" s="35">
        <f>IFERROR(__xludf.DUMMYFUNCTION("""COMPUTED_VALUE"""),350.0)</f>
        <v>350</v>
      </c>
      <c r="B351" s="35" t="str">
        <f>IFERROR(__xludf.DUMMYFUNCTION("""COMPUTED_VALUE"""),"Intersection of Two Arrays II")</f>
        <v>Intersection of Two Arrays II</v>
      </c>
      <c r="C351" s="35" t="str">
        <f>IFERROR(__xludf.DUMMYFUNCTION("""COMPUTED_VALUE"""),"intersection-of-two-arrays-ii")</f>
        <v>intersection-of-two-arrays-ii</v>
      </c>
      <c r="D351" s="35" t="b">
        <f>IFERROR(__xludf.DUMMYFUNCTION("""COMPUTED_VALUE"""),FALSE)</f>
        <v>0</v>
      </c>
      <c r="E351" s="35" t="str">
        <f>IFERROR(__xludf.DUMMYFUNCTION("""COMPUTED_VALUE"""),"Easy")</f>
        <v>Easy</v>
      </c>
      <c r="F351" s="35">
        <f>IFERROR(__xludf.DUMMYFUNCTION("""COMPUTED_VALUE"""),4077.0)</f>
        <v>4077</v>
      </c>
      <c r="G351" s="35">
        <f>IFERROR(__xludf.DUMMYFUNCTION("""COMPUTED_VALUE"""),669.0)</f>
        <v>669</v>
      </c>
      <c r="H351" s="35" t="str">
        <f>IFERROR(__xludf.DUMMYFUNCTION("""COMPUTED_VALUE"""),"Algorithms")</f>
        <v>Algorithms</v>
      </c>
      <c r="I351" s="35">
        <f>IFERROR(__xludf.DUMMYFUNCTION("""COMPUTED_VALUE"""),0.546)</f>
        <v>0.546</v>
      </c>
      <c r="J351" s="35">
        <f>IFERROR(__xludf.DUMMYFUNCTION("""COMPUTED_VALUE"""),350.0)</f>
        <v>350</v>
      </c>
      <c r="K351" s="35" t="b">
        <f>IFERROR(__xludf.DUMMYFUNCTION("""COMPUTED_VALUE"""),FALSE)</f>
        <v>0</v>
      </c>
      <c r="L351" s="35" t="str">
        <f>IFERROR(__xludf.DUMMYFUNCTION("""COMPUTED_VALUE"""),"Array;Hash Table;Two Pointers;Binary Search;Sorting;")</f>
        <v>Array;Hash Table;Two Pointers;Binary Search;Sorting;</v>
      </c>
      <c r="M351" s="35" t="b">
        <f>IFERROR(__xludf.DUMMYFUNCTION("""COMPUTED_VALUE"""),TRUE)</f>
        <v>1</v>
      </c>
      <c r="N351" s="35" t="b">
        <f>IFERROR(__xludf.DUMMYFUNCTION("""COMPUTED_VALUE"""),FALSE)</f>
        <v>0</v>
      </c>
      <c r="O351" s="35">
        <f>IFERROR(__xludf.DUMMYFUNCTION("""COMPUTED_VALUE"""),54.6152199633186)</f>
        <v>54.61521996</v>
      </c>
      <c r="P351" s="35">
        <f>IFERROR(__xludf.DUMMYFUNCTION("""COMPUTED_VALUE"""),745037.0)</f>
        <v>745037</v>
      </c>
      <c r="Q351" s="35">
        <f>IFERROR(__xludf.DUMMYFUNCTION("""COMPUTED_VALUE"""),1364165.0)</f>
        <v>1364165</v>
      </c>
    </row>
    <row r="352">
      <c r="A352" s="35">
        <f>IFERROR(__xludf.DUMMYFUNCTION("""COMPUTED_VALUE"""),351.0)</f>
        <v>351</v>
      </c>
      <c r="B352" s="35" t="str">
        <f>IFERROR(__xludf.DUMMYFUNCTION("""COMPUTED_VALUE"""),"Android Unlock Patterns")</f>
        <v>Android Unlock Patterns</v>
      </c>
      <c r="C352" s="35" t="str">
        <f>IFERROR(__xludf.DUMMYFUNCTION("""COMPUTED_VALUE"""),"android-unlock-patterns")</f>
        <v>android-unlock-patterns</v>
      </c>
      <c r="D352" s="35" t="b">
        <f>IFERROR(__xludf.DUMMYFUNCTION("""COMPUTED_VALUE"""),TRUE)</f>
        <v>1</v>
      </c>
      <c r="E352" s="35" t="str">
        <f>IFERROR(__xludf.DUMMYFUNCTION("""COMPUTED_VALUE"""),"Medium")</f>
        <v>Medium</v>
      </c>
      <c r="F352" s="35">
        <f>IFERROR(__xludf.DUMMYFUNCTION("""COMPUTED_VALUE"""),84.0)</f>
        <v>84</v>
      </c>
      <c r="G352" s="35">
        <f>IFERROR(__xludf.DUMMYFUNCTION("""COMPUTED_VALUE"""),73.0)</f>
        <v>73</v>
      </c>
      <c r="H352" s="35" t="str">
        <f>IFERROR(__xludf.DUMMYFUNCTION("""COMPUTED_VALUE"""),"Algorithms")</f>
        <v>Algorithms</v>
      </c>
      <c r="I352" s="35">
        <f>IFERROR(__xludf.DUMMYFUNCTION("""COMPUTED_VALUE"""),0.509)</f>
        <v>0.509</v>
      </c>
      <c r="J352" s="35">
        <f>IFERROR(__xludf.DUMMYFUNCTION("""COMPUTED_VALUE"""),351.0)</f>
        <v>351</v>
      </c>
      <c r="K352" s="35" t="b">
        <f>IFERROR(__xludf.DUMMYFUNCTION("""COMPUTED_VALUE"""),TRUE)</f>
        <v>1</v>
      </c>
      <c r="L352" s="35" t="str">
        <f>IFERROR(__xludf.DUMMYFUNCTION("""COMPUTED_VALUE"""),"Dynamic Programming;Backtracking;")</f>
        <v>Dynamic Programming;Backtracking;</v>
      </c>
      <c r="M352" s="35" t="b">
        <f>IFERROR(__xludf.DUMMYFUNCTION("""COMPUTED_VALUE"""),FALSE)</f>
        <v>0</v>
      </c>
      <c r="N352" s="35" t="b">
        <f>IFERROR(__xludf.DUMMYFUNCTION("""COMPUTED_VALUE"""),FALSE)</f>
        <v>0</v>
      </c>
      <c r="O352" s="35">
        <f>IFERROR(__xludf.DUMMYFUNCTION("""COMPUTED_VALUE"""),50.8778781222032)</f>
        <v>50.87787812</v>
      </c>
      <c r="P352" s="35">
        <f>IFERROR(__xludf.DUMMYFUNCTION("""COMPUTED_VALUE"""),62533.0)</f>
        <v>62533</v>
      </c>
      <c r="Q352" s="35">
        <f>IFERROR(__xludf.DUMMYFUNCTION("""COMPUTED_VALUE"""),122909.0)</f>
        <v>122909</v>
      </c>
    </row>
    <row r="353">
      <c r="A353" s="35">
        <f>IFERROR(__xludf.DUMMYFUNCTION("""COMPUTED_VALUE"""),352.0)</f>
        <v>352</v>
      </c>
      <c r="B353" s="35" t="str">
        <f>IFERROR(__xludf.DUMMYFUNCTION("""COMPUTED_VALUE"""),"Data Stream as Disjoint Intervals")</f>
        <v>Data Stream as Disjoint Intervals</v>
      </c>
      <c r="C353" s="35" t="str">
        <f>IFERROR(__xludf.DUMMYFUNCTION("""COMPUTED_VALUE"""),"data-stream-as-disjoint-intervals")</f>
        <v>data-stream-as-disjoint-intervals</v>
      </c>
      <c r="D353" s="35" t="b">
        <f>IFERROR(__xludf.DUMMYFUNCTION("""COMPUTED_VALUE"""),FALSE)</f>
        <v>0</v>
      </c>
      <c r="E353" s="35" t="str">
        <f>IFERROR(__xludf.DUMMYFUNCTION("""COMPUTED_VALUE"""),"Hard")</f>
        <v>Hard</v>
      </c>
      <c r="F353" s="35">
        <f>IFERROR(__xludf.DUMMYFUNCTION("""COMPUTED_VALUE"""),602.0)</f>
        <v>602</v>
      </c>
      <c r="G353" s="35">
        <f>IFERROR(__xludf.DUMMYFUNCTION("""COMPUTED_VALUE"""),154.0)</f>
        <v>154</v>
      </c>
      <c r="H353" s="35" t="str">
        <f>IFERROR(__xludf.DUMMYFUNCTION("""COMPUTED_VALUE"""),"Algorithms")</f>
        <v>Algorithms</v>
      </c>
      <c r="I353" s="35">
        <f>IFERROR(__xludf.DUMMYFUNCTION("""COMPUTED_VALUE"""),0.504)</f>
        <v>0.504</v>
      </c>
      <c r="J353" s="35">
        <f>IFERROR(__xludf.DUMMYFUNCTION("""COMPUTED_VALUE"""),352.0)</f>
        <v>352</v>
      </c>
      <c r="K353" s="35" t="b">
        <f>IFERROR(__xludf.DUMMYFUNCTION("""COMPUTED_VALUE"""),FALSE)</f>
        <v>0</v>
      </c>
      <c r="L353" s="35" t="str">
        <f>IFERROR(__xludf.DUMMYFUNCTION("""COMPUTED_VALUE"""),"Binary Search;Design;Ordered Set;")</f>
        <v>Binary Search;Design;Ordered Set;</v>
      </c>
      <c r="M353" s="35" t="b">
        <f>IFERROR(__xludf.DUMMYFUNCTION("""COMPUTED_VALUE"""),FALSE)</f>
        <v>0</v>
      </c>
      <c r="N353" s="35" t="b">
        <f>IFERROR(__xludf.DUMMYFUNCTION("""COMPUTED_VALUE"""),FALSE)</f>
        <v>0</v>
      </c>
      <c r="O353" s="35">
        <f>IFERROR(__xludf.DUMMYFUNCTION("""COMPUTED_VALUE"""),50.38447900309)</f>
        <v>50.384479</v>
      </c>
      <c r="P353" s="35">
        <f>IFERROR(__xludf.DUMMYFUNCTION("""COMPUTED_VALUE"""),49731.0)</f>
        <v>49731</v>
      </c>
      <c r="Q353" s="35">
        <f>IFERROR(__xludf.DUMMYFUNCTION("""COMPUTED_VALUE"""),98704.0)</f>
        <v>98704</v>
      </c>
    </row>
    <row r="354">
      <c r="A354" s="35">
        <f>IFERROR(__xludf.DUMMYFUNCTION("""COMPUTED_VALUE"""),353.0)</f>
        <v>353</v>
      </c>
      <c r="B354" s="35" t="str">
        <f>IFERROR(__xludf.DUMMYFUNCTION("""COMPUTED_VALUE"""),"Design Snake Game")</f>
        <v>Design Snake Game</v>
      </c>
      <c r="C354" s="35" t="str">
        <f>IFERROR(__xludf.DUMMYFUNCTION("""COMPUTED_VALUE"""),"design-snake-game")</f>
        <v>design-snake-game</v>
      </c>
      <c r="D354" s="35" t="b">
        <f>IFERROR(__xludf.DUMMYFUNCTION("""COMPUTED_VALUE"""),TRUE)</f>
        <v>1</v>
      </c>
      <c r="E354" s="35" t="str">
        <f>IFERROR(__xludf.DUMMYFUNCTION("""COMPUTED_VALUE"""),"Medium")</f>
        <v>Medium</v>
      </c>
      <c r="F354" s="35">
        <f>IFERROR(__xludf.DUMMYFUNCTION("""COMPUTED_VALUE"""),688.0)</f>
        <v>688</v>
      </c>
      <c r="G354" s="35">
        <f>IFERROR(__xludf.DUMMYFUNCTION("""COMPUTED_VALUE"""),251.0)</f>
        <v>251</v>
      </c>
      <c r="H354" s="35" t="str">
        <f>IFERROR(__xludf.DUMMYFUNCTION("""COMPUTED_VALUE"""),"Algorithms")</f>
        <v>Algorithms</v>
      </c>
      <c r="I354" s="35">
        <f>IFERROR(__xludf.DUMMYFUNCTION("""COMPUTED_VALUE"""),0.379)</f>
        <v>0.379</v>
      </c>
      <c r="J354" s="35">
        <f>IFERROR(__xludf.DUMMYFUNCTION("""COMPUTED_VALUE"""),353.0)</f>
        <v>353</v>
      </c>
      <c r="K354" s="35" t="b">
        <f>IFERROR(__xludf.DUMMYFUNCTION("""COMPUTED_VALUE"""),TRUE)</f>
        <v>1</v>
      </c>
      <c r="L354" s="35" t="str">
        <f>IFERROR(__xludf.DUMMYFUNCTION("""COMPUTED_VALUE"""),"Array;Design;Queue;Matrix;")</f>
        <v>Array;Design;Queue;Matrix;</v>
      </c>
      <c r="M354" s="35" t="b">
        <f>IFERROR(__xludf.DUMMYFUNCTION("""COMPUTED_VALUE"""),TRUE)</f>
        <v>1</v>
      </c>
      <c r="N354" s="35" t="b">
        <f>IFERROR(__xludf.DUMMYFUNCTION("""COMPUTED_VALUE"""),FALSE)</f>
        <v>0</v>
      </c>
      <c r="O354" s="35">
        <f>IFERROR(__xludf.DUMMYFUNCTION("""COMPUTED_VALUE"""),37.9244772236564)</f>
        <v>37.92447722</v>
      </c>
      <c r="P354" s="35">
        <f>IFERROR(__xludf.DUMMYFUNCTION("""COMPUTED_VALUE"""),57437.0)</f>
        <v>57437</v>
      </c>
      <c r="Q354" s="35">
        <f>IFERROR(__xludf.DUMMYFUNCTION("""COMPUTED_VALUE"""),151451.0)</f>
        <v>151451</v>
      </c>
    </row>
    <row r="355">
      <c r="A355" s="35">
        <f>IFERROR(__xludf.DUMMYFUNCTION("""COMPUTED_VALUE"""),354.0)</f>
        <v>354</v>
      </c>
      <c r="B355" s="35" t="str">
        <f>IFERROR(__xludf.DUMMYFUNCTION("""COMPUTED_VALUE"""),"Russian Doll Envelopes")</f>
        <v>Russian Doll Envelopes</v>
      </c>
      <c r="C355" s="35" t="str">
        <f>IFERROR(__xludf.DUMMYFUNCTION("""COMPUTED_VALUE"""),"russian-doll-envelopes")</f>
        <v>russian-doll-envelopes</v>
      </c>
      <c r="D355" s="35" t="b">
        <f>IFERROR(__xludf.DUMMYFUNCTION("""COMPUTED_VALUE"""),FALSE)</f>
        <v>0</v>
      </c>
      <c r="E355" s="35" t="str">
        <f>IFERROR(__xludf.DUMMYFUNCTION("""COMPUTED_VALUE"""),"Hard")</f>
        <v>Hard</v>
      </c>
      <c r="F355" s="35">
        <f>IFERROR(__xludf.DUMMYFUNCTION("""COMPUTED_VALUE"""),2894.0)</f>
        <v>2894</v>
      </c>
      <c r="G355" s="35">
        <f>IFERROR(__xludf.DUMMYFUNCTION("""COMPUTED_VALUE"""),72.0)</f>
        <v>72</v>
      </c>
      <c r="H355" s="35" t="str">
        <f>IFERROR(__xludf.DUMMYFUNCTION("""COMPUTED_VALUE"""),"Algorithms")</f>
        <v>Algorithms</v>
      </c>
      <c r="I355" s="35">
        <f>IFERROR(__xludf.DUMMYFUNCTION("""COMPUTED_VALUE"""),0.392)</f>
        <v>0.392</v>
      </c>
      <c r="J355" s="35">
        <f>IFERROR(__xludf.DUMMYFUNCTION("""COMPUTED_VALUE"""),354.0)</f>
        <v>354</v>
      </c>
      <c r="K355" s="35" t="b">
        <f>IFERROR(__xludf.DUMMYFUNCTION("""COMPUTED_VALUE"""),FALSE)</f>
        <v>0</v>
      </c>
      <c r="L355" s="35" t="str">
        <f>IFERROR(__xludf.DUMMYFUNCTION("""COMPUTED_VALUE"""),"Array;Binary Search;Dynamic Programming;Sorting;")</f>
        <v>Array;Binary Search;Dynamic Programming;Sorting;</v>
      </c>
      <c r="M355" s="35" t="b">
        <f>IFERROR(__xludf.DUMMYFUNCTION("""COMPUTED_VALUE"""),TRUE)</f>
        <v>1</v>
      </c>
      <c r="N355" s="35" t="b">
        <f>IFERROR(__xludf.DUMMYFUNCTION("""COMPUTED_VALUE"""),FALSE)</f>
        <v>0</v>
      </c>
      <c r="O355" s="35">
        <f>IFERROR(__xludf.DUMMYFUNCTION("""COMPUTED_VALUE"""),39.2153619884111)</f>
        <v>39.21536199</v>
      </c>
      <c r="P355" s="35">
        <f>IFERROR(__xludf.DUMMYFUNCTION("""COMPUTED_VALUE"""),132784.0)</f>
        <v>132784</v>
      </c>
      <c r="Q355" s="35">
        <f>IFERROR(__xludf.DUMMYFUNCTION("""COMPUTED_VALUE"""),338601.0)</f>
        <v>338601</v>
      </c>
    </row>
    <row r="356">
      <c r="A356" s="35">
        <f>IFERROR(__xludf.DUMMYFUNCTION("""COMPUTED_VALUE"""),355.0)</f>
        <v>355</v>
      </c>
      <c r="B356" s="35" t="str">
        <f>IFERROR(__xludf.DUMMYFUNCTION("""COMPUTED_VALUE"""),"Design Twitter")</f>
        <v>Design Twitter</v>
      </c>
      <c r="C356" s="35" t="str">
        <f>IFERROR(__xludf.DUMMYFUNCTION("""COMPUTED_VALUE"""),"design-twitter")</f>
        <v>design-twitter</v>
      </c>
      <c r="D356" s="35" t="b">
        <f>IFERROR(__xludf.DUMMYFUNCTION("""COMPUTED_VALUE"""),FALSE)</f>
        <v>0</v>
      </c>
      <c r="E356" s="35" t="str">
        <f>IFERROR(__xludf.DUMMYFUNCTION("""COMPUTED_VALUE"""),"Medium")</f>
        <v>Medium</v>
      </c>
      <c r="F356" s="35">
        <f>IFERROR(__xludf.DUMMYFUNCTION("""COMPUTED_VALUE"""),1903.0)</f>
        <v>1903</v>
      </c>
      <c r="G356" s="35">
        <f>IFERROR(__xludf.DUMMYFUNCTION("""COMPUTED_VALUE"""),268.0)</f>
        <v>268</v>
      </c>
      <c r="H356" s="35" t="str">
        <f>IFERROR(__xludf.DUMMYFUNCTION("""COMPUTED_VALUE"""),"Algorithms")</f>
        <v>Algorithms</v>
      </c>
      <c r="I356" s="35">
        <f>IFERROR(__xludf.DUMMYFUNCTION("""COMPUTED_VALUE"""),0.341)</f>
        <v>0.341</v>
      </c>
      <c r="J356" s="35">
        <f>IFERROR(__xludf.DUMMYFUNCTION("""COMPUTED_VALUE"""),355.0)</f>
        <v>355</v>
      </c>
      <c r="K356" s="35" t="b">
        <f>IFERROR(__xludf.DUMMYFUNCTION("""COMPUTED_VALUE"""),FALSE)</f>
        <v>0</v>
      </c>
      <c r="L356" s="35" t="str">
        <f>IFERROR(__xludf.DUMMYFUNCTION("""COMPUTED_VALUE"""),"Hash Table;Linked List;Design;Heap (Priority Queue);")</f>
        <v>Hash Table;Linked List;Design;Heap (Priority Queue);</v>
      </c>
      <c r="M356" s="35" t="b">
        <f>IFERROR(__xludf.DUMMYFUNCTION("""COMPUTED_VALUE"""),FALSE)</f>
        <v>0</v>
      </c>
      <c r="N356" s="35" t="b">
        <f>IFERROR(__xludf.DUMMYFUNCTION("""COMPUTED_VALUE"""),FALSE)</f>
        <v>0</v>
      </c>
      <c r="O356" s="35">
        <f>IFERROR(__xludf.DUMMYFUNCTION("""COMPUTED_VALUE"""),34.1371207552662)</f>
        <v>34.13712076</v>
      </c>
      <c r="P356" s="35">
        <f>IFERROR(__xludf.DUMMYFUNCTION("""COMPUTED_VALUE"""),82081.0)</f>
        <v>82081</v>
      </c>
      <c r="Q356" s="35">
        <f>IFERROR(__xludf.DUMMYFUNCTION("""COMPUTED_VALUE"""),240444.0)</f>
        <v>240444</v>
      </c>
    </row>
    <row r="357">
      <c r="A357" s="35">
        <f>IFERROR(__xludf.DUMMYFUNCTION("""COMPUTED_VALUE"""),356.0)</f>
        <v>356</v>
      </c>
      <c r="B357" s="35" t="str">
        <f>IFERROR(__xludf.DUMMYFUNCTION("""COMPUTED_VALUE"""),"Line Reflection")</f>
        <v>Line Reflection</v>
      </c>
      <c r="C357" s="35" t="str">
        <f>IFERROR(__xludf.DUMMYFUNCTION("""COMPUTED_VALUE"""),"line-reflection")</f>
        <v>line-reflection</v>
      </c>
      <c r="D357" s="35" t="b">
        <f>IFERROR(__xludf.DUMMYFUNCTION("""COMPUTED_VALUE"""),TRUE)</f>
        <v>1</v>
      </c>
      <c r="E357" s="35" t="str">
        <f>IFERROR(__xludf.DUMMYFUNCTION("""COMPUTED_VALUE"""),"Medium")</f>
        <v>Medium</v>
      </c>
      <c r="F357" s="35">
        <f>IFERROR(__xludf.DUMMYFUNCTION("""COMPUTED_VALUE"""),224.0)</f>
        <v>224</v>
      </c>
      <c r="G357" s="35">
        <f>IFERROR(__xludf.DUMMYFUNCTION("""COMPUTED_VALUE"""),475.0)</f>
        <v>475</v>
      </c>
      <c r="H357" s="35" t="str">
        <f>IFERROR(__xludf.DUMMYFUNCTION("""COMPUTED_VALUE"""),"Algorithms")</f>
        <v>Algorithms</v>
      </c>
      <c r="I357" s="35">
        <f>IFERROR(__xludf.DUMMYFUNCTION("""COMPUTED_VALUE"""),0.343)</f>
        <v>0.343</v>
      </c>
      <c r="J357" s="35">
        <f>IFERROR(__xludf.DUMMYFUNCTION("""COMPUTED_VALUE"""),356.0)</f>
        <v>356</v>
      </c>
      <c r="K357" s="35" t="b">
        <f>IFERROR(__xludf.DUMMYFUNCTION("""COMPUTED_VALUE"""),TRUE)</f>
        <v>1</v>
      </c>
      <c r="L357" s="35" t="str">
        <f>IFERROR(__xludf.DUMMYFUNCTION("""COMPUTED_VALUE"""),"Array;Hash Table;Math;")</f>
        <v>Array;Hash Table;Math;</v>
      </c>
      <c r="M357" s="35" t="b">
        <f>IFERROR(__xludf.DUMMYFUNCTION("""COMPUTED_VALUE"""),FALSE)</f>
        <v>0</v>
      </c>
      <c r="N357" s="35" t="b">
        <f>IFERROR(__xludf.DUMMYFUNCTION("""COMPUTED_VALUE"""),FALSE)</f>
        <v>0</v>
      </c>
      <c r="O357" s="35">
        <f>IFERROR(__xludf.DUMMYFUNCTION("""COMPUTED_VALUE"""),34.2686528130414)</f>
        <v>34.26865281</v>
      </c>
      <c r="P357" s="35">
        <f>IFERROR(__xludf.DUMMYFUNCTION("""COMPUTED_VALUE"""),31448.0)</f>
        <v>31448</v>
      </c>
      <c r="Q357" s="35">
        <f>IFERROR(__xludf.DUMMYFUNCTION("""COMPUTED_VALUE"""),91769.0)</f>
        <v>91769</v>
      </c>
    </row>
    <row r="358">
      <c r="A358" s="35">
        <f>IFERROR(__xludf.DUMMYFUNCTION("""COMPUTED_VALUE"""),357.0)</f>
        <v>357</v>
      </c>
      <c r="B358" s="35" t="str">
        <f>IFERROR(__xludf.DUMMYFUNCTION("""COMPUTED_VALUE"""),"Count Numbers with Unique Digits")</f>
        <v>Count Numbers with Unique Digits</v>
      </c>
      <c r="C358" s="35" t="str">
        <f>IFERROR(__xludf.DUMMYFUNCTION("""COMPUTED_VALUE"""),"count-numbers-with-unique-digits")</f>
        <v>count-numbers-with-unique-digits</v>
      </c>
      <c r="D358" s="35" t="b">
        <f>IFERROR(__xludf.DUMMYFUNCTION("""COMPUTED_VALUE"""),FALSE)</f>
        <v>0</v>
      </c>
      <c r="E358" s="35" t="str">
        <f>IFERROR(__xludf.DUMMYFUNCTION("""COMPUTED_VALUE"""),"Medium")</f>
        <v>Medium</v>
      </c>
      <c r="F358" s="35">
        <f>IFERROR(__xludf.DUMMYFUNCTION("""COMPUTED_VALUE"""),839.0)</f>
        <v>839</v>
      </c>
      <c r="G358" s="35">
        <f>IFERROR(__xludf.DUMMYFUNCTION("""COMPUTED_VALUE"""),1202.0)</f>
        <v>1202</v>
      </c>
      <c r="H358" s="35" t="str">
        <f>IFERROR(__xludf.DUMMYFUNCTION("""COMPUTED_VALUE"""),"Algorithms")</f>
        <v>Algorithms</v>
      </c>
      <c r="I358" s="35">
        <f>IFERROR(__xludf.DUMMYFUNCTION("""COMPUTED_VALUE"""),0.504)</f>
        <v>0.504</v>
      </c>
      <c r="J358" s="35">
        <f>IFERROR(__xludf.DUMMYFUNCTION("""COMPUTED_VALUE"""),357.0)</f>
        <v>357</v>
      </c>
      <c r="K358" s="35" t="b">
        <f>IFERROR(__xludf.DUMMYFUNCTION("""COMPUTED_VALUE"""),FALSE)</f>
        <v>0</v>
      </c>
      <c r="L358" s="35" t="str">
        <f>IFERROR(__xludf.DUMMYFUNCTION("""COMPUTED_VALUE"""),"Math;Dynamic Programming;Backtracking;")</f>
        <v>Math;Dynamic Programming;Backtracking;</v>
      </c>
      <c r="M358" s="35" t="b">
        <f>IFERROR(__xludf.DUMMYFUNCTION("""COMPUTED_VALUE"""),FALSE)</f>
        <v>0</v>
      </c>
      <c r="N358" s="35" t="b">
        <f>IFERROR(__xludf.DUMMYFUNCTION("""COMPUTED_VALUE"""),FALSE)</f>
        <v>0</v>
      </c>
      <c r="O358" s="35">
        <f>IFERROR(__xludf.DUMMYFUNCTION("""COMPUTED_VALUE"""),50.4301216240747)</f>
        <v>50.43012162</v>
      </c>
      <c r="P358" s="35">
        <f>IFERROR(__xludf.DUMMYFUNCTION("""COMPUTED_VALUE"""),100011.0)</f>
        <v>100011</v>
      </c>
      <c r="Q358" s="35">
        <f>IFERROR(__xludf.DUMMYFUNCTION("""COMPUTED_VALUE"""),198316.0)</f>
        <v>198316</v>
      </c>
    </row>
    <row r="359">
      <c r="A359" s="35">
        <f>IFERROR(__xludf.DUMMYFUNCTION("""COMPUTED_VALUE"""),358.0)</f>
        <v>358</v>
      </c>
      <c r="B359" s="35" t="str">
        <f>IFERROR(__xludf.DUMMYFUNCTION("""COMPUTED_VALUE"""),"Rearrange String k Distance Apart")</f>
        <v>Rearrange String k Distance Apart</v>
      </c>
      <c r="C359" s="35" t="str">
        <f>IFERROR(__xludf.DUMMYFUNCTION("""COMPUTED_VALUE"""),"rearrange-string-k-distance-apart")</f>
        <v>rearrange-string-k-distance-apart</v>
      </c>
      <c r="D359" s="35" t="b">
        <f>IFERROR(__xludf.DUMMYFUNCTION("""COMPUTED_VALUE"""),TRUE)</f>
        <v>1</v>
      </c>
      <c r="E359" s="35" t="str">
        <f>IFERROR(__xludf.DUMMYFUNCTION("""COMPUTED_VALUE"""),"Hard")</f>
        <v>Hard</v>
      </c>
      <c r="F359" s="35">
        <f>IFERROR(__xludf.DUMMYFUNCTION("""COMPUTED_VALUE"""),713.0)</f>
        <v>713</v>
      </c>
      <c r="G359" s="35">
        <f>IFERROR(__xludf.DUMMYFUNCTION("""COMPUTED_VALUE"""),31.0)</f>
        <v>31</v>
      </c>
      <c r="H359" s="35" t="str">
        <f>IFERROR(__xludf.DUMMYFUNCTION("""COMPUTED_VALUE"""),"Algorithms")</f>
        <v>Algorithms</v>
      </c>
      <c r="I359" s="35">
        <f>IFERROR(__xludf.DUMMYFUNCTION("""COMPUTED_VALUE"""),0.368)</f>
        <v>0.368</v>
      </c>
      <c r="J359" s="35">
        <f>IFERROR(__xludf.DUMMYFUNCTION("""COMPUTED_VALUE"""),358.0)</f>
        <v>358</v>
      </c>
      <c r="K359" s="35" t="b">
        <f>IFERROR(__xludf.DUMMYFUNCTION("""COMPUTED_VALUE"""),TRUE)</f>
        <v>1</v>
      </c>
      <c r="L359" s="35" t="str">
        <f>IFERROR(__xludf.DUMMYFUNCTION("""COMPUTED_VALUE"""),"Hash Table;String;Greedy;Sorting;Heap (Priority Queue);Counting;")</f>
        <v>Hash Table;String;Greedy;Sorting;Heap (Priority Queue);Counting;</v>
      </c>
      <c r="M359" s="35" t="b">
        <f>IFERROR(__xludf.DUMMYFUNCTION("""COMPUTED_VALUE"""),FALSE)</f>
        <v>0</v>
      </c>
      <c r="N359" s="35" t="b">
        <f>IFERROR(__xludf.DUMMYFUNCTION("""COMPUTED_VALUE"""),FALSE)</f>
        <v>0</v>
      </c>
      <c r="O359" s="35">
        <f>IFERROR(__xludf.DUMMYFUNCTION("""COMPUTED_VALUE"""),36.8135241408545)</f>
        <v>36.81352414</v>
      </c>
      <c r="P359" s="35">
        <f>IFERROR(__xludf.DUMMYFUNCTION("""COMPUTED_VALUE"""),50369.0)</f>
        <v>50369</v>
      </c>
      <c r="Q359" s="35">
        <f>IFERROR(__xludf.DUMMYFUNCTION("""COMPUTED_VALUE"""),136820.0)</f>
        <v>136820</v>
      </c>
    </row>
    <row r="360">
      <c r="A360" s="35">
        <f>IFERROR(__xludf.DUMMYFUNCTION("""COMPUTED_VALUE"""),359.0)</f>
        <v>359</v>
      </c>
      <c r="B360" s="35" t="str">
        <f>IFERROR(__xludf.DUMMYFUNCTION("""COMPUTED_VALUE"""),"Logger Rate Limiter")</f>
        <v>Logger Rate Limiter</v>
      </c>
      <c r="C360" s="35" t="str">
        <f>IFERROR(__xludf.DUMMYFUNCTION("""COMPUTED_VALUE"""),"logger-rate-limiter")</f>
        <v>logger-rate-limiter</v>
      </c>
      <c r="D360" s="35" t="b">
        <f>IFERROR(__xludf.DUMMYFUNCTION("""COMPUTED_VALUE"""),TRUE)</f>
        <v>1</v>
      </c>
      <c r="E360" s="35" t="str">
        <f>IFERROR(__xludf.DUMMYFUNCTION("""COMPUTED_VALUE"""),"Easy")</f>
        <v>Easy</v>
      </c>
      <c r="F360" s="35">
        <f>IFERROR(__xludf.DUMMYFUNCTION("""COMPUTED_VALUE"""),1169.0)</f>
        <v>1169</v>
      </c>
      <c r="G360" s="35">
        <f>IFERROR(__xludf.DUMMYFUNCTION("""COMPUTED_VALUE"""),157.0)</f>
        <v>157</v>
      </c>
      <c r="H360" s="35" t="str">
        <f>IFERROR(__xludf.DUMMYFUNCTION("""COMPUTED_VALUE"""),"Algorithms")</f>
        <v>Algorithms</v>
      </c>
      <c r="I360" s="35">
        <f>IFERROR(__xludf.DUMMYFUNCTION("""COMPUTED_VALUE"""),0.748)</f>
        <v>0.748</v>
      </c>
      <c r="J360" s="35">
        <f>IFERROR(__xludf.DUMMYFUNCTION("""COMPUTED_VALUE"""),359.0)</f>
        <v>359</v>
      </c>
      <c r="K360" s="35" t="b">
        <f>IFERROR(__xludf.DUMMYFUNCTION("""COMPUTED_VALUE"""),TRUE)</f>
        <v>1</v>
      </c>
      <c r="L360" s="35" t="str">
        <f>IFERROR(__xludf.DUMMYFUNCTION("""COMPUTED_VALUE"""),"Hash Table;Design;")</f>
        <v>Hash Table;Design;</v>
      </c>
      <c r="M360" s="35" t="b">
        <f>IFERROR(__xludf.DUMMYFUNCTION("""COMPUTED_VALUE"""),TRUE)</f>
        <v>1</v>
      </c>
      <c r="N360" s="35" t="b">
        <f>IFERROR(__xludf.DUMMYFUNCTION("""COMPUTED_VALUE"""),FALSE)</f>
        <v>0</v>
      </c>
      <c r="O360" s="35">
        <f>IFERROR(__xludf.DUMMYFUNCTION("""COMPUTED_VALUE"""),74.7511542208479)</f>
        <v>74.75115422</v>
      </c>
      <c r="P360" s="35">
        <f>IFERROR(__xludf.DUMMYFUNCTION("""COMPUTED_VALUE"""),211771.0)</f>
        <v>211771</v>
      </c>
      <c r="Q360" s="35">
        <f>IFERROR(__xludf.DUMMYFUNCTION("""COMPUTED_VALUE"""),283303.0)</f>
        <v>283303</v>
      </c>
    </row>
    <row r="361">
      <c r="A361" s="35">
        <f>IFERROR(__xludf.DUMMYFUNCTION("""COMPUTED_VALUE"""),360.0)</f>
        <v>360</v>
      </c>
      <c r="B361" s="35" t="str">
        <f>IFERROR(__xludf.DUMMYFUNCTION("""COMPUTED_VALUE"""),"Sort Transformed Array")</f>
        <v>Sort Transformed Array</v>
      </c>
      <c r="C361" s="35" t="str">
        <f>IFERROR(__xludf.DUMMYFUNCTION("""COMPUTED_VALUE"""),"sort-transformed-array")</f>
        <v>sort-transformed-array</v>
      </c>
      <c r="D361" s="35" t="b">
        <f>IFERROR(__xludf.DUMMYFUNCTION("""COMPUTED_VALUE"""),TRUE)</f>
        <v>1</v>
      </c>
      <c r="E361" s="35" t="str">
        <f>IFERROR(__xludf.DUMMYFUNCTION("""COMPUTED_VALUE"""),"Medium")</f>
        <v>Medium</v>
      </c>
      <c r="F361" s="35">
        <f>IFERROR(__xludf.DUMMYFUNCTION("""COMPUTED_VALUE"""),534.0)</f>
        <v>534</v>
      </c>
      <c r="G361" s="35">
        <f>IFERROR(__xludf.DUMMYFUNCTION("""COMPUTED_VALUE"""),155.0)</f>
        <v>155</v>
      </c>
      <c r="H361" s="35" t="str">
        <f>IFERROR(__xludf.DUMMYFUNCTION("""COMPUTED_VALUE"""),"Algorithms")</f>
        <v>Algorithms</v>
      </c>
      <c r="I361" s="35">
        <f>IFERROR(__xludf.DUMMYFUNCTION("""COMPUTED_VALUE"""),0.53)</f>
        <v>0.53</v>
      </c>
      <c r="J361" s="35">
        <f>IFERROR(__xludf.DUMMYFUNCTION("""COMPUTED_VALUE"""),360.0)</f>
        <v>360</v>
      </c>
      <c r="K361" s="35" t="b">
        <f>IFERROR(__xludf.DUMMYFUNCTION("""COMPUTED_VALUE"""),TRUE)</f>
        <v>1</v>
      </c>
      <c r="L361" s="35" t="str">
        <f>IFERROR(__xludf.DUMMYFUNCTION("""COMPUTED_VALUE"""),"Array;Math;Two Pointers;Sorting;")</f>
        <v>Array;Math;Two Pointers;Sorting;</v>
      </c>
      <c r="M361" s="35" t="b">
        <f>IFERROR(__xludf.DUMMYFUNCTION("""COMPUTED_VALUE"""),FALSE)</f>
        <v>0</v>
      </c>
      <c r="N361" s="35" t="b">
        <f>IFERROR(__xludf.DUMMYFUNCTION("""COMPUTED_VALUE"""),FALSE)</f>
        <v>0</v>
      </c>
      <c r="O361" s="35">
        <f>IFERROR(__xludf.DUMMYFUNCTION("""COMPUTED_VALUE"""),52.9778628546728)</f>
        <v>52.97786285</v>
      </c>
      <c r="P361" s="35">
        <f>IFERROR(__xludf.DUMMYFUNCTION("""COMPUTED_VALUE"""),51477.0)</f>
        <v>51477</v>
      </c>
      <c r="Q361" s="35">
        <f>IFERROR(__xludf.DUMMYFUNCTION("""COMPUTED_VALUE"""),97167.0)</f>
        <v>97167</v>
      </c>
    </row>
    <row r="362">
      <c r="A362" s="35">
        <f>IFERROR(__xludf.DUMMYFUNCTION("""COMPUTED_VALUE"""),361.0)</f>
        <v>361</v>
      </c>
      <c r="B362" s="35" t="str">
        <f>IFERROR(__xludf.DUMMYFUNCTION("""COMPUTED_VALUE"""),"Bomb Enemy")</f>
        <v>Bomb Enemy</v>
      </c>
      <c r="C362" s="35" t="str">
        <f>IFERROR(__xludf.DUMMYFUNCTION("""COMPUTED_VALUE"""),"bomb-enemy")</f>
        <v>bomb-enemy</v>
      </c>
      <c r="D362" s="35" t="b">
        <f>IFERROR(__xludf.DUMMYFUNCTION("""COMPUTED_VALUE"""),TRUE)</f>
        <v>1</v>
      </c>
      <c r="E362" s="35" t="str">
        <f>IFERROR(__xludf.DUMMYFUNCTION("""COMPUTED_VALUE"""),"Medium")</f>
        <v>Medium</v>
      </c>
      <c r="F362" s="35">
        <f>IFERROR(__xludf.DUMMYFUNCTION("""COMPUTED_VALUE"""),750.0)</f>
        <v>750</v>
      </c>
      <c r="G362" s="35">
        <f>IFERROR(__xludf.DUMMYFUNCTION("""COMPUTED_VALUE"""),92.0)</f>
        <v>92</v>
      </c>
      <c r="H362" s="35" t="str">
        <f>IFERROR(__xludf.DUMMYFUNCTION("""COMPUTED_VALUE"""),"Algorithms")</f>
        <v>Algorithms</v>
      </c>
      <c r="I362" s="35">
        <f>IFERROR(__xludf.DUMMYFUNCTION("""COMPUTED_VALUE"""),0.498)</f>
        <v>0.498</v>
      </c>
      <c r="J362" s="35">
        <f>IFERROR(__xludf.DUMMYFUNCTION("""COMPUTED_VALUE"""),361.0)</f>
        <v>361</v>
      </c>
      <c r="K362" s="35" t="b">
        <f>IFERROR(__xludf.DUMMYFUNCTION("""COMPUTED_VALUE"""),TRUE)</f>
        <v>1</v>
      </c>
      <c r="L362" s="35" t="str">
        <f>IFERROR(__xludf.DUMMYFUNCTION("""COMPUTED_VALUE"""),"Array;Dynamic Programming;Matrix;")</f>
        <v>Array;Dynamic Programming;Matrix;</v>
      </c>
      <c r="M362" s="35" t="b">
        <f>IFERROR(__xludf.DUMMYFUNCTION("""COMPUTED_VALUE"""),TRUE)</f>
        <v>1</v>
      </c>
      <c r="N362" s="35" t="b">
        <f>IFERROR(__xludf.DUMMYFUNCTION("""COMPUTED_VALUE"""),FALSE)</f>
        <v>0</v>
      </c>
      <c r="O362" s="35">
        <f>IFERROR(__xludf.DUMMYFUNCTION("""COMPUTED_VALUE"""),49.8305270063415)</f>
        <v>49.83052701</v>
      </c>
      <c r="P362" s="35">
        <f>IFERROR(__xludf.DUMMYFUNCTION("""COMPUTED_VALUE"""),63805.0)</f>
        <v>63805</v>
      </c>
      <c r="Q362" s="35">
        <f>IFERROR(__xludf.DUMMYFUNCTION("""COMPUTED_VALUE"""),128044.0)</f>
        <v>128044</v>
      </c>
    </row>
    <row r="363">
      <c r="A363" s="35">
        <f>IFERROR(__xludf.DUMMYFUNCTION("""COMPUTED_VALUE"""),362.0)</f>
        <v>362</v>
      </c>
      <c r="B363" s="35" t="str">
        <f>IFERROR(__xludf.DUMMYFUNCTION("""COMPUTED_VALUE"""),"Design Hit Counter")</f>
        <v>Design Hit Counter</v>
      </c>
      <c r="C363" s="35" t="str">
        <f>IFERROR(__xludf.DUMMYFUNCTION("""COMPUTED_VALUE"""),"design-hit-counter")</f>
        <v>design-hit-counter</v>
      </c>
      <c r="D363" s="35" t="b">
        <f>IFERROR(__xludf.DUMMYFUNCTION("""COMPUTED_VALUE"""),TRUE)</f>
        <v>1</v>
      </c>
      <c r="E363" s="35" t="str">
        <f>IFERROR(__xludf.DUMMYFUNCTION("""COMPUTED_VALUE"""),"Medium")</f>
        <v>Medium</v>
      </c>
      <c r="F363" s="35">
        <f>IFERROR(__xludf.DUMMYFUNCTION("""COMPUTED_VALUE"""),1442.0)</f>
        <v>1442</v>
      </c>
      <c r="G363" s="35">
        <f>IFERROR(__xludf.DUMMYFUNCTION("""COMPUTED_VALUE"""),124.0)</f>
        <v>124</v>
      </c>
      <c r="H363" s="35" t="str">
        <f>IFERROR(__xludf.DUMMYFUNCTION("""COMPUTED_VALUE"""),"Algorithms")</f>
        <v>Algorithms</v>
      </c>
      <c r="I363" s="35">
        <f>IFERROR(__xludf.DUMMYFUNCTION("""COMPUTED_VALUE"""),0.672)</f>
        <v>0.672</v>
      </c>
      <c r="J363" s="35">
        <f>IFERROR(__xludf.DUMMYFUNCTION("""COMPUTED_VALUE"""),362.0)</f>
        <v>362</v>
      </c>
      <c r="K363" s="35" t="b">
        <f>IFERROR(__xludf.DUMMYFUNCTION("""COMPUTED_VALUE"""),TRUE)</f>
        <v>1</v>
      </c>
      <c r="L363" s="35" t="str">
        <f>IFERROR(__xludf.DUMMYFUNCTION("""COMPUTED_VALUE"""),"Array;Hash Table;Binary Search;Design;Queue;")</f>
        <v>Array;Hash Table;Binary Search;Design;Queue;</v>
      </c>
      <c r="M363" s="35" t="b">
        <f>IFERROR(__xludf.DUMMYFUNCTION("""COMPUTED_VALUE"""),TRUE)</f>
        <v>1</v>
      </c>
      <c r="N363" s="35" t="b">
        <f>IFERROR(__xludf.DUMMYFUNCTION("""COMPUTED_VALUE"""),FALSE)</f>
        <v>0</v>
      </c>
      <c r="O363" s="35">
        <f>IFERROR(__xludf.DUMMYFUNCTION("""COMPUTED_VALUE"""),67.1534715772479)</f>
        <v>67.15347158</v>
      </c>
      <c r="P363" s="35">
        <f>IFERROR(__xludf.DUMMYFUNCTION("""COMPUTED_VALUE"""),154726.0)</f>
        <v>154726</v>
      </c>
      <c r="Q363" s="35">
        <f>IFERROR(__xludf.DUMMYFUNCTION("""COMPUTED_VALUE"""),230406.0)</f>
        <v>230406</v>
      </c>
    </row>
    <row r="364">
      <c r="A364" s="35">
        <f>IFERROR(__xludf.DUMMYFUNCTION("""COMPUTED_VALUE"""),363.0)</f>
        <v>363</v>
      </c>
      <c r="B364" s="35" t="str">
        <f>IFERROR(__xludf.DUMMYFUNCTION("""COMPUTED_VALUE"""),"Max Sum of Rectangle No Larger Than K")</f>
        <v>Max Sum of Rectangle No Larger Than K</v>
      </c>
      <c r="C364" s="35" t="str">
        <f>IFERROR(__xludf.DUMMYFUNCTION("""COMPUTED_VALUE"""),"max-sum-of-rectangle-no-larger-than-k")</f>
        <v>max-sum-of-rectangle-no-larger-than-k</v>
      </c>
      <c r="D364" s="35" t="b">
        <f>IFERROR(__xludf.DUMMYFUNCTION("""COMPUTED_VALUE"""),FALSE)</f>
        <v>0</v>
      </c>
      <c r="E364" s="35" t="str">
        <f>IFERROR(__xludf.DUMMYFUNCTION("""COMPUTED_VALUE"""),"Hard")</f>
        <v>Hard</v>
      </c>
      <c r="F364" s="35">
        <f>IFERROR(__xludf.DUMMYFUNCTION("""COMPUTED_VALUE"""),1858.0)</f>
        <v>1858</v>
      </c>
      <c r="G364" s="35">
        <f>IFERROR(__xludf.DUMMYFUNCTION("""COMPUTED_VALUE"""),105.0)</f>
        <v>105</v>
      </c>
      <c r="H364" s="35" t="str">
        <f>IFERROR(__xludf.DUMMYFUNCTION("""COMPUTED_VALUE"""),"Algorithms")</f>
        <v>Algorithms</v>
      </c>
      <c r="I364" s="35">
        <f>IFERROR(__xludf.DUMMYFUNCTION("""COMPUTED_VALUE"""),0.401)</f>
        <v>0.401</v>
      </c>
      <c r="J364" s="35">
        <f>IFERROR(__xludf.DUMMYFUNCTION("""COMPUTED_VALUE"""),363.0)</f>
        <v>363</v>
      </c>
      <c r="K364" s="35" t="b">
        <f>IFERROR(__xludf.DUMMYFUNCTION("""COMPUTED_VALUE"""),FALSE)</f>
        <v>0</v>
      </c>
      <c r="L364" s="35" t="str">
        <f>IFERROR(__xludf.DUMMYFUNCTION("""COMPUTED_VALUE"""),"Array;Binary Search;Dynamic Programming;Matrix;Ordered Set;")</f>
        <v>Array;Binary Search;Dynamic Programming;Matrix;Ordered Set;</v>
      </c>
      <c r="M364" s="35" t="b">
        <f>IFERROR(__xludf.DUMMYFUNCTION("""COMPUTED_VALUE"""),TRUE)</f>
        <v>1</v>
      </c>
      <c r="N364" s="35" t="b">
        <f>IFERROR(__xludf.DUMMYFUNCTION("""COMPUTED_VALUE"""),FALSE)</f>
        <v>0</v>
      </c>
      <c r="O364" s="35">
        <f>IFERROR(__xludf.DUMMYFUNCTION("""COMPUTED_VALUE"""),40.1438618430231)</f>
        <v>40.14386184</v>
      </c>
      <c r="P364" s="35">
        <f>IFERROR(__xludf.DUMMYFUNCTION("""COMPUTED_VALUE"""),77686.0)</f>
        <v>77686</v>
      </c>
      <c r="Q364" s="35">
        <f>IFERROR(__xludf.DUMMYFUNCTION("""COMPUTED_VALUE"""),193519.0)</f>
        <v>193519</v>
      </c>
    </row>
    <row r="365">
      <c r="A365" s="35">
        <f>IFERROR(__xludf.DUMMYFUNCTION("""COMPUTED_VALUE"""),364.0)</f>
        <v>364</v>
      </c>
      <c r="B365" s="35" t="str">
        <f>IFERROR(__xludf.DUMMYFUNCTION("""COMPUTED_VALUE"""),"Nested List Weight Sum II")</f>
        <v>Nested List Weight Sum II</v>
      </c>
      <c r="C365" s="35" t="str">
        <f>IFERROR(__xludf.DUMMYFUNCTION("""COMPUTED_VALUE"""),"nested-list-weight-sum-ii")</f>
        <v>nested-list-weight-sum-ii</v>
      </c>
      <c r="D365" s="35" t="b">
        <f>IFERROR(__xludf.DUMMYFUNCTION("""COMPUTED_VALUE"""),TRUE)</f>
        <v>1</v>
      </c>
      <c r="E365" s="35" t="str">
        <f>IFERROR(__xludf.DUMMYFUNCTION("""COMPUTED_VALUE"""),"Medium")</f>
        <v>Medium</v>
      </c>
      <c r="F365" s="35">
        <f>IFERROR(__xludf.DUMMYFUNCTION("""COMPUTED_VALUE"""),943.0)</f>
        <v>943</v>
      </c>
      <c r="G365" s="35">
        <f>IFERROR(__xludf.DUMMYFUNCTION("""COMPUTED_VALUE"""),286.0)</f>
        <v>286</v>
      </c>
      <c r="H365" s="35" t="str">
        <f>IFERROR(__xludf.DUMMYFUNCTION("""COMPUTED_VALUE"""),"Algorithms")</f>
        <v>Algorithms</v>
      </c>
      <c r="I365" s="35">
        <f>IFERROR(__xludf.DUMMYFUNCTION("""COMPUTED_VALUE"""),0.68)</f>
        <v>0.68</v>
      </c>
      <c r="J365" s="35">
        <f>IFERROR(__xludf.DUMMYFUNCTION("""COMPUTED_VALUE"""),364.0)</f>
        <v>364</v>
      </c>
      <c r="K365" s="35" t="b">
        <f>IFERROR(__xludf.DUMMYFUNCTION("""COMPUTED_VALUE"""),TRUE)</f>
        <v>1</v>
      </c>
      <c r="L365" s="35" t="str">
        <f>IFERROR(__xludf.DUMMYFUNCTION("""COMPUTED_VALUE"""),"Stack;Depth-First Search;Breadth-First Search;")</f>
        <v>Stack;Depth-First Search;Breadth-First Search;</v>
      </c>
      <c r="M365" s="35" t="b">
        <f>IFERROR(__xludf.DUMMYFUNCTION("""COMPUTED_VALUE"""),TRUE)</f>
        <v>1</v>
      </c>
      <c r="N365" s="35" t="b">
        <f>IFERROR(__xludf.DUMMYFUNCTION("""COMPUTED_VALUE"""),FALSE)</f>
        <v>0</v>
      </c>
      <c r="O365" s="35">
        <f>IFERROR(__xludf.DUMMYFUNCTION("""COMPUTED_VALUE"""),67.9611892491478)</f>
        <v>67.96118925</v>
      </c>
      <c r="P365" s="35">
        <f>IFERROR(__xludf.DUMMYFUNCTION("""COMPUTED_VALUE"""),109058.0)</f>
        <v>109058</v>
      </c>
      <c r="Q365" s="35">
        <f>IFERROR(__xludf.DUMMYFUNCTION("""COMPUTED_VALUE"""),160471.0)</f>
        <v>160471</v>
      </c>
    </row>
    <row r="366">
      <c r="A366" s="35">
        <f>IFERROR(__xludf.DUMMYFUNCTION("""COMPUTED_VALUE"""),365.0)</f>
        <v>365</v>
      </c>
      <c r="B366" s="35" t="str">
        <f>IFERROR(__xludf.DUMMYFUNCTION("""COMPUTED_VALUE"""),"Water and Jug Problem")</f>
        <v>Water and Jug Problem</v>
      </c>
      <c r="C366" s="35" t="str">
        <f>IFERROR(__xludf.DUMMYFUNCTION("""COMPUTED_VALUE"""),"water-and-jug-problem")</f>
        <v>water-and-jug-problem</v>
      </c>
      <c r="D366" s="35" t="b">
        <f>IFERROR(__xludf.DUMMYFUNCTION("""COMPUTED_VALUE"""),FALSE)</f>
        <v>0</v>
      </c>
      <c r="E366" s="35" t="str">
        <f>IFERROR(__xludf.DUMMYFUNCTION("""COMPUTED_VALUE"""),"Medium")</f>
        <v>Medium</v>
      </c>
      <c r="F366" s="35">
        <f>IFERROR(__xludf.DUMMYFUNCTION("""COMPUTED_VALUE"""),712.0)</f>
        <v>712</v>
      </c>
      <c r="G366" s="35">
        <f>IFERROR(__xludf.DUMMYFUNCTION("""COMPUTED_VALUE"""),1071.0)</f>
        <v>1071</v>
      </c>
      <c r="H366" s="35" t="str">
        <f>IFERROR(__xludf.DUMMYFUNCTION("""COMPUTED_VALUE"""),"Algorithms")</f>
        <v>Algorithms</v>
      </c>
      <c r="I366" s="35">
        <f>IFERROR(__xludf.DUMMYFUNCTION("""COMPUTED_VALUE"""),0.339)</f>
        <v>0.339</v>
      </c>
      <c r="J366" s="35">
        <f>IFERROR(__xludf.DUMMYFUNCTION("""COMPUTED_VALUE"""),365.0)</f>
        <v>365</v>
      </c>
      <c r="K366" s="35" t="b">
        <f>IFERROR(__xludf.DUMMYFUNCTION("""COMPUTED_VALUE"""),FALSE)</f>
        <v>0</v>
      </c>
      <c r="L366" s="35" t="str">
        <f>IFERROR(__xludf.DUMMYFUNCTION("""COMPUTED_VALUE"""),"Math;Depth-First Search;Breadth-First Search;")</f>
        <v>Math;Depth-First Search;Breadth-First Search;</v>
      </c>
      <c r="M366" s="35" t="b">
        <f>IFERROR(__xludf.DUMMYFUNCTION("""COMPUTED_VALUE"""),FALSE)</f>
        <v>0</v>
      </c>
      <c r="N366" s="35" t="b">
        <f>IFERROR(__xludf.DUMMYFUNCTION("""COMPUTED_VALUE"""),FALSE)</f>
        <v>0</v>
      </c>
      <c r="O366" s="35">
        <f>IFERROR(__xludf.DUMMYFUNCTION("""COMPUTED_VALUE"""),33.8877981488583)</f>
        <v>33.88779815</v>
      </c>
      <c r="P366" s="35">
        <f>IFERROR(__xludf.DUMMYFUNCTION("""COMPUTED_VALUE"""),59201.0)</f>
        <v>59201</v>
      </c>
      <c r="Q366" s="35">
        <f>IFERROR(__xludf.DUMMYFUNCTION("""COMPUTED_VALUE"""),174701.0)</f>
        <v>174701</v>
      </c>
    </row>
    <row r="367">
      <c r="A367" s="35">
        <f>IFERROR(__xludf.DUMMYFUNCTION("""COMPUTED_VALUE"""),366.0)</f>
        <v>366</v>
      </c>
      <c r="B367" s="35" t="str">
        <f>IFERROR(__xludf.DUMMYFUNCTION("""COMPUTED_VALUE"""),"Find Leaves of Binary Tree")</f>
        <v>Find Leaves of Binary Tree</v>
      </c>
      <c r="C367" s="35" t="str">
        <f>IFERROR(__xludf.DUMMYFUNCTION("""COMPUTED_VALUE"""),"find-leaves-of-binary-tree")</f>
        <v>find-leaves-of-binary-tree</v>
      </c>
      <c r="D367" s="35" t="b">
        <f>IFERROR(__xludf.DUMMYFUNCTION("""COMPUTED_VALUE"""),TRUE)</f>
        <v>1</v>
      </c>
      <c r="E367" s="35" t="str">
        <f>IFERROR(__xludf.DUMMYFUNCTION("""COMPUTED_VALUE"""),"Medium")</f>
        <v>Medium</v>
      </c>
      <c r="F367" s="35">
        <f>IFERROR(__xludf.DUMMYFUNCTION("""COMPUTED_VALUE"""),2188.0)</f>
        <v>2188</v>
      </c>
      <c r="G367" s="35">
        <f>IFERROR(__xludf.DUMMYFUNCTION("""COMPUTED_VALUE"""),38.0)</f>
        <v>38</v>
      </c>
      <c r="H367" s="35" t="str">
        <f>IFERROR(__xludf.DUMMYFUNCTION("""COMPUTED_VALUE"""),"Algorithms")</f>
        <v>Algorithms</v>
      </c>
      <c r="I367" s="35">
        <f>IFERROR(__xludf.DUMMYFUNCTION("""COMPUTED_VALUE"""),0.778)</f>
        <v>0.778</v>
      </c>
      <c r="J367" s="35">
        <f>IFERROR(__xludf.DUMMYFUNCTION("""COMPUTED_VALUE"""),366.0)</f>
        <v>366</v>
      </c>
      <c r="K367" s="35" t="b">
        <f>IFERROR(__xludf.DUMMYFUNCTION("""COMPUTED_VALUE"""),TRUE)</f>
        <v>1</v>
      </c>
      <c r="L367" s="35" t="str">
        <f>IFERROR(__xludf.DUMMYFUNCTION("""COMPUTED_VALUE"""),"Tree;Depth-First Search;Binary Tree;")</f>
        <v>Tree;Depth-First Search;Binary Tree;</v>
      </c>
      <c r="M367" s="35" t="b">
        <f>IFERROR(__xludf.DUMMYFUNCTION("""COMPUTED_VALUE"""),TRUE)</f>
        <v>1</v>
      </c>
      <c r="N367" s="35" t="b">
        <f>IFERROR(__xludf.DUMMYFUNCTION("""COMPUTED_VALUE"""),FALSE)</f>
        <v>0</v>
      </c>
      <c r="O367" s="35">
        <f>IFERROR(__xludf.DUMMYFUNCTION("""COMPUTED_VALUE"""),77.8245255518324)</f>
        <v>77.82452555</v>
      </c>
      <c r="P367" s="35">
        <f>IFERROR(__xludf.DUMMYFUNCTION("""COMPUTED_VALUE"""),155378.0)</f>
        <v>155378</v>
      </c>
      <c r="Q367" s="35">
        <f>IFERROR(__xludf.DUMMYFUNCTION("""COMPUTED_VALUE"""),199652.0)</f>
        <v>199652</v>
      </c>
    </row>
    <row r="368">
      <c r="A368" s="35">
        <f>IFERROR(__xludf.DUMMYFUNCTION("""COMPUTED_VALUE"""),367.0)</f>
        <v>367</v>
      </c>
      <c r="B368" s="35" t="str">
        <f>IFERROR(__xludf.DUMMYFUNCTION("""COMPUTED_VALUE"""),"Valid Perfect Square")</f>
        <v>Valid Perfect Square</v>
      </c>
      <c r="C368" s="35" t="str">
        <f>IFERROR(__xludf.DUMMYFUNCTION("""COMPUTED_VALUE"""),"valid-perfect-square")</f>
        <v>valid-perfect-square</v>
      </c>
      <c r="D368" s="35" t="b">
        <f>IFERROR(__xludf.DUMMYFUNCTION("""COMPUTED_VALUE"""),FALSE)</f>
        <v>0</v>
      </c>
      <c r="E368" s="35" t="str">
        <f>IFERROR(__xludf.DUMMYFUNCTION("""COMPUTED_VALUE"""),"Easy")</f>
        <v>Easy</v>
      </c>
      <c r="F368" s="35">
        <f>IFERROR(__xludf.DUMMYFUNCTION("""COMPUTED_VALUE"""),2017.0)</f>
        <v>2017</v>
      </c>
      <c r="G368" s="35">
        <f>IFERROR(__xludf.DUMMYFUNCTION("""COMPUTED_VALUE"""),224.0)</f>
        <v>224</v>
      </c>
      <c r="H368" s="35" t="str">
        <f>IFERROR(__xludf.DUMMYFUNCTION("""COMPUTED_VALUE"""),"Algorithms")</f>
        <v>Algorithms</v>
      </c>
      <c r="I368" s="35">
        <f>IFERROR(__xludf.DUMMYFUNCTION("""COMPUTED_VALUE"""),0.429)</f>
        <v>0.429</v>
      </c>
      <c r="J368" s="35">
        <f>IFERROR(__xludf.DUMMYFUNCTION("""COMPUTED_VALUE"""),367.0)</f>
        <v>367</v>
      </c>
      <c r="K368" s="35" t="b">
        <f>IFERROR(__xludf.DUMMYFUNCTION("""COMPUTED_VALUE"""),FALSE)</f>
        <v>0</v>
      </c>
      <c r="L368" s="35" t="str">
        <f>IFERROR(__xludf.DUMMYFUNCTION("""COMPUTED_VALUE"""),"Math;Binary Search;")</f>
        <v>Math;Binary Search;</v>
      </c>
      <c r="M368" s="35" t="b">
        <f>IFERROR(__xludf.DUMMYFUNCTION("""COMPUTED_VALUE"""),TRUE)</f>
        <v>1</v>
      </c>
      <c r="N368" s="35" t="b">
        <f>IFERROR(__xludf.DUMMYFUNCTION("""COMPUTED_VALUE"""),FALSE)</f>
        <v>0</v>
      </c>
      <c r="O368" s="35">
        <f>IFERROR(__xludf.DUMMYFUNCTION("""COMPUTED_VALUE"""),42.8576843477799)</f>
        <v>42.85768435</v>
      </c>
      <c r="P368" s="35">
        <f>IFERROR(__xludf.DUMMYFUNCTION("""COMPUTED_VALUE"""),339201.0)</f>
        <v>339201</v>
      </c>
      <c r="Q368" s="35">
        <f>IFERROR(__xludf.DUMMYFUNCTION("""COMPUTED_VALUE"""),791459.0)</f>
        <v>791459</v>
      </c>
    </row>
    <row r="369">
      <c r="A369" s="35">
        <f>IFERROR(__xludf.DUMMYFUNCTION("""COMPUTED_VALUE"""),368.0)</f>
        <v>368</v>
      </c>
      <c r="B369" s="35" t="str">
        <f>IFERROR(__xludf.DUMMYFUNCTION("""COMPUTED_VALUE"""),"Largest Divisible Subset")</f>
        <v>Largest Divisible Subset</v>
      </c>
      <c r="C369" s="35" t="str">
        <f>IFERROR(__xludf.DUMMYFUNCTION("""COMPUTED_VALUE"""),"largest-divisible-subset")</f>
        <v>largest-divisible-subset</v>
      </c>
      <c r="D369" s="35" t="b">
        <f>IFERROR(__xludf.DUMMYFUNCTION("""COMPUTED_VALUE"""),FALSE)</f>
        <v>0</v>
      </c>
      <c r="E369" s="35" t="str">
        <f>IFERROR(__xludf.DUMMYFUNCTION("""COMPUTED_VALUE"""),"Medium")</f>
        <v>Medium</v>
      </c>
      <c r="F369" s="35">
        <f>IFERROR(__xludf.DUMMYFUNCTION("""COMPUTED_VALUE"""),3045.0)</f>
        <v>3045</v>
      </c>
      <c r="G369" s="35">
        <f>IFERROR(__xludf.DUMMYFUNCTION("""COMPUTED_VALUE"""),141.0)</f>
        <v>141</v>
      </c>
      <c r="H369" s="35" t="str">
        <f>IFERROR(__xludf.DUMMYFUNCTION("""COMPUTED_VALUE"""),"Algorithms")</f>
        <v>Algorithms</v>
      </c>
      <c r="I369" s="35">
        <f>IFERROR(__xludf.DUMMYFUNCTION("""COMPUTED_VALUE"""),0.404)</f>
        <v>0.404</v>
      </c>
      <c r="J369" s="35">
        <f>IFERROR(__xludf.DUMMYFUNCTION("""COMPUTED_VALUE"""),368.0)</f>
        <v>368</v>
      </c>
      <c r="K369" s="35" t="b">
        <f>IFERROR(__xludf.DUMMYFUNCTION("""COMPUTED_VALUE"""),FALSE)</f>
        <v>0</v>
      </c>
      <c r="L369" s="35" t="str">
        <f>IFERROR(__xludf.DUMMYFUNCTION("""COMPUTED_VALUE"""),"Array;Math;Dynamic Programming;Sorting;")</f>
        <v>Array;Math;Dynamic Programming;Sorting;</v>
      </c>
      <c r="M369" s="35" t="b">
        <f>IFERROR(__xludf.DUMMYFUNCTION("""COMPUTED_VALUE"""),TRUE)</f>
        <v>1</v>
      </c>
      <c r="N369" s="35" t="b">
        <f>IFERROR(__xludf.DUMMYFUNCTION("""COMPUTED_VALUE"""),FALSE)</f>
        <v>0</v>
      </c>
      <c r="O369" s="35">
        <f>IFERROR(__xludf.DUMMYFUNCTION("""COMPUTED_VALUE"""),40.421540255939)</f>
        <v>40.42154026</v>
      </c>
      <c r="P369" s="35">
        <f>IFERROR(__xludf.DUMMYFUNCTION("""COMPUTED_VALUE"""),146937.0)</f>
        <v>146937</v>
      </c>
      <c r="Q369" s="35">
        <f>IFERROR(__xludf.DUMMYFUNCTION("""COMPUTED_VALUE"""),363513.0)</f>
        <v>363513</v>
      </c>
    </row>
    <row r="370">
      <c r="A370" s="35">
        <f>IFERROR(__xludf.DUMMYFUNCTION("""COMPUTED_VALUE"""),369.0)</f>
        <v>369</v>
      </c>
      <c r="B370" s="35" t="str">
        <f>IFERROR(__xludf.DUMMYFUNCTION("""COMPUTED_VALUE"""),"Plus One Linked List")</f>
        <v>Plus One Linked List</v>
      </c>
      <c r="C370" s="35" t="str">
        <f>IFERROR(__xludf.DUMMYFUNCTION("""COMPUTED_VALUE"""),"plus-one-linked-list")</f>
        <v>plus-one-linked-list</v>
      </c>
      <c r="D370" s="35" t="b">
        <f>IFERROR(__xludf.DUMMYFUNCTION("""COMPUTED_VALUE"""),TRUE)</f>
        <v>1</v>
      </c>
      <c r="E370" s="35" t="str">
        <f>IFERROR(__xludf.DUMMYFUNCTION("""COMPUTED_VALUE"""),"Medium")</f>
        <v>Medium</v>
      </c>
      <c r="F370" s="35">
        <f>IFERROR(__xludf.DUMMYFUNCTION("""COMPUTED_VALUE"""),757.0)</f>
        <v>757</v>
      </c>
      <c r="G370" s="35">
        <f>IFERROR(__xludf.DUMMYFUNCTION("""COMPUTED_VALUE"""),39.0)</f>
        <v>39</v>
      </c>
      <c r="H370" s="35" t="str">
        <f>IFERROR(__xludf.DUMMYFUNCTION("""COMPUTED_VALUE"""),"Algorithms")</f>
        <v>Algorithms</v>
      </c>
      <c r="I370" s="35">
        <f>IFERROR(__xludf.DUMMYFUNCTION("""COMPUTED_VALUE"""),0.603)</f>
        <v>0.603</v>
      </c>
      <c r="J370" s="35">
        <f>IFERROR(__xludf.DUMMYFUNCTION("""COMPUTED_VALUE"""),369.0)</f>
        <v>369</v>
      </c>
      <c r="K370" s="35" t="b">
        <f>IFERROR(__xludf.DUMMYFUNCTION("""COMPUTED_VALUE"""),TRUE)</f>
        <v>1</v>
      </c>
      <c r="L370" s="35" t="str">
        <f>IFERROR(__xludf.DUMMYFUNCTION("""COMPUTED_VALUE"""),"Linked List;Math;")</f>
        <v>Linked List;Math;</v>
      </c>
      <c r="M370" s="35" t="b">
        <f>IFERROR(__xludf.DUMMYFUNCTION("""COMPUTED_VALUE"""),TRUE)</f>
        <v>1</v>
      </c>
      <c r="N370" s="35" t="b">
        <f>IFERROR(__xludf.DUMMYFUNCTION("""COMPUTED_VALUE"""),TRUE)</f>
        <v>1</v>
      </c>
      <c r="O370" s="35">
        <f>IFERROR(__xludf.DUMMYFUNCTION("""COMPUTED_VALUE"""),60.3437242892403)</f>
        <v>60.34372429</v>
      </c>
      <c r="P370" s="35">
        <f>IFERROR(__xludf.DUMMYFUNCTION("""COMPUTED_VALUE"""),66010.0)</f>
        <v>66010</v>
      </c>
      <c r="Q370" s="35">
        <f>IFERROR(__xludf.DUMMYFUNCTION("""COMPUTED_VALUE"""),109389.0)</f>
        <v>109389</v>
      </c>
    </row>
    <row r="371">
      <c r="A371" s="35">
        <f>IFERROR(__xludf.DUMMYFUNCTION("""COMPUTED_VALUE"""),370.0)</f>
        <v>370</v>
      </c>
      <c r="B371" s="35" t="str">
        <f>IFERROR(__xludf.DUMMYFUNCTION("""COMPUTED_VALUE"""),"Range Addition")</f>
        <v>Range Addition</v>
      </c>
      <c r="C371" s="35" t="str">
        <f>IFERROR(__xludf.DUMMYFUNCTION("""COMPUTED_VALUE"""),"range-addition")</f>
        <v>range-addition</v>
      </c>
      <c r="D371" s="35" t="b">
        <f>IFERROR(__xludf.DUMMYFUNCTION("""COMPUTED_VALUE"""),TRUE)</f>
        <v>1</v>
      </c>
      <c r="E371" s="35" t="str">
        <f>IFERROR(__xludf.DUMMYFUNCTION("""COMPUTED_VALUE"""),"Medium")</f>
        <v>Medium</v>
      </c>
      <c r="F371" s="35">
        <f>IFERROR(__xludf.DUMMYFUNCTION("""COMPUTED_VALUE"""),1190.0)</f>
        <v>1190</v>
      </c>
      <c r="G371" s="35">
        <f>IFERROR(__xludf.DUMMYFUNCTION("""COMPUTED_VALUE"""),55.0)</f>
        <v>55</v>
      </c>
      <c r="H371" s="35" t="str">
        <f>IFERROR(__xludf.DUMMYFUNCTION("""COMPUTED_VALUE"""),"Algorithms")</f>
        <v>Algorithms</v>
      </c>
      <c r="I371" s="35">
        <f>IFERROR(__xludf.DUMMYFUNCTION("""COMPUTED_VALUE"""),0.69)</f>
        <v>0.69</v>
      </c>
      <c r="J371" s="35">
        <f>IFERROR(__xludf.DUMMYFUNCTION("""COMPUTED_VALUE"""),370.0)</f>
        <v>370</v>
      </c>
      <c r="K371" s="35" t="b">
        <f>IFERROR(__xludf.DUMMYFUNCTION("""COMPUTED_VALUE"""),TRUE)</f>
        <v>1</v>
      </c>
      <c r="L371" s="35" t="str">
        <f>IFERROR(__xludf.DUMMYFUNCTION("""COMPUTED_VALUE"""),"Array;Prefix Sum;")</f>
        <v>Array;Prefix Sum;</v>
      </c>
      <c r="M371" s="35" t="b">
        <f>IFERROR(__xludf.DUMMYFUNCTION("""COMPUTED_VALUE"""),TRUE)</f>
        <v>1</v>
      </c>
      <c r="N371" s="35" t="b">
        <f>IFERROR(__xludf.DUMMYFUNCTION("""COMPUTED_VALUE"""),FALSE)</f>
        <v>0</v>
      </c>
      <c r="O371" s="35">
        <f>IFERROR(__xludf.DUMMYFUNCTION("""COMPUTED_VALUE"""),68.953667105841)</f>
        <v>68.95366711</v>
      </c>
      <c r="P371" s="35">
        <f>IFERROR(__xludf.DUMMYFUNCTION("""COMPUTED_VALUE"""),62803.0)</f>
        <v>62803</v>
      </c>
      <c r="Q371" s="35">
        <f>IFERROR(__xludf.DUMMYFUNCTION("""COMPUTED_VALUE"""),91080.0)</f>
        <v>91080</v>
      </c>
    </row>
    <row r="372">
      <c r="A372" s="35">
        <f>IFERROR(__xludf.DUMMYFUNCTION("""COMPUTED_VALUE"""),371.0)</f>
        <v>371</v>
      </c>
      <c r="B372" s="35" t="str">
        <f>IFERROR(__xludf.DUMMYFUNCTION("""COMPUTED_VALUE"""),"Sum of Two Integers")</f>
        <v>Sum of Two Integers</v>
      </c>
      <c r="C372" s="35" t="str">
        <f>IFERROR(__xludf.DUMMYFUNCTION("""COMPUTED_VALUE"""),"sum-of-two-integers")</f>
        <v>sum-of-two-integers</v>
      </c>
      <c r="D372" s="35" t="b">
        <f>IFERROR(__xludf.DUMMYFUNCTION("""COMPUTED_VALUE"""),FALSE)</f>
        <v>0</v>
      </c>
      <c r="E372" s="35" t="str">
        <f>IFERROR(__xludf.DUMMYFUNCTION("""COMPUTED_VALUE"""),"Medium")</f>
        <v>Medium</v>
      </c>
      <c r="F372" s="35">
        <f>IFERROR(__xludf.DUMMYFUNCTION("""COMPUTED_VALUE"""),2373.0)</f>
        <v>2373</v>
      </c>
      <c r="G372" s="35">
        <f>IFERROR(__xludf.DUMMYFUNCTION("""COMPUTED_VALUE"""),3582.0)</f>
        <v>3582</v>
      </c>
      <c r="H372" s="35" t="str">
        <f>IFERROR(__xludf.DUMMYFUNCTION("""COMPUTED_VALUE"""),"Algorithms")</f>
        <v>Algorithms</v>
      </c>
      <c r="I372" s="35">
        <f>IFERROR(__xludf.DUMMYFUNCTION("""COMPUTED_VALUE"""),0.507)</f>
        <v>0.507</v>
      </c>
      <c r="J372" s="35">
        <f>IFERROR(__xludf.DUMMYFUNCTION("""COMPUTED_VALUE"""),371.0)</f>
        <v>371</v>
      </c>
      <c r="K372" s="35" t="b">
        <f>IFERROR(__xludf.DUMMYFUNCTION("""COMPUTED_VALUE"""),FALSE)</f>
        <v>0</v>
      </c>
      <c r="L372" s="35" t="str">
        <f>IFERROR(__xludf.DUMMYFUNCTION("""COMPUTED_VALUE"""),"Math;Bit Manipulation;")</f>
        <v>Math;Bit Manipulation;</v>
      </c>
      <c r="M372" s="35" t="b">
        <f>IFERROR(__xludf.DUMMYFUNCTION("""COMPUTED_VALUE"""),TRUE)</f>
        <v>1</v>
      </c>
      <c r="N372" s="35" t="b">
        <f>IFERROR(__xludf.DUMMYFUNCTION("""COMPUTED_VALUE"""),FALSE)</f>
        <v>0</v>
      </c>
      <c r="O372" s="35">
        <f>IFERROR(__xludf.DUMMYFUNCTION("""COMPUTED_VALUE"""),50.6536514228423)</f>
        <v>50.65365142</v>
      </c>
      <c r="P372" s="35">
        <f>IFERROR(__xludf.DUMMYFUNCTION("""COMPUTED_VALUE"""),283429.0)</f>
        <v>283429</v>
      </c>
      <c r="Q372" s="35">
        <f>IFERROR(__xludf.DUMMYFUNCTION("""COMPUTED_VALUE"""),559545.0)</f>
        <v>559545</v>
      </c>
    </row>
    <row r="373">
      <c r="A373" s="35">
        <f>IFERROR(__xludf.DUMMYFUNCTION("""COMPUTED_VALUE"""),372.0)</f>
        <v>372</v>
      </c>
      <c r="B373" s="35" t="str">
        <f>IFERROR(__xludf.DUMMYFUNCTION("""COMPUTED_VALUE"""),"Super Pow")</f>
        <v>Super Pow</v>
      </c>
      <c r="C373" s="35" t="str">
        <f>IFERROR(__xludf.DUMMYFUNCTION("""COMPUTED_VALUE"""),"super-pow")</f>
        <v>super-pow</v>
      </c>
      <c r="D373" s="35" t="b">
        <f>IFERROR(__xludf.DUMMYFUNCTION("""COMPUTED_VALUE"""),FALSE)</f>
        <v>0</v>
      </c>
      <c r="E373" s="35" t="str">
        <f>IFERROR(__xludf.DUMMYFUNCTION("""COMPUTED_VALUE"""),"Medium")</f>
        <v>Medium</v>
      </c>
      <c r="F373" s="35">
        <f>IFERROR(__xludf.DUMMYFUNCTION("""COMPUTED_VALUE"""),445.0)</f>
        <v>445</v>
      </c>
      <c r="G373" s="35">
        <f>IFERROR(__xludf.DUMMYFUNCTION("""COMPUTED_VALUE"""),1065.0)</f>
        <v>1065</v>
      </c>
      <c r="H373" s="35" t="str">
        <f>IFERROR(__xludf.DUMMYFUNCTION("""COMPUTED_VALUE"""),"Algorithms")</f>
        <v>Algorithms</v>
      </c>
      <c r="I373" s="35">
        <f>IFERROR(__xludf.DUMMYFUNCTION("""COMPUTED_VALUE"""),0.376)</f>
        <v>0.376</v>
      </c>
      <c r="J373" s="35">
        <f>IFERROR(__xludf.DUMMYFUNCTION("""COMPUTED_VALUE"""),372.0)</f>
        <v>372</v>
      </c>
      <c r="K373" s="35" t="b">
        <f>IFERROR(__xludf.DUMMYFUNCTION("""COMPUTED_VALUE"""),FALSE)</f>
        <v>0</v>
      </c>
      <c r="L373" s="35" t="str">
        <f>IFERROR(__xludf.DUMMYFUNCTION("""COMPUTED_VALUE"""),"Math;Divide and Conquer;")</f>
        <v>Math;Divide and Conquer;</v>
      </c>
      <c r="M373" s="35" t="b">
        <f>IFERROR(__xludf.DUMMYFUNCTION("""COMPUTED_VALUE"""),FALSE)</f>
        <v>0</v>
      </c>
      <c r="N373" s="35" t="b">
        <f>IFERROR(__xludf.DUMMYFUNCTION("""COMPUTED_VALUE"""),FALSE)</f>
        <v>0</v>
      </c>
      <c r="O373" s="35">
        <f>IFERROR(__xludf.DUMMYFUNCTION("""COMPUTED_VALUE"""),37.5845181674565)</f>
        <v>37.58451817</v>
      </c>
      <c r="P373" s="35">
        <f>IFERROR(__xludf.DUMMYFUNCTION("""COMPUTED_VALUE"""),47582.0)</f>
        <v>47582</v>
      </c>
      <c r="Q373" s="35">
        <f>IFERROR(__xludf.DUMMYFUNCTION("""COMPUTED_VALUE"""),126600.0)</f>
        <v>126600</v>
      </c>
    </row>
    <row r="374">
      <c r="A374" s="35">
        <f>IFERROR(__xludf.DUMMYFUNCTION("""COMPUTED_VALUE"""),373.0)</f>
        <v>373</v>
      </c>
      <c r="B374" s="35" t="str">
        <f>IFERROR(__xludf.DUMMYFUNCTION("""COMPUTED_VALUE"""),"Find K Pairs with Smallest Sums")</f>
        <v>Find K Pairs with Smallest Sums</v>
      </c>
      <c r="C374" s="35" t="str">
        <f>IFERROR(__xludf.DUMMYFUNCTION("""COMPUTED_VALUE"""),"find-k-pairs-with-smallest-sums")</f>
        <v>find-k-pairs-with-smallest-sums</v>
      </c>
      <c r="D374" s="35" t="b">
        <f>IFERROR(__xludf.DUMMYFUNCTION("""COMPUTED_VALUE"""),FALSE)</f>
        <v>0</v>
      </c>
      <c r="E374" s="35" t="str">
        <f>IFERROR(__xludf.DUMMYFUNCTION("""COMPUTED_VALUE"""),"Medium")</f>
        <v>Medium</v>
      </c>
      <c r="F374" s="35">
        <f>IFERROR(__xludf.DUMMYFUNCTION("""COMPUTED_VALUE"""),2881.0)</f>
        <v>2881</v>
      </c>
      <c r="G374" s="35">
        <f>IFERROR(__xludf.DUMMYFUNCTION("""COMPUTED_VALUE"""),176.0)</f>
        <v>176</v>
      </c>
      <c r="H374" s="35" t="str">
        <f>IFERROR(__xludf.DUMMYFUNCTION("""COMPUTED_VALUE"""),"Algorithms")</f>
        <v>Algorithms</v>
      </c>
      <c r="I374" s="35">
        <f>IFERROR(__xludf.DUMMYFUNCTION("""COMPUTED_VALUE"""),0.389)</f>
        <v>0.389</v>
      </c>
      <c r="J374" s="35">
        <f>IFERROR(__xludf.DUMMYFUNCTION("""COMPUTED_VALUE"""),373.0)</f>
        <v>373</v>
      </c>
      <c r="K374" s="35" t="b">
        <f>IFERROR(__xludf.DUMMYFUNCTION("""COMPUTED_VALUE"""),FALSE)</f>
        <v>0</v>
      </c>
      <c r="L374" s="35" t="str">
        <f>IFERROR(__xludf.DUMMYFUNCTION("""COMPUTED_VALUE"""),"Array;Heap (Priority Queue);")</f>
        <v>Array;Heap (Priority Queue);</v>
      </c>
      <c r="M374" s="35" t="b">
        <f>IFERROR(__xludf.DUMMYFUNCTION("""COMPUTED_VALUE"""),FALSE)</f>
        <v>0</v>
      </c>
      <c r="N374" s="35" t="b">
        <f>IFERROR(__xludf.DUMMYFUNCTION("""COMPUTED_VALUE"""),FALSE)</f>
        <v>0</v>
      </c>
      <c r="O374" s="35">
        <f>IFERROR(__xludf.DUMMYFUNCTION("""COMPUTED_VALUE"""),38.8781739908947)</f>
        <v>38.87817399</v>
      </c>
      <c r="P374" s="35">
        <f>IFERROR(__xludf.DUMMYFUNCTION("""COMPUTED_VALUE"""),163277.0)</f>
        <v>163277</v>
      </c>
      <c r="Q374" s="35">
        <f>IFERROR(__xludf.DUMMYFUNCTION("""COMPUTED_VALUE"""),419973.0)</f>
        <v>419973</v>
      </c>
    </row>
    <row r="375">
      <c r="A375" s="35">
        <f>IFERROR(__xludf.DUMMYFUNCTION("""COMPUTED_VALUE"""),374.0)</f>
        <v>374</v>
      </c>
      <c r="B375" s="35" t="str">
        <f>IFERROR(__xludf.DUMMYFUNCTION("""COMPUTED_VALUE"""),"Guess Number Higher or Lower")</f>
        <v>Guess Number Higher or Lower</v>
      </c>
      <c r="C375" s="35" t="str">
        <f>IFERROR(__xludf.DUMMYFUNCTION("""COMPUTED_VALUE"""),"guess-number-higher-or-lower")</f>
        <v>guess-number-higher-or-lower</v>
      </c>
      <c r="D375" s="35" t="b">
        <f>IFERROR(__xludf.DUMMYFUNCTION("""COMPUTED_VALUE"""),FALSE)</f>
        <v>0</v>
      </c>
      <c r="E375" s="35" t="str">
        <f>IFERROR(__xludf.DUMMYFUNCTION("""COMPUTED_VALUE"""),"Easy")</f>
        <v>Easy</v>
      </c>
      <c r="F375" s="35">
        <f>IFERROR(__xludf.DUMMYFUNCTION("""COMPUTED_VALUE"""),689.0)</f>
        <v>689</v>
      </c>
      <c r="G375" s="35">
        <f>IFERROR(__xludf.DUMMYFUNCTION("""COMPUTED_VALUE"""),110.0)</f>
        <v>110</v>
      </c>
      <c r="H375" s="35" t="str">
        <f>IFERROR(__xludf.DUMMYFUNCTION("""COMPUTED_VALUE"""),"Algorithms")</f>
        <v>Algorithms</v>
      </c>
      <c r="I375" s="35">
        <f>IFERROR(__xludf.DUMMYFUNCTION("""COMPUTED_VALUE"""),0.485)</f>
        <v>0.485</v>
      </c>
      <c r="J375" s="35">
        <f>IFERROR(__xludf.DUMMYFUNCTION("""COMPUTED_VALUE"""),374.0)</f>
        <v>374</v>
      </c>
      <c r="K375" s="35" t="b">
        <f>IFERROR(__xludf.DUMMYFUNCTION("""COMPUTED_VALUE"""),FALSE)</f>
        <v>0</v>
      </c>
      <c r="L375" s="35" t="str">
        <f>IFERROR(__xludf.DUMMYFUNCTION("""COMPUTED_VALUE"""),"Binary Search;Interactive;")</f>
        <v>Binary Search;Interactive;</v>
      </c>
      <c r="M375" s="35" t="b">
        <f>IFERROR(__xludf.DUMMYFUNCTION("""COMPUTED_VALUE"""),TRUE)</f>
        <v>1</v>
      </c>
      <c r="N375" s="35" t="b">
        <f>IFERROR(__xludf.DUMMYFUNCTION("""COMPUTED_VALUE"""),FALSE)</f>
        <v>0</v>
      </c>
      <c r="O375" s="35">
        <f>IFERROR(__xludf.DUMMYFUNCTION("""COMPUTED_VALUE"""),48.4845212808136)</f>
        <v>48.48452128</v>
      </c>
      <c r="P375" s="35">
        <f>IFERROR(__xludf.DUMMYFUNCTION("""COMPUTED_VALUE"""),287373.0)</f>
        <v>287373</v>
      </c>
      <c r="Q375" s="35">
        <f>IFERROR(__xludf.DUMMYFUNCTION("""COMPUTED_VALUE"""),592706.0)</f>
        <v>592706</v>
      </c>
    </row>
    <row r="376">
      <c r="A376" s="35">
        <f>IFERROR(__xludf.DUMMYFUNCTION("""COMPUTED_VALUE"""),375.0)</f>
        <v>375</v>
      </c>
      <c r="B376" s="35" t="str">
        <f>IFERROR(__xludf.DUMMYFUNCTION("""COMPUTED_VALUE"""),"Guess Number Higher or Lower II")</f>
        <v>Guess Number Higher or Lower II</v>
      </c>
      <c r="C376" s="35" t="str">
        <f>IFERROR(__xludf.DUMMYFUNCTION("""COMPUTED_VALUE"""),"guess-number-higher-or-lower-ii")</f>
        <v>guess-number-higher-or-lower-ii</v>
      </c>
      <c r="D376" s="35" t="b">
        <f>IFERROR(__xludf.DUMMYFUNCTION("""COMPUTED_VALUE"""),FALSE)</f>
        <v>0</v>
      </c>
      <c r="E376" s="35" t="str">
        <f>IFERROR(__xludf.DUMMYFUNCTION("""COMPUTED_VALUE"""),"Medium")</f>
        <v>Medium</v>
      </c>
      <c r="F376" s="35">
        <f>IFERROR(__xludf.DUMMYFUNCTION("""COMPUTED_VALUE"""),1406.0)</f>
        <v>1406</v>
      </c>
      <c r="G376" s="35">
        <f>IFERROR(__xludf.DUMMYFUNCTION("""COMPUTED_VALUE"""),1746.0)</f>
        <v>1746</v>
      </c>
      <c r="H376" s="35" t="str">
        <f>IFERROR(__xludf.DUMMYFUNCTION("""COMPUTED_VALUE"""),"Algorithms")</f>
        <v>Algorithms</v>
      </c>
      <c r="I376" s="35">
        <f>IFERROR(__xludf.DUMMYFUNCTION("""COMPUTED_VALUE"""),0.452)</f>
        <v>0.452</v>
      </c>
      <c r="J376" s="35">
        <f>IFERROR(__xludf.DUMMYFUNCTION("""COMPUTED_VALUE"""),375.0)</f>
        <v>375</v>
      </c>
      <c r="K376" s="35" t="b">
        <f>IFERROR(__xludf.DUMMYFUNCTION("""COMPUTED_VALUE"""),FALSE)</f>
        <v>0</v>
      </c>
      <c r="L376" s="35" t="str">
        <f>IFERROR(__xludf.DUMMYFUNCTION("""COMPUTED_VALUE"""),"Math;Dynamic Programming;Game Theory;")</f>
        <v>Math;Dynamic Programming;Game Theory;</v>
      </c>
      <c r="M376" s="35" t="b">
        <f>IFERROR(__xludf.DUMMYFUNCTION("""COMPUTED_VALUE"""),FALSE)</f>
        <v>0</v>
      </c>
      <c r="N376" s="35" t="b">
        <f>IFERROR(__xludf.DUMMYFUNCTION("""COMPUTED_VALUE"""),FALSE)</f>
        <v>0</v>
      </c>
      <c r="O376" s="35">
        <f>IFERROR(__xludf.DUMMYFUNCTION("""COMPUTED_VALUE"""),45.1936786777089)</f>
        <v>45.19367868</v>
      </c>
      <c r="P376" s="35">
        <f>IFERROR(__xludf.DUMMYFUNCTION("""COMPUTED_VALUE"""),90968.0)</f>
        <v>90968</v>
      </c>
      <c r="Q376" s="35">
        <f>IFERROR(__xludf.DUMMYFUNCTION("""COMPUTED_VALUE"""),201286.0)</f>
        <v>201286</v>
      </c>
    </row>
    <row r="377">
      <c r="A377" s="35">
        <f>IFERROR(__xludf.DUMMYFUNCTION("""COMPUTED_VALUE"""),376.0)</f>
        <v>376</v>
      </c>
      <c r="B377" s="35" t="str">
        <f>IFERROR(__xludf.DUMMYFUNCTION("""COMPUTED_VALUE"""),"Wiggle Subsequence")</f>
        <v>Wiggle Subsequence</v>
      </c>
      <c r="C377" s="35" t="str">
        <f>IFERROR(__xludf.DUMMYFUNCTION("""COMPUTED_VALUE"""),"wiggle-subsequence")</f>
        <v>wiggle-subsequence</v>
      </c>
      <c r="D377" s="35" t="b">
        <f>IFERROR(__xludf.DUMMYFUNCTION("""COMPUTED_VALUE"""),FALSE)</f>
        <v>0</v>
      </c>
      <c r="E377" s="35" t="str">
        <f>IFERROR(__xludf.DUMMYFUNCTION("""COMPUTED_VALUE"""),"Medium")</f>
        <v>Medium</v>
      </c>
      <c r="F377" s="35">
        <f>IFERROR(__xludf.DUMMYFUNCTION("""COMPUTED_VALUE"""),2538.0)</f>
        <v>2538</v>
      </c>
      <c r="G377" s="35">
        <f>IFERROR(__xludf.DUMMYFUNCTION("""COMPUTED_VALUE"""),88.0)</f>
        <v>88</v>
      </c>
      <c r="H377" s="35" t="str">
        <f>IFERROR(__xludf.DUMMYFUNCTION("""COMPUTED_VALUE"""),"Algorithms")</f>
        <v>Algorithms</v>
      </c>
      <c r="I377" s="35">
        <f>IFERROR(__xludf.DUMMYFUNCTION("""COMPUTED_VALUE"""),0.446)</f>
        <v>0.446</v>
      </c>
      <c r="J377" s="35">
        <f>IFERROR(__xludf.DUMMYFUNCTION("""COMPUTED_VALUE"""),376.0)</f>
        <v>376</v>
      </c>
      <c r="K377" s="35" t="b">
        <f>IFERROR(__xludf.DUMMYFUNCTION("""COMPUTED_VALUE"""),FALSE)</f>
        <v>0</v>
      </c>
      <c r="L377" s="35" t="str">
        <f>IFERROR(__xludf.DUMMYFUNCTION("""COMPUTED_VALUE"""),"Array;Dynamic Programming;Greedy;")</f>
        <v>Array;Dynamic Programming;Greedy;</v>
      </c>
      <c r="M377" s="35" t="b">
        <f>IFERROR(__xludf.DUMMYFUNCTION("""COMPUTED_VALUE"""),TRUE)</f>
        <v>1</v>
      </c>
      <c r="N377" s="35" t="b">
        <f>IFERROR(__xludf.DUMMYFUNCTION("""COMPUTED_VALUE"""),FALSE)</f>
        <v>0</v>
      </c>
      <c r="O377" s="35">
        <f>IFERROR(__xludf.DUMMYFUNCTION("""COMPUTED_VALUE"""),44.6190394122795)</f>
        <v>44.61903941</v>
      </c>
      <c r="P377" s="35">
        <f>IFERROR(__xludf.DUMMYFUNCTION("""COMPUTED_VALUE"""),132038.0)</f>
        <v>132038</v>
      </c>
      <c r="Q377" s="35">
        <f>IFERROR(__xludf.DUMMYFUNCTION("""COMPUTED_VALUE"""),295923.0)</f>
        <v>295923</v>
      </c>
    </row>
    <row r="378">
      <c r="A378" s="35">
        <f>IFERROR(__xludf.DUMMYFUNCTION("""COMPUTED_VALUE"""),377.0)</f>
        <v>377</v>
      </c>
      <c r="B378" s="35" t="str">
        <f>IFERROR(__xludf.DUMMYFUNCTION("""COMPUTED_VALUE"""),"Combination Sum IV")</f>
        <v>Combination Sum IV</v>
      </c>
      <c r="C378" s="35" t="str">
        <f>IFERROR(__xludf.DUMMYFUNCTION("""COMPUTED_VALUE"""),"combination-sum-iv")</f>
        <v>combination-sum-iv</v>
      </c>
      <c r="D378" s="35" t="b">
        <f>IFERROR(__xludf.DUMMYFUNCTION("""COMPUTED_VALUE"""),FALSE)</f>
        <v>0</v>
      </c>
      <c r="E378" s="35" t="str">
        <f>IFERROR(__xludf.DUMMYFUNCTION("""COMPUTED_VALUE"""),"Medium")</f>
        <v>Medium</v>
      </c>
      <c r="F378" s="35">
        <f>IFERROR(__xludf.DUMMYFUNCTION("""COMPUTED_VALUE"""),3212.0)</f>
        <v>3212</v>
      </c>
      <c r="G378" s="35">
        <f>IFERROR(__xludf.DUMMYFUNCTION("""COMPUTED_VALUE"""),371.0)</f>
        <v>371</v>
      </c>
      <c r="H378" s="35" t="str">
        <f>IFERROR(__xludf.DUMMYFUNCTION("""COMPUTED_VALUE"""),"Algorithms")</f>
        <v>Algorithms</v>
      </c>
      <c r="I378" s="35">
        <f>IFERROR(__xludf.DUMMYFUNCTION("""COMPUTED_VALUE"""),0.491)</f>
        <v>0.491</v>
      </c>
      <c r="J378" s="35">
        <f>IFERROR(__xludf.DUMMYFUNCTION("""COMPUTED_VALUE"""),377.0)</f>
        <v>377</v>
      </c>
      <c r="K378" s="35" t="b">
        <f>IFERROR(__xludf.DUMMYFUNCTION("""COMPUTED_VALUE"""),FALSE)</f>
        <v>0</v>
      </c>
      <c r="L378" s="35" t="str">
        <f>IFERROR(__xludf.DUMMYFUNCTION("""COMPUTED_VALUE"""),"Array;Dynamic Programming;")</f>
        <v>Array;Dynamic Programming;</v>
      </c>
      <c r="M378" s="35" t="b">
        <f>IFERROR(__xludf.DUMMYFUNCTION("""COMPUTED_VALUE"""),TRUE)</f>
        <v>1</v>
      </c>
      <c r="N378" s="35" t="b">
        <f>IFERROR(__xludf.DUMMYFUNCTION("""COMPUTED_VALUE"""),FALSE)</f>
        <v>0</v>
      </c>
      <c r="O378" s="35">
        <f>IFERROR(__xludf.DUMMYFUNCTION("""COMPUTED_VALUE"""),49.0565957301684)</f>
        <v>49.05659573</v>
      </c>
      <c r="P378" s="35">
        <f>IFERROR(__xludf.DUMMYFUNCTION("""COMPUTED_VALUE"""),230147.0)</f>
        <v>230147</v>
      </c>
      <c r="Q378" s="35">
        <f>IFERROR(__xludf.DUMMYFUNCTION("""COMPUTED_VALUE"""),469149.0)</f>
        <v>469149</v>
      </c>
    </row>
    <row r="379">
      <c r="A379" s="35">
        <f>IFERROR(__xludf.DUMMYFUNCTION("""COMPUTED_VALUE"""),378.0)</f>
        <v>378</v>
      </c>
      <c r="B379" s="35" t="str">
        <f>IFERROR(__xludf.DUMMYFUNCTION("""COMPUTED_VALUE"""),"Kth Smallest Element in a Sorted Matrix")</f>
        <v>Kth Smallest Element in a Sorted Matrix</v>
      </c>
      <c r="C379" s="35" t="str">
        <f>IFERROR(__xludf.DUMMYFUNCTION("""COMPUTED_VALUE"""),"kth-smallest-element-in-a-sorted-matrix")</f>
        <v>kth-smallest-element-in-a-sorted-matrix</v>
      </c>
      <c r="D379" s="35" t="b">
        <f>IFERROR(__xludf.DUMMYFUNCTION("""COMPUTED_VALUE"""),FALSE)</f>
        <v>0</v>
      </c>
      <c r="E379" s="35" t="str">
        <f>IFERROR(__xludf.DUMMYFUNCTION("""COMPUTED_VALUE"""),"Medium")</f>
        <v>Medium</v>
      </c>
      <c r="F379" s="35">
        <f>IFERROR(__xludf.DUMMYFUNCTION("""COMPUTED_VALUE"""),5509.0)</f>
        <v>5509</v>
      </c>
      <c r="G379" s="35">
        <f>IFERROR(__xludf.DUMMYFUNCTION("""COMPUTED_VALUE"""),230.0)</f>
        <v>230</v>
      </c>
      <c r="H379" s="35" t="str">
        <f>IFERROR(__xludf.DUMMYFUNCTION("""COMPUTED_VALUE"""),"Algorithms")</f>
        <v>Algorithms</v>
      </c>
      <c r="I379" s="35">
        <f>IFERROR(__xludf.DUMMYFUNCTION("""COMPUTED_VALUE"""),0.593)</f>
        <v>0.593</v>
      </c>
      <c r="J379" s="35">
        <f>IFERROR(__xludf.DUMMYFUNCTION("""COMPUTED_VALUE"""),378.0)</f>
        <v>378</v>
      </c>
      <c r="K379" s="35" t="b">
        <f>IFERROR(__xludf.DUMMYFUNCTION("""COMPUTED_VALUE"""),FALSE)</f>
        <v>0</v>
      </c>
      <c r="L379" s="35" t="str">
        <f>IFERROR(__xludf.DUMMYFUNCTION("""COMPUTED_VALUE"""),"Array;Binary Search;Sorting;Heap (Priority Queue);Matrix;")</f>
        <v>Array;Binary Search;Sorting;Heap (Priority Queue);Matrix;</v>
      </c>
      <c r="M379" s="35" t="b">
        <f>IFERROR(__xludf.DUMMYFUNCTION("""COMPUTED_VALUE"""),TRUE)</f>
        <v>1</v>
      </c>
      <c r="N379" s="35" t="b">
        <f>IFERROR(__xludf.DUMMYFUNCTION("""COMPUTED_VALUE"""),FALSE)</f>
        <v>0</v>
      </c>
      <c r="O379" s="35">
        <f>IFERROR(__xludf.DUMMYFUNCTION("""COMPUTED_VALUE"""),59.3448946525922)</f>
        <v>59.34489465</v>
      </c>
      <c r="P379" s="35">
        <f>IFERROR(__xludf.DUMMYFUNCTION("""COMPUTED_VALUE"""),365538.0)</f>
        <v>365538</v>
      </c>
      <c r="Q379" s="35">
        <f>IFERROR(__xludf.DUMMYFUNCTION("""COMPUTED_VALUE"""),615957.0)</f>
        <v>615957</v>
      </c>
    </row>
    <row r="380">
      <c r="A380" s="35">
        <f>IFERROR(__xludf.DUMMYFUNCTION("""COMPUTED_VALUE"""),379.0)</f>
        <v>379</v>
      </c>
      <c r="B380" s="35" t="str">
        <f>IFERROR(__xludf.DUMMYFUNCTION("""COMPUTED_VALUE"""),"Design Phone Directory")</f>
        <v>Design Phone Directory</v>
      </c>
      <c r="C380" s="35" t="str">
        <f>IFERROR(__xludf.DUMMYFUNCTION("""COMPUTED_VALUE"""),"design-phone-directory")</f>
        <v>design-phone-directory</v>
      </c>
      <c r="D380" s="35" t="b">
        <f>IFERROR(__xludf.DUMMYFUNCTION("""COMPUTED_VALUE"""),TRUE)</f>
        <v>1</v>
      </c>
      <c r="E380" s="35" t="str">
        <f>IFERROR(__xludf.DUMMYFUNCTION("""COMPUTED_VALUE"""),"Medium")</f>
        <v>Medium</v>
      </c>
      <c r="F380" s="35">
        <f>IFERROR(__xludf.DUMMYFUNCTION("""COMPUTED_VALUE"""),276.0)</f>
        <v>276</v>
      </c>
      <c r="G380" s="35">
        <f>IFERROR(__xludf.DUMMYFUNCTION("""COMPUTED_VALUE"""),384.0)</f>
        <v>384</v>
      </c>
      <c r="H380" s="35" t="str">
        <f>IFERROR(__xludf.DUMMYFUNCTION("""COMPUTED_VALUE"""),"Algorithms")</f>
        <v>Algorithms</v>
      </c>
      <c r="I380" s="35">
        <f>IFERROR(__xludf.DUMMYFUNCTION("""COMPUTED_VALUE"""),0.502)</f>
        <v>0.502</v>
      </c>
      <c r="J380" s="35">
        <f>IFERROR(__xludf.DUMMYFUNCTION("""COMPUTED_VALUE"""),379.0)</f>
        <v>379</v>
      </c>
      <c r="K380" s="35" t="b">
        <f>IFERROR(__xludf.DUMMYFUNCTION("""COMPUTED_VALUE"""),TRUE)</f>
        <v>1</v>
      </c>
      <c r="L380" s="35" t="str">
        <f>IFERROR(__xludf.DUMMYFUNCTION("""COMPUTED_VALUE"""),"Array;Hash Table;Linked List;Design;Queue;")</f>
        <v>Array;Hash Table;Linked List;Design;Queue;</v>
      </c>
      <c r="M380" s="35" t="b">
        <f>IFERROR(__xludf.DUMMYFUNCTION("""COMPUTED_VALUE"""),FALSE)</f>
        <v>0</v>
      </c>
      <c r="N380" s="35" t="b">
        <f>IFERROR(__xludf.DUMMYFUNCTION("""COMPUTED_VALUE"""),FALSE)</f>
        <v>0</v>
      </c>
      <c r="O380" s="35">
        <f>IFERROR(__xludf.DUMMYFUNCTION("""COMPUTED_VALUE"""),50.1659260925811)</f>
        <v>50.16592609</v>
      </c>
      <c r="P380" s="35">
        <f>IFERROR(__xludf.DUMMYFUNCTION("""COMPUTED_VALUE"""),53514.0)</f>
        <v>53514</v>
      </c>
      <c r="Q380" s="35">
        <f>IFERROR(__xludf.DUMMYFUNCTION("""COMPUTED_VALUE"""),106674.0)</f>
        <v>106674</v>
      </c>
    </row>
    <row r="381">
      <c r="A381" s="35">
        <f>IFERROR(__xludf.DUMMYFUNCTION("""COMPUTED_VALUE"""),380.0)</f>
        <v>380</v>
      </c>
      <c r="B381" s="35" t="str">
        <f>IFERROR(__xludf.DUMMYFUNCTION("""COMPUTED_VALUE"""),"Insert Delete GetRandom O(1)")</f>
        <v>Insert Delete GetRandom O(1)</v>
      </c>
      <c r="C381" s="35" t="str">
        <f>IFERROR(__xludf.DUMMYFUNCTION("""COMPUTED_VALUE"""),"insert-delete-getrandom-o1")</f>
        <v>insert-delete-getrandom-o1</v>
      </c>
      <c r="D381" s="35" t="b">
        <f>IFERROR(__xludf.DUMMYFUNCTION("""COMPUTED_VALUE"""),FALSE)</f>
        <v>0</v>
      </c>
      <c r="E381" s="35" t="str">
        <f>IFERROR(__xludf.DUMMYFUNCTION("""COMPUTED_VALUE"""),"Medium")</f>
        <v>Medium</v>
      </c>
      <c r="F381" s="35">
        <f>IFERROR(__xludf.DUMMYFUNCTION("""COMPUTED_VALUE"""),5135.0)</f>
        <v>5135</v>
      </c>
      <c r="G381" s="35">
        <f>IFERROR(__xludf.DUMMYFUNCTION("""COMPUTED_VALUE"""),272.0)</f>
        <v>272</v>
      </c>
      <c r="H381" s="35" t="str">
        <f>IFERROR(__xludf.DUMMYFUNCTION("""COMPUTED_VALUE"""),"Algorithms")</f>
        <v>Algorithms</v>
      </c>
      <c r="I381" s="35">
        <f>IFERROR(__xludf.DUMMYFUNCTION("""COMPUTED_VALUE"""),0.511)</f>
        <v>0.511</v>
      </c>
      <c r="J381" s="35">
        <f>IFERROR(__xludf.DUMMYFUNCTION("""COMPUTED_VALUE"""),380.0)</f>
        <v>380</v>
      </c>
      <c r="K381" s="35" t="b">
        <f>IFERROR(__xludf.DUMMYFUNCTION("""COMPUTED_VALUE"""),FALSE)</f>
        <v>0</v>
      </c>
      <c r="L381" s="35" t="str">
        <f>IFERROR(__xludf.DUMMYFUNCTION("""COMPUTED_VALUE"""),"Array;Hash Table;Math;Design;Randomized;")</f>
        <v>Array;Hash Table;Math;Design;Randomized;</v>
      </c>
      <c r="M381" s="35" t="b">
        <f>IFERROR(__xludf.DUMMYFUNCTION("""COMPUTED_VALUE"""),TRUE)</f>
        <v>1</v>
      </c>
      <c r="N381" s="35" t="b">
        <f>IFERROR(__xludf.DUMMYFUNCTION("""COMPUTED_VALUE"""),FALSE)</f>
        <v>0</v>
      </c>
      <c r="O381" s="35">
        <f>IFERROR(__xludf.DUMMYFUNCTION("""COMPUTED_VALUE"""),51.1458469234887)</f>
        <v>51.14584692</v>
      </c>
      <c r="P381" s="35">
        <f>IFERROR(__xludf.DUMMYFUNCTION("""COMPUTED_VALUE"""),454744.0)</f>
        <v>454744</v>
      </c>
      <c r="Q381" s="35">
        <f>IFERROR(__xludf.DUMMYFUNCTION("""COMPUTED_VALUE"""),889115.0)</f>
        <v>889115</v>
      </c>
    </row>
    <row r="382">
      <c r="A382" s="35">
        <f>IFERROR(__xludf.DUMMYFUNCTION("""COMPUTED_VALUE"""),381.0)</f>
        <v>381</v>
      </c>
      <c r="B382" s="35" t="str">
        <f>IFERROR(__xludf.DUMMYFUNCTION("""COMPUTED_VALUE"""),"Insert Delete GetRandom O(1) - Duplicates allowed")</f>
        <v>Insert Delete GetRandom O(1) - Duplicates allowed</v>
      </c>
      <c r="C382" s="35" t="str">
        <f>IFERROR(__xludf.DUMMYFUNCTION("""COMPUTED_VALUE"""),"insert-delete-getrandom-o1-duplicates-allowed")</f>
        <v>insert-delete-getrandom-o1-duplicates-allowed</v>
      </c>
      <c r="D382" s="35" t="b">
        <f>IFERROR(__xludf.DUMMYFUNCTION("""COMPUTED_VALUE"""),FALSE)</f>
        <v>0</v>
      </c>
      <c r="E382" s="35" t="str">
        <f>IFERROR(__xludf.DUMMYFUNCTION("""COMPUTED_VALUE"""),"Hard")</f>
        <v>Hard</v>
      </c>
      <c r="F382" s="35">
        <f>IFERROR(__xludf.DUMMYFUNCTION("""COMPUTED_VALUE"""),1540.0)</f>
        <v>1540</v>
      </c>
      <c r="G382" s="35">
        <f>IFERROR(__xludf.DUMMYFUNCTION("""COMPUTED_VALUE"""),112.0)</f>
        <v>112</v>
      </c>
      <c r="H382" s="35" t="str">
        <f>IFERROR(__xludf.DUMMYFUNCTION("""COMPUTED_VALUE"""),"Algorithms")</f>
        <v>Algorithms</v>
      </c>
      <c r="I382" s="35">
        <f>IFERROR(__xludf.DUMMYFUNCTION("""COMPUTED_VALUE"""),0.354)</f>
        <v>0.354</v>
      </c>
      <c r="J382" s="35">
        <f>IFERROR(__xludf.DUMMYFUNCTION("""COMPUTED_VALUE"""),381.0)</f>
        <v>381</v>
      </c>
      <c r="K382" s="35" t="b">
        <f>IFERROR(__xludf.DUMMYFUNCTION("""COMPUTED_VALUE"""),FALSE)</f>
        <v>0</v>
      </c>
      <c r="L382" s="35" t="str">
        <f>IFERROR(__xludf.DUMMYFUNCTION("""COMPUTED_VALUE"""),"Array;Hash Table;Math;Design;Randomized;")</f>
        <v>Array;Hash Table;Math;Design;Randomized;</v>
      </c>
      <c r="M382" s="35" t="b">
        <f>IFERROR(__xludf.DUMMYFUNCTION("""COMPUTED_VALUE"""),TRUE)</f>
        <v>1</v>
      </c>
      <c r="N382" s="35" t="b">
        <f>IFERROR(__xludf.DUMMYFUNCTION("""COMPUTED_VALUE"""),FALSE)</f>
        <v>0</v>
      </c>
      <c r="O382" s="35">
        <f>IFERROR(__xludf.DUMMYFUNCTION("""COMPUTED_VALUE"""),35.4238596897036)</f>
        <v>35.42385969</v>
      </c>
      <c r="P382" s="35">
        <f>IFERROR(__xludf.DUMMYFUNCTION("""COMPUTED_VALUE"""),104138.0)</f>
        <v>104138</v>
      </c>
      <c r="Q382" s="35">
        <f>IFERROR(__xludf.DUMMYFUNCTION("""COMPUTED_VALUE"""),293975.0)</f>
        <v>293975</v>
      </c>
    </row>
    <row r="383">
      <c r="A383" s="35">
        <f>IFERROR(__xludf.DUMMYFUNCTION("""COMPUTED_VALUE"""),382.0)</f>
        <v>382</v>
      </c>
      <c r="B383" s="35" t="str">
        <f>IFERROR(__xludf.DUMMYFUNCTION("""COMPUTED_VALUE"""),"Linked List Random Node")</f>
        <v>Linked List Random Node</v>
      </c>
      <c r="C383" s="35" t="str">
        <f>IFERROR(__xludf.DUMMYFUNCTION("""COMPUTED_VALUE"""),"linked-list-random-node")</f>
        <v>linked-list-random-node</v>
      </c>
      <c r="D383" s="35" t="b">
        <f>IFERROR(__xludf.DUMMYFUNCTION("""COMPUTED_VALUE"""),FALSE)</f>
        <v>0</v>
      </c>
      <c r="E383" s="35" t="str">
        <f>IFERROR(__xludf.DUMMYFUNCTION("""COMPUTED_VALUE"""),"Medium")</f>
        <v>Medium</v>
      </c>
      <c r="F383" s="35">
        <f>IFERROR(__xludf.DUMMYFUNCTION("""COMPUTED_VALUE"""),1682.0)</f>
        <v>1682</v>
      </c>
      <c r="G383" s="35">
        <f>IFERROR(__xludf.DUMMYFUNCTION("""COMPUTED_VALUE"""),428.0)</f>
        <v>428</v>
      </c>
      <c r="H383" s="35" t="str">
        <f>IFERROR(__xludf.DUMMYFUNCTION("""COMPUTED_VALUE"""),"Algorithms")</f>
        <v>Algorithms</v>
      </c>
      <c r="I383" s="35">
        <f>IFERROR(__xludf.DUMMYFUNCTION("""COMPUTED_VALUE"""),0.588)</f>
        <v>0.588</v>
      </c>
      <c r="J383" s="35">
        <f>IFERROR(__xludf.DUMMYFUNCTION("""COMPUTED_VALUE"""),382.0)</f>
        <v>382</v>
      </c>
      <c r="K383" s="35" t="b">
        <f>IFERROR(__xludf.DUMMYFUNCTION("""COMPUTED_VALUE"""),FALSE)</f>
        <v>0</v>
      </c>
      <c r="L383" s="35" t="str">
        <f>IFERROR(__xludf.DUMMYFUNCTION("""COMPUTED_VALUE"""),"Linked List;Math;Reservoir Sampling;Randomized;")</f>
        <v>Linked List;Math;Reservoir Sampling;Randomized;</v>
      </c>
      <c r="M383" s="35" t="b">
        <f>IFERROR(__xludf.DUMMYFUNCTION("""COMPUTED_VALUE"""),TRUE)</f>
        <v>1</v>
      </c>
      <c r="N383" s="35" t="b">
        <f>IFERROR(__xludf.DUMMYFUNCTION("""COMPUTED_VALUE"""),FALSE)</f>
        <v>0</v>
      </c>
      <c r="O383" s="35">
        <f>IFERROR(__xludf.DUMMYFUNCTION("""COMPUTED_VALUE"""),58.813649082315)</f>
        <v>58.81364908</v>
      </c>
      <c r="P383" s="35">
        <f>IFERROR(__xludf.DUMMYFUNCTION("""COMPUTED_VALUE"""),148815.0)</f>
        <v>148815</v>
      </c>
      <c r="Q383" s="35">
        <f>IFERROR(__xludf.DUMMYFUNCTION("""COMPUTED_VALUE"""),253028.0)</f>
        <v>253028</v>
      </c>
    </row>
    <row r="384">
      <c r="A384" s="35">
        <f>IFERROR(__xludf.DUMMYFUNCTION("""COMPUTED_VALUE"""),383.0)</f>
        <v>383</v>
      </c>
      <c r="B384" s="35" t="str">
        <f>IFERROR(__xludf.DUMMYFUNCTION("""COMPUTED_VALUE"""),"Ransom Note")</f>
        <v>Ransom Note</v>
      </c>
      <c r="C384" s="35" t="str">
        <f>IFERROR(__xludf.DUMMYFUNCTION("""COMPUTED_VALUE"""),"ransom-note")</f>
        <v>ransom-note</v>
      </c>
      <c r="D384" s="35" t="b">
        <f>IFERROR(__xludf.DUMMYFUNCTION("""COMPUTED_VALUE"""),FALSE)</f>
        <v>0</v>
      </c>
      <c r="E384" s="35" t="str">
        <f>IFERROR(__xludf.DUMMYFUNCTION("""COMPUTED_VALUE"""),"Easy")</f>
        <v>Easy</v>
      </c>
      <c r="F384" s="35">
        <f>IFERROR(__xludf.DUMMYFUNCTION("""COMPUTED_VALUE"""),1549.0)</f>
        <v>1549</v>
      </c>
      <c r="G384" s="35">
        <f>IFERROR(__xludf.DUMMYFUNCTION("""COMPUTED_VALUE"""),287.0)</f>
        <v>287</v>
      </c>
      <c r="H384" s="35" t="str">
        <f>IFERROR(__xludf.DUMMYFUNCTION("""COMPUTED_VALUE"""),"Algorithms")</f>
        <v>Algorithms</v>
      </c>
      <c r="I384" s="35">
        <f>IFERROR(__xludf.DUMMYFUNCTION("""COMPUTED_VALUE"""),0.556)</f>
        <v>0.556</v>
      </c>
      <c r="J384" s="35">
        <f>IFERROR(__xludf.DUMMYFUNCTION("""COMPUTED_VALUE"""),383.0)</f>
        <v>383</v>
      </c>
      <c r="K384" s="35" t="b">
        <f>IFERROR(__xludf.DUMMYFUNCTION("""COMPUTED_VALUE"""),FALSE)</f>
        <v>0</v>
      </c>
      <c r="L384" s="35" t="str">
        <f>IFERROR(__xludf.DUMMYFUNCTION("""COMPUTED_VALUE"""),"Hash Table;String;Counting;")</f>
        <v>Hash Table;String;Counting;</v>
      </c>
      <c r="M384" s="35" t="b">
        <f>IFERROR(__xludf.DUMMYFUNCTION("""COMPUTED_VALUE"""),TRUE)</f>
        <v>1</v>
      </c>
      <c r="N384" s="35" t="b">
        <f>IFERROR(__xludf.DUMMYFUNCTION("""COMPUTED_VALUE"""),FALSE)</f>
        <v>0</v>
      </c>
      <c r="O384" s="35">
        <f>IFERROR(__xludf.DUMMYFUNCTION("""COMPUTED_VALUE"""),55.6429324081417)</f>
        <v>55.64293241</v>
      </c>
      <c r="P384" s="35">
        <f>IFERROR(__xludf.DUMMYFUNCTION("""COMPUTED_VALUE"""),350094.0)</f>
        <v>350094</v>
      </c>
      <c r="Q384" s="35">
        <f>IFERROR(__xludf.DUMMYFUNCTION("""COMPUTED_VALUE"""),629187.0)</f>
        <v>629187</v>
      </c>
    </row>
    <row r="385">
      <c r="A385" s="35">
        <f>IFERROR(__xludf.DUMMYFUNCTION("""COMPUTED_VALUE"""),384.0)</f>
        <v>384</v>
      </c>
      <c r="B385" s="35" t="str">
        <f>IFERROR(__xludf.DUMMYFUNCTION("""COMPUTED_VALUE"""),"Shuffle an Array")</f>
        <v>Shuffle an Array</v>
      </c>
      <c r="C385" s="35" t="str">
        <f>IFERROR(__xludf.DUMMYFUNCTION("""COMPUTED_VALUE"""),"shuffle-an-array")</f>
        <v>shuffle-an-array</v>
      </c>
      <c r="D385" s="35" t="b">
        <f>IFERROR(__xludf.DUMMYFUNCTION("""COMPUTED_VALUE"""),FALSE)</f>
        <v>0</v>
      </c>
      <c r="E385" s="35" t="str">
        <f>IFERROR(__xludf.DUMMYFUNCTION("""COMPUTED_VALUE"""),"Medium")</f>
        <v>Medium</v>
      </c>
      <c r="F385" s="35">
        <f>IFERROR(__xludf.DUMMYFUNCTION("""COMPUTED_VALUE"""),697.0)</f>
        <v>697</v>
      </c>
      <c r="G385" s="35">
        <f>IFERROR(__xludf.DUMMYFUNCTION("""COMPUTED_VALUE"""),606.0)</f>
        <v>606</v>
      </c>
      <c r="H385" s="35" t="str">
        <f>IFERROR(__xludf.DUMMYFUNCTION("""COMPUTED_VALUE"""),"Algorithms")</f>
        <v>Algorithms</v>
      </c>
      <c r="I385" s="35">
        <f>IFERROR(__xludf.DUMMYFUNCTION("""COMPUTED_VALUE"""),0.569)</f>
        <v>0.569</v>
      </c>
      <c r="J385" s="35">
        <f>IFERROR(__xludf.DUMMYFUNCTION("""COMPUTED_VALUE"""),384.0)</f>
        <v>384</v>
      </c>
      <c r="K385" s="35" t="b">
        <f>IFERROR(__xludf.DUMMYFUNCTION("""COMPUTED_VALUE"""),FALSE)</f>
        <v>0</v>
      </c>
      <c r="L385" s="35" t="str">
        <f>IFERROR(__xludf.DUMMYFUNCTION("""COMPUTED_VALUE"""),"Array;Math;Randomized;")</f>
        <v>Array;Math;Randomized;</v>
      </c>
      <c r="M385" s="35" t="b">
        <f>IFERROR(__xludf.DUMMYFUNCTION("""COMPUTED_VALUE"""),TRUE)</f>
        <v>1</v>
      </c>
      <c r="N385" s="35" t="b">
        <f>IFERROR(__xludf.DUMMYFUNCTION("""COMPUTED_VALUE"""),FALSE)</f>
        <v>0</v>
      </c>
      <c r="O385" s="35">
        <f>IFERROR(__xludf.DUMMYFUNCTION("""COMPUTED_VALUE"""),56.8651116535575)</f>
        <v>56.86511165</v>
      </c>
      <c r="P385" s="35">
        <f>IFERROR(__xludf.DUMMYFUNCTION("""COMPUTED_VALUE"""),251591.0)</f>
        <v>251591</v>
      </c>
      <c r="Q385" s="35">
        <f>IFERROR(__xludf.DUMMYFUNCTION("""COMPUTED_VALUE"""),442434.0)</f>
        <v>442434</v>
      </c>
    </row>
    <row r="386">
      <c r="A386" s="35">
        <f>IFERROR(__xludf.DUMMYFUNCTION("""COMPUTED_VALUE"""),385.0)</f>
        <v>385</v>
      </c>
      <c r="B386" s="35" t="str">
        <f>IFERROR(__xludf.DUMMYFUNCTION("""COMPUTED_VALUE"""),"Mini Parser")</f>
        <v>Mini Parser</v>
      </c>
      <c r="C386" s="35" t="str">
        <f>IFERROR(__xludf.DUMMYFUNCTION("""COMPUTED_VALUE"""),"mini-parser")</f>
        <v>mini-parser</v>
      </c>
      <c r="D386" s="35" t="b">
        <f>IFERROR(__xludf.DUMMYFUNCTION("""COMPUTED_VALUE"""),FALSE)</f>
        <v>0</v>
      </c>
      <c r="E386" s="35" t="str">
        <f>IFERROR(__xludf.DUMMYFUNCTION("""COMPUTED_VALUE"""),"Medium")</f>
        <v>Medium</v>
      </c>
      <c r="F386" s="35">
        <f>IFERROR(__xludf.DUMMYFUNCTION("""COMPUTED_VALUE"""),354.0)</f>
        <v>354</v>
      </c>
      <c r="G386" s="35">
        <f>IFERROR(__xludf.DUMMYFUNCTION("""COMPUTED_VALUE"""),1111.0)</f>
        <v>1111</v>
      </c>
      <c r="H386" s="35" t="str">
        <f>IFERROR(__xludf.DUMMYFUNCTION("""COMPUTED_VALUE"""),"Algorithms")</f>
        <v>Algorithms</v>
      </c>
      <c r="I386" s="35">
        <f>IFERROR(__xludf.DUMMYFUNCTION("""COMPUTED_VALUE"""),0.357)</f>
        <v>0.357</v>
      </c>
      <c r="J386" s="35">
        <f>IFERROR(__xludf.DUMMYFUNCTION("""COMPUTED_VALUE"""),385.0)</f>
        <v>385</v>
      </c>
      <c r="K386" s="35" t="b">
        <f>IFERROR(__xludf.DUMMYFUNCTION("""COMPUTED_VALUE"""),FALSE)</f>
        <v>0</v>
      </c>
      <c r="L386" s="35" t="str">
        <f>IFERROR(__xludf.DUMMYFUNCTION("""COMPUTED_VALUE"""),"String;Stack;Depth-First Search;")</f>
        <v>String;Stack;Depth-First Search;</v>
      </c>
      <c r="M386" s="35" t="b">
        <f>IFERROR(__xludf.DUMMYFUNCTION("""COMPUTED_VALUE"""),FALSE)</f>
        <v>0</v>
      </c>
      <c r="N386" s="35" t="b">
        <f>IFERROR(__xludf.DUMMYFUNCTION("""COMPUTED_VALUE"""),FALSE)</f>
        <v>0</v>
      </c>
      <c r="O386" s="35">
        <f>IFERROR(__xludf.DUMMYFUNCTION("""COMPUTED_VALUE"""),35.7259244101887)</f>
        <v>35.72592441</v>
      </c>
      <c r="P386" s="35">
        <f>IFERROR(__xludf.DUMMYFUNCTION("""COMPUTED_VALUE"""),47139.0)</f>
        <v>47139</v>
      </c>
      <c r="Q386" s="35">
        <f>IFERROR(__xludf.DUMMYFUNCTION("""COMPUTED_VALUE"""),131947.0)</f>
        <v>131947</v>
      </c>
    </row>
    <row r="387">
      <c r="A387" s="35">
        <f>IFERROR(__xludf.DUMMYFUNCTION("""COMPUTED_VALUE"""),386.0)</f>
        <v>386</v>
      </c>
      <c r="B387" s="35" t="str">
        <f>IFERROR(__xludf.DUMMYFUNCTION("""COMPUTED_VALUE"""),"Lexicographical Numbers")</f>
        <v>Lexicographical Numbers</v>
      </c>
      <c r="C387" s="35" t="str">
        <f>IFERROR(__xludf.DUMMYFUNCTION("""COMPUTED_VALUE"""),"lexicographical-numbers")</f>
        <v>lexicographical-numbers</v>
      </c>
      <c r="D387" s="35" t="b">
        <f>IFERROR(__xludf.DUMMYFUNCTION("""COMPUTED_VALUE"""),FALSE)</f>
        <v>0</v>
      </c>
      <c r="E387" s="35" t="str">
        <f>IFERROR(__xludf.DUMMYFUNCTION("""COMPUTED_VALUE"""),"Medium")</f>
        <v>Medium</v>
      </c>
      <c r="F387" s="35">
        <f>IFERROR(__xludf.DUMMYFUNCTION("""COMPUTED_VALUE"""),1148.0)</f>
        <v>1148</v>
      </c>
      <c r="G387" s="35">
        <f>IFERROR(__xludf.DUMMYFUNCTION("""COMPUTED_VALUE"""),112.0)</f>
        <v>112</v>
      </c>
      <c r="H387" s="35" t="str">
        <f>IFERROR(__xludf.DUMMYFUNCTION("""COMPUTED_VALUE"""),"Algorithms")</f>
        <v>Algorithms</v>
      </c>
      <c r="I387" s="35">
        <f>IFERROR(__xludf.DUMMYFUNCTION("""COMPUTED_VALUE"""),0.584)</f>
        <v>0.584</v>
      </c>
      <c r="J387" s="35">
        <f>IFERROR(__xludf.DUMMYFUNCTION("""COMPUTED_VALUE"""),386.0)</f>
        <v>386</v>
      </c>
      <c r="K387" s="35" t="b">
        <f>IFERROR(__xludf.DUMMYFUNCTION("""COMPUTED_VALUE"""),FALSE)</f>
        <v>0</v>
      </c>
      <c r="L387" s="35" t="str">
        <f>IFERROR(__xludf.DUMMYFUNCTION("""COMPUTED_VALUE"""),"Depth-First Search;Trie;")</f>
        <v>Depth-First Search;Trie;</v>
      </c>
      <c r="M387" s="35" t="b">
        <f>IFERROR(__xludf.DUMMYFUNCTION("""COMPUTED_VALUE"""),FALSE)</f>
        <v>0</v>
      </c>
      <c r="N387" s="35" t="b">
        <f>IFERROR(__xludf.DUMMYFUNCTION("""COMPUTED_VALUE"""),FALSE)</f>
        <v>0</v>
      </c>
      <c r="O387" s="35">
        <f>IFERROR(__xludf.DUMMYFUNCTION("""COMPUTED_VALUE"""),58.4033126773614)</f>
        <v>58.40331268</v>
      </c>
      <c r="P387" s="35">
        <f>IFERROR(__xludf.DUMMYFUNCTION("""COMPUTED_VALUE"""),80674.0)</f>
        <v>80674</v>
      </c>
      <c r="Q387" s="35">
        <f>IFERROR(__xludf.DUMMYFUNCTION("""COMPUTED_VALUE"""),138134.0)</f>
        <v>138134</v>
      </c>
    </row>
    <row r="388">
      <c r="A388" s="35">
        <f>IFERROR(__xludf.DUMMYFUNCTION("""COMPUTED_VALUE"""),387.0)</f>
        <v>387</v>
      </c>
      <c r="B388" s="35" t="str">
        <f>IFERROR(__xludf.DUMMYFUNCTION("""COMPUTED_VALUE"""),"First Unique Character in a String")</f>
        <v>First Unique Character in a String</v>
      </c>
      <c r="C388" s="35" t="str">
        <f>IFERROR(__xludf.DUMMYFUNCTION("""COMPUTED_VALUE"""),"first-unique-character-in-a-string")</f>
        <v>first-unique-character-in-a-string</v>
      </c>
      <c r="D388" s="35" t="b">
        <f>IFERROR(__xludf.DUMMYFUNCTION("""COMPUTED_VALUE"""),FALSE)</f>
        <v>0</v>
      </c>
      <c r="E388" s="35" t="str">
        <f>IFERROR(__xludf.DUMMYFUNCTION("""COMPUTED_VALUE"""),"Easy")</f>
        <v>Easy</v>
      </c>
      <c r="F388" s="35">
        <f>IFERROR(__xludf.DUMMYFUNCTION("""COMPUTED_VALUE"""),4647.0)</f>
        <v>4647</v>
      </c>
      <c r="G388" s="35">
        <f>IFERROR(__xludf.DUMMYFUNCTION("""COMPUTED_VALUE"""),187.0)</f>
        <v>187</v>
      </c>
      <c r="H388" s="35" t="str">
        <f>IFERROR(__xludf.DUMMYFUNCTION("""COMPUTED_VALUE"""),"Algorithms")</f>
        <v>Algorithms</v>
      </c>
      <c r="I388" s="35">
        <f>IFERROR(__xludf.DUMMYFUNCTION("""COMPUTED_VALUE"""),0.567)</f>
        <v>0.567</v>
      </c>
      <c r="J388" s="35">
        <f>IFERROR(__xludf.DUMMYFUNCTION("""COMPUTED_VALUE"""),387.0)</f>
        <v>387</v>
      </c>
      <c r="K388" s="35" t="b">
        <f>IFERROR(__xludf.DUMMYFUNCTION("""COMPUTED_VALUE"""),FALSE)</f>
        <v>0</v>
      </c>
      <c r="L388" s="35" t="str">
        <f>IFERROR(__xludf.DUMMYFUNCTION("""COMPUTED_VALUE"""),"Hash Table;String;Queue;Counting;")</f>
        <v>Hash Table;String;Queue;Counting;</v>
      </c>
      <c r="M388" s="35" t="b">
        <f>IFERROR(__xludf.DUMMYFUNCTION("""COMPUTED_VALUE"""),TRUE)</f>
        <v>1</v>
      </c>
      <c r="N388" s="35" t="b">
        <f>IFERROR(__xludf.DUMMYFUNCTION("""COMPUTED_VALUE"""),FALSE)</f>
        <v>0</v>
      </c>
      <c r="O388" s="35">
        <f>IFERROR(__xludf.DUMMYFUNCTION("""COMPUTED_VALUE"""),56.7474285635944)</f>
        <v>56.74742856</v>
      </c>
      <c r="P388" s="35">
        <f>IFERROR(__xludf.DUMMYFUNCTION("""COMPUTED_VALUE"""),993384.0)</f>
        <v>993384</v>
      </c>
      <c r="Q388" s="35">
        <f>IFERROR(__xludf.DUMMYFUNCTION("""COMPUTED_VALUE"""),1750544.0)</f>
        <v>1750544</v>
      </c>
    </row>
    <row r="389">
      <c r="A389" s="35">
        <f>IFERROR(__xludf.DUMMYFUNCTION("""COMPUTED_VALUE"""),388.0)</f>
        <v>388</v>
      </c>
      <c r="B389" s="35" t="str">
        <f>IFERROR(__xludf.DUMMYFUNCTION("""COMPUTED_VALUE"""),"Longest Absolute File Path")</f>
        <v>Longest Absolute File Path</v>
      </c>
      <c r="C389" s="35" t="str">
        <f>IFERROR(__xludf.DUMMYFUNCTION("""COMPUTED_VALUE"""),"longest-absolute-file-path")</f>
        <v>longest-absolute-file-path</v>
      </c>
      <c r="D389" s="35" t="b">
        <f>IFERROR(__xludf.DUMMYFUNCTION("""COMPUTED_VALUE"""),FALSE)</f>
        <v>0</v>
      </c>
      <c r="E389" s="35" t="str">
        <f>IFERROR(__xludf.DUMMYFUNCTION("""COMPUTED_VALUE"""),"Medium")</f>
        <v>Medium</v>
      </c>
      <c r="F389" s="35">
        <f>IFERROR(__xludf.DUMMYFUNCTION("""COMPUTED_VALUE"""),954.0)</f>
        <v>954</v>
      </c>
      <c r="G389" s="35">
        <f>IFERROR(__xludf.DUMMYFUNCTION("""COMPUTED_VALUE"""),2092.0)</f>
        <v>2092</v>
      </c>
      <c r="H389" s="35" t="str">
        <f>IFERROR(__xludf.DUMMYFUNCTION("""COMPUTED_VALUE"""),"Algorithms")</f>
        <v>Algorithms</v>
      </c>
      <c r="I389" s="35">
        <f>IFERROR(__xludf.DUMMYFUNCTION("""COMPUTED_VALUE"""),0.457)</f>
        <v>0.457</v>
      </c>
      <c r="J389" s="35">
        <f>IFERROR(__xludf.DUMMYFUNCTION("""COMPUTED_VALUE"""),388.0)</f>
        <v>388</v>
      </c>
      <c r="K389" s="35" t="b">
        <f>IFERROR(__xludf.DUMMYFUNCTION("""COMPUTED_VALUE"""),FALSE)</f>
        <v>0</v>
      </c>
      <c r="L389" s="35" t="str">
        <f>IFERROR(__xludf.DUMMYFUNCTION("""COMPUTED_VALUE"""),"String;Stack;Depth-First Search;")</f>
        <v>String;Stack;Depth-First Search;</v>
      </c>
      <c r="M389" s="35" t="b">
        <f>IFERROR(__xludf.DUMMYFUNCTION("""COMPUTED_VALUE"""),FALSE)</f>
        <v>0</v>
      </c>
      <c r="N389" s="35" t="b">
        <f>IFERROR(__xludf.DUMMYFUNCTION("""COMPUTED_VALUE"""),FALSE)</f>
        <v>0</v>
      </c>
      <c r="O389" s="35">
        <f>IFERROR(__xludf.DUMMYFUNCTION("""COMPUTED_VALUE"""),45.6725706602732)</f>
        <v>45.67257066</v>
      </c>
      <c r="P389" s="35">
        <f>IFERROR(__xludf.DUMMYFUNCTION("""COMPUTED_VALUE"""),125345.0)</f>
        <v>125345</v>
      </c>
      <c r="Q389" s="35">
        <f>IFERROR(__xludf.DUMMYFUNCTION("""COMPUTED_VALUE"""),274445.0)</f>
        <v>274445</v>
      </c>
    </row>
    <row r="390">
      <c r="A390" s="35">
        <f>IFERROR(__xludf.DUMMYFUNCTION("""COMPUTED_VALUE"""),389.0)</f>
        <v>389</v>
      </c>
      <c r="B390" s="35" t="str">
        <f>IFERROR(__xludf.DUMMYFUNCTION("""COMPUTED_VALUE"""),"Find the Difference")</f>
        <v>Find the Difference</v>
      </c>
      <c r="C390" s="35" t="str">
        <f>IFERROR(__xludf.DUMMYFUNCTION("""COMPUTED_VALUE"""),"find-the-difference")</f>
        <v>find-the-difference</v>
      </c>
      <c r="D390" s="35" t="b">
        <f>IFERROR(__xludf.DUMMYFUNCTION("""COMPUTED_VALUE"""),FALSE)</f>
        <v>0</v>
      </c>
      <c r="E390" s="35" t="str">
        <f>IFERROR(__xludf.DUMMYFUNCTION("""COMPUTED_VALUE"""),"Easy")</f>
        <v>Easy</v>
      </c>
      <c r="F390" s="35">
        <f>IFERROR(__xludf.DUMMYFUNCTION("""COMPUTED_VALUE"""),2607.0)</f>
        <v>2607</v>
      </c>
      <c r="G390" s="35">
        <f>IFERROR(__xludf.DUMMYFUNCTION("""COMPUTED_VALUE"""),373.0)</f>
        <v>373</v>
      </c>
      <c r="H390" s="35" t="str">
        <f>IFERROR(__xludf.DUMMYFUNCTION("""COMPUTED_VALUE"""),"Algorithms")</f>
        <v>Algorithms</v>
      </c>
      <c r="I390" s="35">
        <f>IFERROR(__xludf.DUMMYFUNCTION("""COMPUTED_VALUE"""),0.605)</f>
        <v>0.605</v>
      </c>
      <c r="J390" s="35">
        <f>IFERROR(__xludf.DUMMYFUNCTION("""COMPUTED_VALUE"""),389.0)</f>
        <v>389</v>
      </c>
      <c r="K390" s="35" t="b">
        <f>IFERROR(__xludf.DUMMYFUNCTION("""COMPUTED_VALUE"""),FALSE)</f>
        <v>0</v>
      </c>
      <c r="L390" s="35" t="str">
        <f>IFERROR(__xludf.DUMMYFUNCTION("""COMPUTED_VALUE"""),"Hash Table;String;Bit Manipulation;Sorting;")</f>
        <v>Hash Table;String;Bit Manipulation;Sorting;</v>
      </c>
      <c r="M390" s="35" t="b">
        <f>IFERROR(__xludf.DUMMYFUNCTION("""COMPUTED_VALUE"""),TRUE)</f>
        <v>1</v>
      </c>
      <c r="N390" s="35" t="b">
        <f>IFERROR(__xludf.DUMMYFUNCTION("""COMPUTED_VALUE"""),FALSE)</f>
        <v>0</v>
      </c>
      <c r="O390" s="35">
        <f>IFERROR(__xludf.DUMMYFUNCTION("""COMPUTED_VALUE"""),60.4817816979337)</f>
        <v>60.4817817</v>
      </c>
      <c r="P390" s="35">
        <f>IFERROR(__xludf.DUMMYFUNCTION("""COMPUTED_VALUE"""),373292.0)</f>
        <v>373292</v>
      </c>
      <c r="Q390" s="35">
        <f>IFERROR(__xludf.DUMMYFUNCTION("""COMPUTED_VALUE"""),617198.0)</f>
        <v>617198</v>
      </c>
    </row>
    <row r="391">
      <c r="A391" s="35">
        <f>IFERROR(__xludf.DUMMYFUNCTION("""COMPUTED_VALUE"""),390.0)</f>
        <v>390</v>
      </c>
      <c r="B391" s="35" t="str">
        <f>IFERROR(__xludf.DUMMYFUNCTION("""COMPUTED_VALUE"""),"Elimination Game")</f>
        <v>Elimination Game</v>
      </c>
      <c r="C391" s="35" t="str">
        <f>IFERROR(__xludf.DUMMYFUNCTION("""COMPUTED_VALUE"""),"elimination-game")</f>
        <v>elimination-game</v>
      </c>
      <c r="D391" s="35" t="b">
        <f>IFERROR(__xludf.DUMMYFUNCTION("""COMPUTED_VALUE"""),FALSE)</f>
        <v>0</v>
      </c>
      <c r="E391" s="35" t="str">
        <f>IFERROR(__xludf.DUMMYFUNCTION("""COMPUTED_VALUE"""),"Medium")</f>
        <v>Medium</v>
      </c>
      <c r="F391" s="35">
        <f>IFERROR(__xludf.DUMMYFUNCTION("""COMPUTED_VALUE"""),735.0)</f>
        <v>735</v>
      </c>
      <c r="G391" s="35">
        <f>IFERROR(__xludf.DUMMYFUNCTION("""COMPUTED_VALUE"""),489.0)</f>
        <v>489</v>
      </c>
      <c r="H391" s="35" t="str">
        <f>IFERROR(__xludf.DUMMYFUNCTION("""COMPUTED_VALUE"""),"Algorithms")</f>
        <v>Algorithms</v>
      </c>
      <c r="I391" s="35">
        <f>IFERROR(__xludf.DUMMYFUNCTION("""COMPUTED_VALUE"""),0.463)</f>
        <v>0.463</v>
      </c>
      <c r="J391" s="35">
        <f>IFERROR(__xludf.DUMMYFUNCTION("""COMPUTED_VALUE"""),390.0)</f>
        <v>390</v>
      </c>
      <c r="K391" s="35" t="b">
        <f>IFERROR(__xludf.DUMMYFUNCTION("""COMPUTED_VALUE"""),FALSE)</f>
        <v>0</v>
      </c>
      <c r="L391" s="35" t="str">
        <f>IFERROR(__xludf.DUMMYFUNCTION("""COMPUTED_VALUE"""),"Math;")</f>
        <v>Math;</v>
      </c>
      <c r="M391" s="35" t="b">
        <f>IFERROR(__xludf.DUMMYFUNCTION("""COMPUTED_VALUE"""),FALSE)</f>
        <v>0</v>
      </c>
      <c r="N391" s="35" t="b">
        <f>IFERROR(__xludf.DUMMYFUNCTION("""COMPUTED_VALUE"""),FALSE)</f>
        <v>0</v>
      </c>
      <c r="O391" s="35">
        <f>IFERROR(__xludf.DUMMYFUNCTION("""COMPUTED_VALUE"""),46.3094489838675)</f>
        <v>46.30944898</v>
      </c>
      <c r="P391" s="35">
        <f>IFERROR(__xludf.DUMMYFUNCTION("""COMPUTED_VALUE"""),44207.0)</f>
        <v>44207</v>
      </c>
      <c r="Q391" s="35">
        <f>IFERROR(__xludf.DUMMYFUNCTION("""COMPUTED_VALUE"""),95460.0)</f>
        <v>95460</v>
      </c>
    </row>
    <row r="392">
      <c r="A392" s="35">
        <f>IFERROR(__xludf.DUMMYFUNCTION("""COMPUTED_VALUE"""),391.0)</f>
        <v>391</v>
      </c>
      <c r="B392" s="35" t="str">
        <f>IFERROR(__xludf.DUMMYFUNCTION("""COMPUTED_VALUE"""),"Perfect Rectangle")</f>
        <v>Perfect Rectangle</v>
      </c>
      <c r="C392" s="35" t="str">
        <f>IFERROR(__xludf.DUMMYFUNCTION("""COMPUTED_VALUE"""),"perfect-rectangle")</f>
        <v>perfect-rectangle</v>
      </c>
      <c r="D392" s="35" t="b">
        <f>IFERROR(__xludf.DUMMYFUNCTION("""COMPUTED_VALUE"""),FALSE)</f>
        <v>0</v>
      </c>
      <c r="E392" s="35" t="str">
        <f>IFERROR(__xludf.DUMMYFUNCTION("""COMPUTED_VALUE"""),"Hard")</f>
        <v>Hard</v>
      </c>
      <c r="F392" s="35">
        <f>IFERROR(__xludf.DUMMYFUNCTION("""COMPUTED_VALUE"""),579.0)</f>
        <v>579</v>
      </c>
      <c r="G392" s="35">
        <f>IFERROR(__xludf.DUMMYFUNCTION("""COMPUTED_VALUE"""),96.0)</f>
        <v>96</v>
      </c>
      <c r="H392" s="35" t="str">
        <f>IFERROR(__xludf.DUMMYFUNCTION("""COMPUTED_VALUE"""),"Algorithms")</f>
        <v>Algorithms</v>
      </c>
      <c r="I392" s="35">
        <f>IFERROR(__xludf.DUMMYFUNCTION("""COMPUTED_VALUE"""),0.32)</f>
        <v>0.32</v>
      </c>
      <c r="J392" s="35">
        <f>IFERROR(__xludf.DUMMYFUNCTION("""COMPUTED_VALUE"""),391.0)</f>
        <v>391</v>
      </c>
      <c r="K392" s="35" t="b">
        <f>IFERROR(__xludf.DUMMYFUNCTION("""COMPUTED_VALUE"""),FALSE)</f>
        <v>0</v>
      </c>
      <c r="L392" s="35" t="str">
        <f>IFERROR(__xludf.DUMMYFUNCTION("""COMPUTED_VALUE"""),"Array;Line Sweep;")</f>
        <v>Array;Line Sweep;</v>
      </c>
      <c r="M392" s="35" t="b">
        <f>IFERROR(__xludf.DUMMYFUNCTION("""COMPUTED_VALUE"""),FALSE)</f>
        <v>0</v>
      </c>
      <c r="N392" s="35" t="b">
        <f>IFERROR(__xludf.DUMMYFUNCTION("""COMPUTED_VALUE"""),FALSE)</f>
        <v>0</v>
      </c>
      <c r="O392" s="35">
        <f>IFERROR(__xludf.DUMMYFUNCTION("""COMPUTED_VALUE"""),32.0036593035887)</f>
        <v>32.0036593</v>
      </c>
      <c r="P392" s="35">
        <f>IFERROR(__xludf.DUMMYFUNCTION("""COMPUTED_VALUE"""),33583.0)</f>
        <v>33583</v>
      </c>
      <c r="Q392" s="35">
        <f>IFERROR(__xludf.DUMMYFUNCTION("""COMPUTED_VALUE"""),104934.0)</f>
        <v>104934</v>
      </c>
    </row>
    <row r="393">
      <c r="A393" s="35">
        <f>IFERROR(__xludf.DUMMYFUNCTION("""COMPUTED_VALUE"""),392.0)</f>
        <v>392</v>
      </c>
      <c r="B393" s="35" t="str">
        <f>IFERROR(__xludf.DUMMYFUNCTION("""COMPUTED_VALUE"""),"Is Subsequence")</f>
        <v>Is Subsequence</v>
      </c>
      <c r="C393" s="35" t="str">
        <f>IFERROR(__xludf.DUMMYFUNCTION("""COMPUTED_VALUE"""),"is-subsequence")</f>
        <v>is-subsequence</v>
      </c>
      <c r="D393" s="35" t="b">
        <f>IFERROR(__xludf.DUMMYFUNCTION("""COMPUTED_VALUE"""),FALSE)</f>
        <v>0</v>
      </c>
      <c r="E393" s="35" t="str">
        <f>IFERROR(__xludf.DUMMYFUNCTION("""COMPUTED_VALUE"""),"Easy")</f>
        <v>Easy</v>
      </c>
      <c r="F393" s="35">
        <f>IFERROR(__xludf.DUMMYFUNCTION("""COMPUTED_VALUE"""),4488.0)</f>
        <v>4488</v>
      </c>
      <c r="G393" s="35">
        <f>IFERROR(__xludf.DUMMYFUNCTION("""COMPUTED_VALUE"""),280.0)</f>
        <v>280</v>
      </c>
      <c r="H393" s="35" t="str">
        <f>IFERROR(__xludf.DUMMYFUNCTION("""COMPUTED_VALUE"""),"Algorithms")</f>
        <v>Algorithms</v>
      </c>
      <c r="I393" s="35">
        <f>IFERROR(__xludf.DUMMYFUNCTION("""COMPUTED_VALUE"""),0.509)</f>
        <v>0.509</v>
      </c>
      <c r="J393" s="35">
        <f>IFERROR(__xludf.DUMMYFUNCTION("""COMPUTED_VALUE"""),392.0)</f>
        <v>392</v>
      </c>
      <c r="K393" s="35" t="b">
        <f>IFERROR(__xludf.DUMMYFUNCTION("""COMPUTED_VALUE"""),FALSE)</f>
        <v>0</v>
      </c>
      <c r="L393" s="35" t="str">
        <f>IFERROR(__xludf.DUMMYFUNCTION("""COMPUTED_VALUE"""),"Two Pointers;String;Dynamic Programming;")</f>
        <v>Two Pointers;String;Dynamic Programming;</v>
      </c>
      <c r="M393" s="35" t="b">
        <f>IFERROR(__xludf.DUMMYFUNCTION("""COMPUTED_VALUE"""),TRUE)</f>
        <v>1</v>
      </c>
      <c r="N393" s="35" t="b">
        <f>IFERROR(__xludf.DUMMYFUNCTION("""COMPUTED_VALUE"""),FALSE)</f>
        <v>0</v>
      </c>
      <c r="O393" s="35">
        <f>IFERROR(__xludf.DUMMYFUNCTION("""COMPUTED_VALUE"""),50.9399453734542)</f>
        <v>50.93994537</v>
      </c>
      <c r="P393" s="35">
        <f>IFERROR(__xludf.DUMMYFUNCTION("""COMPUTED_VALUE"""),442008.0)</f>
        <v>442008</v>
      </c>
      <c r="Q393" s="35">
        <f>IFERROR(__xludf.DUMMYFUNCTION("""COMPUTED_VALUE"""),867693.0)</f>
        <v>867693</v>
      </c>
    </row>
    <row r="394">
      <c r="A394" s="35">
        <f>IFERROR(__xludf.DUMMYFUNCTION("""COMPUTED_VALUE"""),393.0)</f>
        <v>393</v>
      </c>
      <c r="B394" s="35" t="str">
        <f>IFERROR(__xludf.DUMMYFUNCTION("""COMPUTED_VALUE"""),"UTF-8 Validation")</f>
        <v>UTF-8 Validation</v>
      </c>
      <c r="C394" s="35" t="str">
        <f>IFERROR(__xludf.DUMMYFUNCTION("""COMPUTED_VALUE"""),"utf-8-validation")</f>
        <v>utf-8-validation</v>
      </c>
      <c r="D394" s="35" t="b">
        <f>IFERROR(__xludf.DUMMYFUNCTION("""COMPUTED_VALUE"""),FALSE)</f>
        <v>0</v>
      </c>
      <c r="E394" s="35" t="str">
        <f>IFERROR(__xludf.DUMMYFUNCTION("""COMPUTED_VALUE"""),"Medium")</f>
        <v>Medium</v>
      </c>
      <c r="F394" s="35">
        <f>IFERROR(__xludf.DUMMYFUNCTION("""COMPUTED_VALUE"""),359.0)</f>
        <v>359</v>
      </c>
      <c r="G394" s="35">
        <f>IFERROR(__xludf.DUMMYFUNCTION("""COMPUTED_VALUE"""),1489.0)</f>
        <v>1489</v>
      </c>
      <c r="H394" s="35" t="str">
        <f>IFERROR(__xludf.DUMMYFUNCTION("""COMPUTED_VALUE"""),"Algorithms")</f>
        <v>Algorithms</v>
      </c>
      <c r="I394" s="35">
        <f>IFERROR(__xludf.DUMMYFUNCTION("""COMPUTED_VALUE"""),0.391)</f>
        <v>0.391</v>
      </c>
      <c r="J394" s="35">
        <f>IFERROR(__xludf.DUMMYFUNCTION("""COMPUTED_VALUE"""),393.0)</f>
        <v>393</v>
      </c>
      <c r="K394" s="35" t="b">
        <f>IFERROR(__xludf.DUMMYFUNCTION("""COMPUTED_VALUE"""),FALSE)</f>
        <v>0</v>
      </c>
      <c r="L394" s="35" t="str">
        <f>IFERROR(__xludf.DUMMYFUNCTION("""COMPUTED_VALUE"""),"Array;Bit Manipulation;")</f>
        <v>Array;Bit Manipulation;</v>
      </c>
      <c r="M394" s="35" t="b">
        <f>IFERROR(__xludf.DUMMYFUNCTION("""COMPUTED_VALUE"""),TRUE)</f>
        <v>1</v>
      </c>
      <c r="N394" s="35" t="b">
        <f>IFERROR(__xludf.DUMMYFUNCTION("""COMPUTED_VALUE"""),FALSE)</f>
        <v>0</v>
      </c>
      <c r="O394" s="35">
        <f>IFERROR(__xludf.DUMMYFUNCTION("""COMPUTED_VALUE"""),39.0920926287017)</f>
        <v>39.09209263</v>
      </c>
      <c r="P394" s="35">
        <f>IFERROR(__xludf.DUMMYFUNCTION("""COMPUTED_VALUE"""),66359.0)</f>
        <v>66359</v>
      </c>
      <c r="Q394" s="35">
        <f>IFERROR(__xludf.DUMMYFUNCTION("""COMPUTED_VALUE"""),169750.0)</f>
        <v>169750</v>
      </c>
    </row>
    <row r="395">
      <c r="A395" s="35">
        <f>IFERROR(__xludf.DUMMYFUNCTION("""COMPUTED_VALUE"""),394.0)</f>
        <v>394</v>
      </c>
      <c r="B395" s="35" t="str">
        <f>IFERROR(__xludf.DUMMYFUNCTION("""COMPUTED_VALUE"""),"Decode String")</f>
        <v>Decode String</v>
      </c>
      <c r="C395" s="35" t="str">
        <f>IFERROR(__xludf.DUMMYFUNCTION("""COMPUTED_VALUE"""),"decode-string")</f>
        <v>decode-string</v>
      </c>
      <c r="D395" s="35" t="b">
        <f>IFERROR(__xludf.DUMMYFUNCTION("""COMPUTED_VALUE"""),FALSE)</f>
        <v>0</v>
      </c>
      <c r="E395" s="35" t="str">
        <f>IFERROR(__xludf.DUMMYFUNCTION("""COMPUTED_VALUE"""),"Medium")</f>
        <v>Medium</v>
      </c>
      <c r="F395" s="35">
        <f>IFERROR(__xludf.DUMMYFUNCTION("""COMPUTED_VALUE"""),7682.0)</f>
        <v>7682</v>
      </c>
      <c r="G395" s="35">
        <f>IFERROR(__xludf.DUMMYFUNCTION("""COMPUTED_VALUE"""),326.0)</f>
        <v>326</v>
      </c>
      <c r="H395" s="35" t="str">
        <f>IFERROR(__xludf.DUMMYFUNCTION("""COMPUTED_VALUE"""),"Algorithms")</f>
        <v>Algorithms</v>
      </c>
      <c r="I395" s="35">
        <f>IFERROR(__xludf.DUMMYFUNCTION("""COMPUTED_VALUE"""),0.56)</f>
        <v>0.56</v>
      </c>
      <c r="J395" s="35">
        <f>IFERROR(__xludf.DUMMYFUNCTION("""COMPUTED_VALUE"""),394.0)</f>
        <v>394</v>
      </c>
      <c r="K395" s="35" t="b">
        <f>IFERROR(__xludf.DUMMYFUNCTION("""COMPUTED_VALUE"""),FALSE)</f>
        <v>0</v>
      </c>
      <c r="L395" s="35" t="str">
        <f>IFERROR(__xludf.DUMMYFUNCTION("""COMPUTED_VALUE"""),"String;Stack;Recursion;")</f>
        <v>String;Stack;Recursion;</v>
      </c>
      <c r="M395" s="35" t="b">
        <f>IFERROR(__xludf.DUMMYFUNCTION("""COMPUTED_VALUE"""),TRUE)</f>
        <v>1</v>
      </c>
      <c r="N395" s="35" t="b">
        <f>IFERROR(__xludf.DUMMYFUNCTION("""COMPUTED_VALUE"""),FALSE)</f>
        <v>0</v>
      </c>
      <c r="O395" s="35">
        <f>IFERROR(__xludf.DUMMYFUNCTION("""COMPUTED_VALUE"""),56.025375600217)</f>
        <v>56.0253756</v>
      </c>
      <c r="P395" s="35">
        <f>IFERROR(__xludf.DUMMYFUNCTION("""COMPUTED_VALUE"""),463551.0)</f>
        <v>463551</v>
      </c>
      <c r="Q395" s="35">
        <f>IFERROR(__xludf.DUMMYFUNCTION("""COMPUTED_VALUE"""),827396.0)</f>
        <v>827396</v>
      </c>
    </row>
    <row r="396">
      <c r="A396" s="35">
        <f>IFERROR(__xludf.DUMMYFUNCTION("""COMPUTED_VALUE"""),395.0)</f>
        <v>395</v>
      </c>
      <c r="B396" s="35" t="str">
        <f>IFERROR(__xludf.DUMMYFUNCTION("""COMPUTED_VALUE"""),"Longest Substring with At Least K Repeating Characters")</f>
        <v>Longest Substring with At Least K Repeating Characters</v>
      </c>
      <c r="C396" s="35" t="str">
        <f>IFERROR(__xludf.DUMMYFUNCTION("""COMPUTED_VALUE"""),"longest-substring-with-at-least-k-repeating-characters")</f>
        <v>longest-substring-with-at-least-k-repeating-characters</v>
      </c>
      <c r="D396" s="35" t="b">
        <f>IFERROR(__xludf.DUMMYFUNCTION("""COMPUTED_VALUE"""),FALSE)</f>
        <v>0</v>
      </c>
      <c r="E396" s="35" t="str">
        <f>IFERROR(__xludf.DUMMYFUNCTION("""COMPUTED_VALUE"""),"Medium")</f>
        <v>Medium</v>
      </c>
      <c r="F396" s="35">
        <f>IFERROR(__xludf.DUMMYFUNCTION("""COMPUTED_VALUE"""),3717.0)</f>
        <v>3717</v>
      </c>
      <c r="G396" s="35">
        <f>IFERROR(__xludf.DUMMYFUNCTION("""COMPUTED_VALUE"""),315.0)</f>
        <v>315</v>
      </c>
      <c r="H396" s="35" t="str">
        <f>IFERROR(__xludf.DUMMYFUNCTION("""COMPUTED_VALUE"""),"Algorithms")</f>
        <v>Algorithms</v>
      </c>
      <c r="I396" s="35">
        <f>IFERROR(__xludf.DUMMYFUNCTION("""COMPUTED_VALUE"""),0.445)</f>
        <v>0.445</v>
      </c>
      <c r="J396" s="35">
        <f>IFERROR(__xludf.DUMMYFUNCTION("""COMPUTED_VALUE"""),395.0)</f>
        <v>395</v>
      </c>
      <c r="K396" s="35" t="b">
        <f>IFERROR(__xludf.DUMMYFUNCTION("""COMPUTED_VALUE"""),FALSE)</f>
        <v>0</v>
      </c>
      <c r="L396" s="35" t="str">
        <f>IFERROR(__xludf.DUMMYFUNCTION("""COMPUTED_VALUE"""),"Hash Table;String;Divide and Conquer;Sliding Window;")</f>
        <v>Hash Table;String;Divide and Conquer;Sliding Window;</v>
      </c>
      <c r="M396" s="35" t="b">
        <f>IFERROR(__xludf.DUMMYFUNCTION("""COMPUTED_VALUE"""),TRUE)</f>
        <v>1</v>
      </c>
      <c r="N396" s="35" t="b">
        <f>IFERROR(__xludf.DUMMYFUNCTION("""COMPUTED_VALUE"""),FALSE)</f>
        <v>0</v>
      </c>
      <c r="O396" s="35">
        <f>IFERROR(__xludf.DUMMYFUNCTION("""COMPUTED_VALUE"""),44.4886439200271)</f>
        <v>44.48864392</v>
      </c>
      <c r="P396" s="35">
        <f>IFERROR(__xludf.DUMMYFUNCTION("""COMPUTED_VALUE"""),150533.0)</f>
        <v>150533</v>
      </c>
      <c r="Q396" s="35">
        <f>IFERROR(__xludf.DUMMYFUNCTION("""COMPUTED_VALUE"""),338364.0)</f>
        <v>338364</v>
      </c>
    </row>
    <row r="397">
      <c r="A397" s="35">
        <f>IFERROR(__xludf.DUMMYFUNCTION("""COMPUTED_VALUE"""),396.0)</f>
        <v>396</v>
      </c>
      <c r="B397" s="35" t="str">
        <f>IFERROR(__xludf.DUMMYFUNCTION("""COMPUTED_VALUE"""),"Rotate Function")</f>
        <v>Rotate Function</v>
      </c>
      <c r="C397" s="35" t="str">
        <f>IFERROR(__xludf.DUMMYFUNCTION("""COMPUTED_VALUE"""),"rotate-function")</f>
        <v>rotate-function</v>
      </c>
      <c r="D397" s="35" t="b">
        <f>IFERROR(__xludf.DUMMYFUNCTION("""COMPUTED_VALUE"""),FALSE)</f>
        <v>0</v>
      </c>
      <c r="E397" s="35" t="str">
        <f>IFERROR(__xludf.DUMMYFUNCTION("""COMPUTED_VALUE"""),"Medium")</f>
        <v>Medium</v>
      </c>
      <c r="F397" s="35">
        <f>IFERROR(__xludf.DUMMYFUNCTION("""COMPUTED_VALUE"""),783.0)</f>
        <v>783</v>
      </c>
      <c r="G397" s="35">
        <f>IFERROR(__xludf.DUMMYFUNCTION("""COMPUTED_VALUE"""),206.0)</f>
        <v>206</v>
      </c>
      <c r="H397" s="35" t="str">
        <f>IFERROR(__xludf.DUMMYFUNCTION("""COMPUTED_VALUE"""),"Algorithms")</f>
        <v>Algorithms</v>
      </c>
      <c r="I397" s="35">
        <f>IFERROR(__xludf.DUMMYFUNCTION("""COMPUTED_VALUE"""),0.389)</f>
        <v>0.389</v>
      </c>
      <c r="J397" s="35">
        <f>IFERROR(__xludf.DUMMYFUNCTION("""COMPUTED_VALUE"""),396.0)</f>
        <v>396</v>
      </c>
      <c r="K397" s="35" t="b">
        <f>IFERROR(__xludf.DUMMYFUNCTION("""COMPUTED_VALUE"""),FALSE)</f>
        <v>0</v>
      </c>
      <c r="L397" s="35" t="str">
        <f>IFERROR(__xludf.DUMMYFUNCTION("""COMPUTED_VALUE"""),"Math;Dynamic Programming;")</f>
        <v>Math;Dynamic Programming;</v>
      </c>
      <c r="M397" s="35" t="b">
        <f>IFERROR(__xludf.DUMMYFUNCTION("""COMPUTED_VALUE"""),FALSE)</f>
        <v>0</v>
      </c>
      <c r="N397" s="35" t="b">
        <f>IFERROR(__xludf.DUMMYFUNCTION("""COMPUTED_VALUE"""),FALSE)</f>
        <v>0</v>
      </c>
      <c r="O397" s="35">
        <f>IFERROR(__xludf.DUMMYFUNCTION("""COMPUTED_VALUE"""),38.9495095305272)</f>
        <v>38.94950953</v>
      </c>
      <c r="P397" s="35">
        <f>IFERROR(__xludf.DUMMYFUNCTION("""COMPUTED_VALUE"""),59360.0)</f>
        <v>59360</v>
      </c>
      <c r="Q397" s="35">
        <f>IFERROR(__xludf.DUMMYFUNCTION("""COMPUTED_VALUE"""),152404.0)</f>
        <v>152404</v>
      </c>
    </row>
    <row r="398">
      <c r="A398" s="35">
        <f>IFERROR(__xludf.DUMMYFUNCTION("""COMPUTED_VALUE"""),397.0)</f>
        <v>397</v>
      </c>
      <c r="B398" s="35" t="str">
        <f>IFERROR(__xludf.DUMMYFUNCTION("""COMPUTED_VALUE"""),"Integer Replacement")</f>
        <v>Integer Replacement</v>
      </c>
      <c r="C398" s="35" t="str">
        <f>IFERROR(__xludf.DUMMYFUNCTION("""COMPUTED_VALUE"""),"integer-replacement")</f>
        <v>integer-replacement</v>
      </c>
      <c r="D398" s="35" t="b">
        <f>IFERROR(__xludf.DUMMYFUNCTION("""COMPUTED_VALUE"""),FALSE)</f>
        <v>0</v>
      </c>
      <c r="E398" s="35" t="str">
        <f>IFERROR(__xludf.DUMMYFUNCTION("""COMPUTED_VALUE"""),"Medium")</f>
        <v>Medium</v>
      </c>
      <c r="F398" s="35">
        <f>IFERROR(__xludf.DUMMYFUNCTION("""COMPUTED_VALUE"""),777.0)</f>
        <v>777</v>
      </c>
      <c r="G398" s="35">
        <f>IFERROR(__xludf.DUMMYFUNCTION("""COMPUTED_VALUE"""),415.0)</f>
        <v>415</v>
      </c>
      <c r="H398" s="35" t="str">
        <f>IFERROR(__xludf.DUMMYFUNCTION("""COMPUTED_VALUE"""),"Algorithms")</f>
        <v>Algorithms</v>
      </c>
      <c r="I398" s="35">
        <f>IFERROR(__xludf.DUMMYFUNCTION("""COMPUTED_VALUE"""),0.346)</f>
        <v>0.346</v>
      </c>
      <c r="J398" s="35">
        <f>IFERROR(__xludf.DUMMYFUNCTION("""COMPUTED_VALUE"""),397.0)</f>
        <v>397</v>
      </c>
      <c r="K398" s="35" t="b">
        <f>IFERROR(__xludf.DUMMYFUNCTION("""COMPUTED_VALUE"""),FALSE)</f>
        <v>0</v>
      </c>
      <c r="L398" s="35" t="str">
        <f>IFERROR(__xludf.DUMMYFUNCTION("""COMPUTED_VALUE"""),"Dynamic Programming;Greedy;Bit Manipulation;Memoization;")</f>
        <v>Dynamic Programming;Greedy;Bit Manipulation;Memoization;</v>
      </c>
      <c r="M398" s="35" t="b">
        <f>IFERROR(__xludf.DUMMYFUNCTION("""COMPUTED_VALUE"""),FALSE)</f>
        <v>0</v>
      </c>
      <c r="N398" s="35" t="b">
        <f>IFERROR(__xludf.DUMMYFUNCTION("""COMPUTED_VALUE"""),FALSE)</f>
        <v>0</v>
      </c>
      <c r="O398" s="35">
        <f>IFERROR(__xludf.DUMMYFUNCTION("""COMPUTED_VALUE"""),34.587966548949)</f>
        <v>34.58796655</v>
      </c>
      <c r="P398" s="35">
        <f>IFERROR(__xludf.DUMMYFUNCTION("""COMPUTED_VALUE"""),79038.0)</f>
        <v>79038</v>
      </c>
      <c r="Q398" s="35">
        <f>IFERROR(__xludf.DUMMYFUNCTION("""COMPUTED_VALUE"""),228513.0)</f>
        <v>228513</v>
      </c>
    </row>
    <row r="399">
      <c r="A399" s="35">
        <f>IFERROR(__xludf.DUMMYFUNCTION("""COMPUTED_VALUE"""),398.0)</f>
        <v>398</v>
      </c>
      <c r="B399" s="35" t="str">
        <f>IFERROR(__xludf.DUMMYFUNCTION("""COMPUTED_VALUE"""),"Random Pick Index")</f>
        <v>Random Pick Index</v>
      </c>
      <c r="C399" s="35" t="str">
        <f>IFERROR(__xludf.DUMMYFUNCTION("""COMPUTED_VALUE"""),"random-pick-index")</f>
        <v>random-pick-index</v>
      </c>
      <c r="D399" s="35" t="b">
        <f>IFERROR(__xludf.DUMMYFUNCTION("""COMPUTED_VALUE"""),FALSE)</f>
        <v>0</v>
      </c>
      <c r="E399" s="35" t="str">
        <f>IFERROR(__xludf.DUMMYFUNCTION("""COMPUTED_VALUE"""),"Medium")</f>
        <v>Medium</v>
      </c>
      <c r="F399" s="35">
        <f>IFERROR(__xludf.DUMMYFUNCTION("""COMPUTED_VALUE"""),927.0)</f>
        <v>927</v>
      </c>
      <c r="G399" s="35">
        <f>IFERROR(__xludf.DUMMYFUNCTION("""COMPUTED_VALUE"""),1003.0)</f>
        <v>1003</v>
      </c>
      <c r="H399" s="35" t="str">
        <f>IFERROR(__xludf.DUMMYFUNCTION("""COMPUTED_VALUE"""),"Algorithms")</f>
        <v>Algorithms</v>
      </c>
      <c r="I399" s="35">
        <f>IFERROR(__xludf.DUMMYFUNCTION("""COMPUTED_VALUE"""),0.632)</f>
        <v>0.632</v>
      </c>
      <c r="J399" s="35">
        <f>IFERROR(__xludf.DUMMYFUNCTION("""COMPUTED_VALUE"""),398.0)</f>
        <v>398</v>
      </c>
      <c r="K399" s="35" t="b">
        <f>IFERROR(__xludf.DUMMYFUNCTION("""COMPUTED_VALUE"""),FALSE)</f>
        <v>0</v>
      </c>
      <c r="L399" s="35" t="str">
        <f>IFERROR(__xludf.DUMMYFUNCTION("""COMPUTED_VALUE"""),"Hash Table;Math;Reservoir Sampling;Randomized;")</f>
        <v>Hash Table;Math;Reservoir Sampling;Randomized;</v>
      </c>
      <c r="M399" s="35" t="b">
        <f>IFERROR(__xludf.DUMMYFUNCTION("""COMPUTED_VALUE"""),TRUE)</f>
        <v>1</v>
      </c>
      <c r="N399" s="35" t="b">
        <f>IFERROR(__xludf.DUMMYFUNCTION("""COMPUTED_VALUE"""),FALSE)</f>
        <v>0</v>
      </c>
      <c r="O399" s="35">
        <f>IFERROR(__xludf.DUMMYFUNCTION("""COMPUTED_VALUE"""),63.229752798852)</f>
        <v>63.2297528</v>
      </c>
      <c r="P399" s="35">
        <f>IFERROR(__xludf.DUMMYFUNCTION("""COMPUTED_VALUE"""),162596.0)</f>
        <v>162596</v>
      </c>
      <c r="Q399" s="35">
        <f>IFERROR(__xludf.DUMMYFUNCTION("""COMPUTED_VALUE"""),257152.0)</f>
        <v>257152</v>
      </c>
    </row>
    <row r="400">
      <c r="A400" s="35">
        <f>IFERROR(__xludf.DUMMYFUNCTION("""COMPUTED_VALUE"""),399.0)</f>
        <v>399</v>
      </c>
      <c r="B400" s="35" t="str">
        <f>IFERROR(__xludf.DUMMYFUNCTION("""COMPUTED_VALUE"""),"Evaluate Division")</f>
        <v>Evaluate Division</v>
      </c>
      <c r="C400" s="35" t="str">
        <f>IFERROR(__xludf.DUMMYFUNCTION("""COMPUTED_VALUE"""),"evaluate-division")</f>
        <v>evaluate-division</v>
      </c>
      <c r="D400" s="35" t="b">
        <f>IFERROR(__xludf.DUMMYFUNCTION("""COMPUTED_VALUE"""),FALSE)</f>
        <v>0</v>
      </c>
      <c r="E400" s="35" t="str">
        <f>IFERROR(__xludf.DUMMYFUNCTION("""COMPUTED_VALUE"""),"Medium")</f>
        <v>Medium</v>
      </c>
      <c r="F400" s="35">
        <f>IFERROR(__xludf.DUMMYFUNCTION("""COMPUTED_VALUE"""),4743.0)</f>
        <v>4743</v>
      </c>
      <c r="G400" s="35">
        <f>IFERROR(__xludf.DUMMYFUNCTION("""COMPUTED_VALUE"""),398.0)</f>
        <v>398</v>
      </c>
      <c r="H400" s="35" t="str">
        <f>IFERROR(__xludf.DUMMYFUNCTION("""COMPUTED_VALUE"""),"Algorithms")</f>
        <v>Algorithms</v>
      </c>
      <c r="I400" s="35">
        <f>IFERROR(__xludf.DUMMYFUNCTION("""COMPUTED_VALUE"""),0.568)</f>
        <v>0.568</v>
      </c>
      <c r="J400" s="35">
        <f>IFERROR(__xludf.DUMMYFUNCTION("""COMPUTED_VALUE"""),399.0)</f>
        <v>399</v>
      </c>
      <c r="K400" s="35" t="b">
        <f>IFERROR(__xludf.DUMMYFUNCTION("""COMPUTED_VALUE"""),FALSE)</f>
        <v>0</v>
      </c>
      <c r="L400" s="35" t="str">
        <f>IFERROR(__xludf.DUMMYFUNCTION("""COMPUTED_VALUE"""),"Array;Depth-First Search;Breadth-First Search;Union Find;Graph;Shortest Path;")</f>
        <v>Array;Depth-First Search;Breadth-First Search;Union Find;Graph;Shortest Path;</v>
      </c>
      <c r="M400" s="35" t="b">
        <f>IFERROR(__xludf.DUMMYFUNCTION("""COMPUTED_VALUE"""),TRUE)</f>
        <v>1</v>
      </c>
      <c r="N400" s="35" t="b">
        <f>IFERROR(__xludf.DUMMYFUNCTION("""COMPUTED_VALUE"""),FALSE)</f>
        <v>0</v>
      </c>
      <c r="O400" s="35">
        <f>IFERROR(__xludf.DUMMYFUNCTION("""COMPUTED_VALUE"""),56.808074181303)</f>
        <v>56.80807418</v>
      </c>
      <c r="P400" s="35">
        <f>IFERROR(__xludf.DUMMYFUNCTION("""COMPUTED_VALUE"""),238990.0)</f>
        <v>238990</v>
      </c>
      <c r="Q400" s="35">
        <f>IFERROR(__xludf.DUMMYFUNCTION("""COMPUTED_VALUE"""),420698.0)</f>
        <v>420698</v>
      </c>
    </row>
    <row r="401">
      <c r="A401" s="35">
        <f>IFERROR(__xludf.DUMMYFUNCTION("""COMPUTED_VALUE"""),400.0)</f>
        <v>400</v>
      </c>
      <c r="B401" s="35" t="str">
        <f>IFERROR(__xludf.DUMMYFUNCTION("""COMPUTED_VALUE"""),"Nth Digit")</f>
        <v>Nth Digit</v>
      </c>
      <c r="C401" s="35" t="str">
        <f>IFERROR(__xludf.DUMMYFUNCTION("""COMPUTED_VALUE"""),"nth-digit")</f>
        <v>nth-digit</v>
      </c>
      <c r="D401" s="35" t="b">
        <f>IFERROR(__xludf.DUMMYFUNCTION("""COMPUTED_VALUE"""),FALSE)</f>
        <v>0</v>
      </c>
      <c r="E401" s="35" t="str">
        <f>IFERROR(__xludf.DUMMYFUNCTION("""COMPUTED_VALUE"""),"Medium")</f>
        <v>Medium</v>
      </c>
      <c r="F401" s="35">
        <f>IFERROR(__xludf.DUMMYFUNCTION("""COMPUTED_VALUE"""),638.0)</f>
        <v>638</v>
      </c>
      <c r="G401" s="35">
        <f>IFERROR(__xludf.DUMMYFUNCTION("""COMPUTED_VALUE"""),1463.0)</f>
        <v>1463</v>
      </c>
      <c r="H401" s="35" t="str">
        <f>IFERROR(__xludf.DUMMYFUNCTION("""COMPUTED_VALUE"""),"Algorithms")</f>
        <v>Algorithms</v>
      </c>
      <c r="I401" s="35">
        <f>IFERROR(__xludf.DUMMYFUNCTION("""COMPUTED_VALUE"""),0.334)</f>
        <v>0.334</v>
      </c>
      <c r="J401" s="35">
        <f>IFERROR(__xludf.DUMMYFUNCTION("""COMPUTED_VALUE"""),400.0)</f>
        <v>400</v>
      </c>
      <c r="K401" s="35" t="b">
        <f>IFERROR(__xludf.DUMMYFUNCTION("""COMPUTED_VALUE"""),FALSE)</f>
        <v>0</v>
      </c>
      <c r="L401" s="35" t="str">
        <f>IFERROR(__xludf.DUMMYFUNCTION("""COMPUTED_VALUE"""),"Math;Binary Search;")</f>
        <v>Math;Binary Search;</v>
      </c>
      <c r="M401" s="35" t="b">
        <f>IFERROR(__xludf.DUMMYFUNCTION("""COMPUTED_VALUE"""),FALSE)</f>
        <v>0</v>
      </c>
      <c r="N401" s="35" t="b">
        <f>IFERROR(__xludf.DUMMYFUNCTION("""COMPUTED_VALUE"""),FALSE)</f>
        <v>0</v>
      </c>
      <c r="O401" s="35">
        <f>IFERROR(__xludf.DUMMYFUNCTION("""COMPUTED_VALUE"""),33.4057474579938)</f>
        <v>33.40574746</v>
      </c>
      <c r="P401" s="35">
        <f>IFERROR(__xludf.DUMMYFUNCTION("""COMPUTED_VALUE"""),74117.0)</f>
        <v>74117</v>
      </c>
      <c r="Q401" s="35">
        <f>IFERROR(__xludf.DUMMYFUNCTION("""COMPUTED_VALUE"""),221871.0)</f>
        <v>221871</v>
      </c>
    </row>
    <row r="402">
      <c r="A402" s="35">
        <f>IFERROR(__xludf.DUMMYFUNCTION("""COMPUTED_VALUE"""),401.0)</f>
        <v>401</v>
      </c>
      <c r="B402" s="35" t="str">
        <f>IFERROR(__xludf.DUMMYFUNCTION("""COMPUTED_VALUE"""),"Binary Watch")</f>
        <v>Binary Watch</v>
      </c>
      <c r="C402" s="35" t="str">
        <f>IFERROR(__xludf.DUMMYFUNCTION("""COMPUTED_VALUE"""),"binary-watch")</f>
        <v>binary-watch</v>
      </c>
      <c r="D402" s="35" t="b">
        <f>IFERROR(__xludf.DUMMYFUNCTION("""COMPUTED_VALUE"""),FALSE)</f>
        <v>0</v>
      </c>
      <c r="E402" s="35" t="str">
        <f>IFERROR(__xludf.DUMMYFUNCTION("""COMPUTED_VALUE"""),"Easy")</f>
        <v>Easy</v>
      </c>
      <c r="F402" s="35">
        <f>IFERROR(__xludf.DUMMYFUNCTION("""COMPUTED_VALUE"""),907.0)</f>
        <v>907</v>
      </c>
      <c r="G402" s="35">
        <f>IFERROR(__xludf.DUMMYFUNCTION("""COMPUTED_VALUE"""),1707.0)</f>
        <v>1707</v>
      </c>
      <c r="H402" s="35" t="str">
        <f>IFERROR(__xludf.DUMMYFUNCTION("""COMPUTED_VALUE"""),"Algorithms")</f>
        <v>Algorithms</v>
      </c>
      <c r="I402" s="35">
        <f>IFERROR(__xludf.DUMMYFUNCTION("""COMPUTED_VALUE"""),0.503)</f>
        <v>0.503</v>
      </c>
      <c r="J402" s="35">
        <f>IFERROR(__xludf.DUMMYFUNCTION("""COMPUTED_VALUE"""),401.0)</f>
        <v>401</v>
      </c>
      <c r="K402" s="35" t="b">
        <f>IFERROR(__xludf.DUMMYFUNCTION("""COMPUTED_VALUE"""),FALSE)</f>
        <v>0</v>
      </c>
      <c r="L402" s="35" t="str">
        <f>IFERROR(__xludf.DUMMYFUNCTION("""COMPUTED_VALUE"""),"Backtracking;Bit Manipulation;")</f>
        <v>Backtracking;Bit Manipulation;</v>
      </c>
      <c r="M402" s="35" t="b">
        <f>IFERROR(__xludf.DUMMYFUNCTION("""COMPUTED_VALUE"""),FALSE)</f>
        <v>0</v>
      </c>
      <c r="N402" s="35" t="b">
        <f>IFERROR(__xludf.DUMMYFUNCTION("""COMPUTED_VALUE"""),FALSE)</f>
        <v>0</v>
      </c>
      <c r="O402" s="35">
        <f>IFERROR(__xludf.DUMMYFUNCTION("""COMPUTED_VALUE"""),50.2700227977725)</f>
        <v>50.2700228</v>
      </c>
      <c r="P402" s="35">
        <f>IFERROR(__xludf.DUMMYFUNCTION("""COMPUTED_VALUE"""),107606.0)</f>
        <v>107606</v>
      </c>
      <c r="Q402" s="35">
        <f>IFERROR(__xludf.DUMMYFUNCTION("""COMPUTED_VALUE"""),214056.0)</f>
        <v>214056</v>
      </c>
    </row>
    <row r="403">
      <c r="A403" s="35">
        <f>IFERROR(__xludf.DUMMYFUNCTION("""COMPUTED_VALUE"""),402.0)</f>
        <v>402</v>
      </c>
      <c r="B403" s="35" t="str">
        <f>IFERROR(__xludf.DUMMYFUNCTION("""COMPUTED_VALUE"""),"Remove K Digits")</f>
        <v>Remove K Digits</v>
      </c>
      <c r="C403" s="35" t="str">
        <f>IFERROR(__xludf.DUMMYFUNCTION("""COMPUTED_VALUE"""),"remove-k-digits")</f>
        <v>remove-k-digits</v>
      </c>
      <c r="D403" s="35" t="b">
        <f>IFERROR(__xludf.DUMMYFUNCTION("""COMPUTED_VALUE"""),FALSE)</f>
        <v>0</v>
      </c>
      <c r="E403" s="35" t="str">
        <f>IFERROR(__xludf.DUMMYFUNCTION("""COMPUTED_VALUE"""),"Medium")</f>
        <v>Medium</v>
      </c>
      <c r="F403" s="35">
        <f>IFERROR(__xludf.DUMMYFUNCTION("""COMPUTED_VALUE"""),5830.0)</f>
        <v>5830</v>
      </c>
      <c r="G403" s="35">
        <f>IFERROR(__xludf.DUMMYFUNCTION("""COMPUTED_VALUE"""),243.0)</f>
        <v>243</v>
      </c>
      <c r="H403" s="35" t="str">
        <f>IFERROR(__xludf.DUMMYFUNCTION("""COMPUTED_VALUE"""),"Algorithms")</f>
        <v>Algorithms</v>
      </c>
      <c r="I403" s="35">
        <f>IFERROR(__xludf.DUMMYFUNCTION("""COMPUTED_VALUE"""),0.305)</f>
        <v>0.305</v>
      </c>
      <c r="J403" s="35">
        <f>IFERROR(__xludf.DUMMYFUNCTION("""COMPUTED_VALUE"""),402.0)</f>
        <v>402</v>
      </c>
      <c r="K403" s="35" t="b">
        <f>IFERROR(__xludf.DUMMYFUNCTION("""COMPUTED_VALUE"""),FALSE)</f>
        <v>0</v>
      </c>
      <c r="L403" s="35" t="str">
        <f>IFERROR(__xludf.DUMMYFUNCTION("""COMPUTED_VALUE"""),"String;Stack;Greedy;Monotonic Stack;")</f>
        <v>String;Stack;Greedy;Monotonic Stack;</v>
      </c>
      <c r="M403" s="35" t="b">
        <f>IFERROR(__xludf.DUMMYFUNCTION("""COMPUTED_VALUE"""),TRUE)</f>
        <v>1</v>
      </c>
      <c r="N403" s="35" t="b">
        <f>IFERROR(__xludf.DUMMYFUNCTION("""COMPUTED_VALUE"""),FALSE)</f>
        <v>0</v>
      </c>
      <c r="O403" s="35">
        <f>IFERROR(__xludf.DUMMYFUNCTION("""COMPUTED_VALUE"""),30.4724880023183)</f>
        <v>30.472488</v>
      </c>
      <c r="P403" s="35">
        <f>IFERROR(__xludf.DUMMYFUNCTION("""COMPUTED_VALUE"""),253412.0)</f>
        <v>253412</v>
      </c>
      <c r="Q403" s="35">
        <f>IFERROR(__xludf.DUMMYFUNCTION("""COMPUTED_VALUE"""),831595.0)</f>
        <v>831595</v>
      </c>
    </row>
    <row r="404">
      <c r="A404" s="35">
        <f>IFERROR(__xludf.DUMMYFUNCTION("""COMPUTED_VALUE"""),403.0)</f>
        <v>403</v>
      </c>
      <c r="B404" s="35" t="str">
        <f>IFERROR(__xludf.DUMMYFUNCTION("""COMPUTED_VALUE"""),"Frog Jump")</f>
        <v>Frog Jump</v>
      </c>
      <c r="C404" s="35" t="str">
        <f>IFERROR(__xludf.DUMMYFUNCTION("""COMPUTED_VALUE"""),"frog-jump")</f>
        <v>frog-jump</v>
      </c>
      <c r="D404" s="35" t="b">
        <f>IFERROR(__xludf.DUMMYFUNCTION("""COMPUTED_VALUE"""),FALSE)</f>
        <v>0</v>
      </c>
      <c r="E404" s="35" t="str">
        <f>IFERROR(__xludf.DUMMYFUNCTION("""COMPUTED_VALUE"""),"Hard")</f>
        <v>Hard</v>
      </c>
      <c r="F404" s="35">
        <f>IFERROR(__xludf.DUMMYFUNCTION("""COMPUTED_VALUE"""),2333.0)</f>
        <v>2333</v>
      </c>
      <c r="G404" s="35">
        <f>IFERROR(__xludf.DUMMYFUNCTION("""COMPUTED_VALUE"""),158.0)</f>
        <v>158</v>
      </c>
      <c r="H404" s="35" t="str">
        <f>IFERROR(__xludf.DUMMYFUNCTION("""COMPUTED_VALUE"""),"Algorithms")</f>
        <v>Algorithms</v>
      </c>
      <c r="I404" s="35">
        <f>IFERROR(__xludf.DUMMYFUNCTION("""COMPUTED_VALUE"""),0.428)</f>
        <v>0.428</v>
      </c>
      <c r="J404" s="35">
        <f>IFERROR(__xludf.DUMMYFUNCTION("""COMPUTED_VALUE"""),403.0)</f>
        <v>403</v>
      </c>
      <c r="K404" s="35" t="b">
        <f>IFERROR(__xludf.DUMMYFUNCTION("""COMPUTED_VALUE"""),FALSE)</f>
        <v>0</v>
      </c>
      <c r="L404" s="35" t="str">
        <f>IFERROR(__xludf.DUMMYFUNCTION("""COMPUTED_VALUE"""),"Array;Dynamic Programming;")</f>
        <v>Array;Dynamic Programming;</v>
      </c>
      <c r="M404" s="35" t="b">
        <f>IFERROR(__xludf.DUMMYFUNCTION("""COMPUTED_VALUE"""),TRUE)</f>
        <v>1</v>
      </c>
      <c r="N404" s="35" t="b">
        <f>IFERROR(__xludf.DUMMYFUNCTION("""COMPUTED_VALUE"""),FALSE)</f>
        <v>0</v>
      </c>
      <c r="O404" s="35">
        <f>IFERROR(__xludf.DUMMYFUNCTION("""COMPUTED_VALUE"""),42.8110171299419)</f>
        <v>42.81101713</v>
      </c>
      <c r="P404" s="35">
        <f>IFERROR(__xludf.DUMMYFUNCTION("""COMPUTED_VALUE"""),148502.0)</f>
        <v>148502</v>
      </c>
      <c r="Q404" s="35">
        <f>IFERROR(__xludf.DUMMYFUNCTION("""COMPUTED_VALUE"""),346878.0)</f>
        <v>346878</v>
      </c>
    </row>
    <row r="405">
      <c r="A405" s="35">
        <f>IFERROR(__xludf.DUMMYFUNCTION("""COMPUTED_VALUE"""),404.0)</f>
        <v>404</v>
      </c>
      <c r="B405" s="35" t="str">
        <f>IFERROR(__xludf.DUMMYFUNCTION("""COMPUTED_VALUE"""),"Sum of Left Leaves")</f>
        <v>Sum of Left Leaves</v>
      </c>
      <c r="C405" s="35" t="str">
        <f>IFERROR(__xludf.DUMMYFUNCTION("""COMPUTED_VALUE"""),"sum-of-left-leaves")</f>
        <v>sum-of-left-leaves</v>
      </c>
      <c r="D405" s="35" t="b">
        <f>IFERROR(__xludf.DUMMYFUNCTION("""COMPUTED_VALUE"""),FALSE)</f>
        <v>0</v>
      </c>
      <c r="E405" s="35" t="str">
        <f>IFERROR(__xludf.DUMMYFUNCTION("""COMPUTED_VALUE"""),"Easy")</f>
        <v>Easy</v>
      </c>
      <c r="F405" s="35">
        <f>IFERROR(__xludf.DUMMYFUNCTION("""COMPUTED_VALUE"""),3108.0)</f>
        <v>3108</v>
      </c>
      <c r="G405" s="35">
        <f>IFERROR(__xludf.DUMMYFUNCTION("""COMPUTED_VALUE"""),240.0)</f>
        <v>240</v>
      </c>
      <c r="H405" s="35" t="str">
        <f>IFERROR(__xludf.DUMMYFUNCTION("""COMPUTED_VALUE"""),"Algorithms")</f>
        <v>Algorithms</v>
      </c>
      <c r="I405" s="35">
        <f>IFERROR(__xludf.DUMMYFUNCTION("""COMPUTED_VALUE"""),0.547)</f>
        <v>0.547</v>
      </c>
      <c r="J405" s="35">
        <f>IFERROR(__xludf.DUMMYFUNCTION("""COMPUTED_VALUE"""),404.0)</f>
        <v>404</v>
      </c>
      <c r="K405" s="35" t="b">
        <f>IFERROR(__xludf.DUMMYFUNCTION("""COMPUTED_VALUE"""),FALSE)</f>
        <v>0</v>
      </c>
      <c r="L405" s="35" t="str">
        <f>IFERROR(__xludf.DUMMYFUNCTION("""COMPUTED_VALUE"""),"Tree;Depth-First Search;Breadth-First Search;Binary Tree;")</f>
        <v>Tree;Depth-First Search;Breadth-First Search;Binary Tree;</v>
      </c>
      <c r="M405" s="35" t="b">
        <f>IFERROR(__xludf.DUMMYFUNCTION("""COMPUTED_VALUE"""),TRUE)</f>
        <v>1</v>
      </c>
      <c r="N405" s="35" t="b">
        <f>IFERROR(__xludf.DUMMYFUNCTION("""COMPUTED_VALUE"""),FALSE)</f>
        <v>0</v>
      </c>
      <c r="O405" s="35">
        <f>IFERROR(__xludf.DUMMYFUNCTION("""COMPUTED_VALUE"""),54.7340200134214)</f>
        <v>54.73402001</v>
      </c>
      <c r="P405" s="35">
        <f>IFERROR(__xludf.DUMMYFUNCTION("""COMPUTED_VALUE"""),331957.0)</f>
        <v>331957</v>
      </c>
      <c r="Q405" s="35">
        <f>IFERROR(__xludf.DUMMYFUNCTION("""COMPUTED_VALUE"""),606491.0)</f>
        <v>606491</v>
      </c>
    </row>
    <row r="406">
      <c r="A406" s="35">
        <f>IFERROR(__xludf.DUMMYFUNCTION("""COMPUTED_VALUE"""),405.0)</f>
        <v>405</v>
      </c>
      <c r="B406" s="35" t="str">
        <f>IFERROR(__xludf.DUMMYFUNCTION("""COMPUTED_VALUE"""),"Convert a Number to Hexadecimal")</f>
        <v>Convert a Number to Hexadecimal</v>
      </c>
      <c r="C406" s="35" t="str">
        <f>IFERROR(__xludf.DUMMYFUNCTION("""COMPUTED_VALUE"""),"convert-a-number-to-hexadecimal")</f>
        <v>convert-a-number-to-hexadecimal</v>
      </c>
      <c r="D406" s="35" t="b">
        <f>IFERROR(__xludf.DUMMYFUNCTION("""COMPUTED_VALUE"""),FALSE)</f>
        <v>0</v>
      </c>
      <c r="E406" s="35" t="str">
        <f>IFERROR(__xludf.DUMMYFUNCTION("""COMPUTED_VALUE"""),"Easy")</f>
        <v>Easy</v>
      </c>
      <c r="F406" s="35">
        <f>IFERROR(__xludf.DUMMYFUNCTION("""COMPUTED_VALUE"""),836.0)</f>
        <v>836</v>
      </c>
      <c r="G406" s="35">
        <f>IFERROR(__xludf.DUMMYFUNCTION("""COMPUTED_VALUE"""),164.0)</f>
        <v>164</v>
      </c>
      <c r="H406" s="35" t="str">
        <f>IFERROR(__xludf.DUMMYFUNCTION("""COMPUTED_VALUE"""),"Algorithms")</f>
        <v>Algorithms</v>
      </c>
      <c r="I406" s="35">
        <f>IFERROR(__xludf.DUMMYFUNCTION("""COMPUTED_VALUE"""),0.457)</f>
        <v>0.457</v>
      </c>
      <c r="J406" s="35">
        <f>IFERROR(__xludf.DUMMYFUNCTION("""COMPUTED_VALUE"""),405.0)</f>
        <v>405</v>
      </c>
      <c r="K406" s="35" t="b">
        <f>IFERROR(__xludf.DUMMYFUNCTION("""COMPUTED_VALUE"""),FALSE)</f>
        <v>0</v>
      </c>
      <c r="L406" s="35" t="str">
        <f>IFERROR(__xludf.DUMMYFUNCTION("""COMPUTED_VALUE"""),"Math;Bit Manipulation;")</f>
        <v>Math;Bit Manipulation;</v>
      </c>
      <c r="M406" s="35" t="b">
        <f>IFERROR(__xludf.DUMMYFUNCTION("""COMPUTED_VALUE"""),FALSE)</f>
        <v>0</v>
      </c>
      <c r="N406" s="35" t="b">
        <f>IFERROR(__xludf.DUMMYFUNCTION("""COMPUTED_VALUE"""),FALSE)</f>
        <v>0</v>
      </c>
      <c r="O406" s="35">
        <f>IFERROR(__xludf.DUMMYFUNCTION("""COMPUTED_VALUE"""),45.6547874624302)</f>
        <v>45.65478746</v>
      </c>
      <c r="P406" s="35">
        <f>IFERROR(__xludf.DUMMYFUNCTION("""COMPUTED_VALUE"""),95695.0)</f>
        <v>95695</v>
      </c>
      <c r="Q406" s="35">
        <f>IFERROR(__xludf.DUMMYFUNCTION("""COMPUTED_VALUE"""),209607.0)</f>
        <v>209607</v>
      </c>
    </row>
    <row r="407">
      <c r="A407" s="35">
        <f>IFERROR(__xludf.DUMMYFUNCTION("""COMPUTED_VALUE"""),406.0)</f>
        <v>406</v>
      </c>
      <c r="B407" s="35" t="str">
        <f>IFERROR(__xludf.DUMMYFUNCTION("""COMPUTED_VALUE"""),"Queue Reconstruction by Height")</f>
        <v>Queue Reconstruction by Height</v>
      </c>
      <c r="C407" s="35" t="str">
        <f>IFERROR(__xludf.DUMMYFUNCTION("""COMPUTED_VALUE"""),"queue-reconstruction-by-height")</f>
        <v>queue-reconstruction-by-height</v>
      </c>
      <c r="D407" s="35" t="b">
        <f>IFERROR(__xludf.DUMMYFUNCTION("""COMPUTED_VALUE"""),FALSE)</f>
        <v>0</v>
      </c>
      <c r="E407" s="35" t="str">
        <f>IFERROR(__xludf.DUMMYFUNCTION("""COMPUTED_VALUE"""),"Medium")</f>
        <v>Medium</v>
      </c>
      <c r="F407" s="35">
        <f>IFERROR(__xludf.DUMMYFUNCTION("""COMPUTED_VALUE"""),4726.0)</f>
        <v>4726</v>
      </c>
      <c r="G407" s="35">
        <f>IFERROR(__xludf.DUMMYFUNCTION("""COMPUTED_VALUE"""),508.0)</f>
        <v>508</v>
      </c>
      <c r="H407" s="35" t="str">
        <f>IFERROR(__xludf.DUMMYFUNCTION("""COMPUTED_VALUE"""),"Algorithms")</f>
        <v>Algorithms</v>
      </c>
      <c r="I407" s="35">
        <f>IFERROR(__xludf.DUMMYFUNCTION("""COMPUTED_VALUE"""),0.699)</f>
        <v>0.699</v>
      </c>
      <c r="J407" s="35">
        <f>IFERROR(__xludf.DUMMYFUNCTION("""COMPUTED_VALUE"""),406.0)</f>
        <v>406</v>
      </c>
      <c r="K407" s="35" t="b">
        <f>IFERROR(__xludf.DUMMYFUNCTION("""COMPUTED_VALUE"""),FALSE)</f>
        <v>0</v>
      </c>
      <c r="L407" s="35" t="str">
        <f>IFERROR(__xludf.DUMMYFUNCTION("""COMPUTED_VALUE"""),"Array;Greedy;Sorting;")</f>
        <v>Array;Greedy;Sorting;</v>
      </c>
      <c r="M407" s="35" t="b">
        <f>IFERROR(__xludf.DUMMYFUNCTION("""COMPUTED_VALUE"""),TRUE)</f>
        <v>1</v>
      </c>
      <c r="N407" s="35" t="b">
        <f>IFERROR(__xludf.DUMMYFUNCTION("""COMPUTED_VALUE"""),FALSE)</f>
        <v>0</v>
      </c>
      <c r="O407" s="35">
        <f>IFERROR(__xludf.DUMMYFUNCTION("""COMPUTED_VALUE"""),69.9315716094293)</f>
        <v>69.93157161</v>
      </c>
      <c r="P407" s="35">
        <f>IFERROR(__xludf.DUMMYFUNCTION("""COMPUTED_VALUE"""),218189.0)</f>
        <v>218189</v>
      </c>
      <c r="Q407" s="35">
        <f>IFERROR(__xludf.DUMMYFUNCTION("""COMPUTED_VALUE"""),312004.0)</f>
        <v>312004</v>
      </c>
    </row>
    <row r="408">
      <c r="A408" s="35">
        <f>IFERROR(__xludf.DUMMYFUNCTION("""COMPUTED_VALUE"""),407.0)</f>
        <v>407</v>
      </c>
      <c r="B408" s="35" t="str">
        <f>IFERROR(__xludf.DUMMYFUNCTION("""COMPUTED_VALUE"""),"Trapping Rain Water II")</f>
        <v>Trapping Rain Water II</v>
      </c>
      <c r="C408" s="35" t="str">
        <f>IFERROR(__xludf.DUMMYFUNCTION("""COMPUTED_VALUE"""),"trapping-rain-water-ii")</f>
        <v>trapping-rain-water-ii</v>
      </c>
      <c r="D408" s="35" t="b">
        <f>IFERROR(__xludf.DUMMYFUNCTION("""COMPUTED_VALUE"""),FALSE)</f>
        <v>0</v>
      </c>
      <c r="E408" s="35" t="str">
        <f>IFERROR(__xludf.DUMMYFUNCTION("""COMPUTED_VALUE"""),"Hard")</f>
        <v>Hard</v>
      </c>
      <c r="F408" s="35">
        <f>IFERROR(__xludf.DUMMYFUNCTION("""COMPUTED_VALUE"""),2576.0)</f>
        <v>2576</v>
      </c>
      <c r="G408" s="35">
        <f>IFERROR(__xludf.DUMMYFUNCTION("""COMPUTED_VALUE"""),57.0)</f>
        <v>57</v>
      </c>
      <c r="H408" s="35" t="str">
        <f>IFERROR(__xludf.DUMMYFUNCTION("""COMPUTED_VALUE"""),"Algorithms")</f>
        <v>Algorithms</v>
      </c>
      <c r="I408" s="35">
        <f>IFERROR(__xludf.DUMMYFUNCTION("""COMPUTED_VALUE"""),0.467)</f>
        <v>0.467</v>
      </c>
      <c r="J408" s="35">
        <f>IFERROR(__xludf.DUMMYFUNCTION("""COMPUTED_VALUE"""),407.0)</f>
        <v>407</v>
      </c>
      <c r="K408" s="35" t="b">
        <f>IFERROR(__xludf.DUMMYFUNCTION("""COMPUTED_VALUE"""),FALSE)</f>
        <v>0</v>
      </c>
      <c r="L408" s="35" t="str">
        <f>IFERROR(__xludf.DUMMYFUNCTION("""COMPUTED_VALUE"""),"Array;Breadth-First Search;Heap (Priority Queue);Matrix;")</f>
        <v>Array;Breadth-First Search;Heap (Priority Queue);Matrix;</v>
      </c>
      <c r="M408" s="35" t="b">
        <f>IFERROR(__xludf.DUMMYFUNCTION("""COMPUTED_VALUE"""),FALSE)</f>
        <v>0</v>
      </c>
      <c r="N408" s="35" t="b">
        <f>IFERROR(__xludf.DUMMYFUNCTION("""COMPUTED_VALUE"""),FALSE)</f>
        <v>0</v>
      </c>
      <c r="O408" s="35">
        <f>IFERROR(__xludf.DUMMYFUNCTION("""COMPUTED_VALUE"""),46.7459407764737)</f>
        <v>46.74594078</v>
      </c>
      <c r="P408" s="35">
        <f>IFERROR(__xludf.DUMMYFUNCTION("""COMPUTED_VALUE"""),66476.0)</f>
        <v>66476</v>
      </c>
      <c r="Q408" s="35">
        <f>IFERROR(__xludf.DUMMYFUNCTION("""COMPUTED_VALUE"""),142202.0)</f>
        <v>142202</v>
      </c>
    </row>
    <row r="409">
      <c r="A409" s="35">
        <f>IFERROR(__xludf.DUMMYFUNCTION("""COMPUTED_VALUE"""),408.0)</f>
        <v>408</v>
      </c>
      <c r="B409" s="35" t="str">
        <f>IFERROR(__xludf.DUMMYFUNCTION("""COMPUTED_VALUE"""),"Valid Word Abbreviation")</f>
        <v>Valid Word Abbreviation</v>
      </c>
      <c r="C409" s="35" t="str">
        <f>IFERROR(__xludf.DUMMYFUNCTION("""COMPUTED_VALUE"""),"valid-word-abbreviation")</f>
        <v>valid-word-abbreviation</v>
      </c>
      <c r="D409" s="35" t="b">
        <f>IFERROR(__xludf.DUMMYFUNCTION("""COMPUTED_VALUE"""),TRUE)</f>
        <v>1</v>
      </c>
      <c r="E409" s="35" t="str">
        <f>IFERROR(__xludf.DUMMYFUNCTION("""COMPUTED_VALUE"""),"Easy")</f>
        <v>Easy</v>
      </c>
      <c r="F409" s="35">
        <f>IFERROR(__xludf.DUMMYFUNCTION("""COMPUTED_VALUE"""),404.0)</f>
        <v>404</v>
      </c>
      <c r="G409" s="35">
        <f>IFERROR(__xludf.DUMMYFUNCTION("""COMPUTED_VALUE"""),1474.0)</f>
        <v>1474</v>
      </c>
      <c r="H409" s="35" t="str">
        <f>IFERROR(__xludf.DUMMYFUNCTION("""COMPUTED_VALUE"""),"Algorithms")</f>
        <v>Algorithms</v>
      </c>
      <c r="I409" s="35">
        <f>IFERROR(__xludf.DUMMYFUNCTION("""COMPUTED_VALUE"""),0.343)</f>
        <v>0.343</v>
      </c>
      <c r="J409" s="35">
        <f>IFERROR(__xludf.DUMMYFUNCTION("""COMPUTED_VALUE"""),408.0)</f>
        <v>408</v>
      </c>
      <c r="K409" s="35" t="b">
        <f>IFERROR(__xludf.DUMMYFUNCTION("""COMPUTED_VALUE"""),TRUE)</f>
        <v>1</v>
      </c>
      <c r="L409" s="35" t="str">
        <f>IFERROR(__xludf.DUMMYFUNCTION("""COMPUTED_VALUE"""),"Two Pointers;String;")</f>
        <v>Two Pointers;String;</v>
      </c>
      <c r="M409" s="35" t="b">
        <f>IFERROR(__xludf.DUMMYFUNCTION("""COMPUTED_VALUE"""),FALSE)</f>
        <v>0</v>
      </c>
      <c r="N409" s="35" t="b">
        <f>IFERROR(__xludf.DUMMYFUNCTION("""COMPUTED_VALUE"""),FALSE)</f>
        <v>0</v>
      </c>
      <c r="O409" s="35">
        <f>IFERROR(__xludf.DUMMYFUNCTION("""COMPUTED_VALUE"""),34.3323544653653)</f>
        <v>34.33235447</v>
      </c>
      <c r="P409" s="35">
        <f>IFERROR(__xludf.DUMMYFUNCTION("""COMPUTED_VALUE"""),83474.0)</f>
        <v>83474</v>
      </c>
      <c r="Q409" s="35">
        <f>IFERROR(__xludf.DUMMYFUNCTION("""COMPUTED_VALUE"""),243132.0)</f>
        <v>243132</v>
      </c>
    </row>
    <row r="410">
      <c r="A410" s="35">
        <f>IFERROR(__xludf.DUMMYFUNCTION("""COMPUTED_VALUE"""),409.0)</f>
        <v>409</v>
      </c>
      <c r="B410" s="35" t="str">
        <f>IFERROR(__xludf.DUMMYFUNCTION("""COMPUTED_VALUE"""),"Longest Palindrome")</f>
        <v>Longest Palindrome</v>
      </c>
      <c r="C410" s="35" t="str">
        <f>IFERROR(__xludf.DUMMYFUNCTION("""COMPUTED_VALUE"""),"longest-palindrome")</f>
        <v>longest-palindrome</v>
      </c>
      <c r="D410" s="35" t="b">
        <f>IFERROR(__xludf.DUMMYFUNCTION("""COMPUTED_VALUE"""),FALSE)</f>
        <v>0</v>
      </c>
      <c r="E410" s="35" t="str">
        <f>IFERROR(__xludf.DUMMYFUNCTION("""COMPUTED_VALUE"""),"Easy")</f>
        <v>Easy</v>
      </c>
      <c r="F410" s="35">
        <f>IFERROR(__xludf.DUMMYFUNCTION("""COMPUTED_VALUE"""),2479.0)</f>
        <v>2479</v>
      </c>
      <c r="G410" s="35">
        <f>IFERROR(__xludf.DUMMYFUNCTION("""COMPUTED_VALUE"""),146.0)</f>
        <v>146</v>
      </c>
      <c r="H410" s="35" t="str">
        <f>IFERROR(__xludf.DUMMYFUNCTION("""COMPUTED_VALUE"""),"Algorithms")</f>
        <v>Algorithms</v>
      </c>
      <c r="I410" s="35">
        <f>IFERROR(__xludf.DUMMYFUNCTION("""COMPUTED_VALUE"""),0.534)</f>
        <v>0.534</v>
      </c>
      <c r="J410" s="35">
        <f>IFERROR(__xludf.DUMMYFUNCTION("""COMPUTED_VALUE"""),409.0)</f>
        <v>409</v>
      </c>
      <c r="K410" s="35" t="b">
        <f>IFERROR(__xludf.DUMMYFUNCTION("""COMPUTED_VALUE"""),FALSE)</f>
        <v>0</v>
      </c>
      <c r="L410" s="35" t="str">
        <f>IFERROR(__xludf.DUMMYFUNCTION("""COMPUTED_VALUE"""),"Hash Table;String;Greedy;")</f>
        <v>Hash Table;String;Greedy;</v>
      </c>
      <c r="M410" s="35" t="b">
        <f>IFERROR(__xludf.DUMMYFUNCTION("""COMPUTED_VALUE"""),TRUE)</f>
        <v>1</v>
      </c>
      <c r="N410" s="35" t="b">
        <f>IFERROR(__xludf.DUMMYFUNCTION("""COMPUTED_VALUE"""),FALSE)</f>
        <v>0</v>
      </c>
      <c r="O410" s="35">
        <f>IFERROR(__xludf.DUMMYFUNCTION("""COMPUTED_VALUE"""),53.3618576846009)</f>
        <v>53.36185768</v>
      </c>
      <c r="P410" s="35">
        <f>IFERROR(__xludf.DUMMYFUNCTION("""COMPUTED_VALUE"""),257789.0)</f>
        <v>257789</v>
      </c>
      <c r="Q410" s="35">
        <f>IFERROR(__xludf.DUMMYFUNCTION("""COMPUTED_VALUE"""),483096.0)</f>
        <v>483096</v>
      </c>
    </row>
    <row r="411">
      <c r="A411" s="35">
        <f>IFERROR(__xludf.DUMMYFUNCTION("""COMPUTED_VALUE"""),410.0)</f>
        <v>410</v>
      </c>
      <c r="B411" s="35" t="str">
        <f>IFERROR(__xludf.DUMMYFUNCTION("""COMPUTED_VALUE"""),"Split Array Largest Sum")</f>
        <v>Split Array Largest Sum</v>
      </c>
      <c r="C411" s="35" t="str">
        <f>IFERROR(__xludf.DUMMYFUNCTION("""COMPUTED_VALUE"""),"split-array-largest-sum")</f>
        <v>split-array-largest-sum</v>
      </c>
      <c r="D411" s="35" t="b">
        <f>IFERROR(__xludf.DUMMYFUNCTION("""COMPUTED_VALUE"""),FALSE)</f>
        <v>0</v>
      </c>
      <c r="E411" s="35" t="str">
        <f>IFERROR(__xludf.DUMMYFUNCTION("""COMPUTED_VALUE"""),"Hard")</f>
        <v>Hard</v>
      </c>
      <c r="F411" s="35">
        <f>IFERROR(__xludf.DUMMYFUNCTION("""COMPUTED_VALUE"""),4474.0)</f>
        <v>4474</v>
      </c>
      <c r="G411" s="35">
        <f>IFERROR(__xludf.DUMMYFUNCTION("""COMPUTED_VALUE"""),128.0)</f>
        <v>128</v>
      </c>
      <c r="H411" s="35" t="str">
        <f>IFERROR(__xludf.DUMMYFUNCTION("""COMPUTED_VALUE"""),"Algorithms")</f>
        <v>Algorithms</v>
      </c>
      <c r="I411" s="35">
        <f>IFERROR(__xludf.DUMMYFUNCTION("""COMPUTED_VALUE"""),0.5)</f>
        <v>0.5</v>
      </c>
      <c r="J411" s="35">
        <f>IFERROR(__xludf.DUMMYFUNCTION("""COMPUTED_VALUE"""),410.0)</f>
        <v>410</v>
      </c>
      <c r="K411" s="35" t="b">
        <f>IFERROR(__xludf.DUMMYFUNCTION("""COMPUTED_VALUE"""),FALSE)</f>
        <v>0</v>
      </c>
      <c r="L411" s="35" t="str">
        <f>IFERROR(__xludf.DUMMYFUNCTION("""COMPUTED_VALUE"""),"Array;Binary Search;Dynamic Programming;Greedy;")</f>
        <v>Array;Binary Search;Dynamic Programming;Greedy;</v>
      </c>
      <c r="M411" s="35" t="b">
        <f>IFERROR(__xludf.DUMMYFUNCTION("""COMPUTED_VALUE"""),TRUE)</f>
        <v>1</v>
      </c>
      <c r="N411" s="35" t="b">
        <f>IFERROR(__xludf.DUMMYFUNCTION("""COMPUTED_VALUE"""),FALSE)</f>
        <v>0</v>
      </c>
      <c r="O411" s="35">
        <f>IFERROR(__xludf.DUMMYFUNCTION("""COMPUTED_VALUE"""),49.977613025149)</f>
        <v>49.97761303</v>
      </c>
      <c r="P411" s="35">
        <f>IFERROR(__xludf.DUMMYFUNCTION("""COMPUTED_VALUE"""),171893.0)</f>
        <v>171893</v>
      </c>
      <c r="Q411" s="35">
        <f>IFERROR(__xludf.DUMMYFUNCTION("""COMPUTED_VALUE"""),343940.0)</f>
        <v>343940</v>
      </c>
    </row>
    <row r="412">
      <c r="A412" s="35">
        <f>IFERROR(__xludf.DUMMYFUNCTION("""COMPUTED_VALUE"""),411.0)</f>
        <v>411</v>
      </c>
      <c r="B412" s="35" t="str">
        <f>IFERROR(__xludf.DUMMYFUNCTION("""COMPUTED_VALUE"""),"Minimum Unique Word Abbreviation")</f>
        <v>Minimum Unique Word Abbreviation</v>
      </c>
      <c r="C412" s="35" t="str">
        <f>IFERROR(__xludf.DUMMYFUNCTION("""COMPUTED_VALUE"""),"minimum-unique-word-abbreviation")</f>
        <v>minimum-unique-word-abbreviation</v>
      </c>
      <c r="D412" s="35" t="b">
        <f>IFERROR(__xludf.DUMMYFUNCTION("""COMPUTED_VALUE"""),TRUE)</f>
        <v>1</v>
      </c>
      <c r="E412" s="35" t="str">
        <f>IFERROR(__xludf.DUMMYFUNCTION("""COMPUTED_VALUE"""),"Hard")</f>
        <v>Hard</v>
      </c>
      <c r="F412" s="35">
        <f>IFERROR(__xludf.DUMMYFUNCTION("""COMPUTED_VALUE"""),163.0)</f>
        <v>163</v>
      </c>
      <c r="G412" s="35">
        <f>IFERROR(__xludf.DUMMYFUNCTION("""COMPUTED_VALUE"""),135.0)</f>
        <v>135</v>
      </c>
      <c r="H412" s="35" t="str">
        <f>IFERROR(__xludf.DUMMYFUNCTION("""COMPUTED_VALUE"""),"Algorithms")</f>
        <v>Algorithms</v>
      </c>
      <c r="I412" s="35">
        <f>IFERROR(__xludf.DUMMYFUNCTION("""COMPUTED_VALUE"""),0.384)</f>
        <v>0.384</v>
      </c>
      <c r="J412" s="35">
        <f>IFERROR(__xludf.DUMMYFUNCTION("""COMPUTED_VALUE"""),411.0)</f>
        <v>411</v>
      </c>
      <c r="K412" s="35" t="b">
        <f>IFERROR(__xludf.DUMMYFUNCTION("""COMPUTED_VALUE"""),TRUE)</f>
        <v>1</v>
      </c>
      <c r="L412" s="35" t="str">
        <f>IFERROR(__xludf.DUMMYFUNCTION("""COMPUTED_VALUE"""),"String;Backtracking;Bit Manipulation;")</f>
        <v>String;Backtracking;Bit Manipulation;</v>
      </c>
      <c r="M412" s="35" t="b">
        <f>IFERROR(__xludf.DUMMYFUNCTION("""COMPUTED_VALUE"""),FALSE)</f>
        <v>0</v>
      </c>
      <c r="N412" s="35" t="b">
        <f>IFERROR(__xludf.DUMMYFUNCTION("""COMPUTED_VALUE"""),FALSE)</f>
        <v>0</v>
      </c>
      <c r="O412" s="35">
        <f>IFERROR(__xludf.DUMMYFUNCTION("""COMPUTED_VALUE"""),38.3596728659157)</f>
        <v>38.35967287</v>
      </c>
      <c r="P412" s="35">
        <f>IFERROR(__xludf.DUMMYFUNCTION("""COMPUTED_VALUE"""),13180.0)</f>
        <v>13180</v>
      </c>
      <c r="Q412" s="35">
        <f>IFERROR(__xludf.DUMMYFUNCTION("""COMPUTED_VALUE"""),34359.0)</f>
        <v>34359</v>
      </c>
    </row>
    <row r="413">
      <c r="A413" s="35">
        <f>IFERROR(__xludf.DUMMYFUNCTION("""COMPUTED_VALUE"""),412.0)</f>
        <v>412</v>
      </c>
      <c r="B413" s="35" t="str">
        <f>IFERROR(__xludf.DUMMYFUNCTION("""COMPUTED_VALUE"""),"Fizz Buzz")</f>
        <v>Fizz Buzz</v>
      </c>
      <c r="C413" s="35" t="str">
        <f>IFERROR(__xludf.DUMMYFUNCTION("""COMPUTED_VALUE"""),"fizz-buzz")</f>
        <v>fizz-buzz</v>
      </c>
      <c r="D413" s="35" t="b">
        <f>IFERROR(__xludf.DUMMYFUNCTION("""COMPUTED_VALUE"""),FALSE)</f>
        <v>0</v>
      </c>
      <c r="E413" s="35" t="str">
        <f>IFERROR(__xludf.DUMMYFUNCTION("""COMPUTED_VALUE"""),"Easy")</f>
        <v>Easy</v>
      </c>
      <c r="F413" s="35">
        <f>IFERROR(__xludf.DUMMYFUNCTION("""COMPUTED_VALUE"""),253.0)</f>
        <v>253</v>
      </c>
      <c r="G413" s="35">
        <f>IFERROR(__xludf.DUMMYFUNCTION("""COMPUTED_VALUE"""),44.0)</f>
        <v>44</v>
      </c>
      <c r="H413" s="35" t="str">
        <f>IFERROR(__xludf.DUMMYFUNCTION("""COMPUTED_VALUE"""),"Algorithms")</f>
        <v>Algorithms</v>
      </c>
      <c r="I413" s="35">
        <f>IFERROR(__xludf.DUMMYFUNCTION("""COMPUTED_VALUE"""),0.662)</f>
        <v>0.662</v>
      </c>
      <c r="J413" s="35">
        <f>IFERROR(__xludf.DUMMYFUNCTION("""COMPUTED_VALUE"""),412.0)</f>
        <v>412</v>
      </c>
      <c r="K413" s="35" t="b">
        <f>IFERROR(__xludf.DUMMYFUNCTION("""COMPUTED_VALUE"""),FALSE)</f>
        <v>0</v>
      </c>
      <c r="L413" s="35" t="str">
        <f>IFERROR(__xludf.DUMMYFUNCTION("""COMPUTED_VALUE"""),"Math;String;Simulation;")</f>
        <v>Math;String;Simulation;</v>
      </c>
      <c r="M413" s="35" t="b">
        <f>IFERROR(__xludf.DUMMYFUNCTION("""COMPUTED_VALUE"""),TRUE)</f>
        <v>1</v>
      </c>
      <c r="N413" s="35" t="b">
        <f>IFERROR(__xludf.DUMMYFUNCTION("""COMPUTED_VALUE"""),FALSE)</f>
        <v>0</v>
      </c>
      <c r="O413" s="35">
        <f>IFERROR(__xludf.DUMMYFUNCTION("""COMPUTED_VALUE"""),66.2325826608974)</f>
        <v>66.23258266</v>
      </c>
      <c r="P413" s="35">
        <f>IFERROR(__xludf.DUMMYFUNCTION("""COMPUTED_VALUE"""),587929.0)</f>
        <v>587929</v>
      </c>
      <c r="Q413" s="35">
        <f>IFERROR(__xludf.DUMMYFUNCTION("""COMPUTED_VALUE"""),887675.0)</f>
        <v>887675</v>
      </c>
    </row>
    <row r="414">
      <c r="A414" s="35">
        <f>IFERROR(__xludf.DUMMYFUNCTION("""COMPUTED_VALUE"""),413.0)</f>
        <v>413</v>
      </c>
      <c r="B414" s="35" t="str">
        <f>IFERROR(__xludf.DUMMYFUNCTION("""COMPUTED_VALUE"""),"Arithmetic Slices")</f>
        <v>Arithmetic Slices</v>
      </c>
      <c r="C414" s="35" t="str">
        <f>IFERROR(__xludf.DUMMYFUNCTION("""COMPUTED_VALUE"""),"arithmetic-slices")</f>
        <v>arithmetic-slices</v>
      </c>
      <c r="D414" s="35" t="b">
        <f>IFERROR(__xludf.DUMMYFUNCTION("""COMPUTED_VALUE"""),FALSE)</f>
        <v>0</v>
      </c>
      <c r="E414" s="35" t="str">
        <f>IFERROR(__xludf.DUMMYFUNCTION("""COMPUTED_VALUE"""),"Medium")</f>
        <v>Medium</v>
      </c>
      <c r="F414" s="35">
        <f>IFERROR(__xludf.DUMMYFUNCTION("""COMPUTED_VALUE"""),3743.0)</f>
        <v>3743</v>
      </c>
      <c r="G414" s="35">
        <f>IFERROR(__xludf.DUMMYFUNCTION("""COMPUTED_VALUE"""),247.0)</f>
        <v>247</v>
      </c>
      <c r="H414" s="35" t="str">
        <f>IFERROR(__xludf.DUMMYFUNCTION("""COMPUTED_VALUE"""),"Algorithms")</f>
        <v>Algorithms</v>
      </c>
      <c r="I414" s="35">
        <f>IFERROR(__xludf.DUMMYFUNCTION("""COMPUTED_VALUE"""),0.642)</f>
        <v>0.642</v>
      </c>
      <c r="J414" s="35">
        <f>IFERROR(__xludf.DUMMYFUNCTION("""COMPUTED_VALUE"""),413.0)</f>
        <v>413</v>
      </c>
      <c r="K414" s="35" t="b">
        <f>IFERROR(__xludf.DUMMYFUNCTION("""COMPUTED_VALUE"""),FALSE)</f>
        <v>0</v>
      </c>
      <c r="L414" s="35" t="str">
        <f>IFERROR(__xludf.DUMMYFUNCTION("""COMPUTED_VALUE"""),"Array;Dynamic Programming;")</f>
        <v>Array;Dynamic Programming;</v>
      </c>
      <c r="M414" s="35" t="b">
        <f>IFERROR(__xludf.DUMMYFUNCTION("""COMPUTED_VALUE"""),TRUE)</f>
        <v>1</v>
      </c>
      <c r="N414" s="35" t="b">
        <f>IFERROR(__xludf.DUMMYFUNCTION("""COMPUTED_VALUE"""),FALSE)</f>
        <v>0</v>
      </c>
      <c r="O414" s="35">
        <f>IFERROR(__xludf.DUMMYFUNCTION("""COMPUTED_VALUE"""),64.2300097849078)</f>
        <v>64.23000978</v>
      </c>
      <c r="P414" s="35">
        <f>IFERROR(__xludf.DUMMYFUNCTION("""COMPUTED_VALUE"""),219243.0)</f>
        <v>219243</v>
      </c>
      <c r="Q414" s="35">
        <f>IFERROR(__xludf.DUMMYFUNCTION("""COMPUTED_VALUE"""),341339.0)</f>
        <v>341339</v>
      </c>
    </row>
    <row r="415">
      <c r="A415" s="35">
        <f>IFERROR(__xludf.DUMMYFUNCTION("""COMPUTED_VALUE"""),414.0)</f>
        <v>414</v>
      </c>
      <c r="B415" s="35" t="str">
        <f>IFERROR(__xludf.DUMMYFUNCTION("""COMPUTED_VALUE"""),"Third Maximum Number")</f>
        <v>Third Maximum Number</v>
      </c>
      <c r="C415" s="35" t="str">
        <f>IFERROR(__xludf.DUMMYFUNCTION("""COMPUTED_VALUE"""),"third-maximum-number")</f>
        <v>third-maximum-number</v>
      </c>
      <c r="D415" s="35" t="b">
        <f>IFERROR(__xludf.DUMMYFUNCTION("""COMPUTED_VALUE"""),FALSE)</f>
        <v>0</v>
      </c>
      <c r="E415" s="35" t="str">
        <f>IFERROR(__xludf.DUMMYFUNCTION("""COMPUTED_VALUE"""),"Easy")</f>
        <v>Easy</v>
      </c>
      <c r="F415" s="35">
        <f>IFERROR(__xludf.DUMMYFUNCTION("""COMPUTED_VALUE"""),1563.0)</f>
        <v>1563</v>
      </c>
      <c r="G415" s="35">
        <f>IFERROR(__xludf.DUMMYFUNCTION("""COMPUTED_VALUE"""),2232.0)</f>
        <v>2232</v>
      </c>
      <c r="H415" s="35" t="str">
        <f>IFERROR(__xludf.DUMMYFUNCTION("""COMPUTED_VALUE"""),"Algorithms")</f>
        <v>Algorithms</v>
      </c>
      <c r="I415" s="35">
        <f>IFERROR(__xludf.DUMMYFUNCTION("""COMPUTED_VALUE"""),0.316)</f>
        <v>0.316</v>
      </c>
      <c r="J415" s="35">
        <f>IFERROR(__xludf.DUMMYFUNCTION("""COMPUTED_VALUE"""),414.0)</f>
        <v>414</v>
      </c>
      <c r="K415" s="35" t="b">
        <f>IFERROR(__xludf.DUMMYFUNCTION("""COMPUTED_VALUE"""),FALSE)</f>
        <v>0</v>
      </c>
      <c r="L415" s="35" t="str">
        <f>IFERROR(__xludf.DUMMYFUNCTION("""COMPUTED_VALUE"""),"Array;Sorting;")</f>
        <v>Array;Sorting;</v>
      </c>
      <c r="M415" s="35" t="b">
        <f>IFERROR(__xludf.DUMMYFUNCTION("""COMPUTED_VALUE"""),TRUE)</f>
        <v>1</v>
      </c>
      <c r="N415" s="35" t="b">
        <f>IFERROR(__xludf.DUMMYFUNCTION("""COMPUTED_VALUE"""),FALSE)</f>
        <v>0</v>
      </c>
      <c r="O415" s="35">
        <f>IFERROR(__xludf.DUMMYFUNCTION("""COMPUTED_VALUE"""),31.6385848910102)</f>
        <v>31.63858489</v>
      </c>
      <c r="P415" s="35">
        <f>IFERROR(__xludf.DUMMYFUNCTION("""COMPUTED_VALUE"""),309677.0)</f>
        <v>309677</v>
      </c>
      <c r="Q415" s="35">
        <f>IFERROR(__xludf.DUMMYFUNCTION("""COMPUTED_VALUE"""),978802.0)</f>
        <v>978802</v>
      </c>
    </row>
    <row r="416">
      <c r="A416" s="35">
        <f>IFERROR(__xludf.DUMMYFUNCTION("""COMPUTED_VALUE"""),415.0)</f>
        <v>415</v>
      </c>
      <c r="B416" s="35" t="str">
        <f>IFERROR(__xludf.DUMMYFUNCTION("""COMPUTED_VALUE"""),"Add Strings")</f>
        <v>Add Strings</v>
      </c>
      <c r="C416" s="35" t="str">
        <f>IFERROR(__xludf.DUMMYFUNCTION("""COMPUTED_VALUE"""),"add-strings")</f>
        <v>add-strings</v>
      </c>
      <c r="D416" s="35" t="b">
        <f>IFERROR(__xludf.DUMMYFUNCTION("""COMPUTED_VALUE"""),FALSE)</f>
        <v>0</v>
      </c>
      <c r="E416" s="35" t="str">
        <f>IFERROR(__xludf.DUMMYFUNCTION("""COMPUTED_VALUE"""),"Easy")</f>
        <v>Easy</v>
      </c>
      <c r="F416" s="35">
        <f>IFERROR(__xludf.DUMMYFUNCTION("""COMPUTED_VALUE"""),3015.0)</f>
        <v>3015</v>
      </c>
      <c r="G416" s="35">
        <f>IFERROR(__xludf.DUMMYFUNCTION("""COMPUTED_VALUE"""),532.0)</f>
        <v>532</v>
      </c>
      <c r="H416" s="35" t="str">
        <f>IFERROR(__xludf.DUMMYFUNCTION("""COMPUTED_VALUE"""),"Algorithms")</f>
        <v>Algorithms</v>
      </c>
      <c r="I416" s="35">
        <f>IFERROR(__xludf.DUMMYFUNCTION("""COMPUTED_VALUE"""),0.519)</f>
        <v>0.519</v>
      </c>
      <c r="J416" s="35">
        <f>IFERROR(__xludf.DUMMYFUNCTION("""COMPUTED_VALUE"""),415.0)</f>
        <v>415</v>
      </c>
      <c r="K416" s="35" t="b">
        <f>IFERROR(__xludf.DUMMYFUNCTION("""COMPUTED_VALUE"""),FALSE)</f>
        <v>0</v>
      </c>
      <c r="L416" s="35" t="str">
        <f>IFERROR(__xludf.DUMMYFUNCTION("""COMPUTED_VALUE"""),"Math;String;Simulation;")</f>
        <v>Math;String;Simulation;</v>
      </c>
      <c r="M416" s="35" t="b">
        <f>IFERROR(__xludf.DUMMYFUNCTION("""COMPUTED_VALUE"""),TRUE)</f>
        <v>1</v>
      </c>
      <c r="N416" s="35" t="b">
        <f>IFERROR(__xludf.DUMMYFUNCTION("""COMPUTED_VALUE"""),FALSE)</f>
        <v>0</v>
      </c>
      <c r="O416" s="35">
        <f>IFERROR(__xludf.DUMMYFUNCTION("""COMPUTED_VALUE"""),51.8571144260185)</f>
        <v>51.85711443</v>
      </c>
      <c r="P416" s="35">
        <f>IFERROR(__xludf.DUMMYFUNCTION("""COMPUTED_VALUE"""),448161.0)</f>
        <v>448161</v>
      </c>
      <c r="Q416" s="35">
        <f>IFERROR(__xludf.DUMMYFUNCTION("""COMPUTED_VALUE"""),864225.0)</f>
        <v>864225</v>
      </c>
    </row>
    <row r="417">
      <c r="A417" s="35">
        <f>IFERROR(__xludf.DUMMYFUNCTION("""COMPUTED_VALUE"""),416.0)</f>
        <v>416</v>
      </c>
      <c r="B417" s="35" t="str">
        <f>IFERROR(__xludf.DUMMYFUNCTION("""COMPUTED_VALUE"""),"Partition Equal Subset Sum")</f>
        <v>Partition Equal Subset Sum</v>
      </c>
      <c r="C417" s="35" t="str">
        <f>IFERROR(__xludf.DUMMYFUNCTION("""COMPUTED_VALUE"""),"partition-equal-subset-sum")</f>
        <v>partition-equal-subset-sum</v>
      </c>
      <c r="D417" s="35" t="b">
        <f>IFERROR(__xludf.DUMMYFUNCTION("""COMPUTED_VALUE"""),FALSE)</f>
        <v>0</v>
      </c>
      <c r="E417" s="35" t="str">
        <f>IFERROR(__xludf.DUMMYFUNCTION("""COMPUTED_VALUE"""),"Medium")</f>
        <v>Medium</v>
      </c>
      <c r="F417" s="35">
        <f>IFERROR(__xludf.DUMMYFUNCTION("""COMPUTED_VALUE"""),7025.0)</f>
        <v>7025</v>
      </c>
      <c r="G417" s="35">
        <f>IFERROR(__xludf.DUMMYFUNCTION("""COMPUTED_VALUE"""),112.0)</f>
        <v>112</v>
      </c>
      <c r="H417" s="35" t="str">
        <f>IFERROR(__xludf.DUMMYFUNCTION("""COMPUTED_VALUE"""),"Algorithms")</f>
        <v>Algorithms</v>
      </c>
      <c r="I417" s="35">
        <f>IFERROR(__xludf.DUMMYFUNCTION("""COMPUTED_VALUE"""),0.463)</f>
        <v>0.463</v>
      </c>
      <c r="J417" s="35">
        <f>IFERROR(__xludf.DUMMYFUNCTION("""COMPUTED_VALUE"""),416.0)</f>
        <v>416</v>
      </c>
      <c r="K417" s="35" t="b">
        <f>IFERROR(__xludf.DUMMYFUNCTION("""COMPUTED_VALUE"""),FALSE)</f>
        <v>0</v>
      </c>
      <c r="L417" s="35" t="str">
        <f>IFERROR(__xludf.DUMMYFUNCTION("""COMPUTED_VALUE"""),"Array;Dynamic Programming;")</f>
        <v>Array;Dynamic Programming;</v>
      </c>
      <c r="M417" s="35" t="b">
        <f>IFERROR(__xludf.DUMMYFUNCTION("""COMPUTED_VALUE"""),TRUE)</f>
        <v>1</v>
      </c>
      <c r="N417" s="35" t="b">
        <f>IFERROR(__xludf.DUMMYFUNCTION("""COMPUTED_VALUE"""),TRUE)</f>
        <v>1</v>
      </c>
      <c r="O417" s="35">
        <f>IFERROR(__xludf.DUMMYFUNCTION("""COMPUTED_VALUE"""),46.3031670212159)</f>
        <v>46.30316702</v>
      </c>
      <c r="P417" s="35">
        <f>IFERROR(__xludf.DUMMYFUNCTION("""COMPUTED_VALUE"""),414211.0)</f>
        <v>414211</v>
      </c>
      <c r="Q417" s="35">
        <f>IFERROR(__xludf.DUMMYFUNCTION("""COMPUTED_VALUE"""),894556.0)</f>
        <v>894556</v>
      </c>
    </row>
    <row r="418">
      <c r="A418" s="35">
        <f>IFERROR(__xludf.DUMMYFUNCTION("""COMPUTED_VALUE"""),417.0)</f>
        <v>417</v>
      </c>
      <c r="B418" s="35" t="str">
        <f>IFERROR(__xludf.DUMMYFUNCTION("""COMPUTED_VALUE"""),"Pacific Atlantic Water Flow")</f>
        <v>Pacific Atlantic Water Flow</v>
      </c>
      <c r="C418" s="35" t="str">
        <f>IFERROR(__xludf.DUMMYFUNCTION("""COMPUTED_VALUE"""),"pacific-atlantic-water-flow")</f>
        <v>pacific-atlantic-water-flow</v>
      </c>
      <c r="D418" s="35" t="b">
        <f>IFERROR(__xludf.DUMMYFUNCTION("""COMPUTED_VALUE"""),FALSE)</f>
        <v>0</v>
      </c>
      <c r="E418" s="35" t="str">
        <f>IFERROR(__xludf.DUMMYFUNCTION("""COMPUTED_VALUE"""),"Medium")</f>
        <v>Medium</v>
      </c>
      <c r="F418" s="35">
        <f>IFERROR(__xludf.DUMMYFUNCTION("""COMPUTED_VALUE"""),3287.0)</f>
        <v>3287</v>
      </c>
      <c r="G418" s="35">
        <f>IFERROR(__xludf.DUMMYFUNCTION("""COMPUTED_VALUE"""),758.0)</f>
        <v>758</v>
      </c>
      <c r="H418" s="35" t="str">
        <f>IFERROR(__xludf.DUMMYFUNCTION("""COMPUTED_VALUE"""),"Algorithms")</f>
        <v>Algorithms</v>
      </c>
      <c r="I418" s="35">
        <f>IFERROR(__xludf.DUMMYFUNCTION("""COMPUTED_VALUE"""),0.483)</f>
        <v>0.483</v>
      </c>
      <c r="J418" s="35">
        <f>IFERROR(__xludf.DUMMYFUNCTION("""COMPUTED_VALUE"""),417.0)</f>
        <v>417</v>
      </c>
      <c r="K418" s="35" t="b">
        <f>IFERROR(__xludf.DUMMYFUNCTION("""COMPUTED_VALUE"""),FALSE)</f>
        <v>0</v>
      </c>
      <c r="L418" s="35" t="str">
        <f>IFERROR(__xludf.DUMMYFUNCTION("""COMPUTED_VALUE"""),"Array;Depth-First Search;Breadth-First Search;Matrix;")</f>
        <v>Array;Depth-First Search;Breadth-First Search;Matrix;</v>
      </c>
      <c r="M418" s="35" t="b">
        <f>IFERROR(__xludf.DUMMYFUNCTION("""COMPUTED_VALUE"""),TRUE)</f>
        <v>1</v>
      </c>
      <c r="N418" s="35" t="b">
        <f>IFERROR(__xludf.DUMMYFUNCTION("""COMPUTED_VALUE"""),FALSE)</f>
        <v>0</v>
      </c>
      <c r="O418" s="35">
        <f>IFERROR(__xludf.DUMMYFUNCTION("""COMPUTED_VALUE"""),48.3014915882756)</f>
        <v>48.30149159</v>
      </c>
      <c r="P418" s="35">
        <f>IFERROR(__xludf.DUMMYFUNCTION("""COMPUTED_VALUE"""),180785.0)</f>
        <v>180785</v>
      </c>
      <c r="Q418" s="35">
        <f>IFERROR(__xludf.DUMMYFUNCTION("""COMPUTED_VALUE"""),374287.0)</f>
        <v>374287</v>
      </c>
    </row>
    <row r="419">
      <c r="A419" s="35">
        <f>IFERROR(__xludf.DUMMYFUNCTION("""COMPUTED_VALUE"""),418.0)</f>
        <v>418</v>
      </c>
      <c r="B419" s="35" t="str">
        <f>IFERROR(__xludf.DUMMYFUNCTION("""COMPUTED_VALUE"""),"Sentence Screen Fitting")</f>
        <v>Sentence Screen Fitting</v>
      </c>
      <c r="C419" s="35" t="str">
        <f>IFERROR(__xludf.DUMMYFUNCTION("""COMPUTED_VALUE"""),"sentence-screen-fitting")</f>
        <v>sentence-screen-fitting</v>
      </c>
      <c r="D419" s="35" t="b">
        <f>IFERROR(__xludf.DUMMYFUNCTION("""COMPUTED_VALUE"""),TRUE)</f>
        <v>1</v>
      </c>
      <c r="E419" s="35" t="str">
        <f>IFERROR(__xludf.DUMMYFUNCTION("""COMPUTED_VALUE"""),"Medium")</f>
        <v>Medium</v>
      </c>
      <c r="F419" s="35">
        <f>IFERROR(__xludf.DUMMYFUNCTION("""COMPUTED_VALUE"""),850.0)</f>
        <v>850</v>
      </c>
      <c r="G419" s="35">
        <f>IFERROR(__xludf.DUMMYFUNCTION("""COMPUTED_VALUE"""),425.0)</f>
        <v>425</v>
      </c>
      <c r="H419" s="35" t="str">
        <f>IFERROR(__xludf.DUMMYFUNCTION("""COMPUTED_VALUE"""),"Algorithms")</f>
        <v>Algorithms</v>
      </c>
      <c r="I419" s="35">
        <f>IFERROR(__xludf.DUMMYFUNCTION("""COMPUTED_VALUE"""),0.353)</f>
        <v>0.353</v>
      </c>
      <c r="J419" s="35">
        <f>IFERROR(__xludf.DUMMYFUNCTION("""COMPUTED_VALUE"""),418.0)</f>
        <v>418</v>
      </c>
      <c r="K419" s="35" t="b">
        <f>IFERROR(__xludf.DUMMYFUNCTION("""COMPUTED_VALUE"""),TRUE)</f>
        <v>1</v>
      </c>
      <c r="L419" s="35" t="str">
        <f>IFERROR(__xludf.DUMMYFUNCTION("""COMPUTED_VALUE"""),"String;Dynamic Programming;Simulation;")</f>
        <v>String;Dynamic Programming;Simulation;</v>
      </c>
      <c r="M419" s="35" t="b">
        <f>IFERROR(__xludf.DUMMYFUNCTION("""COMPUTED_VALUE"""),FALSE)</f>
        <v>0</v>
      </c>
      <c r="N419" s="35" t="b">
        <f>IFERROR(__xludf.DUMMYFUNCTION("""COMPUTED_VALUE"""),FALSE)</f>
        <v>0</v>
      </c>
      <c r="O419" s="35">
        <f>IFERROR(__xludf.DUMMYFUNCTION("""COMPUTED_VALUE"""),35.2905040135422)</f>
        <v>35.29050401</v>
      </c>
      <c r="P419" s="35">
        <f>IFERROR(__xludf.DUMMYFUNCTION("""COMPUTED_VALUE"""),77553.0)</f>
        <v>77553</v>
      </c>
      <c r="Q419" s="35">
        <f>IFERROR(__xludf.DUMMYFUNCTION("""COMPUTED_VALUE"""),219756.0)</f>
        <v>219756</v>
      </c>
    </row>
    <row r="420">
      <c r="A420" s="35">
        <f>IFERROR(__xludf.DUMMYFUNCTION("""COMPUTED_VALUE"""),419.0)</f>
        <v>419</v>
      </c>
      <c r="B420" s="35" t="str">
        <f>IFERROR(__xludf.DUMMYFUNCTION("""COMPUTED_VALUE"""),"Battleships in a Board")</f>
        <v>Battleships in a Board</v>
      </c>
      <c r="C420" s="35" t="str">
        <f>IFERROR(__xludf.DUMMYFUNCTION("""COMPUTED_VALUE"""),"battleships-in-a-board")</f>
        <v>battleships-in-a-board</v>
      </c>
      <c r="D420" s="35" t="b">
        <f>IFERROR(__xludf.DUMMYFUNCTION("""COMPUTED_VALUE"""),FALSE)</f>
        <v>0</v>
      </c>
      <c r="E420" s="35" t="str">
        <f>IFERROR(__xludf.DUMMYFUNCTION("""COMPUTED_VALUE"""),"Medium")</f>
        <v>Medium</v>
      </c>
      <c r="F420" s="35">
        <f>IFERROR(__xludf.DUMMYFUNCTION("""COMPUTED_VALUE"""),1399.0)</f>
        <v>1399</v>
      </c>
      <c r="G420" s="35">
        <f>IFERROR(__xludf.DUMMYFUNCTION("""COMPUTED_VALUE"""),714.0)</f>
        <v>714</v>
      </c>
      <c r="H420" s="35" t="str">
        <f>IFERROR(__xludf.DUMMYFUNCTION("""COMPUTED_VALUE"""),"Algorithms")</f>
        <v>Algorithms</v>
      </c>
      <c r="I420" s="35">
        <f>IFERROR(__xludf.DUMMYFUNCTION("""COMPUTED_VALUE"""),0.732)</f>
        <v>0.732</v>
      </c>
      <c r="J420" s="35">
        <f>IFERROR(__xludf.DUMMYFUNCTION("""COMPUTED_VALUE"""),419.0)</f>
        <v>419</v>
      </c>
      <c r="K420" s="35" t="b">
        <f>IFERROR(__xludf.DUMMYFUNCTION("""COMPUTED_VALUE"""),FALSE)</f>
        <v>0</v>
      </c>
      <c r="L420" s="35" t="str">
        <f>IFERROR(__xludf.DUMMYFUNCTION("""COMPUTED_VALUE"""),"Array;Depth-First Search;Matrix;")</f>
        <v>Array;Depth-First Search;Matrix;</v>
      </c>
      <c r="M420" s="35" t="b">
        <f>IFERROR(__xludf.DUMMYFUNCTION("""COMPUTED_VALUE"""),FALSE)</f>
        <v>0</v>
      </c>
      <c r="N420" s="35" t="b">
        <f>IFERROR(__xludf.DUMMYFUNCTION("""COMPUTED_VALUE"""),FALSE)</f>
        <v>0</v>
      </c>
      <c r="O420" s="35">
        <f>IFERROR(__xludf.DUMMYFUNCTION("""COMPUTED_VALUE"""),73.1634925851159)</f>
        <v>73.16349259</v>
      </c>
      <c r="P420" s="35">
        <f>IFERROR(__xludf.DUMMYFUNCTION("""COMPUTED_VALUE"""),140261.0)</f>
        <v>140261</v>
      </c>
      <c r="Q420" s="35">
        <f>IFERROR(__xludf.DUMMYFUNCTION("""COMPUTED_VALUE"""),191709.0)</f>
        <v>191709</v>
      </c>
    </row>
    <row r="421">
      <c r="A421" s="35">
        <f>IFERROR(__xludf.DUMMYFUNCTION("""COMPUTED_VALUE"""),420.0)</f>
        <v>420</v>
      </c>
      <c r="B421" s="35" t="str">
        <f>IFERROR(__xludf.DUMMYFUNCTION("""COMPUTED_VALUE"""),"Strong Password Checker")</f>
        <v>Strong Password Checker</v>
      </c>
      <c r="C421" s="35" t="str">
        <f>IFERROR(__xludf.DUMMYFUNCTION("""COMPUTED_VALUE"""),"strong-password-checker")</f>
        <v>strong-password-checker</v>
      </c>
      <c r="D421" s="35" t="b">
        <f>IFERROR(__xludf.DUMMYFUNCTION("""COMPUTED_VALUE"""),FALSE)</f>
        <v>0</v>
      </c>
      <c r="E421" s="35" t="str">
        <f>IFERROR(__xludf.DUMMYFUNCTION("""COMPUTED_VALUE"""),"Hard")</f>
        <v>Hard</v>
      </c>
      <c r="F421" s="35">
        <f>IFERROR(__xludf.DUMMYFUNCTION("""COMPUTED_VALUE"""),453.0)</f>
        <v>453</v>
      </c>
      <c r="G421" s="35">
        <f>IFERROR(__xludf.DUMMYFUNCTION("""COMPUTED_VALUE"""),1224.0)</f>
        <v>1224</v>
      </c>
      <c r="H421" s="35" t="str">
        <f>IFERROR(__xludf.DUMMYFUNCTION("""COMPUTED_VALUE"""),"Algorithms")</f>
        <v>Algorithms</v>
      </c>
      <c r="I421" s="35">
        <f>IFERROR(__xludf.DUMMYFUNCTION("""COMPUTED_VALUE"""),0.141)</f>
        <v>0.141</v>
      </c>
      <c r="J421" s="35">
        <f>IFERROR(__xludf.DUMMYFUNCTION("""COMPUTED_VALUE"""),420.0)</f>
        <v>420</v>
      </c>
      <c r="K421" s="35" t="b">
        <f>IFERROR(__xludf.DUMMYFUNCTION("""COMPUTED_VALUE"""),FALSE)</f>
        <v>0</v>
      </c>
      <c r="L421" s="35" t="str">
        <f>IFERROR(__xludf.DUMMYFUNCTION("""COMPUTED_VALUE"""),"String;Greedy;Heap (Priority Queue);")</f>
        <v>String;Greedy;Heap (Priority Queue);</v>
      </c>
      <c r="M421" s="35" t="b">
        <f>IFERROR(__xludf.DUMMYFUNCTION("""COMPUTED_VALUE"""),FALSE)</f>
        <v>0</v>
      </c>
      <c r="N421" s="35" t="b">
        <f>IFERROR(__xludf.DUMMYFUNCTION("""COMPUTED_VALUE"""),FALSE)</f>
        <v>0</v>
      </c>
      <c r="O421" s="35">
        <f>IFERROR(__xludf.DUMMYFUNCTION("""COMPUTED_VALUE"""),14.0980714389289)</f>
        <v>14.09807144</v>
      </c>
      <c r="P421" s="35">
        <f>IFERROR(__xludf.DUMMYFUNCTION("""COMPUTED_VALUE"""),23334.0)</f>
        <v>23334</v>
      </c>
      <c r="Q421" s="35">
        <f>IFERROR(__xludf.DUMMYFUNCTION("""COMPUTED_VALUE"""),165512.0)</f>
        <v>165512</v>
      </c>
    </row>
    <row r="422">
      <c r="A422" s="35">
        <f>IFERROR(__xludf.DUMMYFUNCTION("""COMPUTED_VALUE"""),421.0)</f>
        <v>421</v>
      </c>
      <c r="B422" s="35" t="str">
        <f>IFERROR(__xludf.DUMMYFUNCTION("""COMPUTED_VALUE"""),"Maximum XOR of Two Numbers in an Array")</f>
        <v>Maximum XOR of Two Numbers in an Array</v>
      </c>
      <c r="C422" s="35" t="str">
        <f>IFERROR(__xludf.DUMMYFUNCTION("""COMPUTED_VALUE"""),"maximum-xor-of-two-numbers-in-an-array")</f>
        <v>maximum-xor-of-two-numbers-in-an-array</v>
      </c>
      <c r="D422" s="35" t="b">
        <f>IFERROR(__xludf.DUMMYFUNCTION("""COMPUTED_VALUE"""),FALSE)</f>
        <v>0</v>
      </c>
      <c r="E422" s="35" t="str">
        <f>IFERROR(__xludf.DUMMYFUNCTION("""COMPUTED_VALUE"""),"Medium")</f>
        <v>Medium</v>
      </c>
      <c r="F422" s="35">
        <f>IFERROR(__xludf.DUMMYFUNCTION("""COMPUTED_VALUE"""),3759.0)</f>
        <v>3759</v>
      </c>
      <c r="G422" s="35">
        <f>IFERROR(__xludf.DUMMYFUNCTION("""COMPUTED_VALUE"""),319.0)</f>
        <v>319</v>
      </c>
      <c r="H422" s="35" t="str">
        <f>IFERROR(__xludf.DUMMYFUNCTION("""COMPUTED_VALUE"""),"Algorithms")</f>
        <v>Algorithms</v>
      </c>
      <c r="I422" s="35">
        <f>IFERROR(__xludf.DUMMYFUNCTION("""COMPUTED_VALUE"""),0.542)</f>
        <v>0.542</v>
      </c>
      <c r="J422" s="35">
        <f>IFERROR(__xludf.DUMMYFUNCTION("""COMPUTED_VALUE"""),421.0)</f>
        <v>421</v>
      </c>
      <c r="K422" s="35" t="b">
        <f>IFERROR(__xludf.DUMMYFUNCTION("""COMPUTED_VALUE"""),FALSE)</f>
        <v>0</v>
      </c>
      <c r="L422" s="35" t="str">
        <f>IFERROR(__xludf.DUMMYFUNCTION("""COMPUTED_VALUE"""),"Array;Hash Table;Bit Manipulation;Trie;")</f>
        <v>Array;Hash Table;Bit Manipulation;Trie;</v>
      </c>
      <c r="M422" s="35" t="b">
        <f>IFERROR(__xludf.DUMMYFUNCTION("""COMPUTED_VALUE"""),TRUE)</f>
        <v>1</v>
      </c>
      <c r="N422" s="35" t="b">
        <f>IFERROR(__xludf.DUMMYFUNCTION("""COMPUTED_VALUE"""),FALSE)</f>
        <v>0</v>
      </c>
      <c r="O422" s="35">
        <f>IFERROR(__xludf.DUMMYFUNCTION("""COMPUTED_VALUE"""),54.229074490462)</f>
        <v>54.22907449</v>
      </c>
      <c r="P422" s="35">
        <f>IFERROR(__xludf.DUMMYFUNCTION("""COMPUTED_VALUE"""),119625.0)</f>
        <v>119625</v>
      </c>
      <c r="Q422" s="35">
        <f>IFERROR(__xludf.DUMMYFUNCTION("""COMPUTED_VALUE"""),220592.0)</f>
        <v>220592</v>
      </c>
    </row>
    <row r="423">
      <c r="A423" s="35">
        <f>IFERROR(__xludf.DUMMYFUNCTION("""COMPUTED_VALUE"""),422.0)</f>
        <v>422</v>
      </c>
      <c r="B423" s="35" t="str">
        <f>IFERROR(__xludf.DUMMYFUNCTION("""COMPUTED_VALUE"""),"Valid Word Square")</f>
        <v>Valid Word Square</v>
      </c>
      <c r="C423" s="35" t="str">
        <f>IFERROR(__xludf.DUMMYFUNCTION("""COMPUTED_VALUE"""),"valid-word-square")</f>
        <v>valid-word-square</v>
      </c>
      <c r="D423" s="35" t="b">
        <f>IFERROR(__xludf.DUMMYFUNCTION("""COMPUTED_VALUE"""),TRUE)</f>
        <v>1</v>
      </c>
      <c r="E423" s="35" t="str">
        <f>IFERROR(__xludf.DUMMYFUNCTION("""COMPUTED_VALUE"""),"Easy")</f>
        <v>Easy</v>
      </c>
      <c r="F423" s="35">
        <f>IFERROR(__xludf.DUMMYFUNCTION("""COMPUTED_VALUE"""),274.0)</f>
        <v>274</v>
      </c>
      <c r="G423" s="35">
        <f>IFERROR(__xludf.DUMMYFUNCTION("""COMPUTED_VALUE"""),169.0)</f>
        <v>169</v>
      </c>
      <c r="H423" s="35" t="str">
        <f>IFERROR(__xludf.DUMMYFUNCTION("""COMPUTED_VALUE"""),"Algorithms")</f>
        <v>Algorithms</v>
      </c>
      <c r="I423" s="35">
        <f>IFERROR(__xludf.DUMMYFUNCTION("""COMPUTED_VALUE"""),0.386)</f>
        <v>0.386</v>
      </c>
      <c r="J423" s="35">
        <f>IFERROR(__xludf.DUMMYFUNCTION("""COMPUTED_VALUE"""),422.0)</f>
        <v>422</v>
      </c>
      <c r="K423" s="35" t="b">
        <f>IFERROR(__xludf.DUMMYFUNCTION("""COMPUTED_VALUE"""),TRUE)</f>
        <v>1</v>
      </c>
      <c r="L423" s="35" t="str">
        <f>IFERROR(__xludf.DUMMYFUNCTION("""COMPUTED_VALUE"""),"Array;Matrix;")</f>
        <v>Array;Matrix;</v>
      </c>
      <c r="M423" s="35" t="b">
        <f>IFERROR(__xludf.DUMMYFUNCTION("""COMPUTED_VALUE"""),FALSE)</f>
        <v>0</v>
      </c>
      <c r="N423" s="35" t="b">
        <f>IFERROR(__xludf.DUMMYFUNCTION("""COMPUTED_VALUE"""),FALSE)</f>
        <v>0</v>
      </c>
      <c r="O423" s="35">
        <f>IFERROR(__xludf.DUMMYFUNCTION("""COMPUTED_VALUE"""),38.5858824223474)</f>
        <v>38.58588242</v>
      </c>
      <c r="P423" s="35">
        <f>IFERROR(__xludf.DUMMYFUNCTION("""COMPUTED_VALUE"""),39243.0)</f>
        <v>39243</v>
      </c>
      <c r="Q423" s="35">
        <f>IFERROR(__xludf.DUMMYFUNCTION("""COMPUTED_VALUE"""),101703.0)</f>
        <v>101703</v>
      </c>
    </row>
    <row r="424">
      <c r="A424" s="35">
        <f>IFERROR(__xludf.DUMMYFUNCTION("""COMPUTED_VALUE"""),423.0)</f>
        <v>423</v>
      </c>
      <c r="B424" s="35" t="str">
        <f>IFERROR(__xludf.DUMMYFUNCTION("""COMPUTED_VALUE"""),"Reconstruct Original Digits from English")</f>
        <v>Reconstruct Original Digits from English</v>
      </c>
      <c r="C424" s="35" t="str">
        <f>IFERROR(__xludf.DUMMYFUNCTION("""COMPUTED_VALUE"""),"reconstruct-original-digits-from-english")</f>
        <v>reconstruct-original-digits-from-english</v>
      </c>
      <c r="D424" s="35" t="b">
        <f>IFERROR(__xludf.DUMMYFUNCTION("""COMPUTED_VALUE"""),FALSE)</f>
        <v>0</v>
      </c>
      <c r="E424" s="35" t="str">
        <f>IFERROR(__xludf.DUMMYFUNCTION("""COMPUTED_VALUE"""),"Medium")</f>
        <v>Medium</v>
      </c>
      <c r="F424" s="35">
        <f>IFERROR(__xludf.DUMMYFUNCTION("""COMPUTED_VALUE"""),582.0)</f>
        <v>582</v>
      </c>
      <c r="G424" s="35">
        <f>IFERROR(__xludf.DUMMYFUNCTION("""COMPUTED_VALUE"""),1881.0)</f>
        <v>1881</v>
      </c>
      <c r="H424" s="35" t="str">
        <f>IFERROR(__xludf.DUMMYFUNCTION("""COMPUTED_VALUE"""),"Algorithms")</f>
        <v>Algorithms</v>
      </c>
      <c r="I424" s="35">
        <f>IFERROR(__xludf.DUMMYFUNCTION("""COMPUTED_VALUE"""),0.512)</f>
        <v>0.512</v>
      </c>
      <c r="J424" s="35">
        <f>IFERROR(__xludf.DUMMYFUNCTION("""COMPUTED_VALUE"""),423.0)</f>
        <v>423</v>
      </c>
      <c r="K424" s="35" t="b">
        <f>IFERROR(__xludf.DUMMYFUNCTION("""COMPUTED_VALUE"""),FALSE)</f>
        <v>0</v>
      </c>
      <c r="L424" s="35" t="str">
        <f>IFERROR(__xludf.DUMMYFUNCTION("""COMPUTED_VALUE"""),"Hash Table;Math;String;")</f>
        <v>Hash Table;Math;String;</v>
      </c>
      <c r="M424" s="35" t="b">
        <f>IFERROR(__xludf.DUMMYFUNCTION("""COMPUTED_VALUE"""),TRUE)</f>
        <v>1</v>
      </c>
      <c r="N424" s="35" t="b">
        <f>IFERROR(__xludf.DUMMYFUNCTION("""COMPUTED_VALUE"""),FALSE)</f>
        <v>0</v>
      </c>
      <c r="O424" s="35">
        <f>IFERROR(__xludf.DUMMYFUNCTION("""COMPUTED_VALUE"""),51.2239347234814)</f>
        <v>51.22393472</v>
      </c>
      <c r="P424" s="35">
        <f>IFERROR(__xludf.DUMMYFUNCTION("""COMPUTED_VALUE"""),59324.0)</f>
        <v>59324</v>
      </c>
      <c r="Q424" s="35">
        <f>IFERROR(__xludf.DUMMYFUNCTION("""COMPUTED_VALUE"""),115813.0)</f>
        <v>115813</v>
      </c>
    </row>
    <row r="425">
      <c r="A425" s="35">
        <f>IFERROR(__xludf.DUMMYFUNCTION("""COMPUTED_VALUE"""),424.0)</f>
        <v>424</v>
      </c>
      <c r="B425" s="35" t="str">
        <f>IFERROR(__xludf.DUMMYFUNCTION("""COMPUTED_VALUE"""),"Longest Repeating Character Replacement")</f>
        <v>Longest Repeating Character Replacement</v>
      </c>
      <c r="C425" s="35" t="str">
        <f>IFERROR(__xludf.DUMMYFUNCTION("""COMPUTED_VALUE"""),"longest-repeating-character-replacement")</f>
        <v>longest-repeating-character-replacement</v>
      </c>
      <c r="D425" s="35" t="b">
        <f>IFERROR(__xludf.DUMMYFUNCTION("""COMPUTED_VALUE"""),FALSE)</f>
        <v>0</v>
      </c>
      <c r="E425" s="35" t="str">
        <f>IFERROR(__xludf.DUMMYFUNCTION("""COMPUTED_VALUE"""),"Medium")</f>
        <v>Medium</v>
      </c>
      <c r="F425" s="35">
        <f>IFERROR(__xludf.DUMMYFUNCTION("""COMPUTED_VALUE"""),3982.0)</f>
        <v>3982</v>
      </c>
      <c r="G425" s="35">
        <f>IFERROR(__xludf.DUMMYFUNCTION("""COMPUTED_VALUE"""),156.0)</f>
        <v>156</v>
      </c>
      <c r="H425" s="35" t="str">
        <f>IFERROR(__xludf.DUMMYFUNCTION("""COMPUTED_VALUE"""),"Algorithms")</f>
        <v>Algorithms</v>
      </c>
      <c r="I425" s="35">
        <f>IFERROR(__xludf.DUMMYFUNCTION("""COMPUTED_VALUE"""),0.506)</f>
        <v>0.506</v>
      </c>
      <c r="J425" s="35">
        <f>IFERROR(__xludf.DUMMYFUNCTION("""COMPUTED_VALUE"""),424.0)</f>
        <v>424</v>
      </c>
      <c r="K425" s="35" t="b">
        <f>IFERROR(__xludf.DUMMYFUNCTION("""COMPUTED_VALUE"""),FALSE)</f>
        <v>0</v>
      </c>
      <c r="L425" s="35" t="str">
        <f>IFERROR(__xludf.DUMMYFUNCTION("""COMPUTED_VALUE"""),"Hash Table;String;Sliding Window;")</f>
        <v>Hash Table;String;Sliding Window;</v>
      </c>
      <c r="M425" s="35" t="b">
        <f>IFERROR(__xludf.DUMMYFUNCTION("""COMPUTED_VALUE"""),FALSE)</f>
        <v>0</v>
      </c>
      <c r="N425" s="35" t="b">
        <f>IFERROR(__xludf.DUMMYFUNCTION("""COMPUTED_VALUE"""),FALSE)</f>
        <v>0</v>
      </c>
      <c r="O425" s="35">
        <f>IFERROR(__xludf.DUMMYFUNCTION("""COMPUTED_VALUE"""),50.5911253196254)</f>
        <v>50.59112532</v>
      </c>
      <c r="P425" s="35">
        <f>IFERROR(__xludf.DUMMYFUNCTION("""COMPUTED_VALUE"""),191318.0)</f>
        <v>191318</v>
      </c>
      <c r="Q425" s="35">
        <f>IFERROR(__xludf.DUMMYFUNCTION("""COMPUTED_VALUE"""),378166.0)</f>
        <v>378166</v>
      </c>
    </row>
    <row r="426">
      <c r="A426" s="35">
        <f>IFERROR(__xludf.DUMMYFUNCTION("""COMPUTED_VALUE"""),425.0)</f>
        <v>425</v>
      </c>
      <c r="B426" s="35" t="str">
        <f>IFERROR(__xludf.DUMMYFUNCTION("""COMPUTED_VALUE"""),"Word Squares")</f>
        <v>Word Squares</v>
      </c>
      <c r="C426" s="35" t="str">
        <f>IFERROR(__xludf.DUMMYFUNCTION("""COMPUTED_VALUE"""),"word-squares")</f>
        <v>word-squares</v>
      </c>
      <c r="D426" s="35" t="b">
        <f>IFERROR(__xludf.DUMMYFUNCTION("""COMPUTED_VALUE"""),TRUE)</f>
        <v>1</v>
      </c>
      <c r="E426" s="35" t="str">
        <f>IFERROR(__xludf.DUMMYFUNCTION("""COMPUTED_VALUE"""),"Hard")</f>
        <v>Hard</v>
      </c>
      <c r="F426" s="35">
        <f>IFERROR(__xludf.DUMMYFUNCTION("""COMPUTED_VALUE"""),909.0)</f>
        <v>909</v>
      </c>
      <c r="G426" s="35">
        <f>IFERROR(__xludf.DUMMYFUNCTION("""COMPUTED_VALUE"""),58.0)</f>
        <v>58</v>
      </c>
      <c r="H426" s="35" t="str">
        <f>IFERROR(__xludf.DUMMYFUNCTION("""COMPUTED_VALUE"""),"Algorithms")</f>
        <v>Algorithms</v>
      </c>
      <c r="I426" s="35">
        <f>IFERROR(__xludf.DUMMYFUNCTION("""COMPUTED_VALUE"""),0.521)</f>
        <v>0.521</v>
      </c>
      <c r="J426" s="35">
        <f>IFERROR(__xludf.DUMMYFUNCTION("""COMPUTED_VALUE"""),425.0)</f>
        <v>425</v>
      </c>
      <c r="K426" s="35" t="b">
        <f>IFERROR(__xludf.DUMMYFUNCTION("""COMPUTED_VALUE"""),TRUE)</f>
        <v>1</v>
      </c>
      <c r="L426" s="35" t="str">
        <f>IFERROR(__xludf.DUMMYFUNCTION("""COMPUTED_VALUE"""),"Array;String;Backtracking;Trie;")</f>
        <v>Array;String;Backtracking;Trie;</v>
      </c>
      <c r="M426" s="35" t="b">
        <f>IFERROR(__xludf.DUMMYFUNCTION("""COMPUTED_VALUE"""),TRUE)</f>
        <v>1</v>
      </c>
      <c r="N426" s="35" t="b">
        <f>IFERROR(__xludf.DUMMYFUNCTION("""COMPUTED_VALUE"""),FALSE)</f>
        <v>0</v>
      </c>
      <c r="O426" s="35">
        <f>IFERROR(__xludf.DUMMYFUNCTION("""COMPUTED_VALUE"""),52.0698989620331)</f>
        <v>52.06989896</v>
      </c>
      <c r="P426" s="35">
        <f>IFERROR(__xludf.DUMMYFUNCTION("""COMPUTED_VALUE"""),60399.0)</f>
        <v>60399</v>
      </c>
      <c r="Q426" s="35">
        <f>IFERROR(__xludf.DUMMYFUNCTION("""COMPUTED_VALUE"""),115996.0)</f>
        <v>115996</v>
      </c>
    </row>
    <row r="427">
      <c r="A427" s="35">
        <f>IFERROR(__xludf.DUMMYFUNCTION("""COMPUTED_VALUE"""),758.0)</f>
        <v>758</v>
      </c>
      <c r="B427" s="35" t="str">
        <f>IFERROR(__xludf.DUMMYFUNCTION("""COMPUTED_VALUE"""),"Convert Binary Search Tree to Sorted Doubly Linked List")</f>
        <v>Convert Binary Search Tree to Sorted Doubly Linked List</v>
      </c>
      <c r="C427" s="35" t="str">
        <f>IFERROR(__xludf.DUMMYFUNCTION("""COMPUTED_VALUE"""),"convert-binary-search-tree-to-sorted-doubly-linked-list")</f>
        <v>convert-binary-search-tree-to-sorted-doubly-linked-list</v>
      </c>
      <c r="D427" s="35" t="b">
        <f>IFERROR(__xludf.DUMMYFUNCTION("""COMPUTED_VALUE"""),TRUE)</f>
        <v>1</v>
      </c>
      <c r="E427" s="35" t="str">
        <f>IFERROR(__xludf.DUMMYFUNCTION("""COMPUTED_VALUE"""),"Medium")</f>
        <v>Medium</v>
      </c>
      <c r="F427" s="35">
        <f>IFERROR(__xludf.DUMMYFUNCTION("""COMPUTED_VALUE"""),2071.0)</f>
        <v>2071</v>
      </c>
      <c r="G427" s="35">
        <f>IFERROR(__xludf.DUMMYFUNCTION("""COMPUTED_VALUE"""),168.0)</f>
        <v>168</v>
      </c>
      <c r="H427" s="35" t="str">
        <f>IFERROR(__xludf.DUMMYFUNCTION("""COMPUTED_VALUE"""),"Algorithms")</f>
        <v>Algorithms</v>
      </c>
      <c r="I427" s="35">
        <f>IFERROR(__xludf.DUMMYFUNCTION("""COMPUTED_VALUE"""),0.642)</f>
        <v>0.642</v>
      </c>
      <c r="J427" s="35">
        <f>IFERROR(__xludf.DUMMYFUNCTION("""COMPUTED_VALUE"""),426.0)</f>
        <v>426</v>
      </c>
      <c r="K427" s="35" t="b">
        <f>IFERROR(__xludf.DUMMYFUNCTION("""COMPUTED_VALUE"""),TRUE)</f>
        <v>1</v>
      </c>
      <c r="L427" s="35" t="str">
        <f>IFERROR(__xludf.DUMMYFUNCTION("""COMPUTED_VALUE"""),"Linked List;Stack;Tree;Depth-First Search;Binary Search Tree;Binary Tree;Doubly-Linked List;")</f>
        <v>Linked List;Stack;Tree;Depth-First Search;Binary Search Tree;Binary Tree;Doubly-Linked List;</v>
      </c>
      <c r="M427" s="35" t="b">
        <f>IFERROR(__xludf.DUMMYFUNCTION("""COMPUTED_VALUE"""),TRUE)</f>
        <v>1</v>
      </c>
      <c r="N427" s="35" t="b">
        <f>IFERROR(__xludf.DUMMYFUNCTION("""COMPUTED_VALUE"""),FALSE)</f>
        <v>0</v>
      </c>
      <c r="O427" s="35">
        <f>IFERROR(__xludf.DUMMYFUNCTION("""COMPUTED_VALUE"""),64.1702883525927)</f>
        <v>64.17028835</v>
      </c>
      <c r="P427" s="35">
        <f>IFERROR(__xludf.DUMMYFUNCTION("""COMPUTED_VALUE"""),196523.0)</f>
        <v>196523</v>
      </c>
      <c r="Q427" s="35">
        <f>IFERROR(__xludf.DUMMYFUNCTION("""COMPUTED_VALUE"""),306254.0)</f>
        <v>306254</v>
      </c>
    </row>
    <row r="428">
      <c r="A428" s="35">
        <f>IFERROR(__xludf.DUMMYFUNCTION("""COMPUTED_VALUE"""),772.0)</f>
        <v>772</v>
      </c>
      <c r="B428" s="35" t="str">
        <f>IFERROR(__xludf.DUMMYFUNCTION("""COMPUTED_VALUE"""),"Construct Quad Tree")</f>
        <v>Construct Quad Tree</v>
      </c>
      <c r="C428" s="35" t="str">
        <f>IFERROR(__xludf.DUMMYFUNCTION("""COMPUTED_VALUE"""),"construct-quad-tree")</f>
        <v>construct-quad-tree</v>
      </c>
      <c r="D428" s="35" t="b">
        <f>IFERROR(__xludf.DUMMYFUNCTION("""COMPUTED_VALUE"""),FALSE)</f>
        <v>0</v>
      </c>
      <c r="E428" s="35" t="str">
        <f>IFERROR(__xludf.DUMMYFUNCTION("""COMPUTED_VALUE"""),"Medium")</f>
        <v>Medium</v>
      </c>
      <c r="F428" s="35">
        <f>IFERROR(__xludf.DUMMYFUNCTION("""COMPUTED_VALUE"""),459.0)</f>
        <v>459</v>
      </c>
      <c r="G428" s="35">
        <f>IFERROR(__xludf.DUMMYFUNCTION("""COMPUTED_VALUE"""),644.0)</f>
        <v>644</v>
      </c>
      <c r="H428" s="35" t="str">
        <f>IFERROR(__xludf.DUMMYFUNCTION("""COMPUTED_VALUE"""),"Algorithms")</f>
        <v>Algorithms</v>
      </c>
      <c r="I428" s="35">
        <f>IFERROR(__xludf.DUMMYFUNCTION("""COMPUTED_VALUE"""),0.649)</f>
        <v>0.649</v>
      </c>
      <c r="J428" s="35">
        <f>IFERROR(__xludf.DUMMYFUNCTION("""COMPUTED_VALUE"""),427.0)</f>
        <v>427</v>
      </c>
      <c r="K428" s="35" t="b">
        <f>IFERROR(__xludf.DUMMYFUNCTION("""COMPUTED_VALUE"""),FALSE)</f>
        <v>0</v>
      </c>
      <c r="L428" s="35" t="str">
        <f>IFERROR(__xludf.DUMMYFUNCTION("""COMPUTED_VALUE"""),"Array;Divide and Conquer;Tree;Matrix;")</f>
        <v>Array;Divide and Conquer;Tree;Matrix;</v>
      </c>
      <c r="M428" s="35" t="b">
        <f>IFERROR(__xludf.DUMMYFUNCTION("""COMPUTED_VALUE"""),FALSE)</f>
        <v>0</v>
      </c>
      <c r="N428" s="35" t="b">
        <f>IFERROR(__xludf.DUMMYFUNCTION("""COMPUTED_VALUE"""),FALSE)</f>
        <v>0</v>
      </c>
      <c r="O428" s="35">
        <f>IFERROR(__xludf.DUMMYFUNCTION("""COMPUTED_VALUE"""),64.9472972304241)</f>
        <v>64.94729723</v>
      </c>
      <c r="P428" s="35">
        <f>IFERROR(__xludf.DUMMYFUNCTION("""COMPUTED_VALUE"""),39373.0)</f>
        <v>39373</v>
      </c>
      <c r="Q428" s="35">
        <f>IFERROR(__xludf.DUMMYFUNCTION("""COMPUTED_VALUE"""),60623.0)</f>
        <v>60623</v>
      </c>
    </row>
    <row r="429">
      <c r="A429" s="35">
        <f>IFERROR(__xludf.DUMMYFUNCTION("""COMPUTED_VALUE"""),765.0)</f>
        <v>765</v>
      </c>
      <c r="B429" s="35" t="str">
        <f>IFERROR(__xludf.DUMMYFUNCTION("""COMPUTED_VALUE"""),"Serialize and Deserialize N-ary Tree")</f>
        <v>Serialize and Deserialize N-ary Tree</v>
      </c>
      <c r="C429" s="35" t="str">
        <f>IFERROR(__xludf.DUMMYFUNCTION("""COMPUTED_VALUE"""),"serialize-and-deserialize-n-ary-tree")</f>
        <v>serialize-and-deserialize-n-ary-tree</v>
      </c>
      <c r="D429" s="35" t="b">
        <f>IFERROR(__xludf.DUMMYFUNCTION("""COMPUTED_VALUE"""),TRUE)</f>
        <v>1</v>
      </c>
      <c r="E429" s="35" t="str">
        <f>IFERROR(__xludf.DUMMYFUNCTION("""COMPUTED_VALUE"""),"Hard")</f>
        <v>Hard</v>
      </c>
      <c r="F429" s="35">
        <f>IFERROR(__xludf.DUMMYFUNCTION("""COMPUTED_VALUE"""),801.0)</f>
        <v>801</v>
      </c>
      <c r="G429" s="35">
        <f>IFERROR(__xludf.DUMMYFUNCTION("""COMPUTED_VALUE"""),48.0)</f>
        <v>48</v>
      </c>
      <c r="H429" s="35" t="str">
        <f>IFERROR(__xludf.DUMMYFUNCTION("""COMPUTED_VALUE"""),"Algorithms")</f>
        <v>Algorithms</v>
      </c>
      <c r="I429" s="35">
        <f>IFERROR(__xludf.DUMMYFUNCTION("""COMPUTED_VALUE"""),0.641)</f>
        <v>0.641</v>
      </c>
      <c r="J429" s="35">
        <f>IFERROR(__xludf.DUMMYFUNCTION("""COMPUTED_VALUE"""),428.0)</f>
        <v>428</v>
      </c>
      <c r="K429" s="35" t="b">
        <f>IFERROR(__xludf.DUMMYFUNCTION("""COMPUTED_VALUE"""),TRUE)</f>
        <v>1</v>
      </c>
      <c r="L429" s="35" t="str">
        <f>IFERROR(__xludf.DUMMYFUNCTION("""COMPUTED_VALUE"""),"String;Tree;Depth-First Search;Breadth-First Search;")</f>
        <v>String;Tree;Depth-First Search;Breadth-First Search;</v>
      </c>
      <c r="M429" s="35" t="b">
        <f>IFERROR(__xludf.DUMMYFUNCTION("""COMPUTED_VALUE"""),TRUE)</f>
        <v>1</v>
      </c>
      <c r="N429" s="35" t="b">
        <f>IFERROR(__xludf.DUMMYFUNCTION("""COMPUTED_VALUE"""),FALSE)</f>
        <v>0</v>
      </c>
      <c r="O429" s="35">
        <f>IFERROR(__xludf.DUMMYFUNCTION("""COMPUTED_VALUE"""),64.0599410415984)</f>
        <v>64.05994104</v>
      </c>
      <c r="P429" s="35">
        <f>IFERROR(__xludf.DUMMYFUNCTION("""COMPUTED_VALUE"""),62583.0)</f>
        <v>62583</v>
      </c>
      <c r="Q429" s="35">
        <f>IFERROR(__xludf.DUMMYFUNCTION("""COMPUTED_VALUE"""),97695.0)</f>
        <v>97695</v>
      </c>
    </row>
    <row r="430">
      <c r="A430" s="35">
        <f>IFERROR(__xludf.DUMMYFUNCTION("""COMPUTED_VALUE"""),764.0)</f>
        <v>764</v>
      </c>
      <c r="B430" s="35" t="str">
        <f>IFERROR(__xludf.DUMMYFUNCTION("""COMPUTED_VALUE"""),"N-ary Tree Level Order Traversal")</f>
        <v>N-ary Tree Level Order Traversal</v>
      </c>
      <c r="C430" s="35" t="str">
        <f>IFERROR(__xludf.DUMMYFUNCTION("""COMPUTED_VALUE"""),"n-ary-tree-level-order-traversal")</f>
        <v>n-ary-tree-level-order-traversal</v>
      </c>
      <c r="D430" s="35" t="b">
        <f>IFERROR(__xludf.DUMMYFUNCTION("""COMPUTED_VALUE"""),FALSE)</f>
        <v>0</v>
      </c>
      <c r="E430" s="35" t="str">
        <f>IFERROR(__xludf.DUMMYFUNCTION("""COMPUTED_VALUE"""),"Medium")</f>
        <v>Medium</v>
      </c>
      <c r="F430" s="35">
        <f>IFERROR(__xludf.DUMMYFUNCTION("""COMPUTED_VALUE"""),1702.0)</f>
        <v>1702</v>
      </c>
      <c r="G430" s="35">
        <f>IFERROR(__xludf.DUMMYFUNCTION("""COMPUTED_VALUE"""),82.0)</f>
        <v>82</v>
      </c>
      <c r="H430" s="35" t="str">
        <f>IFERROR(__xludf.DUMMYFUNCTION("""COMPUTED_VALUE"""),"Algorithms")</f>
        <v>Algorithms</v>
      </c>
      <c r="I430" s="35">
        <f>IFERROR(__xludf.DUMMYFUNCTION("""COMPUTED_VALUE"""),0.687)</f>
        <v>0.687</v>
      </c>
      <c r="J430" s="35">
        <f>IFERROR(__xludf.DUMMYFUNCTION("""COMPUTED_VALUE"""),429.0)</f>
        <v>429</v>
      </c>
      <c r="K430" s="35" t="b">
        <f>IFERROR(__xludf.DUMMYFUNCTION("""COMPUTED_VALUE"""),FALSE)</f>
        <v>0</v>
      </c>
      <c r="L430" s="35" t="str">
        <f>IFERROR(__xludf.DUMMYFUNCTION("""COMPUTED_VALUE"""),"Tree;Breadth-First Search;")</f>
        <v>Tree;Breadth-First Search;</v>
      </c>
      <c r="M430" s="35" t="b">
        <f>IFERROR(__xludf.DUMMYFUNCTION("""COMPUTED_VALUE"""),TRUE)</f>
        <v>1</v>
      </c>
      <c r="N430" s="35" t="b">
        <f>IFERROR(__xludf.DUMMYFUNCTION("""COMPUTED_VALUE"""),FALSE)</f>
        <v>0</v>
      </c>
      <c r="O430" s="35">
        <f>IFERROR(__xludf.DUMMYFUNCTION("""COMPUTED_VALUE"""),68.6702422785278)</f>
        <v>68.67024228</v>
      </c>
      <c r="P430" s="35">
        <f>IFERROR(__xludf.DUMMYFUNCTION("""COMPUTED_VALUE"""),167085.0)</f>
        <v>167085</v>
      </c>
      <c r="Q430" s="35">
        <f>IFERROR(__xludf.DUMMYFUNCTION("""COMPUTED_VALUE"""),243315.0)</f>
        <v>243315</v>
      </c>
    </row>
    <row r="431">
      <c r="A431" s="35">
        <f>IFERROR(__xludf.DUMMYFUNCTION("""COMPUTED_VALUE"""),766.0)</f>
        <v>766</v>
      </c>
      <c r="B431" s="35" t="str">
        <f>IFERROR(__xludf.DUMMYFUNCTION("""COMPUTED_VALUE"""),"Flatten a Multilevel Doubly Linked List")</f>
        <v>Flatten a Multilevel Doubly Linked List</v>
      </c>
      <c r="C431" s="35" t="str">
        <f>IFERROR(__xludf.DUMMYFUNCTION("""COMPUTED_VALUE"""),"flatten-a-multilevel-doubly-linked-list")</f>
        <v>flatten-a-multilevel-doubly-linked-list</v>
      </c>
      <c r="D431" s="35" t="b">
        <f>IFERROR(__xludf.DUMMYFUNCTION("""COMPUTED_VALUE"""),FALSE)</f>
        <v>0</v>
      </c>
      <c r="E431" s="35" t="str">
        <f>IFERROR(__xludf.DUMMYFUNCTION("""COMPUTED_VALUE"""),"Medium")</f>
        <v>Medium</v>
      </c>
      <c r="F431" s="35">
        <f>IFERROR(__xludf.DUMMYFUNCTION("""COMPUTED_VALUE"""),3490.0)</f>
        <v>3490</v>
      </c>
      <c r="G431" s="35">
        <f>IFERROR(__xludf.DUMMYFUNCTION("""COMPUTED_VALUE"""),246.0)</f>
        <v>246</v>
      </c>
      <c r="H431" s="35" t="str">
        <f>IFERROR(__xludf.DUMMYFUNCTION("""COMPUTED_VALUE"""),"Algorithms")</f>
        <v>Algorithms</v>
      </c>
      <c r="I431" s="35">
        <f>IFERROR(__xludf.DUMMYFUNCTION("""COMPUTED_VALUE"""),0.588)</f>
        <v>0.588</v>
      </c>
      <c r="J431" s="35">
        <f>IFERROR(__xludf.DUMMYFUNCTION("""COMPUTED_VALUE"""),430.0)</f>
        <v>430</v>
      </c>
      <c r="K431" s="35" t="b">
        <f>IFERROR(__xludf.DUMMYFUNCTION("""COMPUTED_VALUE"""),FALSE)</f>
        <v>0</v>
      </c>
      <c r="L431" s="35" t="str">
        <f>IFERROR(__xludf.DUMMYFUNCTION("""COMPUTED_VALUE"""),"Linked List;Depth-First Search;Doubly-Linked List;")</f>
        <v>Linked List;Depth-First Search;Doubly-Linked List;</v>
      </c>
      <c r="M431" s="35" t="b">
        <f>IFERROR(__xludf.DUMMYFUNCTION("""COMPUTED_VALUE"""),TRUE)</f>
        <v>1</v>
      </c>
      <c r="N431" s="35" t="b">
        <f>IFERROR(__xludf.DUMMYFUNCTION("""COMPUTED_VALUE"""),FALSE)</f>
        <v>0</v>
      </c>
      <c r="O431" s="35">
        <f>IFERROR(__xludf.DUMMYFUNCTION("""COMPUTED_VALUE"""),58.817928870017)</f>
        <v>58.81792887</v>
      </c>
      <c r="P431" s="35">
        <f>IFERROR(__xludf.DUMMYFUNCTION("""COMPUTED_VALUE"""),223013.0)</f>
        <v>223013</v>
      </c>
      <c r="Q431" s="35">
        <f>IFERROR(__xludf.DUMMYFUNCTION("""COMPUTED_VALUE"""),379160.0)</f>
        <v>379160</v>
      </c>
    </row>
    <row r="432">
      <c r="A432" s="35">
        <f>IFERROR(__xludf.DUMMYFUNCTION("""COMPUTED_VALUE"""),771.0)</f>
        <v>771</v>
      </c>
      <c r="B432" s="35" t="str">
        <f>IFERROR(__xludf.DUMMYFUNCTION("""COMPUTED_VALUE"""),"Encode N-ary Tree to Binary Tree")</f>
        <v>Encode N-ary Tree to Binary Tree</v>
      </c>
      <c r="C432" s="35" t="str">
        <f>IFERROR(__xludf.DUMMYFUNCTION("""COMPUTED_VALUE"""),"encode-n-ary-tree-to-binary-tree")</f>
        <v>encode-n-ary-tree-to-binary-tree</v>
      </c>
      <c r="D432" s="35" t="b">
        <f>IFERROR(__xludf.DUMMYFUNCTION("""COMPUTED_VALUE"""),TRUE)</f>
        <v>1</v>
      </c>
      <c r="E432" s="35" t="str">
        <f>IFERROR(__xludf.DUMMYFUNCTION("""COMPUTED_VALUE"""),"Hard")</f>
        <v>Hard</v>
      </c>
      <c r="F432" s="35">
        <f>IFERROR(__xludf.DUMMYFUNCTION("""COMPUTED_VALUE"""),379.0)</f>
        <v>379</v>
      </c>
      <c r="G432" s="35">
        <f>IFERROR(__xludf.DUMMYFUNCTION("""COMPUTED_VALUE"""),20.0)</f>
        <v>20</v>
      </c>
      <c r="H432" s="35" t="str">
        <f>IFERROR(__xludf.DUMMYFUNCTION("""COMPUTED_VALUE"""),"Algorithms")</f>
        <v>Algorithms</v>
      </c>
      <c r="I432" s="35">
        <f>IFERROR(__xludf.DUMMYFUNCTION("""COMPUTED_VALUE"""),0.762)</f>
        <v>0.762</v>
      </c>
      <c r="J432" s="35">
        <f>IFERROR(__xludf.DUMMYFUNCTION("""COMPUTED_VALUE"""),431.0)</f>
        <v>431</v>
      </c>
      <c r="K432" s="35" t="b">
        <f>IFERROR(__xludf.DUMMYFUNCTION("""COMPUTED_VALUE"""),TRUE)</f>
        <v>1</v>
      </c>
      <c r="L432" s="35" t="str">
        <f>IFERROR(__xludf.DUMMYFUNCTION("""COMPUTED_VALUE"""),"Tree;Depth-First Search;Breadth-First Search;Design;Binary Tree;")</f>
        <v>Tree;Depth-First Search;Breadth-First Search;Design;Binary Tree;</v>
      </c>
      <c r="M432" s="35" t="b">
        <f>IFERROR(__xludf.DUMMYFUNCTION("""COMPUTED_VALUE"""),TRUE)</f>
        <v>1</v>
      </c>
      <c r="N432" s="35" t="b">
        <f>IFERROR(__xludf.DUMMYFUNCTION("""COMPUTED_VALUE"""),FALSE)</f>
        <v>0</v>
      </c>
      <c r="O432" s="35">
        <f>IFERROR(__xludf.DUMMYFUNCTION("""COMPUTED_VALUE"""),76.1693464188766)</f>
        <v>76.16934642</v>
      </c>
      <c r="P432" s="35">
        <f>IFERROR(__xludf.DUMMYFUNCTION("""COMPUTED_VALUE"""),14590.0)</f>
        <v>14590</v>
      </c>
      <c r="Q432" s="35">
        <f>IFERROR(__xludf.DUMMYFUNCTION("""COMPUTED_VALUE"""),19154.0)</f>
        <v>19154</v>
      </c>
    </row>
    <row r="433">
      <c r="A433" s="35">
        <f>IFERROR(__xludf.DUMMYFUNCTION("""COMPUTED_VALUE"""),432.0)</f>
        <v>432</v>
      </c>
      <c r="B433" s="35" t="str">
        <f>IFERROR(__xludf.DUMMYFUNCTION("""COMPUTED_VALUE"""),"All O`one Data Structure")</f>
        <v>All O`one Data Structure</v>
      </c>
      <c r="C433" s="35" t="str">
        <f>IFERROR(__xludf.DUMMYFUNCTION("""COMPUTED_VALUE"""),"all-oone-data-structure")</f>
        <v>all-oone-data-structure</v>
      </c>
      <c r="D433" s="35" t="b">
        <f>IFERROR(__xludf.DUMMYFUNCTION("""COMPUTED_VALUE"""),FALSE)</f>
        <v>0</v>
      </c>
      <c r="E433" s="35" t="str">
        <f>IFERROR(__xludf.DUMMYFUNCTION("""COMPUTED_VALUE"""),"Hard")</f>
        <v>Hard</v>
      </c>
      <c r="F433" s="35">
        <f>IFERROR(__xludf.DUMMYFUNCTION("""COMPUTED_VALUE"""),1039.0)</f>
        <v>1039</v>
      </c>
      <c r="G433" s="35">
        <f>IFERROR(__xludf.DUMMYFUNCTION("""COMPUTED_VALUE"""),124.0)</f>
        <v>124</v>
      </c>
      <c r="H433" s="35" t="str">
        <f>IFERROR(__xludf.DUMMYFUNCTION("""COMPUTED_VALUE"""),"Algorithms")</f>
        <v>Algorithms</v>
      </c>
      <c r="I433" s="35">
        <f>IFERROR(__xludf.DUMMYFUNCTION("""COMPUTED_VALUE"""),0.355)</f>
        <v>0.355</v>
      </c>
      <c r="J433" s="35">
        <f>IFERROR(__xludf.DUMMYFUNCTION("""COMPUTED_VALUE"""),432.0)</f>
        <v>432</v>
      </c>
      <c r="K433" s="35" t="b">
        <f>IFERROR(__xludf.DUMMYFUNCTION("""COMPUTED_VALUE"""),FALSE)</f>
        <v>0</v>
      </c>
      <c r="L433" s="35" t="str">
        <f>IFERROR(__xludf.DUMMYFUNCTION("""COMPUTED_VALUE"""),"Hash Table;Linked List;Design;Doubly-Linked List;")</f>
        <v>Hash Table;Linked List;Design;Doubly-Linked List;</v>
      </c>
      <c r="M433" s="35" t="b">
        <f>IFERROR(__xludf.DUMMYFUNCTION("""COMPUTED_VALUE"""),FALSE)</f>
        <v>0</v>
      </c>
      <c r="N433" s="35" t="b">
        <f>IFERROR(__xludf.DUMMYFUNCTION("""COMPUTED_VALUE"""),FALSE)</f>
        <v>0</v>
      </c>
      <c r="O433" s="35">
        <f>IFERROR(__xludf.DUMMYFUNCTION("""COMPUTED_VALUE"""),35.4862618802432)</f>
        <v>35.48626188</v>
      </c>
      <c r="P433" s="35">
        <f>IFERROR(__xludf.DUMMYFUNCTION("""COMPUTED_VALUE"""),54102.0)</f>
        <v>54102</v>
      </c>
      <c r="Q433" s="35">
        <f>IFERROR(__xludf.DUMMYFUNCTION("""COMPUTED_VALUE"""),152459.0)</f>
        <v>152459</v>
      </c>
    </row>
    <row r="434">
      <c r="A434" s="35">
        <f>IFERROR(__xludf.DUMMYFUNCTION("""COMPUTED_VALUE"""),433.0)</f>
        <v>433</v>
      </c>
      <c r="B434" s="35" t="str">
        <f>IFERROR(__xludf.DUMMYFUNCTION("""COMPUTED_VALUE"""),"Minimum Genetic Mutation")</f>
        <v>Minimum Genetic Mutation</v>
      </c>
      <c r="C434" s="35" t="str">
        <f>IFERROR(__xludf.DUMMYFUNCTION("""COMPUTED_VALUE"""),"minimum-genetic-mutation")</f>
        <v>minimum-genetic-mutation</v>
      </c>
      <c r="D434" s="35" t="b">
        <f>IFERROR(__xludf.DUMMYFUNCTION("""COMPUTED_VALUE"""),FALSE)</f>
        <v>0</v>
      </c>
      <c r="E434" s="35" t="str">
        <f>IFERROR(__xludf.DUMMYFUNCTION("""COMPUTED_VALUE"""),"Medium")</f>
        <v>Medium</v>
      </c>
      <c r="F434" s="35">
        <f>IFERROR(__xludf.DUMMYFUNCTION("""COMPUTED_VALUE"""),816.0)</f>
        <v>816</v>
      </c>
      <c r="G434" s="35">
        <f>IFERROR(__xludf.DUMMYFUNCTION("""COMPUTED_VALUE"""),96.0)</f>
        <v>96</v>
      </c>
      <c r="H434" s="35" t="str">
        <f>IFERROR(__xludf.DUMMYFUNCTION("""COMPUTED_VALUE"""),"Algorithms")</f>
        <v>Algorithms</v>
      </c>
      <c r="I434" s="35">
        <f>IFERROR(__xludf.DUMMYFUNCTION("""COMPUTED_VALUE"""),0.459)</f>
        <v>0.459</v>
      </c>
      <c r="J434" s="35">
        <f>IFERROR(__xludf.DUMMYFUNCTION("""COMPUTED_VALUE"""),433.0)</f>
        <v>433</v>
      </c>
      <c r="K434" s="35" t="b">
        <f>IFERROR(__xludf.DUMMYFUNCTION("""COMPUTED_VALUE"""),FALSE)</f>
        <v>0</v>
      </c>
      <c r="L434" s="35" t="str">
        <f>IFERROR(__xludf.DUMMYFUNCTION("""COMPUTED_VALUE"""),"Hash Table;String;Breadth-First Search;")</f>
        <v>Hash Table;String;Breadth-First Search;</v>
      </c>
      <c r="M434" s="35" t="b">
        <f>IFERROR(__xludf.DUMMYFUNCTION("""COMPUTED_VALUE"""),FALSE)</f>
        <v>0</v>
      </c>
      <c r="N434" s="35" t="b">
        <f>IFERROR(__xludf.DUMMYFUNCTION("""COMPUTED_VALUE"""),FALSE)</f>
        <v>0</v>
      </c>
      <c r="O434" s="35">
        <f>IFERROR(__xludf.DUMMYFUNCTION("""COMPUTED_VALUE"""),45.9321459018948)</f>
        <v>45.9321459</v>
      </c>
      <c r="P434" s="35">
        <f>IFERROR(__xludf.DUMMYFUNCTION("""COMPUTED_VALUE"""),50105.0)</f>
        <v>50105</v>
      </c>
      <c r="Q434" s="35">
        <f>IFERROR(__xludf.DUMMYFUNCTION("""COMPUTED_VALUE"""),109086.0)</f>
        <v>109086</v>
      </c>
    </row>
    <row r="435">
      <c r="A435" s="35">
        <f>IFERROR(__xludf.DUMMYFUNCTION("""COMPUTED_VALUE"""),434.0)</f>
        <v>434</v>
      </c>
      <c r="B435" s="35" t="str">
        <f>IFERROR(__xludf.DUMMYFUNCTION("""COMPUTED_VALUE"""),"Number of Segments in a String")</f>
        <v>Number of Segments in a String</v>
      </c>
      <c r="C435" s="35" t="str">
        <f>IFERROR(__xludf.DUMMYFUNCTION("""COMPUTED_VALUE"""),"number-of-segments-in-a-string")</f>
        <v>number-of-segments-in-a-string</v>
      </c>
      <c r="D435" s="35" t="b">
        <f>IFERROR(__xludf.DUMMYFUNCTION("""COMPUTED_VALUE"""),FALSE)</f>
        <v>0</v>
      </c>
      <c r="E435" s="35" t="str">
        <f>IFERROR(__xludf.DUMMYFUNCTION("""COMPUTED_VALUE"""),"Easy")</f>
        <v>Easy</v>
      </c>
      <c r="F435" s="35">
        <f>IFERROR(__xludf.DUMMYFUNCTION("""COMPUTED_VALUE"""),418.0)</f>
        <v>418</v>
      </c>
      <c r="G435" s="35">
        <f>IFERROR(__xludf.DUMMYFUNCTION("""COMPUTED_VALUE"""),986.0)</f>
        <v>986</v>
      </c>
      <c r="H435" s="35" t="str">
        <f>IFERROR(__xludf.DUMMYFUNCTION("""COMPUTED_VALUE"""),"Algorithms")</f>
        <v>Algorithms</v>
      </c>
      <c r="I435" s="35">
        <f>IFERROR(__xludf.DUMMYFUNCTION("""COMPUTED_VALUE"""),0.379)</f>
        <v>0.379</v>
      </c>
      <c r="J435" s="35">
        <f>IFERROR(__xludf.DUMMYFUNCTION("""COMPUTED_VALUE"""),434.0)</f>
        <v>434</v>
      </c>
      <c r="K435" s="35" t="b">
        <f>IFERROR(__xludf.DUMMYFUNCTION("""COMPUTED_VALUE"""),FALSE)</f>
        <v>0</v>
      </c>
      <c r="L435" s="35" t="str">
        <f>IFERROR(__xludf.DUMMYFUNCTION("""COMPUTED_VALUE"""),"String;")</f>
        <v>String;</v>
      </c>
      <c r="M435" s="35" t="b">
        <f>IFERROR(__xludf.DUMMYFUNCTION("""COMPUTED_VALUE"""),TRUE)</f>
        <v>1</v>
      </c>
      <c r="N435" s="35" t="b">
        <f>IFERROR(__xludf.DUMMYFUNCTION("""COMPUTED_VALUE"""),FALSE)</f>
        <v>0</v>
      </c>
      <c r="O435" s="35">
        <f>IFERROR(__xludf.DUMMYFUNCTION("""COMPUTED_VALUE"""),37.9105802325266)</f>
        <v>37.91058023</v>
      </c>
      <c r="P435" s="35">
        <f>IFERROR(__xludf.DUMMYFUNCTION("""COMPUTED_VALUE"""),111909.0)</f>
        <v>111909</v>
      </c>
      <c r="Q435" s="35">
        <f>IFERROR(__xludf.DUMMYFUNCTION("""COMPUTED_VALUE"""),295192.0)</f>
        <v>295192</v>
      </c>
    </row>
    <row r="436">
      <c r="A436" s="35">
        <f>IFERROR(__xludf.DUMMYFUNCTION("""COMPUTED_VALUE"""),435.0)</f>
        <v>435</v>
      </c>
      <c r="B436" s="35" t="str">
        <f>IFERROR(__xludf.DUMMYFUNCTION("""COMPUTED_VALUE"""),"Non-overlapping Intervals")</f>
        <v>Non-overlapping Intervals</v>
      </c>
      <c r="C436" s="35" t="str">
        <f>IFERROR(__xludf.DUMMYFUNCTION("""COMPUTED_VALUE"""),"non-overlapping-intervals")</f>
        <v>non-overlapping-intervals</v>
      </c>
      <c r="D436" s="35" t="b">
        <f>IFERROR(__xludf.DUMMYFUNCTION("""COMPUTED_VALUE"""),FALSE)</f>
        <v>0</v>
      </c>
      <c r="E436" s="35" t="str">
        <f>IFERROR(__xludf.DUMMYFUNCTION("""COMPUTED_VALUE"""),"Medium")</f>
        <v>Medium</v>
      </c>
      <c r="F436" s="35">
        <f>IFERROR(__xludf.DUMMYFUNCTION("""COMPUTED_VALUE"""),3643.0)</f>
        <v>3643</v>
      </c>
      <c r="G436" s="35">
        <f>IFERROR(__xludf.DUMMYFUNCTION("""COMPUTED_VALUE"""),101.0)</f>
        <v>101</v>
      </c>
      <c r="H436" s="35" t="str">
        <f>IFERROR(__xludf.DUMMYFUNCTION("""COMPUTED_VALUE"""),"Algorithms")</f>
        <v>Algorithms</v>
      </c>
      <c r="I436" s="35">
        <f>IFERROR(__xludf.DUMMYFUNCTION("""COMPUTED_VALUE"""),0.478)</f>
        <v>0.478</v>
      </c>
      <c r="J436" s="35">
        <f>IFERROR(__xludf.DUMMYFUNCTION("""COMPUTED_VALUE"""),435.0)</f>
        <v>435</v>
      </c>
      <c r="K436" s="35" t="b">
        <f>IFERROR(__xludf.DUMMYFUNCTION("""COMPUTED_VALUE"""),FALSE)</f>
        <v>0</v>
      </c>
      <c r="L436" s="35" t="str">
        <f>IFERROR(__xludf.DUMMYFUNCTION("""COMPUTED_VALUE"""),"Array;Dynamic Programming;Greedy;Sorting;")</f>
        <v>Array;Dynamic Programming;Greedy;Sorting;</v>
      </c>
      <c r="M436" s="35" t="b">
        <f>IFERROR(__xludf.DUMMYFUNCTION("""COMPUTED_VALUE"""),TRUE)</f>
        <v>1</v>
      </c>
      <c r="N436" s="35" t="b">
        <f>IFERROR(__xludf.DUMMYFUNCTION("""COMPUTED_VALUE"""),FALSE)</f>
        <v>0</v>
      </c>
      <c r="O436" s="35">
        <f>IFERROR(__xludf.DUMMYFUNCTION("""COMPUTED_VALUE"""),47.8043901624161)</f>
        <v>47.80439016</v>
      </c>
      <c r="P436" s="35">
        <f>IFERROR(__xludf.DUMMYFUNCTION("""COMPUTED_VALUE"""),226071.0)</f>
        <v>226071</v>
      </c>
      <c r="Q436" s="35">
        <f>IFERROR(__xludf.DUMMYFUNCTION("""COMPUTED_VALUE"""),472908.0)</f>
        <v>472908</v>
      </c>
    </row>
    <row r="437">
      <c r="A437" s="35">
        <f>IFERROR(__xludf.DUMMYFUNCTION("""COMPUTED_VALUE"""),436.0)</f>
        <v>436</v>
      </c>
      <c r="B437" s="35" t="str">
        <f>IFERROR(__xludf.DUMMYFUNCTION("""COMPUTED_VALUE"""),"Find Right Interval")</f>
        <v>Find Right Interval</v>
      </c>
      <c r="C437" s="35" t="str">
        <f>IFERROR(__xludf.DUMMYFUNCTION("""COMPUTED_VALUE"""),"find-right-interval")</f>
        <v>find-right-interval</v>
      </c>
      <c r="D437" s="35" t="b">
        <f>IFERROR(__xludf.DUMMYFUNCTION("""COMPUTED_VALUE"""),FALSE)</f>
        <v>0</v>
      </c>
      <c r="E437" s="35" t="str">
        <f>IFERROR(__xludf.DUMMYFUNCTION("""COMPUTED_VALUE"""),"Medium")</f>
        <v>Medium</v>
      </c>
      <c r="F437" s="35">
        <f>IFERROR(__xludf.DUMMYFUNCTION("""COMPUTED_VALUE"""),1115.0)</f>
        <v>1115</v>
      </c>
      <c r="G437" s="35">
        <f>IFERROR(__xludf.DUMMYFUNCTION("""COMPUTED_VALUE"""),240.0)</f>
        <v>240</v>
      </c>
      <c r="H437" s="35" t="str">
        <f>IFERROR(__xludf.DUMMYFUNCTION("""COMPUTED_VALUE"""),"Algorithms")</f>
        <v>Algorithms</v>
      </c>
      <c r="I437" s="35">
        <f>IFERROR(__xludf.DUMMYFUNCTION("""COMPUTED_VALUE"""),0.493)</f>
        <v>0.493</v>
      </c>
      <c r="J437" s="35">
        <f>IFERROR(__xludf.DUMMYFUNCTION("""COMPUTED_VALUE"""),436.0)</f>
        <v>436</v>
      </c>
      <c r="K437" s="35" t="b">
        <f>IFERROR(__xludf.DUMMYFUNCTION("""COMPUTED_VALUE"""),FALSE)</f>
        <v>0</v>
      </c>
      <c r="L437" s="35" t="str">
        <f>IFERROR(__xludf.DUMMYFUNCTION("""COMPUTED_VALUE"""),"Array;Binary Search;Sorting;")</f>
        <v>Array;Binary Search;Sorting;</v>
      </c>
      <c r="M437" s="35" t="b">
        <f>IFERROR(__xludf.DUMMYFUNCTION("""COMPUTED_VALUE"""),TRUE)</f>
        <v>1</v>
      </c>
      <c r="N437" s="35" t="b">
        <f>IFERROR(__xludf.DUMMYFUNCTION("""COMPUTED_VALUE"""),FALSE)</f>
        <v>0</v>
      </c>
      <c r="O437" s="35">
        <f>IFERROR(__xludf.DUMMYFUNCTION("""COMPUTED_VALUE"""),49.2977917398133)</f>
        <v>49.29779174</v>
      </c>
      <c r="P437" s="35">
        <f>IFERROR(__xludf.DUMMYFUNCTION("""COMPUTED_VALUE"""),74697.0)</f>
        <v>74697</v>
      </c>
      <c r="Q437" s="35">
        <f>IFERROR(__xludf.DUMMYFUNCTION("""COMPUTED_VALUE"""),151522.0)</f>
        <v>151522</v>
      </c>
    </row>
    <row r="438">
      <c r="A438" s="35">
        <f>IFERROR(__xludf.DUMMYFUNCTION("""COMPUTED_VALUE"""),437.0)</f>
        <v>437</v>
      </c>
      <c r="B438" s="35" t="str">
        <f>IFERROR(__xludf.DUMMYFUNCTION("""COMPUTED_VALUE"""),"Path Sum III")</f>
        <v>Path Sum III</v>
      </c>
      <c r="C438" s="35" t="str">
        <f>IFERROR(__xludf.DUMMYFUNCTION("""COMPUTED_VALUE"""),"path-sum-iii")</f>
        <v>path-sum-iii</v>
      </c>
      <c r="D438" s="35" t="b">
        <f>IFERROR(__xludf.DUMMYFUNCTION("""COMPUTED_VALUE"""),FALSE)</f>
        <v>0</v>
      </c>
      <c r="E438" s="35" t="str">
        <f>IFERROR(__xludf.DUMMYFUNCTION("""COMPUTED_VALUE"""),"Medium")</f>
        <v>Medium</v>
      </c>
      <c r="F438" s="35">
        <f>IFERROR(__xludf.DUMMYFUNCTION("""COMPUTED_VALUE"""),7174.0)</f>
        <v>7174</v>
      </c>
      <c r="G438" s="35">
        <f>IFERROR(__xludf.DUMMYFUNCTION("""COMPUTED_VALUE"""),357.0)</f>
        <v>357</v>
      </c>
      <c r="H438" s="35" t="str">
        <f>IFERROR(__xludf.DUMMYFUNCTION("""COMPUTED_VALUE"""),"Algorithms")</f>
        <v>Algorithms</v>
      </c>
      <c r="I438" s="35">
        <f>IFERROR(__xludf.DUMMYFUNCTION("""COMPUTED_VALUE"""),0.501)</f>
        <v>0.501</v>
      </c>
      <c r="J438" s="35">
        <f>IFERROR(__xludf.DUMMYFUNCTION("""COMPUTED_VALUE"""),437.0)</f>
        <v>437</v>
      </c>
      <c r="K438" s="35" t="b">
        <f>IFERROR(__xludf.DUMMYFUNCTION("""COMPUTED_VALUE"""),FALSE)</f>
        <v>0</v>
      </c>
      <c r="L438" s="35" t="str">
        <f>IFERROR(__xludf.DUMMYFUNCTION("""COMPUTED_VALUE"""),"Tree;Depth-First Search;Binary Tree;")</f>
        <v>Tree;Depth-First Search;Binary Tree;</v>
      </c>
      <c r="M438" s="35" t="b">
        <f>IFERROR(__xludf.DUMMYFUNCTION("""COMPUTED_VALUE"""),TRUE)</f>
        <v>1</v>
      </c>
      <c r="N438" s="35" t="b">
        <f>IFERROR(__xludf.DUMMYFUNCTION("""COMPUTED_VALUE"""),FALSE)</f>
        <v>0</v>
      </c>
      <c r="O438" s="35">
        <f>IFERROR(__xludf.DUMMYFUNCTION("""COMPUTED_VALUE"""),50.1257653649199)</f>
        <v>50.12576536</v>
      </c>
      <c r="P438" s="35">
        <f>IFERROR(__xludf.DUMMYFUNCTION("""COMPUTED_VALUE"""),350137.0)</f>
        <v>350137</v>
      </c>
      <c r="Q438" s="35">
        <f>IFERROR(__xludf.DUMMYFUNCTION("""COMPUTED_VALUE"""),698519.0)</f>
        <v>698519</v>
      </c>
    </row>
    <row r="439">
      <c r="A439" s="35">
        <f>IFERROR(__xludf.DUMMYFUNCTION("""COMPUTED_VALUE"""),438.0)</f>
        <v>438</v>
      </c>
      <c r="B439" s="35" t="str">
        <f>IFERROR(__xludf.DUMMYFUNCTION("""COMPUTED_VALUE"""),"Find All Anagrams in a String")</f>
        <v>Find All Anagrams in a String</v>
      </c>
      <c r="C439" s="35" t="str">
        <f>IFERROR(__xludf.DUMMYFUNCTION("""COMPUTED_VALUE"""),"find-all-anagrams-in-a-string")</f>
        <v>find-all-anagrams-in-a-string</v>
      </c>
      <c r="D439" s="35" t="b">
        <f>IFERROR(__xludf.DUMMYFUNCTION("""COMPUTED_VALUE"""),FALSE)</f>
        <v>0</v>
      </c>
      <c r="E439" s="35" t="str">
        <f>IFERROR(__xludf.DUMMYFUNCTION("""COMPUTED_VALUE"""),"Medium")</f>
        <v>Medium</v>
      </c>
      <c r="F439" s="35">
        <f>IFERROR(__xludf.DUMMYFUNCTION("""COMPUTED_VALUE"""),7088.0)</f>
        <v>7088</v>
      </c>
      <c r="G439" s="35">
        <f>IFERROR(__xludf.DUMMYFUNCTION("""COMPUTED_VALUE"""),248.0)</f>
        <v>248</v>
      </c>
      <c r="H439" s="35" t="str">
        <f>IFERROR(__xludf.DUMMYFUNCTION("""COMPUTED_VALUE"""),"Algorithms")</f>
        <v>Algorithms</v>
      </c>
      <c r="I439" s="35">
        <f>IFERROR(__xludf.DUMMYFUNCTION("""COMPUTED_VALUE"""),0.48)</f>
        <v>0.48</v>
      </c>
      <c r="J439" s="35">
        <f>IFERROR(__xludf.DUMMYFUNCTION("""COMPUTED_VALUE"""),438.0)</f>
        <v>438</v>
      </c>
      <c r="K439" s="35" t="b">
        <f>IFERROR(__xludf.DUMMYFUNCTION("""COMPUTED_VALUE"""),FALSE)</f>
        <v>0</v>
      </c>
      <c r="L439" s="35" t="str">
        <f>IFERROR(__xludf.DUMMYFUNCTION("""COMPUTED_VALUE"""),"Hash Table;String;Sliding Window;")</f>
        <v>Hash Table;String;Sliding Window;</v>
      </c>
      <c r="M439" s="35" t="b">
        <f>IFERROR(__xludf.DUMMYFUNCTION("""COMPUTED_VALUE"""),TRUE)</f>
        <v>1</v>
      </c>
      <c r="N439" s="35" t="b">
        <f>IFERROR(__xludf.DUMMYFUNCTION("""COMPUTED_VALUE"""),FALSE)</f>
        <v>0</v>
      </c>
      <c r="O439" s="35">
        <f>IFERROR(__xludf.DUMMYFUNCTION("""COMPUTED_VALUE"""),47.9913276610999)</f>
        <v>47.99132766</v>
      </c>
      <c r="P439" s="35">
        <f>IFERROR(__xludf.DUMMYFUNCTION("""COMPUTED_VALUE"""),503352.0)</f>
        <v>503352</v>
      </c>
      <c r="Q439" s="35">
        <f>IFERROR(__xludf.DUMMYFUNCTION("""COMPUTED_VALUE"""),1048845.0)</f>
        <v>1048845</v>
      </c>
    </row>
    <row r="440">
      <c r="A440" s="35">
        <f>IFERROR(__xludf.DUMMYFUNCTION("""COMPUTED_VALUE"""),439.0)</f>
        <v>439</v>
      </c>
      <c r="B440" s="35" t="str">
        <f>IFERROR(__xludf.DUMMYFUNCTION("""COMPUTED_VALUE"""),"Ternary Expression Parser")</f>
        <v>Ternary Expression Parser</v>
      </c>
      <c r="C440" s="35" t="str">
        <f>IFERROR(__xludf.DUMMYFUNCTION("""COMPUTED_VALUE"""),"ternary-expression-parser")</f>
        <v>ternary-expression-parser</v>
      </c>
      <c r="D440" s="35" t="b">
        <f>IFERROR(__xludf.DUMMYFUNCTION("""COMPUTED_VALUE"""),TRUE)</f>
        <v>1</v>
      </c>
      <c r="E440" s="35" t="str">
        <f>IFERROR(__xludf.DUMMYFUNCTION("""COMPUTED_VALUE"""),"Medium")</f>
        <v>Medium</v>
      </c>
      <c r="F440" s="35">
        <f>IFERROR(__xludf.DUMMYFUNCTION("""COMPUTED_VALUE"""),329.0)</f>
        <v>329</v>
      </c>
      <c r="G440" s="35">
        <f>IFERROR(__xludf.DUMMYFUNCTION("""COMPUTED_VALUE"""),41.0)</f>
        <v>41</v>
      </c>
      <c r="H440" s="35" t="str">
        <f>IFERROR(__xludf.DUMMYFUNCTION("""COMPUTED_VALUE"""),"Algorithms")</f>
        <v>Algorithms</v>
      </c>
      <c r="I440" s="35">
        <f>IFERROR(__xludf.DUMMYFUNCTION("""COMPUTED_VALUE"""),0.578)</f>
        <v>0.578</v>
      </c>
      <c r="J440" s="35">
        <f>IFERROR(__xludf.DUMMYFUNCTION("""COMPUTED_VALUE"""),439.0)</f>
        <v>439</v>
      </c>
      <c r="K440" s="35" t="b">
        <f>IFERROR(__xludf.DUMMYFUNCTION("""COMPUTED_VALUE"""),TRUE)</f>
        <v>1</v>
      </c>
      <c r="L440" s="35" t="str">
        <f>IFERROR(__xludf.DUMMYFUNCTION("""COMPUTED_VALUE"""),"String;Stack;Recursion;")</f>
        <v>String;Stack;Recursion;</v>
      </c>
      <c r="M440" s="35" t="b">
        <f>IFERROR(__xludf.DUMMYFUNCTION("""COMPUTED_VALUE"""),FALSE)</f>
        <v>0</v>
      </c>
      <c r="N440" s="35" t="b">
        <f>IFERROR(__xludf.DUMMYFUNCTION("""COMPUTED_VALUE"""),FALSE)</f>
        <v>0</v>
      </c>
      <c r="O440" s="35">
        <f>IFERROR(__xludf.DUMMYFUNCTION("""COMPUTED_VALUE"""),57.7578645425882)</f>
        <v>57.75786454</v>
      </c>
      <c r="P440" s="35">
        <f>IFERROR(__xludf.DUMMYFUNCTION("""COMPUTED_VALUE"""),24364.0)</f>
        <v>24364</v>
      </c>
      <c r="Q440" s="35">
        <f>IFERROR(__xludf.DUMMYFUNCTION("""COMPUTED_VALUE"""),42183.0)</f>
        <v>42183</v>
      </c>
    </row>
    <row r="441">
      <c r="A441" s="35">
        <f>IFERROR(__xludf.DUMMYFUNCTION("""COMPUTED_VALUE"""),440.0)</f>
        <v>440</v>
      </c>
      <c r="B441" s="35" t="str">
        <f>IFERROR(__xludf.DUMMYFUNCTION("""COMPUTED_VALUE"""),"K-th Smallest in Lexicographical Order")</f>
        <v>K-th Smallest in Lexicographical Order</v>
      </c>
      <c r="C441" s="35" t="str">
        <f>IFERROR(__xludf.DUMMYFUNCTION("""COMPUTED_VALUE"""),"k-th-smallest-in-lexicographical-order")</f>
        <v>k-th-smallest-in-lexicographical-order</v>
      </c>
      <c r="D441" s="35" t="b">
        <f>IFERROR(__xludf.DUMMYFUNCTION("""COMPUTED_VALUE"""),FALSE)</f>
        <v>0</v>
      </c>
      <c r="E441" s="35" t="str">
        <f>IFERROR(__xludf.DUMMYFUNCTION("""COMPUTED_VALUE"""),"Hard")</f>
        <v>Hard</v>
      </c>
      <c r="F441" s="35">
        <f>IFERROR(__xludf.DUMMYFUNCTION("""COMPUTED_VALUE"""),533.0)</f>
        <v>533</v>
      </c>
      <c r="G441" s="35">
        <f>IFERROR(__xludf.DUMMYFUNCTION("""COMPUTED_VALUE"""),72.0)</f>
        <v>72</v>
      </c>
      <c r="H441" s="35" t="str">
        <f>IFERROR(__xludf.DUMMYFUNCTION("""COMPUTED_VALUE"""),"Algorithms")</f>
        <v>Algorithms</v>
      </c>
      <c r="I441" s="35">
        <f>IFERROR(__xludf.DUMMYFUNCTION("""COMPUTED_VALUE"""),0.304)</f>
        <v>0.304</v>
      </c>
      <c r="J441" s="35">
        <f>IFERROR(__xludf.DUMMYFUNCTION("""COMPUTED_VALUE"""),440.0)</f>
        <v>440</v>
      </c>
      <c r="K441" s="35" t="b">
        <f>IFERROR(__xludf.DUMMYFUNCTION("""COMPUTED_VALUE"""),FALSE)</f>
        <v>0</v>
      </c>
      <c r="L441" s="35" t="str">
        <f>IFERROR(__xludf.DUMMYFUNCTION("""COMPUTED_VALUE"""),"Trie;")</f>
        <v>Trie;</v>
      </c>
      <c r="M441" s="35" t="b">
        <f>IFERROR(__xludf.DUMMYFUNCTION("""COMPUTED_VALUE"""),FALSE)</f>
        <v>0</v>
      </c>
      <c r="N441" s="35" t="b">
        <f>IFERROR(__xludf.DUMMYFUNCTION("""COMPUTED_VALUE"""),FALSE)</f>
        <v>0</v>
      </c>
      <c r="O441" s="35">
        <f>IFERROR(__xludf.DUMMYFUNCTION("""COMPUTED_VALUE"""),30.4469373219373)</f>
        <v>30.44693732</v>
      </c>
      <c r="P441" s="35">
        <f>IFERROR(__xludf.DUMMYFUNCTION("""COMPUTED_VALUE"""),17099.0)</f>
        <v>17099</v>
      </c>
      <c r="Q441" s="35">
        <f>IFERROR(__xludf.DUMMYFUNCTION("""COMPUTED_VALUE"""),56160.0)</f>
        <v>56160</v>
      </c>
    </row>
    <row r="442">
      <c r="A442" s="35">
        <f>IFERROR(__xludf.DUMMYFUNCTION("""COMPUTED_VALUE"""),441.0)</f>
        <v>441</v>
      </c>
      <c r="B442" s="35" t="str">
        <f>IFERROR(__xludf.DUMMYFUNCTION("""COMPUTED_VALUE"""),"Arranging Coins")</f>
        <v>Arranging Coins</v>
      </c>
      <c r="C442" s="35" t="str">
        <f>IFERROR(__xludf.DUMMYFUNCTION("""COMPUTED_VALUE"""),"arranging-coins")</f>
        <v>arranging-coins</v>
      </c>
      <c r="D442" s="35" t="b">
        <f>IFERROR(__xludf.DUMMYFUNCTION("""COMPUTED_VALUE"""),FALSE)</f>
        <v>0</v>
      </c>
      <c r="E442" s="35" t="str">
        <f>IFERROR(__xludf.DUMMYFUNCTION("""COMPUTED_VALUE"""),"Easy")</f>
        <v>Easy</v>
      </c>
      <c r="F442" s="35">
        <f>IFERROR(__xludf.DUMMYFUNCTION("""COMPUTED_VALUE"""),2007.0)</f>
        <v>2007</v>
      </c>
      <c r="G442" s="35">
        <f>IFERROR(__xludf.DUMMYFUNCTION("""COMPUTED_VALUE"""),996.0)</f>
        <v>996</v>
      </c>
      <c r="H442" s="35" t="str">
        <f>IFERROR(__xludf.DUMMYFUNCTION("""COMPUTED_VALUE"""),"Algorithms")</f>
        <v>Algorithms</v>
      </c>
      <c r="I442" s="35">
        <f>IFERROR(__xludf.DUMMYFUNCTION("""COMPUTED_VALUE"""),0.451)</f>
        <v>0.451</v>
      </c>
      <c r="J442" s="35">
        <f>IFERROR(__xludf.DUMMYFUNCTION("""COMPUTED_VALUE"""),441.0)</f>
        <v>441</v>
      </c>
      <c r="K442" s="35" t="b">
        <f>IFERROR(__xludf.DUMMYFUNCTION("""COMPUTED_VALUE"""),FALSE)</f>
        <v>0</v>
      </c>
      <c r="L442" s="35" t="str">
        <f>IFERROR(__xludf.DUMMYFUNCTION("""COMPUTED_VALUE"""),"Math;Binary Search;")</f>
        <v>Math;Binary Search;</v>
      </c>
      <c r="M442" s="35" t="b">
        <f>IFERROR(__xludf.DUMMYFUNCTION("""COMPUTED_VALUE"""),TRUE)</f>
        <v>1</v>
      </c>
      <c r="N442" s="35" t="b">
        <f>IFERROR(__xludf.DUMMYFUNCTION("""COMPUTED_VALUE"""),FALSE)</f>
        <v>0</v>
      </c>
      <c r="O442" s="35">
        <f>IFERROR(__xludf.DUMMYFUNCTION("""COMPUTED_VALUE"""),45.0701388782217)</f>
        <v>45.07013888</v>
      </c>
      <c r="P442" s="35">
        <f>IFERROR(__xludf.DUMMYFUNCTION("""COMPUTED_VALUE"""),264066.0)</f>
        <v>264066</v>
      </c>
      <c r="Q442" s="35">
        <f>IFERROR(__xludf.DUMMYFUNCTION("""COMPUTED_VALUE"""),585901.0)</f>
        <v>585901</v>
      </c>
    </row>
    <row r="443">
      <c r="A443" s="35">
        <f>IFERROR(__xludf.DUMMYFUNCTION("""COMPUTED_VALUE"""),442.0)</f>
        <v>442</v>
      </c>
      <c r="B443" s="35" t="str">
        <f>IFERROR(__xludf.DUMMYFUNCTION("""COMPUTED_VALUE"""),"Find All Duplicates in an Array")</f>
        <v>Find All Duplicates in an Array</v>
      </c>
      <c r="C443" s="35" t="str">
        <f>IFERROR(__xludf.DUMMYFUNCTION("""COMPUTED_VALUE"""),"find-all-duplicates-in-an-array")</f>
        <v>find-all-duplicates-in-an-array</v>
      </c>
      <c r="D443" s="35" t="b">
        <f>IFERROR(__xludf.DUMMYFUNCTION("""COMPUTED_VALUE"""),FALSE)</f>
        <v>0</v>
      </c>
      <c r="E443" s="35" t="str">
        <f>IFERROR(__xludf.DUMMYFUNCTION("""COMPUTED_VALUE"""),"Medium")</f>
        <v>Medium</v>
      </c>
      <c r="F443" s="35">
        <f>IFERROR(__xludf.DUMMYFUNCTION("""COMPUTED_VALUE"""),5820.0)</f>
        <v>5820</v>
      </c>
      <c r="G443" s="35">
        <f>IFERROR(__xludf.DUMMYFUNCTION("""COMPUTED_VALUE"""),242.0)</f>
        <v>242</v>
      </c>
      <c r="H443" s="35" t="str">
        <f>IFERROR(__xludf.DUMMYFUNCTION("""COMPUTED_VALUE"""),"Algorithms")</f>
        <v>Algorithms</v>
      </c>
      <c r="I443" s="35">
        <f>IFERROR(__xludf.DUMMYFUNCTION("""COMPUTED_VALUE"""),0.722)</f>
        <v>0.722</v>
      </c>
      <c r="J443" s="35">
        <f>IFERROR(__xludf.DUMMYFUNCTION("""COMPUTED_VALUE"""),442.0)</f>
        <v>442</v>
      </c>
      <c r="K443" s="35" t="b">
        <f>IFERROR(__xludf.DUMMYFUNCTION("""COMPUTED_VALUE"""),FALSE)</f>
        <v>0</v>
      </c>
      <c r="L443" s="35" t="str">
        <f>IFERROR(__xludf.DUMMYFUNCTION("""COMPUTED_VALUE"""),"Array;Hash Table;")</f>
        <v>Array;Hash Table;</v>
      </c>
      <c r="M443" s="35" t="b">
        <f>IFERROR(__xludf.DUMMYFUNCTION("""COMPUTED_VALUE"""),TRUE)</f>
        <v>1</v>
      </c>
      <c r="N443" s="35" t="b">
        <f>IFERROR(__xludf.DUMMYFUNCTION("""COMPUTED_VALUE"""),FALSE)</f>
        <v>0</v>
      </c>
      <c r="O443" s="35">
        <f>IFERROR(__xludf.DUMMYFUNCTION("""COMPUTED_VALUE"""),72.1591835033104)</f>
        <v>72.1591835</v>
      </c>
      <c r="P443" s="35">
        <f>IFERROR(__xludf.DUMMYFUNCTION("""COMPUTED_VALUE"""),380789.0)</f>
        <v>380789</v>
      </c>
      <c r="Q443" s="35">
        <f>IFERROR(__xludf.DUMMYFUNCTION("""COMPUTED_VALUE"""),527710.0)</f>
        <v>527710</v>
      </c>
    </row>
    <row r="444">
      <c r="A444" s="35">
        <f>IFERROR(__xludf.DUMMYFUNCTION("""COMPUTED_VALUE"""),443.0)</f>
        <v>443</v>
      </c>
      <c r="B444" s="35" t="str">
        <f>IFERROR(__xludf.DUMMYFUNCTION("""COMPUTED_VALUE"""),"String Compression")</f>
        <v>String Compression</v>
      </c>
      <c r="C444" s="35" t="str">
        <f>IFERROR(__xludf.DUMMYFUNCTION("""COMPUTED_VALUE"""),"string-compression")</f>
        <v>string-compression</v>
      </c>
      <c r="D444" s="35" t="b">
        <f>IFERROR(__xludf.DUMMYFUNCTION("""COMPUTED_VALUE"""),FALSE)</f>
        <v>0</v>
      </c>
      <c r="E444" s="35" t="str">
        <f>IFERROR(__xludf.DUMMYFUNCTION("""COMPUTED_VALUE"""),"Medium")</f>
        <v>Medium</v>
      </c>
      <c r="F444" s="35">
        <f>IFERROR(__xludf.DUMMYFUNCTION("""COMPUTED_VALUE"""),1947.0)</f>
        <v>1947</v>
      </c>
      <c r="G444" s="35">
        <f>IFERROR(__xludf.DUMMYFUNCTION("""COMPUTED_VALUE"""),4066.0)</f>
        <v>4066</v>
      </c>
      <c r="H444" s="35" t="str">
        <f>IFERROR(__xludf.DUMMYFUNCTION("""COMPUTED_VALUE"""),"Algorithms")</f>
        <v>Algorithms</v>
      </c>
      <c r="I444" s="35">
        <f>IFERROR(__xludf.DUMMYFUNCTION("""COMPUTED_VALUE"""),0.472)</f>
        <v>0.472</v>
      </c>
      <c r="J444" s="35">
        <f>IFERROR(__xludf.DUMMYFUNCTION("""COMPUTED_VALUE"""),443.0)</f>
        <v>443</v>
      </c>
      <c r="K444" s="35" t="b">
        <f>IFERROR(__xludf.DUMMYFUNCTION("""COMPUTED_VALUE"""),FALSE)</f>
        <v>0</v>
      </c>
      <c r="L444" s="35" t="str">
        <f>IFERROR(__xludf.DUMMYFUNCTION("""COMPUTED_VALUE"""),"Two Pointers;String;")</f>
        <v>Two Pointers;String;</v>
      </c>
      <c r="M444" s="35" t="b">
        <f>IFERROR(__xludf.DUMMYFUNCTION("""COMPUTED_VALUE"""),FALSE)</f>
        <v>0</v>
      </c>
      <c r="N444" s="35" t="b">
        <f>IFERROR(__xludf.DUMMYFUNCTION("""COMPUTED_VALUE"""),FALSE)</f>
        <v>0</v>
      </c>
      <c r="O444" s="35">
        <f>IFERROR(__xludf.DUMMYFUNCTION("""COMPUTED_VALUE"""),47.245617368521)</f>
        <v>47.24561737</v>
      </c>
      <c r="P444" s="35">
        <f>IFERROR(__xludf.DUMMYFUNCTION("""COMPUTED_VALUE"""),236220.0)</f>
        <v>236220</v>
      </c>
      <c r="Q444" s="35">
        <f>IFERROR(__xludf.DUMMYFUNCTION("""COMPUTED_VALUE"""),499976.0)</f>
        <v>499976</v>
      </c>
    </row>
    <row r="445">
      <c r="A445" s="35">
        <f>IFERROR(__xludf.DUMMYFUNCTION("""COMPUTED_VALUE"""),444.0)</f>
        <v>444</v>
      </c>
      <c r="B445" s="35" t="str">
        <f>IFERROR(__xludf.DUMMYFUNCTION("""COMPUTED_VALUE"""),"Sequence Reconstruction")</f>
        <v>Sequence Reconstruction</v>
      </c>
      <c r="C445" s="35" t="str">
        <f>IFERROR(__xludf.DUMMYFUNCTION("""COMPUTED_VALUE"""),"sequence-reconstruction")</f>
        <v>sequence-reconstruction</v>
      </c>
      <c r="D445" s="35" t="b">
        <f>IFERROR(__xludf.DUMMYFUNCTION("""COMPUTED_VALUE"""),TRUE)</f>
        <v>1</v>
      </c>
      <c r="E445" s="35" t="str">
        <f>IFERROR(__xludf.DUMMYFUNCTION("""COMPUTED_VALUE"""),"Medium")</f>
        <v>Medium</v>
      </c>
      <c r="F445" s="35">
        <f>IFERROR(__xludf.DUMMYFUNCTION("""COMPUTED_VALUE"""),441.0)</f>
        <v>441</v>
      </c>
      <c r="G445" s="35">
        <f>IFERROR(__xludf.DUMMYFUNCTION("""COMPUTED_VALUE"""),1374.0)</f>
        <v>1374</v>
      </c>
      <c r="H445" s="35" t="str">
        <f>IFERROR(__xludf.DUMMYFUNCTION("""COMPUTED_VALUE"""),"Algorithms")</f>
        <v>Algorithms</v>
      </c>
      <c r="I445" s="35">
        <f>IFERROR(__xludf.DUMMYFUNCTION("""COMPUTED_VALUE"""),0.247)</f>
        <v>0.247</v>
      </c>
      <c r="J445" s="35">
        <f>IFERROR(__xludf.DUMMYFUNCTION("""COMPUTED_VALUE"""),444.0)</f>
        <v>444</v>
      </c>
      <c r="K445" s="35" t="b">
        <f>IFERROR(__xludf.DUMMYFUNCTION("""COMPUTED_VALUE"""),TRUE)</f>
        <v>1</v>
      </c>
      <c r="L445" s="35" t="str">
        <f>IFERROR(__xludf.DUMMYFUNCTION("""COMPUTED_VALUE"""),"Array;Graph;Topological Sort;")</f>
        <v>Array;Graph;Topological Sort;</v>
      </c>
      <c r="M445" s="35" t="b">
        <f>IFERROR(__xludf.DUMMYFUNCTION("""COMPUTED_VALUE"""),FALSE)</f>
        <v>0</v>
      </c>
      <c r="N445" s="35" t="b">
        <f>IFERROR(__xludf.DUMMYFUNCTION("""COMPUTED_VALUE"""),FALSE)</f>
        <v>0</v>
      </c>
      <c r="O445" s="35">
        <f>IFERROR(__xludf.DUMMYFUNCTION("""COMPUTED_VALUE"""),24.6770724300946)</f>
        <v>24.67707243</v>
      </c>
      <c r="P445" s="35">
        <f>IFERROR(__xludf.DUMMYFUNCTION("""COMPUTED_VALUE"""),42907.0)</f>
        <v>42907</v>
      </c>
      <c r="Q445" s="35">
        <f>IFERROR(__xludf.DUMMYFUNCTION("""COMPUTED_VALUE"""),173877.0)</f>
        <v>173877</v>
      </c>
    </row>
    <row r="446">
      <c r="A446" s="35">
        <f>IFERROR(__xludf.DUMMYFUNCTION("""COMPUTED_VALUE"""),445.0)</f>
        <v>445</v>
      </c>
      <c r="B446" s="35" t="str">
        <f>IFERROR(__xludf.DUMMYFUNCTION("""COMPUTED_VALUE"""),"Add Two Numbers II")</f>
        <v>Add Two Numbers II</v>
      </c>
      <c r="C446" s="35" t="str">
        <f>IFERROR(__xludf.DUMMYFUNCTION("""COMPUTED_VALUE"""),"add-two-numbers-ii")</f>
        <v>add-two-numbers-ii</v>
      </c>
      <c r="D446" s="35" t="b">
        <f>IFERROR(__xludf.DUMMYFUNCTION("""COMPUTED_VALUE"""),FALSE)</f>
        <v>0</v>
      </c>
      <c r="E446" s="35" t="str">
        <f>IFERROR(__xludf.DUMMYFUNCTION("""COMPUTED_VALUE"""),"Medium")</f>
        <v>Medium</v>
      </c>
      <c r="F446" s="35">
        <f>IFERROR(__xludf.DUMMYFUNCTION("""COMPUTED_VALUE"""),3313.0)</f>
        <v>3313</v>
      </c>
      <c r="G446" s="35">
        <f>IFERROR(__xludf.DUMMYFUNCTION("""COMPUTED_VALUE"""),225.0)</f>
        <v>225</v>
      </c>
      <c r="H446" s="35" t="str">
        <f>IFERROR(__xludf.DUMMYFUNCTION("""COMPUTED_VALUE"""),"Algorithms")</f>
        <v>Algorithms</v>
      </c>
      <c r="I446" s="35">
        <f>IFERROR(__xludf.DUMMYFUNCTION("""COMPUTED_VALUE"""),0.584)</f>
        <v>0.584</v>
      </c>
      <c r="J446" s="35">
        <f>IFERROR(__xludf.DUMMYFUNCTION("""COMPUTED_VALUE"""),445.0)</f>
        <v>445</v>
      </c>
      <c r="K446" s="35" t="b">
        <f>IFERROR(__xludf.DUMMYFUNCTION("""COMPUTED_VALUE"""),FALSE)</f>
        <v>0</v>
      </c>
      <c r="L446" s="35" t="str">
        <f>IFERROR(__xludf.DUMMYFUNCTION("""COMPUTED_VALUE"""),"Linked List;Math;Stack;")</f>
        <v>Linked List;Math;Stack;</v>
      </c>
      <c r="M446" s="35" t="b">
        <f>IFERROR(__xludf.DUMMYFUNCTION("""COMPUTED_VALUE"""),TRUE)</f>
        <v>1</v>
      </c>
      <c r="N446" s="35" t="b">
        <f>IFERROR(__xludf.DUMMYFUNCTION("""COMPUTED_VALUE"""),FALSE)</f>
        <v>0</v>
      </c>
      <c r="O446" s="35">
        <f>IFERROR(__xludf.DUMMYFUNCTION("""COMPUTED_VALUE"""),58.3613159265669)</f>
        <v>58.36131593</v>
      </c>
      <c r="P446" s="35">
        <f>IFERROR(__xludf.DUMMYFUNCTION("""COMPUTED_VALUE"""),299111.0)</f>
        <v>299111</v>
      </c>
      <c r="Q446" s="35">
        <f>IFERROR(__xludf.DUMMYFUNCTION("""COMPUTED_VALUE"""),512517.0)</f>
        <v>512517</v>
      </c>
    </row>
    <row r="447">
      <c r="A447" s="35">
        <f>IFERROR(__xludf.DUMMYFUNCTION("""COMPUTED_VALUE"""),446.0)</f>
        <v>446</v>
      </c>
      <c r="B447" s="35" t="str">
        <f>IFERROR(__xludf.DUMMYFUNCTION("""COMPUTED_VALUE"""),"Arithmetic Slices II - Subsequence")</f>
        <v>Arithmetic Slices II - Subsequence</v>
      </c>
      <c r="C447" s="35" t="str">
        <f>IFERROR(__xludf.DUMMYFUNCTION("""COMPUTED_VALUE"""),"arithmetic-slices-ii-subsequence")</f>
        <v>arithmetic-slices-ii-subsequence</v>
      </c>
      <c r="D447" s="35" t="b">
        <f>IFERROR(__xludf.DUMMYFUNCTION("""COMPUTED_VALUE"""),FALSE)</f>
        <v>0</v>
      </c>
      <c r="E447" s="35" t="str">
        <f>IFERROR(__xludf.DUMMYFUNCTION("""COMPUTED_VALUE"""),"Hard")</f>
        <v>Hard</v>
      </c>
      <c r="F447" s="35">
        <f>IFERROR(__xludf.DUMMYFUNCTION("""COMPUTED_VALUE"""),1313.0)</f>
        <v>1313</v>
      </c>
      <c r="G447" s="35">
        <f>IFERROR(__xludf.DUMMYFUNCTION("""COMPUTED_VALUE"""),84.0)</f>
        <v>84</v>
      </c>
      <c r="H447" s="35" t="str">
        <f>IFERROR(__xludf.DUMMYFUNCTION("""COMPUTED_VALUE"""),"Algorithms")</f>
        <v>Algorithms</v>
      </c>
      <c r="I447" s="35">
        <f>IFERROR(__xludf.DUMMYFUNCTION("""COMPUTED_VALUE"""),0.393)</f>
        <v>0.393</v>
      </c>
      <c r="J447" s="35">
        <f>IFERROR(__xludf.DUMMYFUNCTION("""COMPUTED_VALUE"""),446.0)</f>
        <v>446</v>
      </c>
      <c r="K447" s="35" t="b">
        <f>IFERROR(__xludf.DUMMYFUNCTION("""COMPUTED_VALUE"""),FALSE)</f>
        <v>0</v>
      </c>
      <c r="L447" s="35" t="str">
        <f>IFERROR(__xludf.DUMMYFUNCTION("""COMPUTED_VALUE"""),"Array;Dynamic Programming;")</f>
        <v>Array;Dynamic Programming;</v>
      </c>
      <c r="M447" s="35" t="b">
        <f>IFERROR(__xludf.DUMMYFUNCTION("""COMPUTED_VALUE"""),TRUE)</f>
        <v>1</v>
      </c>
      <c r="N447" s="35" t="b">
        <f>IFERROR(__xludf.DUMMYFUNCTION("""COMPUTED_VALUE"""),FALSE)</f>
        <v>0</v>
      </c>
      <c r="O447" s="35">
        <f>IFERROR(__xludf.DUMMYFUNCTION("""COMPUTED_VALUE"""),39.3392651178118)</f>
        <v>39.33926512</v>
      </c>
      <c r="P447" s="35">
        <f>IFERROR(__xludf.DUMMYFUNCTION("""COMPUTED_VALUE"""),42973.0)</f>
        <v>42973</v>
      </c>
      <c r="Q447" s="35">
        <f>IFERROR(__xludf.DUMMYFUNCTION("""COMPUTED_VALUE"""),109240.0)</f>
        <v>109240</v>
      </c>
    </row>
    <row r="448">
      <c r="A448" s="35">
        <f>IFERROR(__xludf.DUMMYFUNCTION("""COMPUTED_VALUE"""),447.0)</f>
        <v>447</v>
      </c>
      <c r="B448" s="35" t="str">
        <f>IFERROR(__xludf.DUMMYFUNCTION("""COMPUTED_VALUE"""),"Number of Boomerangs")</f>
        <v>Number of Boomerangs</v>
      </c>
      <c r="C448" s="35" t="str">
        <f>IFERROR(__xludf.DUMMYFUNCTION("""COMPUTED_VALUE"""),"number-of-boomerangs")</f>
        <v>number-of-boomerangs</v>
      </c>
      <c r="D448" s="35" t="b">
        <f>IFERROR(__xludf.DUMMYFUNCTION("""COMPUTED_VALUE"""),FALSE)</f>
        <v>0</v>
      </c>
      <c r="E448" s="35" t="str">
        <f>IFERROR(__xludf.DUMMYFUNCTION("""COMPUTED_VALUE"""),"Medium")</f>
        <v>Medium</v>
      </c>
      <c r="F448" s="35">
        <f>IFERROR(__xludf.DUMMYFUNCTION("""COMPUTED_VALUE"""),590.0)</f>
        <v>590</v>
      </c>
      <c r="G448" s="35">
        <f>IFERROR(__xludf.DUMMYFUNCTION("""COMPUTED_VALUE"""),857.0)</f>
        <v>857</v>
      </c>
      <c r="H448" s="35" t="str">
        <f>IFERROR(__xludf.DUMMYFUNCTION("""COMPUTED_VALUE"""),"Algorithms")</f>
        <v>Algorithms</v>
      </c>
      <c r="I448" s="35">
        <f>IFERROR(__xludf.DUMMYFUNCTION("""COMPUTED_VALUE"""),0.538)</f>
        <v>0.538</v>
      </c>
      <c r="J448" s="35">
        <f>IFERROR(__xludf.DUMMYFUNCTION("""COMPUTED_VALUE"""),447.0)</f>
        <v>447</v>
      </c>
      <c r="K448" s="35" t="b">
        <f>IFERROR(__xludf.DUMMYFUNCTION("""COMPUTED_VALUE"""),FALSE)</f>
        <v>0</v>
      </c>
      <c r="L448" s="35" t="str">
        <f>IFERROR(__xludf.DUMMYFUNCTION("""COMPUTED_VALUE"""),"Array;Hash Table;Math;")</f>
        <v>Array;Hash Table;Math;</v>
      </c>
      <c r="M448" s="35" t="b">
        <f>IFERROR(__xludf.DUMMYFUNCTION("""COMPUTED_VALUE"""),FALSE)</f>
        <v>0</v>
      </c>
      <c r="N448" s="35" t="b">
        <f>IFERROR(__xludf.DUMMYFUNCTION("""COMPUTED_VALUE"""),FALSE)</f>
        <v>0</v>
      </c>
      <c r="O448" s="35">
        <f>IFERROR(__xludf.DUMMYFUNCTION("""COMPUTED_VALUE"""),53.8191121613967)</f>
        <v>53.81911216</v>
      </c>
      <c r="P448" s="35">
        <f>IFERROR(__xludf.DUMMYFUNCTION("""COMPUTED_VALUE"""),82671.0)</f>
        <v>82671</v>
      </c>
      <c r="Q448" s="35">
        <f>IFERROR(__xludf.DUMMYFUNCTION("""COMPUTED_VALUE"""),153609.0)</f>
        <v>153609</v>
      </c>
    </row>
    <row r="449">
      <c r="A449" s="35">
        <f>IFERROR(__xludf.DUMMYFUNCTION("""COMPUTED_VALUE"""),448.0)</f>
        <v>448</v>
      </c>
      <c r="B449" s="35" t="str">
        <f>IFERROR(__xludf.DUMMYFUNCTION("""COMPUTED_VALUE"""),"Find All Numbers Disappeared in an Array")</f>
        <v>Find All Numbers Disappeared in an Array</v>
      </c>
      <c r="C449" s="35" t="str">
        <f>IFERROR(__xludf.DUMMYFUNCTION("""COMPUTED_VALUE"""),"find-all-numbers-disappeared-in-an-array")</f>
        <v>find-all-numbers-disappeared-in-an-array</v>
      </c>
      <c r="D449" s="35" t="b">
        <f>IFERROR(__xludf.DUMMYFUNCTION("""COMPUTED_VALUE"""),FALSE)</f>
        <v>0</v>
      </c>
      <c r="E449" s="35" t="str">
        <f>IFERROR(__xludf.DUMMYFUNCTION("""COMPUTED_VALUE"""),"Easy")</f>
        <v>Easy</v>
      </c>
      <c r="F449" s="35">
        <f>IFERROR(__xludf.DUMMYFUNCTION("""COMPUTED_VALUE"""),6226.0)</f>
        <v>6226</v>
      </c>
      <c r="G449" s="35">
        <f>IFERROR(__xludf.DUMMYFUNCTION("""COMPUTED_VALUE"""),368.0)</f>
        <v>368</v>
      </c>
      <c r="H449" s="35" t="str">
        <f>IFERROR(__xludf.DUMMYFUNCTION("""COMPUTED_VALUE"""),"Algorithms")</f>
        <v>Algorithms</v>
      </c>
      <c r="I449" s="35">
        <f>IFERROR(__xludf.DUMMYFUNCTION("""COMPUTED_VALUE"""),0.589)</f>
        <v>0.589</v>
      </c>
      <c r="J449" s="35">
        <f>IFERROR(__xludf.DUMMYFUNCTION("""COMPUTED_VALUE"""),448.0)</f>
        <v>448</v>
      </c>
      <c r="K449" s="35" t="b">
        <f>IFERROR(__xludf.DUMMYFUNCTION("""COMPUTED_VALUE"""),FALSE)</f>
        <v>0</v>
      </c>
      <c r="L449" s="35" t="str">
        <f>IFERROR(__xludf.DUMMYFUNCTION("""COMPUTED_VALUE"""),"Array;Hash Table;")</f>
        <v>Array;Hash Table;</v>
      </c>
      <c r="M449" s="35" t="b">
        <f>IFERROR(__xludf.DUMMYFUNCTION("""COMPUTED_VALUE"""),TRUE)</f>
        <v>1</v>
      </c>
      <c r="N449" s="35" t="b">
        <f>IFERROR(__xludf.DUMMYFUNCTION("""COMPUTED_VALUE"""),FALSE)</f>
        <v>0</v>
      </c>
      <c r="O449" s="35">
        <f>IFERROR(__xludf.DUMMYFUNCTION("""COMPUTED_VALUE"""),58.8713809751341)</f>
        <v>58.87138098</v>
      </c>
      <c r="P449" s="35">
        <f>IFERROR(__xludf.DUMMYFUNCTION("""COMPUTED_VALUE"""),544578.0)</f>
        <v>544578</v>
      </c>
      <c r="Q449" s="35">
        <f>IFERROR(__xludf.DUMMYFUNCTION("""COMPUTED_VALUE"""),925023.0)</f>
        <v>925023</v>
      </c>
    </row>
    <row r="450">
      <c r="A450" s="35">
        <f>IFERROR(__xludf.DUMMYFUNCTION("""COMPUTED_VALUE"""),449.0)</f>
        <v>449</v>
      </c>
      <c r="B450" s="35" t="str">
        <f>IFERROR(__xludf.DUMMYFUNCTION("""COMPUTED_VALUE"""),"Serialize and Deserialize BST")</f>
        <v>Serialize and Deserialize BST</v>
      </c>
      <c r="C450" s="35" t="str">
        <f>IFERROR(__xludf.DUMMYFUNCTION("""COMPUTED_VALUE"""),"serialize-and-deserialize-bst")</f>
        <v>serialize-and-deserialize-bst</v>
      </c>
      <c r="D450" s="35" t="b">
        <f>IFERROR(__xludf.DUMMYFUNCTION("""COMPUTED_VALUE"""),FALSE)</f>
        <v>0</v>
      </c>
      <c r="E450" s="35" t="str">
        <f>IFERROR(__xludf.DUMMYFUNCTION("""COMPUTED_VALUE"""),"Medium")</f>
        <v>Medium</v>
      </c>
      <c r="F450" s="35">
        <f>IFERROR(__xludf.DUMMYFUNCTION("""COMPUTED_VALUE"""),2564.0)</f>
        <v>2564</v>
      </c>
      <c r="G450" s="35">
        <f>IFERROR(__xludf.DUMMYFUNCTION("""COMPUTED_VALUE"""),127.0)</f>
        <v>127</v>
      </c>
      <c r="H450" s="35" t="str">
        <f>IFERROR(__xludf.DUMMYFUNCTION("""COMPUTED_VALUE"""),"Algorithms")</f>
        <v>Algorithms</v>
      </c>
      <c r="I450" s="35">
        <f>IFERROR(__xludf.DUMMYFUNCTION("""COMPUTED_VALUE"""),0.56)</f>
        <v>0.56</v>
      </c>
      <c r="J450" s="35">
        <f>IFERROR(__xludf.DUMMYFUNCTION("""COMPUTED_VALUE"""),449.0)</f>
        <v>449</v>
      </c>
      <c r="K450" s="35" t="b">
        <f>IFERROR(__xludf.DUMMYFUNCTION("""COMPUTED_VALUE"""),FALSE)</f>
        <v>0</v>
      </c>
      <c r="L450" s="35" t="str">
        <f>IFERROR(__xludf.DUMMYFUNCTION("""COMPUTED_VALUE"""),"String;Tree;Depth-First Search;Breadth-First Search;Design;Binary Search Tree;Binary Tree;")</f>
        <v>String;Tree;Depth-First Search;Breadth-First Search;Design;Binary Search Tree;Binary Tree;</v>
      </c>
      <c r="M450" s="35" t="b">
        <f>IFERROR(__xludf.DUMMYFUNCTION("""COMPUTED_VALUE"""),TRUE)</f>
        <v>1</v>
      </c>
      <c r="N450" s="35" t="b">
        <f>IFERROR(__xludf.DUMMYFUNCTION("""COMPUTED_VALUE"""),FALSE)</f>
        <v>0</v>
      </c>
      <c r="O450" s="35">
        <f>IFERROR(__xludf.DUMMYFUNCTION("""COMPUTED_VALUE"""),55.9901255576094)</f>
        <v>55.99012556</v>
      </c>
      <c r="P450" s="35">
        <f>IFERROR(__xludf.DUMMYFUNCTION("""COMPUTED_VALUE"""),186883.0)</f>
        <v>186883</v>
      </c>
      <c r="Q450" s="35">
        <f>IFERROR(__xludf.DUMMYFUNCTION("""COMPUTED_VALUE"""),333778.0)</f>
        <v>333778</v>
      </c>
    </row>
    <row r="451">
      <c r="A451" s="35">
        <f>IFERROR(__xludf.DUMMYFUNCTION("""COMPUTED_VALUE"""),450.0)</f>
        <v>450</v>
      </c>
      <c r="B451" s="35" t="str">
        <f>IFERROR(__xludf.DUMMYFUNCTION("""COMPUTED_VALUE"""),"Delete Node in a BST")</f>
        <v>Delete Node in a BST</v>
      </c>
      <c r="C451" s="35" t="str">
        <f>IFERROR(__xludf.DUMMYFUNCTION("""COMPUTED_VALUE"""),"delete-node-in-a-bst")</f>
        <v>delete-node-in-a-bst</v>
      </c>
      <c r="D451" s="35" t="b">
        <f>IFERROR(__xludf.DUMMYFUNCTION("""COMPUTED_VALUE"""),FALSE)</f>
        <v>0</v>
      </c>
      <c r="E451" s="35" t="str">
        <f>IFERROR(__xludf.DUMMYFUNCTION("""COMPUTED_VALUE"""),"Medium")</f>
        <v>Medium</v>
      </c>
      <c r="F451" s="35">
        <f>IFERROR(__xludf.DUMMYFUNCTION("""COMPUTED_VALUE"""),4980.0)</f>
        <v>4980</v>
      </c>
      <c r="G451" s="35">
        <f>IFERROR(__xludf.DUMMYFUNCTION("""COMPUTED_VALUE"""),146.0)</f>
        <v>146</v>
      </c>
      <c r="H451" s="35" t="str">
        <f>IFERROR(__xludf.DUMMYFUNCTION("""COMPUTED_VALUE"""),"Algorithms")</f>
        <v>Algorithms</v>
      </c>
      <c r="I451" s="35">
        <f>IFERROR(__xludf.DUMMYFUNCTION("""COMPUTED_VALUE"""),0.487)</f>
        <v>0.487</v>
      </c>
      <c r="J451" s="35">
        <f>IFERROR(__xludf.DUMMYFUNCTION("""COMPUTED_VALUE"""),450.0)</f>
        <v>450</v>
      </c>
      <c r="K451" s="35" t="b">
        <f>IFERROR(__xludf.DUMMYFUNCTION("""COMPUTED_VALUE"""),FALSE)</f>
        <v>0</v>
      </c>
      <c r="L451" s="35" t="str">
        <f>IFERROR(__xludf.DUMMYFUNCTION("""COMPUTED_VALUE"""),"Tree;Binary Search Tree;Binary Tree;")</f>
        <v>Tree;Binary Search Tree;Binary Tree;</v>
      </c>
      <c r="M451" s="35" t="b">
        <f>IFERROR(__xludf.DUMMYFUNCTION("""COMPUTED_VALUE"""),TRUE)</f>
        <v>1</v>
      </c>
      <c r="N451" s="35" t="b">
        <f>IFERROR(__xludf.DUMMYFUNCTION("""COMPUTED_VALUE"""),FALSE)</f>
        <v>0</v>
      </c>
      <c r="O451" s="35">
        <f>IFERROR(__xludf.DUMMYFUNCTION("""COMPUTED_VALUE"""),48.6534782477705)</f>
        <v>48.65347825</v>
      </c>
      <c r="P451" s="35">
        <f>IFERROR(__xludf.DUMMYFUNCTION("""COMPUTED_VALUE"""),258382.0)</f>
        <v>258382</v>
      </c>
      <c r="Q451" s="35">
        <f>IFERROR(__xludf.DUMMYFUNCTION("""COMPUTED_VALUE"""),531068.0)</f>
        <v>531068</v>
      </c>
    </row>
    <row r="452">
      <c r="A452" s="35">
        <f>IFERROR(__xludf.DUMMYFUNCTION("""COMPUTED_VALUE"""),451.0)</f>
        <v>451</v>
      </c>
      <c r="B452" s="35" t="str">
        <f>IFERROR(__xludf.DUMMYFUNCTION("""COMPUTED_VALUE"""),"Sort Characters By Frequency")</f>
        <v>Sort Characters By Frequency</v>
      </c>
      <c r="C452" s="35" t="str">
        <f>IFERROR(__xludf.DUMMYFUNCTION("""COMPUTED_VALUE"""),"sort-characters-by-frequency")</f>
        <v>sort-characters-by-frequency</v>
      </c>
      <c r="D452" s="35" t="b">
        <f>IFERROR(__xludf.DUMMYFUNCTION("""COMPUTED_VALUE"""),FALSE)</f>
        <v>0</v>
      </c>
      <c r="E452" s="35" t="str">
        <f>IFERROR(__xludf.DUMMYFUNCTION("""COMPUTED_VALUE"""),"Medium")</f>
        <v>Medium</v>
      </c>
      <c r="F452" s="35">
        <f>IFERROR(__xludf.DUMMYFUNCTION("""COMPUTED_VALUE"""),3832.0)</f>
        <v>3832</v>
      </c>
      <c r="G452" s="35">
        <f>IFERROR(__xludf.DUMMYFUNCTION("""COMPUTED_VALUE"""),177.0)</f>
        <v>177</v>
      </c>
      <c r="H452" s="35" t="str">
        <f>IFERROR(__xludf.DUMMYFUNCTION("""COMPUTED_VALUE"""),"Algorithms")</f>
        <v>Algorithms</v>
      </c>
      <c r="I452" s="35">
        <f>IFERROR(__xludf.DUMMYFUNCTION("""COMPUTED_VALUE"""),0.675)</f>
        <v>0.675</v>
      </c>
      <c r="J452" s="35">
        <f>IFERROR(__xludf.DUMMYFUNCTION("""COMPUTED_VALUE"""),451.0)</f>
        <v>451</v>
      </c>
      <c r="K452" s="35" t="b">
        <f>IFERROR(__xludf.DUMMYFUNCTION("""COMPUTED_VALUE"""),FALSE)</f>
        <v>0</v>
      </c>
      <c r="L452" s="35" t="str">
        <f>IFERROR(__xludf.DUMMYFUNCTION("""COMPUTED_VALUE"""),"Hash Table;String;Sorting;Heap (Priority Queue);Bucket Sort;Counting;")</f>
        <v>Hash Table;String;Sorting;Heap (Priority Queue);Bucket Sort;Counting;</v>
      </c>
      <c r="M452" s="35" t="b">
        <f>IFERROR(__xludf.DUMMYFUNCTION("""COMPUTED_VALUE"""),TRUE)</f>
        <v>1</v>
      </c>
      <c r="N452" s="35" t="b">
        <f>IFERROR(__xludf.DUMMYFUNCTION("""COMPUTED_VALUE"""),FALSE)</f>
        <v>0</v>
      </c>
      <c r="O452" s="35">
        <f>IFERROR(__xludf.DUMMYFUNCTION("""COMPUTED_VALUE"""),67.493826558001)</f>
        <v>67.49382656</v>
      </c>
      <c r="P452" s="35">
        <f>IFERROR(__xludf.DUMMYFUNCTION("""COMPUTED_VALUE"""),345752.0)</f>
        <v>345752</v>
      </c>
      <c r="Q452" s="35">
        <f>IFERROR(__xludf.DUMMYFUNCTION("""COMPUTED_VALUE"""),512273.0)</f>
        <v>512273</v>
      </c>
    </row>
    <row r="453">
      <c r="A453" s="35">
        <f>IFERROR(__xludf.DUMMYFUNCTION("""COMPUTED_VALUE"""),452.0)</f>
        <v>452</v>
      </c>
      <c r="B453" s="35" t="str">
        <f>IFERROR(__xludf.DUMMYFUNCTION("""COMPUTED_VALUE"""),"Minimum Number of Arrows to Burst Balloons")</f>
        <v>Minimum Number of Arrows to Burst Balloons</v>
      </c>
      <c r="C453" s="35" t="str">
        <f>IFERROR(__xludf.DUMMYFUNCTION("""COMPUTED_VALUE"""),"minimum-number-of-arrows-to-burst-balloons")</f>
        <v>minimum-number-of-arrows-to-burst-balloons</v>
      </c>
      <c r="D453" s="35" t="b">
        <f>IFERROR(__xludf.DUMMYFUNCTION("""COMPUTED_VALUE"""),FALSE)</f>
        <v>0</v>
      </c>
      <c r="E453" s="35" t="str">
        <f>IFERROR(__xludf.DUMMYFUNCTION("""COMPUTED_VALUE"""),"Medium")</f>
        <v>Medium</v>
      </c>
      <c r="F453" s="35">
        <f>IFERROR(__xludf.DUMMYFUNCTION("""COMPUTED_VALUE"""),3291.0)</f>
        <v>3291</v>
      </c>
      <c r="G453" s="35">
        <f>IFERROR(__xludf.DUMMYFUNCTION("""COMPUTED_VALUE"""),96.0)</f>
        <v>96</v>
      </c>
      <c r="H453" s="35" t="str">
        <f>IFERROR(__xludf.DUMMYFUNCTION("""COMPUTED_VALUE"""),"Algorithms")</f>
        <v>Algorithms</v>
      </c>
      <c r="I453" s="35">
        <f>IFERROR(__xludf.DUMMYFUNCTION("""COMPUTED_VALUE"""),0.528)</f>
        <v>0.528</v>
      </c>
      <c r="J453" s="35">
        <f>IFERROR(__xludf.DUMMYFUNCTION("""COMPUTED_VALUE"""),452.0)</f>
        <v>452</v>
      </c>
      <c r="K453" s="35" t="b">
        <f>IFERROR(__xludf.DUMMYFUNCTION("""COMPUTED_VALUE"""),FALSE)</f>
        <v>0</v>
      </c>
      <c r="L453" s="35" t="str">
        <f>IFERROR(__xludf.DUMMYFUNCTION("""COMPUTED_VALUE"""),"Array;Greedy;Sorting;")</f>
        <v>Array;Greedy;Sorting;</v>
      </c>
      <c r="M453" s="35" t="b">
        <f>IFERROR(__xludf.DUMMYFUNCTION("""COMPUTED_VALUE"""),TRUE)</f>
        <v>1</v>
      </c>
      <c r="N453" s="35" t="b">
        <f>IFERROR(__xludf.DUMMYFUNCTION("""COMPUTED_VALUE"""),FALSE)</f>
        <v>0</v>
      </c>
      <c r="O453" s="35">
        <f>IFERROR(__xludf.DUMMYFUNCTION("""COMPUTED_VALUE"""),52.7821958077338)</f>
        <v>52.78219581</v>
      </c>
      <c r="P453" s="35">
        <f>IFERROR(__xludf.DUMMYFUNCTION("""COMPUTED_VALUE"""),181526.0)</f>
        <v>181526</v>
      </c>
      <c r="Q453" s="35">
        <f>IFERROR(__xludf.DUMMYFUNCTION("""COMPUTED_VALUE"""),343917.0)</f>
        <v>343917</v>
      </c>
    </row>
    <row r="454">
      <c r="A454" s="35">
        <f>IFERROR(__xludf.DUMMYFUNCTION("""COMPUTED_VALUE"""),453.0)</f>
        <v>453</v>
      </c>
      <c r="B454" s="35" t="str">
        <f>IFERROR(__xludf.DUMMYFUNCTION("""COMPUTED_VALUE"""),"Minimum Moves to Equal Array Elements")</f>
        <v>Minimum Moves to Equal Array Elements</v>
      </c>
      <c r="C454" s="35" t="str">
        <f>IFERROR(__xludf.DUMMYFUNCTION("""COMPUTED_VALUE"""),"minimum-moves-to-equal-array-elements")</f>
        <v>minimum-moves-to-equal-array-elements</v>
      </c>
      <c r="D454" s="35" t="b">
        <f>IFERROR(__xludf.DUMMYFUNCTION("""COMPUTED_VALUE"""),FALSE)</f>
        <v>0</v>
      </c>
      <c r="E454" s="35" t="str">
        <f>IFERROR(__xludf.DUMMYFUNCTION("""COMPUTED_VALUE"""),"Medium")</f>
        <v>Medium</v>
      </c>
      <c r="F454" s="35">
        <f>IFERROR(__xludf.DUMMYFUNCTION("""COMPUTED_VALUE"""),1372.0)</f>
        <v>1372</v>
      </c>
      <c r="G454" s="35">
        <f>IFERROR(__xludf.DUMMYFUNCTION("""COMPUTED_VALUE"""),1516.0)</f>
        <v>1516</v>
      </c>
      <c r="H454" s="35" t="str">
        <f>IFERROR(__xludf.DUMMYFUNCTION("""COMPUTED_VALUE"""),"Algorithms")</f>
        <v>Algorithms</v>
      </c>
      <c r="I454" s="35">
        <f>IFERROR(__xludf.DUMMYFUNCTION("""COMPUTED_VALUE"""),0.537)</f>
        <v>0.537</v>
      </c>
      <c r="J454" s="35">
        <f>IFERROR(__xludf.DUMMYFUNCTION("""COMPUTED_VALUE"""),453.0)</f>
        <v>453</v>
      </c>
      <c r="K454" s="35" t="b">
        <f>IFERROR(__xludf.DUMMYFUNCTION("""COMPUTED_VALUE"""),FALSE)</f>
        <v>0</v>
      </c>
      <c r="L454" s="35" t="str">
        <f>IFERROR(__xludf.DUMMYFUNCTION("""COMPUTED_VALUE"""),"Array;Math;")</f>
        <v>Array;Math;</v>
      </c>
      <c r="M454" s="35" t="b">
        <f>IFERROR(__xludf.DUMMYFUNCTION("""COMPUTED_VALUE"""),TRUE)</f>
        <v>1</v>
      </c>
      <c r="N454" s="35" t="b">
        <f>IFERROR(__xludf.DUMMYFUNCTION("""COMPUTED_VALUE"""),FALSE)</f>
        <v>0</v>
      </c>
      <c r="O454" s="35">
        <f>IFERROR(__xludf.DUMMYFUNCTION("""COMPUTED_VALUE"""),53.7425469209076)</f>
        <v>53.74254692</v>
      </c>
      <c r="P454" s="35">
        <f>IFERROR(__xludf.DUMMYFUNCTION("""COMPUTED_VALUE"""),118345.0)</f>
        <v>118345</v>
      </c>
      <c r="Q454" s="35">
        <f>IFERROR(__xludf.DUMMYFUNCTION("""COMPUTED_VALUE"""),220209.0)</f>
        <v>220209</v>
      </c>
    </row>
    <row r="455">
      <c r="A455" s="35">
        <f>IFERROR(__xludf.DUMMYFUNCTION("""COMPUTED_VALUE"""),454.0)</f>
        <v>454</v>
      </c>
      <c r="B455" s="35" t="str">
        <f>IFERROR(__xludf.DUMMYFUNCTION("""COMPUTED_VALUE"""),"4Sum II")</f>
        <v>4Sum II</v>
      </c>
      <c r="C455" s="35" t="str">
        <f>IFERROR(__xludf.DUMMYFUNCTION("""COMPUTED_VALUE"""),"4sum-ii")</f>
        <v>4sum-ii</v>
      </c>
      <c r="D455" s="35" t="b">
        <f>IFERROR(__xludf.DUMMYFUNCTION("""COMPUTED_VALUE"""),FALSE)</f>
        <v>0</v>
      </c>
      <c r="E455" s="35" t="str">
        <f>IFERROR(__xludf.DUMMYFUNCTION("""COMPUTED_VALUE"""),"Medium")</f>
        <v>Medium</v>
      </c>
      <c r="F455" s="35">
        <f>IFERROR(__xludf.DUMMYFUNCTION("""COMPUTED_VALUE"""),3684.0)</f>
        <v>3684</v>
      </c>
      <c r="G455" s="35">
        <f>IFERROR(__xludf.DUMMYFUNCTION("""COMPUTED_VALUE"""),111.0)</f>
        <v>111</v>
      </c>
      <c r="H455" s="35" t="str">
        <f>IFERROR(__xludf.DUMMYFUNCTION("""COMPUTED_VALUE"""),"Algorithms")</f>
        <v>Algorithms</v>
      </c>
      <c r="I455" s="35">
        <f>IFERROR(__xludf.DUMMYFUNCTION("""COMPUTED_VALUE"""),0.569)</f>
        <v>0.569</v>
      </c>
      <c r="J455" s="35">
        <f>IFERROR(__xludf.DUMMYFUNCTION("""COMPUTED_VALUE"""),454.0)</f>
        <v>454</v>
      </c>
      <c r="K455" s="35" t="b">
        <f>IFERROR(__xludf.DUMMYFUNCTION("""COMPUTED_VALUE"""),FALSE)</f>
        <v>0</v>
      </c>
      <c r="L455" s="35" t="str">
        <f>IFERROR(__xludf.DUMMYFUNCTION("""COMPUTED_VALUE"""),"Array;Hash Table;")</f>
        <v>Array;Hash Table;</v>
      </c>
      <c r="M455" s="35" t="b">
        <f>IFERROR(__xludf.DUMMYFUNCTION("""COMPUTED_VALUE"""),TRUE)</f>
        <v>1</v>
      </c>
      <c r="N455" s="35" t="b">
        <f>IFERROR(__xludf.DUMMYFUNCTION("""COMPUTED_VALUE"""),FALSE)</f>
        <v>0</v>
      </c>
      <c r="O455" s="35">
        <f>IFERROR(__xludf.DUMMYFUNCTION("""COMPUTED_VALUE"""),56.9413261574681)</f>
        <v>56.94132616</v>
      </c>
      <c r="P455" s="35">
        <f>IFERROR(__xludf.DUMMYFUNCTION("""COMPUTED_VALUE"""),245245.0)</f>
        <v>245245</v>
      </c>
      <c r="Q455" s="35">
        <f>IFERROR(__xludf.DUMMYFUNCTION("""COMPUTED_VALUE"""),430700.0)</f>
        <v>430700</v>
      </c>
    </row>
    <row r="456">
      <c r="A456" s="35">
        <f>IFERROR(__xludf.DUMMYFUNCTION("""COMPUTED_VALUE"""),455.0)</f>
        <v>455</v>
      </c>
      <c r="B456" s="35" t="str">
        <f>IFERROR(__xludf.DUMMYFUNCTION("""COMPUTED_VALUE"""),"Assign Cookies")</f>
        <v>Assign Cookies</v>
      </c>
      <c r="C456" s="35" t="str">
        <f>IFERROR(__xludf.DUMMYFUNCTION("""COMPUTED_VALUE"""),"assign-cookies")</f>
        <v>assign-cookies</v>
      </c>
      <c r="D456" s="35" t="b">
        <f>IFERROR(__xludf.DUMMYFUNCTION("""COMPUTED_VALUE"""),FALSE)</f>
        <v>0</v>
      </c>
      <c r="E456" s="35" t="str">
        <f>IFERROR(__xludf.DUMMYFUNCTION("""COMPUTED_VALUE"""),"Easy")</f>
        <v>Easy</v>
      </c>
      <c r="F456" s="35">
        <f>IFERROR(__xludf.DUMMYFUNCTION("""COMPUTED_VALUE"""),1348.0)</f>
        <v>1348</v>
      </c>
      <c r="G456" s="35">
        <f>IFERROR(__xludf.DUMMYFUNCTION("""COMPUTED_VALUE"""),150.0)</f>
        <v>150</v>
      </c>
      <c r="H456" s="35" t="str">
        <f>IFERROR(__xludf.DUMMYFUNCTION("""COMPUTED_VALUE"""),"Algorithms")</f>
        <v>Algorithms</v>
      </c>
      <c r="I456" s="35">
        <f>IFERROR(__xludf.DUMMYFUNCTION("""COMPUTED_VALUE"""),0.507)</f>
        <v>0.507</v>
      </c>
      <c r="J456" s="35">
        <f>IFERROR(__xludf.DUMMYFUNCTION("""COMPUTED_VALUE"""),455.0)</f>
        <v>455</v>
      </c>
      <c r="K456" s="35" t="b">
        <f>IFERROR(__xludf.DUMMYFUNCTION("""COMPUTED_VALUE"""),FALSE)</f>
        <v>0</v>
      </c>
      <c r="L456" s="35" t="str">
        <f>IFERROR(__xludf.DUMMYFUNCTION("""COMPUTED_VALUE"""),"Array;Greedy;Sorting;")</f>
        <v>Array;Greedy;Sorting;</v>
      </c>
      <c r="M456" s="35" t="b">
        <f>IFERROR(__xludf.DUMMYFUNCTION("""COMPUTED_VALUE"""),FALSE)</f>
        <v>0</v>
      </c>
      <c r="N456" s="35" t="b">
        <f>IFERROR(__xludf.DUMMYFUNCTION("""COMPUTED_VALUE"""),FALSE)</f>
        <v>0</v>
      </c>
      <c r="O456" s="35">
        <f>IFERROR(__xludf.DUMMYFUNCTION("""COMPUTED_VALUE"""),50.7279415074562)</f>
        <v>50.72794151</v>
      </c>
      <c r="P456" s="35">
        <f>IFERROR(__xludf.DUMMYFUNCTION("""COMPUTED_VALUE"""),157768.0)</f>
        <v>157768</v>
      </c>
      <c r="Q456" s="35">
        <f>IFERROR(__xludf.DUMMYFUNCTION("""COMPUTED_VALUE"""),311011.0)</f>
        <v>311011</v>
      </c>
    </row>
    <row r="457">
      <c r="A457" s="35">
        <f>IFERROR(__xludf.DUMMYFUNCTION("""COMPUTED_VALUE"""),456.0)</f>
        <v>456</v>
      </c>
      <c r="B457" s="35" t="str">
        <f>IFERROR(__xludf.DUMMYFUNCTION("""COMPUTED_VALUE"""),"132 Pattern")</f>
        <v>132 Pattern</v>
      </c>
      <c r="C457" s="35" t="str">
        <f>IFERROR(__xludf.DUMMYFUNCTION("""COMPUTED_VALUE"""),"132-pattern")</f>
        <v>132-pattern</v>
      </c>
      <c r="D457" s="35" t="b">
        <f>IFERROR(__xludf.DUMMYFUNCTION("""COMPUTED_VALUE"""),FALSE)</f>
        <v>0</v>
      </c>
      <c r="E457" s="35" t="str">
        <f>IFERROR(__xludf.DUMMYFUNCTION("""COMPUTED_VALUE"""),"Medium")</f>
        <v>Medium</v>
      </c>
      <c r="F457" s="35">
        <f>IFERROR(__xludf.DUMMYFUNCTION("""COMPUTED_VALUE"""),3112.0)</f>
        <v>3112</v>
      </c>
      <c r="G457" s="35">
        <f>IFERROR(__xludf.DUMMYFUNCTION("""COMPUTED_VALUE"""),171.0)</f>
        <v>171</v>
      </c>
      <c r="H457" s="35" t="str">
        <f>IFERROR(__xludf.DUMMYFUNCTION("""COMPUTED_VALUE"""),"Algorithms")</f>
        <v>Algorithms</v>
      </c>
      <c r="I457" s="35">
        <f>IFERROR(__xludf.DUMMYFUNCTION("""COMPUTED_VALUE"""),0.309)</f>
        <v>0.309</v>
      </c>
      <c r="J457" s="35">
        <f>IFERROR(__xludf.DUMMYFUNCTION("""COMPUTED_VALUE"""),456.0)</f>
        <v>456</v>
      </c>
      <c r="K457" s="35" t="b">
        <f>IFERROR(__xludf.DUMMYFUNCTION("""COMPUTED_VALUE"""),FALSE)</f>
        <v>0</v>
      </c>
      <c r="L457" s="35" t="str">
        <f>IFERROR(__xludf.DUMMYFUNCTION("""COMPUTED_VALUE"""),"Array;Binary Search;Stack;Monotonic Stack;Ordered Set;")</f>
        <v>Array;Binary Search;Stack;Monotonic Stack;Ordered Set;</v>
      </c>
      <c r="M457" s="35" t="b">
        <f>IFERROR(__xludf.DUMMYFUNCTION("""COMPUTED_VALUE"""),TRUE)</f>
        <v>1</v>
      </c>
      <c r="N457" s="35" t="b">
        <f>IFERROR(__xludf.DUMMYFUNCTION("""COMPUTED_VALUE"""),TRUE)</f>
        <v>1</v>
      </c>
      <c r="O457" s="35">
        <f>IFERROR(__xludf.DUMMYFUNCTION("""COMPUTED_VALUE"""),30.9155974255471)</f>
        <v>30.91559743</v>
      </c>
      <c r="P457" s="35">
        <f>IFERROR(__xludf.DUMMYFUNCTION("""COMPUTED_VALUE"""),104619.0)</f>
        <v>104619</v>
      </c>
      <c r="Q457" s="35">
        <f>IFERROR(__xludf.DUMMYFUNCTION("""COMPUTED_VALUE"""),338402.0)</f>
        <v>338402</v>
      </c>
    </row>
    <row r="458">
      <c r="A458" s="35">
        <f>IFERROR(__xludf.DUMMYFUNCTION("""COMPUTED_VALUE"""),457.0)</f>
        <v>457</v>
      </c>
      <c r="B458" s="35" t="str">
        <f>IFERROR(__xludf.DUMMYFUNCTION("""COMPUTED_VALUE"""),"Circular Array Loop")</f>
        <v>Circular Array Loop</v>
      </c>
      <c r="C458" s="35" t="str">
        <f>IFERROR(__xludf.DUMMYFUNCTION("""COMPUTED_VALUE"""),"circular-array-loop")</f>
        <v>circular-array-loop</v>
      </c>
      <c r="D458" s="35" t="b">
        <f>IFERROR(__xludf.DUMMYFUNCTION("""COMPUTED_VALUE"""),FALSE)</f>
        <v>0</v>
      </c>
      <c r="E458" s="35" t="str">
        <f>IFERROR(__xludf.DUMMYFUNCTION("""COMPUTED_VALUE"""),"Medium")</f>
        <v>Medium</v>
      </c>
      <c r="F458" s="35">
        <f>IFERROR(__xludf.DUMMYFUNCTION("""COMPUTED_VALUE"""),319.0)</f>
        <v>319</v>
      </c>
      <c r="G458" s="35">
        <f>IFERROR(__xludf.DUMMYFUNCTION("""COMPUTED_VALUE"""),270.0)</f>
        <v>270</v>
      </c>
      <c r="H458" s="35" t="str">
        <f>IFERROR(__xludf.DUMMYFUNCTION("""COMPUTED_VALUE"""),"Algorithms")</f>
        <v>Algorithms</v>
      </c>
      <c r="I458" s="35">
        <f>IFERROR(__xludf.DUMMYFUNCTION("""COMPUTED_VALUE"""),0.315)</f>
        <v>0.315</v>
      </c>
      <c r="J458" s="35">
        <f>IFERROR(__xludf.DUMMYFUNCTION("""COMPUTED_VALUE"""),457.0)</f>
        <v>457</v>
      </c>
      <c r="K458" s="35" t="b">
        <f>IFERROR(__xludf.DUMMYFUNCTION("""COMPUTED_VALUE"""),FALSE)</f>
        <v>0</v>
      </c>
      <c r="L458" s="35" t="str">
        <f>IFERROR(__xludf.DUMMYFUNCTION("""COMPUTED_VALUE"""),"Array;Hash Table;Two Pointers;")</f>
        <v>Array;Hash Table;Two Pointers;</v>
      </c>
      <c r="M458" s="35" t="b">
        <f>IFERROR(__xludf.DUMMYFUNCTION("""COMPUTED_VALUE"""),FALSE)</f>
        <v>0</v>
      </c>
      <c r="N458" s="35" t="b">
        <f>IFERROR(__xludf.DUMMYFUNCTION("""COMPUTED_VALUE"""),FALSE)</f>
        <v>0</v>
      </c>
      <c r="O458" s="35">
        <f>IFERROR(__xludf.DUMMYFUNCTION("""COMPUTED_VALUE"""),31.5133750648605)</f>
        <v>31.51337506</v>
      </c>
      <c r="P458" s="35">
        <f>IFERROR(__xludf.DUMMYFUNCTION("""COMPUTED_VALUE"""),57089.0)</f>
        <v>57089</v>
      </c>
      <c r="Q458" s="35">
        <f>IFERROR(__xludf.DUMMYFUNCTION("""COMPUTED_VALUE"""),181158.0)</f>
        <v>181158</v>
      </c>
    </row>
    <row r="459">
      <c r="A459" s="35">
        <f>IFERROR(__xludf.DUMMYFUNCTION("""COMPUTED_VALUE"""),458.0)</f>
        <v>458</v>
      </c>
      <c r="B459" s="35" t="str">
        <f>IFERROR(__xludf.DUMMYFUNCTION("""COMPUTED_VALUE"""),"Poor Pigs")</f>
        <v>Poor Pigs</v>
      </c>
      <c r="C459" s="35" t="str">
        <f>IFERROR(__xludf.DUMMYFUNCTION("""COMPUTED_VALUE"""),"poor-pigs")</f>
        <v>poor-pigs</v>
      </c>
      <c r="D459" s="35" t="b">
        <f>IFERROR(__xludf.DUMMYFUNCTION("""COMPUTED_VALUE"""),FALSE)</f>
        <v>0</v>
      </c>
      <c r="E459" s="35" t="str">
        <f>IFERROR(__xludf.DUMMYFUNCTION("""COMPUTED_VALUE"""),"Hard")</f>
        <v>Hard</v>
      </c>
      <c r="F459" s="35">
        <f>IFERROR(__xludf.DUMMYFUNCTION("""COMPUTED_VALUE"""),626.0)</f>
        <v>626</v>
      </c>
      <c r="G459" s="35">
        <f>IFERROR(__xludf.DUMMYFUNCTION("""COMPUTED_VALUE"""),1128.0)</f>
        <v>1128</v>
      </c>
      <c r="H459" s="35" t="str">
        <f>IFERROR(__xludf.DUMMYFUNCTION("""COMPUTED_VALUE"""),"Algorithms")</f>
        <v>Algorithms</v>
      </c>
      <c r="I459" s="35">
        <f>IFERROR(__xludf.DUMMYFUNCTION("""COMPUTED_VALUE"""),0.554)</f>
        <v>0.554</v>
      </c>
      <c r="J459" s="35">
        <f>IFERROR(__xludf.DUMMYFUNCTION("""COMPUTED_VALUE"""),458.0)</f>
        <v>458</v>
      </c>
      <c r="K459" s="35" t="b">
        <f>IFERROR(__xludf.DUMMYFUNCTION("""COMPUTED_VALUE"""),FALSE)</f>
        <v>0</v>
      </c>
      <c r="L459" s="35" t="str">
        <f>IFERROR(__xludf.DUMMYFUNCTION("""COMPUTED_VALUE"""),"Math;Dynamic Programming;Combinatorics;")</f>
        <v>Math;Dynamic Programming;Combinatorics;</v>
      </c>
      <c r="M459" s="35" t="b">
        <f>IFERROR(__xludf.DUMMYFUNCTION("""COMPUTED_VALUE"""),TRUE)</f>
        <v>1</v>
      </c>
      <c r="N459" s="35" t="b">
        <f>IFERROR(__xludf.DUMMYFUNCTION("""COMPUTED_VALUE"""),FALSE)</f>
        <v>0</v>
      </c>
      <c r="O459" s="35">
        <f>IFERROR(__xludf.DUMMYFUNCTION("""COMPUTED_VALUE"""),55.4348371136777)</f>
        <v>55.43483711</v>
      </c>
      <c r="P459" s="35">
        <f>IFERROR(__xludf.DUMMYFUNCTION("""COMPUTED_VALUE"""),33165.0)</f>
        <v>33165</v>
      </c>
      <c r="Q459" s="35">
        <f>IFERROR(__xludf.DUMMYFUNCTION("""COMPUTED_VALUE"""),59827.0)</f>
        <v>59827</v>
      </c>
    </row>
    <row r="460">
      <c r="A460" s="35">
        <f>IFERROR(__xludf.DUMMYFUNCTION("""COMPUTED_VALUE"""),459.0)</f>
        <v>459</v>
      </c>
      <c r="B460" s="35" t="str">
        <f>IFERROR(__xludf.DUMMYFUNCTION("""COMPUTED_VALUE"""),"Repeated Substring Pattern")</f>
        <v>Repeated Substring Pattern</v>
      </c>
      <c r="C460" s="35" t="str">
        <f>IFERROR(__xludf.DUMMYFUNCTION("""COMPUTED_VALUE"""),"repeated-substring-pattern")</f>
        <v>repeated-substring-pattern</v>
      </c>
      <c r="D460" s="35" t="b">
        <f>IFERROR(__xludf.DUMMYFUNCTION("""COMPUTED_VALUE"""),FALSE)</f>
        <v>0</v>
      </c>
      <c r="E460" s="35" t="str">
        <f>IFERROR(__xludf.DUMMYFUNCTION("""COMPUTED_VALUE"""),"Easy")</f>
        <v>Easy</v>
      </c>
      <c r="F460" s="35">
        <f>IFERROR(__xludf.DUMMYFUNCTION("""COMPUTED_VALUE"""),3131.0)</f>
        <v>3131</v>
      </c>
      <c r="G460" s="35">
        <f>IFERROR(__xludf.DUMMYFUNCTION("""COMPUTED_VALUE"""),302.0)</f>
        <v>302</v>
      </c>
      <c r="H460" s="35" t="str">
        <f>IFERROR(__xludf.DUMMYFUNCTION("""COMPUTED_VALUE"""),"Algorithms")</f>
        <v>Algorithms</v>
      </c>
      <c r="I460" s="35">
        <f>IFERROR(__xludf.DUMMYFUNCTION("""COMPUTED_VALUE"""),0.435)</f>
        <v>0.435</v>
      </c>
      <c r="J460" s="35">
        <f>IFERROR(__xludf.DUMMYFUNCTION("""COMPUTED_VALUE"""),459.0)</f>
        <v>459</v>
      </c>
      <c r="K460" s="35" t="b">
        <f>IFERROR(__xludf.DUMMYFUNCTION("""COMPUTED_VALUE"""),FALSE)</f>
        <v>0</v>
      </c>
      <c r="L460" s="35" t="str">
        <f>IFERROR(__xludf.DUMMYFUNCTION("""COMPUTED_VALUE"""),"String;String Matching;")</f>
        <v>String;String Matching;</v>
      </c>
      <c r="M460" s="35" t="b">
        <f>IFERROR(__xludf.DUMMYFUNCTION("""COMPUTED_VALUE"""),FALSE)</f>
        <v>0</v>
      </c>
      <c r="N460" s="35" t="b">
        <f>IFERROR(__xludf.DUMMYFUNCTION("""COMPUTED_VALUE"""),FALSE)</f>
        <v>0</v>
      </c>
      <c r="O460" s="35">
        <f>IFERROR(__xludf.DUMMYFUNCTION("""COMPUTED_VALUE"""),43.5195560233759)</f>
        <v>43.51955602</v>
      </c>
      <c r="P460" s="35">
        <f>IFERROR(__xludf.DUMMYFUNCTION("""COMPUTED_VALUE"""),230703.0)</f>
        <v>230703</v>
      </c>
      <c r="Q460" s="35">
        <f>IFERROR(__xludf.DUMMYFUNCTION("""COMPUTED_VALUE"""),530112.0)</f>
        <v>530112</v>
      </c>
    </row>
    <row r="461">
      <c r="A461" s="35">
        <f>IFERROR(__xludf.DUMMYFUNCTION("""COMPUTED_VALUE"""),460.0)</f>
        <v>460</v>
      </c>
      <c r="B461" s="35" t="str">
        <f>IFERROR(__xludf.DUMMYFUNCTION("""COMPUTED_VALUE"""),"LFU Cache")</f>
        <v>LFU Cache</v>
      </c>
      <c r="C461" s="35" t="str">
        <f>IFERROR(__xludf.DUMMYFUNCTION("""COMPUTED_VALUE"""),"lfu-cache")</f>
        <v>lfu-cache</v>
      </c>
      <c r="D461" s="35" t="b">
        <f>IFERROR(__xludf.DUMMYFUNCTION("""COMPUTED_VALUE"""),FALSE)</f>
        <v>0</v>
      </c>
      <c r="E461" s="35" t="str">
        <f>IFERROR(__xludf.DUMMYFUNCTION("""COMPUTED_VALUE"""),"Hard")</f>
        <v>Hard</v>
      </c>
      <c r="F461" s="35">
        <f>IFERROR(__xludf.DUMMYFUNCTION("""COMPUTED_VALUE"""),3009.0)</f>
        <v>3009</v>
      </c>
      <c r="G461" s="35">
        <f>IFERROR(__xludf.DUMMYFUNCTION("""COMPUTED_VALUE"""),200.0)</f>
        <v>200</v>
      </c>
      <c r="H461" s="35" t="str">
        <f>IFERROR(__xludf.DUMMYFUNCTION("""COMPUTED_VALUE"""),"Algorithms")</f>
        <v>Algorithms</v>
      </c>
      <c r="I461" s="35">
        <f>IFERROR(__xludf.DUMMYFUNCTION("""COMPUTED_VALUE"""),0.391)</f>
        <v>0.391</v>
      </c>
      <c r="J461" s="35">
        <f>IFERROR(__xludf.DUMMYFUNCTION("""COMPUTED_VALUE"""),460.0)</f>
        <v>460</v>
      </c>
      <c r="K461" s="35" t="b">
        <f>IFERROR(__xludf.DUMMYFUNCTION("""COMPUTED_VALUE"""),FALSE)</f>
        <v>0</v>
      </c>
      <c r="L461" s="35" t="str">
        <f>IFERROR(__xludf.DUMMYFUNCTION("""COMPUTED_VALUE"""),"Hash Table;Linked List;Design;Doubly-Linked List;")</f>
        <v>Hash Table;Linked List;Design;Doubly-Linked List;</v>
      </c>
      <c r="M461" s="35" t="b">
        <f>IFERROR(__xludf.DUMMYFUNCTION("""COMPUTED_VALUE"""),FALSE)</f>
        <v>0</v>
      </c>
      <c r="N461" s="35" t="b">
        <f>IFERROR(__xludf.DUMMYFUNCTION("""COMPUTED_VALUE"""),FALSE)</f>
        <v>0</v>
      </c>
      <c r="O461" s="35">
        <f>IFERROR(__xludf.DUMMYFUNCTION("""COMPUTED_VALUE"""),39.1071447760071)</f>
        <v>39.10714478</v>
      </c>
      <c r="P461" s="35">
        <f>IFERROR(__xludf.DUMMYFUNCTION("""COMPUTED_VALUE"""),145570.0)</f>
        <v>145570</v>
      </c>
      <c r="Q461" s="35">
        <f>IFERROR(__xludf.DUMMYFUNCTION("""COMPUTED_VALUE"""),372240.0)</f>
        <v>372240</v>
      </c>
    </row>
    <row r="462">
      <c r="A462" s="35">
        <f>IFERROR(__xludf.DUMMYFUNCTION("""COMPUTED_VALUE"""),461.0)</f>
        <v>461</v>
      </c>
      <c r="B462" s="35" t="str">
        <f>IFERROR(__xludf.DUMMYFUNCTION("""COMPUTED_VALUE"""),"Hamming Distance")</f>
        <v>Hamming Distance</v>
      </c>
      <c r="C462" s="35" t="str">
        <f>IFERROR(__xludf.DUMMYFUNCTION("""COMPUTED_VALUE"""),"hamming-distance")</f>
        <v>hamming-distance</v>
      </c>
      <c r="D462" s="35" t="b">
        <f>IFERROR(__xludf.DUMMYFUNCTION("""COMPUTED_VALUE"""),FALSE)</f>
        <v>0</v>
      </c>
      <c r="E462" s="35" t="str">
        <f>IFERROR(__xludf.DUMMYFUNCTION("""COMPUTED_VALUE"""),"Easy")</f>
        <v>Easy</v>
      </c>
      <c r="F462" s="35">
        <f>IFERROR(__xludf.DUMMYFUNCTION("""COMPUTED_VALUE"""),2972.0)</f>
        <v>2972</v>
      </c>
      <c r="G462" s="35">
        <f>IFERROR(__xludf.DUMMYFUNCTION("""COMPUTED_VALUE"""),197.0)</f>
        <v>197</v>
      </c>
      <c r="H462" s="35" t="str">
        <f>IFERROR(__xludf.DUMMYFUNCTION("""COMPUTED_VALUE"""),"Algorithms")</f>
        <v>Algorithms</v>
      </c>
      <c r="I462" s="35">
        <f>IFERROR(__xludf.DUMMYFUNCTION("""COMPUTED_VALUE"""),0.744)</f>
        <v>0.744</v>
      </c>
      <c r="J462" s="35">
        <f>IFERROR(__xludf.DUMMYFUNCTION("""COMPUTED_VALUE"""),461.0)</f>
        <v>461</v>
      </c>
      <c r="K462" s="35" t="b">
        <f>IFERROR(__xludf.DUMMYFUNCTION("""COMPUTED_VALUE"""),FALSE)</f>
        <v>0</v>
      </c>
      <c r="L462" s="35" t="str">
        <f>IFERROR(__xludf.DUMMYFUNCTION("""COMPUTED_VALUE"""),"Bit Manipulation;")</f>
        <v>Bit Manipulation;</v>
      </c>
      <c r="M462" s="35" t="b">
        <f>IFERROR(__xludf.DUMMYFUNCTION("""COMPUTED_VALUE"""),TRUE)</f>
        <v>1</v>
      </c>
      <c r="N462" s="35" t="b">
        <f>IFERROR(__xludf.DUMMYFUNCTION("""COMPUTED_VALUE"""),FALSE)</f>
        <v>0</v>
      </c>
      <c r="O462" s="35">
        <f>IFERROR(__xludf.DUMMYFUNCTION("""COMPUTED_VALUE"""),74.4343025666724)</f>
        <v>74.43430257</v>
      </c>
      <c r="P462" s="35">
        <f>IFERROR(__xludf.DUMMYFUNCTION("""COMPUTED_VALUE"""),464904.0)</f>
        <v>464904</v>
      </c>
      <c r="Q462" s="35">
        <f>IFERROR(__xludf.DUMMYFUNCTION("""COMPUTED_VALUE"""),624583.0)</f>
        <v>624583</v>
      </c>
    </row>
    <row r="463">
      <c r="A463" s="35">
        <f>IFERROR(__xludf.DUMMYFUNCTION("""COMPUTED_VALUE"""),462.0)</f>
        <v>462</v>
      </c>
      <c r="B463" s="35" t="str">
        <f>IFERROR(__xludf.DUMMYFUNCTION("""COMPUTED_VALUE"""),"Minimum Moves to Equal Array Elements II")</f>
        <v>Minimum Moves to Equal Array Elements II</v>
      </c>
      <c r="C463" s="35" t="str">
        <f>IFERROR(__xludf.DUMMYFUNCTION("""COMPUTED_VALUE"""),"minimum-moves-to-equal-array-elements-ii")</f>
        <v>minimum-moves-to-equal-array-elements-ii</v>
      </c>
      <c r="D463" s="35" t="b">
        <f>IFERROR(__xludf.DUMMYFUNCTION("""COMPUTED_VALUE"""),FALSE)</f>
        <v>0</v>
      </c>
      <c r="E463" s="35" t="str">
        <f>IFERROR(__xludf.DUMMYFUNCTION("""COMPUTED_VALUE"""),"Medium")</f>
        <v>Medium</v>
      </c>
      <c r="F463" s="35">
        <f>IFERROR(__xludf.DUMMYFUNCTION("""COMPUTED_VALUE"""),1326.0)</f>
        <v>1326</v>
      </c>
      <c r="G463" s="35">
        <f>IFERROR(__xludf.DUMMYFUNCTION("""COMPUTED_VALUE"""),72.0)</f>
        <v>72</v>
      </c>
      <c r="H463" s="35" t="str">
        <f>IFERROR(__xludf.DUMMYFUNCTION("""COMPUTED_VALUE"""),"Algorithms")</f>
        <v>Algorithms</v>
      </c>
      <c r="I463" s="35">
        <f>IFERROR(__xludf.DUMMYFUNCTION("""COMPUTED_VALUE"""),0.567)</f>
        <v>0.567</v>
      </c>
      <c r="J463" s="35">
        <f>IFERROR(__xludf.DUMMYFUNCTION("""COMPUTED_VALUE"""),462.0)</f>
        <v>462</v>
      </c>
      <c r="K463" s="35" t="b">
        <f>IFERROR(__xludf.DUMMYFUNCTION("""COMPUTED_VALUE"""),FALSE)</f>
        <v>0</v>
      </c>
      <c r="L463" s="35" t="str">
        <f>IFERROR(__xludf.DUMMYFUNCTION("""COMPUTED_VALUE"""),"Array;Math;Sorting;")</f>
        <v>Array;Math;Sorting;</v>
      </c>
      <c r="M463" s="35" t="b">
        <f>IFERROR(__xludf.DUMMYFUNCTION("""COMPUTED_VALUE"""),TRUE)</f>
        <v>1</v>
      </c>
      <c r="N463" s="35" t="b">
        <f>IFERROR(__xludf.DUMMYFUNCTION("""COMPUTED_VALUE"""),FALSE)</f>
        <v>0</v>
      </c>
      <c r="O463" s="35">
        <f>IFERROR(__xludf.DUMMYFUNCTION("""COMPUTED_VALUE"""),56.7369974130459)</f>
        <v>56.73699741</v>
      </c>
      <c r="P463" s="35">
        <f>IFERROR(__xludf.DUMMYFUNCTION("""COMPUTED_VALUE"""),85754.0)</f>
        <v>85754</v>
      </c>
      <c r="Q463" s="35">
        <f>IFERROR(__xludf.DUMMYFUNCTION("""COMPUTED_VALUE"""),151143.0)</f>
        <v>151143</v>
      </c>
    </row>
    <row r="464">
      <c r="A464" s="35">
        <f>IFERROR(__xludf.DUMMYFUNCTION("""COMPUTED_VALUE"""),463.0)</f>
        <v>463</v>
      </c>
      <c r="B464" s="35" t="str">
        <f>IFERROR(__xludf.DUMMYFUNCTION("""COMPUTED_VALUE"""),"Island Perimeter")</f>
        <v>Island Perimeter</v>
      </c>
      <c r="C464" s="35" t="str">
        <f>IFERROR(__xludf.DUMMYFUNCTION("""COMPUTED_VALUE"""),"island-perimeter")</f>
        <v>island-perimeter</v>
      </c>
      <c r="D464" s="35" t="b">
        <f>IFERROR(__xludf.DUMMYFUNCTION("""COMPUTED_VALUE"""),FALSE)</f>
        <v>0</v>
      </c>
      <c r="E464" s="35" t="str">
        <f>IFERROR(__xludf.DUMMYFUNCTION("""COMPUTED_VALUE"""),"Easy")</f>
        <v>Easy</v>
      </c>
      <c r="F464" s="35">
        <f>IFERROR(__xludf.DUMMYFUNCTION("""COMPUTED_VALUE"""),4156.0)</f>
        <v>4156</v>
      </c>
      <c r="G464" s="35">
        <f>IFERROR(__xludf.DUMMYFUNCTION("""COMPUTED_VALUE"""),231.0)</f>
        <v>231</v>
      </c>
      <c r="H464" s="35" t="str">
        <f>IFERROR(__xludf.DUMMYFUNCTION("""COMPUTED_VALUE"""),"Algorithms")</f>
        <v>Algorithms</v>
      </c>
      <c r="I464" s="35">
        <f>IFERROR(__xludf.DUMMYFUNCTION("""COMPUTED_VALUE"""),0.688)</f>
        <v>0.688</v>
      </c>
      <c r="J464" s="35">
        <f>IFERROR(__xludf.DUMMYFUNCTION("""COMPUTED_VALUE"""),463.0)</f>
        <v>463</v>
      </c>
      <c r="K464" s="35" t="b">
        <f>IFERROR(__xludf.DUMMYFUNCTION("""COMPUTED_VALUE"""),FALSE)</f>
        <v>0</v>
      </c>
      <c r="L464" s="35" t="str">
        <f>IFERROR(__xludf.DUMMYFUNCTION("""COMPUTED_VALUE"""),"Array;Depth-First Search;Breadth-First Search;Matrix;")</f>
        <v>Array;Depth-First Search;Breadth-First Search;Matrix;</v>
      </c>
      <c r="M464" s="35" t="b">
        <f>IFERROR(__xludf.DUMMYFUNCTION("""COMPUTED_VALUE"""),TRUE)</f>
        <v>1</v>
      </c>
      <c r="N464" s="35" t="b">
        <f>IFERROR(__xludf.DUMMYFUNCTION("""COMPUTED_VALUE"""),FALSE)</f>
        <v>0</v>
      </c>
      <c r="O464" s="35">
        <f>IFERROR(__xludf.DUMMYFUNCTION("""COMPUTED_VALUE"""),68.7757761833423)</f>
        <v>68.77577618</v>
      </c>
      <c r="P464" s="35">
        <f>IFERROR(__xludf.DUMMYFUNCTION("""COMPUTED_VALUE"""),353032.0)</f>
        <v>353032</v>
      </c>
      <c r="Q464" s="35">
        <f>IFERROR(__xludf.DUMMYFUNCTION("""COMPUTED_VALUE"""),513308.0)</f>
        <v>513308</v>
      </c>
    </row>
    <row r="465">
      <c r="A465" s="35">
        <f>IFERROR(__xludf.DUMMYFUNCTION("""COMPUTED_VALUE"""),464.0)</f>
        <v>464</v>
      </c>
      <c r="B465" s="35" t="str">
        <f>IFERROR(__xludf.DUMMYFUNCTION("""COMPUTED_VALUE"""),"Can I Win")</f>
        <v>Can I Win</v>
      </c>
      <c r="C465" s="35" t="str">
        <f>IFERROR(__xludf.DUMMYFUNCTION("""COMPUTED_VALUE"""),"can-i-win")</f>
        <v>can-i-win</v>
      </c>
      <c r="D465" s="35" t="b">
        <f>IFERROR(__xludf.DUMMYFUNCTION("""COMPUTED_VALUE"""),FALSE)</f>
        <v>0</v>
      </c>
      <c r="E465" s="35" t="str">
        <f>IFERROR(__xludf.DUMMYFUNCTION("""COMPUTED_VALUE"""),"Medium")</f>
        <v>Medium</v>
      </c>
      <c r="F465" s="35">
        <f>IFERROR(__xludf.DUMMYFUNCTION("""COMPUTED_VALUE"""),1780.0)</f>
        <v>1780</v>
      </c>
      <c r="G465" s="35">
        <f>IFERROR(__xludf.DUMMYFUNCTION("""COMPUTED_VALUE"""),288.0)</f>
        <v>288</v>
      </c>
      <c r="H465" s="35" t="str">
        <f>IFERROR(__xludf.DUMMYFUNCTION("""COMPUTED_VALUE"""),"Algorithms")</f>
        <v>Algorithms</v>
      </c>
      <c r="I465" s="35">
        <f>IFERROR(__xludf.DUMMYFUNCTION("""COMPUTED_VALUE"""),0.299)</f>
        <v>0.299</v>
      </c>
      <c r="J465" s="35">
        <f>IFERROR(__xludf.DUMMYFUNCTION("""COMPUTED_VALUE"""),464.0)</f>
        <v>464</v>
      </c>
      <c r="K465" s="35" t="b">
        <f>IFERROR(__xludf.DUMMYFUNCTION("""COMPUTED_VALUE"""),FALSE)</f>
        <v>0</v>
      </c>
      <c r="L465" s="35" t="str">
        <f>IFERROR(__xludf.DUMMYFUNCTION("""COMPUTED_VALUE"""),"Math;Dynamic Programming;Bit Manipulation;Memoization;Game Theory;Bitmask;")</f>
        <v>Math;Dynamic Programming;Bit Manipulation;Memoization;Game Theory;Bitmask;</v>
      </c>
      <c r="M465" s="35" t="b">
        <f>IFERROR(__xludf.DUMMYFUNCTION("""COMPUTED_VALUE"""),FALSE)</f>
        <v>0</v>
      </c>
      <c r="N465" s="35" t="b">
        <f>IFERROR(__xludf.DUMMYFUNCTION("""COMPUTED_VALUE"""),FALSE)</f>
        <v>0</v>
      </c>
      <c r="O465" s="35">
        <f>IFERROR(__xludf.DUMMYFUNCTION("""COMPUTED_VALUE"""),29.8514501296864)</f>
        <v>29.85145013</v>
      </c>
      <c r="P465" s="35">
        <f>IFERROR(__xludf.DUMMYFUNCTION("""COMPUTED_VALUE"""),73428.0)</f>
        <v>73428</v>
      </c>
      <c r="Q465" s="35">
        <f>IFERROR(__xludf.DUMMYFUNCTION("""COMPUTED_VALUE"""),245978.0)</f>
        <v>245978</v>
      </c>
    </row>
    <row r="466">
      <c r="A466" s="35">
        <f>IFERROR(__xludf.DUMMYFUNCTION("""COMPUTED_VALUE"""),465.0)</f>
        <v>465</v>
      </c>
      <c r="B466" s="35" t="str">
        <f>IFERROR(__xludf.DUMMYFUNCTION("""COMPUTED_VALUE"""),"Optimal Account Balancing")</f>
        <v>Optimal Account Balancing</v>
      </c>
      <c r="C466" s="35" t="str">
        <f>IFERROR(__xludf.DUMMYFUNCTION("""COMPUTED_VALUE"""),"optimal-account-balancing")</f>
        <v>optimal-account-balancing</v>
      </c>
      <c r="D466" s="35" t="b">
        <f>IFERROR(__xludf.DUMMYFUNCTION("""COMPUTED_VALUE"""),TRUE)</f>
        <v>1</v>
      </c>
      <c r="E466" s="35" t="str">
        <f>IFERROR(__xludf.DUMMYFUNCTION("""COMPUTED_VALUE"""),"Hard")</f>
        <v>Hard</v>
      </c>
      <c r="F466" s="35">
        <f>IFERROR(__xludf.DUMMYFUNCTION("""COMPUTED_VALUE"""),1099.0)</f>
        <v>1099</v>
      </c>
      <c r="G466" s="35">
        <f>IFERROR(__xludf.DUMMYFUNCTION("""COMPUTED_VALUE"""),104.0)</f>
        <v>104</v>
      </c>
      <c r="H466" s="35" t="str">
        <f>IFERROR(__xludf.DUMMYFUNCTION("""COMPUTED_VALUE"""),"Algorithms")</f>
        <v>Algorithms</v>
      </c>
      <c r="I466" s="35">
        <f>IFERROR(__xludf.DUMMYFUNCTION("""COMPUTED_VALUE"""),0.488)</f>
        <v>0.488</v>
      </c>
      <c r="J466" s="35">
        <f>IFERROR(__xludf.DUMMYFUNCTION("""COMPUTED_VALUE"""),465.0)</f>
        <v>465</v>
      </c>
      <c r="K466" s="35" t="b">
        <f>IFERROR(__xludf.DUMMYFUNCTION("""COMPUTED_VALUE"""),TRUE)</f>
        <v>1</v>
      </c>
      <c r="L466" s="35" t="str">
        <f>IFERROR(__xludf.DUMMYFUNCTION("""COMPUTED_VALUE"""),"Array;Backtracking;")</f>
        <v>Array;Backtracking;</v>
      </c>
      <c r="M466" s="35" t="b">
        <f>IFERROR(__xludf.DUMMYFUNCTION("""COMPUTED_VALUE"""),FALSE)</f>
        <v>0</v>
      </c>
      <c r="N466" s="35" t="b">
        <f>IFERROR(__xludf.DUMMYFUNCTION("""COMPUTED_VALUE"""),FALSE)</f>
        <v>0</v>
      </c>
      <c r="O466" s="35">
        <f>IFERROR(__xludf.DUMMYFUNCTION("""COMPUTED_VALUE"""),48.7591399406356)</f>
        <v>48.75913994</v>
      </c>
      <c r="P466" s="35">
        <f>IFERROR(__xludf.DUMMYFUNCTION("""COMPUTED_VALUE"""),67349.0)</f>
        <v>67349</v>
      </c>
      <c r="Q466" s="35">
        <f>IFERROR(__xludf.DUMMYFUNCTION("""COMPUTED_VALUE"""),138128.0)</f>
        <v>138128</v>
      </c>
    </row>
    <row r="467">
      <c r="A467" s="35">
        <f>IFERROR(__xludf.DUMMYFUNCTION("""COMPUTED_VALUE"""),466.0)</f>
        <v>466</v>
      </c>
      <c r="B467" s="35" t="str">
        <f>IFERROR(__xludf.DUMMYFUNCTION("""COMPUTED_VALUE"""),"Count The Repetitions")</f>
        <v>Count The Repetitions</v>
      </c>
      <c r="C467" s="35" t="str">
        <f>IFERROR(__xludf.DUMMYFUNCTION("""COMPUTED_VALUE"""),"count-the-repetitions")</f>
        <v>count-the-repetitions</v>
      </c>
      <c r="D467" s="35" t="b">
        <f>IFERROR(__xludf.DUMMYFUNCTION("""COMPUTED_VALUE"""),FALSE)</f>
        <v>0</v>
      </c>
      <c r="E467" s="35" t="str">
        <f>IFERROR(__xludf.DUMMYFUNCTION("""COMPUTED_VALUE"""),"Hard")</f>
        <v>Hard</v>
      </c>
      <c r="F467" s="35">
        <f>IFERROR(__xludf.DUMMYFUNCTION("""COMPUTED_VALUE"""),285.0)</f>
        <v>285</v>
      </c>
      <c r="G467" s="35">
        <f>IFERROR(__xludf.DUMMYFUNCTION("""COMPUTED_VALUE"""),255.0)</f>
        <v>255</v>
      </c>
      <c r="H467" s="35" t="str">
        <f>IFERROR(__xludf.DUMMYFUNCTION("""COMPUTED_VALUE"""),"Algorithms")</f>
        <v>Algorithms</v>
      </c>
      <c r="I467" s="35">
        <f>IFERROR(__xludf.DUMMYFUNCTION("""COMPUTED_VALUE"""),0.29)</f>
        <v>0.29</v>
      </c>
      <c r="J467" s="35">
        <f>IFERROR(__xludf.DUMMYFUNCTION("""COMPUTED_VALUE"""),466.0)</f>
        <v>466</v>
      </c>
      <c r="K467" s="35" t="b">
        <f>IFERROR(__xludf.DUMMYFUNCTION("""COMPUTED_VALUE"""),FALSE)</f>
        <v>0</v>
      </c>
      <c r="L467" s="35" t="str">
        <f>IFERROR(__xludf.DUMMYFUNCTION("""COMPUTED_VALUE"""),"String;Dynamic Programming;")</f>
        <v>String;Dynamic Programming;</v>
      </c>
      <c r="M467" s="35" t="b">
        <f>IFERROR(__xludf.DUMMYFUNCTION("""COMPUTED_VALUE"""),TRUE)</f>
        <v>1</v>
      </c>
      <c r="N467" s="35" t="b">
        <f>IFERROR(__xludf.DUMMYFUNCTION("""COMPUTED_VALUE"""),FALSE)</f>
        <v>0</v>
      </c>
      <c r="O467" s="35">
        <f>IFERROR(__xludf.DUMMYFUNCTION("""COMPUTED_VALUE"""),28.9700374531835)</f>
        <v>28.97003745</v>
      </c>
      <c r="P467" s="35">
        <f>IFERROR(__xludf.DUMMYFUNCTION("""COMPUTED_VALUE"""),13923.0)</f>
        <v>13923</v>
      </c>
      <c r="Q467" s="35">
        <f>IFERROR(__xludf.DUMMYFUNCTION("""COMPUTED_VALUE"""),48060.0)</f>
        <v>48060</v>
      </c>
    </row>
    <row r="468">
      <c r="A468" s="35">
        <f>IFERROR(__xludf.DUMMYFUNCTION("""COMPUTED_VALUE"""),467.0)</f>
        <v>467</v>
      </c>
      <c r="B468" s="35" t="str">
        <f>IFERROR(__xludf.DUMMYFUNCTION("""COMPUTED_VALUE"""),"Unique Substrings in Wraparound String")</f>
        <v>Unique Substrings in Wraparound String</v>
      </c>
      <c r="C468" s="35" t="str">
        <f>IFERROR(__xludf.DUMMYFUNCTION("""COMPUTED_VALUE"""),"unique-substrings-in-wraparound-string")</f>
        <v>unique-substrings-in-wraparound-string</v>
      </c>
      <c r="D468" s="35" t="b">
        <f>IFERROR(__xludf.DUMMYFUNCTION("""COMPUTED_VALUE"""),FALSE)</f>
        <v>0</v>
      </c>
      <c r="E468" s="35" t="str">
        <f>IFERROR(__xludf.DUMMYFUNCTION("""COMPUTED_VALUE"""),"Medium")</f>
        <v>Medium</v>
      </c>
      <c r="F468" s="35">
        <f>IFERROR(__xludf.DUMMYFUNCTION("""COMPUTED_VALUE"""),1035.0)</f>
        <v>1035</v>
      </c>
      <c r="G468" s="35">
        <f>IFERROR(__xludf.DUMMYFUNCTION("""COMPUTED_VALUE"""),131.0)</f>
        <v>131</v>
      </c>
      <c r="H468" s="35" t="str">
        <f>IFERROR(__xludf.DUMMYFUNCTION("""COMPUTED_VALUE"""),"Algorithms")</f>
        <v>Algorithms</v>
      </c>
      <c r="I468" s="35">
        <f>IFERROR(__xludf.DUMMYFUNCTION("""COMPUTED_VALUE"""),0.373)</f>
        <v>0.373</v>
      </c>
      <c r="J468" s="35">
        <f>IFERROR(__xludf.DUMMYFUNCTION("""COMPUTED_VALUE"""),467.0)</f>
        <v>467</v>
      </c>
      <c r="K468" s="35" t="b">
        <f>IFERROR(__xludf.DUMMYFUNCTION("""COMPUTED_VALUE"""),FALSE)</f>
        <v>0</v>
      </c>
      <c r="L468" s="35" t="str">
        <f>IFERROR(__xludf.DUMMYFUNCTION("""COMPUTED_VALUE"""),"String;Dynamic Programming;")</f>
        <v>String;Dynamic Programming;</v>
      </c>
      <c r="M468" s="35" t="b">
        <f>IFERROR(__xludf.DUMMYFUNCTION("""COMPUTED_VALUE"""),FALSE)</f>
        <v>0</v>
      </c>
      <c r="N468" s="35" t="b">
        <f>IFERROR(__xludf.DUMMYFUNCTION("""COMPUTED_VALUE"""),FALSE)</f>
        <v>0</v>
      </c>
      <c r="O468" s="35">
        <f>IFERROR(__xludf.DUMMYFUNCTION("""COMPUTED_VALUE"""),37.3467295021163)</f>
        <v>37.3467295</v>
      </c>
      <c r="P468" s="35">
        <f>IFERROR(__xludf.DUMMYFUNCTION("""COMPUTED_VALUE"""),34235.0)</f>
        <v>34235</v>
      </c>
      <c r="Q468" s="35">
        <f>IFERROR(__xludf.DUMMYFUNCTION("""COMPUTED_VALUE"""),91668.0)</f>
        <v>91668</v>
      </c>
    </row>
    <row r="469">
      <c r="A469" s="35">
        <f>IFERROR(__xludf.DUMMYFUNCTION("""COMPUTED_VALUE"""),468.0)</f>
        <v>468</v>
      </c>
      <c r="B469" s="35" t="str">
        <f>IFERROR(__xludf.DUMMYFUNCTION("""COMPUTED_VALUE"""),"Validate IP Address")</f>
        <v>Validate IP Address</v>
      </c>
      <c r="C469" s="35" t="str">
        <f>IFERROR(__xludf.DUMMYFUNCTION("""COMPUTED_VALUE"""),"validate-ip-address")</f>
        <v>validate-ip-address</v>
      </c>
      <c r="D469" s="35" t="b">
        <f>IFERROR(__xludf.DUMMYFUNCTION("""COMPUTED_VALUE"""),FALSE)</f>
        <v>0</v>
      </c>
      <c r="E469" s="35" t="str">
        <f>IFERROR(__xludf.DUMMYFUNCTION("""COMPUTED_VALUE"""),"Medium")</f>
        <v>Medium</v>
      </c>
      <c r="F469" s="35">
        <f>IFERROR(__xludf.DUMMYFUNCTION("""COMPUTED_VALUE"""),652.0)</f>
        <v>652</v>
      </c>
      <c r="G469" s="35">
        <f>IFERROR(__xludf.DUMMYFUNCTION("""COMPUTED_VALUE"""),2304.0)</f>
        <v>2304</v>
      </c>
      <c r="H469" s="35" t="str">
        <f>IFERROR(__xludf.DUMMYFUNCTION("""COMPUTED_VALUE"""),"Algorithms")</f>
        <v>Algorithms</v>
      </c>
      <c r="I469" s="35">
        <f>IFERROR(__xludf.DUMMYFUNCTION("""COMPUTED_VALUE"""),0.261)</f>
        <v>0.261</v>
      </c>
      <c r="J469" s="35">
        <f>IFERROR(__xludf.DUMMYFUNCTION("""COMPUTED_VALUE"""),468.0)</f>
        <v>468</v>
      </c>
      <c r="K469" s="35" t="b">
        <f>IFERROR(__xludf.DUMMYFUNCTION("""COMPUTED_VALUE"""),FALSE)</f>
        <v>0</v>
      </c>
      <c r="L469" s="35" t="str">
        <f>IFERROR(__xludf.DUMMYFUNCTION("""COMPUTED_VALUE"""),"String;")</f>
        <v>String;</v>
      </c>
      <c r="M469" s="35" t="b">
        <f>IFERROR(__xludf.DUMMYFUNCTION("""COMPUTED_VALUE"""),TRUE)</f>
        <v>1</v>
      </c>
      <c r="N469" s="35" t="b">
        <f>IFERROR(__xludf.DUMMYFUNCTION("""COMPUTED_VALUE"""),FALSE)</f>
        <v>0</v>
      </c>
      <c r="O469" s="35">
        <f>IFERROR(__xludf.DUMMYFUNCTION("""COMPUTED_VALUE"""),26.1143018066068)</f>
        <v>26.11430181</v>
      </c>
      <c r="P469" s="35">
        <f>IFERROR(__xludf.DUMMYFUNCTION("""COMPUTED_VALUE"""),122404.0)</f>
        <v>122404</v>
      </c>
      <c r="Q469" s="35">
        <f>IFERROR(__xludf.DUMMYFUNCTION("""COMPUTED_VALUE"""),468721.0)</f>
        <v>468721</v>
      </c>
    </row>
    <row r="470">
      <c r="A470" s="35">
        <f>IFERROR(__xludf.DUMMYFUNCTION("""COMPUTED_VALUE"""),469.0)</f>
        <v>469</v>
      </c>
      <c r="B470" s="35" t="str">
        <f>IFERROR(__xludf.DUMMYFUNCTION("""COMPUTED_VALUE"""),"Convex Polygon")</f>
        <v>Convex Polygon</v>
      </c>
      <c r="C470" s="35" t="str">
        <f>IFERROR(__xludf.DUMMYFUNCTION("""COMPUTED_VALUE"""),"convex-polygon")</f>
        <v>convex-polygon</v>
      </c>
      <c r="D470" s="35" t="b">
        <f>IFERROR(__xludf.DUMMYFUNCTION("""COMPUTED_VALUE"""),TRUE)</f>
        <v>1</v>
      </c>
      <c r="E470" s="35" t="str">
        <f>IFERROR(__xludf.DUMMYFUNCTION("""COMPUTED_VALUE"""),"Medium")</f>
        <v>Medium</v>
      </c>
      <c r="F470" s="35">
        <f>IFERROR(__xludf.DUMMYFUNCTION("""COMPUTED_VALUE"""),83.0)</f>
        <v>83</v>
      </c>
      <c r="G470" s="35">
        <f>IFERROR(__xludf.DUMMYFUNCTION("""COMPUTED_VALUE"""),214.0)</f>
        <v>214</v>
      </c>
      <c r="H470" s="35" t="str">
        <f>IFERROR(__xludf.DUMMYFUNCTION("""COMPUTED_VALUE"""),"Algorithms")</f>
        <v>Algorithms</v>
      </c>
      <c r="I470" s="35">
        <f>IFERROR(__xludf.DUMMYFUNCTION("""COMPUTED_VALUE"""),0.382)</f>
        <v>0.382</v>
      </c>
      <c r="J470" s="35">
        <f>IFERROR(__xludf.DUMMYFUNCTION("""COMPUTED_VALUE"""),469.0)</f>
        <v>469</v>
      </c>
      <c r="K470" s="35" t="b">
        <f>IFERROR(__xludf.DUMMYFUNCTION("""COMPUTED_VALUE"""),TRUE)</f>
        <v>1</v>
      </c>
      <c r="L470" s="35" t="str">
        <f>IFERROR(__xludf.DUMMYFUNCTION("""COMPUTED_VALUE"""),"Math;Geometry;")</f>
        <v>Math;Geometry;</v>
      </c>
      <c r="M470" s="35" t="b">
        <f>IFERROR(__xludf.DUMMYFUNCTION("""COMPUTED_VALUE"""),FALSE)</f>
        <v>0</v>
      </c>
      <c r="N470" s="35" t="b">
        <f>IFERROR(__xludf.DUMMYFUNCTION("""COMPUTED_VALUE"""),FALSE)</f>
        <v>0</v>
      </c>
      <c r="O470" s="35">
        <f>IFERROR(__xludf.DUMMYFUNCTION("""COMPUTED_VALUE"""),38.2167152575315)</f>
        <v>38.21671526</v>
      </c>
      <c r="P470" s="35">
        <f>IFERROR(__xludf.DUMMYFUNCTION("""COMPUTED_VALUE"""),9438.0)</f>
        <v>9438</v>
      </c>
      <c r="Q470" s="35">
        <f>IFERROR(__xludf.DUMMYFUNCTION("""COMPUTED_VALUE"""),24696.0)</f>
        <v>24696</v>
      </c>
    </row>
    <row r="471">
      <c r="A471" s="35">
        <f>IFERROR(__xludf.DUMMYFUNCTION("""COMPUTED_VALUE"""),903.0)</f>
        <v>903</v>
      </c>
      <c r="B471" s="35" t="str">
        <f>IFERROR(__xludf.DUMMYFUNCTION("""COMPUTED_VALUE"""),"Implement Rand10() Using Rand7()")</f>
        <v>Implement Rand10() Using Rand7()</v>
      </c>
      <c r="C471" s="35" t="str">
        <f>IFERROR(__xludf.DUMMYFUNCTION("""COMPUTED_VALUE"""),"implement-rand10-using-rand7")</f>
        <v>implement-rand10-using-rand7</v>
      </c>
      <c r="D471" s="35" t="b">
        <f>IFERROR(__xludf.DUMMYFUNCTION("""COMPUTED_VALUE"""),FALSE)</f>
        <v>0</v>
      </c>
      <c r="E471" s="35" t="str">
        <f>IFERROR(__xludf.DUMMYFUNCTION("""COMPUTED_VALUE"""),"Medium")</f>
        <v>Medium</v>
      </c>
      <c r="F471" s="35">
        <f>IFERROR(__xludf.DUMMYFUNCTION("""COMPUTED_VALUE"""),853.0)</f>
        <v>853</v>
      </c>
      <c r="G471" s="35">
        <f>IFERROR(__xludf.DUMMYFUNCTION("""COMPUTED_VALUE"""),280.0)</f>
        <v>280</v>
      </c>
      <c r="H471" s="35" t="str">
        <f>IFERROR(__xludf.DUMMYFUNCTION("""COMPUTED_VALUE"""),"Algorithms")</f>
        <v>Algorithms</v>
      </c>
      <c r="I471" s="35">
        <f>IFERROR(__xludf.DUMMYFUNCTION("""COMPUTED_VALUE"""),0.467)</f>
        <v>0.467</v>
      </c>
      <c r="J471" s="35">
        <f>IFERROR(__xludf.DUMMYFUNCTION("""COMPUTED_VALUE"""),470.0)</f>
        <v>470</v>
      </c>
      <c r="K471" s="35" t="b">
        <f>IFERROR(__xludf.DUMMYFUNCTION("""COMPUTED_VALUE"""),FALSE)</f>
        <v>0</v>
      </c>
      <c r="L471" s="35" t="str">
        <f>IFERROR(__xludf.DUMMYFUNCTION("""COMPUTED_VALUE"""),"Math;Rejection Sampling;Randomized;Probability and Statistics;")</f>
        <v>Math;Rejection Sampling;Randomized;Probability and Statistics;</v>
      </c>
      <c r="M471" s="35" t="b">
        <f>IFERROR(__xludf.DUMMYFUNCTION("""COMPUTED_VALUE"""),TRUE)</f>
        <v>1</v>
      </c>
      <c r="N471" s="35" t="b">
        <f>IFERROR(__xludf.DUMMYFUNCTION("""COMPUTED_VALUE"""),FALSE)</f>
        <v>0</v>
      </c>
      <c r="O471" s="35">
        <f>IFERROR(__xludf.DUMMYFUNCTION("""COMPUTED_VALUE"""),46.7039226553359)</f>
        <v>46.70392266</v>
      </c>
      <c r="P471" s="35">
        <f>IFERROR(__xludf.DUMMYFUNCTION("""COMPUTED_VALUE"""),60674.0)</f>
        <v>60674</v>
      </c>
      <c r="Q471" s="35">
        <f>IFERROR(__xludf.DUMMYFUNCTION("""COMPUTED_VALUE"""),129912.0)</f>
        <v>129912</v>
      </c>
    </row>
    <row r="472">
      <c r="A472" s="35">
        <f>IFERROR(__xludf.DUMMYFUNCTION("""COMPUTED_VALUE"""),471.0)</f>
        <v>471</v>
      </c>
      <c r="B472" s="35" t="str">
        <f>IFERROR(__xludf.DUMMYFUNCTION("""COMPUTED_VALUE"""),"Encode String with Shortest Length")</f>
        <v>Encode String with Shortest Length</v>
      </c>
      <c r="C472" s="35" t="str">
        <f>IFERROR(__xludf.DUMMYFUNCTION("""COMPUTED_VALUE"""),"encode-string-with-shortest-length")</f>
        <v>encode-string-with-shortest-length</v>
      </c>
      <c r="D472" s="35" t="b">
        <f>IFERROR(__xludf.DUMMYFUNCTION("""COMPUTED_VALUE"""),TRUE)</f>
        <v>1</v>
      </c>
      <c r="E472" s="35" t="str">
        <f>IFERROR(__xludf.DUMMYFUNCTION("""COMPUTED_VALUE"""),"Hard")</f>
        <v>Hard</v>
      </c>
      <c r="F472" s="35">
        <f>IFERROR(__xludf.DUMMYFUNCTION("""COMPUTED_VALUE"""),547.0)</f>
        <v>547</v>
      </c>
      <c r="G472" s="35">
        <f>IFERROR(__xludf.DUMMYFUNCTION("""COMPUTED_VALUE"""),33.0)</f>
        <v>33</v>
      </c>
      <c r="H472" s="35" t="str">
        <f>IFERROR(__xludf.DUMMYFUNCTION("""COMPUTED_VALUE"""),"Algorithms")</f>
        <v>Algorithms</v>
      </c>
      <c r="I472" s="35">
        <f>IFERROR(__xludf.DUMMYFUNCTION("""COMPUTED_VALUE"""),0.507)</f>
        <v>0.507</v>
      </c>
      <c r="J472" s="35">
        <f>IFERROR(__xludf.DUMMYFUNCTION("""COMPUTED_VALUE"""),471.0)</f>
        <v>471</v>
      </c>
      <c r="K472" s="35" t="b">
        <f>IFERROR(__xludf.DUMMYFUNCTION("""COMPUTED_VALUE"""),TRUE)</f>
        <v>1</v>
      </c>
      <c r="L472" s="35" t="str">
        <f>IFERROR(__xludf.DUMMYFUNCTION("""COMPUTED_VALUE"""),"String;Dynamic Programming;")</f>
        <v>String;Dynamic Programming;</v>
      </c>
      <c r="M472" s="35" t="b">
        <f>IFERROR(__xludf.DUMMYFUNCTION("""COMPUTED_VALUE"""),FALSE)</f>
        <v>0</v>
      </c>
      <c r="N472" s="35" t="b">
        <f>IFERROR(__xludf.DUMMYFUNCTION("""COMPUTED_VALUE"""),FALSE)</f>
        <v>0</v>
      </c>
      <c r="O472" s="35">
        <f>IFERROR(__xludf.DUMMYFUNCTION("""COMPUTED_VALUE"""),50.6512756850901)</f>
        <v>50.65127569</v>
      </c>
      <c r="P472" s="35">
        <f>IFERROR(__xludf.DUMMYFUNCTION("""COMPUTED_VALUE"""),27337.0)</f>
        <v>27337</v>
      </c>
      <c r="Q472" s="35">
        <f>IFERROR(__xludf.DUMMYFUNCTION("""COMPUTED_VALUE"""),53971.0)</f>
        <v>53971</v>
      </c>
    </row>
    <row r="473">
      <c r="A473" s="35">
        <f>IFERROR(__xludf.DUMMYFUNCTION("""COMPUTED_VALUE"""),472.0)</f>
        <v>472</v>
      </c>
      <c r="B473" s="35" t="str">
        <f>IFERROR(__xludf.DUMMYFUNCTION("""COMPUTED_VALUE"""),"Concatenated Words")</f>
        <v>Concatenated Words</v>
      </c>
      <c r="C473" s="35" t="str">
        <f>IFERROR(__xludf.DUMMYFUNCTION("""COMPUTED_VALUE"""),"concatenated-words")</f>
        <v>concatenated-words</v>
      </c>
      <c r="D473" s="35" t="b">
        <f>IFERROR(__xludf.DUMMYFUNCTION("""COMPUTED_VALUE"""),FALSE)</f>
        <v>0</v>
      </c>
      <c r="E473" s="35" t="str">
        <f>IFERROR(__xludf.DUMMYFUNCTION("""COMPUTED_VALUE"""),"Hard")</f>
        <v>Hard</v>
      </c>
      <c r="F473" s="35">
        <f>IFERROR(__xludf.DUMMYFUNCTION("""COMPUTED_VALUE"""),1788.0)</f>
        <v>1788</v>
      </c>
      <c r="G473" s="35">
        <f>IFERROR(__xludf.DUMMYFUNCTION("""COMPUTED_VALUE"""),208.0)</f>
        <v>208</v>
      </c>
      <c r="H473" s="35" t="str">
        <f>IFERROR(__xludf.DUMMYFUNCTION("""COMPUTED_VALUE"""),"Algorithms")</f>
        <v>Algorithms</v>
      </c>
      <c r="I473" s="35">
        <f>IFERROR(__xludf.DUMMYFUNCTION("""COMPUTED_VALUE"""),0.425)</f>
        <v>0.425</v>
      </c>
      <c r="J473" s="35">
        <f>IFERROR(__xludf.DUMMYFUNCTION("""COMPUTED_VALUE"""),472.0)</f>
        <v>472</v>
      </c>
      <c r="K473" s="35" t="b">
        <f>IFERROR(__xludf.DUMMYFUNCTION("""COMPUTED_VALUE"""),FALSE)</f>
        <v>0</v>
      </c>
      <c r="L473" s="35" t="str">
        <f>IFERROR(__xludf.DUMMYFUNCTION("""COMPUTED_VALUE"""),"Array;String;Dynamic Programming;Depth-First Search;Trie;")</f>
        <v>Array;String;Dynamic Programming;Depth-First Search;Trie;</v>
      </c>
      <c r="M473" s="35" t="b">
        <f>IFERROR(__xludf.DUMMYFUNCTION("""COMPUTED_VALUE"""),FALSE)</f>
        <v>0</v>
      </c>
      <c r="N473" s="35" t="b">
        <f>IFERROR(__xludf.DUMMYFUNCTION("""COMPUTED_VALUE"""),FALSE)</f>
        <v>0</v>
      </c>
      <c r="O473" s="35">
        <f>IFERROR(__xludf.DUMMYFUNCTION("""COMPUTED_VALUE"""),42.4725036599224)</f>
        <v>42.47250366</v>
      </c>
      <c r="P473" s="35">
        <f>IFERROR(__xludf.DUMMYFUNCTION("""COMPUTED_VALUE"""),124459.0)</f>
        <v>124459</v>
      </c>
      <c r="Q473" s="35">
        <f>IFERROR(__xludf.DUMMYFUNCTION("""COMPUTED_VALUE"""),293037.0)</f>
        <v>293037</v>
      </c>
    </row>
    <row r="474">
      <c r="A474" s="35">
        <f>IFERROR(__xludf.DUMMYFUNCTION("""COMPUTED_VALUE"""),473.0)</f>
        <v>473</v>
      </c>
      <c r="B474" s="35" t="str">
        <f>IFERROR(__xludf.DUMMYFUNCTION("""COMPUTED_VALUE"""),"Matchsticks to Square")</f>
        <v>Matchsticks to Square</v>
      </c>
      <c r="C474" s="35" t="str">
        <f>IFERROR(__xludf.DUMMYFUNCTION("""COMPUTED_VALUE"""),"matchsticks-to-square")</f>
        <v>matchsticks-to-square</v>
      </c>
      <c r="D474" s="35" t="b">
        <f>IFERROR(__xludf.DUMMYFUNCTION("""COMPUTED_VALUE"""),FALSE)</f>
        <v>0</v>
      </c>
      <c r="E474" s="35" t="str">
        <f>IFERROR(__xludf.DUMMYFUNCTION("""COMPUTED_VALUE"""),"Medium")</f>
        <v>Medium</v>
      </c>
      <c r="F474" s="35">
        <f>IFERROR(__xludf.DUMMYFUNCTION("""COMPUTED_VALUE"""),1526.0)</f>
        <v>1526</v>
      </c>
      <c r="G474" s="35">
        <f>IFERROR(__xludf.DUMMYFUNCTION("""COMPUTED_VALUE"""),119.0)</f>
        <v>119</v>
      </c>
      <c r="H474" s="35" t="str">
        <f>IFERROR(__xludf.DUMMYFUNCTION("""COMPUTED_VALUE"""),"Algorithms")</f>
        <v>Algorithms</v>
      </c>
      <c r="I474" s="35">
        <f>IFERROR(__xludf.DUMMYFUNCTION("""COMPUTED_VALUE"""),0.404)</f>
        <v>0.404</v>
      </c>
      <c r="J474" s="35">
        <f>IFERROR(__xludf.DUMMYFUNCTION("""COMPUTED_VALUE"""),473.0)</f>
        <v>473</v>
      </c>
      <c r="K474" s="35" t="b">
        <f>IFERROR(__xludf.DUMMYFUNCTION("""COMPUTED_VALUE"""),FALSE)</f>
        <v>0</v>
      </c>
      <c r="L474" s="35" t="str">
        <f>IFERROR(__xludf.DUMMYFUNCTION("""COMPUTED_VALUE"""),"Array;Dynamic Programming;Backtracking;Bit Manipulation;Bitmask;")</f>
        <v>Array;Dynamic Programming;Backtracking;Bit Manipulation;Bitmask;</v>
      </c>
      <c r="M474" s="35" t="b">
        <f>IFERROR(__xludf.DUMMYFUNCTION("""COMPUTED_VALUE"""),TRUE)</f>
        <v>1</v>
      </c>
      <c r="N474" s="35" t="b">
        <f>IFERROR(__xludf.DUMMYFUNCTION("""COMPUTED_VALUE"""),FALSE)</f>
        <v>0</v>
      </c>
      <c r="O474" s="35">
        <f>IFERROR(__xludf.DUMMYFUNCTION("""COMPUTED_VALUE"""),40.3765486821336)</f>
        <v>40.37654868</v>
      </c>
      <c r="P474" s="35">
        <f>IFERROR(__xludf.DUMMYFUNCTION("""COMPUTED_VALUE"""),74695.0)</f>
        <v>74695</v>
      </c>
      <c r="Q474" s="35">
        <f>IFERROR(__xludf.DUMMYFUNCTION("""COMPUTED_VALUE"""),184992.0)</f>
        <v>184992</v>
      </c>
    </row>
    <row r="475">
      <c r="A475" s="35">
        <f>IFERROR(__xludf.DUMMYFUNCTION("""COMPUTED_VALUE"""),474.0)</f>
        <v>474</v>
      </c>
      <c r="B475" s="35" t="str">
        <f>IFERROR(__xludf.DUMMYFUNCTION("""COMPUTED_VALUE"""),"Ones and Zeroes")</f>
        <v>Ones and Zeroes</v>
      </c>
      <c r="C475" s="35" t="str">
        <f>IFERROR(__xludf.DUMMYFUNCTION("""COMPUTED_VALUE"""),"ones-and-zeroes")</f>
        <v>ones-and-zeroes</v>
      </c>
      <c r="D475" s="35" t="b">
        <f>IFERROR(__xludf.DUMMYFUNCTION("""COMPUTED_VALUE"""),FALSE)</f>
        <v>0</v>
      </c>
      <c r="E475" s="35" t="str">
        <f>IFERROR(__xludf.DUMMYFUNCTION("""COMPUTED_VALUE"""),"Medium")</f>
        <v>Medium</v>
      </c>
      <c r="F475" s="35">
        <f>IFERROR(__xludf.DUMMYFUNCTION("""COMPUTED_VALUE"""),2719.0)</f>
        <v>2719</v>
      </c>
      <c r="G475" s="35">
        <f>IFERROR(__xludf.DUMMYFUNCTION("""COMPUTED_VALUE"""),317.0)</f>
        <v>317</v>
      </c>
      <c r="H475" s="35" t="str">
        <f>IFERROR(__xludf.DUMMYFUNCTION("""COMPUTED_VALUE"""),"Algorithms")</f>
        <v>Algorithms</v>
      </c>
      <c r="I475" s="35">
        <f>IFERROR(__xludf.DUMMYFUNCTION("""COMPUTED_VALUE"""),0.444)</f>
        <v>0.444</v>
      </c>
      <c r="J475" s="35">
        <f>IFERROR(__xludf.DUMMYFUNCTION("""COMPUTED_VALUE"""),474.0)</f>
        <v>474</v>
      </c>
      <c r="K475" s="35" t="b">
        <f>IFERROR(__xludf.DUMMYFUNCTION("""COMPUTED_VALUE"""),FALSE)</f>
        <v>0</v>
      </c>
      <c r="L475" s="35" t="str">
        <f>IFERROR(__xludf.DUMMYFUNCTION("""COMPUTED_VALUE"""),"Array;String;Dynamic Programming;")</f>
        <v>Array;String;Dynamic Programming;</v>
      </c>
      <c r="M475" s="35" t="b">
        <f>IFERROR(__xludf.DUMMYFUNCTION("""COMPUTED_VALUE"""),TRUE)</f>
        <v>1</v>
      </c>
      <c r="N475" s="35" t="b">
        <f>IFERROR(__xludf.DUMMYFUNCTION("""COMPUTED_VALUE"""),FALSE)</f>
        <v>0</v>
      </c>
      <c r="O475" s="35">
        <f>IFERROR(__xludf.DUMMYFUNCTION("""COMPUTED_VALUE"""),44.4212407937367)</f>
        <v>44.42124079</v>
      </c>
      <c r="P475" s="35">
        <f>IFERROR(__xludf.DUMMYFUNCTION("""COMPUTED_VALUE"""),103376.0)</f>
        <v>103376</v>
      </c>
      <c r="Q475" s="35">
        <f>IFERROR(__xludf.DUMMYFUNCTION("""COMPUTED_VALUE"""),232719.0)</f>
        <v>232719</v>
      </c>
    </row>
    <row r="476">
      <c r="A476" s="35">
        <f>IFERROR(__xludf.DUMMYFUNCTION("""COMPUTED_VALUE"""),475.0)</f>
        <v>475</v>
      </c>
      <c r="B476" s="35" t="str">
        <f>IFERROR(__xludf.DUMMYFUNCTION("""COMPUTED_VALUE"""),"Heaters")</f>
        <v>Heaters</v>
      </c>
      <c r="C476" s="35" t="str">
        <f>IFERROR(__xludf.DUMMYFUNCTION("""COMPUTED_VALUE"""),"heaters")</f>
        <v>heaters</v>
      </c>
      <c r="D476" s="35" t="b">
        <f>IFERROR(__xludf.DUMMYFUNCTION("""COMPUTED_VALUE"""),FALSE)</f>
        <v>0</v>
      </c>
      <c r="E476" s="35" t="str">
        <f>IFERROR(__xludf.DUMMYFUNCTION("""COMPUTED_VALUE"""),"Medium")</f>
        <v>Medium</v>
      </c>
      <c r="F476" s="35">
        <f>IFERROR(__xludf.DUMMYFUNCTION("""COMPUTED_VALUE"""),1289.0)</f>
        <v>1289</v>
      </c>
      <c r="G476" s="35">
        <f>IFERROR(__xludf.DUMMYFUNCTION("""COMPUTED_VALUE"""),1012.0)</f>
        <v>1012</v>
      </c>
      <c r="H476" s="35" t="str">
        <f>IFERROR(__xludf.DUMMYFUNCTION("""COMPUTED_VALUE"""),"Algorithms")</f>
        <v>Algorithms</v>
      </c>
      <c r="I476" s="35">
        <f>IFERROR(__xludf.DUMMYFUNCTION("""COMPUTED_VALUE"""),0.351)</f>
        <v>0.351</v>
      </c>
      <c r="J476" s="35">
        <f>IFERROR(__xludf.DUMMYFUNCTION("""COMPUTED_VALUE"""),475.0)</f>
        <v>475</v>
      </c>
      <c r="K476" s="35" t="b">
        <f>IFERROR(__xludf.DUMMYFUNCTION("""COMPUTED_VALUE"""),FALSE)</f>
        <v>0</v>
      </c>
      <c r="L476" s="35" t="str">
        <f>IFERROR(__xludf.DUMMYFUNCTION("""COMPUTED_VALUE"""),"Array;Two Pointers;Binary Search;Sorting;")</f>
        <v>Array;Two Pointers;Binary Search;Sorting;</v>
      </c>
      <c r="M476" s="35" t="b">
        <f>IFERROR(__xludf.DUMMYFUNCTION("""COMPUTED_VALUE"""),FALSE)</f>
        <v>0</v>
      </c>
      <c r="N476" s="35" t="b">
        <f>IFERROR(__xludf.DUMMYFUNCTION("""COMPUTED_VALUE"""),FALSE)</f>
        <v>0</v>
      </c>
      <c r="O476" s="35">
        <f>IFERROR(__xludf.DUMMYFUNCTION("""COMPUTED_VALUE"""),35.063407838397)</f>
        <v>35.06340784</v>
      </c>
      <c r="P476" s="35">
        <f>IFERROR(__xludf.DUMMYFUNCTION("""COMPUTED_VALUE"""),85574.0)</f>
        <v>85574</v>
      </c>
      <c r="Q476" s="35">
        <f>IFERROR(__xludf.DUMMYFUNCTION("""COMPUTED_VALUE"""),244055.0)</f>
        <v>244055</v>
      </c>
    </row>
    <row r="477">
      <c r="A477" s="35">
        <f>IFERROR(__xludf.DUMMYFUNCTION("""COMPUTED_VALUE"""),476.0)</f>
        <v>476</v>
      </c>
      <c r="B477" s="35" t="str">
        <f>IFERROR(__xludf.DUMMYFUNCTION("""COMPUTED_VALUE"""),"Number Complement")</f>
        <v>Number Complement</v>
      </c>
      <c r="C477" s="35" t="str">
        <f>IFERROR(__xludf.DUMMYFUNCTION("""COMPUTED_VALUE"""),"number-complement")</f>
        <v>number-complement</v>
      </c>
      <c r="D477" s="35" t="b">
        <f>IFERROR(__xludf.DUMMYFUNCTION("""COMPUTED_VALUE"""),FALSE)</f>
        <v>0</v>
      </c>
      <c r="E477" s="35" t="str">
        <f>IFERROR(__xludf.DUMMYFUNCTION("""COMPUTED_VALUE"""),"Easy")</f>
        <v>Easy</v>
      </c>
      <c r="F477" s="35">
        <f>IFERROR(__xludf.DUMMYFUNCTION("""COMPUTED_VALUE"""),1918.0)</f>
        <v>1918</v>
      </c>
      <c r="G477" s="35">
        <f>IFERROR(__xludf.DUMMYFUNCTION("""COMPUTED_VALUE"""),103.0)</f>
        <v>103</v>
      </c>
      <c r="H477" s="35" t="str">
        <f>IFERROR(__xludf.DUMMYFUNCTION("""COMPUTED_VALUE"""),"Algorithms")</f>
        <v>Algorithms</v>
      </c>
      <c r="I477" s="35">
        <f>IFERROR(__xludf.DUMMYFUNCTION("""COMPUTED_VALUE"""),0.666)</f>
        <v>0.666</v>
      </c>
      <c r="J477" s="35">
        <f>IFERROR(__xludf.DUMMYFUNCTION("""COMPUTED_VALUE"""),476.0)</f>
        <v>476</v>
      </c>
      <c r="K477" s="35" t="b">
        <f>IFERROR(__xludf.DUMMYFUNCTION("""COMPUTED_VALUE"""),FALSE)</f>
        <v>0</v>
      </c>
      <c r="L477" s="35" t="str">
        <f>IFERROR(__xludf.DUMMYFUNCTION("""COMPUTED_VALUE"""),"Bit Manipulation;")</f>
        <v>Bit Manipulation;</v>
      </c>
      <c r="M477" s="35" t="b">
        <f>IFERROR(__xludf.DUMMYFUNCTION("""COMPUTED_VALUE"""),TRUE)</f>
        <v>1</v>
      </c>
      <c r="N477" s="35" t="b">
        <f>IFERROR(__xludf.DUMMYFUNCTION("""COMPUTED_VALUE"""),FALSE)</f>
        <v>0</v>
      </c>
      <c r="O477" s="35">
        <f>IFERROR(__xludf.DUMMYFUNCTION("""COMPUTED_VALUE"""),66.6134058092011)</f>
        <v>66.61340581</v>
      </c>
      <c r="P477" s="35">
        <f>IFERROR(__xludf.DUMMYFUNCTION("""COMPUTED_VALUE"""),259311.0)</f>
        <v>259311</v>
      </c>
      <c r="Q477" s="35">
        <f>IFERROR(__xludf.DUMMYFUNCTION("""COMPUTED_VALUE"""),389276.0)</f>
        <v>389276</v>
      </c>
    </row>
    <row r="478">
      <c r="A478" s="35">
        <f>IFERROR(__xludf.DUMMYFUNCTION("""COMPUTED_VALUE"""),477.0)</f>
        <v>477</v>
      </c>
      <c r="B478" s="35" t="str">
        <f>IFERROR(__xludf.DUMMYFUNCTION("""COMPUTED_VALUE"""),"Total Hamming Distance")</f>
        <v>Total Hamming Distance</v>
      </c>
      <c r="C478" s="35" t="str">
        <f>IFERROR(__xludf.DUMMYFUNCTION("""COMPUTED_VALUE"""),"total-hamming-distance")</f>
        <v>total-hamming-distance</v>
      </c>
      <c r="D478" s="35" t="b">
        <f>IFERROR(__xludf.DUMMYFUNCTION("""COMPUTED_VALUE"""),FALSE)</f>
        <v>0</v>
      </c>
      <c r="E478" s="35" t="str">
        <f>IFERROR(__xludf.DUMMYFUNCTION("""COMPUTED_VALUE"""),"Medium")</f>
        <v>Medium</v>
      </c>
      <c r="F478" s="35">
        <f>IFERROR(__xludf.DUMMYFUNCTION("""COMPUTED_VALUE"""),1575.0)</f>
        <v>1575</v>
      </c>
      <c r="G478" s="35">
        <f>IFERROR(__xludf.DUMMYFUNCTION("""COMPUTED_VALUE"""),79.0)</f>
        <v>79</v>
      </c>
      <c r="H478" s="35" t="str">
        <f>IFERROR(__xludf.DUMMYFUNCTION("""COMPUTED_VALUE"""),"Algorithms")</f>
        <v>Algorithms</v>
      </c>
      <c r="I478" s="35">
        <f>IFERROR(__xludf.DUMMYFUNCTION("""COMPUTED_VALUE"""),0.519)</f>
        <v>0.519</v>
      </c>
      <c r="J478" s="35">
        <f>IFERROR(__xludf.DUMMYFUNCTION("""COMPUTED_VALUE"""),477.0)</f>
        <v>477</v>
      </c>
      <c r="K478" s="35" t="b">
        <f>IFERROR(__xludf.DUMMYFUNCTION("""COMPUTED_VALUE"""),FALSE)</f>
        <v>0</v>
      </c>
      <c r="L478" s="35" t="str">
        <f>IFERROR(__xludf.DUMMYFUNCTION("""COMPUTED_VALUE"""),"Array;Math;Bit Manipulation;")</f>
        <v>Array;Math;Bit Manipulation;</v>
      </c>
      <c r="M478" s="35" t="b">
        <f>IFERROR(__xludf.DUMMYFUNCTION("""COMPUTED_VALUE"""),TRUE)</f>
        <v>1</v>
      </c>
      <c r="N478" s="35" t="b">
        <f>IFERROR(__xludf.DUMMYFUNCTION("""COMPUTED_VALUE"""),FALSE)</f>
        <v>0</v>
      </c>
      <c r="O478" s="35">
        <f>IFERROR(__xludf.DUMMYFUNCTION("""COMPUTED_VALUE"""),51.8865075146184)</f>
        <v>51.88650751</v>
      </c>
      <c r="P478" s="35">
        <f>IFERROR(__xludf.DUMMYFUNCTION("""COMPUTED_VALUE"""),85893.0)</f>
        <v>85893</v>
      </c>
      <c r="Q478" s="35">
        <f>IFERROR(__xludf.DUMMYFUNCTION("""COMPUTED_VALUE"""),165542.0)</f>
        <v>165542</v>
      </c>
    </row>
    <row r="479">
      <c r="A479" s="35">
        <f>IFERROR(__xludf.DUMMYFUNCTION("""COMPUTED_VALUE"""),915.0)</f>
        <v>915</v>
      </c>
      <c r="B479" s="35" t="str">
        <f>IFERROR(__xludf.DUMMYFUNCTION("""COMPUTED_VALUE"""),"Generate Random Point in a Circle")</f>
        <v>Generate Random Point in a Circle</v>
      </c>
      <c r="C479" s="35" t="str">
        <f>IFERROR(__xludf.DUMMYFUNCTION("""COMPUTED_VALUE"""),"generate-random-point-in-a-circle")</f>
        <v>generate-random-point-in-a-circle</v>
      </c>
      <c r="D479" s="35" t="b">
        <f>IFERROR(__xludf.DUMMYFUNCTION("""COMPUTED_VALUE"""),FALSE)</f>
        <v>0</v>
      </c>
      <c r="E479" s="35" t="str">
        <f>IFERROR(__xludf.DUMMYFUNCTION("""COMPUTED_VALUE"""),"Medium")</f>
        <v>Medium</v>
      </c>
      <c r="F479" s="35">
        <f>IFERROR(__xludf.DUMMYFUNCTION("""COMPUTED_VALUE"""),354.0)</f>
        <v>354</v>
      </c>
      <c r="G479" s="35">
        <f>IFERROR(__xludf.DUMMYFUNCTION("""COMPUTED_VALUE"""),664.0)</f>
        <v>664</v>
      </c>
      <c r="H479" s="35" t="str">
        <f>IFERROR(__xludf.DUMMYFUNCTION("""COMPUTED_VALUE"""),"Algorithms")</f>
        <v>Algorithms</v>
      </c>
      <c r="I479" s="35">
        <f>IFERROR(__xludf.DUMMYFUNCTION("""COMPUTED_VALUE"""),0.393)</f>
        <v>0.393</v>
      </c>
      <c r="J479" s="35">
        <f>IFERROR(__xludf.DUMMYFUNCTION("""COMPUTED_VALUE"""),478.0)</f>
        <v>478</v>
      </c>
      <c r="K479" s="35" t="b">
        <f>IFERROR(__xludf.DUMMYFUNCTION("""COMPUTED_VALUE"""),FALSE)</f>
        <v>0</v>
      </c>
      <c r="L479" s="35" t="str">
        <f>IFERROR(__xludf.DUMMYFUNCTION("""COMPUTED_VALUE"""),"Math;Geometry;Rejection Sampling;Randomized;")</f>
        <v>Math;Geometry;Rejection Sampling;Randomized;</v>
      </c>
      <c r="M479" s="35" t="b">
        <f>IFERROR(__xludf.DUMMYFUNCTION("""COMPUTED_VALUE"""),TRUE)</f>
        <v>1</v>
      </c>
      <c r="N479" s="35" t="b">
        <f>IFERROR(__xludf.DUMMYFUNCTION("""COMPUTED_VALUE"""),FALSE)</f>
        <v>0</v>
      </c>
      <c r="O479" s="35">
        <f>IFERROR(__xludf.DUMMYFUNCTION("""COMPUTED_VALUE"""),39.3392566337771)</f>
        <v>39.33925663</v>
      </c>
      <c r="P479" s="35">
        <f>IFERROR(__xludf.DUMMYFUNCTION("""COMPUTED_VALUE"""),32853.0)</f>
        <v>32853</v>
      </c>
      <c r="Q479" s="35">
        <f>IFERROR(__xludf.DUMMYFUNCTION("""COMPUTED_VALUE"""),83512.0)</f>
        <v>83512</v>
      </c>
    </row>
    <row r="480">
      <c r="A480" s="35">
        <f>IFERROR(__xludf.DUMMYFUNCTION("""COMPUTED_VALUE"""),479.0)</f>
        <v>479</v>
      </c>
      <c r="B480" s="35" t="str">
        <f>IFERROR(__xludf.DUMMYFUNCTION("""COMPUTED_VALUE"""),"Largest Palindrome Product")</f>
        <v>Largest Palindrome Product</v>
      </c>
      <c r="C480" s="35" t="str">
        <f>IFERROR(__xludf.DUMMYFUNCTION("""COMPUTED_VALUE"""),"largest-palindrome-product")</f>
        <v>largest-palindrome-product</v>
      </c>
      <c r="D480" s="35" t="b">
        <f>IFERROR(__xludf.DUMMYFUNCTION("""COMPUTED_VALUE"""),FALSE)</f>
        <v>0</v>
      </c>
      <c r="E480" s="35" t="str">
        <f>IFERROR(__xludf.DUMMYFUNCTION("""COMPUTED_VALUE"""),"Hard")</f>
        <v>Hard</v>
      </c>
      <c r="F480" s="35">
        <f>IFERROR(__xludf.DUMMYFUNCTION("""COMPUTED_VALUE"""),121.0)</f>
        <v>121</v>
      </c>
      <c r="G480" s="35">
        <f>IFERROR(__xludf.DUMMYFUNCTION("""COMPUTED_VALUE"""),1437.0)</f>
        <v>1437</v>
      </c>
      <c r="H480" s="35" t="str">
        <f>IFERROR(__xludf.DUMMYFUNCTION("""COMPUTED_VALUE"""),"Algorithms")</f>
        <v>Algorithms</v>
      </c>
      <c r="I480" s="35">
        <f>IFERROR(__xludf.DUMMYFUNCTION("""COMPUTED_VALUE"""),0.308)</f>
        <v>0.308</v>
      </c>
      <c r="J480" s="35">
        <f>IFERROR(__xludf.DUMMYFUNCTION("""COMPUTED_VALUE"""),479.0)</f>
        <v>479</v>
      </c>
      <c r="K480" s="35" t="b">
        <f>IFERROR(__xludf.DUMMYFUNCTION("""COMPUTED_VALUE"""),FALSE)</f>
        <v>0</v>
      </c>
      <c r="L480" s="35" t="str">
        <f>IFERROR(__xludf.DUMMYFUNCTION("""COMPUTED_VALUE"""),"Math;")</f>
        <v>Math;</v>
      </c>
      <c r="M480" s="35" t="b">
        <f>IFERROR(__xludf.DUMMYFUNCTION("""COMPUTED_VALUE"""),FALSE)</f>
        <v>0</v>
      </c>
      <c r="N480" s="35" t="b">
        <f>IFERROR(__xludf.DUMMYFUNCTION("""COMPUTED_VALUE"""),FALSE)</f>
        <v>0</v>
      </c>
      <c r="O480" s="35">
        <f>IFERROR(__xludf.DUMMYFUNCTION("""COMPUTED_VALUE"""),30.8235147822302)</f>
        <v>30.82351478</v>
      </c>
      <c r="P480" s="35">
        <f>IFERROR(__xludf.DUMMYFUNCTION("""COMPUTED_VALUE"""),19830.0)</f>
        <v>19830</v>
      </c>
      <c r="Q480" s="35">
        <f>IFERROR(__xludf.DUMMYFUNCTION("""COMPUTED_VALUE"""),64334.0)</f>
        <v>64334</v>
      </c>
    </row>
    <row r="481">
      <c r="A481" s="35">
        <f>IFERROR(__xludf.DUMMYFUNCTION("""COMPUTED_VALUE"""),480.0)</f>
        <v>480</v>
      </c>
      <c r="B481" s="35" t="str">
        <f>IFERROR(__xludf.DUMMYFUNCTION("""COMPUTED_VALUE"""),"Sliding Window Median")</f>
        <v>Sliding Window Median</v>
      </c>
      <c r="C481" s="35" t="str">
        <f>IFERROR(__xludf.DUMMYFUNCTION("""COMPUTED_VALUE"""),"sliding-window-median")</f>
        <v>sliding-window-median</v>
      </c>
      <c r="D481" s="35" t="b">
        <f>IFERROR(__xludf.DUMMYFUNCTION("""COMPUTED_VALUE"""),FALSE)</f>
        <v>0</v>
      </c>
      <c r="E481" s="35" t="str">
        <f>IFERROR(__xludf.DUMMYFUNCTION("""COMPUTED_VALUE"""),"Hard")</f>
        <v>Hard</v>
      </c>
      <c r="F481" s="35">
        <f>IFERROR(__xludf.DUMMYFUNCTION("""COMPUTED_VALUE"""),2034.0)</f>
        <v>2034</v>
      </c>
      <c r="G481" s="35">
        <f>IFERROR(__xludf.DUMMYFUNCTION("""COMPUTED_VALUE"""),125.0)</f>
        <v>125</v>
      </c>
      <c r="H481" s="35" t="str">
        <f>IFERROR(__xludf.DUMMYFUNCTION("""COMPUTED_VALUE"""),"Algorithms")</f>
        <v>Algorithms</v>
      </c>
      <c r="I481" s="35">
        <f>IFERROR(__xludf.DUMMYFUNCTION("""COMPUTED_VALUE"""),0.407)</f>
        <v>0.407</v>
      </c>
      <c r="J481" s="35">
        <f>IFERROR(__xludf.DUMMYFUNCTION("""COMPUTED_VALUE"""),480.0)</f>
        <v>480</v>
      </c>
      <c r="K481" s="35" t="b">
        <f>IFERROR(__xludf.DUMMYFUNCTION("""COMPUTED_VALUE"""),FALSE)</f>
        <v>0</v>
      </c>
      <c r="L481" s="35" t="str">
        <f>IFERROR(__xludf.DUMMYFUNCTION("""COMPUTED_VALUE"""),"Array;Hash Table;Sliding Window;Heap (Priority Queue);")</f>
        <v>Array;Hash Table;Sliding Window;Heap (Priority Queue);</v>
      </c>
      <c r="M481" s="35" t="b">
        <f>IFERROR(__xludf.DUMMYFUNCTION("""COMPUTED_VALUE"""),TRUE)</f>
        <v>1</v>
      </c>
      <c r="N481" s="35" t="b">
        <f>IFERROR(__xludf.DUMMYFUNCTION("""COMPUTED_VALUE"""),FALSE)</f>
        <v>0</v>
      </c>
      <c r="O481" s="35">
        <f>IFERROR(__xludf.DUMMYFUNCTION("""COMPUTED_VALUE"""),40.7123905329296)</f>
        <v>40.71239053</v>
      </c>
      <c r="P481" s="35">
        <f>IFERROR(__xludf.DUMMYFUNCTION("""COMPUTED_VALUE"""),100045.0)</f>
        <v>100045</v>
      </c>
      <c r="Q481" s="35">
        <f>IFERROR(__xludf.DUMMYFUNCTION("""COMPUTED_VALUE"""),245736.0)</f>
        <v>245736</v>
      </c>
    </row>
    <row r="482">
      <c r="A482" s="35">
        <f>IFERROR(__xludf.DUMMYFUNCTION("""COMPUTED_VALUE"""),481.0)</f>
        <v>481</v>
      </c>
      <c r="B482" s="35" t="str">
        <f>IFERROR(__xludf.DUMMYFUNCTION("""COMPUTED_VALUE"""),"Magical String")</f>
        <v>Magical String</v>
      </c>
      <c r="C482" s="35" t="str">
        <f>IFERROR(__xludf.DUMMYFUNCTION("""COMPUTED_VALUE"""),"magical-string")</f>
        <v>magical-string</v>
      </c>
      <c r="D482" s="35" t="b">
        <f>IFERROR(__xludf.DUMMYFUNCTION("""COMPUTED_VALUE"""),FALSE)</f>
        <v>0</v>
      </c>
      <c r="E482" s="35" t="str">
        <f>IFERROR(__xludf.DUMMYFUNCTION("""COMPUTED_VALUE"""),"Medium")</f>
        <v>Medium</v>
      </c>
      <c r="F482" s="35">
        <f>IFERROR(__xludf.DUMMYFUNCTION("""COMPUTED_VALUE"""),174.0)</f>
        <v>174</v>
      </c>
      <c r="G482" s="35">
        <f>IFERROR(__xludf.DUMMYFUNCTION("""COMPUTED_VALUE"""),910.0)</f>
        <v>910</v>
      </c>
      <c r="H482" s="35" t="str">
        <f>IFERROR(__xludf.DUMMYFUNCTION("""COMPUTED_VALUE"""),"Algorithms")</f>
        <v>Algorithms</v>
      </c>
      <c r="I482" s="35">
        <f>IFERROR(__xludf.DUMMYFUNCTION("""COMPUTED_VALUE"""),0.495)</f>
        <v>0.495</v>
      </c>
      <c r="J482" s="35">
        <f>IFERROR(__xludf.DUMMYFUNCTION("""COMPUTED_VALUE"""),481.0)</f>
        <v>481</v>
      </c>
      <c r="K482" s="35" t="b">
        <f>IFERROR(__xludf.DUMMYFUNCTION("""COMPUTED_VALUE"""),FALSE)</f>
        <v>0</v>
      </c>
      <c r="L482" s="35" t="str">
        <f>IFERROR(__xludf.DUMMYFUNCTION("""COMPUTED_VALUE"""),"Two Pointers;String;")</f>
        <v>Two Pointers;String;</v>
      </c>
      <c r="M482" s="35" t="b">
        <f>IFERROR(__xludf.DUMMYFUNCTION("""COMPUTED_VALUE"""),FALSE)</f>
        <v>0</v>
      </c>
      <c r="N482" s="35" t="b">
        <f>IFERROR(__xludf.DUMMYFUNCTION("""COMPUTED_VALUE"""),FALSE)</f>
        <v>0</v>
      </c>
      <c r="O482" s="35">
        <f>IFERROR(__xludf.DUMMYFUNCTION("""COMPUTED_VALUE"""),49.4934088680684)</f>
        <v>49.49340887</v>
      </c>
      <c r="P482" s="35">
        <f>IFERROR(__xludf.DUMMYFUNCTION("""COMPUTED_VALUE"""),27251.0)</f>
        <v>27251</v>
      </c>
      <c r="Q482" s="35">
        <f>IFERROR(__xludf.DUMMYFUNCTION("""COMPUTED_VALUE"""),55067.0)</f>
        <v>55067</v>
      </c>
    </row>
    <row r="483">
      <c r="A483" s="35">
        <f>IFERROR(__xludf.DUMMYFUNCTION("""COMPUTED_VALUE"""),482.0)</f>
        <v>482</v>
      </c>
      <c r="B483" s="35" t="str">
        <f>IFERROR(__xludf.DUMMYFUNCTION("""COMPUTED_VALUE"""),"License Key Formatting")</f>
        <v>License Key Formatting</v>
      </c>
      <c r="C483" s="35" t="str">
        <f>IFERROR(__xludf.DUMMYFUNCTION("""COMPUTED_VALUE"""),"license-key-formatting")</f>
        <v>license-key-formatting</v>
      </c>
      <c r="D483" s="35" t="b">
        <f>IFERROR(__xludf.DUMMYFUNCTION("""COMPUTED_VALUE"""),FALSE)</f>
        <v>0</v>
      </c>
      <c r="E483" s="35" t="str">
        <f>IFERROR(__xludf.DUMMYFUNCTION("""COMPUTED_VALUE"""),"Easy")</f>
        <v>Easy</v>
      </c>
      <c r="F483" s="35">
        <f>IFERROR(__xludf.DUMMYFUNCTION("""COMPUTED_VALUE"""),733.0)</f>
        <v>733</v>
      </c>
      <c r="G483" s="35">
        <f>IFERROR(__xludf.DUMMYFUNCTION("""COMPUTED_VALUE"""),1057.0)</f>
        <v>1057</v>
      </c>
      <c r="H483" s="35" t="str">
        <f>IFERROR(__xludf.DUMMYFUNCTION("""COMPUTED_VALUE"""),"Algorithms")</f>
        <v>Algorithms</v>
      </c>
      <c r="I483" s="35">
        <f>IFERROR(__xludf.DUMMYFUNCTION("""COMPUTED_VALUE"""),0.431)</f>
        <v>0.431</v>
      </c>
      <c r="J483" s="35">
        <f>IFERROR(__xludf.DUMMYFUNCTION("""COMPUTED_VALUE"""),482.0)</f>
        <v>482</v>
      </c>
      <c r="K483" s="35" t="b">
        <f>IFERROR(__xludf.DUMMYFUNCTION("""COMPUTED_VALUE"""),FALSE)</f>
        <v>0</v>
      </c>
      <c r="L483" s="35" t="str">
        <f>IFERROR(__xludf.DUMMYFUNCTION("""COMPUTED_VALUE"""),"String;")</f>
        <v>String;</v>
      </c>
      <c r="M483" s="35" t="b">
        <f>IFERROR(__xludf.DUMMYFUNCTION("""COMPUTED_VALUE"""),FALSE)</f>
        <v>0</v>
      </c>
      <c r="N483" s="35" t="b">
        <f>IFERROR(__xludf.DUMMYFUNCTION("""COMPUTED_VALUE"""),FALSE)</f>
        <v>0</v>
      </c>
      <c r="O483" s="35">
        <f>IFERROR(__xludf.DUMMYFUNCTION("""COMPUTED_VALUE"""),43.1254919658693)</f>
        <v>43.12549197</v>
      </c>
      <c r="P483" s="35">
        <f>IFERROR(__xludf.DUMMYFUNCTION("""COMPUTED_VALUE"""),205452.0)</f>
        <v>205452</v>
      </c>
      <c r="Q483" s="35">
        <f>IFERROR(__xludf.DUMMYFUNCTION("""COMPUTED_VALUE"""),476403.0)</f>
        <v>476403</v>
      </c>
    </row>
    <row r="484">
      <c r="A484" s="35">
        <f>IFERROR(__xludf.DUMMYFUNCTION("""COMPUTED_VALUE"""),483.0)</f>
        <v>483</v>
      </c>
      <c r="B484" s="35" t="str">
        <f>IFERROR(__xludf.DUMMYFUNCTION("""COMPUTED_VALUE"""),"Smallest Good Base")</f>
        <v>Smallest Good Base</v>
      </c>
      <c r="C484" s="35" t="str">
        <f>IFERROR(__xludf.DUMMYFUNCTION("""COMPUTED_VALUE"""),"smallest-good-base")</f>
        <v>smallest-good-base</v>
      </c>
      <c r="D484" s="35" t="b">
        <f>IFERROR(__xludf.DUMMYFUNCTION("""COMPUTED_VALUE"""),FALSE)</f>
        <v>0</v>
      </c>
      <c r="E484" s="35" t="str">
        <f>IFERROR(__xludf.DUMMYFUNCTION("""COMPUTED_VALUE"""),"Hard")</f>
        <v>Hard</v>
      </c>
      <c r="F484" s="35">
        <f>IFERROR(__xludf.DUMMYFUNCTION("""COMPUTED_VALUE"""),261.0)</f>
        <v>261</v>
      </c>
      <c r="G484" s="35">
        <f>IFERROR(__xludf.DUMMYFUNCTION("""COMPUTED_VALUE"""),424.0)</f>
        <v>424</v>
      </c>
      <c r="H484" s="35" t="str">
        <f>IFERROR(__xludf.DUMMYFUNCTION("""COMPUTED_VALUE"""),"Algorithms")</f>
        <v>Algorithms</v>
      </c>
      <c r="I484" s="35">
        <f>IFERROR(__xludf.DUMMYFUNCTION("""COMPUTED_VALUE"""),0.378)</f>
        <v>0.378</v>
      </c>
      <c r="J484" s="35">
        <f>IFERROR(__xludf.DUMMYFUNCTION("""COMPUTED_VALUE"""),483.0)</f>
        <v>483</v>
      </c>
      <c r="K484" s="35" t="b">
        <f>IFERROR(__xludf.DUMMYFUNCTION("""COMPUTED_VALUE"""),FALSE)</f>
        <v>0</v>
      </c>
      <c r="L484" s="35" t="str">
        <f>IFERROR(__xludf.DUMMYFUNCTION("""COMPUTED_VALUE"""),"Math;Binary Search;")</f>
        <v>Math;Binary Search;</v>
      </c>
      <c r="M484" s="35" t="b">
        <f>IFERROR(__xludf.DUMMYFUNCTION("""COMPUTED_VALUE"""),FALSE)</f>
        <v>0</v>
      </c>
      <c r="N484" s="35" t="b">
        <f>IFERROR(__xludf.DUMMYFUNCTION("""COMPUTED_VALUE"""),FALSE)</f>
        <v>0</v>
      </c>
      <c r="O484" s="35">
        <f>IFERROR(__xludf.DUMMYFUNCTION("""COMPUTED_VALUE"""),37.7681424007302)</f>
        <v>37.7681424</v>
      </c>
      <c r="P484" s="35">
        <f>IFERROR(__xludf.DUMMYFUNCTION("""COMPUTED_VALUE"""),16550.0)</f>
        <v>16550</v>
      </c>
      <c r="Q484" s="35">
        <f>IFERROR(__xludf.DUMMYFUNCTION("""COMPUTED_VALUE"""),43820.0)</f>
        <v>43820</v>
      </c>
    </row>
    <row r="485">
      <c r="A485" s="35">
        <f>IFERROR(__xludf.DUMMYFUNCTION("""COMPUTED_VALUE"""),484.0)</f>
        <v>484</v>
      </c>
      <c r="B485" s="35" t="str">
        <f>IFERROR(__xludf.DUMMYFUNCTION("""COMPUTED_VALUE"""),"Find Permutation")</f>
        <v>Find Permutation</v>
      </c>
      <c r="C485" s="35" t="str">
        <f>IFERROR(__xludf.DUMMYFUNCTION("""COMPUTED_VALUE"""),"find-permutation")</f>
        <v>find-permutation</v>
      </c>
      <c r="D485" s="35" t="b">
        <f>IFERROR(__xludf.DUMMYFUNCTION("""COMPUTED_VALUE"""),TRUE)</f>
        <v>1</v>
      </c>
      <c r="E485" s="35" t="str">
        <f>IFERROR(__xludf.DUMMYFUNCTION("""COMPUTED_VALUE"""),"Medium")</f>
        <v>Medium</v>
      </c>
      <c r="F485" s="35">
        <f>IFERROR(__xludf.DUMMYFUNCTION("""COMPUTED_VALUE"""),480.0)</f>
        <v>480</v>
      </c>
      <c r="G485" s="35">
        <f>IFERROR(__xludf.DUMMYFUNCTION("""COMPUTED_VALUE"""),79.0)</f>
        <v>79</v>
      </c>
      <c r="H485" s="35" t="str">
        <f>IFERROR(__xludf.DUMMYFUNCTION("""COMPUTED_VALUE"""),"Algorithms")</f>
        <v>Algorithms</v>
      </c>
      <c r="I485" s="35">
        <f>IFERROR(__xludf.DUMMYFUNCTION("""COMPUTED_VALUE"""),0.643)</f>
        <v>0.643</v>
      </c>
      <c r="J485" s="35">
        <f>IFERROR(__xludf.DUMMYFUNCTION("""COMPUTED_VALUE"""),484.0)</f>
        <v>484</v>
      </c>
      <c r="K485" s="35" t="b">
        <f>IFERROR(__xludf.DUMMYFUNCTION("""COMPUTED_VALUE"""),TRUE)</f>
        <v>1</v>
      </c>
      <c r="L485" s="35" t="str">
        <f>IFERROR(__xludf.DUMMYFUNCTION("""COMPUTED_VALUE"""),"Array;Stack;Greedy;")</f>
        <v>Array;Stack;Greedy;</v>
      </c>
      <c r="M485" s="35" t="b">
        <f>IFERROR(__xludf.DUMMYFUNCTION("""COMPUTED_VALUE"""),TRUE)</f>
        <v>1</v>
      </c>
      <c r="N485" s="35" t="b">
        <f>IFERROR(__xludf.DUMMYFUNCTION("""COMPUTED_VALUE"""),FALSE)</f>
        <v>0</v>
      </c>
      <c r="O485" s="35">
        <f>IFERROR(__xludf.DUMMYFUNCTION("""COMPUTED_VALUE"""),64.3013829279923)</f>
        <v>64.30138293</v>
      </c>
      <c r="P485" s="35">
        <f>IFERROR(__xludf.DUMMYFUNCTION("""COMPUTED_VALUE"""),26968.0)</f>
        <v>26968</v>
      </c>
      <c r="Q485" s="35">
        <f>IFERROR(__xludf.DUMMYFUNCTION("""COMPUTED_VALUE"""),41940.0)</f>
        <v>41940</v>
      </c>
    </row>
    <row r="486">
      <c r="A486" s="35">
        <f>IFERROR(__xludf.DUMMYFUNCTION("""COMPUTED_VALUE"""),485.0)</f>
        <v>485</v>
      </c>
      <c r="B486" s="35" t="str">
        <f>IFERROR(__xludf.DUMMYFUNCTION("""COMPUTED_VALUE"""),"Max Consecutive Ones")</f>
        <v>Max Consecutive Ones</v>
      </c>
      <c r="C486" s="35" t="str">
        <f>IFERROR(__xludf.DUMMYFUNCTION("""COMPUTED_VALUE"""),"max-consecutive-ones")</f>
        <v>max-consecutive-ones</v>
      </c>
      <c r="D486" s="35" t="b">
        <f>IFERROR(__xludf.DUMMYFUNCTION("""COMPUTED_VALUE"""),FALSE)</f>
        <v>0</v>
      </c>
      <c r="E486" s="35" t="str">
        <f>IFERROR(__xludf.DUMMYFUNCTION("""COMPUTED_VALUE"""),"Easy")</f>
        <v>Easy</v>
      </c>
      <c r="F486" s="35">
        <f>IFERROR(__xludf.DUMMYFUNCTION("""COMPUTED_VALUE"""),2409.0)</f>
        <v>2409</v>
      </c>
      <c r="G486" s="35">
        <f>IFERROR(__xludf.DUMMYFUNCTION("""COMPUTED_VALUE"""),394.0)</f>
        <v>394</v>
      </c>
      <c r="H486" s="35" t="str">
        <f>IFERROR(__xludf.DUMMYFUNCTION("""COMPUTED_VALUE"""),"Algorithms")</f>
        <v>Algorithms</v>
      </c>
      <c r="I486" s="35">
        <f>IFERROR(__xludf.DUMMYFUNCTION("""COMPUTED_VALUE"""),0.549)</f>
        <v>0.549</v>
      </c>
      <c r="J486" s="35">
        <f>IFERROR(__xludf.DUMMYFUNCTION("""COMPUTED_VALUE"""),485.0)</f>
        <v>485</v>
      </c>
      <c r="K486" s="35" t="b">
        <f>IFERROR(__xludf.DUMMYFUNCTION("""COMPUTED_VALUE"""),FALSE)</f>
        <v>0</v>
      </c>
      <c r="L486" s="35" t="str">
        <f>IFERROR(__xludf.DUMMYFUNCTION("""COMPUTED_VALUE"""),"Array;")</f>
        <v>Array;</v>
      </c>
      <c r="M486" s="35" t="b">
        <f>IFERROR(__xludf.DUMMYFUNCTION("""COMPUTED_VALUE"""),TRUE)</f>
        <v>1</v>
      </c>
      <c r="N486" s="35" t="b">
        <f>IFERROR(__xludf.DUMMYFUNCTION("""COMPUTED_VALUE"""),FALSE)</f>
        <v>0</v>
      </c>
      <c r="O486" s="35">
        <f>IFERROR(__xludf.DUMMYFUNCTION("""COMPUTED_VALUE"""),54.8905163958893)</f>
        <v>54.8905164</v>
      </c>
      <c r="P486" s="35">
        <f>IFERROR(__xludf.DUMMYFUNCTION("""COMPUTED_VALUE"""),617867.0)</f>
        <v>617867</v>
      </c>
      <c r="Q486" s="35">
        <f>IFERROR(__xludf.DUMMYFUNCTION("""COMPUTED_VALUE"""),1125634.0)</f>
        <v>1125634</v>
      </c>
    </row>
    <row r="487">
      <c r="A487" s="35">
        <f>IFERROR(__xludf.DUMMYFUNCTION("""COMPUTED_VALUE"""),486.0)</f>
        <v>486</v>
      </c>
      <c r="B487" s="35" t="str">
        <f>IFERROR(__xludf.DUMMYFUNCTION("""COMPUTED_VALUE"""),"Predict the Winner")</f>
        <v>Predict the Winner</v>
      </c>
      <c r="C487" s="35" t="str">
        <f>IFERROR(__xludf.DUMMYFUNCTION("""COMPUTED_VALUE"""),"predict-the-winner")</f>
        <v>predict-the-winner</v>
      </c>
      <c r="D487" s="35" t="b">
        <f>IFERROR(__xludf.DUMMYFUNCTION("""COMPUTED_VALUE"""),FALSE)</f>
        <v>0</v>
      </c>
      <c r="E487" s="35" t="str">
        <f>IFERROR(__xludf.DUMMYFUNCTION("""COMPUTED_VALUE"""),"Medium")</f>
        <v>Medium</v>
      </c>
      <c r="F487" s="35">
        <f>IFERROR(__xludf.DUMMYFUNCTION("""COMPUTED_VALUE"""),2753.0)</f>
        <v>2753</v>
      </c>
      <c r="G487" s="35">
        <f>IFERROR(__xludf.DUMMYFUNCTION("""COMPUTED_VALUE"""),143.0)</f>
        <v>143</v>
      </c>
      <c r="H487" s="35" t="str">
        <f>IFERROR(__xludf.DUMMYFUNCTION("""COMPUTED_VALUE"""),"Algorithms")</f>
        <v>Algorithms</v>
      </c>
      <c r="I487" s="35">
        <f>IFERROR(__xludf.DUMMYFUNCTION("""COMPUTED_VALUE"""),0.501)</f>
        <v>0.501</v>
      </c>
      <c r="J487" s="35">
        <f>IFERROR(__xludf.DUMMYFUNCTION("""COMPUTED_VALUE"""),486.0)</f>
        <v>486</v>
      </c>
      <c r="K487" s="35" t="b">
        <f>IFERROR(__xludf.DUMMYFUNCTION("""COMPUTED_VALUE"""),FALSE)</f>
        <v>0</v>
      </c>
      <c r="L487" s="35" t="str">
        <f>IFERROR(__xludf.DUMMYFUNCTION("""COMPUTED_VALUE"""),"Array;Math;Dynamic Programming;Recursion;Game Theory;")</f>
        <v>Array;Math;Dynamic Programming;Recursion;Game Theory;</v>
      </c>
      <c r="M487" s="35" t="b">
        <f>IFERROR(__xludf.DUMMYFUNCTION("""COMPUTED_VALUE"""),TRUE)</f>
        <v>1</v>
      </c>
      <c r="N487" s="35" t="b">
        <f>IFERROR(__xludf.DUMMYFUNCTION("""COMPUTED_VALUE"""),FALSE)</f>
        <v>0</v>
      </c>
      <c r="O487" s="35">
        <f>IFERROR(__xludf.DUMMYFUNCTION("""COMPUTED_VALUE"""),50.1133281313863)</f>
        <v>50.11332813</v>
      </c>
      <c r="P487" s="35">
        <f>IFERROR(__xludf.DUMMYFUNCTION("""COMPUTED_VALUE"""),107896.0)</f>
        <v>107896</v>
      </c>
      <c r="Q487" s="35">
        <f>IFERROR(__xludf.DUMMYFUNCTION("""COMPUTED_VALUE"""),215304.0)</f>
        <v>215304</v>
      </c>
    </row>
    <row r="488">
      <c r="A488" s="35">
        <f>IFERROR(__xludf.DUMMYFUNCTION("""COMPUTED_VALUE"""),487.0)</f>
        <v>487</v>
      </c>
      <c r="B488" s="35" t="str">
        <f>IFERROR(__xludf.DUMMYFUNCTION("""COMPUTED_VALUE"""),"Max Consecutive Ones II")</f>
        <v>Max Consecutive Ones II</v>
      </c>
      <c r="C488" s="35" t="str">
        <f>IFERROR(__xludf.DUMMYFUNCTION("""COMPUTED_VALUE"""),"max-consecutive-ones-ii")</f>
        <v>max-consecutive-ones-ii</v>
      </c>
      <c r="D488" s="35" t="b">
        <f>IFERROR(__xludf.DUMMYFUNCTION("""COMPUTED_VALUE"""),TRUE)</f>
        <v>1</v>
      </c>
      <c r="E488" s="35" t="str">
        <f>IFERROR(__xludf.DUMMYFUNCTION("""COMPUTED_VALUE"""),"Medium")</f>
        <v>Medium</v>
      </c>
      <c r="F488" s="35">
        <f>IFERROR(__xludf.DUMMYFUNCTION("""COMPUTED_VALUE"""),1024.0)</f>
        <v>1024</v>
      </c>
      <c r="G488" s="35">
        <f>IFERROR(__xludf.DUMMYFUNCTION("""COMPUTED_VALUE"""),21.0)</f>
        <v>21</v>
      </c>
      <c r="H488" s="35" t="str">
        <f>IFERROR(__xludf.DUMMYFUNCTION("""COMPUTED_VALUE"""),"Algorithms")</f>
        <v>Algorithms</v>
      </c>
      <c r="I488" s="35">
        <f>IFERROR(__xludf.DUMMYFUNCTION("""COMPUTED_VALUE"""),0.488)</f>
        <v>0.488</v>
      </c>
      <c r="J488" s="35">
        <f>IFERROR(__xludf.DUMMYFUNCTION("""COMPUTED_VALUE"""),487.0)</f>
        <v>487</v>
      </c>
      <c r="K488" s="35" t="b">
        <f>IFERROR(__xludf.DUMMYFUNCTION("""COMPUTED_VALUE"""),TRUE)</f>
        <v>1</v>
      </c>
      <c r="L488" s="35" t="str">
        <f>IFERROR(__xludf.DUMMYFUNCTION("""COMPUTED_VALUE"""),"Array;Dynamic Programming;Sliding Window;")</f>
        <v>Array;Dynamic Programming;Sliding Window;</v>
      </c>
      <c r="M488" s="35" t="b">
        <f>IFERROR(__xludf.DUMMYFUNCTION("""COMPUTED_VALUE"""),TRUE)</f>
        <v>1</v>
      </c>
      <c r="N488" s="35" t="b">
        <f>IFERROR(__xludf.DUMMYFUNCTION("""COMPUTED_VALUE"""),FALSE)</f>
        <v>0</v>
      </c>
      <c r="O488" s="35">
        <f>IFERROR(__xludf.DUMMYFUNCTION("""COMPUTED_VALUE"""),48.7822148292178)</f>
        <v>48.78221483</v>
      </c>
      <c r="P488" s="35">
        <f>IFERROR(__xludf.DUMMYFUNCTION("""COMPUTED_VALUE"""),86803.0)</f>
        <v>86803</v>
      </c>
      <c r="Q488" s="35">
        <f>IFERROR(__xludf.DUMMYFUNCTION("""COMPUTED_VALUE"""),177936.0)</f>
        <v>177936</v>
      </c>
    </row>
    <row r="489">
      <c r="A489" s="35">
        <f>IFERROR(__xludf.DUMMYFUNCTION("""COMPUTED_VALUE"""),488.0)</f>
        <v>488</v>
      </c>
      <c r="B489" s="35" t="str">
        <f>IFERROR(__xludf.DUMMYFUNCTION("""COMPUTED_VALUE"""),"Zuma Game")</f>
        <v>Zuma Game</v>
      </c>
      <c r="C489" s="35" t="str">
        <f>IFERROR(__xludf.DUMMYFUNCTION("""COMPUTED_VALUE"""),"zuma-game")</f>
        <v>zuma-game</v>
      </c>
      <c r="D489" s="35" t="b">
        <f>IFERROR(__xludf.DUMMYFUNCTION("""COMPUTED_VALUE"""),FALSE)</f>
        <v>0</v>
      </c>
      <c r="E489" s="35" t="str">
        <f>IFERROR(__xludf.DUMMYFUNCTION("""COMPUTED_VALUE"""),"Hard")</f>
        <v>Hard</v>
      </c>
      <c r="F489" s="35">
        <f>IFERROR(__xludf.DUMMYFUNCTION("""COMPUTED_VALUE"""),329.0)</f>
        <v>329</v>
      </c>
      <c r="G489" s="35">
        <f>IFERROR(__xludf.DUMMYFUNCTION("""COMPUTED_VALUE"""),386.0)</f>
        <v>386</v>
      </c>
      <c r="H489" s="35" t="str">
        <f>IFERROR(__xludf.DUMMYFUNCTION("""COMPUTED_VALUE"""),"Algorithms")</f>
        <v>Algorithms</v>
      </c>
      <c r="I489" s="35">
        <f>IFERROR(__xludf.DUMMYFUNCTION("""COMPUTED_VALUE"""),0.366)</f>
        <v>0.366</v>
      </c>
      <c r="J489" s="35">
        <f>IFERROR(__xludf.DUMMYFUNCTION("""COMPUTED_VALUE"""),488.0)</f>
        <v>488</v>
      </c>
      <c r="K489" s="35" t="b">
        <f>IFERROR(__xludf.DUMMYFUNCTION("""COMPUTED_VALUE"""),FALSE)</f>
        <v>0</v>
      </c>
      <c r="L489" s="35" t="str">
        <f>IFERROR(__xludf.DUMMYFUNCTION("""COMPUTED_VALUE"""),"String;Dynamic Programming;Breadth-First Search;Memoization;")</f>
        <v>String;Dynamic Programming;Breadth-First Search;Memoization;</v>
      </c>
      <c r="M489" s="35" t="b">
        <f>IFERROR(__xludf.DUMMYFUNCTION("""COMPUTED_VALUE"""),FALSE)</f>
        <v>0</v>
      </c>
      <c r="N489" s="35" t="b">
        <f>IFERROR(__xludf.DUMMYFUNCTION("""COMPUTED_VALUE"""),FALSE)</f>
        <v>0</v>
      </c>
      <c r="O489" s="35">
        <f>IFERROR(__xludf.DUMMYFUNCTION("""COMPUTED_VALUE"""),36.5803397382344)</f>
        <v>36.58033974</v>
      </c>
      <c r="P489" s="35">
        <f>IFERROR(__xludf.DUMMYFUNCTION("""COMPUTED_VALUE"""),19704.0)</f>
        <v>19704</v>
      </c>
      <c r="Q489" s="35">
        <f>IFERROR(__xludf.DUMMYFUNCTION("""COMPUTED_VALUE"""),53865.0)</f>
        <v>53865</v>
      </c>
    </row>
    <row r="490">
      <c r="A490" s="35">
        <f>IFERROR(__xludf.DUMMYFUNCTION("""COMPUTED_VALUE"""),865.0)</f>
        <v>865</v>
      </c>
      <c r="B490" s="35" t="str">
        <f>IFERROR(__xludf.DUMMYFUNCTION("""COMPUTED_VALUE"""),"Robot Room Cleaner")</f>
        <v>Robot Room Cleaner</v>
      </c>
      <c r="C490" s="35" t="str">
        <f>IFERROR(__xludf.DUMMYFUNCTION("""COMPUTED_VALUE"""),"robot-room-cleaner")</f>
        <v>robot-room-cleaner</v>
      </c>
      <c r="D490" s="35" t="b">
        <f>IFERROR(__xludf.DUMMYFUNCTION("""COMPUTED_VALUE"""),TRUE)</f>
        <v>1</v>
      </c>
      <c r="E490" s="35" t="str">
        <f>IFERROR(__xludf.DUMMYFUNCTION("""COMPUTED_VALUE"""),"Hard")</f>
        <v>Hard</v>
      </c>
      <c r="F490" s="35">
        <f>IFERROR(__xludf.DUMMYFUNCTION("""COMPUTED_VALUE"""),2083.0)</f>
        <v>2083</v>
      </c>
      <c r="G490" s="35">
        <f>IFERROR(__xludf.DUMMYFUNCTION("""COMPUTED_VALUE"""),122.0)</f>
        <v>122</v>
      </c>
      <c r="H490" s="35" t="str">
        <f>IFERROR(__xludf.DUMMYFUNCTION("""COMPUTED_VALUE"""),"Algorithms")</f>
        <v>Algorithms</v>
      </c>
      <c r="I490" s="35">
        <f>IFERROR(__xludf.DUMMYFUNCTION("""COMPUTED_VALUE"""),0.754)</f>
        <v>0.754</v>
      </c>
      <c r="J490" s="35">
        <f>IFERROR(__xludf.DUMMYFUNCTION("""COMPUTED_VALUE"""),489.0)</f>
        <v>489</v>
      </c>
      <c r="K490" s="35" t="b">
        <f>IFERROR(__xludf.DUMMYFUNCTION("""COMPUTED_VALUE"""),TRUE)</f>
        <v>1</v>
      </c>
      <c r="L490" s="35" t="str">
        <f>IFERROR(__xludf.DUMMYFUNCTION("""COMPUTED_VALUE"""),"Backtracking;Interactive;")</f>
        <v>Backtracking;Interactive;</v>
      </c>
      <c r="M490" s="35" t="b">
        <f>IFERROR(__xludf.DUMMYFUNCTION("""COMPUTED_VALUE"""),TRUE)</f>
        <v>1</v>
      </c>
      <c r="N490" s="35" t="b">
        <f>IFERROR(__xludf.DUMMYFUNCTION("""COMPUTED_VALUE"""),FALSE)</f>
        <v>0</v>
      </c>
      <c r="O490" s="35">
        <f>IFERROR(__xludf.DUMMYFUNCTION("""COMPUTED_VALUE"""),75.379228294081)</f>
        <v>75.37922829</v>
      </c>
      <c r="P490" s="35">
        <f>IFERROR(__xludf.DUMMYFUNCTION("""COMPUTED_VALUE"""),111510.0)</f>
        <v>111510</v>
      </c>
      <c r="Q490" s="35">
        <f>IFERROR(__xludf.DUMMYFUNCTION("""COMPUTED_VALUE"""),147932.0)</f>
        <v>147932</v>
      </c>
    </row>
    <row r="491">
      <c r="A491" s="35">
        <f>IFERROR(__xludf.DUMMYFUNCTION("""COMPUTED_VALUE"""),490.0)</f>
        <v>490</v>
      </c>
      <c r="B491" s="35" t="str">
        <f>IFERROR(__xludf.DUMMYFUNCTION("""COMPUTED_VALUE"""),"The Maze")</f>
        <v>The Maze</v>
      </c>
      <c r="C491" s="35" t="str">
        <f>IFERROR(__xludf.DUMMYFUNCTION("""COMPUTED_VALUE"""),"the-maze")</f>
        <v>the-maze</v>
      </c>
      <c r="D491" s="35" t="b">
        <f>IFERROR(__xludf.DUMMYFUNCTION("""COMPUTED_VALUE"""),TRUE)</f>
        <v>1</v>
      </c>
      <c r="E491" s="35" t="str">
        <f>IFERROR(__xludf.DUMMYFUNCTION("""COMPUTED_VALUE"""),"Medium")</f>
        <v>Medium</v>
      </c>
      <c r="F491" s="35">
        <f>IFERROR(__xludf.DUMMYFUNCTION("""COMPUTED_VALUE"""),1361.0)</f>
        <v>1361</v>
      </c>
      <c r="G491" s="35">
        <f>IFERROR(__xludf.DUMMYFUNCTION("""COMPUTED_VALUE"""),148.0)</f>
        <v>148</v>
      </c>
      <c r="H491" s="35" t="str">
        <f>IFERROR(__xludf.DUMMYFUNCTION("""COMPUTED_VALUE"""),"Algorithms")</f>
        <v>Algorithms</v>
      </c>
      <c r="I491" s="35">
        <f>IFERROR(__xludf.DUMMYFUNCTION("""COMPUTED_VALUE"""),0.545)</f>
        <v>0.545</v>
      </c>
      <c r="J491" s="35">
        <f>IFERROR(__xludf.DUMMYFUNCTION("""COMPUTED_VALUE"""),490.0)</f>
        <v>490</v>
      </c>
      <c r="K491" s="35" t="b">
        <f>IFERROR(__xludf.DUMMYFUNCTION("""COMPUTED_VALUE"""),TRUE)</f>
        <v>1</v>
      </c>
      <c r="L491" s="35" t="str">
        <f>IFERROR(__xludf.DUMMYFUNCTION("""COMPUTED_VALUE"""),"Depth-First Search;Breadth-First Search;Graph;")</f>
        <v>Depth-First Search;Breadth-First Search;Graph;</v>
      </c>
      <c r="M491" s="35" t="b">
        <f>IFERROR(__xludf.DUMMYFUNCTION("""COMPUTED_VALUE"""),TRUE)</f>
        <v>1</v>
      </c>
      <c r="N491" s="35" t="b">
        <f>IFERROR(__xludf.DUMMYFUNCTION("""COMPUTED_VALUE"""),FALSE)</f>
        <v>0</v>
      </c>
      <c r="O491" s="35">
        <f>IFERROR(__xludf.DUMMYFUNCTION("""COMPUTED_VALUE"""),54.493845551513)</f>
        <v>54.49384555</v>
      </c>
      <c r="P491" s="35">
        <f>IFERROR(__xludf.DUMMYFUNCTION("""COMPUTED_VALUE"""),114133.0)</f>
        <v>114133</v>
      </c>
      <c r="Q491" s="35">
        <f>IFERROR(__xludf.DUMMYFUNCTION("""COMPUTED_VALUE"""),209442.0)</f>
        <v>209442</v>
      </c>
    </row>
    <row r="492">
      <c r="A492" s="35">
        <f>IFERROR(__xludf.DUMMYFUNCTION("""COMPUTED_VALUE"""),491.0)</f>
        <v>491</v>
      </c>
      <c r="B492" s="35" t="str">
        <f>IFERROR(__xludf.DUMMYFUNCTION("""COMPUTED_VALUE"""),"Increasing Subsequences")</f>
        <v>Increasing Subsequences</v>
      </c>
      <c r="C492" s="35" t="str">
        <f>IFERROR(__xludf.DUMMYFUNCTION("""COMPUTED_VALUE"""),"increasing-subsequences")</f>
        <v>increasing-subsequences</v>
      </c>
      <c r="D492" s="35" t="b">
        <f>IFERROR(__xludf.DUMMYFUNCTION("""COMPUTED_VALUE"""),FALSE)</f>
        <v>0</v>
      </c>
      <c r="E492" s="35" t="str">
        <f>IFERROR(__xludf.DUMMYFUNCTION("""COMPUTED_VALUE"""),"Medium")</f>
        <v>Medium</v>
      </c>
      <c r="F492" s="35">
        <f>IFERROR(__xludf.DUMMYFUNCTION("""COMPUTED_VALUE"""),1387.0)</f>
        <v>1387</v>
      </c>
      <c r="G492" s="35">
        <f>IFERROR(__xludf.DUMMYFUNCTION("""COMPUTED_VALUE"""),147.0)</f>
        <v>147</v>
      </c>
      <c r="H492" s="35" t="str">
        <f>IFERROR(__xludf.DUMMYFUNCTION("""COMPUTED_VALUE"""),"Algorithms")</f>
        <v>Algorithms</v>
      </c>
      <c r="I492" s="35">
        <f>IFERROR(__xludf.DUMMYFUNCTION("""COMPUTED_VALUE"""),0.505)</f>
        <v>0.505</v>
      </c>
      <c r="J492" s="35">
        <f>IFERROR(__xludf.DUMMYFUNCTION("""COMPUTED_VALUE"""),491.0)</f>
        <v>491</v>
      </c>
      <c r="K492" s="35" t="b">
        <f>IFERROR(__xludf.DUMMYFUNCTION("""COMPUTED_VALUE"""),FALSE)</f>
        <v>0</v>
      </c>
      <c r="L492" s="35" t="str">
        <f>IFERROR(__xludf.DUMMYFUNCTION("""COMPUTED_VALUE"""),"Array;Hash Table;Backtracking;Bit Manipulation;")</f>
        <v>Array;Hash Table;Backtracking;Bit Manipulation;</v>
      </c>
      <c r="M492" s="35" t="b">
        <f>IFERROR(__xludf.DUMMYFUNCTION("""COMPUTED_VALUE"""),FALSE)</f>
        <v>0</v>
      </c>
      <c r="N492" s="35" t="b">
        <f>IFERROR(__xludf.DUMMYFUNCTION("""COMPUTED_VALUE"""),FALSE)</f>
        <v>0</v>
      </c>
      <c r="O492" s="35">
        <f>IFERROR(__xludf.DUMMYFUNCTION("""COMPUTED_VALUE"""),50.5439560053164)</f>
        <v>50.54395601</v>
      </c>
      <c r="P492" s="35">
        <f>IFERROR(__xludf.DUMMYFUNCTION("""COMPUTED_VALUE"""),71872.0)</f>
        <v>71872</v>
      </c>
      <c r="Q492" s="35">
        <f>IFERROR(__xludf.DUMMYFUNCTION("""COMPUTED_VALUE"""),142198.0)</f>
        <v>142198</v>
      </c>
    </row>
    <row r="493">
      <c r="A493" s="35">
        <f>IFERROR(__xludf.DUMMYFUNCTION("""COMPUTED_VALUE"""),492.0)</f>
        <v>492</v>
      </c>
      <c r="B493" s="35" t="str">
        <f>IFERROR(__xludf.DUMMYFUNCTION("""COMPUTED_VALUE"""),"Construct the Rectangle")</f>
        <v>Construct the Rectangle</v>
      </c>
      <c r="C493" s="35" t="str">
        <f>IFERROR(__xludf.DUMMYFUNCTION("""COMPUTED_VALUE"""),"construct-the-rectangle")</f>
        <v>construct-the-rectangle</v>
      </c>
      <c r="D493" s="35" t="b">
        <f>IFERROR(__xludf.DUMMYFUNCTION("""COMPUTED_VALUE"""),FALSE)</f>
        <v>0</v>
      </c>
      <c r="E493" s="35" t="str">
        <f>IFERROR(__xludf.DUMMYFUNCTION("""COMPUTED_VALUE"""),"Easy")</f>
        <v>Easy</v>
      </c>
      <c r="F493" s="35">
        <f>IFERROR(__xludf.DUMMYFUNCTION("""COMPUTED_VALUE"""),385.0)</f>
        <v>385</v>
      </c>
      <c r="G493" s="35">
        <f>IFERROR(__xludf.DUMMYFUNCTION("""COMPUTED_VALUE"""),319.0)</f>
        <v>319</v>
      </c>
      <c r="H493" s="35" t="str">
        <f>IFERROR(__xludf.DUMMYFUNCTION("""COMPUTED_VALUE"""),"Algorithms")</f>
        <v>Algorithms</v>
      </c>
      <c r="I493" s="35">
        <f>IFERROR(__xludf.DUMMYFUNCTION("""COMPUTED_VALUE"""),0.524)</f>
        <v>0.524</v>
      </c>
      <c r="J493" s="35">
        <f>IFERROR(__xludf.DUMMYFUNCTION("""COMPUTED_VALUE"""),492.0)</f>
        <v>492</v>
      </c>
      <c r="K493" s="35" t="b">
        <f>IFERROR(__xludf.DUMMYFUNCTION("""COMPUTED_VALUE"""),FALSE)</f>
        <v>0</v>
      </c>
      <c r="L493" s="35" t="str">
        <f>IFERROR(__xludf.DUMMYFUNCTION("""COMPUTED_VALUE"""),"Math;")</f>
        <v>Math;</v>
      </c>
      <c r="M493" s="35" t="b">
        <f>IFERROR(__xludf.DUMMYFUNCTION("""COMPUTED_VALUE"""),FALSE)</f>
        <v>0</v>
      </c>
      <c r="N493" s="35" t="b">
        <f>IFERROR(__xludf.DUMMYFUNCTION("""COMPUTED_VALUE"""),FALSE)</f>
        <v>0</v>
      </c>
      <c r="O493" s="35">
        <f>IFERROR(__xludf.DUMMYFUNCTION("""COMPUTED_VALUE"""),52.4138689241002)</f>
        <v>52.41386892</v>
      </c>
      <c r="P493" s="35">
        <f>IFERROR(__xludf.DUMMYFUNCTION("""COMPUTED_VALUE"""),76280.0)</f>
        <v>76280</v>
      </c>
      <c r="Q493" s="35">
        <f>IFERROR(__xludf.DUMMYFUNCTION("""COMPUTED_VALUE"""),145534.0)</f>
        <v>145534</v>
      </c>
    </row>
    <row r="494">
      <c r="A494" s="35">
        <f>IFERROR(__xludf.DUMMYFUNCTION("""COMPUTED_VALUE"""),493.0)</f>
        <v>493</v>
      </c>
      <c r="B494" s="35" t="str">
        <f>IFERROR(__xludf.DUMMYFUNCTION("""COMPUTED_VALUE"""),"Reverse Pairs")</f>
        <v>Reverse Pairs</v>
      </c>
      <c r="C494" s="35" t="str">
        <f>IFERROR(__xludf.DUMMYFUNCTION("""COMPUTED_VALUE"""),"reverse-pairs")</f>
        <v>reverse-pairs</v>
      </c>
      <c r="D494" s="35" t="b">
        <f>IFERROR(__xludf.DUMMYFUNCTION("""COMPUTED_VALUE"""),FALSE)</f>
        <v>0</v>
      </c>
      <c r="E494" s="35" t="str">
        <f>IFERROR(__xludf.DUMMYFUNCTION("""COMPUTED_VALUE"""),"Hard")</f>
        <v>Hard</v>
      </c>
      <c r="F494" s="35">
        <f>IFERROR(__xludf.DUMMYFUNCTION("""COMPUTED_VALUE"""),2573.0)</f>
        <v>2573</v>
      </c>
      <c r="G494" s="35">
        <f>IFERROR(__xludf.DUMMYFUNCTION("""COMPUTED_VALUE"""),174.0)</f>
        <v>174</v>
      </c>
      <c r="H494" s="35" t="str">
        <f>IFERROR(__xludf.DUMMYFUNCTION("""COMPUTED_VALUE"""),"Algorithms")</f>
        <v>Algorithms</v>
      </c>
      <c r="I494" s="35">
        <f>IFERROR(__xludf.DUMMYFUNCTION("""COMPUTED_VALUE"""),0.297)</f>
        <v>0.297</v>
      </c>
      <c r="J494" s="35">
        <f>IFERROR(__xludf.DUMMYFUNCTION("""COMPUTED_VALUE"""),493.0)</f>
        <v>493</v>
      </c>
      <c r="K494" s="35" t="b">
        <f>IFERROR(__xludf.DUMMYFUNCTION("""COMPUTED_VALUE"""),FALSE)</f>
        <v>0</v>
      </c>
      <c r="L494" s="35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494" s="35" t="b">
        <f>IFERROR(__xludf.DUMMYFUNCTION("""COMPUTED_VALUE"""),FALSE)</f>
        <v>0</v>
      </c>
      <c r="N494" s="35" t="b">
        <f>IFERROR(__xludf.DUMMYFUNCTION("""COMPUTED_VALUE"""),FALSE)</f>
        <v>0</v>
      </c>
      <c r="O494" s="35">
        <f>IFERROR(__xludf.DUMMYFUNCTION("""COMPUTED_VALUE"""),29.6754032718497)</f>
        <v>29.67540327</v>
      </c>
      <c r="P494" s="35">
        <f>IFERROR(__xludf.DUMMYFUNCTION("""COMPUTED_VALUE"""),77962.0)</f>
        <v>77962</v>
      </c>
      <c r="Q494" s="35">
        <f>IFERROR(__xludf.DUMMYFUNCTION("""COMPUTED_VALUE"""),262723.0)</f>
        <v>262723</v>
      </c>
    </row>
    <row r="495">
      <c r="A495" s="35">
        <f>IFERROR(__xludf.DUMMYFUNCTION("""COMPUTED_VALUE"""),494.0)</f>
        <v>494</v>
      </c>
      <c r="B495" s="35" t="str">
        <f>IFERROR(__xludf.DUMMYFUNCTION("""COMPUTED_VALUE"""),"Target Sum")</f>
        <v>Target Sum</v>
      </c>
      <c r="C495" s="35" t="str">
        <f>IFERROR(__xludf.DUMMYFUNCTION("""COMPUTED_VALUE"""),"target-sum")</f>
        <v>target-sum</v>
      </c>
      <c r="D495" s="35" t="b">
        <f>IFERROR(__xludf.DUMMYFUNCTION("""COMPUTED_VALUE"""),FALSE)</f>
        <v>0</v>
      </c>
      <c r="E495" s="35" t="str">
        <f>IFERROR(__xludf.DUMMYFUNCTION("""COMPUTED_VALUE"""),"Medium")</f>
        <v>Medium</v>
      </c>
      <c r="F495" s="35">
        <f>IFERROR(__xludf.DUMMYFUNCTION("""COMPUTED_VALUE"""),6366.0)</f>
        <v>6366</v>
      </c>
      <c r="G495" s="35">
        <f>IFERROR(__xludf.DUMMYFUNCTION("""COMPUTED_VALUE"""),246.0)</f>
        <v>246</v>
      </c>
      <c r="H495" s="35" t="str">
        <f>IFERROR(__xludf.DUMMYFUNCTION("""COMPUTED_VALUE"""),"Algorithms")</f>
        <v>Algorithms</v>
      </c>
      <c r="I495" s="35">
        <f>IFERROR(__xludf.DUMMYFUNCTION("""COMPUTED_VALUE"""),0.453)</f>
        <v>0.453</v>
      </c>
      <c r="J495" s="35">
        <f>IFERROR(__xludf.DUMMYFUNCTION("""COMPUTED_VALUE"""),494.0)</f>
        <v>494</v>
      </c>
      <c r="K495" s="35" t="b">
        <f>IFERROR(__xludf.DUMMYFUNCTION("""COMPUTED_VALUE"""),FALSE)</f>
        <v>0</v>
      </c>
      <c r="L495" s="35" t="str">
        <f>IFERROR(__xludf.DUMMYFUNCTION("""COMPUTED_VALUE"""),"Array;Dynamic Programming;Backtracking;")</f>
        <v>Array;Dynamic Programming;Backtracking;</v>
      </c>
      <c r="M495" s="35" t="b">
        <f>IFERROR(__xludf.DUMMYFUNCTION("""COMPUTED_VALUE"""),TRUE)</f>
        <v>1</v>
      </c>
      <c r="N495" s="35" t="b">
        <f>IFERROR(__xludf.DUMMYFUNCTION("""COMPUTED_VALUE"""),FALSE)</f>
        <v>0</v>
      </c>
      <c r="O495" s="35">
        <f>IFERROR(__xludf.DUMMYFUNCTION("""COMPUTED_VALUE"""),45.3342546351272)</f>
        <v>45.33425464</v>
      </c>
      <c r="P495" s="35">
        <f>IFERROR(__xludf.DUMMYFUNCTION("""COMPUTED_VALUE"""),328693.0)</f>
        <v>328693</v>
      </c>
      <c r="Q495" s="35">
        <f>IFERROR(__xludf.DUMMYFUNCTION("""COMPUTED_VALUE"""),725033.0)</f>
        <v>725033</v>
      </c>
    </row>
    <row r="496">
      <c r="A496" s="35">
        <f>IFERROR(__xludf.DUMMYFUNCTION("""COMPUTED_VALUE"""),495.0)</f>
        <v>495</v>
      </c>
      <c r="B496" s="35" t="str">
        <f>IFERROR(__xludf.DUMMYFUNCTION("""COMPUTED_VALUE"""),"Teemo Attacking")</f>
        <v>Teemo Attacking</v>
      </c>
      <c r="C496" s="35" t="str">
        <f>IFERROR(__xludf.DUMMYFUNCTION("""COMPUTED_VALUE"""),"teemo-attacking")</f>
        <v>teemo-attacking</v>
      </c>
      <c r="D496" s="35" t="b">
        <f>IFERROR(__xludf.DUMMYFUNCTION("""COMPUTED_VALUE"""),FALSE)</f>
        <v>0</v>
      </c>
      <c r="E496" s="35" t="str">
        <f>IFERROR(__xludf.DUMMYFUNCTION("""COMPUTED_VALUE"""),"Easy")</f>
        <v>Easy</v>
      </c>
      <c r="F496" s="35">
        <f>IFERROR(__xludf.DUMMYFUNCTION("""COMPUTED_VALUE"""),358.0)</f>
        <v>358</v>
      </c>
      <c r="G496" s="35">
        <f>IFERROR(__xludf.DUMMYFUNCTION("""COMPUTED_VALUE"""),34.0)</f>
        <v>34</v>
      </c>
      <c r="H496" s="35" t="str">
        <f>IFERROR(__xludf.DUMMYFUNCTION("""COMPUTED_VALUE"""),"Algorithms")</f>
        <v>Algorithms</v>
      </c>
      <c r="I496" s="35">
        <f>IFERROR(__xludf.DUMMYFUNCTION("""COMPUTED_VALUE"""),0.568)</f>
        <v>0.568</v>
      </c>
      <c r="J496" s="35">
        <f>IFERROR(__xludf.DUMMYFUNCTION("""COMPUTED_VALUE"""),495.0)</f>
        <v>495</v>
      </c>
      <c r="K496" s="35" t="b">
        <f>IFERROR(__xludf.DUMMYFUNCTION("""COMPUTED_VALUE"""),FALSE)</f>
        <v>0</v>
      </c>
      <c r="L496" s="35" t="str">
        <f>IFERROR(__xludf.DUMMYFUNCTION("""COMPUTED_VALUE"""),"Array;Simulation;")</f>
        <v>Array;Simulation;</v>
      </c>
      <c r="M496" s="35" t="b">
        <f>IFERROR(__xludf.DUMMYFUNCTION("""COMPUTED_VALUE"""),TRUE)</f>
        <v>1</v>
      </c>
      <c r="N496" s="35" t="b">
        <f>IFERROR(__xludf.DUMMYFUNCTION("""COMPUTED_VALUE"""),FALSE)</f>
        <v>0</v>
      </c>
      <c r="O496" s="35">
        <f>IFERROR(__xludf.DUMMYFUNCTION("""COMPUTED_VALUE"""),56.8387443303891)</f>
        <v>56.83874433</v>
      </c>
      <c r="P496" s="35">
        <f>IFERROR(__xludf.DUMMYFUNCTION("""COMPUTED_VALUE"""),95237.0)</f>
        <v>95237</v>
      </c>
      <c r="Q496" s="35">
        <f>IFERROR(__xludf.DUMMYFUNCTION("""COMPUTED_VALUE"""),167558.0)</f>
        <v>167558</v>
      </c>
    </row>
    <row r="497">
      <c r="A497" s="35">
        <f>IFERROR(__xludf.DUMMYFUNCTION("""COMPUTED_VALUE"""),496.0)</f>
        <v>496</v>
      </c>
      <c r="B497" s="35" t="str">
        <f>IFERROR(__xludf.DUMMYFUNCTION("""COMPUTED_VALUE"""),"Next Greater Element I")</f>
        <v>Next Greater Element I</v>
      </c>
      <c r="C497" s="35" t="str">
        <f>IFERROR(__xludf.DUMMYFUNCTION("""COMPUTED_VALUE"""),"next-greater-element-i")</f>
        <v>next-greater-element-i</v>
      </c>
      <c r="D497" s="35" t="b">
        <f>IFERROR(__xludf.DUMMYFUNCTION("""COMPUTED_VALUE"""),FALSE)</f>
        <v>0</v>
      </c>
      <c r="E497" s="35" t="str">
        <f>IFERROR(__xludf.DUMMYFUNCTION("""COMPUTED_VALUE"""),"Easy")</f>
        <v>Easy</v>
      </c>
      <c r="F497" s="35">
        <f>IFERROR(__xludf.DUMMYFUNCTION("""COMPUTED_VALUE"""),2276.0)</f>
        <v>2276</v>
      </c>
      <c r="G497" s="35">
        <f>IFERROR(__xludf.DUMMYFUNCTION("""COMPUTED_VALUE"""),147.0)</f>
        <v>147</v>
      </c>
      <c r="H497" s="35" t="str">
        <f>IFERROR(__xludf.DUMMYFUNCTION("""COMPUTED_VALUE"""),"Algorithms")</f>
        <v>Algorithms</v>
      </c>
      <c r="I497" s="35">
        <f>IFERROR(__xludf.DUMMYFUNCTION("""COMPUTED_VALUE"""),0.697)</f>
        <v>0.697</v>
      </c>
      <c r="J497" s="35">
        <f>IFERROR(__xludf.DUMMYFUNCTION("""COMPUTED_VALUE"""),496.0)</f>
        <v>496</v>
      </c>
      <c r="K497" s="35" t="b">
        <f>IFERROR(__xludf.DUMMYFUNCTION("""COMPUTED_VALUE"""),FALSE)</f>
        <v>0</v>
      </c>
      <c r="L497" s="35" t="str">
        <f>IFERROR(__xludf.DUMMYFUNCTION("""COMPUTED_VALUE"""),"Array;Hash Table;Stack;Monotonic Stack;")</f>
        <v>Array;Hash Table;Stack;Monotonic Stack;</v>
      </c>
      <c r="M497" s="35" t="b">
        <f>IFERROR(__xludf.DUMMYFUNCTION("""COMPUTED_VALUE"""),TRUE)</f>
        <v>1</v>
      </c>
      <c r="N497" s="35" t="b">
        <f>IFERROR(__xludf.DUMMYFUNCTION("""COMPUTED_VALUE"""),FALSE)</f>
        <v>0</v>
      </c>
      <c r="O497" s="35">
        <f>IFERROR(__xludf.DUMMYFUNCTION("""COMPUTED_VALUE"""),69.6674129911245)</f>
        <v>69.66741299</v>
      </c>
      <c r="P497" s="35">
        <f>IFERROR(__xludf.DUMMYFUNCTION("""COMPUTED_VALUE"""),329204.0)</f>
        <v>329204</v>
      </c>
      <c r="Q497" s="35">
        <f>IFERROR(__xludf.DUMMYFUNCTION("""COMPUTED_VALUE"""),472533.0)</f>
        <v>472533</v>
      </c>
    </row>
    <row r="498">
      <c r="A498" s="35">
        <f>IFERROR(__xludf.DUMMYFUNCTION("""COMPUTED_VALUE"""),914.0)</f>
        <v>914</v>
      </c>
      <c r="B498" s="35" t="str">
        <f>IFERROR(__xludf.DUMMYFUNCTION("""COMPUTED_VALUE"""),"Random Point in Non-overlapping Rectangles")</f>
        <v>Random Point in Non-overlapping Rectangles</v>
      </c>
      <c r="C498" s="35" t="str">
        <f>IFERROR(__xludf.DUMMYFUNCTION("""COMPUTED_VALUE"""),"random-point-in-non-overlapping-rectangles")</f>
        <v>random-point-in-non-overlapping-rectangles</v>
      </c>
      <c r="D498" s="35" t="b">
        <f>IFERROR(__xludf.DUMMYFUNCTION("""COMPUTED_VALUE"""),FALSE)</f>
        <v>0</v>
      </c>
      <c r="E498" s="35" t="str">
        <f>IFERROR(__xludf.DUMMYFUNCTION("""COMPUTED_VALUE"""),"Medium")</f>
        <v>Medium</v>
      </c>
      <c r="F498" s="35">
        <f>IFERROR(__xludf.DUMMYFUNCTION("""COMPUTED_VALUE"""),377.0)</f>
        <v>377</v>
      </c>
      <c r="G498" s="35">
        <f>IFERROR(__xludf.DUMMYFUNCTION("""COMPUTED_VALUE"""),588.0)</f>
        <v>588</v>
      </c>
      <c r="H498" s="35" t="str">
        <f>IFERROR(__xludf.DUMMYFUNCTION("""COMPUTED_VALUE"""),"Algorithms")</f>
        <v>Algorithms</v>
      </c>
      <c r="I498" s="35">
        <f>IFERROR(__xludf.DUMMYFUNCTION("""COMPUTED_VALUE"""),0.391)</f>
        <v>0.391</v>
      </c>
      <c r="J498" s="35">
        <f>IFERROR(__xludf.DUMMYFUNCTION("""COMPUTED_VALUE"""),497.0)</f>
        <v>497</v>
      </c>
      <c r="K498" s="35" t="b">
        <f>IFERROR(__xludf.DUMMYFUNCTION("""COMPUTED_VALUE"""),FALSE)</f>
        <v>0</v>
      </c>
      <c r="L498" s="35" t="str">
        <f>IFERROR(__xludf.DUMMYFUNCTION("""COMPUTED_VALUE"""),"Math;Binary Search;Reservoir Sampling;Prefix Sum;Ordered Set;Randomized;")</f>
        <v>Math;Binary Search;Reservoir Sampling;Prefix Sum;Ordered Set;Randomized;</v>
      </c>
      <c r="M498" s="35" t="b">
        <f>IFERROR(__xludf.DUMMYFUNCTION("""COMPUTED_VALUE"""),FALSE)</f>
        <v>0</v>
      </c>
      <c r="N498" s="35" t="b">
        <f>IFERROR(__xludf.DUMMYFUNCTION("""COMPUTED_VALUE"""),FALSE)</f>
        <v>0</v>
      </c>
      <c r="O498" s="35">
        <f>IFERROR(__xludf.DUMMYFUNCTION("""COMPUTED_VALUE"""),39.1204646777404)</f>
        <v>39.12046468</v>
      </c>
      <c r="P498" s="35">
        <f>IFERROR(__xludf.DUMMYFUNCTION("""COMPUTED_VALUE"""),33608.0)</f>
        <v>33608</v>
      </c>
      <c r="Q498" s="35">
        <f>IFERROR(__xludf.DUMMYFUNCTION("""COMPUTED_VALUE"""),85909.0)</f>
        <v>85909</v>
      </c>
    </row>
    <row r="499">
      <c r="A499" s="35">
        <f>IFERROR(__xludf.DUMMYFUNCTION("""COMPUTED_VALUE"""),498.0)</f>
        <v>498</v>
      </c>
      <c r="B499" s="35" t="str">
        <f>IFERROR(__xludf.DUMMYFUNCTION("""COMPUTED_VALUE"""),"Diagonal Traverse")</f>
        <v>Diagonal Traverse</v>
      </c>
      <c r="C499" s="35" t="str">
        <f>IFERROR(__xludf.DUMMYFUNCTION("""COMPUTED_VALUE"""),"diagonal-traverse")</f>
        <v>diagonal-traverse</v>
      </c>
      <c r="D499" s="35" t="b">
        <f>IFERROR(__xludf.DUMMYFUNCTION("""COMPUTED_VALUE"""),FALSE)</f>
        <v>0</v>
      </c>
      <c r="E499" s="35" t="str">
        <f>IFERROR(__xludf.DUMMYFUNCTION("""COMPUTED_VALUE"""),"Medium")</f>
        <v>Medium</v>
      </c>
      <c r="F499" s="35">
        <f>IFERROR(__xludf.DUMMYFUNCTION("""COMPUTED_VALUE"""),2018.0)</f>
        <v>2018</v>
      </c>
      <c r="G499" s="35">
        <f>IFERROR(__xludf.DUMMYFUNCTION("""COMPUTED_VALUE"""),512.0)</f>
        <v>512</v>
      </c>
      <c r="H499" s="35" t="str">
        <f>IFERROR(__xludf.DUMMYFUNCTION("""COMPUTED_VALUE"""),"Algorithms")</f>
        <v>Algorithms</v>
      </c>
      <c r="I499" s="35">
        <f>IFERROR(__xludf.DUMMYFUNCTION("""COMPUTED_VALUE"""),0.56)</f>
        <v>0.56</v>
      </c>
      <c r="J499" s="35">
        <f>IFERROR(__xludf.DUMMYFUNCTION("""COMPUTED_VALUE"""),498.0)</f>
        <v>498</v>
      </c>
      <c r="K499" s="35" t="b">
        <f>IFERROR(__xludf.DUMMYFUNCTION("""COMPUTED_VALUE"""),FALSE)</f>
        <v>0</v>
      </c>
      <c r="L499" s="35" t="str">
        <f>IFERROR(__xludf.DUMMYFUNCTION("""COMPUTED_VALUE"""),"Array;Matrix;Simulation;")</f>
        <v>Array;Matrix;Simulation;</v>
      </c>
      <c r="M499" s="35" t="b">
        <f>IFERROR(__xludf.DUMMYFUNCTION("""COMPUTED_VALUE"""),TRUE)</f>
        <v>1</v>
      </c>
      <c r="N499" s="35" t="b">
        <f>IFERROR(__xludf.DUMMYFUNCTION("""COMPUTED_VALUE"""),FALSE)</f>
        <v>0</v>
      </c>
      <c r="O499" s="35">
        <f>IFERROR(__xludf.DUMMYFUNCTION("""COMPUTED_VALUE"""),55.9792533492182)</f>
        <v>55.97925335</v>
      </c>
      <c r="P499" s="35">
        <f>IFERROR(__xludf.DUMMYFUNCTION("""COMPUTED_VALUE"""),186070.0)</f>
        <v>186070</v>
      </c>
      <c r="Q499" s="35">
        <f>IFERROR(__xludf.DUMMYFUNCTION("""COMPUTED_VALUE"""),332391.0)</f>
        <v>332391</v>
      </c>
    </row>
    <row r="500">
      <c r="A500" s="35">
        <f>IFERROR(__xludf.DUMMYFUNCTION("""COMPUTED_VALUE"""),499.0)</f>
        <v>499</v>
      </c>
      <c r="B500" s="35" t="str">
        <f>IFERROR(__xludf.DUMMYFUNCTION("""COMPUTED_VALUE"""),"The Maze III")</f>
        <v>The Maze III</v>
      </c>
      <c r="C500" s="35" t="str">
        <f>IFERROR(__xludf.DUMMYFUNCTION("""COMPUTED_VALUE"""),"the-maze-iii")</f>
        <v>the-maze-iii</v>
      </c>
      <c r="D500" s="35" t="b">
        <f>IFERROR(__xludf.DUMMYFUNCTION("""COMPUTED_VALUE"""),TRUE)</f>
        <v>1</v>
      </c>
      <c r="E500" s="35" t="str">
        <f>IFERROR(__xludf.DUMMYFUNCTION("""COMPUTED_VALUE"""),"Hard")</f>
        <v>Hard</v>
      </c>
      <c r="F500" s="35">
        <f>IFERROR(__xludf.DUMMYFUNCTION("""COMPUTED_VALUE"""),335.0)</f>
        <v>335</v>
      </c>
      <c r="G500" s="35">
        <f>IFERROR(__xludf.DUMMYFUNCTION("""COMPUTED_VALUE"""),60.0)</f>
        <v>60</v>
      </c>
      <c r="H500" s="35" t="str">
        <f>IFERROR(__xludf.DUMMYFUNCTION("""COMPUTED_VALUE"""),"Algorithms")</f>
        <v>Algorithms</v>
      </c>
      <c r="I500" s="35">
        <f>IFERROR(__xludf.DUMMYFUNCTION("""COMPUTED_VALUE"""),0.449)</f>
        <v>0.449</v>
      </c>
      <c r="J500" s="35">
        <f>IFERROR(__xludf.DUMMYFUNCTION("""COMPUTED_VALUE"""),499.0)</f>
        <v>499</v>
      </c>
      <c r="K500" s="35" t="b">
        <f>IFERROR(__xludf.DUMMYFUNCTION("""COMPUTED_VALUE"""),TRUE)</f>
        <v>1</v>
      </c>
      <c r="L500" s="35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500" s="35" t="b">
        <f>IFERROR(__xludf.DUMMYFUNCTION("""COMPUTED_VALUE"""),FALSE)</f>
        <v>0</v>
      </c>
      <c r="N500" s="35" t="b">
        <f>IFERROR(__xludf.DUMMYFUNCTION("""COMPUTED_VALUE"""),FALSE)</f>
        <v>0</v>
      </c>
      <c r="O500" s="35">
        <f>IFERROR(__xludf.DUMMYFUNCTION("""COMPUTED_VALUE"""),44.8613243270903)</f>
        <v>44.86132433</v>
      </c>
      <c r="P500" s="35">
        <f>IFERROR(__xludf.DUMMYFUNCTION("""COMPUTED_VALUE"""),21917.0)</f>
        <v>21917</v>
      </c>
      <c r="Q500" s="35">
        <f>IFERROR(__xludf.DUMMYFUNCTION("""COMPUTED_VALUE"""),48855.0)</f>
        <v>48855</v>
      </c>
    </row>
    <row r="501">
      <c r="A501" s="35">
        <f>IFERROR(__xludf.DUMMYFUNCTION("""COMPUTED_VALUE"""),500.0)</f>
        <v>500</v>
      </c>
      <c r="B501" s="35" t="str">
        <f>IFERROR(__xludf.DUMMYFUNCTION("""COMPUTED_VALUE"""),"Keyboard Row")</f>
        <v>Keyboard Row</v>
      </c>
      <c r="C501" s="35" t="str">
        <f>IFERROR(__xludf.DUMMYFUNCTION("""COMPUTED_VALUE"""),"keyboard-row")</f>
        <v>keyboard-row</v>
      </c>
      <c r="D501" s="35" t="b">
        <f>IFERROR(__xludf.DUMMYFUNCTION("""COMPUTED_VALUE"""),FALSE)</f>
        <v>0</v>
      </c>
      <c r="E501" s="35" t="str">
        <f>IFERROR(__xludf.DUMMYFUNCTION("""COMPUTED_VALUE"""),"Easy")</f>
        <v>Easy</v>
      </c>
      <c r="F501" s="35">
        <f>IFERROR(__xludf.DUMMYFUNCTION("""COMPUTED_VALUE"""),865.0)</f>
        <v>865</v>
      </c>
      <c r="G501" s="35">
        <f>IFERROR(__xludf.DUMMYFUNCTION("""COMPUTED_VALUE"""),886.0)</f>
        <v>886</v>
      </c>
      <c r="H501" s="35" t="str">
        <f>IFERROR(__xludf.DUMMYFUNCTION("""COMPUTED_VALUE"""),"Algorithms")</f>
        <v>Algorithms</v>
      </c>
      <c r="I501" s="35">
        <f>IFERROR(__xludf.DUMMYFUNCTION("""COMPUTED_VALUE"""),0.678)</f>
        <v>0.678</v>
      </c>
      <c r="J501" s="35">
        <f>IFERROR(__xludf.DUMMYFUNCTION("""COMPUTED_VALUE"""),500.0)</f>
        <v>500</v>
      </c>
      <c r="K501" s="35" t="b">
        <f>IFERROR(__xludf.DUMMYFUNCTION("""COMPUTED_VALUE"""),FALSE)</f>
        <v>0</v>
      </c>
      <c r="L501" s="35" t="str">
        <f>IFERROR(__xludf.DUMMYFUNCTION("""COMPUTED_VALUE"""),"Array;Hash Table;String;")</f>
        <v>Array;Hash Table;String;</v>
      </c>
      <c r="M501" s="35" t="b">
        <f>IFERROR(__xludf.DUMMYFUNCTION("""COMPUTED_VALUE"""),FALSE)</f>
        <v>0</v>
      </c>
      <c r="N501" s="35" t="b">
        <f>IFERROR(__xludf.DUMMYFUNCTION("""COMPUTED_VALUE"""),FALSE)</f>
        <v>0</v>
      </c>
      <c r="O501" s="35">
        <f>IFERROR(__xludf.DUMMYFUNCTION("""COMPUTED_VALUE"""),67.7660845588235)</f>
        <v>67.76608456</v>
      </c>
      <c r="P501" s="35">
        <f>IFERROR(__xludf.DUMMYFUNCTION("""COMPUTED_VALUE"""),147453.0)</f>
        <v>147453</v>
      </c>
      <c r="Q501" s="35">
        <f>IFERROR(__xludf.DUMMYFUNCTION("""COMPUTED_VALUE"""),217594.0)</f>
        <v>217594</v>
      </c>
    </row>
    <row r="502">
      <c r="A502" s="35">
        <f>IFERROR(__xludf.DUMMYFUNCTION("""COMPUTED_VALUE"""),501.0)</f>
        <v>501</v>
      </c>
      <c r="B502" s="35" t="str">
        <f>IFERROR(__xludf.DUMMYFUNCTION("""COMPUTED_VALUE"""),"Find Mode in Binary Search Tree")</f>
        <v>Find Mode in Binary Search Tree</v>
      </c>
      <c r="C502" s="35" t="str">
        <f>IFERROR(__xludf.DUMMYFUNCTION("""COMPUTED_VALUE"""),"find-mode-in-binary-search-tree")</f>
        <v>find-mode-in-binary-search-tree</v>
      </c>
      <c r="D502" s="35" t="b">
        <f>IFERROR(__xludf.DUMMYFUNCTION("""COMPUTED_VALUE"""),FALSE)</f>
        <v>0</v>
      </c>
      <c r="E502" s="35" t="str">
        <f>IFERROR(__xludf.DUMMYFUNCTION("""COMPUTED_VALUE"""),"Easy")</f>
        <v>Easy</v>
      </c>
      <c r="F502" s="35">
        <f>IFERROR(__xludf.DUMMYFUNCTION("""COMPUTED_VALUE"""),1998.0)</f>
        <v>1998</v>
      </c>
      <c r="G502" s="35">
        <f>IFERROR(__xludf.DUMMYFUNCTION("""COMPUTED_VALUE"""),540.0)</f>
        <v>540</v>
      </c>
      <c r="H502" s="35" t="str">
        <f>IFERROR(__xludf.DUMMYFUNCTION("""COMPUTED_VALUE"""),"Algorithms")</f>
        <v>Algorithms</v>
      </c>
      <c r="I502" s="35">
        <f>IFERROR(__xludf.DUMMYFUNCTION("""COMPUTED_VALUE"""),0.468)</f>
        <v>0.468</v>
      </c>
      <c r="J502" s="35">
        <f>IFERROR(__xludf.DUMMYFUNCTION("""COMPUTED_VALUE"""),501.0)</f>
        <v>501</v>
      </c>
      <c r="K502" s="35" t="b">
        <f>IFERROR(__xludf.DUMMYFUNCTION("""COMPUTED_VALUE"""),FALSE)</f>
        <v>0</v>
      </c>
      <c r="L502" s="35" t="str">
        <f>IFERROR(__xludf.DUMMYFUNCTION("""COMPUTED_VALUE"""),"Tree;Depth-First Search;Binary Search Tree;Binary Tree;")</f>
        <v>Tree;Depth-First Search;Binary Search Tree;Binary Tree;</v>
      </c>
      <c r="M502" s="35" t="b">
        <f>IFERROR(__xludf.DUMMYFUNCTION("""COMPUTED_VALUE"""),FALSE)</f>
        <v>0</v>
      </c>
      <c r="N502" s="35" t="b">
        <f>IFERROR(__xludf.DUMMYFUNCTION("""COMPUTED_VALUE"""),FALSE)</f>
        <v>0</v>
      </c>
      <c r="O502" s="35">
        <f>IFERROR(__xludf.DUMMYFUNCTION("""COMPUTED_VALUE"""),46.8415377691144)</f>
        <v>46.84153777</v>
      </c>
      <c r="P502" s="35">
        <f>IFERROR(__xludf.DUMMYFUNCTION("""COMPUTED_VALUE"""),144662.0)</f>
        <v>144662</v>
      </c>
      <c r="Q502" s="35">
        <f>IFERROR(__xludf.DUMMYFUNCTION("""COMPUTED_VALUE"""),308835.0)</f>
        <v>308835</v>
      </c>
    </row>
    <row r="503">
      <c r="A503" s="35">
        <f>IFERROR(__xludf.DUMMYFUNCTION("""COMPUTED_VALUE"""),502.0)</f>
        <v>502</v>
      </c>
      <c r="B503" s="35" t="str">
        <f>IFERROR(__xludf.DUMMYFUNCTION("""COMPUTED_VALUE"""),"IPO")</f>
        <v>IPO</v>
      </c>
      <c r="C503" s="35" t="str">
        <f>IFERROR(__xludf.DUMMYFUNCTION("""COMPUTED_VALUE"""),"ipo")</f>
        <v>ipo</v>
      </c>
      <c r="D503" s="35" t="b">
        <f>IFERROR(__xludf.DUMMYFUNCTION("""COMPUTED_VALUE"""),FALSE)</f>
        <v>0</v>
      </c>
      <c r="E503" s="35" t="str">
        <f>IFERROR(__xludf.DUMMYFUNCTION("""COMPUTED_VALUE"""),"Hard")</f>
        <v>Hard</v>
      </c>
      <c r="F503" s="35">
        <f>IFERROR(__xludf.DUMMYFUNCTION("""COMPUTED_VALUE"""),755.0)</f>
        <v>755</v>
      </c>
      <c r="G503" s="35">
        <f>IFERROR(__xludf.DUMMYFUNCTION("""COMPUTED_VALUE"""),68.0)</f>
        <v>68</v>
      </c>
      <c r="H503" s="35" t="str">
        <f>IFERROR(__xludf.DUMMYFUNCTION("""COMPUTED_VALUE"""),"Algorithms")</f>
        <v>Algorithms</v>
      </c>
      <c r="I503" s="35">
        <f>IFERROR(__xludf.DUMMYFUNCTION("""COMPUTED_VALUE"""),0.438)</f>
        <v>0.438</v>
      </c>
      <c r="J503" s="35">
        <f>IFERROR(__xludf.DUMMYFUNCTION("""COMPUTED_VALUE"""),502.0)</f>
        <v>502</v>
      </c>
      <c r="K503" s="35" t="b">
        <f>IFERROR(__xludf.DUMMYFUNCTION("""COMPUTED_VALUE"""),FALSE)</f>
        <v>0</v>
      </c>
      <c r="L503" s="35" t="str">
        <f>IFERROR(__xludf.DUMMYFUNCTION("""COMPUTED_VALUE"""),"Array;Greedy;Sorting;Heap (Priority Queue);")</f>
        <v>Array;Greedy;Sorting;Heap (Priority Queue);</v>
      </c>
      <c r="M503" s="35" t="b">
        <f>IFERROR(__xludf.DUMMYFUNCTION("""COMPUTED_VALUE"""),TRUE)</f>
        <v>1</v>
      </c>
      <c r="N503" s="35" t="b">
        <f>IFERROR(__xludf.DUMMYFUNCTION("""COMPUTED_VALUE"""),FALSE)</f>
        <v>0</v>
      </c>
      <c r="O503" s="35">
        <f>IFERROR(__xludf.DUMMYFUNCTION("""COMPUTED_VALUE"""),43.8347493388848)</f>
        <v>43.83474934</v>
      </c>
      <c r="P503" s="35">
        <f>IFERROR(__xludf.DUMMYFUNCTION("""COMPUTED_VALUE"""),31162.0)</f>
        <v>31162</v>
      </c>
      <c r="Q503" s="35">
        <f>IFERROR(__xludf.DUMMYFUNCTION("""COMPUTED_VALUE"""),71091.0)</f>
        <v>71091</v>
      </c>
    </row>
    <row r="504">
      <c r="A504" s="35">
        <f>IFERROR(__xludf.DUMMYFUNCTION("""COMPUTED_VALUE"""),503.0)</f>
        <v>503</v>
      </c>
      <c r="B504" s="35" t="str">
        <f>IFERROR(__xludf.DUMMYFUNCTION("""COMPUTED_VALUE"""),"Next Greater Element II")</f>
        <v>Next Greater Element II</v>
      </c>
      <c r="C504" s="35" t="str">
        <f>IFERROR(__xludf.DUMMYFUNCTION("""COMPUTED_VALUE"""),"next-greater-element-ii")</f>
        <v>next-greater-element-ii</v>
      </c>
      <c r="D504" s="35" t="b">
        <f>IFERROR(__xludf.DUMMYFUNCTION("""COMPUTED_VALUE"""),FALSE)</f>
        <v>0</v>
      </c>
      <c r="E504" s="35" t="str">
        <f>IFERROR(__xludf.DUMMYFUNCTION("""COMPUTED_VALUE"""),"Medium")</f>
        <v>Medium</v>
      </c>
      <c r="F504" s="35">
        <f>IFERROR(__xludf.DUMMYFUNCTION("""COMPUTED_VALUE"""),4179.0)</f>
        <v>4179</v>
      </c>
      <c r="G504" s="35">
        <f>IFERROR(__xludf.DUMMYFUNCTION("""COMPUTED_VALUE"""),127.0)</f>
        <v>127</v>
      </c>
      <c r="H504" s="35" t="str">
        <f>IFERROR(__xludf.DUMMYFUNCTION("""COMPUTED_VALUE"""),"Algorithms")</f>
        <v>Algorithms</v>
      </c>
      <c r="I504" s="35">
        <f>IFERROR(__xludf.DUMMYFUNCTION("""COMPUTED_VALUE"""),0.617)</f>
        <v>0.617</v>
      </c>
      <c r="J504" s="35">
        <f>IFERROR(__xludf.DUMMYFUNCTION("""COMPUTED_VALUE"""),503.0)</f>
        <v>503</v>
      </c>
      <c r="K504" s="35" t="b">
        <f>IFERROR(__xludf.DUMMYFUNCTION("""COMPUTED_VALUE"""),FALSE)</f>
        <v>0</v>
      </c>
      <c r="L504" s="35" t="str">
        <f>IFERROR(__xludf.DUMMYFUNCTION("""COMPUTED_VALUE"""),"Array;Stack;Monotonic Stack;")</f>
        <v>Array;Stack;Monotonic Stack;</v>
      </c>
      <c r="M504" s="35" t="b">
        <f>IFERROR(__xludf.DUMMYFUNCTION("""COMPUTED_VALUE"""),TRUE)</f>
        <v>1</v>
      </c>
      <c r="N504" s="35" t="b">
        <f>IFERROR(__xludf.DUMMYFUNCTION("""COMPUTED_VALUE"""),FALSE)</f>
        <v>0</v>
      </c>
      <c r="O504" s="35">
        <f>IFERROR(__xludf.DUMMYFUNCTION("""COMPUTED_VALUE"""),61.7013444156097)</f>
        <v>61.70134442</v>
      </c>
      <c r="P504" s="35">
        <f>IFERROR(__xludf.DUMMYFUNCTION("""COMPUTED_VALUE"""),202798.0)</f>
        <v>202798</v>
      </c>
      <c r="Q504" s="35">
        <f>IFERROR(__xludf.DUMMYFUNCTION("""COMPUTED_VALUE"""),328682.0)</f>
        <v>328682</v>
      </c>
    </row>
    <row r="505">
      <c r="A505" s="35">
        <f>IFERROR(__xludf.DUMMYFUNCTION("""COMPUTED_VALUE"""),504.0)</f>
        <v>504</v>
      </c>
      <c r="B505" s="35" t="str">
        <f>IFERROR(__xludf.DUMMYFUNCTION("""COMPUTED_VALUE"""),"Base 7")</f>
        <v>Base 7</v>
      </c>
      <c r="C505" s="35" t="str">
        <f>IFERROR(__xludf.DUMMYFUNCTION("""COMPUTED_VALUE"""),"base-7")</f>
        <v>base-7</v>
      </c>
      <c r="D505" s="35" t="b">
        <f>IFERROR(__xludf.DUMMYFUNCTION("""COMPUTED_VALUE"""),FALSE)</f>
        <v>0</v>
      </c>
      <c r="E505" s="35" t="str">
        <f>IFERROR(__xludf.DUMMYFUNCTION("""COMPUTED_VALUE"""),"Easy")</f>
        <v>Easy</v>
      </c>
      <c r="F505" s="35">
        <f>IFERROR(__xludf.DUMMYFUNCTION("""COMPUTED_VALUE"""),446.0)</f>
        <v>446</v>
      </c>
      <c r="G505" s="35">
        <f>IFERROR(__xludf.DUMMYFUNCTION("""COMPUTED_VALUE"""),189.0)</f>
        <v>189</v>
      </c>
      <c r="H505" s="35" t="str">
        <f>IFERROR(__xludf.DUMMYFUNCTION("""COMPUTED_VALUE"""),"Algorithms")</f>
        <v>Algorithms</v>
      </c>
      <c r="I505" s="35">
        <f>IFERROR(__xludf.DUMMYFUNCTION("""COMPUTED_VALUE"""),0.474)</f>
        <v>0.474</v>
      </c>
      <c r="J505" s="35">
        <f>IFERROR(__xludf.DUMMYFUNCTION("""COMPUTED_VALUE"""),504.0)</f>
        <v>504</v>
      </c>
      <c r="K505" s="35" t="b">
        <f>IFERROR(__xludf.DUMMYFUNCTION("""COMPUTED_VALUE"""),FALSE)</f>
        <v>0</v>
      </c>
      <c r="L505" s="35" t="str">
        <f>IFERROR(__xludf.DUMMYFUNCTION("""COMPUTED_VALUE"""),"Math;")</f>
        <v>Math;</v>
      </c>
      <c r="M505" s="35" t="b">
        <f>IFERROR(__xludf.DUMMYFUNCTION("""COMPUTED_VALUE"""),FALSE)</f>
        <v>0</v>
      </c>
      <c r="N505" s="35" t="b">
        <f>IFERROR(__xludf.DUMMYFUNCTION("""COMPUTED_VALUE"""),FALSE)</f>
        <v>0</v>
      </c>
      <c r="O505" s="35">
        <f>IFERROR(__xludf.DUMMYFUNCTION("""COMPUTED_VALUE"""),47.3521138011902)</f>
        <v>47.3521138</v>
      </c>
      <c r="P505" s="35">
        <f>IFERROR(__xludf.DUMMYFUNCTION("""COMPUTED_VALUE"""),82986.0)</f>
        <v>82986</v>
      </c>
      <c r="Q505" s="35">
        <f>IFERROR(__xludf.DUMMYFUNCTION("""COMPUTED_VALUE"""),175253.0)</f>
        <v>175253</v>
      </c>
    </row>
    <row r="506">
      <c r="A506" s="35">
        <f>IFERROR(__xludf.DUMMYFUNCTION("""COMPUTED_VALUE"""),505.0)</f>
        <v>505</v>
      </c>
      <c r="B506" s="35" t="str">
        <f>IFERROR(__xludf.DUMMYFUNCTION("""COMPUTED_VALUE"""),"The Maze II")</f>
        <v>The Maze II</v>
      </c>
      <c r="C506" s="35" t="str">
        <f>IFERROR(__xludf.DUMMYFUNCTION("""COMPUTED_VALUE"""),"the-maze-ii")</f>
        <v>the-maze-ii</v>
      </c>
      <c r="D506" s="35" t="b">
        <f>IFERROR(__xludf.DUMMYFUNCTION("""COMPUTED_VALUE"""),TRUE)</f>
        <v>1</v>
      </c>
      <c r="E506" s="35" t="str">
        <f>IFERROR(__xludf.DUMMYFUNCTION("""COMPUTED_VALUE"""),"Medium")</f>
        <v>Medium</v>
      </c>
      <c r="F506" s="35">
        <f>IFERROR(__xludf.DUMMYFUNCTION("""COMPUTED_VALUE"""),1000.0)</f>
        <v>1000</v>
      </c>
      <c r="G506" s="35">
        <f>IFERROR(__xludf.DUMMYFUNCTION("""COMPUTED_VALUE"""),45.0)</f>
        <v>45</v>
      </c>
      <c r="H506" s="35" t="str">
        <f>IFERROR(__xludf.DUMMYFUNCTION("""COMPUTED_VALUE"""),"Algorithms")</f>
        <v>Algorithms</v>
      </c>
      <c r="I506" s="35">
        <f>IFERROR(__xludf.DUMMYFUNCTION("""COMPUTED_VALUE"""),0.511)</f>
        <v>0.511</v>
      </c>
      <c r="J506" s="35">
        <f>IFERROR(__xludf.DUMMYFUNCTION("""COMPUTED_VALUE"""),505.0)</f>
        <v>505</v>
      </c>
      <c r="K506" s="35" t="b">
        <f>IFERROR(__xludf.DUMMYFUNCTION("""COMPUTED_VALUE"""),TRUE)</f>
        <v>1</v>
      </c>
      <c r="L506" s="35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506" s="35" t="b">
        <f>IFERROR(__xludf.DUMMYFUNCTION("""COMPUTED_VALUE"""),TRUE)</f>
        <v>1</v>
      </c>
      <c r="N506" s="35" t="b">
        <f>IFERROR(__xludf.DUMMYFUNCTION("""COMPUTED_VALUE"""),FALSE)</f>
        <v>0</v>
      </c>
      <c r="O506" s="35">
        <f>IFERROR(__xludf.DUMMYFUNCTION("""COMPUTED_VALUE"""),51.1158321349195)</f>
        <v>51.11583213</v>
      </c>
      <c r="P506" s="35">
        <f>IFERROR(__xludf.DUMMYFUNCTION("""COMPUTED_VALUE"""),78197.0)</f>
        <v>78197</v>
      </c>
      <c r="Q506" s="35">
        <f>IFERROR(__xludf.DUMMYFUNCTION("""COMPUTED_VALUE"""),152980.0)</f>
        <v>152980</v>
      </c>
    </row>
    <row r="507">
      <c r="A507" s="35">
        <f>IFERROR(__xludf.DUMMYFUNCTION("""COMPUTED_VALUE"""),506.0)</f>
        <v>506</v>
      </c>
      <c r="B507" s="35" t="str">
        <f>IFERROR(__xludf.DUMMYFUNCTION("""COMPUTED_VALUE"""),"Relative Ranks")</f>
        <v>Relative Ranks</v>
      </c>
      <c r="C507" s="35" t="str">
        <f>IFERROR(__xludf.DUMMYFUNCTION("""COMPUTED_VALUE"""),"relative-ranks")</f>
        <v>relative-ranks</v>
      </c>
      <c r="D507" s="35" t="b">
        <f>IFERROR(__xludf.DUMMYFUNCTION("""COMPUTED_VALUE"""),FALSE)</f>
        <v>0</v>
      </c>
      <c r="E507" s="35" t="str">
        <f>IFERROR(__xludf.DUMMYFUNCTION("""COMPUTED_VALUE"""),"Easy")</f>
        <v>Easy</v>
      </c>
      <c r="F507" s="35">
        <f>IFERROR(__xludf.DUMMYFUNCTION("""COMPUTED_VALUE"""),402.0)</f>
        <v>402</v>
      </c>
      <c r="G507" s="35">
        <f>IFERROR(__xludf.DUMMYFUNCTION("""COMPUTED_VALUE"""),23.0)</f>
        <v>23</v>
      </c>
      <c r="H507" s="35" t="str">
        <f>IFERROR(__xludf.DUMMYFUNCTION("""COMPUTED_VALUE"""),"Algorithms")</f>
        <v>Algorithms</v>
      </c>
      <c r="I507" s="35">
        <f>IFERROR(__xludf.DUMMYFUNCTION("""COMPUTED_VALUE"""),0.561)</f>
        <v>0.561</v>
      </c>
      <c r="J507" s="35">
        <f>IFERROR(__xludf.DUMMYFUNCTION("""COMPUTED_VALUE"""),506.0)</f>
        <v>506</v>
      </c>
      <c r="K507" s="35" t="b">
        <f>IFERROR(__xludf.DUMMYFUNCTION("""COMPUTED_VALUE"""),FALSE)</f>
        <v>0</v>
      </c>
      <c r="L507" s="35" t="str">
        <f>IFERROR(__xludf.DUMMYFUNCTION("""COMPUTED_VALUE"""),"Array;Sorting;Heap (Priority Queue);")</f>
        <v>Array;Sorting;Heap (Priority Queue);</v>
      </c>
      <c r="M507" s="35" t="b">
        <f>IFERROR(__xludf.DUMMYFUNCTION("""COMPUTED_VALUE"""),FALSE)</f>
        <v>0</v>
      </c>
      <c r="N507" s="35" t="b">
        <f>IFERROR(__xludf.DUMMYFUNCTION("""COMPUTED_VALUE"""),FALSE)</f>
        <v>0</v>
      </c>
      <c r="O507" s="35">
        <f>IFERROR(__xludf.DUMMYFUNCTION("""COMPUTED_VALUE"""),56.093849248359)</f>
        <v>56.09384925</v>
      </c>
      <c r="P507" s="35">
        <f>IFERROR(__xludf.DUMMYFUNCTION("""COMPUTED_VALUE"""),84777.0)</f>
        <v>84777</v>
      </c>
      <c r="Q507" s="35">
        <f>IFERROR(__xludf.DUMMYFUNCTION("""COMPUTED_VALUE"""),151132.0)</f>
        <v>151132</v>
      </c>
    </row>
    <row r="508">
      <c r="A508" s="35">
        <f>IFERROR(__xludf.DUMMYFUNCTION("""COMPUTED_VALUE"""),507.0)</f>
        <v>507</v>
      </c>
      <c r="B508" s="35" t="str">
        <f>IFERROR(__xludf.DUMMYFUNCTION("""COMPUTED_VALUE"""),"Perfect Number")</f>
        <v>Perfect Number</v>
      </c>
      <c r="C508" s="35" t="str">
        <f>IFERROR(__xludf.DUMMYFUNCTION("""COMPUTED_VALUE"""),"perfect-number")</f>
        <v>perfect-number</v>
      </c>
      <c r="D508" s="35" t="b">
        <f>IFERROR(__xludf.DUMMYFUNCTION("""COMPUTED_VALUE"""),FALSE)</f>
        <v>0</v>
      </c>
      <c r="E508" s="35" t="str">
        <f>IFERROR(__xludf.DUMMYFUNCTION("""COMPUTED_VALUE"""),"Easy")</f>
        <v>Easy</v>
      </c>
      <c r="F508" s="35">
        <f>IFERROR(__xludf.DUMMYFUNCTION("""COMPUTED_VALUE"""),529.0)</f>
        <v>529</v>
      </c>
      <c r="G508" s="35">
        <f>IFERROR(__xludf.DUMMYFUNCTION("""COMPUTED_VALUE"""),824.0)</f>
        <v>824</v>
      </c>
      <c r="H508" s="35" t="str">
        <f>IFERROR(__xludf.DUMMYFUNCTION("""COMPUTED_VALUE"""),"Algorithms")</f>
        <v>Algorithms</v>
      </c>
      <c r="I508" s="35">
        <f>IFERROR(__xludf.DUMMYFUNCTION("""COMPUTED_VALUE"""),0.375)</f>
        <v>0.375</v>
      </c>
      <c r="J508" s="35">
        <f>IFERROR(__xludf.DUMMYFUNCTION("""COMPUTED_VALUE"""),507.0)</f>
        <v>507</v>
      </c>
      <c r="K508" s="35" t="b">
        <f>IFERROR(__xludf.DUMMYFUNCTION("""COMPUTED_VALUE"""),FALSE)</f>
        <v>0</v>
      </c>
      <c r="L508" s="35" t="str">
        <f>IFERROR(__xludf.DUMMYFUNCTION("""COMPUTED_VALUE"""),"Math;")</f>
        <v>Math;</v>
      </c>
      <c r="M508" s="35" t="b">
        <f>IFERROR(__xludf.DUMMYFUNCTION("""COMPUTED_VALUE"""),TRUE)</f>
        <v>1</v>
      </c>
      <c r="N508" s="35" t="b">
        <f>IFERROR(__xludf.DUMMYFUNCTION("""COMPUTED_VALUE"""),FALSE)</f>
        <v>0</v>
      </c>
      <c r="O508" s="35">
        <f>IFERROR(__xludf.DUMMYFUNCTION("""COMPUTED_VALUE"""),37.5300818985609)</f>
        <v>37.5300819</v>
      </c>
      <c r="P508" s="35">
        <f>IFERROR(__xludf.DUMMYFUNCTION("""COMPUTED_VALUE"""),99028.0)</f>
        <v>99028</v>
      </c>
      <c r="Q508" s="35">
        <f>IFERROR(__xludf.DUMMYFUNCTION("""COMPUTED_VALUE"""),263863.0)</f>
        <v>263863</v>
      </c>
    </row>
    <row r="509">
      <c r="A509" s="35">
        <f>IFERROR(__xludf.DUMMYFUNCTION("""COMPUTED_VALUE"""),508.0)</f>
        <v>508</v>
      </c>
      <c r="B509" s="35" t="str">
        <f>IFERROR(__xludf.DUMMYFUNCTION("""COMPUTED_VALUE"""),"Most Frequent Subtree Sum")</f>
        <v>Most Frequent Subtree Sum</v>
      </c>
      <c r="C509" s="35" t="str">
        <f>IFERROR(__xludf.DUMMYFUNCTION("""COMPUTED_VALUE"""),"most-frequent-subtree-sum")</f>
        <v>most-frequent-subtree-sum</v>
      </c>
      <c r="D509" s="35" t="b">
        <f>IFERROR(__xludf.DUMMYFUNCTION("""COMPUTED_VALUE"""),FALSE)</f>
        <v>0</v>
      </c>
      <c r="E509" s="35" t="str">
        <f>IFERROR(__xludf.DUMMYFUNCTION("""COMPUTED_VALUE"""),"Medium")</f>
        <v>Medium</v>
      </c>
      <c r="F509" s="35">
        <f>IFERROR(__xludf.DUMMYFUNCTION("""COMPUTED_VALUE"""),1409.0)</f>
        <v>1409</v>
      </c>
      <c r="G509" s="35">
        <f>IFERROR(__xludf.DUMMYFUNCTION("""COMPUTED_VALUE"""),211.0)</f>
        <v>211</v>
      </c>
      <c r="H509" s="35" t="str">
        <f>IFERROR(__xludf.DUMMYFUNCTION("""COMPUTED_VALUE"""),"Algorithms")</f>
        <v>Algorithms</v>
      </c>
      <c r="I509" s="35">
        <f>IFERROR(__xludf.DUMMYFUNCTION("""COMPUTED_VALUE"""),0.624)</f>
        <v>0.624</v>
      </c>
      <c r="J509" s="35">
        <f>IFERROR(__xludf.DUMMYFUNCTION("""COMPUTED_VALUE"""),508.0)</f>
        <v>508</v>
      </c>
      <c r="K509" s="35" t="b">
        <f>IFERROR(__xludf.DUMMYFUNCTION("""COMPUTED_VALUE"""),FALSE)</f>
        <v>0</v>
      </c>
      <c r="L509" s="35" t="str">
        <f>IFERROR(__xludf.DUMMYFUNCTION("""COMPUTED_VALUE"""),"Hash Table;Tree;Depth-First Search;Binary Tree;")</f>
        <v>Hash Table;Tree;Depth-First Search;Binary Tree;</v>
      </c>
      <c r="M509" s="35" t="b">
        <f>IFERROR(__xludf.DUMMYFUNCTION("""COMPUTED_VALUE"""),FALSE)</f>
        <v>0</v>
      </c>
      <c r="N509" s="35" t="b">
        <f>IFERROR(__xludf.DUMMYFUNCTION("""COMPUTED_VALUE"""),FALSE)</f>
        <v>0</v>
      </c>
      <c r="O509" s="35">
        <f>IFERROR(__xludf.DUMMYFUNCTION("""COMPUTED_VALUE"""),62.4226575870363)</f>
        <v>62.42265759</v>
      </c>
      <c r="P509" s="35">
        <f>IFERROR(__xludf.DUMMYFUNCTION("""COMPUTED_VALUE"""),104315.0)</f>
        <v>104315</v>
      </c>
      <c r="Q509" s="35">
        <f>IFERROR(__xludf.DUMMYFUNCTION("""COMPUTED_VALUE"""),167111.0)</f>
        <v>167111</v>
      </c>
    </row>
    <row r="510">
      <c r="A510" s="35">
        <f>IFERROR(__xludf.DUMMYFUNCTION("""COMPUTED_VALUE"""),1013.0)</f>
        <v>1013</v>
      </c>
      <c r="B510" s="35" t="str">
        <f>IFERROR(__xludf.DUMMYFUNCTION("""COMPUTED_VALUE"""),"Fibonacci Number")</f>
        <v>Fibonacci Number</v>
      </c>
      <c r="C510" s="35" t="str">
        <f>IFERROR(__xludf.DUMMYFUNCTION("""COMPUTED_VALUE"""),"fibonacci-number")</f>
        <v>fibonacci-number</v>
      </c>
      <c r="D510" s="35" t="b">
        <f>IFERROR(__xludf.DUMMYFUNCTION("""COMPUTED_VALUE"""),FALSE)</f>
        <v>0</v>
      </c>
      <c r="E510" s="35" t="str">
        <f>IFERROR(__xludf.DUMMYFUNCTION("""COMPUTED_VALUE"""),"Easy")</f>
        <v>Easy</v>
      </c>
      <c r="F510" s="35">
        <f>IFERROR(__xludf.DUMMYFUNCTION("""COMPUTED_VALUE"""),3084.0)</f>
        <v>3084</v>
      </c>
      <c r="G510" s="35">
        <f>IFERROR(__xludf.DUMMYFUNCTION("""COMPUTED_VALUE"""),256.0)</f>
        <v>256</v>
      </c>
      <c r="H510" s="35" t="str">
        <f>IFERROR(__xludf.DUMMYFUNCTION("""COMPUTED_VALUE"""),"Algorithms")</f>
        <v>Algorithms</v>
      </c>
      <c r="I510" s="35">
        <f>IFERROR(__xludf.DUMMYFUNCTION("""COMPUTED_VALUE"""),0.681)</f>
        <v>0.681</v>
      </c>
      <c r="J510" s="35">
        <f>IFERROR(__xludf.DUMMYFUNCTION("""COMPUTED_VALUE"""),509.0)</f>
        <v>509</v>
      </c>
      <c r="K510" s="35" t="b">
        <f>IFERROR(__xludf.DUMMYFUNCTION("""COMPUTED_VALUE"""),FALSE)</f>
        <v>0</v>
      </c>
      <c r="L510" s="35" t="str">
        <f>IFERROR(__xludf.DUMMYFUNCTION("""COMPUTED_VALUE"""),"Math;Dynamic Programming;Recursion;Memoization;")</f>
        <v>Math;Dynamic Programming;Recursion;Memoization;</v>
      </c>
      <c r="M510" s="35" t="b">
        <f>IFERROR(__xludf.DUMMYFUNCTION("""COMPUTED_VALUE"""),TRUE)</f>
        <v>1</v>
      </c>
      <c r="N510" s="35" t="b">
        <f>IFERROR(__xludf.DUMMYFUNCTION("""COMPUTED_VALUE"""),FALSE)</f>
        <v>0</v>
      </c>
      <c r="O510" s="35">
        <f>IFERROR(__xludf.DUMMYFUNCTION("""COMPUTED_VALUE"""),68.0878527452254)</f>
        <v>68.08785275</v>
      </c>
      <c r="P510" s="35">
        <f>IFERROR(__xludf.DUMMYFUNCTION("""COMPUTED_VALUE"""),689399.0)</f>
        <v>689399</v>
      </c>
      <c r="Q510" s="35">
        <f>IFERROR(__xludf.DUMMYFUNCTION("""COMPUTED_VALUE"""),1012518.0)</f>
        <v>1012518</v>
      </c>
    </row>
    <row r="511">
      <c r="A511" s="35">
        <f>IFERROR(__xludf.DUMMYFUNCTION("""COMPUTED_VALUE"""),509.0)</f>
        <v>509</v>
      </c>
      <c r="B511" s="35" t="str">
        <f>IFERROR(__xludf.DUMMYFUNCTION("""COMPUTED_VALUE"""),"Inorder Successor in BST II")</f>
        <v>Inorder Successor in BST II</v>
      </c>
      <c r="C511" s="35" t="str">
        <f>IFERROR(__xludf.DUMMYFUNCTION("""COMPUTED_VALUE"""),"inorder-successor-in-bst-ii")</f>
        <v>inorder-successor-in-bst-ii</v>
      </c>
      <c r="D511" s="35" t="b">
        <f>IFERROR(__xludf.DUMMYFUNCTION("""COMPUTED_VALUE"""),TRUE)</f>
        <v>1</v>
      </c>
      <c r="E511" s="35" t="str">
        <f>IFERROR(__xludf.DUMMYFUNCTION("""COMPUTED_VALUE"""),"Medium")</f>
        <v>Medium</v>
      </c>
      <c r="F511" s="35">
        <f>IFERROR(__xludf.DUMMYFUNCTION("""COMPUTED_VALUE"""),640.0)</f>
        <v>640</v>
      </c>
      <c r="G511" s="35">
        <f>IFERROR(__xludf.DUMMYFUNCTION("""COMPUTED_VALUE"""),34.0)</f>
        <v>34</v>
      </c>
      <c r="H511" s="35" t="str">
        <f>IFERROR(__xludf.DUMMYFUNCTION("""COMPUTED_VALUE"""),"Algorithms")</f>
        <v>Algorithms</v>
      </c>
      <c r="I511" s="35">
        <f>IFERROR(__xludf.DUMMYFUNCTION("""COMPUTED_VALUE"""),0.615)</f>
        <v>0.615</v>
      </c>
      <c r="J511" s="35">
        <f>IFERROR(__xludf.DUMMYFUNCTION("""COMPUTED_VALUE"""),510.0)</f>
        <v>510</v>
      </c>
      <c r="K511" s="35" t="b">
        <f>IFERROR(__xludf.DUMMYFUNCTION("""COMPUTED_VALUE"""),TRUE)</f>
        <v>1</v>
      </c>
      <c r="L511" s="35" t="str">
        <f>IFERROR(__xludf.DUMMYFUNCTION("""COMPUTED_VALUE"""),"Tree;Binary Search Tree;Binary Tree;")</f>
        <v>Tree;Binary Search Tree;Binary Tree;</v>
      </c>
      <c r="M511" s="35" t="b">
        <f>IFERROR(__xludf.DUMMYFUNCTION("""COMPUTED_VALUE"""),TRUE)</f>
        <v>1</v>
      </c>
      <c r="N511" s="35" t="b">
        <f>IFERROR(__xludf.DUMMYFUNCTION("""COMPUTED_VALUE"""),FALSE)</f>
        <v>0</v>
      </c>
      <c r="O511" s="35">
        <f>IFERROR(__xludf.DUMMYFUNCTION("""COMPUTED_VALUE"""),61.4877627295744)</f>
        <v>61.48776273</v>
      </c>
      <c r="P511" s="35">
        <f>IFERROR(__xludf.DUMMYFUNCTION("""COMPUTED_VALUE"""),45899.0)</f>
        <v>45899</v>
      </c>
      <c r="Q511" s="35">
        <f>IFERROR(__xludf.DUMMYFUNCTION("""COMPUTED_VALUE"""),74648.0)</f>
        <v>74648</v>
      </c>
    </row>
    <row r="512">
      <c r="A512" s="35">
        <f>IFERROR(__xludf.DUMMYFUNCTION("""COMPUTED_VALUE"""),1179.0)</f>
        <v>1179</v>
      </c>
      <c r="B512" s="35" t="str">
        <f>IFERROR(__xludf.DUMMYFUNCTION("""COMPUTED_VALUE"""),"Game Play Analysis I")</f>
        <v>Game Play Analysis I</v>
      </c>
      <c r="C512" s="35" t="str">
        <f>IFERROR(__xludf.DUMMYFUNCTION("""COMPUTED_VALUE"""),"game-play-analysis-i")</f>
        <v>game-play-analysis-i</v>
      </c>
      <c r="D512" s="35" t="b">
        <f>IFERROR(__xludf.DUMMYFUNCTION("""COMPUTED_VALUE"""),TRUE)</f>
        <v>1</v>
      </c>
      <c r="E512" s="35" t="str">
        <f>IFERROR(__xludf.DUMMYFUNCTION("""COMPUTED_VALUE"""),"Easy")</f>
        <v>Easy</v>
      </c>
      <c r="F512" s="35">
        <f>IFERROR(__xludf.DUMMYFUNCTION("""COMPUTED_VALUE"""),123.0)</f>
        <v>123</v>
      </c>
      <c r="G512" s="35">
        <f>IFERROR(__xludf.DUMMYFUNCTION("""COMPUTED_VALUE"""),8.0)</f>
        <v>8</v>
      </c>
      <c r="H512" s="35" t="str">
        <f>IFERROR(__xludf.DUMMYFUNCTION("""COMPUTED_VALUE"""),"Database")</f>
        <v>Database</v>
      </c>
      <c r="I512" s="35">
        <f>IFERROR(__xludf.DUMMYFUNCTION("""COMPUTED_VALUE"""),0.809)</f>
        <v>0.809</v>
      </c>
      <c r="J512" s="35">
        <f>IFERROR(__xludf.DUMMYFUNCTION("""COMPUTED_VALUE"""),511.0)</f>
        <v>511</v>
      </c>
      <c r="K512" s="35" t="b">
        <f>IFERROR(__xludf.DUMMYFUNCTION("""COMPUTED_VALUE"""),TRUE)</f>
        <v>1</v>
      </c>
      <c r="L512" s="35" t="str">
        <f>IFERROR(__xludf.DUMMYFUNCTION("""COMPUTED_VALUE"""),"Database;")</f>
        <v>Database;</v>
      </c>
      <c r="M512" s="35" t="b">
        <f>IFERROR(__xludf.DUMMYFUNCTION("""COMPUTED_VALUE"""),FALSE)</f>
        <v>0</v>
      </c>
      <c r="N512" s="35" t="b">
        <f>IFERROR(__xludf.DUMMYFUNCTION("""COMPUTED_VALUE"""),FALSE)</f>
        <v>0</v>
      </c>
      <c r="O512" s="35">
        <f>IFERROR(__xludf.DUMMYFUNCTION("""COMPUTED_VALUE"""),80.8666895082602)</f>
        <v>80.86668951</v>
      </c>
      <c r="P512" s="35">
        <f>IFERROR(__xludf.DUMMYFUNCTION("""COMPUTED_VALUE"""),54285.0)</f>
        <v>54285</v>
      </c>
      <c r="Q512" s="35">
        <f>IFERROR(__xludf.DUMMYFUNCTION("""COMPUTED_VALUE"""),67129.0)</f>
        <v>67129</v>
      </c>
    </row>
    <row r="513">
      <c r="A513" s="35">
        <f>IFERROR(__xludf.DUMMYFUNCTION("""COMPUTED_VALUE"""),1180.0)</f>
        <v>1180</v>
      </c>
      <c r="B513" s="35" t="str">
        <f>IFERROR(__xludf.DUMMYFUNCTION("""COMPUTED_VALUE"""),"Game Play Analysis II")</f>
        <v>Game Play Analysis II</v>
      </c>
      <c r="C513" s="35" t="str">
        <f>IFERROR(__xludf.DUMMYFUNCTION("""COMPUTED_VALUE"""),"game-play-analysis-ii")</f>
        <v>game-play-analysis-ii</v>
      </c>
      <c r="D513" s="35" t="b">
        <f>IFERROR(__xludf.DUMMYFUNCTION("""COMPUTED_VALUE"""),TRUE)</f>
        <v>1</v>
      </c>
      <c r="E513" s="35" t="str">
        <f>IFERROR(__xludf.DUMMYFUNCTION("""COMPUTED_VALUE"""),"Easy")</f>
        <v>Easy</v>
      </c>
      <c r="F513" s="35">
        <f>IFERROR(__xludf.DUMMYFUNCTION("""COMPUTED_VALUE"""),160.0)</f>
        <v>160</v>
      </c>
      <c r="G513" s="35">
        <f>IFERROR(__xludf.DUMMYFUNCTION("""COMPUTED_VALUE"""),26.0)</f>
        <v>26</v>
      </c>
      <c r="H513" s="35" t="str">
        <f>IFERROR(__xludf.DUMMYFUNCTION("""COMPUTED_VALUE"""),"Database")</f>
        <v>Database</v>
      </c>
      <c r="I513" s="35">
        <f>IFERROR(__xludf.DUMMYFUNCTION("""COMPUTED_VALUE"""),0.545)</f>
        <v>0.545</v>
      </c>
      <c r="J513" s="35">
        <f>IFERROR(__xludf.DUMMYFUNCTION("""COMPUTED_VALUE"""),512.0)</f>
        <v>512</v>
      </c>
      <c r="K513" s="35" t="b">
        <f>IFERROR(__xludf.DUMMYFUNCTION("""COMPUTED_VALUE"""),TRUE)</f>
        <v>1</v>
      </c>
      <c r="L513" s="35" t="str">
        <f>IFERROR(__xludf.DUMMYFUNCTION("""COMPUTED_VALUE"""),"Database;")</f>
        <v>Database;</v>
      </c>
      <c r="M513" s="35" t="b">
        <f>IFERROR(__xludf.DUMMYFUNCTION("""COMPUTED_VALUE"""),FALSE)</f>
        <v>0</v>
      </c>
      <c r="N513" s="35" t="b">
        <f>IFERROR(__xludf.DUMMYFUNCTION("""COMPUTED_VALUE"""),FALSE)</f>
        <v>0</v>
      </c>
      <c r="O513" s="35">
        <f>IFERROR(__xludf.DUMMYFUNCTION("""COMPUTED_VALUE"""),54.4597666638071)</f>
        <v>54.45976666</v>
      </c>
      <c r="P513" s="35">
        <f>IFERROR(__xludf.DUMMYFUNCTION("""COMPUTED_VALUE"""),50783.0)</f>
        <v>50783</v>
      </c>
      <c r="Q513" s="35">
        <f>IFERROR(__xludf.DUMMYFUNCTION("""COMPUTED_VALUE"""),93250.0)</f>
        <v>93250</v>
      </c>
    </row>
    <row r="514">
      <c r="A514" s="35">
        <f>IFERROR(__xludf.DUMMYFUNCTION("""COMPUTED_VALUE"""),513.0)</f>
        <v>513</v>
      </c>
      <c r="B514" s="35" t="str">
        <f>IFERROR(__xludf.DUMMYFUNCTION("""COMPUTED_VALUE"""),"Find Bottom Left Tree Value")</f>
        <v>Find Bottom Left Tree Value</v>
      </c>
      <c r="C514" s="35" t="str">
        <f>IFERROR(__xludf.DUMMYFUNCTION("""COMPUTED_VALUE"""),"find-bottom-left-tree-value")</f>
        <v>find-bottom-left-tree-value</v>
      </c>
      <c r="D514" s="35" t="b">
        <f>IFERROR(__xludf.DUMMYFUNCTION("""COMPUTED_VALUE"""),FALSE)</f>
        <v>0</v>
      </c>
      <c r="E514" s="35" t="str">
        <f>IFERROR(__xludf.DUMMYFUNCTION("""COMPUTED_VALUE"""),"Medium")</f>
        <v>Medium</v>
      </c>
      <c r="F514" s="35">
        <f>IFERROR(__xludf.DUMMYFUNCTION("""COMPUTED_VALUE"""),1981.0)</f>
        <v>1981</v>
      </c>
      <c r="G514" s="35">
        <f>IFERROR(__xludf.DUMMYFUNCTION("""COMPUTED_VALUE"""),207.0)</f>
        <v>207</v>
      </c>
      <c r="H514" s="35" t="str">
        <f>IFERROR(__xludf.DUMMYFUNCTION("""COMPUTED_VALUE"""),"Algorithms")</f>
        <v>Algorithms</v>
      </c>
      <c r="I514" s="35">
        <f>IFERROR(__xludf.DUMMYFUNCTION("""COMPUTED_VALUE"""),0.649)</f>
        <v>0.649</v>
      </c>
      <c r="J514" s="35">
        <f>IFERROR(__xludf.DUMMYFUNCTION("""COMPUTED_VALUE"""),513.0)</f>
        <v>513</v>
      </c>
      <c r="K514" s="35" t="b">
        <f>IFERROR(__xludf.DUMMYFUNCTION("""COMPUTED_VALUE"""),FALSE)</f>
        <v>0</v>
      </c>
      <c r="L514" s="35" t="str">
        <f>IFERROR(__xludf.DUMMYFUNCTION("""COMPUTED_VALUE"""),"Tree;Depth-First Search;Breadth-First Search;Binary Tree;")</f>
        <v>Tree;Depth-First Search;Breadth-First Search;Binary Tree;</v>
      </c>
      <c r="M514" s="35" t="b">
        <f>IFERROR(__xludf.DUMMYFUNCTION("""COMPUTED_VALUE"""),FALSE)</f>
        <v>0</v>
      </c>
      <c r="N514" s="35" t="b">
        <f>IFERROR(__xludf.DUMMYFUNCTION("""COMPUTED_VALUE"""),FALSE)</f>
        <v>0</v>
      </c>
      <c r="O514" s="35">
        <f>IFERROR(__xludf.DUMMYFUNCTION("""COMPUTED_VALUE"""),64.9364319407405)</f>
        <v>64.93643194</v>
      </c>
      <c r="P514" s="35">
        <f>IFERROR(__xludf.DUMMYFUNCTION("""COMPUTED_VALUE"""),165331.0)</f>
        <v>165331</v>
      </c>
      <c r="Q514" s="35">
        <f>IFERROR(__xludf.DUMMYFUNCTION("""COMPUTED_VALUE"""),254606.0)</f>
        <v>254606</v>
      </c>
    </row>
    <row r="515">
      <c r="A515" s="35">
        <f>IFERROR(__xludf.DUMMYFUNCTION("""COMPUTED_VALUE"""),514.0)</f>
        <v>514</v>
      </c>
      <c r="B515" s="35" t="str">
        <f>IFERROR(__xludf.DUMMYFUNCTION("""COMPUTED_VALUE"""),"Freedom Trail")</f>
        <v>Freedom Trail</v>
      </c>
      <c r="C515" s="35" t="str">
        <f>IFERROR(__xludf.DUMMYFUNCTION("""COMPUTED_VALUE"""),"freedom-trail")</f>
        <v>freedom-trail</v>
      </c>
      <c r="D515" s="35" t="b">
        <f>IFERROR(__xludf.DUMMYFUNCTION("""COMPUTED_VALUE"""),FALSE)</f>
        <v>0</v>
      </c>
      <c r="E515" s="35" t="str">
        <f>IFERROR(__xludf.DUMMYFUNCTION("""COMPUTED_VALUE"""),"Hard")</f>
        <v>Hard</v>
      </c>
      <c r="F515" s="35">
        <f>IFERROR(__xludf.DUMMYFUNCTION("""COMPUTED_VALUE"""),665.0)</f>
        <v>665</v>
      </c>
      <c r="G515" s="35">
        <f>IFERROR(__xludf.DUMMYFUNCTION("""COMPUTED_VALUE"""),31.0)</f>
        <v>31</v>
      </c>
      <c r="H515" s="35" t="str">
        <f>IFERROR(__xludf.DUMMYFUNCTION("""COMPUTED_VALUE"""),"Algorithms")</f>
        <v>Algorithms</v>
      </c>
      <c r="I515" s="35">
        <f>IFERROR(__xludf.DUMMYFUNCTION("""COMPUTED_VALUE"""),0.46)</f>
        <v>0.46</v>
      </c>
      <c r="J515" s="35">
        <f>IFERROR(__xludf.DUMMYFUNCTION("""COMPUTED_VALUE"""),514.0)</f>
        <v>514</v>
      </c>
      <c r="K515" s="35" t="b">
        <f>IFERROR(__xludf.DUMMYFUNCTION("""COMPUTED_VALUE"""),FALSE)</f>
        <v>0</v>
      </c>
      <c r="L515" s="35" t="str">
        <f>IFERROR(__xludf.DUMMYFUNCTION("""COMPUTED_VALUE"""),"String;Dynamic Programming;Depth-First Search;Breadth-First Search;")</f>
        <v>String;Dynamic Programming;Depth-First Search;Breadth-First Search;</v>
      </c>
      <c r="M515" s="35" t="b">
        <f>IFERROR(__xludf.DUMMYFUNCTION("""COMPUTED_VALUE"""),FALSE)</f>
        <v>0</v>
      </c>
      <c r="N515" s="35" t="b">
        <f>IFERROR(__xludf.DUMMYFUNCTION("""COMPUTED_VALUE"""),FALSE)</f>
        <v>0</v>
      </c>
      <c r="O515" s="35">
        <f>IFERROR(__xludf.DUMMYFUNCTION("""COMPUTED_VALUE"""),46.0223537146614)</f>
        <v>46.02235371</v>
      </c>
      <c r="P515" s="35">
        <f>IFERROR(__xludf.DUMMYFUNCTION("""COMPUTED_VALUE"""),26600.0)</f>
        <v>26600</v>
      </c>
      <c r="Q515" s="35">
        <f>IFERROR(__xludf.DUMMYFUNCTION("""COMPUTED_VALUE"""),57798.0)</f>
        <v>57798</v>
      </c>
    </row>
    <row r="516">
      <c r="A516" s="35">
        <f>IFERROR(__xludf.DUMMYFUNCTION("""COMPUTED_VALUE"""),515.0)</f>
        <v>515</v>
      </c>
      <c r="B516" s="35" t="str">
        <f>IFERROR(__xludf.DUMMYFUNCTION("""COMPUTED_VALUE"""),"Find Largest Value in Each Tree Row")</f>
        <v>Find Largest Value in Each Tree Row</v>
      </c>
      <c r="C516" s="35" t="str">
        <f>IFERROR(__xludf.DUMMYFUNCTION("""COMPUTED_VALUE"""),"find-largest-value-in-each-tree-row")</f>
        <v>find-largest-value-in-each-tree-row</v>
      </c>
      <c r="D516" s="35" t="b">
        <f>IFERROR(__xludf.DUMMYFUNCTION("""COMPUTED_VALUE"""),FALSE)</f>
        <v>0</v>
      </c>
      <c r="E516" s="35" t="str">
        <f>IFERROR(__xludf.DUMMYFUNCTION("""COMPUTED_VALUE"""),"Medium")</f>
        <v>Medium</v>
      </c>
      <c r="F516" s="35">
        <f>IFERROR(__xludf.DUMMYFUNCTION("""COMPUTED_VALUE"""),1907.0)</f>
        <v>1907</v>
      </c>
      <c r="G516" s="35">
        <f>IFERROR(__xludf.DUMMYFUNCTION("""COMPUTED_VALUE"""),80.0)</f>
        <v>80</v>
      </c>
      <c r="H516" s="35" t="str">
        <f>IFERROR(__xludf.DUMMYFUNCTION("""COMPUTED_VALUE"""),"Algorithms")</f>
        <v>Algorithms</v>
      </c>
      <c r="I516" s="35">
        <f>IFERROR(__xludf.DUMMYFUNCTION("""COMPUTED_VALUE"""),0.643)</f>
        <v>0.643</v>
      </c>
      <c r="J516" s="35">
        <f>IFERROR(__xludf.DUMMYFUNCTION("""COMPUTED_VALUE"""),515.0)</f>
        <v>515</v>
      </c>
      <c r="K516" s="35" t="b">
        <f>IFERROR(__xludf.DUMMYFUNCTION("""COMPUTED_VALUE"""),FALSE)</f>
        <v>0</v>
      </c>
      <c r="L516" s="35" t="str">
        <f>IFERROR(__xludf.DUMMYFUNCTION("""COMPUTED_VALUE"""),"Tree;Depth-First Search;Breadth-First Search;Binary Tree;")</f>
        <v>Tree;Depth-First Search;Breadth-First Search;Binary Tree;</v>
      </c>
      <c r="M516" s="35" t="b">
        <f>IFERROR(__xludf.DUMMYFUNCTION("""COMPUTED_VALUE"""),FALSE)</f>
        <v>0</v>
      </c>
      <c r="N516" s="35" t="b">
        <f>IFERROR(__xludf.DUMMYFUNCTION("""COMPUTED_VALUE"""),FALSE)</f>
        <v>0</v>
      </c>
      <c r="O516" s="35">
        <f>IFERROR(__xludf.DUMMYFUNCTION("""COMPUTED_VALUE"""),64.2749047090355)</f>
        <v>64.27490471</v>
      </c>
      <c r="P516" s="35">
        <f>IFERROR(__xludf.DUMMYFUNCTION("""COMPUTED_VALUE"""),181778.0)</f>
        <v>181778</v>
      </c>
      <c r="Q516" s="35">
        <f>IFERROR(__xludf.DUMMYFUNCTION("""COMPUTED_VALUE"""),282814.0)</f>
        <v>282814</v>
      </c>
    </row>
    <row r="517">
      <c r="A517" s="35">
        <f>IFERROR(__xludf.DUMMYFUNCTION("""COMPUTED_VALUE"""),516.0)</f>
        <v>516</v>
      </c>
      <c r="B517" s="35" t="str">
        <f>IFERROR(__xludf.DUMMYFUNCTION("""COMPUTED_VALUE"""),"Longest Palindromic Subsequence")</f>
        <v>Longest Palindromic Subsequence</v>
      </c>
      <c r="C517" s="35" t="str">
        <f>IFERROR(__xludf.DUMMYFUNCTION("""COMPUTED_VALUE"""),"longest-palindromic-subsequence")</f>
        <v>longest-palindromic-subsequence</v>
      </c>
      <c r="D517" s="35" t="b">
        <f>IFERROR(__xludf.DUMMYFUNCTION("""COMPUTED_VALUE"""),FALSE)</f>
        <v>0</v>
      </c>
      <c r="E517" s="35" t="str">
        <f>IFERROR(__xludf.DUMMYFUNCTION("""COMPUTED_VALUE"""),"Medium")</f>
        <v>Medium</v>
      </c>
      <c r="F517" s="35">
        <f>IFERROR(__xludf.DUMMYFUNCTION("""COMPUTED_VALUE"""),4848.0)</f>
        <v>4848</v>
      </c>
      <c r="G517" s="35">
        <f>IFERROR(__xludf.DUMMYFUNCTION("""COMPUTED_VALUE"""),244.0)</f>
        <v>244</v>
      </c>
      <c r="H517" s="35" t="str">
        <f>IFERROR(__xludf.DUMMYFUNCTION("""COMPUTED_VALUE"""),"Algorithms")</f>
        <v>Algorithms</v>
      </c>
      <c r="I517" s="35">
        <f>IFERROR(__xludf.DUMMYFUNCTION("""COMPUTED_VALUE"""),0.59)</f>
        <v>0.59</v>
      </c>
      <c r="J517" s="35">
        <f>IFERROR(__xludf.DUMMYFUNCTION("""COMPUTED_VALUE"""),516.0)</f>
        <v>516</v>
      </c>
      <c r="K517" s="35" t="b">
        <f>IFERROR(__xludf.DUMMYFUNCTION("""COMPUTED_VALUE"""),FALSE)</f>
        <v>0</v>
      </c>
      <c r="L517" s="35" t="str">
        <f>IFERROR(__xludf.DUMMYFUNCTION("""COMPUTED_VALUE"""),"String;Dynamic Programming;")</f>
        <v>String;Dynamic Programming;</v>
      </c>
      <c r="M517" s="35" t="b">
        <f>IFERROR(__xludf.DUMMYFUNCTION("""COMPUTED_VALUE"""),FALSE)</f>
        <v>0</v>
      </c>
      <c r="N517" s="35" t="b">
        <f>IFERROR(__xludf.DUMMYFUNCTION("""COMPUTED_VALUE"""),FALSE)</f>
        <v>0</v>
      </c>
      <c r="O517" s="35">
        <f>IFERROR(__xludf.DUMMYFUNCTION("""COMPUTED_VALUE"""),58.9978922456828)</f>
        <v>58.99789225</v>
      </c>
      <c r="P517" s="35">
        <f>IFERROR(__xludf.DUMMYFUNCTION("""COMPUTED_VALUE"""),239319.0)</f>
        <v>239319</v>
      </c>
      <c r="Q517" s="35">
        <f>IFERROR(__xludf.DUMMYFUNCTION("""COMPUTED_VALUE"""),405636.0)</f>
        <v>405636</v>
      </c>
    </row>
    <row r="518">
      <c r="A518" s="35">
        <f>IFERROR(__xludf.DUMMYFUNCTION("""COMPUTED_VALUE"""),517.0)</f>
        <v>517</v>
      </c>
      <c r="B518" s="35" t="str">
        <f>IFERROR(__xludf.DUMMYFUNCTION("""COMPUTED_VALUE"""),"Super Washing Machines")</f>
        <v>Super Washing Machines</v>
      </c>
      <c r="C518" s="35" t="str">
        <f>IFERROR(__xludf.DUMMYFUNCTION("""COMPUTED_VALUE"""),"super-washing-machines")</f>
        <v>super-washing-machines</v>
      </c>
      <c r="D518" s="35" t="b">
        <f>IFERROR(__xludf.DUMMYFUNCTION("""COMPUTED_VALUE"""),FALSE)</f>
        <v>0</v>
      </c>
      <c r="E518" s="35" t="str">
        <f>IFERROR(__xludf.DUMMYFUNCTION("""COMPUTED_VALUE"""),"Hard")</f>
        <v>Hard</v>
      </c>
      <c r="F518" s="35">
        <f>IFERROR(__xludf.DUMMYFUNCTION("""COMPUTED_VALUE"""),524.0)</f>
        <v>524</v>
      </c>
      <c r="G518" s="35">
        <f>IFERROR(__xludf.DUMMYFUNCTION("""COMPUTED_VALUE"""),176.0)</f>
        <v>176</v>
      </c>
      <c r="H518" s="35" t="str">
        <f>IFERROR(__xludf.DUMMYFUNCTION("""COMPUTED_VALUE"""),"Algorithms")</f>
        <v>Algorithms</v>
      </c>
      <c r="I518" s="35">
        <f>IFERROR(__xludf.DUMMYFUNCTION("""COMPUTED_VALUE"""),0.393)</f>
        <v>0.393</v>
      </c>
      <c r="J518" s="35">
        <f>IFERROR(__xludf.DUMMYFUNCTION("""COMPUTED_VALUE"""),517.0)</f>
        <v>517</v>
      </c>
      <c r="K518" s="35" t="b">
        <f>IFERROR(__xludf.DUMMYFUNCTION("""COMPUTED_VALUE"""),FALSE)</f>
        <v>0</v>
      </c>
      <c r="L518" s="35" t="str">
        <f>IFERROR(__xludf.DUMMYFUNCTION("""COMPUTED_VALUE"""),"Array;Greedy;")</f>
        <v>Array;Greedy;</v>
      </c>
      <c r="M518" s="35" t="b">
        <f>IFERROR(__xludf.DUMMYFUNCTION("""COMPUTED_VALUE"""),FALSE)</f>
        <v>0</v>
      </c>
      <c r="N518" s="35" t="b">
        <f>IFERROR(__xludf.DUMMYFUNCTION("""COMPUTED_VALUE"""),FALSE)</f>
        <v>0</v>
      </c>
      <c r="O518" s="35">
        <f>IFERROR(__xludf.DUMMYFUNCTION("""COMPUTED_VALUE"""),39.2843415393063)</f>
        <v>39.28434154</v>
      </c>
      <c r="P518" s="35">
        <f>IFERROR(__xludf.DUMMYFUNCTION("""COMPUTED_VALUE"""),21463.0)</f>
        <v>21463</v>
      </c>
      <c r="Q518" s="35">
        <f>IFERROR(__xludf.DUMMYFUNCTION("""COMPUTED_VALUE"""),54635.0)</f>
        <v>54635</v>
      </c>
    </row>
    <row r="519">
      <c r="A519" s="35">
        <f>IFERROR(__xludf.DUMMYFUNCTION("""COMPUTED_VALUE"""),518.0)</f>
        <v>518</v>
      </c>
      <c r="B519" s="35" t="str">
        <f>IFERROR(__xludf.DUMMYFUNCTION("""COMPUTED_VALUE"""),"Coin Change 2")</f>
        <v>Coin Change 2</v>
      </c>
      <c r="C519" s="35" t="str">
        <f>IFERROR(__xludf.DUMMYFUNCTION("""COMPUTED_VALUE"""),"coin-change-2")</f>
        <v>coin-change-2</v>
      </c>
      <c r="D519" s="35" t="b">
        <f>IFERROR(__xludf.DUMMYFUNCTION("""COMPUTED_VALUE"""),FALSE)</f>
        <v>0</v>
      </c>
      <c r="E519" s="35" t="str">
        <f>IFERROR(__xludf.DUMMYFUNCTION("""COMPUTED_VALUE"""),"Medium")</f>
        <v>Medium</v>
      </c>
      <c r="F519" s="35">
        <f>IFERROR(__xludf.DUMMYFUNCTION("""COMPUTED_VALUE"""),4817.0)</f>
        <v>4817</v>
      </c>
      <c r="G519" s="35">
        <f>IFERROR(__xludf.DUMMYFUNCTION("""COMPUTED_VALUE"""),99.0)</f>
        <v>99</v>
      </c>
      <c r="H519" s="35" t="str">
        <f>IFERROR(__xludf.DUMMYFUNCTION("""COMPUTED_VALUE"""),"Algorithms")</f>
        <v>Algorithms</v>
      </c>
      <c r="I519" s="35">
        <f>IFERROR(__xludf.DUMMYFUNCTION("""COMPUTED_VALUE"""),0.569)</f>
        <v>0.569</v>
      </c>
      <c r="J519" s="35">
        <f>IFERROR(__xludf.DUMMYFUNCTION("""COMPUTED_VALUE"""),518.0)</f>
        <v>518</v>
      </c>
      <c r="K519" s="35" t="b">
        <f>IFERROR(__xludf.DUMMYFUNCTION("""COMPUTED_VALUE"""),FALSE)</f>
        <v>0</v>
      </c>
      <c r="L519" s="35" t="str">
        <f>IFERROR(__xludf.DUMMYFUNCTION("""COMPUTED_VALUE"""),"Array;Dynamic Programming;")</f>
        <v>Array;Dynamic Programming;</v>
      </c>
      <c r="M519" s="35" t="b">
        <f>IFERROR(__xludf.DUMMYFUNCTION("""COMPUTED_VALUE"""),TRUE)</f>
        <v>1</v>
      </c>
      <c r="N519" s="35" t="b">
        <f>IFERROR(__xludf.DUMMYFUNCTION("""COMPUTED_VALUE"""),FALSE)</f>
        <v>0</v>
      </c>
      <c r="O519" s="35">
        <f>IFERROR(__xludf.DUMMYFUNCTION("""COMPUTED_VALUE"""),56.922219205508)</f>
        <v>56.92221921</v>
      </c>
      <c r="P519" s="35">
        <f>IFERROR(__xludf.DUMMYFUNCTION("""COMPUTED_VALUE"""),274645.0)</f>
        <v>274645</v>
      </c>
      <c r="Q519" s="35">
        <f>IFERROR(__xludf.DUMMYFUNCTION("""COMPUTED_VALUE"""),482494.0)</f>
        <v>482494</v>
      </c>
    </row>
    <row r="520">
      <c r="A520" s="35">
        <f>IFERROR(__xludf.DUMMYFUNCTION("""COMPUTED_VALUE"""),913.0)</f>
        <v>913</v>
      </c>
      <c r="B520" s="35" t="str">
        <f>IFERROR(__xludf.DUMMYFUNCTION("""COMPUTED_VALUE"""),"Random Flip Matrix")</f>
        <v>Random Flip Matrix</v>
      </c>
      <c r="C520" s="35" t="str">
        <f>IFERROR(__xludf.DUMMYFUNCTION("""COMPUTED_VALUE"""),"random-flip-matrix")</f>
        <v>random-flip-matrix</v>
      </c>
      <c r="D520" s="35" t="b">
        <f>IFERROR(__xludf.DUMMYFUNCTION("""COMPUTED_VALUE"""),FALSE)</f>
        <v>0</v>
      </c>
      <c r="E520" s="35" t="str">
        <f>IFERROR(__xludf.DUMMYFUNCTION("""COMPUTED_VALUE"""),"Medium")</f>
        <v>Medium</v>
      </c>
      <c r="F520" s="35">
        <f>IFERROR(__xludf.DUMMYFUNCTION("""COMPUTED_VALUE"""),286.0)</f>
        <v>286</v>
      </c>
      <c r="G520" s="35">
        <f>IFERROR(__xludf.DUMMYFUNCTION("""COMPUTED_VALUE"""),86.0)</f>
        <v>86</v>
      </c>
      <c r="H520" s="35" t="str">
        <f>IFERROR(__xludf.DUMMYFUNCTION("""COMPUTED_VALUE"""),"Algorithms")</f>
        <v>Algorithms</v>
      </c>
      <c r="I520" s="35">
        <f>IFERROR(__xludf.DUMMYFUNCTION("""COMPUTED_VALUE"""),0.389)</f>
        <v>0.389</v>
      </c>
      <c r="J520" s="35">
        <f>IFERROR(__xludf.DUMMYFUNCTION("""COMPUTED_VALUE"""),519.0)</f>
        <v>519</v>
      </c>
      <c r="K520" s="35" t="b">
        <f>IFERROR(__xludf.DUMMYFUNCTION("""COMPUTED_VALUE"""),FALSE)</f>
        <v>0</v>
      </c>
      <c r="L520" s="35" t="str">
        <f>IFERROR(__xludf.DUMMYFUNCTION("""COMPUTED_VALUE"""),"Hash Table;Math;Reservoir Sampling;Randomized;")</f>
        <v>Hash Table;Math;Reservoir Sampling;Randomized;</v>
      </c>
      <c r="M520" s="35" t="b">
        <f>IFERROR(__xludf.DUMMYFUNCTION("""COMPUTED_VALUE"""),FALSE)</f>
        <v>0</v>
      </c>
      <c r="N520" s="35" t="b">
        <f>IFERROR(__xludf.DUMMYFUNCTION("""COMPUTED_VALUE"""),FALSE)</f>
        <v>0</v>
      </c>
      <c r="O520" s="35">
        <f>IFERROR(__xludf.DUMMYFUNCTION("""COMPUTED_VALUE"""),38.921689094015)</f>
        <v>38.92168909</v>
      </c>
      <c r="P520" s="35">
        <f>IFERROR(__xludf.DUMMYFUNCTION("""COMPUTED_VALUE"""),12987.0)</f>
        <v>12987</v>
      </c>
      <c r="Q520" s="35">
        <f>IFERROR(__xludf.DUMMYFUNCTION("""COMPUTED_VALUE"""),33367.0)</f>
        <v>33367</v>
      </c>
    </row>
    <row r="521">
      <c r="A521" s="35">
        <f>IFERROR(__xludf.DUMMYFUNCTION("""COMPUTED_VALUE"""),520.0)</f>
        <v>520</v>
      </c>
      <c r="B521" s="35" t="str">
        <f>IFERROR(__xludf.DUMMYFUNCTION("""COMPUTED_VALUE"""),"Detect Capital")</f>
        <v>Detect Capital</v>
      </c>
      <c r="C521" s="35" t="str">
        <f>IFERROR(__xludf.DUMMYFUNCTION("""COMPUTED_VALUE"""),"detect-capital")</f>
        <v>detect-capital</v>
      </c>
      <c r="D521" s="35" t="b">
        <f>IFERROR(__xludf.DUMMYFUNCTION("""COMPUTED_VALUE"""),FALSE)</f>
        <v>0</v>
      </c>
      <c r="E521" s="35" t="str">
        <f>IFERROR(__xludf.DUMMYFUNCTION("""COMPUTED_VALUE"""),"Easy")</f>
        <v>Easy</v>
      </c>
      <c r="F521" s="35">
        <f>IFERROR(__xludf.DUMMYFUNCTION("""COMPUTED_VALUE"""),1562.0)</f>
        <v>1562</v>
      </c>
      <c r="G521" s="35">
        <f>IFERROR(__xludf.DUMMYFUNCTION("""COMPUTED_VALUE"""),358.0)</f>
        <v>358</v>
      </c>
      <c r="H521" s="35" t="str">
        <f>IFERROR(__xludf.DUMMYFUNCTION("""COMPUTED_VALUE"""),"Algorithms")</f>
        <v>Algorithms</v>
      </c>
      <c r="I521" s="35">
        <f>IFERROR(__xludf.DUMMYFUNCTION("""COMPUTED_VALUE"""),0.557)</f>
        <v>0.557</v>
      </c>
      <c r="J521" s="35">
        <f>IFERROR(__xludf.DUMMYFUNCTION("""COMPUTED_VALUE"""),520.0)</f>
        <v>520</v>
      </c>
      <c r="K521" s="35" t="b">
        <f>IFERROR(__xludf.DUMMYFUNCTION("""COMPUTED_VALUE"""),FALSE)</f>
        <v>0</v>
      </c>
      <c r="L521" s="35" t="str">
        <f>IFERROR(__xludf.DUMMYFUNCTION("""COMPUTED_VALUE"""),"String;")</f>
        <v>String;</v>
      </c>
      <c r="M521" s="35" t="b">
        <f>IFERROR(__xludf.DUMMYFUNCTION("""COMPUTED_VALUE"""),TRUE)</f>
        <v>1</v>
      </c>
      <c r="N521" s="35" t="b">
        <f>IFERROR(__xludf.DUMMYFUNCTION("""COMPUTED_VALUE"""),FALSE)</f>
        <v>0</v>
      </c>
      <c r="O521" s="35">
        <f>IFERROR(__xludf.DUMMYFUNCTION("""COMPUTED_VALUE"""),55.7136516609427)</f>
        <v>55.71365166</v>
      </c>
      <c r="P521" s="35">
        <f>IFERROR(__xludf.DUMMYFUNCTION("""COMPUTED_VALUE"""),258586.0)</f>
        <v>258586</v>
      </c>
      <c r="Q521" s="35">
        <f>IFERROR(__xludf.DUMMYFUNCTION("""COMPUTED_VALUE"""),464133.0)</f>
        <v>464133</v>
      </c>
    </row>
    <row r="522">
      <c r="A522" s="35">
        <f>IFERROR(__xludf.DUMMYFUNCTION("""COMPUTED_VALUE"""),521.0)</f>
        <v>521</v>
      </c>
      <c r="B522" s="35" t="str">
        <f>IFERROR(__xludf.DUMMYFUNCTION("""COMPUTED_VALUE"""),"Longest Uncommon Subsequence I")</f>
        <v>Longest Uncommon Subsequence I</v>
      </c>
      <c r="C522" s="35" t="str">
        <f>IFERROR(__xludf.DUMMYFUNCTION("""COMPUTED_VALUE"""),"longest-uncommon-subsequence-i")</f>
        <v>longest-uncommon-subsequence-i</v>
      </c>
      <c r="D522" s="35" t="b">
        <f>IFERROR(__xludf.DUMMYFUNCTION("""COMPUTED_VALUE"""),FALSE)</f>
        <v>0</v>
      </c>
      <c r="E522" s="35" t="str">
        <f>IFERROR(__xludf.DUMMYFUNCTION("""COMPUTED_VALUE"""),"Easy")</f>
        <v>Easy</v>
      </c>
      <c r="F522" s="35">
        <f>IFERROR(__xludf.DUMMYFUNCTION("""COMPUTED_VALUE"""),567.0)</f>
        <v>567</v>
      </c>
      <c r="G522" s="35">
        <f>IFERROR(__xludf.DUMMYFUNCTION("""COMPUTED_VALUE"""),5499.0)</f>
        <v>5499</v>
      </c>
      <c r="H522" s="35" t="str">
        <f>IFERROR(__xludf.DUMMYFUNCTION("""COMPUTED_VALUE"""),"Algorithms")</f>
        <v>Algorithms</v>
      </c>
      <c r="I522" s="35">
        <f>IFERROR(__xludf.DUMMYFUNCTION("""COMPUTED_VALUE"""),0.6)</f>
        <v>0.6</v>
      </c>
      <c r="J522" s="35">
        <f>IFERROR(__xludf.DUMMYFUNCTION("""COMPUTED_VALUE"""),521.0)</f>
        <v>521</v>
      </c>
      <c r="K522" s="35" t="b">
        <f>IFERROR(__xludf.DUMMYFUNCTION("""COMPUTED_VALUE"""),FALSE)</f>
        <v>0</v>
      </c>
      <c r="L522" s="35" t="str">
        <f>IFERROR(__xludf.DUMMYFUNCTION("""COMPUTED_VALUE"""),"String;")</f>
        <v>String;</v>
      </c>
      <c r="M522" s="35" t="b">
        <f>IFERROR(__xludf.DUMMYFUNCTION("""COMPUTED_VALUE"""),TRUE)</f>
        <v>1</v>
      </c>
      <c r="N522" s="35" t="b">
        <f>IFERROR(__xludf.DUMMYFUNCTION("""COMPUTED_VALUE"""),FALSE)</f>
        <v>0</v>
      </c>
      <c r="O522" s="35">
        <f>IFERROR(__xludf.DUMMYFUNCTION("""COMPUTED_VALUE"""),60.0304382969117)</f>
        <v>60.0304383</v>
      </c>
      <c r="P522" s="35">
        <f>IFERROR(__xludf.DUMMYFUNCTION("""COMPUTED_VALUE"""),82437.0)</f>
        <v>82437</v>
      </c>
      <c r="Q522" s="35">
        <f>IFERROR(__xludf.DUMMYFUNCTION("""COMPUTED_VALUE"""),137326.0)</f>
        <v>137326</v>
      </c>
    </row>
    <row r="523">
      <c r="A523" s="35">
        <f>IFERROR(__xludf.DUMMYFUNCTION("""COMPUTED_VALUE"""),522.0)</f>
        <v>522</v>
      </c>
      <c r="B523" s="35" t="str">
        <f>IFERROR(__xludf.DUMMYFUNCTION("""COMPUTED_VALUE"""),"Longest Uncommon Subsequence II")</f>
        <v>Longest Uncommon Subsequence II</v>
      </c>
      <c r="C523" s="35" t="str">
        <f>IFERROR(__xludf.DUMMYFUNCTION("""COMPUTED_VALUE"""),"longest-uncommon-subsequence-ii")</f>
        <v>longest-uncommon-subsequence-ii</v>
      </c>
      <c r="D523" s="35" t="b">
        <f>IFERROR(__xludf.DUMMYFUNCTION("""COMPUTED_VALUE"""),FALSE)</f>
        <v>0</v>
      </c>
      <c r="E523" s="35" t="str">
        <f>IFERROR(__xludf.DUMMYFUNCTION("""COMPUTED_VALUE"""),"Medium")</f>
        <v>Medium</v>
      </c>
      <c r="F523" s="35">
        <f>IFERROR(__xludf.DUMMYFUNCTION("""COMPUTED_VALUE"""),361.0)</f>
        <v>361</v>
      </c>
      <c r="G523" s="35">
        <f>IFERROR(__xludf.DUMMYFUNCTION("""COMPUTED_VALUE"""),1043.0)</f>
        <v>1043</v>
      </c>
      <c r="H523" s="35" t="str">
        <f>IFERROR(__xludf.DUMMYFUNCTION("""COMPUTED_VALUE"""),"Algorithms")</f>
        <v>Algorithms</v>
      </c>
      <c r="I523" s="35">
        <f>IFERROR(__xludf.DUMMYFUNCTION("""COMPUTED_VALUE"""),0.401)</f>
        <v>0.401</v>
      </c>
      <c r="J523" s="35">
        <f>IFERROR(__xludf.DUMMYFUNCTION("""COMPUTED_VALUE"""),522.0)</f>
        <v>522</v>
      </c>
      <c r="K523" s="35" t="b">
        <f>IFERROR(__xludf.DUMMYFUNCTION("""COMPUTED_VALUE"""),FALSE)</f>
        <v>0</v>
      </c>
      <c r="L523" s="35" t="str">
        <f>IFERROR(__xludf.DUMMYFUNCTION("""COMPUTED_VALUE"""),"Array;Hash Table;Two Pointers;String;Sorting;")</f>
        <v>Array;Hash Table;Two Pointers;String;Sorting;</v>
      </c>
      <c r="M523" s="35" t="b">
        <f>IFERROR(__xludf.DUMMYFUNCTION("""COMPUTED_VALUE"""),TRUE)</f>
        <v>1</v>
      </c>
      <c r="N523" s="35" t="b">
        <f>IFERROR(__xludf.DUMMYFUNCTION("""COMPUTED_VALUE"""),FALSE)</f>
        <v>0</v>
      </c>
      <c r="O523" s="35">
        <f>IFERROR(__xludf.DUMMYFUNCTION("""COMPUTED_VALUE"""),40.0639237454019)</f>
        <v>40.06392375</v>
      </c>
      <c r="P523" s="35">
        <f>IFERROR(__xludf.DUMMYFUNCTION("""COMPUTED_VALUE"""),42368.0)</f>
        <v>42368</v>
      </c>
      <c r="Q523" s="35">
        <f>IFERROR(__xludf.DUMMYFUNCTION("""COMPUTED_VALUE"""),105751.0)</f>
        <v>105751</v>
      </c>
    </row>
    <row r="524">
      <c r="A524" s="35">
        <f>IFERROR(__xludf.DUMMYFUNCTION("""COMPUTED_VALUE"""),523.0)</f>
        <v>523</v>
      </c>
      <c r="B524" s="35" t="str">
        <f>IFERROR(__xludf.DUMMYFUNCTION("""COMPUTED_VALUE"""),"Continuous Subarray Sum")</f>
        <v>Continuous Subarray Sum</v>
      </c>
      <c r="C524" s="35" t="str">
        <f>IFERROR(__xludf.DUMMYFUNCTION("""COMPUTED_VALUE"""),"continuous-subarray-sum")</f>
        <v>continuous-subarray-sum</v>
      </c>
      <c r="D524" s="35" t="b">
        <f>IFERROR(__xludf.DUMMYFUNCTION("""COMPUTED_VALUE"""),FALSE)</f>
        <v>0</v>
      </c>
      <c r="E524" s="35" t="str">
        <f>IFERROR(__xludf.DUMMYFUNCTION("""COMPUTED_VALUE"""),"Medium")</f>
        <v>Medium</v>
      </c>
      <c r="F524" s="35">
        <f>IFERROR(__xludf.DUMMYFUNCTION("""COMPUTED_VALUE"""),1599.0)</f>
        <v>1599</v>
      </c>
      <c r="G524" s="35">
        <f>IFERROR(__xludf.DUMMYFUNCTION("""COMPUTED_VALUE"""),226.0)</f>
        <v>226</v>
      </c>
      <c r="H524" s="35" t="str">
        <f>IFERROR(__xludf.DUMMYFUNCTION("""COMPUTED_VALUE"""),"Algorithms")</f>
        <v>Algorithms</v>
      </c>
      <c r="I524" s="35">
        <f>IFERROR(__xludf.DUMMYFUNCTION("""COMPUTED_VALUE"""),0.27)</f>
        <v>0.27</v>
      </c>
      <c r="J524" s="35">
        <f>IFERROR(__xludf.DUMMYFUNCTION("""COMPUTED_VALUE"""),523.0)</f>
        <v>523</v>
      </c>
      <c r="K524" s="35" t="b">
        <f>IFERROR(__xludf.DUMMYFUNCTION("""COMPUTED_VALUE"""),FALSE)</f>
        <v>0</v>
      </c>
      <c r="L524" s="35" t="str">
        <f>IFERROR(__xludf.DUMMYFUNCTION("""COMPUTED_VALUE"""),"Array;Hash Table;Math;Prefix Sum;")</f>
        <v>Array;Hash Table;Math;Prefix Sum;</v>
      </c>
      <c r="M524" s="35" t="b">
        <f>IFERROR(__xludf.DUMMYFUNCTION("""COMPUTED_VALUE"""),FALSE)</f>
        <v>0</v>
      </c>
      <c r="N524" s="35" t="b">
        <f>IFERROR(__xludf.DUMMYFUNCTION("""COMPUTED_VALUE"""),FALSE)</f>
        <v>0</v>
      </c>
      <c r="O524" s="35">
        <f>IFERROR(__xludf.DUMMYFUNCTION("""COMPUTED_VALUE"""),26.9947905222385)</f>
        <v>26.99479052</v>
      </c>
      <c r="P524" s="35">
        <f>IFERROR(__xludf.DUMMYFUNCTION("""COMPUTED_VALUE"""),273962.0)</f>
        <v>273962</v>
      </c>
      <c r="Q524" s="35">
        <f>IFERROR(__xludf.DUMMYFUNCTION("""COMPUTED_VALUE"""),1014858.0)</f>
        <v>1014858</v>
      </c>
    </row>
    <row r="525">
      <c r="A525" s="35">
        <f>IFERROR(__xludf.DUMMYFUNCTION("""COMPUTED_VALUE"""),524.0)</f>
        <v>524</v>
      </c>
      <c r="B525" s="35" t="str">
        <f>IFERROR(__xludf.DUMMYFUNCTION("""COMPUTED_VALUE"""),"Longest Word in Dictionary through Deleting")</f>
        <v>Longest Word in Dictionary through Deleting</v>
      </c>
      <c r="C525" s="35" t="str">
        <f>IFERROR(__xludf.DUMMYFUNCTION("""COMPUTED_VALUE"""),"longest-word-in-dictionary-through-deleting")</f>
        <v>longest-word-in-dictionary-through-deleting</v>
      </c>
      <c r="D525" s="35" t="b">
        <f>IFERROR(__xludf.DUMMYFUNCTION("""COMPUTED_VALUE"""),FALSE)</f>
        <v>0</v>
      </c>
      <c r="E525" s="35" t="str">
        <f>IFERROR(__xludf.DUMMYFUNCTION("""COMPUTED_VALUE"""),"Medium")</f>
        <v>Medium</v>
      </c>
      <c r="F525" s="35">
        <f>IFERROR(__xludf.DUMMYFUNCTION("""COMPUTED_VALUE"""),1282.0)</f>
        <v>1282</v>
      </c>
      <c r="G525" s="35">
        <f>IFERROR(__xludf.DUMMYFUNCTION("""COMPUTED_VALUE"""),323.0)</f>
        <v>323</v>
      </c>
      <c r="H525" s="35" t="str">
        <f>IFERROR(__xludf.DUMMYFUNCTION("""COMPUTED_VALUE"""),"Algorithms")</f>
        <v>Algorithms</v>
      </c>
      <c r="I525" s="35">
        <f>IFERROR(__xludf.DUMMYFUNCTION("""COMPUTED_VALUE"""),0.508)</f>
        <v>0.508</v>
      </c>
      <c r="J525" s="35">
        <f>IFERROR(__xludf.DUMMYFUNCTION("""COMPUTED_VALUE"""),524.0)</f>
        <v>524</v>
      </c>
      <c r="K525" s="35" t="b">
        <f>IFERROR(__xludf.DUMMYFUNCTION("""COMPUTED_VALUE"""),FALSE)</f>
        <v>0</v>
      </c>
      <c r="L525" s="35" t="str">
        <f>IFERROR(__xludf.DUMMYFUNCTION("""COMPUTED_VALUE"""),"Array;Two Pointers;String;Sorting;")</f>
        <v>Array;Two Pointers;String;Sorting;</v>
      </c>
      <c r="M525" s="35" t="b">
        <f>IFERROR(__xludf.DUMMYFUNCTION("""COMPUTED_VALUE"""),TRUE)</f>
        <v>1</v>
      </c>
      <c r="N525" s="35" t="b">
        <f>IFERROR(__xludf.DUMMYFUNCTION("""COMPUTED_VALUE"""),FALSE)</f>
        <v>0</v>
      </c>
      <c r="O525" s="35">
        <f>IFERROR(__xludf.DUMMYFUNCTION("""COMPUTED_VALUE"""),50.8202876783548)</f>
        <v>50.82028768</v>
      </c>
      <c r="P525" s="35">
        <f>IFERROR(__xludf.DUMMYFUNCTION("""COMPUTED_VALUE"""),123165.0)</f>
        <v>123165</v>
      </c>
      <c r="Q525" s="35">
        <f>IFERROR(__xludf.DUMMYFUNCTION("""COMPUTED_VALUE"""),242354.0)</f>
        <v>242354</v>
      </c>
    </row>
    <row r="526">
      <c r="A526" s="35">
        <f>IFERROR(__xludf.DUMMYFUNCTION("""COMPUTED_VALUE"""),525.0)</f>
        <v>525</v>
      </c>
      <c r="B526" s="35" t="str">
        <f>IFERROR(__xludf.DUMMYFUNCTION("""COMPUTED_VALUE"""),"Contiguous Array")</f>
        <v>Contiguous Array</v>
      </c>
      <c r="C526" s="35" t="str">
        <f>IFERROR(__xludf.DUMMYFUNCTION("""COMPUTED_VALUE"""),"contiguous-array")</f>
        <v>contiguous-array</v>
      </c>
      <c r="D526" s="35" t="b">
        <f>IFERROR(__xludf.DUMMYFUNCTION("""COMPUTED_VALUE"""),FALSE)</f>
        <v>0</v>
      </c>
      <c r="E526" s="35" t="str">
        <f>IFERROR(__xludf.DUMMYFUNCTION("""COMPUTED_VALUE"""),"Medium")</f>
        <v>Medium</v>
      </c>
      <c r="F526" s="35">
        <f>IFERROR(__xludf.DUMMYFUNCTION("""COMPUTED_VALUE"""),5144.0)</f>
        <v>5144</v>
      </c>
      <c r="G526" s="35">
        <f>IFERROR(__xludf.DUMMYFUNCTION("""COMPUTED_VALUE"""),221.0)</f>
        <v>221</v>
      </c>
      <c r="H526" s="35" t="str">
        <f>IFERROR(__xludf.DUMMYFUNCTION("""COMPUTED_VALUE"""),"Algorithms")</f>
        <v>Algorithms</v>
      </c>
      <c r="I526" s="35">
        <f>IFERROR(__xludf.DUMMYFUNCTION("""COMPUTED_VALUE"""),0.462)</f>
        <v>0.462</v>
      </c>
      <c r="J526" s="35">
        <f>IFERROR(__xludf.DUMMYFUNCTION("""COMPUTED_VALUE"""),525.0)</f>
        <v>525</v>
      </c>
      <c r="K526" s="35" t="b">
        <f>IFERROR(__xludf.DUMMYFUNCTION("""COMPUTED_VALUE"""),FALSE)</f>
        <v>0</v>
      </c>
      <c r="L526" s="35" t="str">
        <f>IFERROR(__xludf.DUMMYFUNCTION("""COMPUTED_VALUE"""),"Array;Hash Table;Prefix Sum;")</f>
        <v>Array;Hash Table;Prefix Sum;</v>
      </c>
      <c r="M526" s="35" t="b">
        <f>IFERROR(__xludf.DUMMYFUNCTION("""COMPUTED_VALUE"""),TRUE)</f>
        <v>1</v>
      </c>
      <c r="N526" s="35" t="b">
        <f>IFERROR(__xludf.DUMMYFUNCTION("""COMPUTED_VALUE"""),FALSE)</f>
        <v>0</v>
      </c>
      <c r="O526" s="35">
        <f>IFERROR(__xludf.DUMMYFUNCTION("""COMPUTED_VALUE"""),46.2029961811952)</f>
        <v>46.20299618</v>
      </c>
      <c r="P526" s="35">
        <f>IFERROR(__xludf.DUMMYFUNCTION("""COMPUTED_VALUE"""),254317.0)</f>
        <v>254317</v>
      </c>
      <c r="Q526" s="35">
        <f>IFERROR(__xludf.DUMMYFUNCTION("""COMPUTED_VALUE"""),550433.0)</f>
        <v>550433</v>
      </c>
    </row>
    <row r="527">
      <c r="A527" s="35">
        <f>IFERROR(__xludf.DUMMYFUNCTION("""COMPUTED_VALUE"""),526.0)</f>
        <v>526</v>
      </c>
      <c r="B527" s="35" t="str">
        <f>IFERROR(__xludf.DUMMYFUNCTION("""COMPUTED_VALUE"""),"Beautiful Arrangement")</f>
        <v>Beautiful Arrangement</v>
      </c>
      <c r="C527" s="35" t="str">
        <f>IFERROR(__xludf.DUMMYFUNCTION("""COMPUTED_VALUE"""),"beautiful-arrangement")</f>
        <v>beautiful-arrangement</v>
      </c>
      <c r="D527" s="35" t="b">
        <f>IFERROR(__xludf.DUMMYFUNCTION("""COMPUTED_VALUE"""),FALSE)</f>
        <v>0</v>
      </c>
      <c r="E527" s="35" t="str">
        <f>IFERROR(__xludf.DUMMYFUNCTION("""COMPUTED_VALUE"""),"Medium")</f>
        <v>Medium</v>
      </c>
      <c r="F527" s="35">
        <f>IFERROR(__xludf.DUMMYFUNCTION("""COMPUTED_VALUE"""),2042.0)</f>
        <v>2042</v>
      </c>
      <c r="G527" s="35">
        <f>IFERROR(__xludf.DUMMYFUNCTION("""COMPUTED_VALUE"""),283.0)</f>
        <v>283</v>
      </c>
      <c r="H527" s="35" t="str">
        <f>IFERROR(__xludf.DUMMYFUNCTION("""COMPUTED_VALUE"""),"Algorithms")</f>
        <v>Algorithms</v>
      </c>
      <c r="I527" s="35">
        <f>IFERROR(__xludf.DUMMYFUNCTION("""COMPUTED_VALUE"""),0.642)</f>
        <v>0.642</v>
      </c>
      <c r="J527" s="35">
        <f>IFERROR(__xludf.DUMMYFUNCTION("""COMPUTED_VALUE"""),526.0)</f>
        <v>526</v>
      </c>
      <c r="K527" s="35" t="b">
        <f>IFERROR(__xludf.DUMMYFUNCTION("""COMPUTED_VALUE"""),FALSE)</f>
        <v>0</v>
      </c>
      <c r="L527" s="35" t="str">
        <f>IFERROR(__xludf.DUMMYFUNCTION("""COMPUTED_VALUE"""),"Array;Dynamic Programming;Backtracking;Bit Manipulation;Bitmask;")</f>
        <v>Array;Dynamic Programming;Backtracking;Bit Manipulation;Bitmask;</v>
      </c>
      <c r="M527" s="35" t="b">
        <f>IFERROR(__xludf.DUMMYFUNCTION("""COMPUTED_VALUE"""),TRUE)</f>
        <v>1</v>
      </c>
      <c r="N527" s="35" t="b">
        <f>IFERROR(__xludf.DUMMYFUNCTION("""COMPUTED_VALUE"""),FALSE)</f>
        <v>0</v>
      </c>
      <c r="O527" s="35">
        <f>IFERROR(__xludf.DUMMYFUNCTION("""COMPUTED_VALUE"""),64.1885380356776)</f>
        <v>64.18853804</v>
      </c>
      <c r="P527" s="35">
        <f>IFERROR(__xludf.DUMMYFUNCTION("""COMPUTED_VALUE"""),125219.0)</f>
        <v>125219</v>
      </c>
      <c r="Q527" s="35">
        <f>IFERROR(__xludf.DUMMYFUNCTION("""COMPUTED_VALUE"""),195080.0)</f>
        <v>195080</v>
      </c>
    </row>
    <row r="528">
      <c r="A528" s="35">
        <f>IFERROR(__xludf.DUMMYFUNCTION("""COMPUTED_VALUE"""),527.0)</f>
        <v>527</v>
      </c>
      <c r="B528" s="35" t="str">
        <f>IFERROR(__xludf.DUMMYFUNCTION("""COMPUTED_VALUE"""),"Word Abbreviation")</f>
        <v>Word Abbreviation</v>
      </c>
      <c r="C528" s="35" t="str">
        <f>IFERROR(__xludf.DUMMYFUNCTION("""COMPUTED_VALUE"""),"word-abbreviation")</f>
        <v>word-abbreviation</v>
      </c>
      <c r="D528" s="35" t="b">
        <f>IFERROR(__xludf.DUMMYFUNCTION("""COMPUTED_VALUE"""),TRUE)</f>
        <v>1</v>
      </c>
      <c r="E528" s="35" t="str">
        <f>IFERROR(__xludf.DUMMYFUNCTION("""COMPUTED_VALUE"""),"Hard")</f>
        <v>Hard</v>
      </c>
      <c r="F528" s="35">
        <f>IFERROR(__xludf.DUMMYFUNCTION("""COMPUTED_VALUE"""),289.0)</f>
        <v>289</v>
      </c>
      <c r="G528" s="35">
        <f>IFERROR(__xludf.DUMMYFUNCTION("""COMPUTED_VALUE"""),194.0)</f>
        <v>194</v>
      </c>
      <c r="H528" s="35" t="str">
        <f>IFERROR(__xludf.DUMMYFUNCTION("""COMPUTED_VALUE"""),"Algorithms")</f>
        <v>Algorithms</v>
      </c>
      <c r="I528" s="35">
        <f>IFERROR(__xludf.DUMMYFUNCTION("""COMPUTED_VALUE"""),0.58)</f>
        <v>0.58</v>
      </c>
      <c r="J528" s="35">
        <f>IFERROR(__xludf.DUMMYFUNCTION("""COMPUTED_VALUE"""),527.0)</f>
        <v>527</v>
      </c>
      <c r="K528" s="35" t="b">
        <f>IFERROR(__xludf.DUMMYFUNCTION("""COMPUTED_VALUE"""),TRUE)</f>
        <v>1</v>
      </c>
      <c r="L528" s="35" t="str">
        <f>IFERROR(__xludf.DUMMYFUNCTION("""COMPUTED_VALUE"""),"Array;String;Greedy;Trie;Sorting;")</f>
        <v>Array;String;Greedy;Trie;Sorting;</v>
      </c>
      <c r="M528" s="35" t="b">
        <f>IFERROR(__xludf.DUMMYFUNCTION("""COMPUTED_VALUE"""),TRUE)</f>
        <v>1</v>
      </c>
      <c r="N528" s="35" t="b">
        <f>IFERROR(__xludf.DUMMYFUNCTION("""COMPUTED_VALUE"""),FALSE)</f>
        <v>0</v>
      </c>
      <c r="O528" s="35">
        <f>IFERROR(__xludf.DUMMYFUNCTION("""COMPUTED_VALUE"""),58.0209006679594)</f>
        <v>58.02090067</v>
      </c>
      <c r="P528" s="35">
        <f>IFERROR(__xludf.DUMMYFUNCTION("""COMPUTED_VALUE"""),21542.0)</f>
        <v>21542</v>
      </c>
      <c r="Q528" s="35">
        <f>IFERROR(__xludf.DUMMYFUNCTION("""COMPUTED_VALUE"""),37128.0)</f>
        <v>37128</v>
      </c>
    </row>
    <row r="529">
      <c r="A529" s="35">
        <f>IFERROR(__xludf.DUMMYFUNCTION("""COMPUTED_VALUE"""),912.0)</f>
        <v>912</v>
      </c>
      <c r="B529" s="35" t="str">
        <f>IFERROR(__xludf.DUMMYFUNCTION("""COMPUTED_VALUE"""),"Random Pick with Weight")</f>
        <v>Random Pick with Weight</v>
      </c>
      <c r="C529" s="35" t="str">
        <f>IFERROR(__xludf.DUMMYFUNCTION("""COMPUTED_VALUE"""),"random-pick-with-weight")</f>
        <v>random-pick-with-weight</v>
      </c>
      <c r="D529" s="35" t="b">
        <f>IFERROR(__xludf.DUMMYFUNCTION("""COMPUTED_VALUE"""),FALSE)</f>
        <v>0</v>
      </c>
      <c r="E529" s="35" t="str">
        <f>IFERROR(__xludf.DUMMYFUNCTION("""COMPUTED_VALUE"""),"Medium")</f>
        <v>Medium</v>
      </c>
      <c r="F529" s="35">
        <f>IFERROR(__xludf.DUMMYFUNCTION("""COMPUTED_VALUE"""),565.0)</f>
        <v>565</v>
      </c>
      <c r="G529" s="35">
        <f>IFERROR(__xludf.DUMMYFUNCTION("""COMPUTED_VALUE"""),181.0)</f>
        <v>181</v>
      </c>
      <c r="H529" s="35" t="str">
        <f>IFERROR(__xludf.DUMMYFUNCTION("""COMPUTED_VALUE"""),"Algorithms")</f>
        <v>Algorithms</v>
      </c>
      <c r="I529" s="35">
        <f>IFERROR(__xludf.DUMMYFUNCTION("""COMPUTED_VALUE"""),0.46)</f>
        <v>0.46</v>
      </c>
      <c r="J529" s="35">
        <f>IFERROR(__xludf.DUMMYFUNCTION("""COMPUTED_VALUE"""),528.0)</f>
        <v>528</v>
      </c>
      <c r="K529" s="35" t="b">
        <f>IFERROR(__xludf.DUMMYFUNCTION("""COMPUTED_VALUE"""),FALSE)</f>
        <v>0</v>
      </c>
      <c r="L529" s="35" t="str">
        <f>IFERROR(__xludf.DUMMYFUNCTION("""COMPUTED_VALUE"""),"Math;Binary Search;Prefix Sum;Randomized;")</f>
        <v>Math;Binary Search;Prefix Sum;Randomized;</v>
      </c>
      <c r="M529" s="35" t="b">
        <f>IFERROR(__xludf.DUMMYFUNCTION("""COMPUTED_VALUE"""),TRUE)</f>
        <v>1</v>
      </c>
      <c r="N529" s="35" t="b">
        <f>IFERROR(__xludf.DUMMYFUNCTION("""COMPUTED_VALUE"""),FALSE)</f>
        <v>0</v>
      </c>
      <c r="O529" s="35">
        <f>IFERROR(__xludf.DUMMYFUNCTION("""COMPUTED_VALUE"""),46.0021410447078)</f>
        <v>46.00214104</v>
      </c>
      <c r="P529" s="35">
        <f>IFERROR(__xludf.DUMMYFUNCTION("""COMPUTED_VALUE"""),271567.0)</f>
        <v>271567</v>
      </c>
      <c r="Q529" s="35">
        <f>IFERROR(__xludf.DUMMYFUNCTION("""COMPUTED_VALUE"""),590341.0)</f>
        <v>590341</v>
      </c>
    </row>
    <row r="530">
      <c r="A530" s="35">
        <f>IFERROR(__xludf.DUMMYFUNCTION("""COMPUTED_VALUE"""),529.0)</f>
        <v>529</v>
      </c>
      <c r="B530" s="35" t="str">
        <f>IFERROR(__xludf.DUMMYFUNCTION("""COMPUTED_VALUE"""),"Minesweeper")</f>
        <v>Minesweeper</v>
      </c>
      <c r="C530" s="35" t="str">
        <f>IFERROR(__xludf.DUMMYFUNCTION("""COMPUTED_VALUE"""),"minesweeper")</f>
        <v>minesweeper</v>
      </c>
      <c r="D530" s="35" t="b">
        <f>IFERROR(__xludf.DUMMYFUNCTION("""COMPUTED_VALUE"""),FALSE)</f>
        <v>0</v>
      </c>
      <c r="E530" s="35" t="str">
        <f>IFERROR(__xludf.DUMMYFUNCTION("""COMPUTED_VALUE"""),"Medium")</f>
        <v>Medium</v>
      </c>
      <c r="F530" s="35">
        <f>IFERROR(__xludf.DUMMYFUNCTION("""COMPUTED_VALUE"""),1310.0)</f>
        <v>1310</v>
      </c>
      <c r="G530" s="35">
        <f>IFERROR(__xludf.DUMMYFUNCTION("""COMPUTED_VALUE"""),836.0)</f>
        <v>836</v>
      </c>
      <c r="H530" s="35" t="str">
        <f>IFERROR(__xludf.DUMMYFUNCTION("""COMPUTED_VALUE"""),"Algorithms")</f>
        <v>Algorithms</v>
      </c>
      <c r="I530" s="35">
        <f>IFERROR(__xludf.DUMMYFUNCTION("""COMPUTED_VALUE"""),0.644)</f>
        <v>0.644</v>
      </c>
      <c r="J530" s="35">
        <f>IFERROR(__xludf.DUMMYFUNCTION("""COMPUTED_VALUE"""),529.0)</f>
        <v>529</v>
      </c>
      <c r="K530" s="35" t="b">
        <f>IFERROR(__xludf.DUMMYFUNCTION("""COMPUTED_VALUE"""),FALSE)</f>
        <v>0</v>
      </c>
      <c r="L530" s="35" t="str">
        <f>IFERROR(__xludf.DUMMYFUNCTION("""COMPUTED_VALUE"""),"Array;Depth-First Search;Breadth-First Search;Matrix;")</f>
        <v>Array;Depth-First Search;Breadth-First Search;Matrix;</v>
      </c>
      <c r="M530" s="35" t="b">
        <f>IFERROR(__xludf.DUMMYFUNCTION("""COMPUTED_VALUE"""),FALSE)</f>
        <v>0</v>
      </c>
      <c r="N530" s="35" t="b">
        <f>IFERROR(__xludf.DUMMYFUNCTION("""COMPUTED_VALUE"""),FALSE)</f>
        <v>0</v>
      </c>
      <c r="O530" s="35">
        <f>IFERROR(__xludf.DUMMYFUNCTION("""COMPUTED_VALUE"""),64.3553829797069)</f>
        <v>64.35538298</v>
      </c>
      <c r="P530" s="35">
        <f>IFERROR(__xludf.DUMMYFUNCTION("""COMPUTED_VALUE"""),111375.0)</f>
        <v>111375</v>
      </c>
      <c r="Q530" s="35">
        <f>IFERROR(__xludf.DUMMYFUNCTION("""COMPUTED_VALUE"""),173062.0)</f>
        <v>173062</v>
      </c>
    </row>
    <row r="531">
      <c r="A531" s="35">
        <f>IFERROR(__xludf.DUMMYFUNCTION("""COMPUTED_VALUE"""),530.0)</f>
        <v>530</v>
      </c>
      <c r="B531" s="35" t="str">
        <f>IFERROR(__xludf.DUMMYFUNCTION("""COMPUTED_VALUE"""),"Minimum Absolute Difference in BST")</f>
        <v>Minimum Absolute Difference in BST</v>
      </c>
      <c r="C531" s="35" t="str">
        <f>IFERROR(__xludf.DUMMYFUNCTION("""COMPUTED_VALUE"""),"minimum-absolute-difference-in-bst")</f>
        <v>minimum-absolute-difference-in-bst</v>
      </c>
      <c r="D531" s="35" t="b">
        <f>IFERROR(__xludf.DUMMYFUNCTION("""COMPUTED_VALUE"""),FALSE)</f>
        <v>0</v>
      </c>
      <c r="E531" s="35" t="str">
        <f>IFERROR(__xludf.DUMMYFUNCTION("""COMPUTED_VALUE"""),"Easy")</f>
        <v>Easy</v>
      </c>
      <c r="F531" s="35">
        <f>IFERROR(__xludf.DUMMYFUNCTION("""COMPUTED_VALUE"""),1929.0)</f>
        <v>1929</v>
      </c>
      <c r="G531" s="35">
        <f>IFERROR(__xludf.DUMMYFUNCTION("""COMPUTED_VALUE"""),113.0)</f>
        <v>113</v>
      </c>
      <c r="H531" s="35" t="str">
        <f>IFERROR(__xludf.DUMMYFUNCTION("""COMPUTED_VALUE"""),"Algorithms")</f>
        <v>Algorithms</v>
      </c>
      <c r="I531" s="35">
        <f>IFERROR(__xludf.DUMMYFUNCTION("""COMPUTED_VALUE"""),0.561)</f>
        <v>0.561</v>
      </c>
      <c r="J531" s="35">
        <f>IFERROR(__xludf.DUMMYFUNCTION("""COMPUTED_VALUE"""),530.0)</f>
        <v>530</v>
      </c>
      <c r="K531" s="35" t="b">
        <f>IFERROR(__xludf.DUMMYFUNCTION("""COMPUTED_VALUE"""),FALSE)</f>
        <v>0</v>
      </c>
      <c r="L531" s="35" t="str">
        <f>IFERROR(__xludf.DUMMYFUNCTION("""COMPUTED_VALUE"""),"Tree;Depth-First Search;Breadth-First Search;Binary Search Tree;Binary Tree;")</f>
        <v>Tree;Depth-First Search;Breadth-First Search;Binary Search Tree;Binary Tree;</v>
      </c>
      <c r="M531" s="35" t="b">
        <f>IFERROR(__xludf.DUMMYFUNCTION("""COMPUTED_VALUE"""),FALSE)</f>
        <v>0</v>
      </c>
      <c r="N531" s="35" t="b">
        <f>IFERROR(__xludf.DUMMYFUNCTION("""COMPUTED_VALUE"""),FALSE)</f>
        <v>0</v>
      </c>
      <c r="O531" s="35">
        <f>IFERROR(__xludf.DUMMYFUNCTION("""COMPUTED_VALUE"""),56.1255963691285)</f>
        <v>56.12559637</v>
      </c>
      <c r="P531" s="35">
        <f>IFERROR(__xludf.DUMMYFUNCTION("""COMPUTED_VALUE"""),149756.0)</f>
        <v>149756</v>
      </c>
      <c r="Q531" s="35">
        <f>IFERROR(__xludf.DUMMYFUNCTION("""COMPUTED_VALUE"""),266823.0)</f>
        <v>266823</v>
      </c>
    </row>
    <row r="532">
      <c r="A532" s="35">
        <f>IFERROR(__xludf.DUMMYFUNCTION("""COMPUTED_VALUE"""),531.0)</f>
        <v>531</v>
      </c>
      <c r="B532" s="35" t="str">
        <f>IFERROR(__xludf.DUMMYFUNCTION("""COMPUTED_VALUE"""),"Lonely Pixel I")</f>
        <v>Lonely Pixel I</v>
      </c>
      <c r="C532" s="35" t="str">
        <f>IFERROR(__xludf.DUMMYFUNCTION("""COMPUTED_VALUE"""),"lonely-pixel-i")</f>
        <v>lonely-pixel-i</v>
      </c>
      <c r="D532" s="35" t="b">
        <f>IFERROR(__xludf.DUMMYFUNCTION("""COMPUTED_VALUE"""),TRUE)</f>
        <v>1</v>
      </c>
      <c r="E532" s="35" t="str">
        <f>IFERROR(__xludf.DUMMYFUNCTION("""COMPUTED_VALUE"""),"Medium")</f>
        <v>Medium</v>
      </c>
      <c r="F532" s="35">
        <f>IFERROR(__xludf.DUMMYFUNCTION("""COMPUTED_VALUE"""),294.0)</f>
        <v>294</v>
      </c>
      <c r="G532" s="35">
        <f>IFERROR(__xludf.DUMMYFUNCTION("""COMPUTED_VALUE"""),35.0)</f>
        <v>35</v>
      </c>
      <c r="H532" s="35" t="str">
        <f>IFERROR(__xludf.DUMMYFUNCTION("""COMPUTED_VALUE"""),"Algorithms")</f>
        <v>Algorithms</v>
      </c>
      <c r="I532" s="35">
        <f>IFERROR(__xludf.DUMMYFUNCTION("""COMPUTED_VALUE"""),0.606)</f>
        <v>0.606</v>
      </c>
      <c r="J532" s="35">
        <f>IFERROR(__xludf.DUMMYFUNCTION("""COMPUTED_VALUE"""),531.0)</f>
        <v>531</v>
      </c>
      <c r="K532" s="35" t="b">
        <f>IFERROR(__xludf.DUMMYFUNCTION("""COMPUTED_VALUE"""),TRUE)</f>
        <v>1</v>
      </c>
      <c r="L532" s="35" t="str">
        <f>IFERROR(__xludf.DUMMYFUNCTION("""COMPUTED_VALUE"""),"Array;Hash Table;Matrix;")</f>
        <v>Array;Hash Table;Matrix;</v>
      </c>
      <c r="M532" s="35" t="b">
        <f>IFERROR(__xludf.DUMMYFUNCTION("""COMPUTED_VALUE"""),FALSE)</f>
        <v>0</v>
      </c>
      <c r="N532" s="35" t="b">
        <f>IFERROR(__xludf.DUMMYFUNCTION("""COMPUTED_VALUE"""),FALSE)</f>
        <v>0</v>
      </c>
      <c r="O532" s="35">
        <f>IFERROR(__xludf.DUMMYFUNCTION("""COMPUTED_VALUE"""),60.6175362667307)</f>
        <v>60.61753627</v>
      </c>
      <c r="P532" s="35">
        <f>IFERROR(__xludf.DUMMYFUNCTION("""COMPUTED_VALUE"""),30253.0)</f>
        <v>30253</v>
      </c>
      <c r="Q532" s="35">
        <f>IFERROR(__xludf.DUMMYFUNCTION("""COMPUTED_VALUE"""),49908.0)</f>
        <v>49908</v>
      </c>
    </row>
    <row r="533">
      <c r="A533" s="35">
        <f>IFERROR(__xludf.DUMMYFUNCTION("""COMPUTED_VALUE"""),532.0)</f>
        <v>532</v>
      </c>
      <c r="B533" s="35" t="str">
        <f>IFERROR(__xludf.DUMMYFUNCTION("""COMPUTED_VALUE"""),"K-diff Pairs in an Array")</f>
        <v>K-diff Pairs in an Array</v>
      </c>
      <c r="C533" s="35" t="str">
        <f>IFERROR(__xludf.DUMMYFUNCTION("""COMPUTED_VALUE"""),"k-diff-pairs-in-an-array")</f>
        <v>k-diff-pairs-in-an-array</v>
      </c>
      <c r="D533" s="35" t="b">
        <f>IFERROR(__xludf.DUMMYFUNCTION("""COMPUTED_VALUE"""),FALSE)</f>
        <v>0</v>
      </c>
      <c r="E533" s="35" t="str">
        <f>IFERROR(__xludf.DUMMYFUNCTION("""COMPUTED_VALUE"""),"Medium")</f>
        <v>Medium</v>
      </c>
      <c r="F533" s="35">
        <f>IFERROR(__xludf.DUMMYFUNCTION("""COMPUTED_VALUE"""),2490.0)</f>
        <v>2490</v>
      </c>
      <c r="G533" s="35">
        <f>IFERROR(__xludf.DUMMYFUNCTION("""COMPUTED_VALUE"""),2036.0)</f>
        <v>2036</v>
      </c>
      <c r="H533" s="35" t="str">
        <f>IFERROR(__xludf.DUMMYFUNCTION("""COMPUTED_VALUE"""),"Algorithms")</f>
        <v>Algorithms</v>
      </c>
      <c r="I533" s="35">
        <f>IFERROR(__xludf.DUMMYFUNCTION("""COMPUTED_VALUE"""),0.399)</f>
        <v>0.399</v>
      </c>
      <c r="J533" s="35">
        <f>IFERROR(__xludf.DUMMYFUNCTION("""COMPUTED_VALUE"""),532.0)</f>
        <v>532</v>
      </c>
      <c r="K533" s="35" t="b">
        <f>IFERROR(__xludf.DUMMYFUNCTION("""COMPUTED_VALUE"""),FALSE)</f>
        <v>0</v>
      </c>
      <c r="L533" s="35" t="str">
        <f>IFERROR(__xludf.DUMMYFUNCTION("""COMPUTED_VALUE"""),"Array;Hash Table;Two Pointers;Binary Search;Sorting;")</f>
        <v>Array;Hash Table;Two Pointers;Binary Search;Sorting;</v>
      </c>
      <c r="M533" s="35" t="b">
        <f>IFERROR(__xludf.DUMMYFUNCTION("""COMPUTED_VALUE"""),TRUE)</f>
        <v>1</v>
      </c>
      <c r="N533" s="35" t="b">
        <f>IFERROR(__xludf.DUMMYFUNCTION("""COMPUTED_VALUE"""),FALSE)</f>
        <v>0</v>
      </c>
      <c r="O533" s="35">
        <f>IFERROR(__xludf.DUMMYFUNCTION("""COMPUTED_VALUE"""),39.9229561251825)</f>
        <v>39.92295613</v>
      </c>
      <c r="P533" s="35">
        <f>IFERROR(__xludf.DUMMYFUNCTION("""COMPUTED_VALUE"""),246345.0)</f>
        <v>246345</v>
      </c>
      <c r="Q533" s="35">
        <f>IFERROR(__xludf.DUMMYFUNCTION("""COMPUTED_VALUE"""),617049.0)</f>
        <v>617049</v>
      </c>
    </row>
    <row r="534">
      <c r="A534" s="35">
        <f>IFERROR(__xludf.DUMMYFUNCTION("""COMPUTED_VALUE"""),533.0)</f>
        <v>533</v>
      </c>
      <c r="B534" s="35" t="str">
        <f>IFERROR(__xludf.DUMMYFUNCTION("""COMPUTED_VALUE"""),"Lonely Pixel II")</f>
        <v>Lonely Pixel II</v>
      </c>
      <c r="C534" s="35" t="str">
        <f>IFERROR(__xludf.DUMMYFUNCTION("""COMPUTED_VALUE"""),"lonely-pixel-ii")</f>
        <v>lonely-pixel-ii</v>
      </c>
      <c r="D534" s="35" t="b">
        <f>IFERROR(__xludf.DUMMYFUNCTION("""COMPUTED_VALUE"""),TRUE)</f>
        <v>1</v>
      </c>
      <c r="E534" s="35" t="str">
        <f>IFERROR(__xludf.DUMMYFUNCTION("""COMPUTED_VALUE"""),"Medium")</f>
        <v>Medium</v>
      </c>
      <c r="F534" s="35">
        <f>IFERROR(__xludf.DUMMYFUNCTION("""COMPUTED_VALUE"""),71.0)</f>
        <v>71</v>
      </c>
      <c r="G534" s="35">
        <f>IFERROR(__xludf.DUMMYFUNCTION("""COMPUTED_VALUE"""),672.0)</f>
        <v>672</v>
      </c>
      <c r="H534" s="35" t="str">
        <f>IFERROR(__xludf.DUMMYFUNCTION("""COMPUTED_VALUE"""),"Algorithms")</f>
        <v>Algorithms</v>
      </c>
      <c r="I534" s="35">
        <f>IFERROR(__xludf.DUMMYFUNCTION("""COMPUTED_VALUE"""),0.484)</f>
        <v>0.484</v>
      </c>
      <c r="J534" s="35">
        <f>IFERROR(__xludf.DUMMYFUNCTION("""COMPUTED_VALUE"""),533.0)</f>
        <v>533</v>
      </c>
      <c r="K534" s="35" t="b">
        <f>IFERROR(__xludf.DUMMYFUNCTION("""COMPUTED_VALUE"""),TRUE)</f>
        <v>1</v>
      </c>
      <c r="L534" s="35" t="str">
        <f>IFERROR(__xludf.DUMMYFUNCTION("""COMPUTED_VALUE"""),"Array;Hash Table;Matrix;")</f>
        <v>Array;Hash Table;Matrix;</v>
      </c>
      <c r="M534" s="35" t="b">
        <f>IFERROR(__xludf.DUMMYFUNCTION("""COMPUTED_VALUE"""),FALSE)</f>
        <v>0</v>
      </c>
      <c r="N534" s="35" t="b">
        <f>IFERROR(__xludf.DUMMYFUNCTION("""COMPUTED_VALUE"""),FALSE)</f>
        <v>0</v>
      </c>
      <c r="O534" s="35">
        <f>IFERROR(__xludf.DUMMYFUNCTION("""COMPUTED_VALUE"""),48.3806737372506)</f>
        <v>48.38067374</v>
      </c>
      <c r="P534" s="35">
        <f>IFERROR(__xludf.DUMMYFUNCTION("""COMPUTED_VALUE"""),11906.0)</f>
        <v>11906</v>
      </c>
      <c r="Q534" s="35">
        <f>IFERROR(__xludf.DUMMYFUNCTION("""COMPUTED_VALUE"""),24609.0)</f>
        <v>24609</v>
      </c>
    </row>
    <row r="535">
      <c r="A535" s="35">
        <f>IFERROR(__xludf.DUMMYFUNCTION("""COMPUTED_VALUE"""),1181.0)</f>
        <v>1181</v>
      </c>
      <c r="B535" s="35" t="str">
        <f>IFERROR(__xludf.DUMMYFUNCTION("""COMPUTED_VALUE"""),"Game Play Analysis III")</f>
        <v>Game Play Analysis III</v>
      </c>
      <c r="C535" s="35" t="str">
        <f>IFERROR(__xludf.DUMMYFUNCTION("""COMPUTED_VALUE"""),"game-play-analysis-iii")</f>
        <v>game-play-analysis-iii</v>
      </c>
      <c r="D535" s="35" t="b">
        <f>IFERROR(__xludf.DUMMYFUNCTION("""COMPUTED_VALUE"""),TRUE)</f>
        <v>1</v>
      </c>
      <c r="E535" s="35" t="str">
        <f>IFERROR(__xludf.DUMMYFUNCTION("""COMPUTED_VALUE"""),"Medium")</f>
        <v>Medium</v>
      </c>
      <c r="F535" s="35">
        <f>IFERROR(__xludf.DUMMYFUNCTION("""COMPUTED_VALUE"""),253.0)</f>
        <v>253</v>
      </c>
      <c r="G535" s="35">
        <f>IFERROR(__xludf.DUMMYFUNCTION("""COMPUTED_VALUE"""),10.0)</f>
        <v>10</v>
      </c>
      <c r="H535" s="35" t="str">
        <f>IFERROR(__xludf.DUMMYFUNCTION("""COMPUTED_VALUE"""),"Database")</f>
        <v>Database</v>
      </c>
      <c r="I535" s="35">
        <f>IFERROR(__xludf.DUMMYFUNCTION("""COMPUTED_VALUE"""),0.817)</f>
        <v>0.817</v>
      </c>
      <c r="J535" s="35">
        <f>IFERROR(__xludf.DUMMYFUNCTION("""COMPUTED_VALUE"""),534.0)</f>
        <v>534</v>
      </c>
      <c r="K535" s="35" t="b">
        <f>IFERROR(__xludf.DUMMYFUNCTION("""COMPUTED_VALUE"""),TRUE)</f>
        <v>1</v>
      </c>
      <c r="L535" s="35" t="str">
        <f>IFERROR(__xludf.DUMMYFUNCTION("""COMPUTED_VALUE"""),"Database;")</f>
        <v>Database;</v>
      </c>
      <c r="M535" s="35" t="b">
        <f>IFERROR(__xludf.DUMMYFUNCTION("""COMPUTED_VALUE"""),FALSE)</f>
        <v>0</v>
      </c>
      <c r="N535" s="35" t="b">
        <f>IFERROR(__xludf.DUMMYFUNCTION("""COMPUTED_VALUE"""),FALSE)</f>
        <v>0</v>
      </c>
      <c r="O535" s="35">
        <f>IFERROR(__xludf.DUMMYFUNCTION("""COMPUTED_VALUE"""),81.6776510663507)</f>
        <v>81.67765107</v>
      </c>
      <c r="P535" s="35">
        <f>IFERROR(__xludf.DUMMYFUNCTION("""COMPUTED_VALUE"""),44118.0)</f>
        <v>44118</v>
      </c>
      <c r="Q535" s="35">
        <f>IFERROR(__xludf.DUMMYFUNCTION("""COMPUTED_VALUE"""),54015.0)</f>
        <v>54015</v>
      </c>
    </row>
    <row r="536">
      <c r="A536" s="35">
        <f>IFERROR(__xludf.DUMMYFUNCTION("""COMPUTED_VALUE"""),535.0)</f>
        <v>535</v>
      </c>
      <c r="B536" s="35" t="str">
        <f>IFERROR(__xludf.DUMMYFUNCTION("""COMPUTED_VALUE"""),"Encode and Decode TinyURL")</f>
        <v>Encode and Decode TinyURL</v>
      </c>
      <c r="C536" s="35" t="str">
        <f>IFERROR(__xludf.DUMMYFUNCTION("""COMPUTED_VALUE"""),"encode-and-decode-tinyurl")</f>
        <v>encode-and-decode-tinyurl</v>
      </c>
      <c r="D536" s="35" t="b">
        <f>IFERROR(__xludf.DUMMYFUNCTION("""COMPUTED_VALUE"""),FALSE)</f>
        <v>0</v>
      </c>
      <c r="E536" s="35" t="str">
        <f>IFERROR(__xludf.DUMMYFUNCTION("""COMPUTED_VALUE"""),"Medium")</f>
        <v>Medium</v>
      </c>
      <c r="F536" s="35">
        <f>IFERROR(__xludf.DUMMYFUNCTION("""COMPUTED_VALUE"""),1132.0)</f>
        <v>1132</v>
      </c>
      <c r="G536" s="35">
        <f>IFERROR(__xludf.DUMMYFUNCTION("""COMPUTED_VALUE"""),2171.0)</f>
        <v>2171</v>
      </c>
      <c r="H536" s="35" t="str">
        <f>IFERROR(__xludf.DUMMYFUNCTION("""COMPUTED_VALUE"""),"Algorithms")</f>
        <v>Algorithms</v>
      </c>
      <c r="I536" s="35">
        <f>IFERROR(__xludf.DUMMYFUNCTION("""COMPUTED_VALUE"""),0.834)</f>
        <v>0.834</v>
      </c>
      <c r="J536" s="35">
        <f>IFERROR(__xludf.DUMMYFUNCTION("""COMPUTED_VALUE"""),535.0)</f>
        <v>535</v>
      </c>
      <c r="K536" s="35" t="b">
        <f>IFERROR(__xludf.DUMMYFUNCTION("""COMPUTED_VALUE"""),FALSE)</f>
        <v>0</v>
      </c>
      <c r="L536" s="35" t="str">
        <f>IFERROR(__xludf.DUMMYFUNCTION("""COMPUTED_VALUE"""),"Hash Table;String;Design;Hash Function;")</f>
        <v>Hash Table;String;Design;Hash Function;</v>
      </c>
      <c r="M536" s="35" t="b">
        <f>IFERROR(__xludf.DUMMYFUNCTION("""COMPUTED_VALUE"""),TRUE)</f>
        <v>1</v>
      </c>
      <c r="N536" s="35" t="b">
        <f>IFERROR(__xludf.DUMMYFUNCTION("""COMPUTED_VALUE"""),FALSE)</f>
        <v>0</v>
      </c>
      <c r="O536" s="35">
        <f>IFERROR(__xludf.DUMMYFUNCTION("""COMPUTED_VALUE"""),83.3612074240261)</f>
        <v>83.36120742</v>
      </c>
      <c r="P536" s="35">
        <f>IFERROR(__xludf.DUMMYFUNCTION("""COMPUTED_VALUE"""),163487.0)</f>
        <v>163487</v>
      </c>
      <c r="Q536" s="35">
        <f>IFERROR(__xludf.DUMMYFUNCTION("""COMPUTED_VALUE"""),196119.0)</f>
        <v>196119</v>
      </c>
    </row>
    <row r="537">
      <c r="A537" s="35">
        <f>IFERROR(__xludf.DUMMYFUNCTION("""COMPUTED_VALUE"""),536.0)</f>
        <v>536</v>
      </c>
      <c r="B537" s="35" t="str">
        <f>IFERROR(__xludf.DUMMYFUNCTION("""COMPUTED_VALUE"""),"Construct Binary Tree from String")</f>
        <v>Construct Binary Tree from String</v>
      </c>
      <c r="C537" s="35" t="str">
        <f>IFERROR(__xludf.DUMMYFUNCTION("""COMPUTED_VALUE"""),"construct-binary-tree-from-string")</f>
        <v>construct-binary-tree-from-string</v>
      </c>
      <c r="D537" s="35" t="b">
        <f>IFERROR(__xludf.DUMMYFUNCTION("""COMPUTED_VALUE"""),TRUE)</f>
        <v>1</v>
      </c>
      <c r="E537" s="35" t="str">
        <f>IFERROR(__xludf.DUMMYFUNCTION("""COMPUTED_VALUE"""),"Medium")</f>
        <v>Medium</v>
      </c>
      <c r="F537" s="35">
        <f>IFERROR(__xludf.DUMMYFUNCTION("""COMPUTED_VALUE"""),871.0)</f>
        <v>871</v>
      </c>
      <c r="G537" s="35">
        <f>IFERROR(__xludf.DUMMYFUNCTION("""COMPUTED_VALUE"""),139.0)</f>
        <v>139</v>
      </c>
      <c r="H537" s="35" t="str">
        <f>IFERROR(__xludf.DUMMYFUNCTION("""COMPUTED_VALUE"""),"Algorithms")</f>
        <v>Algorithms</v>
      </c>
      <c r="I537" s="35">
        <f>IFERROR(__xludf.DUMMYFUNCTION("""COMPUTED_VALUE"""),0.555)</f>
        <v>0.555</v>
      </c>
      <c r="J537" s="35">
        <f>IFERROR(__xludf.DUMMYFUNCTION("""COMPUTED_VALUE"""),536.0)</f>
        <v>536</v>
      </c>
      <c r="K537" s="35" t="b">
        <f>IFERROR(__xludf.DUMMYFUNCTION("""COMPUTED_VALUE"""),TRUE)</f>
        <v>1</v>
      </c>
      <c r="L537" s="35" t="str">
        <f>IFERROR(__xludf.DUMMYFUNCTION("""COMPUTED_VALUE"""),"String;Tree;Depth-First Search;Binary Tree;")</f>
        <v>String;Tree;Depth-First Search;Binary Tree;</v>
      </c>
      <c r="M537" s="35" t="b">
        <f>IFERROR(__xludf.DUMMYFUNCTION("""COMPUTED_VALUE"""),TRUE)</f>
        <v>1</v>
      </c>
      <c r="N537" s="35" t="b">
        <f>IFERROR(__xludf.DUMMYFUNCTION("""COMPUTED_VALUE"""),FALSE)</f>
        <v>0</v>
      </c>
      <c r="O537" s="35">
        <f>IFERROR(__xludf.DUMMYFUNCTION("""COMPUTED_VALUE"""),55.4933595067938)</f>
        <v>55.49335951</v>
      </c>
      <c r="P537" s="35">
        <f>IFERROR(__xludf.DUMMYFUNCTION("""COMPUTED_VALUE"""),72367.0)</f>
        <v>72367</v>
      </c>
      <c r="Q537" s="35">
        <f>IFERROR(__xludf.DUMMYFUNCTION("""COMPUTED_VALUE"""),130407.0)</f>
        <v>130407</v>
      </c>
    </row>
    <row r="538">
      <c r="A538" s="35">
        <f>IFERROR(__xludf.DUMMYFUNCTION("""COMPUTED_VALUE"""),537.0)</f>
        <v>537</v>
      </c>
      <c r="B538" s="35" t="str">
        <f>IFERROR(__xludf.DUMMYFUNCTION("""COMPUTED_VALUE"""),"Complex Number Multiplication")</f>
        <v>Complex Number Multiplication</v>
      </c>
      <c r="C538" s="35" t="str">
        <f>IFERROR(__xludf.DUMMYFUNCTION("""COMPUTED_VALUE"""),"complex-number-multiplication")</f>
        <v>complex-number-multiplication</v>
      </c>
      <c r="D538" s="35" t="b">
        <f>IFERROR(__xludf.DUMMYFUNCTION("""COMPUTED_VALUE"""),FALSE)</f>
        <v>0</v>
      </c>
      <c r="E538" s="35" t="str">
        <f>IFERROR(__xludf.DUMMYFUNCTION("""COMPUTED_VALUE"""),"Medium")</f>
        <v>Medium</v>
      </c>
      <c r="F538" s="35">
        <f>IFERROR(__xludf.DUMMYFUNCTION("""COMPUTED_VALUE"""),486.0)</f>
        <v>486</v>
      </c>
      <c r="G538" s="35">
        <f>IFERROR(__xludf.DUMMYFUNCTION("""COMPUTED_VALUE"""),1109.0)</f>
        <v>1109</v>
      </c>
      <c r="H538" s="35" t="str">
        <f>IFERROR(__xludf.DUMMYFUNCTION("""COMPUTED_VALUE"""),"Algorithms")</f>
        <v>Algorithms</v>
      </c>
      <c r="I538" s="35">
        <f>IFERROR(__xludf.DUMMYFUNCTION("""COMPUTED_VALUE"""),0.711)</f>
        <v>0.711</v>
      </c>
      <c r="J538" s="35">
        <f>IFERROR(__xludf.DUMMYFUNCTION("""COMPUTED_VALUE"""),537.0)</f>
        <v>537</v>
      </c>
      <c r="K538" s="35" t="b">
        <f>IFERROR(__xludf.DUMMYFUNCTION("""COMPUTED_VALUE"""),FALSE)</f>
        <v>0</v>
      </c>
      <c r="L538" s="35" t="str">
        <f>IFERROR(__xludf.DUMMYFUNCTION("""COMPUTED_VALUE"""),"Math;String;Simulation;")</f>
        <v>Math;String;Simulation;</v>
      </c>
      <c r="M538" s="35" t="b">
        <f>IFERROR(__xludf.DUMMYFUNCTION("""COMPUTED_VALUE"""),TRUE)</f>
        <v>1</v>
      </c>
      <c r="N538" s="35" t="b">
        <f>IFERROR(__xludf.DUMMYFUNCTION("""COMPUTED_VALUE"""),FALSE)</f>
        <v>0</v>
      </c>
      <c r="O538" s="35">
        <f>IFERROR(__xludf.DUMMYFUNCTION("""COMPUTED_VALUE"""),71.0799007355884)</f>
        <v>71.07990074</v>
      </c>
      <c r="P538" s="35">
        <f>IFERROR(__xludf.DUMMYFUNCTION("""COMPUTED_VALUE"""),79913.0)</f>
        <v>79913</v>
      </c>
      <c r="Q538" s="35">
        <f>IFERROR(__xludf.DUMMYFUNCTION("""COMPUTED_VALUE"""),112427.0)</f>
        <v>112427</v>
      </c>
    </row>
    <row r="539">
      <c r="A539" s="35">
        <f>IFERROR(__xludf.DUMMYFUNCTION("""COMPUTED_VALUE"""),538.0)</f>
        <v>538</v>
      </c>
      <c r="B539" s="35" t="str">
        <f>IFERROR(__xludf.DUMMYFUNCTION("""COMPUTED_VALUE"""),"Convert BST to Greater Tree")</f>
        <v>Convert BST to Greater Tree</v>
      </c>
      <c r="C539" s="35" t="str">
        <f>IFERROR(__xludf.DUMMYFUNCTION("""COMPUTED_VALUE"""),"convert-bst-to-greater-tree")</f>
        <v>convert-bst-to-greater-tree</v>
      </c>
      <c r="D539" s="35" t="b">
        <f>IFERROR(__xludf.DUMMYFUNCTION("""COMPUTED_VALUE"""),FALSE)</f>
        <v>0</v>
      </c>
      <c r="E539" s="35" t="str">
        <f>IFERROR(__xludf.DUMMYFUNCTION("""COMPUTED_VALUE"""),"Medium")</f>
        <v>Medium</v>
      </c>
      <c r="F539" s="35">
        <f>IFERROR(__xludf.DUMMYFUNCTION("""COMPUTED_VALUE"""),3150.0)</f>
        <v>3150</v>
      </c>
      <c r="G539" s="35">
        <f>IFERROR(__xludf.DUMMYFUNCTION("""COMPUTED_VALUE"""),148.0)</f>
        <v>148</v>
      </c>
      <c r="H539" s="35" t="str">
        <f>IFERROR(__xludf.DUMMYFUNCTION("""COMPUTED_VALUE"""),"Algorithms")</f>
        <v>Algorithms</v>
      </c>
      <c r="I539" s="35">
        <f>IFERROR(__xludf.DUMMYFUNCTION("""COMPUTED_VALUE"""),0.626)</f>
        <v>0.626</v>
      </c>
      <c r="J539" s="35">
        <f>IFERROR(__xludf.DUMMYFUNCTION("""COMPUTED_VALUE"""),538.0)</f>
        <v>538</v>
      </c>
      <c r="K539" s="35" t="b">
        <f>IFERROR(__xludf.DUMMYFUNCTION("""COMPUTED_VALUE"""),FALSE)</f>
        <v>0</v>
      </c>
      <c r="L539" s="35" t="str">
        <f>IFERROR(__xludf.DUMMYFUNCTION("""COMPUTED_VALUE"""),"Tree;Depth-First Search;Binary Search Tree;Binary Tree;")</f>
        <v>Tree;Depth-First Search;Binary Search Tree;Binary Tree;</v>
      </c>
      <c r="M539" s="35" t="b">
        <f>IFERROR(__xludf.DUMMYFUNCTION("""COMPUTED_VALUE"""),TRUE)</f>
        <v>1</v>
      </c>
      <c r="N539" s="35" t="b">
        <f>IFERROR(__xludf.DUMMYFUNCTION("""COMPUTED_VALUE"""),FALSE)</f>
        <v>0</v>
      </c>
      <c r="O539" s="35">
        <f>IFERROR(__xludf.DUMMYFUNCTION("""COMPUTED_VALUE"""),62.5750262125112)</f>
        <v>62.57502621</v>
      </c>
      <c r="P539" s="35">
        <f>IFERROR(__xludf.DUMMYFUNCTION("""COMPUTED_VALUE"""),192768.0)</f>
        <v>192768</v>
      </c>
      <c r="Q539" s="35">
        <f>IFERROR(__xludf.DUMMYFUNCTION("""COMPUTED_VALUE"""),308059.0)</f>
        <v>308059</v>
      </c>
    </row>
    <row r="540">
      <c r="A540" s="35">
        <f>IFERROR(__xludf.DUMMYFUNCTION("""COMPUTED_VALUE"""),539.0)</f>
        <v>539</v>
      </c>
      <c r="B540" s="35" t="str">
        <f>IFERROR(__xludf.DUMMYFUNCTION("""COMPUTED_VALUE"""),"Minimum Time Difference")</f>
        <v>Minimum Time Difference</v>
      </c>
      <c r="C540" s="35" t="str">
        <f>IFERROR(__xludf.DUMMYFUNCTION("""COMPUTED_VALUE"""),"minimum-time-difference")</f>
        <v>minimum-time-difference</v>
      </c>
      <c r="D540" s="35" t="b">
        <f>IFERROR(__xludf.DUMMYFUNCTION("""COMPUTED_VALUE"""),FALSE)</f>
        <v>0</v>
      </c>
      <c r="E540" s="35" t="str">
        <f>IFERROR(__xludf.DUMMYFUNCTION("""COMPUTED_VALUE"""),"Medium")</f>
        <v>Medium</v>
      </c>
      <c r="F540" s="35">
        <f>IFERROR(__xludf.DUMMYFUNCTION("""COMPUTED_VALUE"""),941.0)</f>
        <v>941</v>
      </c>
      <c r="G540" s="35">
        <f>IFERROR(__xludf.DUMMYFUNCTION("""COMPUTED_VALUE"""),192.0)</f>
        <v>192</v>
      </c>
      <c r="H540" s="35" t="str">
        <f>IFERROR(__xludf.DUMMYFUNCTION("""COMPUTED_VALUE"""),"Algorithms")</f>
        <v>Algorithms</v>
      </c>
      <c r="I540" s="35">
        <f>IFERROR(__xludf.DUMMYFUNCTION("""COMPUTED_VALUE"""),0.54)</f>
        <v>0.54</v>
      </c>
      <c r="J540" s="35">
        <f>IFERROR(__xludf.DUMMYFUNCTION("""COMPUTED_VALUE"""),539.0)</f>
        <v>539</v>
      </c>
      <c r="K540" s="35" t="b">
        <f>IFERROR(__xludf.DUMMYFUNCTION("""COMPUTED_VALUE"""),FALSE)</f>
        <v>0</v>
      </c>
      <c r="L540" s="35" t="str">
        <f>IFERROR(__xludf.DUMMYFUNCTION("""COMPUTED_VALUE"""),"Array;Math;String;Sorting;")</f>
        <v>Array;Math;String;Sorting;</v>
      </c>
      <c r="M540" s="35" t="b">
        <f>IFERROR(__xludf.DUMMYFUNCTION("""COMPUTED_VALUE"""),FALSE)</f>
        <v>0</v>
      </c>
      <c r="N540" s="35" t="b">
        <f>IFERROR(__xludf.DUMMYFUNCTION("""COMPUTED_VALUE"""),FALSE)</f>
        <v>0</v>
      </c>
      <c r="O540" s="35">
        <f>IFERROR(__xludf.DUMMYFUNCTION("""COMPUTED_VALUE"""),54.0137925286997)</f>
        <v>54.01379253</v>
      </c>
      <c r="P540" s="35">
        <f>IFERROR(__xludf.DUMMYFUNCTION("""COMPUTED_VALUE"""),77772.0)</f>
        <v>77772</v>
      </c>
      <c r="Q540" s="35">
        <f>IFERROR(__xludf.DUMMYFUNCTION("""COMPUTED_VALUE"""),143985.0)</f>
        <v>143985</v>
      </c>
    </row>
    <row r="541">
      <c r="A541" s="35">
        <f>IFERROR(__xludf.DUMMYFUNCTION("""COMPUTED_VALUE"""),540.0)</f>
        <v>540</v>
      </c>
      <c r="B541" s="35" t="str">
        <f>IFERROR(__xludf.DUMMYFUNCTION("""COMPUTED_VALUE"""),"Single Element in a Sorted Array")</f>
        <v>Single Element in a Sorted Array</v>
      </c>
      <c r="C541" s="35" t="str">
        <f>IFERROR(__xludf.DUMMYFUNCTION("""COMPUTED_VALUE"""),"single-element-in-a-sorted-array")</f>
        <v>single-element-in-a-sorted-array</v>
      </c>
      <c r="D541" s="35" t="b">
        <f>IFERROR(__xludf.DUMMYFUNCTION("""COMPUTED_VALUE"""),FALSE)</f>
        <v>0</v>
      </c>
      <c r="E541" s="35" t="str">
        <f>IFERROR(__xludf.DUMMYFUNCTION("""COMPUTED_VALUE"""),"Medium")</f>
        <v>Medium</v>
      </c>
      <c r="F541" s="35">
        <f>IFERROR(__xludf.DUMMYFUNCTION("""COMPUTED_VALUE"""),4766.0)</f>
        <v>4766</v>
      </c>
      <c r="G541" s="35">
        <f>IFERROR(__xludf.DUMMYFUNCTION("""COMPUTED_VALUE"""),109.0)</f>
        <v>109</v>
      </c>
      <c r="H541" s="35" t="str">
        <f>IFERROR(__xludf.DUMMYFUNCTION("""COMPUTED_VALUE"""),"Algorithms")</f>
        <v>Algorithms</v>
      </c>
      <c r="I541" s="35">
        <f>IFERROR(__xludf.DUMMYFUNCTION("""COMPUTED_VALUE"""),0.587)</f>
        <v>0.587</v>
      </c>
      <c r="J541" s="35">
        <f>IFERROR(__xludf.DUMMYFUNCTION("""COMPUTED_VALUE"""),540.0)</f>
        <v>540</v>
      </c>
      <c r="K541" s="35" t="b">
        <f>IFERROR(__xludf.DUMMYFUNCTION("""COMPUTED_VALUE"""),FALSE)</f>
        <v>0</v>
      </c>
      <c r="L541" s="35" t="str">
        <f>IFERROR(__xludf.DUMMYFUNCTION("""COMPUTED_VALUE"""),"Array;Binary Search;")</f>
        <v>Array;Binary Search;</v>
      </c>
      <c r="M541" s="35" t="b">
        <f>IFERROR(__xludf.DUMMYFUNCTION("""COMPUTED_VALUE"""),TRUE)</f>
        <v>1</v>
      </c>
      <c r="N541" s="35" t="b">
        <f>IFERROR(__xludf.DUMMYFUNCTION("""COMPUTED_VALUE"""),FALSE)</f>
        <v>0</v>
      </c>
      <c r="O541" s="35">
        <f>IFERROR(__xludf.DUMMYFUNCTION("""COMPUTED_VALUE"""),58.7005750343494)</f>
        <v>58.70057503</v>
      </c>
      <c r="P541" s="35">
        <f>IFERROR(__xludf.DUMMYFUNCTION("""COMPUTED_VALUE"""),276845.0)</f>
        <v>276845</v>
      </c>
      <c r="Q541" s="35">
        <f>IFERROR(__xludf.DUMMYFUNCTION("""COMPUTED_VALUE"""),471608.0)</f>
        <v>471608</v>
      </c>
    </row>
    <row r="542">
      <c r="A542" s="35">
        <f>IFERROR(__xludf.DUMMYFUNCTION("""COMPUTED_VALUE"""),541.0)</f>
        <v>541</v>
      </c>
      <c r="B542" s="35" t="str">
        <f>IFERROR(__xludf.DUMMYFUNCTION("""COMPUTED_VALUE"""),"Reverse String II")</f>
        <v>Reverse String II</v>
      </c>
      <c r="C542" s="35" t="str">
        <f>IFERROR(__xludf.DUMMYFUNCTION("""COMPUTED_VALUE"""),"reverse-string-ii")</f>
        <v>reverse-string-ii</v>
      </c>
      <c r="D542" s="35" t="b">
        <f>IFERROR(__xludf.DUMMYFUNCTION("""COMPUTED_VALUE"""),FALSE)</f>
        <v>0</v>
      </c>
      <c r="E542" s="35" t="str">
        <f>IFERROR(__xludf.DUMMYFUNCTION("""COMPUTED_VALUE"""),"Easy")</f>
        <v>Easy</v>
      </c>
      <c r="F542" s="35">
        <f>IFERROR(__xludf.DUMMYFUNCTION("""COMPUTED_VALUE"""),891.0)</f>
        <v>891</v>
      </c>
      <c r="G542" s="35">
        <f>IFERROR(__xludf.DUMMYFUNCTION("""COMPUTED_VALUE"""),2256.0)</f>
        <v>2256</v>
      </c>
      <c r="H542" s="35" t="str">
        <f>IFERROR(__xludf.DUMMYFUNCTION("""COMPUTED_VALUE"""),"Algorithms")</f>
        <v>Algorithms</v>
      </c>
      <c r="I542" s="35">
        <f>IFERROR(__xludf.DUMMYFUNCTION("""COMPUTED_VALUE"""),0.5)</f>
        <v>0.5</v>
      </c>
      <c r="J542" s="35">
        <f>IFERROR(__xludf.DUMMYFUNCTION("""COMPUTED_VALUE"""),541.0)</f>
        <v>541</v>
      </c>
      <c r="K542" s="35" t="b">
        <f>IFERROR(__xludf.DUMMYFUNCTION("""COMPUTED_VALUE"""),FALSE)</f>
        <v>0</v>
      </c>
      <c r="L542" s="35" t="str">
        <f>IFERROR(__xludf.DUMMYFUNCTION("""COMPUTED_VALUE"""),"Two Pointers;String;")</f>
        <v>Two Pointers;String;</v>
      </c>
      <c r="M542" s="35" t="b">
        <f>IFERROR(__xludf.DUMMYFUNCTION("""COMPUTED_VALUE"""),TRUE)</f>
        <v>1</v>
      </c>
      <c r="N542" s="35" t="b">
        <f>IFERROR(__xludf.DUMMYFUNCTION("""COMPUTED_VALUE"""),FALSE)</f>
        <v>0</v>
      </c>
      <c r="O542" s="35">
        <f>IFERROR(__xludf.DUMMYFUNCTION("""COMPUTED_VALUE"""),50.049568098942)</f>
        <v>50.0495681</v>
      </c>
      <c r="P542" s="35">
        <f>IFERROR(__xludf.DUMMYFUNCTION("""COMPUTED_VALUE"""),144388.0)</f>
        <v>144388</v>
      </c>
      <c r="Q542" s="35">
        <f>IFERROR(__xludf.DUMMYFUNCTION("""COMPUTED_VALUE"""),288491.0)</f>
        <v>288491</v>
      </c>
    </row>
    <row r="543">
      <c r="A543" s="35">
        <f>IFERROR(__xludf.DUMMYFUNCTION("""COMPUTED_VALUE"""),542.0)</f>
        <v>542</v>
      </c>
      <c r="B543" s="35" t="str">
        <f>IFERROR(__xludf.DUMMYFUNCTION("""COMPUTED_VALUE"""),"01 Matrix")</f>
        <v>01 Matrix</v>
      </c>
      <c r="C543" s="35" t="str">
        <f>IFERROR(__xludf.DUMMYFUNCTION("""COMPUTED_VALUE"""),"01-matrix")</f>
        <v>01-matrix</v>
      </c>
      <c r="D543" s="35" t="b">
        <f>IFERROR(__xludf.DUMMYFUNCTION("""COMPUTED_VALUE"""),FALSE)</f>
        <v>0</v>
      </c>
      <c r="E543" s="35" t="str">
        <f>IFERROR(__xludf.DUMMYFUNCTION("""COMPUTED_VALUE"""),"Medium")</f>
        <v>Medium</v>
      </c>
      <c r="F543" s="35">
        <f>IFERROR(__xludf.DUMMYFUNCTION("""COMPUTED_VALUE"""),4245.0)</f>
        <v>4245</v>
      </c>
      <c r="G543" s="35">
        <f>IFERROR(__xludf.DUMMYFUNCTION("""COMPUTED_VALUE"""),208.0)</f>
        <v>208</v>
      </c>
      <c r="H543" s="35" t="str">
        <f>IFERROR(__xludf.DUMMYFUNCTION("""COMPUTED_VALUE"""),"Algorithms")</f>
        <v>Algorithms</v>
      </c>
      <c r="I543" s="35">
        <f>IFERROR(__xludf.DUMMYFUNCTION("""COMPUTED_VALUE"""),0.436)</f>
        <v>0.436</v>
      </c>
      <c r="J543" s="35">
        <f>IFERROR(__xludf.DUMMYFUNCTION("""COMPUTED_VALUE"""),542.0)</f>
        <v>542</v>
      </c>
      <c r="K543" s="35" t="b">
        <f>IFERROR(__xludf.DUMMYFUNCTION("""COMPUTED_VALUE"""),FALSE)</f>
        <v>0</v>
      </c>
      <c r="L543" s="35" t="str">
        <f>IFERROR(__xludf.DUMMYFUNCTION("""COMPUTED_VALUE"""),"Array;Dynamic Programming;Breadth-First Search;Matrix;")</f>
        <v>Array;Dynamic Programming;Breadth-First Search;Matrix;</v>
      </c>
      <c r="M543" s="35" t="b">
        <f>IFERROR(__xludf.DUMMYFUNCTION("""COMPUTED_VALUE"""),TRUE)</f>
        <v>1</v>
      </c>
      <c r="N543" s="35" t="b">
        <f>IFERROR(__xludf.DUMMYFUNCTION("""COMPUTED_VALUE"""),FALSE)</f>
        <v>0</v>
      </c>
      <c r="O543" s="35">
        <f>IFERROR(__xludf.DUMMYFUNCTION("""COMPUTED_VALUE"""),43.5599240434093)</f>
        <v>43.55992404</v>
      </c>
      <c r="P543" s="35">
        <f>IFERROR(__xludf.DUMMYFUNCTION("""COMPUTED_VALUE"""),221361.0)</f>
        <v>221361</v>
      </c>
      <c r="Q543" s="35">
        <f>IFERROR(__xludf.DUMMYFUNCTION("""COMPUTED_VALUE"""),508165.0)</f>
        <v>508165</v>
      </c>
    </row>
    <row r="544">
      <c r="A544" s="35">
        <f>IFERROR(__xludf.DUMMYFUNCTION("""COMPUTED_VALUE"""),543.0)</f>
        <v>543</v>
      </c>
      <c r="B544" s="35" t="str">
        <f>IFERROR(__xludf.DUMMYFUNCTION("""COMPUTED_VALUE"""),"Diameter of Binary Tree")</f>
        <v>Diameter of Binary Tree</v>
      </c>
      <c r="C544" s="35" t="str">
        <f>IFERROR(__xludf.DUMMYFUNCTION("""COMPUTED_VALUE"""),"diameter-of-binary-tree")</f>
        <v>diameter-of-binary-tree</v>
      </c>
      <c r="D544" s="35" t="b">
        <f>IFERROR(__xludf.DUMMYFUNCTION("""COMPUTED_VALUE"""),FALSE)</f>
        <v>0</v>
      </c>
      <c r="E544" s="35" t="str">
        <f>IFERROR(__xludf.DUMMYFUNCTION("""COMPUTED_VALUE"""),"Easy")</f>
        <v>Easy</v>
      </c>
      <c r="F544" s="35">
        <f>IFERROR(__xludf.DUMMYFUNCTION("""COMPUTED_VALUE"""),7320.0)</f>
        <v>7320</v>
      </c>
      <c r="G544" s="35">
        <f>IFERROR(__xludf.DUMMYFUNCTION("""COMPUTED_VALUE"""),455.0)</f>
        <v>455</v>
      </c>
      <c r="H544" s="35" t="str">
        <f>IFERROR(__xludf.DUMMYFUNCTION("""COMPUTED_VALUE"""),"Algorithms")</f>
        <v>Algorithms</v>
      </c>
      <c r="I544" s="35">
        <f>IFERROR(__xludf.DUMMYFUNCTION("""COMPUTED_VALUE"""),0.537)</f>
        <v>0.537</v>
      </c>
      <c r="J544" s="35">
        <f>IFERROR(__xludf.DUMMYFUNCTION("""COMPUTED_VALUE"""),543.0)</f>
        <v>543</v>
      </c>
      <c r="K544" s="35" t="b">
        <f>IFERROR(__xludf.DUMMYFUNCTION("""COMPUTED_VALUE"""),FALSE)</f>
        <v>0</v>
      </c>
      <c r="L544" s="35" t="str">
        <f>IFERROR(__xludf.DUMMYFUNCTION("""COMPUTED_VALUE"""),"Tree;Depth-First Search;Binary Tree;")</f>
        <v>Tree;Depth-First Search;Binary Tree;</v>
      </c>
      <c r="M544" s="35" t="b">
        <f>IFERROR(__xludf.DUMMYFUNCTION("""COMPUTED_VALUE"""),TRUE)</f>
        <v>1</v>
      </c>
      <c r="N544" s="35" t="b">
        <f>IFERROR(__xludf.DUMMYFUNCTION("""COMPUTED_VALUE"""),FALSE)</f>
        <v>0</v>
      </c>
      <c r="O544" s="35">
        <f>IFERROR(__xludf.DUMMYFUNCTION("""COMPUTED_VALUE"""),53.7151167144191)</f>
        <v>53.71511671</v>
      </c>
      <c r="P544" s="35">
        <f>IFERROR(__xludf.DUMMYFUNCTION("""COMPUTED_VALUE"""),681467.0)</f>
        <v>681467</v>
      </c>
      <c r="Q544" s="35">
        <f>IFERROR(__xludf.DUMMYFUNCTION("""COMPUTED_VALUE"""),1268679.0)</f>
        <v>1268679</v>
      </c>
    </row>
    <row r="545">
      <c r="A545" s="35">
        <f>IFERROR(__xludf.DUMMYFUNCTION("""COMPUTED_VALUE"""),544.0)</f>
        <v>544</v>
      </c>
      <c r="B545" s="35" t="str">
        <f>IFERROR(__xludf.DUMMYFUNCTION("""COMPUTED_VALUE"""),"Output Contest Matches")</f>
        <v>Output Contest Matches</v>
      </c>
      <c r="C545" s="35" t="str">
        <f>IFERROR(__xludf.DUMMYFUNCTION("""COMPUTED_VALUE"""),"output-contest-matches")</f>
        <v>output-contest-matches</v>
      </c>
      <c r="D545" s="35" t="b">
        <f>IFERROR(__xludf.DUMMYFUNCTION("""COMPUTED_VALUE"""),TRUE)</f>
        <v>1</v>
      </c>
      <c r="E545" s="35" t="str">
        <f>IFERROR(__xludf.DUMMYFUNCTION("""COMPUTED_VALUE"""),"Medium")</f>
        <v>Medium</v>
      </c>
      <c r="F545" s="35">
        <f>IFERROR(__xludf.DUMMYFUNCTION("""COMPUTED_VALUE"""),355.0)</f>
        <v>355</v>
      </c>
      <c r="G545" s="35">
        <f>IFERROR(__xludf.DUMMYFUNCTION("""COMPUTED_VALUE"""),114.0)</f>
        <v>114</v>
      </c>
      <c r="H545" s="35" t="str">
        <f>IFERROR(__xludf.DUMMYFUNCTION("""COMPUTED_VALUE"""),"Algorithms")</f>
        <v>Algorithms</v>
      </c>
      <c r="I545" s="35">
        <f>IFERROR(__xludf.DUMMYFUNCTION("""COMPUTED_VALUE"""),0.764)</f>
        <v>0.764</v>
      </c>
      <c r="J545" s="35">
        <f>IFERROR(__xludf.DUMMYFUNCTION("""COMPUTED_VALUE"""),544.0)</f>
        <v>544</v>
      </c>
      <c r="K545" s="35" t="b">
        <f>IFERROR(__xludf.DUMMYFUNCTION("""COMPUTED_VALUE"""),TRUE)</f>
        <v>1</v>
      </c>
      <c r="L545" s="35" t="str">
        <f>IFERROR(__xludf.DUMMYFUNCTION("""COMPUTED_VALUE"""),"String;Recursion;Simulation;")</f>
        <v>String;Recursion;Simulation;</v>
      </c>
      <c r="M545" s="35" t="b">
        <f>IFERROR(__xludf.DUMMYFUNCTION("""COMPUTED_VALUE"""),FALSE)</f>
        <v>0</v>
      </c>
      <c r="N545" s="35" t="b">
        <f>IFERROR(__xludf.DUMMYFUNCTION("""COMPUTED_VALUE"""),FALSE)</f>
        <v>0</v>
      </c>
      <c r="O545" s="35">
        <f>IFERROR(__xludf.DUMMYFUNCTION("""COMPUTED_VALUE"""),76.3669804850676)</f>
        <v>76.36698049</v>
      </c>
      <c r="P545" s="35">
        <f>IFERROR(__xludf.DUMMYFUNCTION("""COMPUTED_VALUE"""),24497.0)</f>
        <v>24497</v>
      </c>
      <c r="Q545" s="35">
        <f>IFERROR(__xludf.DUMMYFUNCTION("""COMPUTED_VALUE"""),32078.0)</f>
        <v>32078</v>
      </c>
    </row>
    <row r="546">
      <c r="A546" s="35">
        <f>IFERROR(__xludf.DUMMYFUNCTION("""COMPUTED_VALUE"""),545.0)</f>
        <v>545</v>
      </c>
      <c r="B546" s="35" t="str">
        <f>IFERROR(__xludf.DUMMYFUNCTION("""COMPUTED_VALUE"""),"Boundary of Binary Tree")</f>
        <v>Boundary of Binary Tree</v>
      </c>
      <c r="C546" s="35" t="str">
        <f>IFERROR(__xludf.DUMMYFUNCTION("""COMPUTED_VALUE"""),"boundary-of-binary-tree")</f>
        <v>boundary-of-binary-tree</v>
      </c>
      <c r="D546" s="35" t="b">
        <f>IFERROR(__xludf.DUMMYFUNCTION("""COMPUTED_VALUE"""),TRUE)</f>
        <v>1</v>
      </c>
      <c r="E546" s="35" t="str">
        <f>IFERROR(__xludf.DUMMYFUNCTION("""COMPUTED_VALUE"""),"Medium")</f>
        <v>Medium</v>
      </c>
      <c r="F546" s="35">
        <f>IFERROR(__xludf.DUMMYFUNCTION("""COMPUTED_VALUE"""),999.0)</f>
        <v>999</v>
      </c>
      <c r="G546" s="35">
        <f>IFERROR(__xludf.DUMMYFUNCTION("""COMPUTED_VALUE"""),1628.0)</f>
        <v>1628</v>
      </c>
      <c r="H546" s="35" t="str">
        <f>IFERROR(__xludf.DUMMYFUNCTION("""COMPUTED_VALUE"""),"Algorithms")</f>
        <v>Algorithms</v>
      </c>
      <c r="I546" s="35">
        <f>IFERROR(__xludf.DUMMYFUNCTION("""COMPUTED_VALUE"""),0.428)</f>
        <v>0.428</v>
      </c>
      <c r="J546" s="35">
        <f>IFERROR(__xludf.DUMMYFUNCTION("""COMPUTED_VALUE"""),545.0)</f>
        <v>545</v>
      </c>
      <c r="K546" s="35" t="b">
        <f>IFERROR(__xludf.DUMMYFUNCTION("""COMPUTED_VALUE"""),TRUE)</f>
        <v>1</v>
      </c>
      <c r="L546" s="35" t="str">
        <f>IFERROR(__xludf.DUMMYFUNCTION("""COMPUTED_VALUE"""),"Tree;Depth-First Search;Binary Tree;")</f>
        <v>Tree;Depth-First Search;Binary Tree;</v>
      </c>
      <c r="M546" s="35" t="b">
        <f>IFERROR(__xludf.DUMMYFUNCTION("""COMPUTED_VALUE"""),TRUE)</f>
        <v>1</v>
      </c>
      <c r="N546" s="35" t="b">
        <f>IFERROR(__xludf.DUMMYFUNCTION("""COMPUTED_VALUE"""),FALSE)</f>
        <v>0</v>
      </c>
      <c r="O546" s="35">
        <f>IFERROR(__xludf.DUMMYFUNCTION("""COMPUTED_VALUE"""),42.8477663740047)</f>
        <v>42.84776637</v>
      </c>
      <c r="P546" s="35">
        <f>IFERROR(__xludf.DUMMYFUNCTION("""COMPUTED_VALUE"""),95309.0)</f>
        <v>95309</v>
      </c>
      <c r="Q546" s="35">
        <f>IFERROR(__xludf.DUMMYFUNCTION("""COMPUTED_VALUE"""),222436.0)</f>
        <v>222436</v>
      </c>
    </row>
    <row r="547">
      <c r="A547" s="35">
        <f>IFERROR(__xludf.DUMMYFUNCTION("""COMPUTED_VALUE"""),546.0)</f>
        <v>546</v>
      </c>
      <c r="B547" s="35" t="str">
        <f>IFERROR(__xludf.DUMMYFUNCTION("""COMPUTED_VALUE"""),"Remove Boxes")</f>
        <v>Remove Boxes</v>
      </c>
      <c r="C547" s="35" t="str">
        <f>IFERROR(__xludf.DUMMYFUNCTION("""COMPUTED_VALUE"""),"remove-boxes")</f>
        <v>remove-boxes</v>
      </c>
      <c r="D547" s="35" t="b">
        <f>IFERROR(__xludf.DUMMYFUNCTION("""COMPUTED_VALUE"""),FALSE)</f>
        <v>0</v>
      </c>
      <c r="E547" s="35" t="str">
        <f>IFERROR(__xludf.DUMMYFUNCTION("""COMPUTED_VALUE"""),"Hard")</f>
        <v>Hard</v>
      </c>
      <c r="F547" s="35">
        <f>IFERROR(__xludf.DUMMYFUNCTION("""COMPUTED_VALUE"""),1456.0)</f>
        <v>1456</v>
      </c>
      <c r="G547" s="35">
        <f>IFERROR(__xludf.DUMMYFUNCTION("""COMPUTED_VALUE"""),92.0)</f>
        <v>92</v>
      </c>
      <c r="H547" s="35" t="str">
        <f>IFERROR(__xludf.DUMMYFUNCTION("""COMPUTED_VALUE"""),"Algorithms")</f>
        <v>Algorithms</v>
      </c>
      <c r="I547" s="35">
        <f>IFERROR(__xludf.DUMMYFUNCTION("""COMPUTED_VALUE"""),0.473)</f>
        <v>0.473</v>
      </c>
      <c r="J547" s="35">
        <f>IFERROR(__xludf.DUMMYFUNCTION("""COMPUTED_VALUE"""),546.0)</f>
        <v>546</v>
      </c>
      <c r="K547" s="35" t="b">
        <f>IFERROR(__xludf.DUMMYFUNCTION("""COMPUTED_VALUE"""),FALSE)</f>
        <v>0</v>
      </c>
      <c r="L547" s="35" t="str">
        <f>IFERROR(__xludf.DUMMYFUNCTION("""COMPUTED_VALUE"""),"Array;Dynamic Programming;Memoization;")</f>
        <v>Array;Dynamic Programming;Memoization;</v>
      </c>
      <c r="M547" s="35" t="b">
        <f>IFERROR(__xludf.DUMMYFUNCTION("""COMPUTED_VALUE"""),TRUE)</f>
        <v>1</v>
      </c>
      <c r="N547" s="35" t="b">
        <f>IFERROR(__xludf.DUMMYFUNCTION("""COMPUTED_VALUE"""),FALSE)</f>
        <v>0</v>
      </c>
      <c r="O547" s="35">
        <f>IFERROR(__xludf.DUMMYFUNCTION("""COMPUTED_VALUE"""),47.3188980841174)</f>
        <v>47.31889808</v>
      </c>
      <c r="P547" s="35">
        <f>IFERROR(__xludf.DUMMYFUNCTION("""COMPUTED_VALUE"""),33392.0)</f>
        <v>33392</v>
      </c>
      <c r="Q547" s="35">
        <f>IFERROR(__xludf.DUMMYFUNCTION("""COMPUTED_VALUE"""),70568.0)</f>
        <v>70568</v>
      </c>
    </row>
    <row r="548">
      <c r="A548" s="35">
        <f>IFERROR(__xludf.DUMMYFUNCTION("""COMPUTED_VALUE"""),547.0)</f>
        <v>547</v>
      </c>
      <c r="B548" s="35" t="str">
        <f>IFERROR(__xludf.DUMMYFUNCTION("""COMPUTED_VALUE"""),"Number of Provinces")</f>
        <v>Number of Provinces</v>
      </c>
      <c r="C548" s="35" t="str">
        <f>IFERROR(__xludf.DUMMYFUNCTION("""COMPUTED_VALUE"""),"number-of-provinces")</f>
        <v>number-of-provinces</v>
      </c>
      <c r="D548" s="35" t="b">
        <f>IFERROR(__xludf.DUMMYFUNCTION("""COMPUTED_VALUE"""),FALSE)</f>
        <v>0</v>
      </c>
      <c r="E548" s="35" t="str">
        <f>IFERROR(__xludf.DUMMYFUNCTION("""COMPUTED_VALUE"""),"Medium")</f>
        <v>Medium</v>
      </c>
      <c r="F548" s="35">
        <f>IFERROR(__xludf.DUMMYFUNCTION("""COMPUTED_VALUE"""),4811.0)</f>
        <v>4811</v>
      </c>
      <c r="G548" s="35">
        <f>IFERROR(__xludf.DUMMYFUNCTION("""COMPUTED_VALUE"""),229.0)</f>
        <v>229</v>
      </c>
      <c r="H548" s="35" t="str">
        <f>IFERROR(__xludf.DUMMYFUNCTION("""COMPUTED_VALUE"""),"Algorithms")</f>
        <v>Algorithms</v>
      </c>
      <c r="I548" s="35">
        <f>IFERROR(__xludf.DUMMYFUNCTION("""COMPUTED_VALUE"""),0.625)</f>
        <v>0.625</v>
      </c>
      <c r="J548" s="35">
        <f>IFERROR(__xludf.DUMMYFUNCTION("""COMPUTED_VALUE"""),547.0)</f>
        <v>547</v>
      </c>
      <c r="K548" s="35" t="b">
        <f>IFERROR(__xludf.DUMMYFUNCTION("""COMPUTED_VALUE"""),FALSE)</f>
        <v>0</v>
      </c>
      <c r="L548" s="35" t="str">
        <f>IFERROR(__xludf.DUMMYFUNCTION("""COMPUTED_VALUE"""),"Depth-First Search;Breadth-First Search;Union Find;Graph;")</f>
        <v>Depth-First Search;Breadth-First Search;Union Find;Graph;</v>
      </c>
      <c r="M548" s="35" t="b">
        <f>IFERROR(__xludf.DUMMYFUNCTION("""COMPUTED_VALUE"""),TRUE)</f>
        <v>1</v>
      </c>
      <c r="N548" s="35" t="b">
        <f>IFERROR(__xludf.DUMMYFUNCTION("""COMPUTED_VALUE"""),FALSE)</f>
        <v>0</v>
      </c>
      <c r="O548" s="35">
        <f>IFERROR(__xludf.DUMMYFUNCTION("""COMPUTED_VALUE"""),62.5068694970943)</f>
        <v>62.5068695</v>
      </c>
      <c r="P548" s="35">
        <f>IFERROR(__xludf.DUMMYFUNCTION("""COMPUTED_VALUE"""),427656.0)</f>
        <v>427656</v>
      </c>
      <c r="Q548" s="35">
        <f>IFERROR(__xludf.DUMMYFUNCTION("""COMPUTED_VALUE"""),684176.0)</f>
        <v>684176</v>
      </c>
    </row>
    <row r="549">
      <c r="A549" s="35">
        <f>IFERROR(__xludf.DUMMYFUNCTION("""COMPUTED_VALUE"""),548.0)</f>
        <v>548</v>
      </c>
      <c r="B549" s="35" t="str">
        <f>IFERROR(__xludf.DUMMYFUNCTION("""COMPUTED_VALUE"""),"Split Array with Equal Sum")</f>
        <v>Split Array with Equal Sum</v>
      </c>
      <c r="C549" s="35" t="str">
        <f>IFERROR(__xludf.DUMMYFUNCTION("""COMPUTED_VALUE"""),"split-array-with-equal-sum")</f>
        <v>split-array-with-equal-sum</v>
      </c>
      <c r="D549" s="35" t="b">
        <f>IFERROR(__xludf.DUMMYFUNCTION("""COMPUTED_VALUE"""),TRUE)</f>
        <v>1</v>
      </c>
      <c r="E549" s="35" t="str">
        <f>IFERROR(__xludf.DUMMYFUNCTION("""COMPUTED_VALUE"""),"Hard")</f>
        <v>Hard</v>
      </c>
      <c r="F549" s="35">
        <f>IFERROR(__xludf.DUMMYFUNCTION("""COMPUTED_VALUE"""),380.0)</f>
        <v>380</v>
      </c>
      <c r="G549" s="35">
        <f>IFERROR(__xludf.DUMMYFUNCTION("""COMPUTED_VALUE"""),124.0)</f>
        <v>124</v>
      </c>
      <c r="H549" s="35" t="str">
        <f>IFERROR(__xludf.DUMMYFUNCTION("""COMPUTED_VALUE"""),"Algorithms")</f>
        <v>Algorithms</v>
      </c>
      <c r="I549" s="35">
        <f>IFERROR(__xludf.DUMMYFUNCTION("""COMPUTED_VALUE"""),0.498)</f>
        <v>0.498</v>
      </c>
      <c r="J549" s="35">
        <f>IFERROR(__xludf.DUMMYFUNCTION("""COMPUTED_VALUE"""),548.0)</f>
        <v>548</v>
      </c>
      <c r="K549" s="35" t="b">
        <f>IFERROR(__xludf.DUMMYFUNCTION("""COMPUTED_VALUE"""),TRUE)</f>
        <v>1</v>
      </c>
      <c r="L549" s="35" t="str">
        <f>IFERROR(__xludf.DUMMYFUNCTION("""COMPUTED_VALUE"""),"Array;Prefix Sum;")</f>
        <v>Array;Prefix Sum;</v>
      </c>
      <c r="M549" s="35" t="b">
        <f>IFERROR(__xludf.DUMMYFUNCTION("""COMPUTED_VALUE"""),TRUE)</f>
        <v>1</v>
      </c>
      <c r="N549" s="35" t="b">
        <f>IFERROR(__xludf.DUMMYFUNCTION("""COMPUTED_VALUE"""),FALSE)</f>
        <v>0</v>
      </c>
      <c r="O549" s="35">
        <f>IFERROR(__xludf.DUMMYFUNCTION("""COMPUTED_VALUE"""),49.7545606064065)</f>
        <v>49.75456061</v>
      </c>
      <c r="P549" s="35">
        <f>IFERROR(__xludf.DUMMYFUNCTION("""COMPUTED_VALUE"""),21792.0)</f>
        <v>21792</v>
      </c>
      <c r="Q549" s="35">
        <f>IFERROR(__xludf.DUMMYFUNCTION("""COMPUTED_VALUE"""),43799.0)</f>
        <v>43799</v>
      </c>
    </row>
    <row r="550">
      <c r="A550" s="35">
        <f>IFERROR(__xludf.DUMMYFUNCTION("""COMPUTED_VALUE"""),549.0)</f>
        <v>549</v>
      </c>
      <c r="B550" s="35" t="str">
        <f>IFERROR(__xludf.DUMMYFUNCTION("""COMPUTED_VALUE"""),"Binary Tree Longest Consecutive Sequence II")</f>
        <v>Binary Tree Longest Consecutive Sequence II</v>
      </c>
      <c r="C550" s="35" t="str">
        <f>IFERROR(__xludf.DUMMYFUNCTION("""COMPUTED_VALUE"""),"binary-tree-longest-consecutive-sequence-ii")</f>
        <v>binary-tree-longest-consecutive-sequence-ii</v>
      </c>
      <c r="D550" s="35" t="b">
        <f>IFERROR(__xludf.DUMMYFUNCTION("""COMPUTED_VALUE"""),TRUE)</f>
        <v>1</v>
      </c>
      <c r="E550" s="35" t="str">
        <f>IFERROR(__xludf.DUMMYFUNCTION("""COMPUTED_VALUE"""),"Medium")</f>
        <v>Medium</v>
      </c>
      <c r="F550" s="35">
        <f>IFERROR(__xludf.DUMMYFUNCTION("""COMPUTED_VALUE"""),882.0)</f>
        <v>882</v>
      </c>
      <c r="G550" s="35">
        <f>IFERROR(__xludf.DUMMYFUNCTION("""COMPUTED_VALUE"""),70.0)</f>
        <v>70</v>
      </c>
      <c r="H550" s="35" t="str">
        <f>IFERROR(__xludf.DUMMYFUNCTION("""COMPUTED_VALUE"""),"Algorithms")</f>
        <v>Algorithms</v>
      </c>
      <c r="I550" s="35">
        <f>IFERROR(__xludf.DUMMYFUNCTION("""COMPUTED_VALUE"""),0.486)</f>
        <v>0.486</v>
      </c>
      <c r="J550" s="35">
        <f>IFERROR(__xludf.DUMMYFUNCTION("""COMPUTED_VALUE"""),549.0)</f>
        <v>549</v>
      </c>
      <c r="K550" s="35" t="b">
        <f>IFERROR(__xludf.DUMMYFUNCTION("""COMPUTED_VALUE"""),TRUE)</f>
        <v>1</v>
      </c>
      <c r="L550" s="35" t="str">
        <f>IFERROR(__xludf.DUMMYFUNCTION("""COMPUTED_VALUE"""),"Tree;Depth-First Search;Binary Tree;")</f>
        <v>Tree;Depth-First Search;Binary Tree;</v>
      </c>
      <c r="M550" s="35" t="b">
        <f>IFERROR(__xludf.DUMMYFUNCTION("""COMPUTED_VALUE"""),TRUE)</f>
        <v>1</v>
      </c>
      <c r="N550" s="35" t="b">
        <f>IFERROR(__xludf.DUMMYFUNCTION("""COMPUTED_VALUE"""),FALSE)</f>
        <v>0</v>
      </c>
      <c r="O550" s="35">
        <f>IFERROR(__xludf.DUMMYFUNCTION("""COMPUTED_VALUE"""),48.5502986408314)</f>
        <v>48.55029864</v>
      </c>
      <c r="P550" s="35">
        <f>IFERROR(__xludf.DUMMYFUNCTION("""COMPUTED_VALUE"""),41293.0)</f>
        <v>41293</v>
      </c>
      <c r="Q550" s="35">
        <f>IFERROR(__xludf.DUMMYFUNCTION("""COMPUTED_VALUE"""),85047.0)</f>
        <v>85047</v>
      </c>
    </row>
    <row r="551">
      <c r="A551" s="35">
        <f>IFERROR(__xludf.DUMMYFUNCTION("""COMPUTED_VALUE"""),1182.0)</f>
        <v>1182</v>
      </c>
      <c r="B551" s="35" t="str">
        <f>IFERROR(__xludf.DUMMYFUNCTION("""COMPUTED_VALUE"""),"Game Play Analysis IV")</f>
        <v>Game Play Analysis IV</v>
      </c>
      <c r="C551" s="35" t="str">
        <f>IFERROR(__xludf.DUMMYFUNCTION("""COMPUTED_VALUE"""),"game-play-analysis-iv")</f>
        <v>game-play-analysis-iv</v>
      </c>
      <c r="D551" s="35" t="b">
        <f>IFERROR(__xludf.DUMMYFUNCTION("""COMPUTED_VALUE"""),TRUE)</f>
        <v>1</v>
      </c>
      <c r="E551" s="35" t="str">
        <f>IFERROR(__xludf.DUMMYFUNCTION("""COMPUTED_VALUE"""),"Medium")</f>
        <v>Medium</v>
      </c>
      <c r="F551" s="35">
        <f>IFERROR(__xludf.DUMMYFUNCTION("""COMPUTED_VALUE"""),203.0)</f>
        <v>203</v>
      </c>
      <c r="G551" s="35">
        <f>IFERROR(__xludf.DUMMYFUNCTION("""COMPUTED_VALUE"""),59.0)</f>
        <v>59</v>
      </c>
      <c r="H551" s="35" t="str">
        <f>IFERROR(__xludf.DUMMYFUNCTION("""COMPUTED_VALUE"""),"Database")</f>
        <v>Database</v>
      </c>
      <c r="I551" s="35">
        <f>IFERROR(__xludf.DUMMYFUNCTION("""COMPUTED_VALUE"""),0.442)</f>
        <v>0.442</v>
      </c>
      <c r="J551" s="35">
        <f>IFERROR(__xludf.DUMMYFUNCTION("""COMPUTED_VALUE"""),550.0)</f>
        <v>550</v>
      </c>
      <c r="K551" s="35" t="b">
        <f>IFERROR(__xludf.DUMMYFUNCTION("""COMPUTED_VALUE"""),TRUE)</f>
        <v>1</v>
      </c>
      <c r="L551" s="35" t="str">
        <f>IFERROR(__xludf.DUMMYFUNCTION("""COMPUTED_VALUE"""),"Database;")</f>
        <v>Database;</v>
      </c>
      <c r="M551" s="35" t="b">
        <f>IFERROR(__xludf.DUMMYFUNCTION("""COMPUTED_VALUE"""),FALSE)</f>
        <v>0</v>
      </c>
      <c r="N551" s="35" t="b">
        <f>IFERROR(__xludf.DUMMYFUNCTION("""COMPUTED_VALUE"""),FALSE)</f>
        <v>0</v>
      </c>
      <c r="O551" s="35">
        <f>IFERROR(__xludf.DUMMYFUNCTION("""COMPUTED_VALUE"""),44.1763017925536)</f>
        <v>44.17630179</v>
      </c>
      <c r="P551" s="35">
        <f>IFERROR(__xludf.DUMMYFUNCTION("""COMPUTED_VALUE"""),36794.0)</f>
        <v>36794</v>
      </c>
      <c r="Q551" s="35">
        <f>IFERROR(__xludf.DUMMYFUNCTION("""COMPUTED_VALUE"""),83285.0)</f>
        <v>83285</v>
      </c>
    </row>
    <row r="552">
      <c r="A552" s="35">
        <f>IFERROR(__xludf.DUMMYFUNCTION("""COMPUTED_VALUE"""),551.0)</f>
        <v>551</v>
      </c>
      <c r="B552" s="35" t="str">
        <f>IFERROR(__xludf.DUMMYFUNCTION("""COMPUTED_VALUE"""),"Student Attendance Record I")</f>
        <v>Student Attendance Record I</v>
      </c>
      <c r="C552" s="35" t="str">
        <f>IFERROR(__xludf.DUMMYFUNCTION("""COMPUTED_VALUE"""),"student-attendance-record-i")</f>
        <v>student-attendance-record-i</v>
      </c>
      <c r="D552" s="35" t="b">
        <f>IFERROR(__xludf.DUMMYFUNCTION("""COMPUTED_VALUE"""),FALSE)</f>
        <v>0</v>
      </c>
      <c r="E552" s="35" t="str">
        <f>IFERROR(__xludf.DUMMYFUNCTION("""COMPUTED_VALUE"""),"Easy")</f>
        <v>Easy</v>
      </c>
      <c r="F552" s="35">
        <f>IFERROR(__xludf.DUMMYFUNCTION("""COMPUTED_VALUE"""),265.0)</f>
        <v>265</v>
      </c>
      <c r="G552" s="35">
        <f>IFERROR(__xludf.DUMMYFUNCTION("""COMPUTED_VALUE"""),15.0)</f>
        <v>15</v>
      </c>
      <c r="H552" s="35" t="str">
        <f>IFERROR(__xludf.DUMMYFUNCTION("""COMPUTED_VALUE"""),"Algorithms")</f>
        <v>Algorithms</v>
      </c>
      <c r="I552" s="35">
        <f>IFERROR(__xludf.DUMMYFUNCTION("""COMPUTED_VALUE"""),0.474)</f>
        <v>0.474</v>
      </c>
      <c r="J552" s="35">
        <f>IFERROR(__xludf.DUMMYFUNCTION("""COMPUTED_VALUE"""),551.0)</f>
        <v>551</v>
      </c>
      <c r="K552" s="35" t="b">
        <f>IFERROR(__xludf.DUMMYFUNCTION("""COMPUTED_VALUE"""),FALSE)</f>
        <v>0</v>
      </c>
      <c r="L552" s="35" t="str">
        <f>IFERROR(__xludf.DUMMYFUNCTION("""COMPUTED_VALUE"""),"String;")</f>
        <v>String;</v>
      </c>
      <c r="M552" s="35" t="b">
        <f>IFERROR(__xludf.DUMMYFUNCTION("""COMPUTED_VALUE"""),TRUE)</f>
        <v>1</v>
      </c>
      <c r="N552" s="35" t="b">
        <f>IFERROR(__xludf.DUMMYFUNCTION("""COMPUTED_VALUE"""),FALSE)</f>
        <v>0</v>
      </c>
      <c r="O552" s="35">
        <f>IFERROR(__xludf.DUMMYFUNCTION("""COMPUTED_VALUE"""),47.4333777710586)</f>
        <v>47.43337777</v>
      </c>
      <c r="P552" s="35">
        <f>IFERROR(__xludf.DUMMYFUNCTION("""COMPUTED_VALUE"""),138048.0)</f>
        <v>138048</v>
      </c>
      <c r="Q552" s="35">
        <f>IFERROR(__xludf.DUMMYFUNCTION("""COMPUTED_VALUE"""),291040.0)</f>
        <v>291040</v>
      </c>
    </row>
    <row r="553">
      <c r="A553" s="35">
        <f>IFERROR(__xludf.DUMMYFUNCTION("""COMPUTED_VALUE"""),552.0)</f>
        <v>552</v>
      </c>
      <c r="B553" s="35" t="str">
        <f>IFERROR(__xludf.DUMMYFUNCTION("""COMPUTED_VALUE"""),"Student Attendance Record II")</f>
        <v>Student Attendance Record II</v>
      </c>
      <c r="C553" s="35" t="str">
        <f>IFERROR(__xludf.DUMMYFUNCTION("""COMPUTED_VALUE"""),"student-attendance-record-ii")</f>
        <v>student-attendance-record-ii</v>
      </c>
      <c r="D553" s="35" t="b">
        <f>IFERROR(__xludf.DUMMYFUNCTION("""COMPUTED_VALUE"""),FALSE)</f>
        <v>0</v>
      </c>
      <c r="E553" s="35" t="str">
        <f>IFERROR(__xludf.DUMMYFUNCTION("""COMPUTED_VALUE"""),"Hard")</f>
        <v>Hard</v>
      </c>
      <c r="F553" s="35">
        <f>IFERROR(__xludf.DUMMYFUNCTION("""COMPUTED_VALUE"""),1097.0)</f>
        <v>1097</v>
      </c>
      <c r="G553" s="35">
        <f>IFERROR(__xludf.DUMMYFUNCTION("""COMPUTED_VALUE"""),189.0)</f>
        <v>189</v>
      </c>
      <c r="H553" s="35" t="str">
        <f>IFERROR(__xludf.DUMMYFUNCTION("""COMPUTED_VALUE"""),"Algorithms")</f>
        <v>Algorithms</v>
      </c>
      <c r="I553" s="35">
        <f>IFERROR(__xludf.DUMMYFUNCTION("""COMPUTED_VALUE"""),0.403)</f>
        <v>0.403</v>
      </c>
      <c r="J553" s="35">
        <f>IFERROR(__xludf.DUMMYFUNCTION("""COMPUTED_VALUE"""),552.0)</f>
        <v>552</v>
      </c>
      <c r="K553" s="35" t="b">
        <f>IFERROR(__xludf.DUMMYFUNCTION("""COMPUTED_VALUE"""),FALSE)</f>
        <v>0</v>
      </c>
      <c r="L553" s="35" t="str">
        <f>IFERROR(__xludf.DUMMYFUNCTION("""COMPUTED_VALUE"""),"Dynamic Programming;")</f>
        <v>Dynamic Programming;</v>
      </c>
      <c r="M553" s="35" t="b">
        <f>IFERROR(__xludf.DUMMYFUNCTION("""COMPUTED_VALUE"""),TRUE)</f>
        <v>1</v>
      </c>
      <c r="N553" s="35" t="b">
        <f>IFERROR(__xludf.DUMMYFUNCTION("""COMPUTED_VALUE"""),FALSE)</f>
        <v>0</v>
      </c>
      <c r="O553" s="35">
        <f>IFERROR(__xludf.DUMMYFUNCTION("""COMPUTED_VALUE"""),40.311133348158)</f>
        <v>40.31113335</v>
      </c>
      <c r="P553" s="35">
        <f>IFERROR(__xludf.DUMMYFUNCTION("""COMPUTED_VALUE"""),43506.0)</f>
        <v>43506</v>
      </c>
      <c r="Q553" s="35">
        <f>IFERROR(__xludf.DUMMYFUNCTION("""COMPUTED_VALUE"""),107926.0)</f>
        <v>107926</v>
      </c>
    </row>
    <row r="554">
      <c r="A554" s="35">
        <f>IFERROR(__xludf.DUMMYFUNCTION("""COMPUTED_VALUE"""),553.0)</f>
        <v>553</v>
      </c>
      <c r="B554" s="35" t="str">
        <f>IFERROR(__xludf.DUMMYFUNCTION("""COMPUTED_VALUE"""),"Optimal Division")</f>
        <v>Optimal Division</v>
      </c>
      <c r="C554" s="35" t="str">
        <f>IFERROR(__xludf.DUMMYFUNCTION("""COMPUTED_VALUE"""),"optimal-division")</f>
        <v>optimal-division</v>
      </c>
      <c r="D554" s="35" t="b">
        <f>IFERROR(__xludf.DUMMYFUNCTION("""COMPUTED_VALUE"""),FALSE)</f>
        <v>0</v>
      </c>
      <c r="E554" s="35" t="str">
        <f>IFERROR(__xludf.DUMMYFUNCTION("""COMPUTED_VALUE"""),"Medium")</f>
        <v>Medium</v>
      </c>
      <c r="F554" s="35">
        <f>IFERROR(__xludf.DUMMYFUNCTION("""COMPUTED_VALUE"""),255.0)</f>
        <v>255</v>
      </c>
      <c r="G554" s="35">
        <f>IFERROR(__xludf.DUMMYFUNCTION("""COMPUTED_VALUE"""),1359.0)</f>
        <v>1359</v>
      </c>
      <c r="H554" s="35" t="str">
        <f>IFERROR(__xludf.DUMMYFUNCTION("""COMPUTED_VALUE"""),"Algorithms")</f>
        <v>Algorithms</v>
      </c>
      <c r="I554" s="35">
        <f>IFERROR(__xludf.DUMMYFUNCTION("""COMPUTED_VALUE"""),0.588)</f>
        <v>0.588</v>
      </c>
      <c r="J554" s="35">
        <f>IFERROR(__xludf.DUMMYFUNCTION("""COMPUTED_VALUE"""),553.0)</f>
        <v>553</v>
      </c>
      <c r="K554" s="35" t="b">
        <f>IFERROR(__xludf.DUMMYFUNCTION("""COMPUTED_VALUE"""),FALSE)</f>
        <v>0</v>
      </c>
      <c r="L554" s="35" t="str">
        <f>IFERROR(__xludf.DUMMYFUNCTION("""COMPUTED_VALUE"""),"Array;Math;Dynamic Programming;")</f>
        <v>Array;Math;Dynamic Programming;</v>
      </c>
      <c r="M554" s="35" t="b">
        <f>IFERROR(__xludf.DUMMYFUNCTION("""COMPUTED_VALUE"""),TRUE)</f>
        <v>1</v>
      </c>
      <c r="N554" s="35" t="b">
        <f>IFERROR(__xludf.DUMMYFUNCTION("""COMPUTED_VALUE"""),FALSE)</f>
        <v>0</v>
      </c>
      <c r="O554" s="35">
        <f>IFERROR(__xludf.DUMMYFUNCTION("""COMPUTED_VALUE"""),58.7762740057462)</f>
        <v>58.77627401</v>
      </c>
      <c r="P554" s="35">
        <f>IFERROR(__xludf.DUMMYFUNCTION("""COMPUTED_VALUE"""),31095.0)</f>
        <v>31095</v>
      </c>
      <c r="Q554" s="35">
        <f>IFERROR(__xludf.DUMMYFUNCTION("""COMPUTED_VALUE"""),52904.0)</f>
        <v>52904</v>
      </c>
    </row>
    <row r="555">
      <c r="A555" s="35">
        <f>IFERROR(__xludf.DUMMYFUNCTION("""COMPUTED_VALUE"""),554.0)</f>
        <v>554</v>
      </c>
      <c r="B555" s="35" t="str">
        <f>IFERROR(__xludf.DUMMYFUNCTION("""COMPUTED_VALUE"""),"Brick Wall")</f>
        <v>Brick Wall</v>
      </c>
      <c r="C555" s="35" t="str">
        <f>IFERROR(__xludf.DUMMYFUNCTION("""COMPUTED_VALUE"""),"brick-wall")</f>
        <v>brick-wall</v>
      </c>
      <c r="D555" s="35" t="b">
        <f>IFERROR(__xludf.DUMMYFUNCTION("""COMPUTED_VALUE"""),FALSE)</f>
        <v>0</v>
      </c>
      <c r="E555" s="35" t="str">
        <f>IFERROR(__xludf.DUMMYFUNCTION("""COMPUTED_VALUE"""),"Medium")</f>
        <v>Medium</v>
      </c>
      <c r="F555" s="35">
        <f>IFERROR(__xludf.DUMMYFUNCTION("""COMPUTED_VALUE"""),1750.0)</f>
        <v>1750</v>
      </c>
      <c r="G555" s="35">
        <f>IFERROR(__xludf.DUMMYFUNCTION("""COMPUTED_VALUE"""),97.0)</f>
        <v>97</v>
      </c>
      <c r="H555" s="35" t="str">
        <f>IFERROR(__xludf.DUMMYFUNCTION("""COMPUTED_VALUE"""),"Algorithms")</f>
        <v>Algorithms</v>
      </c>
      <c r="I555" s="35">
        <f>IFERROR(__xludf.DUMMYFUNCTION("""COMPUTED_VALUE"""),0.525)</f>
        <v>0.525</v>
      </c>
      <c r="J555" s="35">
        <f>IFERROR(__xludf.DUMMYFUNCTION("""COMPUTED_VALUE"""),554.0)</f>
        <v>554</v>
      </c>
      <c r="K555" s="35" t="b">
        <f>IFERROR(__xludf.DUMMYFUNCTION("""COMPUTED_VALUE"""),FALSE)</f>
        <v>0</v>
      </c>
      <c r="L555" s="35" t="str">
        <f>IFERROR(__xludf.DUMMYFUNCTION("""COMPUTED_VALUE"""),"Array;Hash Table;")</f>
        <v>Array;Hash Table;</v>
      </c>
      <c r="M555" s="35" t="b">
        <f>IFERROR(__xludf.DUMMYFUNCTION("""COMPUTED_VALUE"""),TRUE)</f>
        <v>1</v>
      </c>
      <c r="N555" s="35" t="b">
        <f>IFERROR(__xludf.DUMMYFUNCTION("""COMPUTED_VALUE"""),TRUE)</f>
        <v>1</v>
      </c>
      <c r="O555" s="35">
        <f>IFERROR(__xludf.DUMMYFUNCTION("""COMPUTED_VALUE"""),52.501477407642)</f>
        <v>52.50147741</v>
      </c>
      <c r="P555" s="35">
        <f>IFERROR(__xludf.DUMMYFUNCTION("""COMPUTED_VALUE"""),98611.0)</f>
        <v>98611</v>
      </c>
      <c r="Q555" s="35">
        <f>IFERROR(__xludf.DUMMYFUNCTION("""COMPUTED_VALUE"""),187827.0)</f>
        <v>187827</v>
      </c>
    </row>
    <row r="556">
      <c r="A556" s="35">
        <f>IFERROR(__xludf.DUMMYFUNCTION("""COMPUTED_VALUE"""),555.0)</f>
        <v>555</v>
      </c>
      <c r="B556" s="35" t="str">
        <f>IFERROR(__xludf.DUMMYFUNCTION("""COMPUTED_VALUE"""),"Split Concatenated Strings")</f>
        <v>Split Concatenated Strings</v>
      </c>
      <c r="C556" s="35" t="str">
        <f>IFERROR(__xludf.DUMMYFUNCTION("""COMPUTED_VALUE"""),"split-concatenated-strings")</f>
        <v>split-concatenated-strings</v>
      </c>
      <c r="D556" s="35" t="b">
        <f>IFERROR(__xludf.DUMMYFUNCTION("""COMPUTED_VALUE"""),TRUE)</f>
        <v>1</v>
      </c>
      <c r="E556" s="35" t="str">
        <f>IFERROR(__xludf.DUMMYFUNCTION("""COMPUTED_VALUE"""),"Medium")</f>
        <v>Medium</v>
      </c>
      <c r="F556" s="35">
        <f>IFERROR(__xludf.DUMMYFUNCTION("""COMPUTED_VALUE"""),62.0)</f>
        <v>62</v>
      </c>
      <c r="G556" s="35">
        <f>IFERROR(__xludf.DUMMYFUNCTION("""COMPUTED_VALUE"""),233.0)</f>
        <v>233</v>
      </c>
      <c r="H556" s="35" t="str">
        <f>IFERROR(__xludf.DUMMYFUNCTION("""COMPUTED_VALUE"""),"Algorithms")</f>
        <v>Algorithms</v>
      </c>
      <c r="I556" s="35">
        <f>IFERROR(__xludf.DUMMYFUNCTION("""COMPUTED_VALUE"""),0.432)</f>
        <v>0.432</v>
      </c>
      <c r="J556" s="35">
        <f>IFERROR(__xludf.DUMMYFUNCTION("""COMPUTED_VALUE"""),555.0)</f>
        <v>555</v>
      </c>
      <c r="K556" s="35" t="b">
        <f>IFERROR(__xludf.DUMMYFUNCTION("""COMPUTED_VALUE"""),TRUE)</f>
        <v>1</v>
      </c>
      <c r="L556" s="35" t="str">
        <f>IFERROR(__xludf.DUMMYFUNCTION("""COMPUTED_VALUE"""),"Array;String;Greedy;")</f>
        <v>Array;String;Greedy;</v>
      </c>
      <c r="M556" s="35" t="b">
        <f>IFERROR(__xludf.DUMMYFUNCTION("""COMPUTED_VALUE"""),FALSE)</f>
        <v>0</v>
      </c>
      <c r="N556" s="35" t="b">
        <f>IFERROR(__xludf.DUMMYFUNCTION("""COMPUTED_VALUE"""),FALSE)</f>
        <v>0</v>
      </c>
      <c r="O556" s="35">
        <f>IFERROR(__xludf.DUMMYFUNCTION("""COMPUTED_VALUE"""),43.1870158613057)</f>
        <v>43.18701586</v>
      </c>
      <c r="P556" s="35">
        <f>IFERROR(__xludf.DUMMYFUNCTION("""COMPUTED_VALUE"""),5854.0)</f>
        <v>5854</v>
      </c>
      <c r="Q556" s="35">
        <f>IFERROR(__xludf.DUMMYFUNCTION("""COMPUTED_VALUE"""),13555.0)</f>
        <v>13555</v>
      </c>
    </row>
    <row r="557">
      <c r="A557" s="35">
        <f>IFERROR(__xludf.DUMMYFUNCTION("""COMPUTED_VALUE"""),556.0)</f>
        <v>556</v>
      </c>
      <c r="B557" s="35" t="str">
        <f>IFERROR(__xludf.DUMMYFUNCTION("""COMPUTED_VALUE"""),"Next Greater Element III")</f>
        <v>Next Greater Element III</v>
      </c>
      <c r="C557" s="35" t="str">
        <f>IFERROR(__xludf.DUMMYFUNCTION("""COMPUTED_VALUE"""),"next-greater-element-iii")</f>
        <v>next-greater-element-iii</v>
      </c>
      <c r="D557" s="35" t="b">
        <f>IFERROR(__xludf.DUMMYFUNCTION("""COMPUTED_VALUE"""),FALSE)</f>
        <v>0</v>
      </c>
      <c r="E557" s="35" t="str">
        <f>IFERROR(__xludf.DUMMYFUNCTION("""COMPUTED_VALUE"""),"Medium")</f>
        <v>Medium</v>
      </c>
      <c r="F557" s="35">
        <f>IFERROR(__xludf.DUMMYFUNCTION("""COMPUTED_VALUE"""),2044.0)</f>
        <v>2044</v>
      </c>
      <c r="G557" s="35">
        <f>IFERROR(__xludf.DUMMYFUNCTION("""COMPUTED_VALUE"""),327.0)</f>
        <v>327</v>
      </c>
      <c r="H557" s="35" t="str">
        <f>IFERROR(__xludf.DUMMYFUNCTION("""COMPUTED_VALUE"""),"Algorithms")</f>
        <v>Algorithms</v>
      </c>
      <c r="I557" s="35">
        <f>IFERROR(__xludf.DUMMYFUNCTION("""COMPUTED_VALUE"""),0.336)</f>
        <v>0.336</v>
      </c>
      <c r="J557" s="35">
        <f>IFERROR(__xludf.DUMMYFUNCTION("""COMPUTED_VALUE"""),556.0)</f>
        <v>556</v>
      </c>
      <c r="K557" s="35" t="b">
        <f>IFERROR(__xludf.DUMMYFUNCTION("""COMPUTED_VALUE"""),FALSE)</f>
        <v>0</v>
      </c>
      <c r="L557" s="35" t="str">
        <f>IFERROR(__xludf.DUMMYFUNCTION("""COMPUTED_VALUE"""),"Math;Two Pointers;String;")</f>
        <v>Math;Two Pointers;String;</v>
      </c>
      <c r="M557" s="35" t="b">
        <f>IFERROR(__xludf.DUMMYFUNCTION("""COMPUTED_VALUE"""),TRUE)</f>
        <v>1</v>
      </c>
      <c r="N557" s="35" t="b">
        <f>IFERROR(__xludf.DUMMYFUNCTION("""COMPUTED_VALUE"""),FALSE)</f>
        <v>0</v>
      </c>
      <c r="O557" s="35">
        <f>IFERROR(__xludf.DUMMYFUNCTION("""COMPUTED_VALUE"""),33.6388684388917)</f>
        <v>33.63886844</v>
      </c>
      <c r="P557" s="35">
        <f>IFERROR(__xludf.DUMMYFUNCTION("""COMPUTED_VALUE"""),92295.0)</f>
        <v>92295</v>
      </c>
      <c r="Q557" s="35">
        <f>IFERROR(__xludf.DUMMYFUNCTION("""COMPUTED_VALUE"""),274378.0)</f>
        <v>274378</v>
      </c>
    </row>
    <row r="558">
      <c r="A558" s="35">
        <f>IFERROR(__xludf.DUMMYFUNCTION("""COMPUTED_VALUE"""),557.0)</f>
        <v>557</v>
      </c>
      <c r="B558" s="35" t="str">
        <f>IFERROR(__xludf.DUMMYFUNCTION("""COMPUTED_VALUE"""),"Reverse Words in a String III")</f>
        <v>Reverse Words in a String III</v>
      </c>
      <c r="C558" s="35" t="str">
        <f>IFERROR(__xludf.DUMMYFUNCTION("""COMPUTED_VALUE"""),"reverse-words-in-a-string-iii")</f>
        <v>reverse-words-in-a-string-iii</v>
      </c>
      <c r="D558" s="35" t="b">
        <f>IFERROR(__xludf.DUMMYFUNCTION("""COMPUTED_VALUE"""),FALSE)</f>
        <v>0</v>
      </c>
      <c r="E558" s="35" t="str">
        <f>IFERROR(__xludf.DUMMYFUNCTION("""COMPUTED_VALUE"""),"Easy")</f>
        <v>Easy</v>
      </c>
      <c r="F558" s="35">
        <f>IFERROR(__xludf.DUMMYFUNCTION("""COMPUTED_VALUE"""),2526.0)</f>
        <v>2526</v>
      </c>
      <c r="G558" s="35">
        <f>IFERROR(__xludf.DUMMYFUNCTION("""COMPUTED_VALUE"""),151.0)</f>
        <v>151</v>
      </c>
      <c r="H558" s="35" t="str">
        <f>IFERROR(__xludf.DUMMYFUNCTION("""COMPUTED_VALUE"""),"Algorithms")</f>
        <v>Algorithms</v>
      </c>
      <c r="I558" s="35">
        <f>IFERROR(__xludf.DUMMYFUNCTION("""COMPUTED_VALUE"""),0.78)</f>
        <v>0.78</v>
      </c>
      <c r="J558" s="35">
        <f>IFERROR(__xludf.DUMMYFUNCTION("""COMPUTED_VALUE"""),557.0)</f>
        <v>557</v>
      </c>
      <c r="K558" s="35" t="b">
        <f>IFERROR(__xludf.DUMMYFUNCTION("""COMPUTED_VALUE"""),FALSE)</f>
        <v>0</v>
      </c>
      <c r="L558" s="35" t="str">
        <f>IFERROR(__xludf.DUMMYFUNCTION("""COMPUTED_VALUE"""),"Two Pointers;String;")</f>
        <v>Two Pointers;String;</v>
      </c>
      <c r="M558" s="35" t="b">
        <f>IFERROR(__xludf.DUMMYFUNCTION("""COMPUTED_VALUE"""),TRUE)</f>
        <v>1</v>
      </c>
      <c r="N558" s="35" t="b">
        <f>IFERROR(__xludf.DUMMYFUNCTION("""COMPUTED_VALUE"""),FALSE)</f>
        <v>0</v>
      </c>
      <c r="O558" s="35">
        <f>IFERROR(__xludf.DUMMYFUNCTION("""COMPUTED_VALUE"""),78.0124686848597)</f>
        <v>78.01246868</v>
      </c>
      <c r="P558" s="35">
        <f>IFERROR(__xludf.DUMMYFUNCTION("""COMPUTED_VALUE"""),407915.0)</f>
        <v>407915</v>
      </c>
      <c r="Q558" s="35">
        <f>IFERROR(__xludf.DUMMYFUNCTION("""COMPUTED_VALUE"""),522885.0)</f>
        <v>522885</v>
      </c>
    </row>
    <row r="559">
      <c r="A559" s="35">
        <f>IFERROR(__xludf.DUMMYFUNCTION("""COMPUTED_VALUE"""),773.0)</f>
        <v>773</v>
      </c>
      <c r="B559" s="35" t="str">
        <f>IFERROR(__xludf.DUMMYFUNCTION("""COMPUTED_VALUE"""),"Logical OR of Two Binary Grids Represented as Quad-Trees")</f>
        <v>Logical OR of Two Binary Grids Represented as Quad-Trees</v>
      </c>
      <c r="C559" s="35" t="str">
        <f>IFERROR(__xludf.DUMMYFUNCTION("""COMPUTED_VALUE"""),"logical-or-of-two-binary-grids-represented-as-quad-trees")</f>
        <v>logical-or-of-two-binary-grids-represented-as-quad-trees</v>
      </c>
      <c r="D559" s="35" t="b">
        <f>IFERROR(__xludf.DUMMYFUNCTION("""COMPUTED_VALUE"""),FALSE)</f>
        <v>0</v>
      </c>
      <c r="E559" s="35" t="str">
        <f>IFERROR(__xludf.DUMMYFUNCTION("""COMPUTED_VALUE"""),"Medium")</f>
        <v>Medium</v>
      </c>
      <c r="F559" s="35">
        <f>IFERROR(__xludf.DUMMYFUNCTION("""COMPUTED_VALUE"""),125.0)</f>
        <v>125</v>
      </c>
      <c r="G559" s="35">
        <f>IFERROR(__xludf.DUMMYFUNCTION("""COMPUTED_VALUE"""),403.0)</f>
        <v>403</v>
      </c>
      <c r="H559" s="35" t="str">
        <f>IFERROR(__xludf.DUMMYFUNCTION("""COMPUTED_VALUE"""),"Algorithms")</f>
        <v>Algorithms</v>
      </c>
      <c r="I559" s="35">
        <f>IFERROR(__xludf.DUMMYFUNCTION("""COMPUTED_VALUE"""),0.471)</f>
        <v>0.471</v>
      </c>
      <c r="J559" s="35">
        <f>IFERROR(__xludf.DUMMYFUNCTION("""COMPUTED_VALUE"""),558.0)</f>
        <v>558</v>
      </c>
      <c r="K559" s="35" t="b">
        <f>IFERROR(__xludf.DUMMYFUNCTION("""COMPUTED_VALUE"""),FALSE)</f>
        <v>0</v>
      </c>
      <c r="L559" s="35" t="str">
        <f>IFERROR(__xludf.DUMMYFUNCTION("""COMPUTED_VALUE"""),"Divide and Conquer;Tree;")</f>
        <v>Divide and Conquer;Tree;</v>
      </c>
      <c r="M559" s="35" t="b">
        <f>IFERROR(__xludf.DUMMYFUNCTION("""COMPUTED_VALUE"""),FALSE)</f>
        <v>0</v>
      </c>
      <c r="N559" s="35" t="b">
        <f>IFERROR(__xludf.DUMMYFUNCTION("""COMPUTED_VALUE"""),FALSE)</f>
        <v>0</v>
      </c>
      <c r="O559" s="35">
        <f>IFERROR(__xludf.DUMMYFUNCTION("""COMPUTED_VALUE"""),47.0765003863655)</f>
        <v>47.07650039</v>
      </c>
      <c r="P559" s="35">
        <f>IFERROR(__xludf.DUMMYFUNCTION("""COMPUTED_VALUE"""),10966.0)</f>
        <v>10966</v>
      </c>
      <c r="Q559" s="35">
        <f>IFERROR(__xludf.DUMMYFUNCTION("""COMPUTED_VALUE"""),23294.0)</f>
        <v>23294</v>
      </c>
    </row>
    <row r="560">
      <c r="A560" s="35">
        <f>IFERROR(__xludf.DUMMYFUNCTION("""COMPUTED_VALUE"""),774.0)</f>
        <v>774</v>
      </c>
      <c r="B560" s="35" t="str">
        <f>IFERROR(__xludf.DUMMYFUNCTION("""COMPUTED_VALUE"""),"Maximum Depth of N-ary Tree")</f>
        <v>Maximum Depth of N-ary Tree</v>
      </c>
      <c r="C560" s="35" t="str">
        <f>IFERROR(__xludf.DUMMYFUNCTION("""COMPUTED_VALUE"""),"maximum-depth-of-n-ary-tree")</f>
        <v>maximum-depth-of-n-ary-tree</v>
      </c>
      <c r="D560" s="35" t="b">
        <f>IFERROR(__xludf.DUMMYFUNCTION("""COMPUTED_VALUE"""),FALSE)</f>
        <v>0</v>
      </c>
      <c r="E560" s="35" t="str">
        <f>IFERROR(__xludf.DUMMYFUNCTION("""COMPUTED_VALUE"""),"Easy")</f>
        <v>Easy</v>
      </c>
      <c r="F560" s="35">
        <f>IFERROR(__xludf.DUMMYFUNCTION("""COMPUTED_VALUE"""),1903.0)</f>
        <v>1903</v>
      </c>
      <c r="G560" s="35">
        <f>IFERROR(__xludf.DUMMYFUNCTION("""COMPUTED_VALUE"""),68.0)</f>
        <v>68</v>
      </c>
      <c r="H560" s="35" t="str">
        <f>IFERROR(__xludf.DUMMYFUNCTION("""COMPUTED_VALUE"""),"Algorithms")</f>
        <v>Algorithms</v>
      </c>
      <c r="I560" s="35">
        <f>IFERROR(__xludf.DUMMYFUNCTION("""COMPUTED_VALUE"""),0.709)</f>
        <v>0.709</v>
      </c>
      <c r="J560" s="35">
        <f>IFERROR(__xludf.DUMMYFUNCTION("""COMPUTED_VALUE"""),559.0)</f>
        <v>559</v>
      </c>
      <c r="K560" s="35" t="b">
        <f>IFERROR(__xludf.DUMMYFUNCTION("""COMPUTED_VALUE"""),FALSE)</f>
        <v>0</v>
      </c>
      <c r="L560" s="35" t="str">
        <f>IFERROR(__xludf.DUMMYFUNCTION("""COMPUTED_VALUE"""),"Tree;Depth-First Search;Breadth-First Search;")</f>
        <v>Tree;Depth-First Search;Breadth-First Search;</v>
      </c>
      <c r="M560" s="35" t="b">
        <f>IFERROR(__xludf.DUMMYFUNCTION("""COMPUTED_VALUE"""),TRUE)</f>
        <v>1</v>
      </c>
      <c r="N560" s="35" t="b">
        <f>IFERROR(__xludf.DUMMYFUNCTION("""COMPUTED_VALUE"""),FALSE)</f>
        <v>0</v>
      </c>
      <c r="O560" s="35">
        <f>IFERROR(__xludf.DUMMYFUNCTION("""COMPUTED_VALUE"""),70.8774124124823)</f>
        <v>70.87741241</v>
      </c>
      <c r="P560" s="35">
        <f>IFERROR(__xludf.DUMMYFUNCTION("""COMPUTED_VALUE"""),202869.0)</f>
        <v>202869</v>
      </c>
      <c r="Q560" s="35">
        <f>IFERROR(__xludf.DUMMYFUNCTION("""COMPUTED_VALUE"""),286225.0)</f>
        <v>286225</v>
      </c>
    </row>
    <row r="561">
      <c r="A561" s="35">
        <f>IFERROR(__xludf.DUMMYFUNCTION("""COMPUTED_VALUE"""),560.0)</f>
        <v>560</v>
      </c>
      <c r="B561" s="35" t="str">
        <f>IFERROR(__xludf.DUMMYFUNCTION("""COMPUTED_VALUE"""),"Subarray Sum Equals K")</f>
        <v>Subarray Sum Equals K</v>
      </c>
      <c r="C561" s="35" t="str">
        <f>IFERROR(__xludf.DUMMYFUNCTION("""COMPUTED_VALUE"""),"subarray-sum-equals-k")</f>
        <v>subarray-sum-equals-k</v>
      </c>
      <c r="D561" s="35" t="b">
        <f>IFERROR(__xludf.DUMMYFUNCTION("""COMPUTED_VALUE"""),FALSE)</f>
        <v>0</v>
      </c>
      <c r="E561" s="35" t="str">
        <f>IFERROR(__xludf.DUMMYFUNCTION("""COMPUTED_VALUE"""),"Medium")</f>
        <v>Medium</v>
      </c>
      <c r="F561" s="35">
        <f>IFERROR(__xludf.DUMMYFUNCTION("""COMPUTED_VALUE"""),12357.0)</f>
        <v>12357</v>
      </c>
      <c r="G561" s="35">
        <f>IFERROR(__xludf.DUMMYFUNCTION("""COMPUTED_VALUE"""),390.0)</f>
        <v>390</v>
      </c>
      <c r="H561" s="35" t="str">
        <f>IFERROR(__xludf.DUMMYFUNCTION("""COMPUTED_VALUE"""),"Algorithms")</f>
        <v>Algorithms</v>
      </c>
      <c r="I561" s="35">
        <f>IFERROR(__xludf.DUMMYFUNCTION("""COMPUTED_VALUE"""),0.441)</f>
        <v>0.441</v>
      </c>
      <c r="J561" s="35">
        <f>IFERROR(__xludf.DUMMYFUNCTION("""COMPUTED_VALUE"""),560.0)</f>
        <v>560</v>
      </c>
      <c r="K561" s="35" t="b">
        <f>IFERROR(__xludf.DUMMYFUNCTION("""COMPUTED_VALUE"""),FALSE)</f>
        <v>0</v>
      </c>
      <c r="L561" s="35" t="str">
        <f>IFERROR(__xludf.DUMMYFUNCTION("""COMPUTED_VALUE"""),"Array;Hash Table;Prefix Sum;")</f>
        <v>Array;Hash Table;Prefix Sum;</v>
      </c>
      <c r="M561" s="35" t="b">
        <f>IFERROR(__xludf.DUMMYFUNCTION("""COMPUTED_VALUE"""),TRUE)</f>
        <v>1</v>
      </c>
      <c r="N561" s="35" t="b">
        <f>IFERROR(__xludf.DUMMYFUNCTION("""COMPUTED_VALUE"""),FALSE)</f>
        <v>0</v>
      </c>
      <c r="O561" s="35">
        <f>IFERROR(__xludf.DUMMYFUNCTION("""COMPUTED_VALUE"""),44.146360606646)</f>
        <v>44.14636061</v>
      </c>
      <c r="P561" s="35">
        <f>IFERROR(__xludf.DUMMYFUNCTION("""COMPUTED_VALUE"""),731199.0)</f>
        <v>731199</v>
      </c>
      <c r="Q561" s="35">
        <f>IFERROR(__xludf.DUMMYFUNCTION("""COMPUTED_VALUE"""),1656290.0)</f>
        <v>1656290</v>
      </c>
    </row>
    <row r="562">
      <c r="A562" s="35">
        <f>IFERROR(__xludf.DUMMYFUNCTION("""COMPUTED_VALUE"""),561.0)</f>
        <v>561</v>
      </c>
      <c r="B562" s="35" t="str">
        <f>IFERROR(__xludf.DUMMYFUNCTION("""COMPUTED_VALUE"""),"Array Partition I")</f>
        <v>Array Partition I</v>
      </c>
      <c r="C562" s="35" t="str">
        <f>IFERROR(__xludf.DUMMYFUNCTION("""COMPUTED_VALUE"""),"array-partition-i")</f>
        <v>array-partition-i</v>
      </c>
      <c r="D562" s="35" t="b">
        <f>IFERROR(__xludf.DUMMYFUNCTION("""COMPUTED_VALUE"""),FALSE)</f>
        <v>0</v>
      </c>
      <c r="E562" s="35" t="str">
        <f>IFERROR(__xludf.DUMMYFUNCTION("""COMPUTED_VALUE"""),"Easy")</f>
        <v>Easy</v>
      </c>
      <c r="F562" s="35">
        <f>IFERROR(__xludf.DUMMYFUNCTION("""COMPUTED_VALUE"""),731.0)</f>
        <v>731</v>
      </c>
      <c r="G562" s="35">
        <f>IFERROR(__xludf.DUMMYFUNCTION("""COMPUTED_VALUE"""),125.0)</f>
        <v>125</v>
      </c>
      <c r="H562" s="35" t="str">
        <f>IFERROR(__xludf.DUMMYFUNCTION("""COMPUTED_VALUE"""),"Algorithms")</f>
        <v>Algorithms</v>
      </c>
      <c r="I562" s="35">
        <f>IFERROR(__xludf.DUMMYFUNCTION("""COMPUTED_VALUE"""),0.754)</f>
        <v>0.754</v>
      </c>
      <c r="J562" s="35">
        <f>IFERROR(__xludf.DUMMYFUNCTION("""COMPUTED_VALUE"""),561.0)</f>
        <v>561</v>
      </c>
      <c r="K562" s="35" t="b">
        <f>IFERROR(__xludf.DUMMYFUNCTION("""COMPUTED_VALUE"""),FALSE)</f>
        <v>0</v>
      </c>
      <c r="L562" s="35" t="str">
        <f>IFERROR(__xludf.DUMMYFUNCTION("""COMPUTED_VALUE"""),"Array;Greedy;Sorting;Counting Sort;")</f>
        <v>Array;Greedy;Sorting;Counting Sort;</v>
      </c>
      <c r="M562" s="35" t="b">
        <f>IFERROR(__xludf.DUMMYFUNCTION("""COMPUTED_VALUE"""),FALSE)</f>
        <v>0</v>
      </c>
      <c r="N562" s="35" t="b">
        <f>IFERROR(__xludf.DUMMYFUNCTION("""COMPUTED_VALUE"""),FALSE)</f>
        <v>0</v>
      </c>
      <c r="O562" s="35">
        <f>IFERROR(__xludf.DUMMYFUNCTION("""COMPUTED_VALUE"""),75.380133258057)</f>
        <v>75.38013326</v>
      </c>
      <c r="P562" s="35">
        <f>IFERROR(__xludf.DUMMYFUNCTION("""COMPUTED_VALUE"""),316430.0)</f>
        <v>316430</v>
      </c>
      <c r="Q562" s="35">
        <f>IFERROR(__xludf.DUMMYFUNCTION("""COMPUTED_VALUE"""),419781.0)</f>
        <v>419781</v>
      </c>
    </row>
    <row r="563">
      <c r="A563" s="35">
        <f>IFERROR(__xludf.DUMMYFUNCTION("""COMPUTED_VALUE"""),562.0)</f>
        <v>562</v>
      </c>
      <c r="B563" s="35" t="str">
        <f>IFERROR(__xludf.DUMMYFUNCTION("""COMPUTED_VALUE"""),"Longest Line of Consecutive One in Matrix")</f>
        <v>Longest Line of Consecutive One in Matrix</v>
      </c>
      <c r="C563" s="35" t="str">
        <f>IFERROR(__xludf.DUMMYFUNCTION("""COMPUTED_VALUE"""),"longest-line-of-consecutive-one-in-matrix")</f>
        <v>longest-line-of-consecutive-one-in-matrix</v>
      </c>
      <c r="D563" s="35" t="b">
        <f>IFERROR(__xludf.DUMMYFUNCTION("""COMPUTED_VALUE"""),TRUE)</f>
        <v>1</v>
      </c>
      <c r="E563" s="35" t="str">
        <f>IFERROR(__xludf.DUMMYFUNCTION("""COMPUTED_VALUE"""),"Medium")</f>
        <v>Medium</v>
      </c>
      <c r="F563" s="35">
        <f>IFERROR(__xludf.DUMMYFUNCTION("""COMPUTED_VALUE"""),673.0)</f>
        <v>673</v>
      </c>
      <c r="G563" s="35">
        <f>IFERROR(__xludf.DUMMYFUNCTION("""COMPUTED_VALUE"""),97.0)</f>
        <v>97</v>
      </c>
      <c r="H563" s="35" t="str">
        <f>IFERROR(__xludf.DUMMYFUNCTION("""COMPUTED_VALUE"""),"Algorithms")</f>
        <v>Algorithms</v>
      </c>
      <c r="I563" s="35">
        <f>IFERROR(__xludf.DUMMYFUNCTION("""COMPUTED_VALUE"""),0.489)</f>
        <v>0.489</v>
      </c>
      <c r="J563" s="35">
        <f>IFERROR(__xludf.DUMMYFUNCTION("""COMPUTED_VALUE"""),562.0)</f>
        <v>562</v>
      </c>
      <c r="K563" s="35" t="b">
        <f>IFERROR(__xludf.DUMMYFUNCTION("""COMPUTED_VALUE"""),TRUE)</f>
        <v>1</v>
      </c>
      <c r="L563" s="35" t="str">
        <f>IFERROR(__xludf.DUMMYFUNCTION("""COMPUTED_VALUE"""),"Array;Dynamic Programming;Matrix;")</f>
        <v>Array;Dynamic Programming;Matrix;</v>
      </c>
      <c r="M563" s="35" t="b">
        <f>IFERROR(__xludf.DUMMYFUNCTION("""COMPUTED_VALUE"""),TRUE)</f>
        <v>1</v>
      </c>
      <c r="N563" s="35" t="b">
        <f>IFERROR(__xludf.DUMMYFUNCTION("""COMPUTED_VALUE"""),FALSE)</f>
        <v>0</v>
      </c>
      <c r="O563" s="35">
        <f>IFERROR(__xludf.DUMMYFUNCTION("""COMPUTED_VALUE"""),48.9452392527258)</f>
        <v>48.94523925</v>
      </c>
      <c r="P563" s="35">
        <f>IFERROR(__xludf.DUMMYFUNCTION("""COMPUTED_VALUE"""),56380.0)</f>
        <v>56380</v>
      </c>
      <c r="Q563" s="35">
        <f>IFERROR(__xludf.DUMMYFUNCTION("""COMPUTED_VALUE"""),115191.0)</f>
        <v>115191</v>
      </c>
    </row>
    <row r="564">
      <c r="A564" s="35">
        <f>IFERROR(__xludf.DUMMYFUNCTION("""COMPUTED_VALUE"""),563.0)</f>
        <v>563</v>
      </c>
      <c r="B564" s="35" t="str">
        <f>IFERROR(__xludf.DUMMYFUNCTION("""COMPUTED_VALUE"""),"Binary Tree Tilt")</f>
        <v>Binary Tree Tilt</v>
      </c>
      <c r="C564" s="35" t="str">
        <f>IFERROR(__xludf.DUMMYFUNCTION("""COMPUTED_VALUE"""),"binary-tree-tilt")</f>
        <v>binary-tree-tilt</v>
      </c>
      <c r="D564" s="35" t="b">
        <f>IFERROR(__xludf.DUMMYFUNCTION("""COMPUTED_VALUE"""),FALSE)</f>
        <v>0</v>
      </c>
      <c r="E564" s="35" t="str">
        <f>IFERROR(__xludf.DUMMYFUNCTION("""COMPUTED_VALUE"""),"Easy")</f>
        <v>Easy</v>
      </c>
      <c r="F564" s="35">
        <f>IFERROR(__xludf.DUMMYFUNCTION("""COMPUTED_VALUE"""),1559.0)</f>
        <v>1559</v>
      </c>
      <c r="G564" s="35">
        <f>IFERROR(__xludf.DUMMYFUNCTION("""COMPUTED_VALUE"""),1893.0)</f>
        <v>1893</v>
      </c>
      <c r="H564" s="35" t="str">
        <f>IFERROR(__xludf.DUMMYFUNCTION("""COMPUTED_VALUE"""),"Algorithms")</f>
        <v>Algorithms</v>
      </c>
      <c r="I564" s="35">
        <f>IFERROR(__xludf.DUMMYFUNCTION("""COMPUTED_VALUE"""),0.583)</f>
        <v>0.583</v>
      </c>
      <c r="J564" s="35">
        <f>IFERROR(__xludf.DUMMYFUNCTION("""COMPUTED_VALUE"""),563.0)</f>
        <v>563</v>
      </c>
      <c r="K564" s="35" t="b">
        <f>IFERROR(__xludf.DUMMYFUNCTION("""COMPUTED_VALUE"""),FALSE)</f>
        <v>0</v>
      </c>
      <c r="L564" s="35" t="str">
        <f>IFERROR(__xludf.DUMMYFUNCTION("""COMPUTED_VALUE"""),"Tree;Depth-First Search;Binary Tree;")</f>
        <v>Tree;Depth-First Search;Binary Tree;</v>
      </c>
      <c r="M564" s="35" t="b">
        <f>IFERROR(__xludf.DUMMYFUNCTION("""COMPUTED_VALUE"""),TRUE)</f>
        <v>1</v>
      </c>
      <c r="N564" s="35" t="b">
        <f>IFERROR(__xludf.DUMMYFUNCTION("""COMPUTED_VALUE"""),FALSE)</f>
        <v>0</v>
      </c>
      <c r="O564" s="35">
        <f>IFERROR(__xludf.DUMMYFUNCTION("""COMPUTED_VALUE"""),58.2857061005829)</f>
        <v>58.2857061</v>
      </c>
      <c r="P564" s="35">
        <f>IFERROR(__xludf.DUMMYFUNCTION("""COMPUTED_VALUE"""),162763.0)</f>
        <v>162763</v>
      </c>
      <c r="Q564" s="35">
        <f>IFERROR(__xludf.DUMMYFUNCTION("""COMPUTED_VALUE"""),279250.0)</f>
        <v>279250</v>
      </c>
    </row>
    <row r="565">
      <c r="A565" s="35">
        <f>IFERROR(__xludf.DUMMYFUNCTION("""COMPUTED_VALUE"""),564.0)</f>
        <v>564</v>
      </c>
      <c r="B565" s="35" t="str">
        <f>IFERROR(__xludf.DUMMYFUNCTION("""COMPUTED_VALUE"""),"Find the Closest Palindrome")</f>
        <v>Find the Closest Palindrome</v>
      </c>
      <c r="C565" s="35" t="str">
        <f>IFERROR(__xludf.DUMMYFUNCTION("""COMPUTED_VALUE"""),"find-the-closest-palindrome")</f>
        <v>find-the-closest-palindrome</v>
      </c>
      <c r="D565" s="35" t="b">
        <f>IFERROR(__xludf.DUMMYFUNCTION("""COMPUTED_VALUE"""),FALSE)</f>
        <v>0</v>
      </c>
      <c r="E565" s="35" t="str">
        <f>IFERROR(__xludf.DUMMYFUNCTION("""COMPUTED_VALUE"""),"Hard")</f>
        <v>Hard</v>
      </c>
      <c r="F565" s="35">
        <f>IFERROR(__xludf.DUMMYFUNCTION("""COMPUTED_VALUE"""),461.0)</f>
        <v>461</v>
      </c>
      <c r="G565" s="35">
        <f>IFERROR(__xludf.DUMMYFUNCTION("""COMPUTED_VALUE"""),1096.0)</f>
        <v>1096</v>
      </c>
      <c r="H565" s="35" t="str">
        <f>IFERROR(__xludf.DUMMYFUNCTION("""COMPUTED_VALUE"""),"Algorithms")</f>
        <v>Algorithms</v>
      </c>
      <c r="I565" s="35">
        <f>IFERROR(__xludf.DUMMYFUNCTION("""COMPUTED_VALUE"""),0.211)</f>
        <v>0.211</v>
      </c>
      <c r="J565" s="35">
        <f>IFERROR(__xludf.DUMMYFUNCTION("""COMPUTED_VALUE"""),564.0)</f>
        <v>564</v>
      </c>
      <c r="K565" s="35" t="b">
        <f>IFERROR(__xludf.DUMMYFUNCTION("""COMPUTED_VALUE"""),FALSE)</f>
        <v>0</v>
      </c>
      <c r="L565" s="35" t="str">
        <f>IFERROR(__xludf.DUMMYFUNCTION("""COMPUTED_VALUE"""),"Math;String;")</f>
        <v>Math;String;</v>
      </c>
      <c r="M565" s="35" t="b">
        <f>IFERROR(__xludf.DUMMYFUNCTION("""COMPUTED_VALUE"""),FALSE)</f>
        <v>0</v>
      </c>
      <c r="N565" s="35" t="b">
        <f>IFERROR(__xludf.DUMMYFUNCTION("""COMPUTED_VALUE"""),FALSE)</f>
        <v>0</v>
      </c>
      <c r="O565" s="35">
        <f>IFERROR(__xludf.DUMMYFUNCTION("""COMPUTED_VALUE"""),21.1151602990669)</f>
        <v>21.1151603</v>
      </c>
      <c r="P565" s="35">
        <f>IFERROR(__xludf.DUMMYFUNCTION("""COMPUTED_VALUE"""),30303.0)</f>
        <v>30303</v>
      </c>
      <c r="Q565" s="35">
        <f>IFERROR(__xludf.DUMMYFUNCTION("""COMPUTED_VALUE"""),143513.0)</f>
        <v>143513</v>
      </c>
    </row>
    <row r="566">
      <c r="A566" s="35">
        <f>IFERROR(__xludf.DUMMYFUNCTION("""COMPUTED_VALUE"""),565.0)</f>
        <v>565</v>
      </c>
      <c r="B566" s="35" t="str">
        <f>IFERROR(__xludf.DUMMYFUNCTION("""COMPUTED_VALUE"""),"Array Nesting")</f>
        <v>Array Nesting</v>
      </c>
      <c r="C566" s="35" t="str">
        <f>IFERROR(__xludf.DUMMYFUNCTION("""COMPUTED_VALUE"""),"array-nesting")</f>
        <v>array-nesting</v>
      </c>
      <c r="D566" s="35" t="b">
        <f>IFERROR(__xludf.DUMMYFUNCTION("""COMPUTED_VALUE"""),FALSE)</f>
        <v>0</v>
      </c>
      <c r="E566" s="35" t="str">
        <f>IFERROR(__xludf.DUMMYFUNCTION("""COMPUTED_VALUE"""),"Medium")</f>
        <v>Medium</v>
      </c>
      <c r="F566" s="35">
        <f>IFERROR(__xludf.DUMMYFUNCTION("""COMPUTED_VALUE"""),1808.0)</f>
        <v>1808</v>
      </c>
      <c r="G566" s="35">
        <f>IFERROR(__xludf.DUMMYFUNCTION("""COMPUTED_VALUE"""),138.0)</f>
        <v>138</v>
      </c>
      <c r="H566" s="35" t="str">
        <f>IFERROR(__xludf.DUMMYFUNCTION("""COMPUTED_VALUE"""),"Algorithms")</f>
        <v>Algorithms</v>
      </c>
      <c r="I566" s="35">
        <f>IFERROR(__xludf.DUMMYFUNCTION("""COMPUTED_VALUE"""),0.562)</f>
        <v>0.562</v>
      </c>
      <c r="J566" s="35">
        <f>IFERROR(__xludf.DUMMYFUNCTION("""COMPUTED_VALUE"""),565.0)</f>
        <v>565</v>
      </c>
      <c r="K566" s="35" t="b">
        <f>IFERROR(__xludf.DUMMYFUNCTION("""COMPUTED_VALUE"""),FALSE)</f>
        <v>0</v>
      </c>
      <c r="L566" s="35" t="str">
        <f>IFERROR(__xludf.DUMMYFUNCTION("""COMPUTED_VALUE"""),"Array;Depth-First Search;")</f>
        <v>Array;Depth-First Search;</v>
      </c>
      <c r="M566" s="35" t="b">
        <f>IFERROR(__xludf.DUMMYFUNCTION("""COMPUTED_VALUE"""),TRUE)</f>
        <v>1</v>
      </c>
      <c r="N566" s="35" t="b">
        <f>IFERROR(__xludf.DUMMYFUNCTION("""COMPUTED_VALUE"""),FALSE)</f>
        <v>0</v>
      </c>
      <c r="O566" s="35">
        <f>IFERROR(__xludf.DUMMYFUNCTION("""COMPUTED_VALUE"""),56.2484563467461)</f>
        <v>56.24845635</v>
      </c>
      <c r="P566" s="35">
        <f>IFERROR(__xludf.DUMMYFUNCTION("""COMPUTED_VALUE"""),111592.0)</f>
        <v>111592</v>
      </c>
      <c r="Q566" s="35">
        <f>IFERROR(__xludf.DUMMYFUNCTION("""COMPUTED_VALUE"""),198391.0)</f>
        <v>198391</v>
      </c>
    </row>
    <row r="567">
      <c r="A567" s="35">
        <f>IFERROR(__xludf.DUMMYFUNCTION("""COMPUTED_VALUE"""),566.0)</f>
        <v>566</v>
      </c>
      <c r="B567" s="35" t="str">
        <f>IFERROR(__xludf.DUMMYFUNCTION("""COMPUTED_VALUE"""),"Reshape the Matrix")</f>
        <v>Reshape the Matrix</v>
      </c>
      <c r="C567" s="35" t="str">
        <f>IFERROR(__xludf.DUMMYFUNCTION("""COMPUTED_VALUE"""),"reshape-the-matrix")</f>
        <v>reshape-the-matrix</v>
      </c>
      <c r="D567" s="35" t="b">
        <f>IFERROR(__xludf.DUMMYFUNCTION("""COMPUTED_VALUE"""),FALSE)</f>
        <v>0</v>
      </c>
      <c r="E567" s="35" t="str">
        <f>IFERROR(__xludf.DUMMYFUNCTION("""COMPUTED_VALUE"""),"Easy")</f>
        <v>Easy</v>
      </c>
      <c r="F567" s="35">
        <f>IFERROR(__xludf.DUMMYFUNCTION("""COMPUTED_VALUE"""),2026.0)</f>
        <v>2026</v>
      </c>
      <c r="G567" s="35">
        <f>IFERROR(__xludf.DUMMYFUNCTION("""COMPUTED_VALUE"""),232.0)</f>
        <v>232</v>
      </c>
      <c r="H567" s="35" t="str">
        <f>IFERROR(__xludf.DUMMYFUNCTION("""COMPUTED_VALUE"""),"Algorithms")</f>
        <v>Algorithms</v>
      </c>
      <c r="I567" s="35">
        <f>IFERROR(__xludf.DUMMYFUNCTION("""COMPUTED_VALUE"""),0.623)</f>
        <v>0.623</v>
      </c>
      <c r="J567" s="35">
        <f>IFERROR(__xludf.DUMMYFUNCTION("""COMPUTED_VALUE"""),566.0)</f>
        <v>566</v>
      </c>
      <c r="K567" s="35" t="b">
        <f>IFERROR(__xludf.DUMMYFUNCTION("""COMPUTED_VALUE"""),FALSE)</f>
        <v>0</v>
      </c>
      <c r="L567" s="35" t="str">
        <f>IFERROR(__xludf.DUMMYFUNCTION("""COMPUTED_VALUE"""),"Array;Matrix;Simulation;")</f>
        <v>Array;Matrix;Simulation;</v>
      </c>
      <c r="M567" s="35" t="b">
        <f>IFERROR(__xludf.DUMMYFUNCTION("""COMPUTED_VALUE"""),TRUE)</f>
        <v>1</v>
      </c>
      <c r="N567" s="35" t="b">
        <f>IFERROR(__xludf.DUMMYFUNCTION("""COMPUTED_VALUE"""),FALSE)</f>
        <v>0</v>
      </c>
      <c r="O567" s="35">
        <f>IFERROR(__xludf.DUMMYFUNCTION("""COMPUTED_VALUE"""),62.2650770370155)</f>
        <v>62.26507704</v>
      </c>
      <c r="P567" s="35">
        <f>IFERROR(__xludf.DUMMYFUNCTION("""COMPUTED_VALUE"""),214382.0)</f>
        <v>214382</v>
      </c>
      <c r="Q567" s="35">
        <f>IFERROR(__xludf.DUMMYFUNCTION("""COMPUTED_VALUE"""),344307.0)</f>
        <v>344307</v>
      </c>
    </row>
    <row r="568">
      <c r="A568" s="35">
        <f>IFERROR(__xludf.DUMMYFUNCTION("""COMPUTED_VALUE"""),567.0)</f>
        <v>567</v>
      </c>
      <c r="B568" s="35" t="str">
        <f>IFERROR(__xludf.DUMMYFUNCTION("""COMPUTED_VALUE"""),"Permutation in String")</f>
        <v>Permutation in String</v>
      </c>
      <c r="C568" s="35" t="str">
        <f>IFERROR(__xludf.DUMMYFUNCTION("""COMPUTED_VALUE"""),"permutation-in-string")</f>
        <v>permutation-in-string</v>
      </c>
      <c r="D568" s="35" t="b">
        <f>IFERROR(__xludf.DUMMYFUNCTION("""COMPUTED_VALUE"""),FALSE)</f>
        <v>0</v>
      </c>
      <c r="E568" s="35" t="str">
        <f>IFERROR(__xludf.DUMMYFUNCTION("""COMPUTED_VALUE"""),"Medium")</f>
        <v>Medium</v>
      </c>
      <c r="F568" s="35">
        <f>IFERROR(__xludf.DUMMYFUNCTION("""COMPUTED_VALUE"""),5422.0)</f>
        <v>5422</v>
      </c>
      <c r="G568" s="35">
        <f>IFERROR(__xludf.DUMMYFUNCTION("""COMPUTED_VALUE"""),156.0)</f>
        <v>156</v>
      </c>
      <c r="H568" s="35" t="str">
        <f>IFERROR(__xludf.DUMMYFUNCTION("""COMPUTED_VALUE"""),"Algorithms")</f>
        <v>Algorithms</v>
      </c>
      <c r="I568" s="35">
        <f>IFERROR(__xludf.DUMMYFUNCTION("""COMPUTED_VALUE"""),0.45)</f>
        <v>0.45</v>
      </c>
      <c r="J568" s="35">
        <f>IFERROR(__xludf.DUMMYFUNCTION("""COMPUTED_VALUE"""),567.0)</f>
        <v>567</v>
      </c>
      <c r="K568" s="35" t="b">
        <f>IFERROR(__xludf.DUMMYFUNCTION("""COMPUTED_VALUE"""),FALSE)</f>
        <v>0</v>
      </c>
      <c r="L568" s="35" t="str">
        <f>IFERROR(__xludf.DUMMYFUNCTION("""COMPUTED_VALUE"""),"Hash Table;Two Pointers;String;Sliding Window;")</f>
        <v>Hash Table;Two Pointers;String;Sliding Window;</v>
      </c>
      <c r="M568" s="35" t="b">
        <f>IFERROR(__xludf.DUMMYFUNCTION("""COMPUTED_VALUE"""),TRUE)</f>
        <v>1</v>
      </c>
      <c r="N568" s="35" t="b">
        <f>IFERROR(__xludf.DUMMYFUNCTION("""COMPUTED_VALUE"""),FALSE)</f>
        <v>0</v>
      </c>
      <c r="O568" s="35">
        <f>IFERROR(__xludf.DUMMYFUNCTION("""COMPUTED_VALUE"""),45.0058570067416)</f>
        <v>45.00585701</v>
      </c>
      <c r="P568" s="35">
        <f>IFERROR(__xludf.DUMMYFUNCTION("""COMPUTED_VALUE"""),350009.0)</f>
        <v>350009</v>
      </c>
      <c r="Q568" s="35">
        <f>IFERROR(__xludf.DUMMYFUNCTION("""COMPUTED_VALUE"""),777692.0)</f>
        <v>777692</v>
      </c>
    </row>
    <row r="569">
      <c r="A569" s="35">
        <f>IFERROR(__xludf.DUMMYFUNCTION("""COMPUTED_VALUE"""),568.0)</f>
        <v>568</v>
      </c>
      <c r="B569" s="35" t="str">
        <f>IFERROR(__xludf.DUMMYFUNCTION("""COMPUTED_VALUE"""),"Maximum Vacation Days")</f>
        <v>Maximum Vacation Days</v>
      </c>
      <c r="C569" s="35" t="str">
        <f>IFERROR(__xludf.DUMMYFUNCTION("""COMPUTED_VALUE"""),"maximum-vacation-days")</f>
        <v>maximum-vacation-days</v>
      </c>
      <c r="D569" s="35" t="b">
        <f>IFERROR(__xludf.DUMMYFUNCTION("""COMPUTED_VALUE"""),TRUE)</f>
        <v>1</v>
      </c>
      <c r="E569" s="35" t="str">
        <f>IFERROR(__xludf.DUMMYFUNCTION("""COMPUTED_VALUE"""),"Hard")</f>
        <v>Hard</v>
      </c>
      <c r="F569" s="35">
        <f>IFERROR(__xludf.DUMMYFUNCTION("""COMPUTED_VALUE"""),496.0)</f>
        <v>496</v>
      </c>
      <c r="G569" s="35">
        <f>IFERROR(__xludf.DUMMYFUNCTION("""COMPUTED_VALUE"""),91.0)</f>
        <v>91</v>
      </c>
      <c r="H569" s="35" t="str">
        <f>IFERROR(__xludf.DUMMYFUNCTION("""COMPUTED_VALUE"""),"Algorithms")</f>
        <v>Algorithms</v>
      </c>
      <c r="I569" s="35">
        <f>IFERROR(__xludf.DUMMYFUNCTION("""COMPUTED_VALUE"""),0.442)</f>
        <v>0.442</v>
      </c>
      <c r="J569" s="35">
        <f>IFERROR(__xludf.DUMMYFUNCTION("""COMPUTED_VALUE"""),568.0)</f>
        <v>568</v>
      </c>
      <c r="K569" s="35" t="b">
        <f>IFERROR(__xludf.DUMMYFUNCTION("""COMPUTED_VALUE"""),TRUE)</f>
        <v>1</v>
      </c>
      <c r="L569" s="35" t="str">
        <f>IFERROR(__xludf.DUMMYFUNCTION("""COMPUTED_VALUE"""),"Array;Dynamic Programming;Matrix;")</f>
        <v>Array;Dynamic Programming;Matrix;</v>
      </c>
      <c r="M569" s="35" t="b">
        <f>IFERROR(__xludf.DUMMYFUNCTION("""COMPUTED_VALUE"""),TRUE)</f>
        <v>1</v>
      </c>
      <c r="N569" s="35" t="b">
        <f>IFERROR(__xludf.DUMMYFUNCTION("""COMPUTED_VALUE"""),FALSE)</f>
        <v>0</v>
      </c>
      <c r="O569" s="35">
        <f>IFERROR(__xludf.DUMMYFUNCTION("""COMPUTED_VALUE"""),44.2271695408021)</f>
        <v>44.22716954</v>
      </c>
      <c r="P569" s="35">
        <f>IFERROR(__xludf.DUMMYFUNCTION("""COMPUTED_VALUE"""),33315.0)</f>
        <v>33315</v>
      </c>
      <c r="Q569" s="35">
        <f>IFERROR(__xludf.DUMMYFUNCTION("""COMPUTED_VALUE"""),75327.0)</f>
        <v>75327</v>
      </c>
    </row>
    <row r="570">
      <c r="A570" s="35">
        <f>IFERROR(__xludf.DUMMYFUNCTION("""COMPUTED_VALUE"""),569.0)</f>
        <v>569</v>
      </c>
      <c r="B570" s="35" t="str">
        <f>IFERROR(__xludf.DUMMYFUNCTION("""COMPUTED_VALUE"""),"Median Employee Salary")</f>
        <v>Median Employee Salary</v>
      </c>
      <c r="C570" s="35" t="str">
        <f>IFERROR(__xludf.DUMMYFUNCTION("""COMPUTED_VALUE"""),"median-employee-salary")</f>
        <v>median-employee-salary</v>
      </c>
      <c r="D570" s="35" t="b">
        <f>IFERROR(__xludf.DUMMYFUNCTION("""COMPUTED_VALUE"""),TRUE)</f>
        <v>1</v>
      </c>
      <c r="E570" s="35" t="str">
        <f>IFERROR(__xludf.DUMMYFUNCTION("""COMPUTED_VALUE"""),"Hard")</f>
        <v>Hard</v>
      </c>
      <c r="F570" s="35">
        <f>IFERROR(__xludf.DUMMYFUNCTION("""COMPUTED_VALUE"""),219.0)</f>
        <v>219</v>
      </c>
      <c r="G570" s="35">
        <f>IFERROR(__xludf.DUMMYFUNCTION("""COMPUTED_VALUE"""),119.0)</f>
        <v>119</v>
      </c>
      <c r="H570" s="35" t="str">
        <f>IFERROR(__xludf.DUMMYFUNCTION("""COMPUTED_VALUE"""),"Database")</f>
        <v>Database</v>
      </c>
      <c r="I570" s="35">
        <f>IFERROR(__xludf.DUMMYFUNCTION("""COMPUTED_VALUE"""),0.666)</f>
        <v>0.666</v>
      </c>
      <c r="J570" s="35">
        <f>IFERROR(__xludf.DUMMYFUNCTION("""COMPUTED_VALUE"""),569.0)</f>
        <v>569</v>
      </c>
      <c r="K570" s="35" t="b">
        <f>IFERROR(__xludf.DUMMYFUNCTION("""COMPUTED_VALUE"""),TRUE)</f>
        <v>1</v>
      </c>
      <c r="L570" s="35" t="str">
        <f>IFERROR(__xludf.DUMMYFUNCTION("""COMPUTED_VALUE"""),"Database;")</f>
        <v>Database;</v>
      </c>
      <c r="M570" s="35" t="b">
        <f>IFERROR(__xludf.DUMMYFUNCTION("""COMPUTED_VALUE"""),FALSE)</f>
        <v>0</v>
      </c>
      <c r="N570" s="35" t="b">
        <f>IFERROR(__xludf.DUMMYFUNCTION("""COMPUTED_VALUE"""),FALSE)</f>
        <v>0</v>
      </c>
      <c r="O570" s="35">
        <f>IFERROR(__xludf.DUMMYFUNCTION("""COMPUTED_VALUE"""),66.6054571317729)</f>
        <v>66.60545713</v>
      </c>
      <c r="P570" s="35">
        <f>IFERROR(__xludf.DUMMYFUNCTION("""COMPUTED_VALUE"""),25753.0)</f>
        <v>25753</v>
      </c>
      <c r="Q570" s="35">
        <f>IFERROR(__xludf.DUMMYFUNCTION("""COMPUTED_VALUE"""),38665.0)</f>
        <v>38665</v>
      </c>
    </row>
    <row r="571">
      <c r="A571" s="35">
        <f>IFERROR(__xludf.DUMMYFUNCTION("""COMPUTED_VALUE"""),570.0)</f>
        <v>570</v>
      </c>
      <c r="B571" s="35" t="str">
        <f>IFERROR(__xludf.DUMMYFUNCTION("""COMPUTED_VALUE"""),"Managers with at Least 5 Direct Reports")</f>
        <v>Managers with at Least 5 Direct Reports</v>
      </c>
      <c r="C571" s="35" t="str">
        <f>IFERROR(__xludf.DUMMYFUNCTION("""COMPUTED_VALUE"""),"managers-with-at-least-5-direct-reports")</f>
        <v>managers-with-at-least-5-direct-reports</v>
      </c>
      <c r="D571" s="35" t="b">
        <f>IFERROR(__xludf.DUMMYFUNCTION("""COMPUTED_VALUE"""),TRUE)</f>
        <v>1</v>
      </c>
      <c r="E571" s="35" t="str">
        <f>IFERROR(__xludf.DUMMYFUNCTION("""COMPUTED_VALUE"""),"Medium")</f>
        <v>Medium</v>
      </c>
      <c r="F571" s="35">
        <f>IFERROR(__xludf.DUMMYFUNCTION("""COMPUTED_VALUE"""),208.0)</f>
        <v>208</v>
      </c>
      <c r="G571" s="35">
        <f>IFERROR(__xludf.DUMMYFUNCTION("""COMPUTED_VALUE"""),29.0)</f>
        <v>29</v>
      </c>
      <c r="H571" s="35" t="str">
        <f>IFERROR(__xludf.DUMMYFUNCTION("""COMPUTED_VALUE"""),"Database")</f>
        <v>Database</v>
      </c>
      <c r="I571" s="35">
        <f>IFERROR(__xludf.DUMMYFUNCTION("""COMPUTED_VALUE"""),0.67)</f>
        <v>0.67</v>
      </c>
      <c r="J571" s="35">
        <f>IFERROR(__xludf.DUMMYFUNCTION("""COMPUTED_VALUE"""),570.0)</f>
        <v>570</v>
      </c>
      <c r="K571" s="35" t="b">
        <f>IFERROR(__xludf.DUMMYFUNCTION("""COMPUTED_VALUE"""),TRUE)</f>
        <v>1</v>
      </c>
      <c r="L571" s="35" t="str">
        <f>IFERROR(__xludf.DUMMYFUNCTION("""COMPUTED_VALUE"""),"Database;")</f>
        <v>Database;</v>
      </c>
      <c r="M571" s="35" t="b">
        <f>IFERROR(__xludf.DUMMYFUNCTION("""COMPUTED_VALUE"""),TRUE)</f>
        <v>1</v>
      </c>
      <c r="N571" s="35" t="b">
        <f>IFERROR(__xludf.DUMMYFUNCTION("""COMPUTED_VALUE"""),FALSE)</f>
        <v>0</v>
      </c>
      <c r="O571" s="35">
        <f>IFERROR(__xludf.DUMMYFUNCTION("""COMPUTED_VALUE"""),66.9797687861271)</f>
        <v>66.97976879</v>
      </c>
      <c r="P571" s="35">
        <f>IFERROR(__xludf.DUMMYFUNCTION("""COMPUTED_VALUE"""),54692.0)</f>
        <v>54692</v>
      </c>
      <c r="Q571" s="35">
        <f>IFERROR(__xludf.DUMMYFUNCTION("""COMPUTED_VALUE"""),81655.0)</f>
        <v>81655</v>
      </c>
    </row>
    <row r="572">
      <c r="A572" s="35">
        <f>IFERROR(__xludf.DUMMYFUNCTION("""COMPUTED_VALUE"""),571.0)</f>
        <v>571</v>
      </c>
      <c r="B572" s="35" t="str">
        <f>IFERROR(__xludf.DUMMYFUNCTION("""COMPUTED_VALUE"""),"Find Median Given Frequency of Numbers")</f>
        <v>Find Median Given Frequency of Numbers</v>
      </c>
      <c r="C572" s="35" t="str">
        <f>IFERROR(__xludf.DUMMYFUNCTION("""COMPUTED_VALUE"""),"find-median-given-frequency-of-numbers")</f>
        <v>find-median-given-frequency-of-numbers</v>
      </c>
      <c r="D572" s="35" t="b">
        <f>IFERROR(__xludf.DUMMYFUNCTION("""COMPUTED_VALUE"""),TRUE)</f>
        <v>1</v>
      </c>
      <c r="E572" s="35" t="str">
        <f>IFERROR(__xludf.DUMMYFUNCTION("""COMPUTED_VALUE"""),"Hard")</f>
        <v>Hard</v>
      </c>
      <c r="F572" s="35">
        <f>IFERROR(__xludf.DUMMYFUNCTION("""COMPUTED_VALUE"""),210.0)</f>
        <v>210</v>
      </c>
      <c r="G572" s="35">
        <f>IFERROR(__xludf.DUMMYFUNCTION("""COMPUTED_VALUE"""),62.0)</f>
        <v>62</v>
      </c>
      <c r="H572" s="35" t="str">
        <f>IFERROR(__xludf.DUMMYFUNCTION("""COMPUTED_VALUE"""),"Database")</f>
        <v>Database</v>
      </c>
      <c r="I572" s="35">
        <f>IFERROR(__xludf.DUMMYFUNCTION("""COMPUTED_VALUE"""),0.447)</f>
        <v>0.447</v>
      </c>
      <c r="J572" s="35">
        <f>IFERROR(__xludf.DUMMYFUNCTION("""COMPUTED_VALUE"""),571.0)</f>
        <v>571</v>
      </c>
      <c r="K572" s="35" t="b">
        <f>IFERROR(__xludf.DUMMYFUNCTION("""COMPUTED_VALUE"""),TRUE)</f>
        <v>1</v>
      </c>
      <c r="L572" s="35" t="str">
        <f>IFERROR(__xludf.DUMMYFUNCTION("""COMPUTED_VALUE"""),"Database;")</f>
        <v>Database;</v>
      </c>
      <c r="M572" s="35" t="b">
        <f>IFERROR(__xludf.DUMMYFUNCTION("""COMPUTED_VALUE"""),FALSE)</f>
        <v>0</v>
      </c>
      <c r="N572" s="35" t="b">
        <f>IFERROR(__xludf.DUMMYFUNCTION("""COMPUTED_VALUE"""),FALSE)</f>
        <v>0</v>
      </c>
      <c r="O572" s="35">
        <f>IFERROR(__xludf.DUMMYFUNCTION("""COMPUTED_VALUE"""),44.7274630511178)</f>
        <v>44.72746305</v>
      </c>
      <c r="P572" s="35">
        <f>IFERROR(__xludf.DUMMYFUNCTION("""COMPUTED_VALUE"""),17946.0)</f>
        <v>17946</v>
      </c>
      <c r="Q572" s="35">
        <f>IFERROR(__xludf.DUMMYFUNCTION("""COMPUTED_VALUE"""),40123.0)</f>
        <v>40123</v>
      </c>
    </row>
    <row r="573">
      <c r="A573" s="35">
        <f>IFERROR(__xludf.DUMMYFUNCTION("""COMPUTED_VALUE"""),572.0)</f>
        <v>572</v>
      </c>
      <c r="B573" s="35" t="str">
        <f>IFERROR(__xludf.DUMMYFUNCTION("""COMPUTED_VALUE"""),"Subtree of Another Tree")</f>
        <v>Subtree of Another Tree</v>
      </c>
      <c r="C573" s="35" t="str">
        <f>IFERROR(__xludf.DUMMYFUNCTION("""COMPUTED_VALUE"""),"subtree-of-another-tree")</f>
        <v>subtree-of-another-tree</v>
      </c>
      <c r="D573" s="35" t="b">
        <f>IFERROR(__xludf.DUMMYFUNCTION("""COMPUTED_VALUE"""),FALSE)</f>
        <v>0</v>
      </c>
      <c r="E573" s="35" t="str">
        <f>IFERROR(__xludf.DUMMYFUNCTION("""COMPUTED_VALUE"""),"Easy")</f>
        <v>Easy</v>
      </c>
      <c r="F573" s="35">
        <f>IFERROR(__xludf.DUMMYFUNCTION("""COMPUTED_VALUE"""),4923.0)</f>
        <v>4923</v>
      </c>
      <c r="G573" s="35">
        <f>IFERROR(__xludf.DUMMYFUNCTION("""COMPUTED_VALUE"""),251.0)</f>
        <v>251</v>
      </c>
      <c r="H573" s="35" t="str">
        <f>IFERROR(__xludf.DUMMYFUNCTION("""COMPUTED_VALUE"""),"Algorithms")</f>
        <v>Algorithms</v>
      </c>
      <c r="I573" s="35">
        <f>IFERROR(__xludf.DUMMYFUNCTION("""COMPUTED_VALUE"""),0.452)</f>
        <v>0.452</v>
      </c>
      <c r="J573" s="35">
        <f>IFERROR(__xludf.DUMMYFUNCTION("""COMPUTED_VALUE"""),572.0)</f>
        <v>572</v>
      </c>
      <c r="K573" s="35" t="b">
        <f>IFERROR(__xludf.DUMMYFUNCTION("""COMPUTED_VALUE"""),FALSE)</f>
        <v>0</v>
      </c>
      <c r="L573" s="35" t="str">
        <f>IFERROR(__xludf.DUMMYFUNCTION("""COMPUTED_VALUE"""),"Tree;Depth-First Search;String Matching;Binary Tree;Hash Function;")</f>
        <v>Tree;Depth-First Search;String Matching;Binary Tree;Hash Function;</v>
      </c>
      <c r="M573" s="35" t="b">
        <f>IFERROR(__xludf.DUMMYFUNCTION("""COMPUTED_VALUE"""),FALSE)</f>
        <v>0</v>
      </c>
      <c r="N573" s="35" t="b">
        <f>IFERROR(__xludf.DUMMYFUNCTION("""COMPUTED_VALUE"""),FALSE)</f>
        <v>0</v>
      </c>
      <c r="O573" s="35">
        <f>IFERROR(__xludf.DUMMYFUNCTION("""COMPUTED_VALUE"""),45.2140607587071)</f>
        <v>45.21406076</v>
      </c>
      <c r="P573" s="35">
        <f>IFERROR(__xludf.DUMMYFUNCTION("""COMPUTED_VALUE"""),433697.0)</f>
        <v>433697</v>
      </c>
      <c r="Q573" s="35">
        <f>IFERROR(__xludf.DUMMYFUNCTION("""COMPUTED_VALUE"""),959209.0)</f>
        <v>959209</v>
      </c>
    </row>
    <row r="574">
      <c r="A574" s="35">
        <f>IFERROR(__xludf.DUMMYFUNCTION("""COMPUTED_VALUE"""),573.0)</f>
        <v>573</v>
      </c>
      <c r="B574" s="35" t="str">
        <f>IFERROR(__xludf.DUMMYFUNCTION("""COMPUTED_VALUE"""),"Squirrel Simulation")</f>
        <v>Squirrel Simulation</v>
      </c>
      <c r="C574" s="35" t="str">
        <f>IFERROR(__xludf.DUMMYFUNCTION("""COMPUTED_VALUE"""),"squirrel-simulation")</f>
        <v>squirrel-simulation</v>
      </c>
      <c r="D574" s="35" t="b">
        <f>IFERROR(__xludf.DUMMYFUNCTION("""COMPUTED_VALUE"""),TRUE)</f>
        <v>1</v>
      </c>
      <c r="E574" s="35" t="str">
        <f>IFERROR(__xludf.DUMMYFUNCTION("""COMPUTED_VALUE"""),"Medium")</f>
        <v>Medium</v>
      </c>
      <c r="F574" s="35">
        <f>IFERROR(__xludf.DUMMYFUNCTION("""COMPUTED_VALUE"""),304.0)</f>
        <v>304</v>
      </c>
      <c r="G574" s="35">
        <f>IFERROR(__xludf.DUMMYFUNCTION("""COMPUTED_VALUE"""),32.0)</f>
        <v>32</v>
      </c>
      <c r="H574" s="35" t="str">
        <f>IFERROR(__xludf.DUMMYFUNCTION("""COMPUTED_VALUE"""),"Algorithms")</f>
        <v>Algorithms</v>
      </c>
      <c r="I574" s="35">
        <f>IFERROR(__xludf.DUMMYFUNCTION("""COMPUTED_VALUE"""),0.547)</f>
        <v>0.547</v>
      </c>
      <c r="J574" s="35">
        <f>IFERROR(__xludf.DUMMYFUNCTION("""COMPUTED_VALUE"""),573.0)</f>
        <v>573</v>
      </c>
      <c r="K574" s="35" t="b">
        <f>IFERROR(__xludf.DUMMYFUNCTION("""COMPUTED_VALUE"""),TRUE)</f>
        <v>1</v>
      </c>
      <c r="L574" s="35" t="str">
        <f>IFERROR(__xludf.DUMMYFUNCTION("""COMPUTED_VALUE"""),"Array;Math;")</f>
        <v>Array;Math;</v>
      </c>
      <c r="M574" s="35" t="b">
        <f>IFERROR(__xludf.DUMMYFUNCTION("""COMPUTED_VALUE"""),TRUE)</f>
        <v>1</v>
      </c>
      <c r="N574" s="35" t="b">
        <f>IFERROR(__xludf.DUMMYFUNCTION("""COMPUTED_VALUE"""),FALSE)</f>
        <v>0</v>
      </c>
      <c r="O574" s="35">
        <f>IFERROR(__xludf.DUMMYFUNCTION("""COMPUTED_VALUE"""),54.6541084767781)</f>
        <v>54.65410848</v>
      </c>
      <c r="P574" s="35">
        <f>IFERROR(__xludf.DUMMYFUNCTION("""COMPUTED_VALUE"""),16828.0)</f>
        <v>16828</v>
      </c>
      <c r="Q574" s="35">
        <f>IFERROR(__xludf.DUMMYFUNCTION("""COMPUTED_VALUE"""),30790.0)</f>
        <v>30790</v>
      </c>
    </row>
    <row r="575">
      <c r="A575" s="35">
        <f>IFERROR(__xludf.DUMMYFUNCTION("""COMPUTED_VALUE"""),574.0)</f>
        <v>574</v>
      </c>
      <c r="B575" s="35" t="str">
        <f>IFERROR(__xludf.DUMMYFUNCTION("""COMPUTED_VALUE"""),"Winning Candidate")</f>
        <v>Winning Candidate</v>
      </c>
      <c r="C575" s="35" t="str">
        <f>IFERROR(__xludf.DUMMYFUNCTION("""COMPUTED_VALUE"""),"winning-candidate")</f>
        <v>winning-candidate</v>
      </c>
      <c r="D575" s="35" t="b">
        <f>IFERROR(__xludf.DUMMYFUNCTION("""COMPUTED_VALUE"""),TRUE)</f>
        <v>1</v>
      </c>
      <c r="E575" s="35" t="str">
        <f>IFERROR(__xludf.DUMMYFUNCTION("""COMPUTED_VALUE"""),"Medium")</f>
        <v>Medium</v>
      </c>
      <c r="F575" s="35">
        <f>IFERROR(__xludf.DUMMYFUNCTION("""COMPUTED_VALUE"""),123.0)</f>
        <v>123</v>
      </c>
      <c r="G575" s="35">
        <f>IFERROR(__xludf.DUMMYFUNCTION("""COMPUTED_VALUE"""),378.0)</f>
        <v>378</v>
      </c>
      <c r="H575" s="35" t="str">
        <f>IFERROR(__xludf.DUMMYFUNCTION("""COMPUTED_VALUE"""),"Database")</f>
        <v>Database</v>
      </c>
      <c r="I575" s="35">
        <f>IFERROR(__xludf.DUMMYFUNCTION("""COMPUTED_VALUE"""),0.577)</f>
        <v>0.577</v>
      </c>
      <c r="J575" s="35">
        <f>IFERROR(__xludf.DUMMYFUNCTION("""COMPUTED_VALUE"""),574.0)</f>
        <v>574</v>
      </c>
      <c r="K575" s="35" t="b">
        <f>IFERROR(__xludf.DUMMYFUNCTION("""COMPUTED_VALUE"""),TRUE)</f>
        <v>1</v>
      </c>
      <c r="L575" s="35" t="str">
        <f>IFERROR(__xludf.DUMMYFUNCTION("""COMPUTED_VALUE"""),"Database;")</f>
        <v>Database;</v>
      </c>
      <c r="M575" s="35" t="b">
        <f>IFERROR(__xludf.DUMMYFUNCTION("""COMPUTED_VALUE"""),TRUE)</f>
        <v>1</v>
      </c>
      <c r="N575" s="35" t="b">
        <f>IFERROR(__xludf.DUMMYFUNCTION("""COMPUTED_VALUE"""),FALSE)</f>
        <v>0</v>
      </c>
      <c r="O575" s="35">
        <f>IFERROR(__xludf.DUMMYFUNCTION("""COMPUTED_VALUE"""),57.693822363412)</f>
        <v>57.69382236</v>
      </c>
      <c r="P575" s="35">
        <f>IFERROR(__xludf.DUMMYFUNCTION("""COMPUTED_VALUE"""),43947.0)</f>
        <v>43947</v>
      </c>
      <c r="Q575" s="35">
        <f>IFERROR(__xludf.DUMMYFUNCTION("""COMPUTED_VALUE"""),76174.0)</f>
        <v>76174</v>
      </c>
    </row>
    <row r="576">
      <c r="A576" s="35">
        <f>IFERROR(__xludf.DUMMYFUNCTION("""COMPUTED_VALUE"""),575.0)</f>
        <v>575</v>
      </c>
      <c r="B576" s="35" t="str">
        <f>IFERROR(__xludf.DUMMYFUNCTION("""COMPUTED_VALUE"""),"Distribute Candies")</f>
        <v>Distribute Candies</v>
      </c>
      <c r="C576" s="35" t="str">
        <f>IFERROR(__xludf.DUMMYFUNCTION("""COMPUTED_VALUE"""),"distribute-candies")</f>
        <v>distribute-candies</v>
      </c>
      <c r="D576" s="35" t="b">
        <f>IFERROR(__xludf.DUMMYFUNCTION("""COMPUTED_VALUE"""),FALSE)</f>
        <v>0</v>
      </c>
      <c r="E576" s="35" t="str">
        <f>IFERROR(__xludf.DUMMYFUNCTION("""COMPUTED_VALUE"""),"Easy")</f>
        <v>Easy</v>
      </c>
      <c r="F576" s="35">
        <f>IFERROR(__xludf.DUMMYFUNCTION("""COMPUTED_VALUE"""),914.0)</f>
        <v>914</v>
      </c>
      <c r="G576" s="35">
        <f>IFERROR(__xludf.DUMMYFUNCTION("""COMPUTED_VALUE"""),1128.0)</f>
        <v>1128</v>
      </c>
      <c r="H576" s="35" t="str">
        <f>IFERROR(__xludf.DUMMYFUNCTION("""COMPUTED_VALUE"""),"Algorithms")</f>
        <v>Algorithms</v>
      </c>
      <c r="I576" s="35">
        <f>IFERROR(__xludf.DUMMYFUNCTION("""COMPUTED_VALUE"""),0.655)</f>
        <v>0.655</v>
      </c>
      <c r="J576" s="35">
        <f>IFERROR(__xludf.DUMMYFUNCTION("""COMPUTED_VALUE"""),575.0)</f>
        <v>575</v>
      </c>
      <c r="K576" s="35" t="b">
        <f>IFERROR(__xludf.DUMMYFUNCTION("""COMPUTED_VALUE"""),FALSE)</f>
        <v>0</v>
      </c>
      <c r="L576" s="35" t="str">
        <f>IFERROR(__xludf.DUMMYFUNCTION("""COMPUTED_VALUE"""),"Array;Hash Table;")</f>
        <v>Array;Hash Table;</v>
      </c>
      <c r="M576" s="35" t="b">
        <f>IFERROR(__xludf.DUMMYFUNCTION("""COMPUTED_VALUE"""),TRUE)</f>
        <v>1</v>
      </c>
      <c r="N576" s="35" t="b">
        <f>IFERROR(__xludf.DUMMYFUNCTION("""COMPUTED_VALUE"""),FALSE)</f>
        <v>0</v>
      </c>
      <c r="O576" s="35">
        <f>IFERROR(__xludf.DUMMYFUNCTION("""COMPUTED_VALUE"""),65.4822385295661)</f>
        <v>65.48223853</v>
      </c>
      <c r="P576" s="35">
        <f>IFERROR(__xludf.DUMMYFUNCTION("""COMPUTED_VALUE"""),198365.0)</f>
        <v>198365</v>
      </c>
      <c r="Q576" s="35">
        <f>IFERROR(__xludf.DUMMYFUNCTION("""COMPUTED_VALUE"""),302929.0)</f>
        <v>302929</v>
      </c>
    </row>
    <row r="577">
      <c r="A577" s="35">
        <f>IFERROR(__xludf.DUMMYFUNCTION("""COMPUTED_VALUE"""),576.0)</f>
        <v>576</v>
      </c>
      <c r="B577" s="35" t="str">
        <f>IFERROR(__xludf.DUMMYFUNCTION("""COMPUTED_VALUE"""),"Out of Boundary Paths")</f>
        <v>Out of Boundary Paths</v>
      </c>
      <c r="C577" s="35" t="str">
        <f>IFERROR(__xludf.DUMMYFUNCTION("""COMPUTED_VALUE"""),"out-of-boundary-paths")</f>
        <v>out-of-boundary-paths</v>
      </c>
      <c r="D577" s="35" t="b">
        <f>IFERROR(__xludf.DUMMYFUNCTION("""COMPUTED_VALUE"""),FALSE)</f>
        <v>0</v>
      </c>
      <c r="E577" s="35" t="str">
        <f>IFERROR(__xludf.DUMMYFUNCTION("""COMPUTED_VALUE"""),"Medium")</f>
        <v>Medium</v>
      </c>
      <c r="F577" s="35">
        <f>IFERROR(__xludf.DUMMYFUNCTION("""COMPUTED_VALUE"""),1438.0)</f>
        <v>1438</v>
      </c>
      <c r="G577" s="35">
        <f>IFERROR(__xludf.DUMMYFUNCTION("""COMPUTED_VALUE"""),181.0)</f>
        <v>181</v>
      </c>
      <c r="H577" s="35" t="str">
        <f>IFERROR(__xludf.DUMMYFUNCTION("""COMPUTED_VALUE"""),"Algorithms")</f>
        <v>Algorithms</v>
      </c>
      <c r="I577" s="35">
        <f>IFERROR(__xludf.DUMMYFUNCTION("""COMPUTED_VALUE"""),0.4)</f>
        <v>0.4</v>
      </c>
      <c r="J577" s="35">
        <f>IFERROR(__xludf.DUMMYFUNCTION("""COMPUTED_VALUE"""),576.0)</f>
        <v>576</v>
      </c>
      <c r="K577" s="35" t="b">
        <f>IFERROR(__xludf.DUMMYFUNCTION("""COMPUTED_VALUE"""),FALSE)</f>
        <v>0</v>
      </c>
      <c r="L577" s="35" t="str">
        <f>IFERROR(__xludf.DUMMYFUNCTION("""COMPUTED_VALUE"""),"Dynamic Programming;")</f>
        <v>Dynamic Programming;</v>
      </c>
      <c r="M577" s="35" t="b">
        <f>IFERROR(__xludf.DUMMYFUNCTION("""COMPUTED_VALUE"""),TRUE)</f>
        <v>1</v>
      </c>
      <c r="N577" s="35" t="b">
        <f>IFERROR(__xludf.DUMMYFUNCTION("""COMPUTED_VALUE"""),FALSE)</f>
        <v>0</v>
      </c>
      <c r="O577" s="35">
        <f>IFERROR(__xludf.DUMMYFUNCTION("""COMPUTED_VALUE"""),39.9872870745503)</f>
        <v>39.98728707</v>
      </c>
      <c r="P577" s="35">
        <f>IFERROR(__xludf.DUMMYFUNCTION("""COMPUTED_VALUE"""),62279.0)</f>
        <v>62279</v>
      </c>
      <c r="Q577" s="35">
        <f>IFERROR(__xludf.DUMMYFUNCTION("""COMPUTED_VALUE"""),155747.0)</f>
        <v>155747</v>
      </c>
    </row>
    <row r="578">
      <c r="A578" s="35">
        <f>IFERROR(__xludf.DUMMYFUNCTION("""COMPUTED_VALUE"""),577.0)</f>
        <v>577</v>
      </c>
      <c r="B578" s="35" t="str">
        <f>IFERROR(__xludf.DUMMYFUNCTION("""COMPUTED_VALUE"""),"Employee Bonus")</f>
        <v>Employee Bonus</v>
      </c>
      <c r="C578" s="35" t="str">
        <f>IFERROR(__xludf.DUMMYFUNCTION("""COMPUTED_VALUE"""),"employee-bonus")</f>
        <v>employee-bonus</v>
      </c>
      <c r="D578" s="35" t="b">
        <f>IFERROR(__xludf.DUMMYFUNCTION("""COMPUTED_VALUE"""),TRUE)</f>
        <v>1</v>
      </c>
      <c r="E578" s="35" t="str">
        <f>IFERROR(__xludf.DUMMYFUNCTION("""COMPUTED_VALUE"""),"Easy")</f>
        <v>Easy</v>
      </c>
      <c r="F578" s="35">
        <f>IFERROR(__xludf.DUMMYFUNCTION("""COMPUTED_VALUE"""),152.0)</f>
        <v>152</v>
      </c>
      <c r="G578" s="35">
        <f>IFERROR(__xludf.DUMMYFUNCTION("""COMPUTED_VALUE"""),87.0)</f>
        <v>87</v>
      </c>
      <c r="H578" s="35" t="str">
        <f>IFERROR(__xludf.DUMMYFUNCTION("""COMPUTED_VALUE"""),"Database")</f>
        <v>Database</v>
      </c>
      <c r="I578" s="35">
        <f>IFERROR(__xludf.DUMMYFUNCTION("""COMPUTED_VALUE"""),0.747)</f>
        <v>0.747</v>
      </c>
      <c r="J578" s="35">
        <f>IFERROR(__xludf.DUMMYFUNCTION("""COMPUTED_VALUE"""),577.0)</f>
        <v>577</v>
      </c>
      <c r="K578" s="35" t="b">
        <f>IFERROR(__xludf.DUMMYFUNCTION("""COMPUTED_VALUE"""),TRUE)</f>
        <v>1</v>
      </c>
      <c r="L578" s="35" t="str">
        <f>IFERROR(__xludf.DUMMYFUNCTION("""COMPUTED_VALUE"""),"Database;")</f>
        <v>Database;</v>
      </c>
      <c r="M578" s="35" t="b">
        <f>IFERROR(__xludf.DUMMYFUNCTION("""COMPUTED_VALUE"""),TRUE)</f>
        <v>1</v>
      </c>
      <c r="N578" s="35" t="b">
        <f>IFERROR(__xludf.DUMMYFUNCTION("""COMPUTED_VALUE"""),FALSE)</f>
        <v>0</v>
      </c>
      <c r="O578" s="35">
        <f>IFERROR(__xludf.DUMMYFUNCTION("""COMPUTED_VALUE"""),74.7367717797969)</f>
        <v>74.73677178</v>
      </c>
      <c r="P578" s="35">
        <f>IFERROR(__xludf.DUMMYFUNCTION("""COMPUTED_VALUE"""),55933.0)</f>
        <v>55933</v>
      </c>
      <c r="Q578" s="35">
        <f>IFERROR(__xludf.DUMMYFUNCTION("""COMPUTED_VALUE"""),74840.0)</f>
        <v>74840</v>
      </c>
    </row>
    <row r="579">
      <c r="A579" s="35">
        <f>IFERROR(__xludf.DUMMYFUNCTION("""COMPUTED_VALUE"""),578.0)</f>
        <v>578</v>
      </c>
      <c r="B579" s="35" t="str">
        <f>IFERROR(__xludf.DUMMYFUNCTION("""COMPUTED_VALUE"""),"Get Highest Answer Rate Question")</f>
        <v>Get Highest Answer Rate Question</v>
      </c>
      <c r="C579" s="35" t="str">
        <f>IFERROR(__xludf.DUMMYFUNCTION("""COMPUTED_VALUE"""),"get-highest-answer-rate-question")</f>
        <v>get-highest-answer-rate-question</v>
      </c>
      <c r="D579" s="35" t="b">
        <f>IFERROR(__xludf.DUMMYFUNCTION("""COMPUTED_VALUE"""),TRUE)</f>
        <v>1</v>
      </c>
      <c r="E579" s="35" t="str">
        <f>IFERROR(__xludf.DUMMYFUNCTION("""COMPUTED_VALUE"""),"Medium")</f>
        <v>Medium</v>
      </c>
      <c r="F579" s="35">
        <f>IFERROR(__xludf.DUMMYFUNCTION("""COMPUTED_VALUE"""),83.0)</f>
        <v>83</v>
      </c>
      <c r="G579" s="35">
        <f>IFERROR(__xludf.DUMMYFUNCTION("""COMPUTED_VALUE"""),788.0)</f>
        <v>788</v>
      </c>
      <c r="H579" s="35" t="str">
        <f>IFERROR(__xludf.DUMMYFUNCTION("""COMPUTED_VALUE"""),"Database")</f>
        <v>Database</v>
      </c>
      <c r="I579" s="35">
        <f>IFERROR(__xludf.DUMMYFUNCTION("""COMPUTED_VALUE"""),0.43)</f>
        <v>0.43</v>
      </c>
      <c r="J579" s="35">
        <f>IFERROR(__xludf.DUMMYFUNCTION("""COMPUTED_VALUE"""),578.0)</f>
        <v>578</v>
      </c>
      <c r="K579" s="35" t="b">
        <f>IFERROR(__xludf.DUMMYFUNCTION("""COMPUTED_VALUE"""),TRUE)</f>
        <v>1</v>
      </c>
      <c r="L579" s="35" t="str">
        <f>IFERROR(__xludf.DUMMYFUNCTION("""COMPUTED_VALUE"""),"Database;")</f>
        <v>Database;</v>
      </c>
      <c r="M579" s="35" t="b">
        <f>IFERROR(__xludf.DUMMYFUNCTION("""COMPUTED_VALUE"""),FALSE)</f>
        <v>0</v>
      </c>
      <c r="N579" s="35" t="b">
        <f>IFERROR(__xludf.DUMMYFUNCTION("""COMPUTED_VALUE"""),FALSE)</f>
        <v>0</v>
      </c>
      <c r="O579" s="35">
        <f>IFERROR(__xludf.DUMMYFUNCTION("""COMPUTED_VALUE"""),42.9989385487477)</f>
        <v>42.99893855</v>
      </c>
      <c r="P579" s="35">
        <f>IFERROR(__xludf.DUMMYFUNCTION("""COMPUTED_VALUE"""),38079.0)</f>
        <v>38079</v>
      </c>
      <c r="Q579" s="35">
        <f>IFERROR(__xludf.DUMMYFUNCTION("""COMPUTED_VALUE"""),88558.0)</f>
        <v>88558</v>
      </c>
    </row>
    <row r="580">
      <c r="A580" s="35">
        <f>IFERROR(__xludf.DUMMYFUNCTION("""COMPUTED_VALUE"""),579.0)</f>
        <v>579</v>
      </c>
      <c r="B580" s="35" t="str">
        <f>IFERROR(__xludf.DUMMYFUNCTION("""COMPUTED_VALUE"""),"Find Cumulative Salary of an Employee")</f>
        <v>Find Cumulative Salary of an Employee</v>
      </c>
      <c r="C580" s="35" t="str">
        <f>IFERROR(__xludf.DUMMYFUNCTION("""COMPUTED_VALUE"""),"find-cumulative-salary-of-an-employee")</f>
        <v>find-cumulative-salary-of-an-employee</v>
      </c>
      <c r="D580" s="35" t="b">
        <f>IFERROR(__xludf.DUMMYFUNCTION("""COMPUTED_VALUE"""),TRUE)</f>
        <v>1</v>
      </c>
      <c r="E580" s="35" t="str">
        <f>IFERROR(__xludf.DUMMYFUNCTION("""COMPUTED_VALUE"""),"Hard")</f>
        <v>Hard</v>
      </c>
      <c r="F580" s="35">
        <f>IFERROR(__xludf.DUMMYFUNCTION("""COMPUTED_VALUE"""),170.0)</f>
        <v>170</v>
      </c>
      <c r="G580" s="35">
        <f>IFERROR(__xludf.DUMMYFUNCTION("""COMPUTED_VALUE"""),371.0)</f>
        <v>371</v>
      </c>
      <c r="H580" s="35" t="str">
        <f>IFERROR(__xludf.DUMMYFUNCTION("""COMPUTED_VALUE"""),"Database")</f>
        <v>Database</v>
      </c>
      <c r="I580" s="35">
        <f>IFERROR(__xludf.DUMMYFUNCTION("""COMPUTED_VALUE"""),0.422)</f>
        <v>0.422</v>
      </c>
      <c r="J580" s="35">
        <f>IFERROR(__xludf.DUMMYFUNCTION("""COMPUTED_VALUE"""),579.0)</f>
        <v>579</v>
      </c>
      <c r="K580" s="35" t="b">
        <f>IFERROR(__xludf.DUMMYFUNCTION("""COMPUTED_VALUE"""),TRUE)</f>
        <v>1</v>
      </c>
      <c r="L580" s="35" t="str">
        <f>IFERROR(__xludf.DUMMYFUNCTION("""COMPUTED_VALUE"""),"Database;")</f>
        <v>Database;</v>
      </c>
      <c r="M580" s="35" t="b">
        <f>IFERROR(__xludf.DUMMYFUNCTION("""COMPUTED_VALUE"""),TRUE)</f>
        <v>1</v>
      </c>
      <c r="N580" s="35" t="b">
        <f>IFERROR(__xludf.DUMMYFUNCTION("""COMPUTED_VALUE"""),FALSE)</f>
        <v>0</v>
      </c>
      <c r="O580" s="35">
        <f>IFERROR(__xludf.DUMMYFUNCTION("""COMPUTED_VALUE"""),42.2178459866902)</f>
        <v>42.21784599</v>
      </c>
      <c r="P580" s="35">
        <f>IFERROR(__xludf.DUMMYFUNCTION("""COMPUTED_VALUE"""),24868.0)</f>
        <v>24868</v>
      </c>
      <c r="Q580" s="35">
        <f>IFERROR(__xludf.DUMMYFUNCTION("""COMPUTED_VALUE"""),58904.0)</f>
        <v>58904</v>
      </c>
    </row>
    <row r="581">
      <c r="A581" s="35">
        <f>IFERROR(__xludf.DUMMYFUNCTION("""COMPUTED_VALUE"""),580.0)</f>
        <v>580</v>
      </c>
      <c r="B581" s="35" t="str">
        <f>IFERROR(__xludf.DUMMYFUNCTION("""COMPUTED_VALUE"""),"Count Student Number in Departments")</f>
        <v>Count Student Number in Departments</v>
      </c>
      <c r="C581" s="35" t="str">
        <f>IFERROR(__xludf.DUMMYFUNCTION("""COMPUTED_VALUE"""),"count-student-number-in-departments")</f>
        <v>count-student-number-in-departments</v>
      </c>
      <c r="D581" s="35" t="b">
        <f>IFERROR(__xludf.DUMMYFUNCTION("""COMPUTED_VALUE"""),TRUE)</f>
        <v>1</v>
      </c>
      <c r="E581" s="35" t="str">
        <f>IFERROR(__xludf.DUMMYFUNCTION("""COMPUTED_VALUE"""),"Medium")</f>
        <v>Medium</v>
      </c>
      <c r="F581" s="35">
        <f>IFERROR(__xludf.DUMMYFUNCTION("""COMPUTED_VALUE"""),177.0)</f>
        <v>177</v>
      </c>
      <c r="G581" s="35">
        <f>IFERROR(__xludf.DUMMYFUNCTION("""COMPUTED_VALUE"""),29.0)</f>
        <v>29</v>
      </c>
      <c r="H581" s="35" t="str">
        <f>IFERROR(__xludf.DUMMYFUNCTION("""COMPUTED_VALUE"""),"Database")</f>
        <v>Database</v>
      </c>
      <c r="I581" s="35">
        <f>IFERROR(__xludf.DUMMYFUNCTION("""COMPUTED_VALUE"""),0.562)</f>
        <v>0.562</v>
      </c>
      <c r="J581" s="35">
        <f>IFERROR(__xludf.DUMMYFUNCTION("""COMPUTED_VALUE"""),580.0)</f>
        <v>580</v>
      </c>
      <c r="K581" s="35" t="b">
        <f>IFERROR(__xludf.DUMMYFUNCTION("""COMPUTED_VALUE"""),TRUE)</f>
        <v>1</v>
      </c>
      <c r="L581" s="35" t="str">
        <f>IFERROR(__xludf.DUMMYFUNCTION("""COMPUTED_VALUE"""),"Database;")</f>
        <v>Database;</v>
      </c>
      <c r="M581" s="35" t="b">
        <f>IFERROR(__xludf.DUMMYFUNCTION("""COMPUTED_VALUE"""),TRUE)</f>
        <v>1</v>
      </c>
      <c r="N581" s="35" t="b">
        <f>IFERROR(__xludf.DUMMYFUNCTION("""COMPUTED_VALUE"""),FALSE)</f>
        <v>0</v>
      </c>
      <c r="O581" s="35">
        <f>IFERROR(__xludf.DUMMYFUNCTION("""COMPUTED_VALUE"""),56.2003020300159)</f>
        <v>56.20030203</v>
      </c>
      <c r="P581" s="35">
        <f>IFERROR(__xludf.DUMMYFUNCTION("""COMPUTED_VALUE"""),42053.0)</f>
        <v>42053</v>
      </c>
      <c r="Q581" s="35">
        <f>IFERROR(__xludf.DUMMYFUNCTION("""COMPUTED_VALUE"""),74827.0)</f>
        <v>74827</v>
      </c>
    </row>
    <row r="582">
      <c r="A582" s="35">
        <f>IFERROR(__xludf.DUMMYFUNCTION("""COMPUTED_VALUE"""),581.0)</f>
        <v>581</v>
      </c>
      <c r="B582" s="35" t="str">
        <f>IFERROR(__xludf.DUMMYFUNCTION("""COMPUTED_VALUE"""),"Shortest Unsorted Continuous Subarray")</f>
        <v>Shortest Unsorted Continuous Subarray</v>
      </c>
      <c r="C582" s="35" t="str">
        <f>IFERROR(__xludf.DUMMYFUNCTION("""COMPUTED_VALUE"""),"shortest-unsorted-continuous-subarray")</f>
        <v>shortest-unsorted-continuous-subarray</v>
      </c>
      <c r="D582" s="35" t="b">
        <f>IFERROR(__xludf.DUMMYFUNCTION("""COMPUTED_VALUE"""),FALSE)</f>
        <v>0</v>
      </c>
      <c r="E582" s="35" t="str">
        <f>IFERROR(__xludf.DUMMYFUNCTION("""COMPUTED_VALUE"""),"Medium")</f>
        <v>Medium</v>
      </c>
      <c r="F582" s="35">
        <f>IFERROR(__xludf.DUMMYFUNCTION("""COMPUTED_VALUE"""),4841.0)</f>
        <v>4841</v>
      </c>
      <c r="G582" s="35">
        <f>IFERROR(__xludf.DUMMYFUNCTION("""COMPUTED_VALUE"""),200.0)</f>
        <v>200</v>
      </c>
      <c r="H582" s="35" t="str">
        <f>IFERROR(__xludf.DUMMYFUNCTION("""COMPUTED_VALUE"""),"Algorithms")</f>
        <v>Algorithms</v>
      </c>
      <c r="I582" s="35">
        <f>IFERROR(__xludf.DUMMYFUNCTION("""COMPUTED_VALUE"""),0.341)</f>
        <v>0.341</v>
      </c>
      <c r="J582" s="35">
        <f>IFERROR(__xludf.DUMMYFUNCTION("""COMPUTED_VALUE"""),581.0)</f>
        <v>581</v>
      </c>
      <c r="K582" s="35" t="b">
        <f>IFERROR(__xludf.DUMMYFUNCTION("""COMPUTED_VALUE"""),FALSE)</f>
        <v>0</v>
      </c>
      <c r="L582" s="35" t="str">
        <f>IFERROR(__xludf.DUMMYFUNCTION("""COMPUTED_VALUE"""),"Array;Two Pointers;Stack;Greedy;Sorting;Monotonic Stack;")</f>
        <v>Array;Two Pointers;Stack;Greedy;Sorting;Monotonic Stack;</v>
      </c>
      <c r="M582" s="35" t="b">
        <f>IFERROR(__xludf.DUMMYFUNCTION("""COMPUTED_VALUE"""),TRUE)</f>
        <v>1</v>
      </c>
      <c r="N582" s="35" t="b">
        <f>IFERROR(__xludf.DUMMYFUNCTION("""COMPUTED_VALUE"""),FALSE)</f>
        <v>0</v>
      </c>
      <c r="O582" s="35">
        <f>IFERROR(__xludf.DUMMYFUNCTION("""COMPUTED_VALUE"""),34.0695328711942)</f>
        <v>34.06953287</v>
      </c>
      <c r="P582" s="35">
        <f>IFERROR(__xludf.DUMMYFUNCTION("""COMPUTED_VALUE"""),212121.0)</f>
        <v>212121</v>
      </c>
      <c r="Q582" s="35">
        <f>IFERROR(__xludf.DUMMYFUNCTION("""COMPUTED_VALUE"""),622609.0)</f>
        <v>622609</v>
      </c>
    </row>
    <row r="583">
      <c r="A583" s="35">
        <f>IFERROR(__xludf.DUMMYFUNCTION("""COMPUTED_VALUE"""),582.0)</f>
        <v>582</v>
      </c>
      <c r="B583" s="35" t="str">
        <f>IFERROR(__xludf.DUMMYFUNCTION("""COMPUTED_VALUE"""),"Kill Process")</f>
        <v>Kill Process</v>
      </c>
      <c r="C583" s="35" t="str">
        <f>IFERROR(__xludf.DUMMYFUNCTION("""COMPUTED_VALUE"""),"kill-process")</f>
        <v>kill-process</v>
      </c>
      <c r="D583" s="35" t="b">
        <f>IFERROR(__xludf.DUMMYFUNCTION("""COMPUTED_VALUE"""),TRUE)</f>
        <v>1</v>
      </c>
      <c r="E583" s="35" t="str">
        <f>IFERROR(__xludf.DUMMYFUNCTION("""COMPUTED_VALUE"""),"Medium")</f>
        <v>Medium</v>
      </c>
      <c r="F583" s="35">
        <f>IFERROR(__xludf.DUMMYFUNCTION("""COMPUTED_VALUE"""),863.0)</f>
        <v>863</v>
      </c>
      <c r="G583" s="35">
        <f>IFERROR(__xludf.DUMMYFUNCTION("""COMPUTED_VALUE"""),17.0)</f>
        <v>17</v>
      </c>
      <c r="H583" s="35" t="str">
        <f>IFERROR(__xludf.DUMMYFUNCTION("""COMPUTED_VALUE"""),"Algorithms")</f>
        <v>Algorithms</v>
      </c>
      <c r="I583" s="35">
        <f>IFERROR(__xludf.DUMMYFUNCTION("""COMPUTED_VALUE"""),0.665)</f>
        <v>0.665</v>
      </c>
      <c r="J583" s="35">
        <f>IFERROR(__xludf.DUMMYFUNCTION("""COMPUTED_VALUE"""),582.0)</f>
        <v>582</v>
      </c>
      <c r="K583" s="35" t="b">
        <f>IFERROR(__xludf.DUMMYFUNCTION("""COMPUTED_VALUE"""),TRUE)</f>
        <v>1</v>
      </c>
      <c r="L583" s="35" t="str">
        <f>IFERROR(__xludf.DUMMYFUNCTION("""COMPUTED_VALUE"""),"Array;Hash Table;Tree;Depth-First Search;Breadth-First Search;")</f>
        <v>Array;Hash Table;Tree;Depth-First Search;Breadth-First Search;</v>
      </c>
      <c r="M583" s="35" t="b">
        <f>IFERROR(__xludf.DUMMYFUNCTION("""COMPUTED_VALUE"""),TRUE)</f>
        <v>1</v>
      </c>
      <c r="N583" s="35" t="b">
        <f>IFERROR(__xludf.DUMMYFUNCTION("""COMPUTED_VALUE"""),TRUE)</f>
        <v>1</v>
      </c>
      <c r="O583" s="35">
        <f>IFERROR(__xludf.DUMMYFUNCTION("""COMPUTED_VALUE"""),66.5344445616626)</f>
        <v>66.53444456</v>
      </c>
      <c r="P583" s="35">
        <f>IFERROR(__xludf.DUMMYFUNCTION("""COMPUTED_VALUE"""),63068.0)</f>
        <v>63068</v>
      </c>
      <c r="Q583" s="35">
        <f>IFERROR(__xludf.DUMMYFUNCTION("""COMPUTED_VALUE"""),94790.0)</f>
        <v>94790</v>
      </c>
    </row>
    <row r="584">
      <c r="A584" s="35">
        <f>IFERROR(__xludf.DUMMYFUNCTION("""COMPUTED_VALUE"""),583.0)</f>
        <v>583</v>
      </c>
      <c r="B584" s="35" t="str">
        <f>IFERROR(__xludf.DUMMYFUNCTION("""COMPUTED_VALUE"""),"Delete Operation for Two Strings")</f>
        <v>Delete Operation for Two Strings</v>
      </c>
      <c r="C584" s="35" t="str">
        <f>IFERROR(__xludf.DUMMYFUNCTION("""COMPUTED_VALUE"""),"delete-operation-for-two-strings")</f>
        <v>delete-operation-for-two-strings</v>
      </c>
      <c r="D584" s="35" t="b">
        <f>IFERROR(__xludf.DUMMYFUNCTION("""COMPUTED_VALUE"""),FALSE)</f>
        <v>0</v>
      </c>
      <c r="E584" s="35" t="str">
        <f>IFERROR(__xludf.DUMMYFUNCTION("""COMPUTED_VALUE"""),"Medium")</f>
        <v>Medium</v>
      </c>
      <c r="F584" s="35">
        <f>IFERROR(__xludf.DUMMYFUNCTION("""COMPUTED_VALUE"""),2615.0)</f>
        <v>2615</v>
      </c>
      <c r="G584" s="35">
        <f>IFERROR(__xludf.DUMMYFUNCTION("""COMPUTED_VALUE"""),42.0)</f>
        <v>42</v>
      </c>
      <c r="H584" s="35" t="str">
        <f>IFERROR(__xludf.DUMMYFUNCTION("""COMPUTED_VALUE"""),"Algorithms")</f>
        <v>Algorithms</v>
      </c>
      <c r="I584" s="35">
        <f>IFERROR(__xludf.DUMMYFUNCTION("""COMPUTED_VALUE"""),0.553)</f>
        <v>0.553</v>
      </c>
      <c r="J584" s="35">
        <f>IFERROR(__xludf.DUMMYFUNCTION("""COMPUTED_VALUE"""),583.0)</f>
        <v>583</v>
      </c>
      <c r="K584" s="35" t="b">
        <f>IFERROR(__xludf.DUMMYFUNCTION("""COMPUTED_VALUE"""),FALSE)</f>
        <v>0</v>
      </c>
      <c r="L584" s="35" t="str">
        <f>IFERROR(__xludf.DUMMYFUNCTION("""COMPUTED_VALUE"""),"String;Dynamic Programming;")</f>
        <v>String;Dynamic Programming;</v>
      </c>
      <c r="M584" s="35" t="b">
        <f>IFERROR(__xludf.DUMMYFUNCTION("""COMPUTED_VALUE"""),TRUE)</f>
        <v>1</v>
      </c>
      <c r="N584" s="35" t="b">
        <f>IFERROR(__xludf.DUMMYFUNCTION("""COMPUTED_VALUE"""),FALSE)</f>
        <v>0</v>
      </c>
      <c r="O584" s="35">
        <f>IFERROR(__xludf.DUMMYFUNCTION("""COMPUTED_VALUE"""),55.3002238855)</f>
        <v>55.30022389</v>
      </c>
      <c r="P584" s="35">
        <f>IFERROR(__xludf.DUMMYFUNCTION("""COMPUTED_VALUE"""),109421.0)</f>
        <v>109421</v>
      </c>
      <c r="Q584" s="35">
        <f>IFERROR(__xludf.DUMMYFUNCTION("""COMPUTED_VALUE"""),197867.0)</f>
        <v>197867</v>
      </c>
    </row>
    <row r="585">
      <c r="A585" s="35">
        <f>IFERROR(__xludf.DUMMYFUNCTION("""COMPUTED_VALUE"""),584.0)</f>
        <v>584</v>
      </c>
      <c r="B585" s="35" t="str">
        <f>IFERROR(__xludf.DUMMYFUNCTION("""COMPUTED_VALUE"""),"Find Customer Referee")</f>
        <v>Find Customer Referee</v>
      </c>
      <c r="C585" s="35" t="str">
        <f>IFERROR(__xludf.DUMMYFUNCTION("""COMPUTED_VALUE"""),"find-customer-referee")</f>
        <v>find-customer-referee</v>
      </c>
      <c r="D585" s="35" t="b">
        <f>IFERROR(__xludf.DUMMYFUNCTION("""COMPUTED_VALUE"""),TRUE)</f>
        <v>1</v>
      </c>
      <c r="E585" s="35" t="str">
        <f>IFERROR(__xludf.DUMMYFUNCTION("""COMPUTED_VALUE"""),"Easy")</f>
        <v>Easy</v>
      </c>
      <c r="F585" s="35">
        <f>IFERROR(__xludf.DUMMYFUNCTION("""COMPUTED_VALUE"""),138.0)</f>
        <v>138</v>
      </c>
      <c r="G585" s="35">
        <f>IFERROR(__xludf.DUMMYFUNCTION("""COMPUTED_VALUE"""),80.0)</f>
        <v>80</v>
      </c>
      <c r="H585" s="35" t="str">
        <f>IFERROR(__xludf.DUMMYFUNCTION("""COMPUTED_VALUE"""),"Database")</f>
        <v>Database</v>
      </c>
      <c r="I585" s="35">
        <f>IFERROR(__xludf.DUMMYFUNCTION("""COMPUTED_VALUE"""),0.764)</f>
        <v>0.764</v>
      </c>
      <c r="J585" s="35">
        <f>IFERROR(__xludf.DUMMYFUNCTION("""COMPUTED_VALUE"""),584.0)</f>
        <v>584</v>
      </c>
      <c r="K585" s="35" t="b">
        <f>IFERROR(__xludf.DUMMYFUNCTION("""COMPUTED_VALUE"""),TRUE)</f>
        <v>1</v>
      </c>
      <c r="L585" s="35" t="str">
        <f>IFERROR(__xludf.DUMMYFUNCTION("""COMPUTED_VALUE"""),"Database;")</f>
        <v>Database;</v>
      </c>
      <c r="M585" s="35" t="b">
        <f>IFERROR(__xludf.DUMMYFUNCTION("""COMPUTED_VALUE"""),TRUE)</f>
        <v>1</v>
      </c>
      <c r="N585" s="35" t="b">
        <f>IFERROR(__xludf.DUMMYFUNCTION("""COMPUTED_VALUE"""),FALSE)</f>
        <v>0</v>
      </c>
      <c r="O585" s="35">
        <f>IFERROR(__xludf.DUMMYFUNCTION("""COMPUTED_VALUE"""),76.3637753152464)</f>
        <v>76.36377532</v>
      </c>
      <c r="P585" s="35">
        <f>IFERROR(__xludf.DUMMYFUNCTION("""COMPUTED_VALUE"""),49961.0)</f>
        <v>49961</v>
      </c>
      <c r="Q585" s="35">
        <f>IFERROR(__xludf.DUMMYFUNCTION("""COMPUTED_VALUE"""),65425.0)</f>
        <v>65425</v>
      </c>
    </row>
    <row r="586">
      <c r="A586" s="35">
        <f>IFERROR(__xludf.DUMMYFUNCTION("""COMPUTED_VALUE"""),585.0)</f>
        <v>585</v>
      </c>
      <c r="B586" s="35" t="str">
        <f>IFERROR(__xludf.DUMMYFUNCTION("""COMPUTED_VALUE"""),"Investments in 2016")</f>
        <v>Investments in 2016</v>
      </c>
      <c r="C586" s="35" t="str">
        <f>IFERROR(__xludf.DUMMYFUNCTION("""COMPUTED_VALUE"""),"investments-in-2016")</f>
        <v>investments-in-2016</v>
      </c>
      <c r="D586" s="35" t="b">
        <f>IFERROR(__xludf.DUMMYFUNCTION("""COMPUTED_VALUE"""),TRUE)</f>
        <v>1</v>
      </c>
      <c r="E586" s="35" t="str">
        <f>IFERROR(__xludf.DUMMYFUNCTION("""COMPUTED_VALUE"""),"Medium")</f>
        <v>Medium</v>
      </c>
      <c r="F586" s="35">
        <f>IFERROR(__xludf.DUMMYFUNCTION("""COMPUTED_VALUE"""),188.0)</f>
        <v>188</v>
      </c>
      <c r="G586" s="35">
        <f>IFERROR(__xludf.DUMMYFUNCTION("""COMPUTED_VALUE"""),189.0)</f>
        <v>189</v>
      </c>
      <c r="H586" s="35" t="str">
        <f>IFERROR(__xludf.DUMMYFUNCTION("""COMPUTED_VALUE"""),"Database")</f>
        <v>Database</v>
      </c>
      <c r="I586" s="35">
        <f>IFERROR(__xludf.DUMMYFUNCTION("""COMPUTED_VALUE"""),0.555)</f>
        <v>0.555</v>
      </c>
      <c r="J586" s="35">
        <f>IFERROR(__xludf.DUMMYFUNCTION("""COMPUTED_VALUE"""),585.0)</f>
        <v>585</v>
      </c>
      <c r="K586" s="35" t="b">
        <f>IFERROR(__xludf.DUMMYFUNCTION("""COMPUTED_VALUE"""),TRUE)</f>
        <v>1</v>
      </c>
      <c r="L586" s="35" t="str">
        <f>IFERROR(__xludf.DUMMYFUNCTION("""COMPUTED_VALUE"""),"Database;")</f>
        <v>Database;</v>
      </c>
      <c r="M586" s="35" t="b">
        <f>IFERROR(__xludf.DUMMYFUNCTION("""COMPUTED_VALUE"""),TRUE)</f>
        <v>1</v>
      </c>
      <c r="N586" s="35" t="b">
        <f>IFERROR(__xludf.DUMMYFUNCTION("""COMPUTED_VALUE"""),FALSE)</f>
        <v>0</v>
      </c>
      <c r="O586" s="35">
        <f>IFERROR(__xludf.DUMMYFUNCTION("""COMPUTED_VALUE"""),55.4659338306149)</f>
        <v>55.46593383</v>
      </c>
      <c r="P586" s="35">
        <f>IFERROR(__xludf.DUMMYFUNCTION("""COMPUTED_VALUE"""),31082.0)</f>
        <v>31082</v>
      </c>
      <c r="Q586" s="35">
        <f>IFERROR(__xludf.DUMMYFUNCTION("""COMPUTED_VALUE"""),56038.0)</f>
        <v>56038</v>
      </c>
    </row>
    <row r="587">
      <c r="A587" s="35">
        <f>IFERROR(__xludf.DUMMYFUNCTION("""COMPUTED_VALUE"""),586.0)</f>
        <v>586</v>
      </c>
      <c r="B587" s="35" t="str">
        <f>IFERROR(__xludf.DUMMYFUNCTION("""COMPUTED_VALUE"""),"Customer Placing the Largest Number of Orders")</f>
        <v>Customer Placing the Largest Number of Orders</v>
      </c>
      <c r="C587" s="35" t="str">
        <f>IFERROR(__xludf.DUMMYFUNCTION("""COMPUTED_VALUE"""),"customer-placing-the-largest-number-of-orders")</f>
        <v>customer-placing-the-largest-number-of-orders</v>
      </c>
      <c r="D587" s="35" t="b">
        <f>IFERROR(__xludf.DUMMYFUNCTION("""COMPUTED_VALUE"""),TRUE)</f>
        <v>1</v>
      </c>
      <c r="E587" s="35" t="str">
        <f>IFERROR(__xludf.DUMMYFUNCTION("""COMPUTED_VALUE"""),"Easy")</f>
        <v>Easy</v>
      </c>
      <c r="F587" s="35">
        <f>IFERROR(__xludf.DUMMYFUNCTION("""COMPUTED_VALUE"""),198.0)</f>
        <v>198</v>
      </c>
      <c r="G587" s="35">
        <f>IFERROR(__xludf.DUMMYFUNCTION("""COMPUTED_VALUE"""),16.0)</f>
        <v>16</v>
      </c>
      <c r="H587" s="35" t="str">
        <f>IFERROR(__xludf.DUMMYFUNCTION("""COMPUTED_VALUE"""),"Database")</f>
        <v>Database</v>
      </c>
      <c r="I587" s="35">
        <f>IFERROR(__xludf.DUMMYFUNCTION("""COMPUTED_VALUE"""),0.749)</f>
        <v>0.749</v>
      </c>
      <c r="J587" s="35">
        <f>IFERROR(__xludf.DUMMYFUNCTION("""COMPUTED_VALUE"""),586.0)</f>
        <v>586</v>
      </c>
      <c r="K587" s="35" t="b">
        <f>IFERROR(__xludf.DUMMYFUNCTION("""COMPUTED_VALUE"""),TRUE)</f>
        <v>1</v>
      </c>
      <c r="L587" s="35" t="str">
        <f>IFERROR(__xludf.DUMMYFUNCTION("""COMPUTED_VALUE"""),"Database;")</f>
        <v>Database;</v>
      </c>
      <c r="M587" s="35" t="b">
        <f>IFERROR(__xludf.DUMMYFUNCTION("""COMPUTED_VALUE"""),TRUE)</f>
        <v>1</v>
      </c>
      <c r="N587" s="35" t="b">
        <f>IFERROR(__xludf.DUMMYFUNCTION("""COMPUTED_VALUE"""),FALSE)</f>
        <v>0</v>
      </c>
      <c r="O587" s="35">
        <f>IFERROR(__xludf.DUMMYFUNCTION("""COMPUTED_VALUE"""),74.9200932445747)</f>
        <v>74.92009324</v>
      </c>
      <c r="P587" s="35">
        <f>IFERROR(__xludf.DUMMYFUNCTION("""COMPUTED_VALUE"""),62350.0)</f>
        <v>62350</v>
      </c>
      <c r="Q587" s="35">
        <f>IFERROR(__xludf.DUMMYFUNCTION("""COMPUTED_VALUE"""),83221.0)</f>
        <v>83221</v>
      </c>
    </row>
    <row r="588">
      <c r="A588" s="35">
        <f>IFERROR(__xludf.DUMMYFUNCTION("""COMPUTED_VALUE"""),587.0)</f>
        <v>587</v>
      </c>
      <c r="B588" s="35" t="str">
        <f>IFERROR(__xludf.DUMMYFUNCTION("""COMPUTED_VALUE"""),"Erect the Fence")</f>
        <v>Erect the Fence</v>
      </c>
      <c r="C588" s="35" t="str">
        <f>IFERROR(__xludf.DUMMYFUNCTION("""COMPUTED_VALUE"""),"erect-the-fence")</f>
        <v>erect-the-fence</v>
      </c>
      <c r="D588" s="35" t="b">
        <f>IFERROR(__xludf.DUMMYFUNCTION("""COMPUTED_VALUE"""),FALSE)</f>
        <v>0</v>
      </c>
      <c r="E588" s="35" t="str">
        <f>IFERROR(__xludf.DUMMYFUNCTION("""COMPUTED_VALUE"""),"Hard")</f>
        <v>Hard</v>
      </c>
      <c r="F588" s="35">
        <f>IFERROR(__xludf.DUMMYFUNCTION("""COMPUTED_VALUE"""),545.0)</f>
        <v>545</v>
      </c>
      <c r="G588" s="35">
        <f>IFERROR(__xludf.DUMMYFUNCTION("""COMPUTED_VALUE"""),337.0)</f>
        <v>337</v>
      </c>
      <c r="H588" s="35" t="str">
        <f>IFERROR(__xludf.DUMMYFUNCTION("""COMPUTED_VALUE"""),"Algorithms")</f>
        <v>Algorithms</v>
      </c>
      <c r="I588" s="35">
        <f>IFERROR(__xludf.DUMMYFUNCTION("""COMPUTED_VALUE"""),0.432)</f>
        <v>0.432</v>
      </c>
      <c r="J588" s="35">
        <f>IFERROR(__xludf.DUMMYFUNCTION("""COMPUTED_VALUE"""),587.0)</f>
        <v>587</v>
      </c>
      <c r="K588" s="35" t="b">
        <f>IFERROR(__xludf.DUMMYFUNCTION("""COMPUTED_VALUE"""),FALSE)</f>
        <v>0</v>
      </c>
      <c r="L588" s="35" t="str">
        <f>IFERROR(__xludf.DUMMYFUNCTION("""COMPUTED_VALUE"""),"Array;Math;Geometry;")</f>
        <v>Array;Math;Geometry;</v>
      </c>
      <c r="M588" s="35" t="b">
        <f>IFERROR(__xludf.DUMMYFUNCTION("""COMPUTED_VALUE"""),TRUE)</f>
        <v>1</v>
      </c>
      <c r="N588" s="35" t="b">
        <f>IFERROR(__xludf.DUMMYFUNCTION("""COMPUTED_VALUE"""),FALSE)</f>
        <v>0</v>
      </c>
      <c r="O588" s="35">
        <f>IFERROR(__xludf.DUMMYFUNCTION("""COMPUTED_VALUE"""),43.238601439057)</f>
        <v>43.23860144</v>
      </c>
      <c r="P588" s="35">
        <f>IFERROR(__xludf.DUMMYFUNCTION("""COMPUTED_VALUE"""),23917.0)</f>
        <v>23917</v>
      </c>
      <c r="Q588" s="35">
        <f>IFERROR(__xludf.DUMMYFUNCTION("""COMPUTED_VALUE"""),55314.0)</f>
        <v>55314</v>
      </c>
    </row>
    <row r="589">
      <c r="A589" s="35">
        <f>IFERROR(__xludf.DUMMYFUNCTION("""COMPUTED_VALUE"""),588.0)</f>
        <v>588</v>
      </c>
      <c r="B589" s="35" t="str">
        <f>IFERROR(__xludf.DUMMYFUNCTION("""COMPUTED_VALUE"""),"Design In-Memory File System")</f>
        <v>Design In-Memory File System</v>
      </c>
      <c r="C589" s="35" t="str">
        <f>IFERROR(__xludf.DUMMYFUNCTION("""COMPUTED_VALUE"""),"design-in-memory-file-system")</f>
        <v>design-in-memory-file-system</v>
      </c>
      <c r="D589" s="35" t="b">
        <f>IFERROR(__xludf.DUMMYFUNCTION("""COMPUTED_VALUE"""),TRUE)</f>
        <v>1</v>
      </c>
      <c r="E589" s="35" t="str">
        <f>IFERROR(__xludf.DUMMYFUNCTION("""COMPUTED_VALUE"""),"Hard")</f>
        <v>Hard</v>
      </c>
      <c r="F589" s="35">
        <f>IFERROR(__xludf.DUMMYFUNCTION("""COMPUTED_VALUE"""),977.0)</f>
        <v>977</v>
      </c>
      <c r="G589" s="35">
        <f>IFERROR(__xludf.DUMMYFUNCTION("""COMPUTED_VALUE"""),119.0)</f>
        <v>119</v>
      </c>
      <c r="H589" s="35" t="str">
        <f>IFERROR(__xludf.DUMMYFUNCTION("""COMPUTED_VALUE"""),"Algorithms")</f>
        <v>Algorithms</v>
      </c>
      <c r="I589" s="35">
        <f>IFERROR(__xludf.DUMMYFUNCTION("""COMPUTED_VALUE"""),0.483)</f>
        <v>0.483</v>
      </c>
      <c r="J589" s="35">
        <f>IFERROR(__xludf.DUMMYFUNCTION("""COMPUTED_VALUE"""),588.0)</f>
        <v>588</v>
      </c>
      <c r="K589" s="35" t="b">
        <f>IFERROR(__xludf.DUMMYFUNCTION("""COMPUTED_VALUE"""),TRUE)</f>
        <v>1</v>
      </c>
      <c r="L589" s="35" t="str">
        <f>IFERROR(__xludf.DUMMYFUNCTION("""COMPUTED_VALUE"""),"Hash Table;String;Design;Trie;")</f>
        <v>Hash Table;String;Design;Trie;</v>
      </c>
      <c r="M589" s="35" t="b">
        <f>IFERROR(__xludf.DUMMYFUNCTION("""COMPUTED_VALUE"""),TRUE)</f>
        <v>1</v>
      </c>
      <c r="N589" s="35" t="b">
        <f>IFERROR(__xludf.DUMMYFUNCTION("""COMPUTED_VALUE"""),FALSE)</f>
        <v>0</v>
      </c>
      <c r="O589" s="35">
        <f>IFERROR(__xludf.DUMMYFUNCTION("""COMPUTED_VALUE"""),48.3373497939679)</f>
        <v>48.33734979</v>
      </c>
      <c r="P589" s="35">
        <f>IFERROR(__xludf.DUMMYFUNCTION("""COMPUTED_VALUE"""),58768.0)</f>
        <v>58768</v>
      </c>
      <c r="Q589" s="35">
        <f>IFERROR(__xludf.DUMMYFUNCTION("""COMPUTED_VALUE"""),121581.0)</f>
        <v>121581</v>
      </c>
    </row>
    <row r="590">
      <c r="A590" s="35">
        <f>IFERROR(__xludf.DUMMYFUNCTION("""COMPUTED_VALUE"""),775.0)</f>
        <v>775</v>
      </c>
      <c r="B590" s="35" t="str">
        <f>IFERROR(__xludf.DUMMYFUNCTION("""COMPUTED_VALUE"""),"N-ary Tree Preorder Traversal")</f>
        <v>N-ary Tree Preorder Traversal</v>
      </c>
      <c r="C590" s="35" t="str">
        <f>IFERROR(__xludf.DUMMYFUNCTION("""COMPUTED_VALUE"""),"n-ary-tree-preorder-traversal")</f>
        <v>n-ary-tree-preorder-traversal</v>
      </c>
      <c r="D590" s="35" t="b">
        <f>IFERROR(__xludf.DUMMYFUNCTION("""COMPUTED_VALUE"""),FALSE)</f>
        <v>0</v>
      </c>
      <c r="E590" s="35" t="str">
        <f>IFERROR(__xludf.DUMMYFUNCTION("""COMPUTED_VALUE"""),"Easy")</f>
        <v>Easy</v>
      </c>
      <c r="F590" s="35">
        <f>IFERROR(__xludf.DUMMYFUNCTION("""COMPUTED_VALUE"""),1599.0)</f>
        <v>1599</v>
      </c>
      <c r="G590" s="35">
        <f>IFERROR(__xludf.DUMMYFUNCTION("""COMPUTED_VALUE"""),77.0)</f>
        <v>77</v>
      </c>
      <c r="H590" s="35" t="str">
        <f>IFERROR(__xludf.DUMMYFUNCTION("""COMPUTED_VALUE"""),"Algorithms")</f>
        <v>Algorithms</v>
      </c>
      <c r="I590" s="35">
        <f>IFERROR(__xludf.DUMMYFUNCTION("""COMPUTED_VALUE"""),0.759)</f>
        <v>0.759</v>
      </c>
      <c r="J590" s="35">
        <f>IFERROR(__xludf.DUMMYFUNCTION("""COMPUTED_VALUE"""),589.0)</f>
        <v>589</v>
      </c>
      <c r="K590" s="35" t="b">
        <f>IFERROR(__xludf.DUMMYFUNCTION("""COMPUTED_VALUE"""),FALSE)</f>
        <v>0</v>
      </c>
      <c r="L590" s="35" t="str">
        <f>IFERROR(__xludf.DUMMYFUNCTION("""COMPUTED_VALUE"""),"Stack;Tree;Depth-First Search;")</f>
        <v>Stack;Tree;Depth-First Search;</v>
      </c>
      <c r="M590" s="35" t="b">
        <f>IFERROR(__xludf.DUMMYFUNCTION("""COMPUTED_VALUE"""),TRUE)</f>
        <v>1</v>
      </c>
      <c r="N590" s="35" t="b">
        <f>IFERROR(__xludf.DUMMYFUNCTION("""COMPUTED_VALUE"""),FALSE)</f>
        <v>0</v>
      </c>
      <c r="O590" s="35">
        <f>IFERROR(__xludf.DUMMYFUNCTION("""COMPUTED_VALUE"""),75.8771153750875)</f>
        <v>75.87711538</v>
      </c>
      <c r="P590" s="35">
        <f>IFERROR(__xludf.DUMMYFUNCTION("""COMPUTED_VALUE"""),214403.0)</f>
        <v>214403</v>
      </c>
      <c r="Q590" s="35">
        <f>IFERROR(__xludf.DUMMYFUNCTION("""COMPUTED_VALUE"""),282566.0)</f>
        <v>282566</v>
      </c>
    </row>
    <row r="591">
      <c r="A591" s="35">
        <f>IFERROR(__xludf.DUMMYFUNCTION("""COMPUTED_VALUE"""),776.0)</f>
        <v>776</v>
      </c>
      <c r="B591" s="35" t="str">
        <f>IFERROR(__xludf.DUMMYFUNCTION("""COMPUTED_VALUE"""),"N-ary Tree Postorder Traversal")</f>
        <v>N-ary Tree Postorder Traversal</v>
      </c>
      <c r="C591" s="35" t="str">
        <f>IFERROR(__xludf.DUMMYFUNCTION("""COMPUTED_VALUE"""),"n-ary-tree-postorder-traversal")</f>
        <v>n-ary-tree-postorder-traversal</v>
      </c>
      <c r="D591" s="35" t="b">
        <f>IFERROR(__xludf.DUMMYFUNCTION("""COMPUTED_VALUE"""),FALSE)</f>
        <v>0</v>
      </c>
      <c r="E591" s="35" t="str">
        <f>IFERROR(__xludf.DUMMYFUNCTION("""COMPUTED_VALUE"""),"Easy")</f>
        <v>Easy</v>
      </c>
      <c r="F591" s="35">
        <f>IFERROR(__xludf.DUMMYFUNCTION("""COMPUTED_VALUE"""),1501.0)</f>
        <v>1501</v>
      </c>
      <c r="G591" s="35">
        <f>IFERROR(__xludf.DUMMYFUNCTION("""COMPUTED_VALUE"""),79.0)</f>
        <v>79</v>
      </c>
      <c r="H591" s="35" t="str">
        <f>IFERROR(__xludf.DUMMYFUNCTION("""COMPUTED_VALUE"""),"Algorithms")</f>
        <v>Algorithms</v>
      </c>
      <c r="I591" s="35">
        <f>IFERROR(__xludf.DUMMYFUNCTION("""COMPUTED_VALUE"""),0.759)</f>
        <v>0.759</v>
      </c>
      <c r="J591" s="35">
        <f>IFERROR(__xludf.DUMMYFUNCTION("""COMPUTED_VALUE"""),590.0)</f>
        <v>590</v>
      </c>
      <c r="K591" s="35" t="b">
        <f>IFERROR(__xludf.DUMMYFUNCTION("""COMPUTED_VALUE"""),FALSE)</f>
        <v>0</v>
      </c>
      <c r="L591" s="35" t="str">
        <f>IFERROR(__xludf.DUMMYFUNCTION("""COMPUTED_VALUE"""),"Stack;Tree;Depth-First Search;")</f>
        <v>Stack;Tree;Depth-First Search;</v>
      </c>
      <c r="M591" s="35" t="b">
        <f>IFERROR(__xludf.DUMMYFUNCTION("""COMPUTED_VALUE"""),TRUE)</f>
        <v>1</v>
      </c>
      <c r="N591" s="35" t="b">
        <f>IFERROR(__xludf.DUMMYFUNCTION("""COMPUTED_VALUE"""),FALSE)</f>
        <v>0</v>
      </c>
      <c r="O591" s="35">
        <f>IFERROR(__xludf.DUMMYFUNCTION("""COMPUTED_VALUE"""),75.9113296183219)</f>
        <v>75.91132962</v>
      </c>
      <c r="P591" s="35">
        <f>IFERROR(__xludf.DUMMYFUNCTION("""COMPUTED_VALUE"""),173547.0)</f>
        <v>173547</v>
      </c>
      <c r="Q591" s="35">
        <f>IFERROR(__xludf.DUMMYFUNCTION("""COMPUTED_VALUE"""),228618.0)</f>
        <v>228618</v>
      </c>
    </row>
    <row r="592">
      <c r="A592" s="35">
        <f>IFERROR(__xludf.DUMMYFUNCTION("""COMPUTED_VALUE"""),591.0)</f>
        <v>591</v>
      </c>
      <c r="B592" s="35" t="str">
        <f>IFERROR(__xludf.DUMMYFUNCTION("""COMPUTED_VALUE"""),"Tag Validator")</f>
        <v>Tag Validator</v>
      </c>
      <c r="C592" s="35" t="str">
        <f>IFERROR(__xludf.DUMMYFUNCTION("""COMPUTED_VALUE"""),"tag-validator")</f>
        <v>tag-validator</v>
      </c>
      <c r="D592" s="35" t="b">
        <f>IFERROR(__xludf.DUMMYFUNCTION("""COMPUTED_VALUE"""),FALSE)</f>
        <v>0</v>
      </c>
      <c r="E592" s="35" t="str">
        <f>IFERROR(__xludf.DUMMYFUNCTION("""COMPUTED_VALUE"""),"Hard")</f>
        <v>Hard</v>
      </c>
      <c r="F592" s="35">
        <f>IFERROR(__xludf.DUMMYFUNCTION("""COMPUTED_VALUE"""),130.0)</f>
        <v>130</v>
      </c>
      <c r="G592" s="35">
        <f>IFERROR(__xludf.DUMMYFUNCTION("""COMPUTED_VALUE"""),551.0)</f>
        <v>551</v>
      </c>
      <c r="H592" s="35" t="str">
        <f>IFERROR(__xludf.DUMMYFUNCTION("""COMPUTED_VALUE"""),"Algorithms")</f>
        <v>Algorithms</v>
      </c>
      <c r="I592" s="35">
        <f>IFERROR(__xludf.DUMMYFUNCTION("""COMPUTED_VALUE"""),0.362)</f>
        <v>0.362</v>
      </c>
      <c r="J592" s="35">
        <f>IFERROR(__xludf.DUMMYFUNCTION("""COMPUTED_VALUE"""),591.0)</f>
        <v>591</v>
      </c>
      <c r="K592" s="35" t="b">
        <f>IFERROR(__xludf.DUMMYFUNCTION("""COMPUTED_VALUE"""),FALSE)</f>
        <v>0</v>
      </c>
      <c r="L592" s="35" t="str">
        <f>IFERROR(__xludf.DUMMYFUNCTION("""COMPUTED_VALUE"""),"String;Stack;")</f>
        <v>String;Stack;</v>
      </c>
      <c r="M592" s="35" t="b">
        <f>IFERROR(__xludf.DUMMYFUNCTION("""COMPUTED_VALUE"""),TRUE)</f>
        <v>1</v>
      </c>
      <c r="N592" s="35" t="b">
        <f>IFERROR(__xludf.DUMMYFUNCTION("""COMPUTED_VALUE"""),FALSE)</f>
        <v>0</v>
      </c>
      <c r="O592" s="35">
        <f>IFERROR(__xludf.DUMMYFUNCTION("""COMPUTED_VALUE"""),36.1818606669559)</f>
        <v>36.18186067</v>
      </c>
      <c r="P592" s="35">
        <f>IFERROR(__xludf.DUMMYFUNCTION("""COMPUTED_VALUE"""),10839.0)</f>
        <v>10839</v>
      </c>
      <c r="Q592" s="35">
        <f>IFERROR(__xludf.DUMMYFUNCTION("""COMPUTED_VALUE"""),29957.0)</f>
        <v>29957</v>
      </c>
    </row>
    <row r="593">
      <c r="A593" s="35">
        <f>IFERROR(__xludf.DUMMYFUNCTION("""COMPUTED_VALUE"""),592.0)</f>
        <v>592</v>
      </c>
      <c r="B593" s="35" t="str">
        <f>IFERROR(__xludf.DUMMYFUNCTION("""COMPUTED_VALUE"""),"Fraction Addition and Subtraction")</f>
        <v>Fraction Addition and Subtraction</v>
      </c>
      <c r="C593" s="35" t="str">
        <f>IFERROR(__xludf.DUMMYFUNCTION("""COMPUTED_VALUE"""),"fraction-addition-and-subtraction")</f>
        <v>fraction-addition-and-subtraction</v>
      </c>
      <c r="D593" s="35" t="b">
        <f>IFERROR(__xludf.DUMMYFUNCTION("""COMPUTED_VALUE"""),FALSE)</f>
        <v>0</v>
      </c>
      <c r="E593" s="35" t="str">
        <f>IFERROR(__xludf.DUMMYFUNCTION("""COMPUTED_VALUE"""),"Medium")</f>
        <v>Medium</v>
      </c>
      <c r="F593" s="35">
        <f>IFERROR(__xludf.DUMMYFUNCTION("""COMPUTED_VALUE"""),295.0)</f>
        <v>295</v>
      </c>
      <c r="G593" s="35">
        <f>IFERROR(__xludf.DUMMYFUNCTION("""COMPUTED_VALUE"""),428.0)</f>
        <v>428</v>
      </c>
      <c r="H593" s="35" t="str">
        <f>IFERROR(__xludf.DUMMYFUNCTION("""COMPUTED_VALUE"""),"Algorithms")</f>
        <v>Algorithms</v>
      </c>
      <c r="I593" s="35">
        <f>IFERROR(__xludf.DUMMYFUNCTION("""COMPUTED_VALUE"""),0.516)</f>
        <v>0.516</v>
      </c>
      <c r="J593" s="35">
        <f>IFERROR(__xludf.DUMMYFUNCTION("""COMPUTED_VALUE"""),592.0)</f>
        <v>592</v>
      </c>
      <c r="K593" s="35" t="b">
        <f>IFERROR(__xludf.DUMMYFUNCTION("""COMPUTED_VALUE"""),FALSE)</f>
        <v>0</v>
      </c>
      <c r="L593" s="35" t="str">
        <f>IFERROR(__xludf.DUMMYFUNCTION("""COMPUTED_VALUE"""),"Math;String;Simulation;")</f>
        <v>Math;String;Simulation;</v>
      </c>
      <c r="M593" s="35" t="b">
        <f>IFERROR(__xludf.DUMMYFUNCTION("""COMPUTED_VALUE"""),TRUE)</f>
        <v>1</v>
      </c>
      <c r="N593" s="35" t="b">
        <f>IFERROR(__xludf.DUMMYFUNCTION("""COMPUTED_VALUE"""),FALSE)</f>
        <v>0</v>
      </c>
      <c r="O593" s="35">
        <f>IFERROR(__xludf.DUMMYFUNCTION("""COMPUTED_VALUE"""),51.6057140769427)</f>
        <v>51.60571408</v>
      </c>
      <c r="P593" s="35">
        <f>IFERROR(__xludf.DUMMYFUNCTION("""COMPUTED_VALUE"""),28250.0)</f>
        <v>28250</v>
      </c>
      <c r="Q593" s="35">
        <f>IFERROR(__xludf.DUMMYFUNCTION("""COMPUTED_VALUE"""),54742.0)</f>
        <v>54742</v>
      </c>
    </row>
    <row r="594">
      <c r="A594" s="35">
        <f>IFERROR(__xludf.DUMMYFUNCTION("""COMPUTED_VALUE"""),593.0)</f>
        <v>593</v>
      </c>
      <c r="B594" s="35" t="str">
        <f>IFERROR(__xludf.DUMMYFUNCTION("""COMPUTED_VALUE"""),"Valid Square")</f>
        <v>Valid Square</v>
      </c>
      <c r="C594" s="35" t="str">
        <f>IFERROR(__xludf.DUMMYFUNCTION("""COMPUTED_VALUE"""),"valid-square")</f>
        <v>valid-square</v>
      </c>
      <c r="D594" s="35" t="b">
        <f>IFERROR(__xludf.DUMMYFUNCTION("""COMPUTED_VALUE"""),FALSE)</f>
        <v>0</v>
      </c>
      <c r="E594" s="35" t="str">
        <f>IFERROR(__xludf.DUMMYFUNCTION("""COMPUTED_VALUE"""),"Medium")</f>
        <v>Medium</v>
      </c>
      <c r="F594" s="35">
        <f>IFERROR(__xludf.DUMMYFUNCTION("""COMPUTED_VALUE"""),664.0)</f>
        <v>664</v>
      </c>
      <c r="G594" s="35">
        <f>IFERROR(__xludf.DUMMYFUNCTION("""COMPUTED_VALUE"""),736.0)</f>
        <v>736</v>
      </c>
      <c r="H594" s="35" t="str">
        <f>IFERROR(__xludf.DUMMYFUNCTION("""COMPUTED_VALUE"""),"Algorithms")</f>
        <v>Algorithms</v>
      </c>
      <c r="I594" s="35">
        <f>IFERROR(__xludf.DUMMYFUNCTION("""COMPUTED_VALUE"""),0.438)</f>
        <v>0.438</v>
      </c>
      <c r="J594" s="35">
        <f>IFERROR(__xludf.DUMMYFUNCTION("""COMPUTED_VALUE"""),593.0)</f>
        <v>593</v>
      </c>
      <c r="K594" s="35" t="b">
        <f>IFERROR(__xludf.DUMMYFUNCTION("""COMPUTED_VALUE"""),FALSE)</f>
        <v>0</v>
      </c>
      <c r="L594" s="35" t="str">
        <f>IFERROR(__xludf.DUMMYFUNCTION("""COMPUTED_VALUE"""),"Math;Geometry;")</f>
        <v>Math;Geometry;</v>
      </c>
      <c r="M594" s="35" t="b">
        <f>IFERROR(__xludf.DUMMYFUNCTION("""COMPUTED_VALUE"""),TRUE)</f>
        <v>1</v>
      </c>
      <c r="N594" s="35" t="b">
        <f>IFERROR(__xludf.DUMMYFUNCTION("""COMPUTED_VALUE"""),FALSE)</f>
        <v>0</v>
      </c>
      <c r="O594" s="35">
        <f>IFERROR(__xludf.DUMMYFUNCTION("""COMPUTED_VALUE"""),43.7936260477041)</f>
        <v>43.79362605</v>
      </c>
      <c r="P594" s="35">
        <f>IFERROR(__xludf.DUMMYFUNCTION("""COMPUTED_VALUE"""),80621.0)</f>
        <v>80621</v>
      </c>
      <c r="Q594" s="35">
        <f>IFERROR(__xludf.DUMMYFUNCTION("""COMPUTED_VALUE"""),184093.0)</f>
        <v>184093</v>
      </c>
    </row>
    <row r="595">
      <c r="A595" s="35">
        <f>IFERROR(__xludf.DUMMYFUNCTION("""COMPUTED_VALUE"""),594.0)</f>
        <v>594</v>
      </c>
      <c r="B595" s="35" t="str">
        <f>IFERROR(__xludf.DUMMYFUNCTION("""COMPUTED_VALUE"""),"Longest Harmonious Subsequence")</f>
        <v>Longest Harmonious Subsequence</v>
      </c>
      <c r="C595" s="35" t="str">
        <f>IFERROR(__xludf.DUMMYFUNCTION("""COMPUTED_VALUE"""),"longest-harmonious-subsequence")</f>
        <v>longest-harmonious-subsequence</v>
      </c>
      <c r="D595" s="35" t="b">
        <f>IFERROR(__xludf.DUMMYFUNCTION("""COMPUTED_VALUE"""),FALSE)</f>
        <v>0</v>
      </c>
      <c r="E595" s="35" t="str">
        <f>IFERROR(__xludf.DUMMYFUNCTION("""COMPUTED_VALUE"""),"Easy")</f>
        <v>Easy</v>
      </c>
      <c r="F595" s="35">
        <f>IFERROR(__xludf.DUMMYFUNCTION("""COMPUTED_VALUE"""),1496.0)</f>
        <v>1496</v>
      </c>
      <c r="G595" s="35">
        <f>IFERROR(__xludf.DUMMYFUNCTION("""COMPUTED_VALUE"""),147.0)</f>
        <v>147</v>
      </c>
      <c r="H595" s="35" t="str">
        <f>IFERROR(__xludf.DUMMYFUNCTION("""COMPUTED_VALUE"""),"Algorithms")</f>
        <v>Algorithms</v>
      </c>
      <c r="I595" s="35">
        <f>IFERROR(__xludf.DUMMYFUNCTION("""COMPUTED_VALUE"""),0.525)</f>
        <v>0.525</v>
      </c>
      <c r="J595" s="35">
        <f>IFERROR(__xludf.DUMMYFUNCTION("""COMPUTED_VALUE"""),594.0)</f>
        <v>594</v>
      </c>
      <c r="K595" s="35" t="b">
        <f>IFERROR(__xludf.DUMMYFUNCTION("""COMPUTED_VALUE"""),FALSE)</f>
        <v>0</v>
      </c>
      <c r="L595" s="35" t="str">
        <f>IFERROR(__xludf.DUMMYFUNCTION("""COMPUTED_VALUE"""),"Array;Hash Table;Sorting;")</f>
        <v>Array;Hash Table;Sorting;</v>
      </c>
      <c r="M595" s="35" t="b">
        <f>IFERROR(__xludf.DUMMYFUNCTION("""COMPUTED_VALUE"""),TRUE)</f>
        <v>1</v>
      </c>
      <c r="N595" s="35" t="b">
        <f>IFERROR(__xludf.DUMMYFUNCTION("""COMPUTED_VALUE"""),FALSE)</f>
        <v>0</v>
      </c>
      <c r="O595" s="35">
        <f>IFERROR(__xludf.DUMMYFUNCTION("""COMPUTED_VALUE"""),52.532938674262)</f>
        <v>52.53293867</v>
      </c>
      <c r="P595" s="35">
        <f>IFERROR(__xludf.DUMMYFUNCTION("""COMPUTED_VALUE"""),112877.0)</f>
        <v>112877</v>
      </c>
      <c r="Q595" s="35">
        <f>IFERROR(__xludf.DUMMYFUNCTION("""COMPUTED_VALUE"""),214869.0)</f>
        <v>214869</v>
      </c>
    </row>
    <row r="596">
      <c r="A596" s="35">
        <f>IFERROR(__xludf.DUMMYFUNCTION("""COMPUTED_VALUE"""),595.0)</f>
        <v>595</v>
      </c>
      <c r="B596" s="35" t="str">
        <f>IFERROR(__xludf.DUMMYFUNCTION("""COMPUTED_VALUE"""),"Big Countries")</f>
        <v>Big Countries</v>
      </c>
      <c r="C596" s="35" t="str">
        <f>IFERROR(__xludf.DUMMYFUNCTION("""COMPUTED_VALUE"""),"big-countries")</f>
        <v>big-countries</v>
      </c>
      <c r="D596" s="35" t="b">
        <f>IFERROR(__xludf.DUMMYFUNCTION("""COMPUTED_VALUE"""),FALSE)</f>
        <v>0</v>
      </c>
      <c r="E596" s="35" t="str">
        <f>IFERROR(__xludf.DUMMYFUNCTION("""COMPUTED_VALUE"""),"Easy")</f>
        <v>Easy</v>
      </c>
      <c r="F596" s="35">
        <f>IFERROR(__xludf.DUMMYFUNCTION("""COMPUTED_VALUE"""),700.0)</f>
        <v>700</v>
      </c>
      <c r="G596" s="35">
        <f>IFERROR(__xludf.DUMMYFUNCTION("""COMPUTED_VALUE"""),863.0)</f>
        <v>863</v>
      </c>
      <c r="H596" s="35" t="str">
        <f>IFERROR(__xludf.DUMMYFUNCTION("""COMPUTED_VALUE"""),"Database")</f>
        <v>Database</v>
      </c>
      <c r="I596" s="35">
        <f>IFERROR(__xludf.DUMMYFUNCTION("""COMPUTED_VALUE"""),0.78)</f>
        <v>0.78</v>
      </c>
      <c r="J596" s="35">
        <f>IFERROR(__xludf.DUMMYFUNCTION("""COMPUTED_VALUE"""),595.0)</f>
        <v>595</v>
      </c>
      <c r="K596" s="35" t="b">
        <f>IFERROR(__xludf.DUMMYFUNCTION("""COMPUTED_VALUE"""),FALSE)</f>
        <v>0</v>
      </c>
      <c r="L596" s="35" t="str">
        <f>IFERROR(__xludf.DUMMYFUNCTION("""COMPUTED_VALUE"""),"Database;")</f>
        <v>Database;</v>
      </c>
      <c r="M596" s="35" t="b">
        <f>IFERROR(__xludf.DUMMYFUNCTION("""COMPUTED_VALUE"""),TRUE)</f>
        <v>1</v>
      </c>
      <c r="N596" s="35" t="b">
        <f>IFERROR(__xludf.DUMMYFUNCTION("""COMPUTED_VALUE"""),FALSE)</f>
        <v>0</v>
      </c>
      <c r="O596" s="35">
        <f>IFERROR(__xludf.DUMMYFUNCTION("""COMPUTED_VALUE"""),78.032739924685)</f>
        <v>78.03273992</v>
      </c>
      <c r="P596" s="35">
        <f>IFERROR(__xludf.DUMMYFUNCTION("""COMPUTED_VALUE"""),261508.0)</f>
        <v>261508</v>
      </c>
      <c r="Q596" s="35">
        <f>IFERROR(__xludf.DUMMYFUNCTION("""COMPUTED_VALUE"""),335126.0)</f>
        <v>335126</v>
      </c>
    </row>
    <row r="597">
      <c r="A597" s="35">
        <f>IFERROR(__xludf.DUMMYFUNCTION("""COMPUTED_VALUE"""),596.0)</f>
        <v>596</v>
      </c>
      <c r="B597" s="35" t="str">
        <f>IFERROR(__xludf.DUMMYFUNCTION("""COMPUTED_VALUE"""),"Classes More Than 5 Students")</f>
        <v>Classes More Than 5 Students</v>
      </c>
      <c r="C597" s="35" t="str">
        <f>IFERROR(__xludf.DUMMYFUNCTION("""COMPUTED_VALUE"""),"classes-more-than-5-students")</f>
        <v>classes-more-than-5-students</v>
      </c>
      <c r="D597" s="35" t="b">
        <f>IFERROR(__xludf.DUMMYFUNCTION("""COMPUTED_VALUE"""),FALSE)</f>
        <v>0</v>
      </c>
      <c r="E597" s="35" t="str">
        <f>IFERROR(__xludf.DUMMYFUNCTION("""COMPUTED_VALUE"""),"Easy")</f>
        <v>Easy</v>
      </c>
      <c r="F597" s="35">
        <f>IFERROR(__xludf.DUMMYFUNCTION("""COMPUTED_VALUE"""),407.0)</f>
        <v>407</v>
      </c>
      <c r="G597" s="35">
        <f>IFERROR(__xludf.DUMMYFUNCTION("""COMPUTED_VALUE"""),900.0)</f>
        <v>900</v>
      </c>
      <c r="H597" s="35" t="str">
        <f>IFERROR(__xludf.DUMMYFUNCTION("""COMPUTED_VALUE"""),"Database")</f>
        <v>Database</v>
      </c>
      <c r="I597" s="35">
        <f>IFERROR(__xludf.DUMMYFUNCTION("""COMPUTED_VALUE"""),0.417)</f>
        <v>0.417</v>
      </c>
      <c r="J597" s="35">
        <f>IFERROR(__xludf.DUMMYFUNCTION("""COMPUTED_VALUE"""),596.0)</f>
        <v>596</v>
      </c>
      <c r="K597" s="35" t="b">
        <f>IFERROR(__xludf.DUMMYFUNCTION("""COMPUTED_VALUE"""),FALSE)</f>
        <v>0</v>
      </c>
      <c r="L597" s="35" t="str">
        <f>IFERROR(__xludf.DUMMYFUNCTION("""COMPUTED_VALUE"""),"Database;")</f>
        <v>Database;</v>
      </c>
      <c r="M597" s="35" t="b">
        <f>IFERROR(__xludf.DUMMYFUNCTION("""COMPUTED_VALUE"""),TRUE)</f>
        <v>1</v>
      </c>
      <c r="N597" s="35" t="b">
        <f>IFERROR(__xludf.DUMMYFUNCTION("""COMPUTED_VALUE"""),FALSE)</f>
        <v>0</v>
      </c>
      <c r="O597" s="35">
        <f>IFERROR(__xludf.DUMMYFUNCTION("""COMPUTED_VALUE"""),41.7281723175995)</f>
        <v>41.72817232</v>
      </c>
      <c r="P597" s="35">
        <f>IFERROR(__xludf.DUMMYFUNCTION("""COMPUTED_VALUE"""),150332.0)</f>
        <v>150332</v>
      </c>
      <c r="Q597" s="35">
        <f>IFERROR(__xludf.DUMMYFUNCTION("""COMPUTED_VALUE"""),360265.0)</f>
        <v>360265</v>
      </c>
    </row>
    <row r="598">
      <c r="A598" s="35">
        <f>IFERROR(__xludf.DUMMYFUNCTION("""COMPUTED_VALUE"""),597.0)</f>
        <v>597</v>
      </c>
      <c r="B598" s="35" t="str">
        <f>IFERROR(__xludf.DUMMYFUNCTION("""COMPUTED_VALUE"""),"Friend Requests I: Overall Acceptance Rate")</f>
        <v>Friend Requests I: Overall Acceptance Rate</v>
      </c>
      <c r="C598" s="35" t="str">
        <f>IFERROR(__xludf.DUMMYFUNCTION("""COMPUTED_VALUE"""),"friend-requests-i-overall-acceptance-rate")</f>
        <v>friend-requests-i-overall-acceptance-rate</v>
      </c>
      <c r="D598" s="35" t="b">
        <f>IFERROR(__xludf.DUMMYFUNCTION("""COMPUTED_VALUE"""),TRUE)</f>
        <v>1</v>
      </c>
      <c r="E598" s="35" t="str">
        <f>IFERROR(__xludf.DUMMYFUNCTION("""COMPUTED_VALUE"""),"Easy")</f>
        <v>Easy</v>
      </c>
      <c r="F598" s="35">
        <f>IFERROR(__xludf.DUMMYFUNCTION("""COMPUTED_VALUE"""),228.0)</f>
        <v>228</v>
      </c>
      <c r="G598" s="35">
        <f>IFERROR(__xludf.DUMMYFUNCTION("""COMPUTED_VALUE"""),563.0)</f>
        <v>563</v>
      </c>
      <c r="H598" s="35" t="str">
        <f>IFERROR(__xludf.DUMMYFUNCTION("""COMPUTED_VALUE"""),"Database")</f>
        <v>Database</v>
      </c>
      <c r="I598" s="35">
        <f>IFERROR(__xludf.DUMMYFUNCTION("""COMPUTED_VALUE"""),0.426)</f>
        <v>0.426</v>
      </c>
      <c r="J598" s="35">
        <f>IFERROR(__xludf.DUMMYFUNCTION("""COMPUTED_VALUE"""),597.0)</f>
        <v>597</v>
      </c>
      <c r="K598" s="35" t="b">
        <f>IFERROR(__xludf.DUMMYFUNCTION("""COMPUTED_VALUE"""),TRUE)</f>
        <v>1</v>
      </c>
      <c r="L598" s="35" t="str">
        <f>IFERROR(__xludf.DUMMYFUNCTION("""COMPUTED_VALUE"""),"Database;")</f>
        <v>Database;</v>
      </c>
      <c r="M598" s="35" t="b">
        <f>IFERROR(__xludf.DUMMYFUNCTION("""COMPUTED_VALUE"""),TRUE)</f>
        <v>1</v>
      </c>
      <c r="N598" s="35" t="b">
        <f>IFERROR(__xludf.DUMMYFUNCTION("""COMPUTED_VALUE"""),FALSE)</f>
        <v>0</v>
      </c>
      <c r="O598" s="35">
        <f>IFERROR(__xludf.DUMMYFUNCTION("""COMPUTED_VALUE"""),42.6110978216416)</f>
        <v>42.61109782</v>
      </c>
      <c r="P598" s="35">
        <f>IFERROR(__xludf.DUMMYFUNCTION("""COMPUTED_VALUE"""),55221.0)</f>
        <v>55221</v>
      </c>
      <c r="Q598" s="35">
        <f>IFERROR(__xludf.DUMMYFUNCTION("""COMPUTED_VALUE"""),129593.0)</f>
        <v>129593</v>
      </c>
    </row>
    <row r="599">
      <c r="A599" s="35">
        <f>IFERROR(__xludf.DUMMYFUNCTION("""COMPUTED_VALUE"""),598.0)</f>
        <v>598</v>
      </c>
      <c r="B599" s="35" t="str">
        <f>IFERROR(__xludf.DUMMYFUNCTION("""COMPUTED_VALUE"""),"Range Addition II")</f>
        <v>Range Addition II</v>
      </c>
      <c r="C599" s="35" t="str">
        <f>IFERROR(__xludf.DUMMYFUNCTION("""COMPUTED_VALUE"""),"range-addition-ii")</f>
        <v>range-addition-ii</v>
      </c>
      <c r="D599" s="35" t="b">
        <f>IFERROR(__xludf.DUMMYFUNCTION("""COMPUTED_VALUE"""),FALSE)</f>
        <v>0</v>
      </c>
      <c r="E599" s="35" t="str">
        <f>IFERROR(__xludf.DUMMYFUNCTION("""COMPUTED_VALUE"""),"Easy")</f>
        <v>Easy</v>
      </c>
      <c r="F599" s="35">
        <f>IFERROR(__xludf.DUMMYFUNCTION("""COMPUTED_VALUE"""),628.0)</f>
        <v>628</v>
      </c>
      <c r="G599" s="35">
        <f>IFERROR(__xludf.DUMMYFUNCTION("""COMPUTED_VALUE"""),793.0)</f>
        <v>793</v>
      </c>
      <c r="H599" s="35" t="str">
        <f>IFERROR(__xludf.DUMMYFUNCTION("""COMPUTED_VALUE"""),"Algorithms")</f>
        <v>Algorithms</v>
      </c>
      <c r="I599" s="35">
        <f>IFERROR(__xludf.DUMMYFUNCTION("""COMPUTED_VALUE"""),0.546)</f>
        <v>0.546</v>
      </c>
      <c r="J599" s="35">
        <f>IFERROR(__xludf.DUMMYFUNCTION("""COMPUTED_VALUE"""),598.0)</f>
        <v>598</v>
      </c>
      <c r="K599" s="35" t="b">
        <f>IFERROR(__xludf.DUMMYFUNCTION("""COMPUTED_VALUE"""),FALSE)</f>
        <v>0</v>
      </c>
      <c r="L599" s="35" t="str">
        <f>IFERROR(__xludf.DUMMYFUNCTION("""COMPUTED_VALUE"""),"Array;Math;")</f>
        <v>Array;Math;</v>
      </c>
      <c r="M599" s="35" t="b">
        <f>IFERROR(__xludf.DUMMYFUNCTION("""COMPUTED_VALUE"""),TRUE)</f>
        <v>1</v>
      </c>
      <c r="N599" s="35" t="b">
        <f>IFERROR(__xludf.DUMMYFUNCTION("""COMPUTED_VALUE"""),FALSE)</f>
        <v>0</v>
      </c>
      <c r="O599" s="35">
        <f>IFERROR(__xludf.DUMMYFUNCTION("""COMPUTED_VALUE"""),54.5889910098504)</f>
        <v>54.58899101</v>
      </c>
      <c r="P599" s="35">
        <f>IFERROR(__xludf.DUMMYFUNCTION("""COMPUTED_VALUE"""),76144.0)</f>
        <v>76144</v>
      </c>
      <c r="Q599" s="35">
        <f>IFERROR(__xludf.DUMMYFUNCTION("""COMPUTED_VALUE"""),139486.0)</f>
        <v>139486</v>
      </c>
    </row>
    <row r="600">
      <c r="A600" s="35">
        <f>IFERROR(__xludf.DUMMYFUNCTION("""COMPUTED_VALUE"""),599.0)</f>
        <v>599</v>
      </c>
      <c r="B600" s="35" t="str">
        <f>IFERROR(__xludf.DUMMYFUNCTION("""COMPUTED_VALUE"""),"Minimum Index Sum of Two Lists")</f>
        <v>Minimum Index Sum of Two Lists</v>
      </c>
      <c r="C600" s="35" t="str">
        <f>IFERROR(__xludf.DUMMYFUNCTION("""COMPUTED_VALUE"""),"minimum-index-sum-of-two-lists")</f>
        <v>minimum-index-sum-of-two-lists</v>
      </c>
      <c r="D600" s="35" t="b">
        <f>IFERROR(__xludf.DUMMYFUNCTION("""COMPUTED_VALUE"""),FALSE)</f>
        <v>0</v>
      </c>
      <c r="E600" s="35" t="str">
        <f>IFERROR(__xludf.DUMMYFUNCTION("""COMPUTED_VALUE"""),"Easy")</f>
        <v>Easy</v>
      </c>
      <c r="F600" s="35">
        <f>IFERROR(__xludf.DUMMYFUNCTION("""COMPUTED_VALUE"""),1125.0)</f>
        <v>1125</v>
      </c>
      <c r="G600" s="35">
        <f>IFERROR(__xludf.DUMMYFUNCTION("""COMPUTED_VALUE"""),317.0)</f>
        <v>317</v>
      </c>
      <c r="H600" s="35" t="str">
        <f>IFERROR(__xludf.DUMMYFUNCTION("""COMPUTED_VALUE"""),"Algorithms")</f>
        <v>Algorithms</v>
      </c>
      <c r="I600" s="35">
        <f>IFERROR(__xludf.DUMMYFUNCTION("""COMPUTED_VALUE"""),0.528)</f>
        <v>0.528</v>
      </c>
      <c r="J600" s="35">
        <f>IFERROR(__xludf.DUMMYFUNCTION("""COMPUTED_VALUE"""),599.0)</f>
        <v>599</v>
      </c>
      <c r="K600" s="35" t="b">
        <f>IFERROR(__xludf.DUMMYFUNCTION("""COMPUTED_VALUE"""),FALSE)</f>
        <v>0</v>
      </c>
      <c r="L600" s="35" t="str">
        <f>IFERROR(__xludf.DUMMYFUNCTION("""COMPUTED_VALUE"""),"Array;Hash Table;String;")</f>
        <v>Array;Hash Table;String;</v>
      </c>
      <c r="M600" s="35" t="b">
        <f>IFERROR(__xludf.DUMMYFUNCTION("""COMPUTED_VALUE"""),TRUE)</f>
        <v>1</v>
      </c>
      <c r="N600" s="35" t="b">
        <f>IFERROR(__xludf.DUMMYFUNCTION("""COMPUTED_VALUE"""),FALSE)</f>
        <v>0</v>
      </c>
      <c r="O600" s="35">
        <f>IFERROR(__xludf.DUMMYFUNCTION("""COMPUTED_VALUE"""),52.8404397863475)</f>
        <v>52.84043979</v>
      </c>
      <c r="P600" s="35">
        <f>IFERROR(__xludf.DUMMYFUNCTION("""COMPUTED_VALUE"""),143939.0)</f>
        <v>143939</v>
      </c>
      <c r="Q600" s="35">
        <f>IFERROR(__xludf.DUMMYFUNCTION("""COMPUTED_VALUE"""),272402.0)</f>
        <v>272402</v>
      </c>
    </row>
    <row r="601">
      <c r="A601" s="35">
        <f>IFERROR(__xludf.DUMMYFUNCTION("""COMPUTED_VALUE"""),600.0)</f>
        <v>600</v>
      </c>
      <c r="B601" s="35" t="str">
        <f>IFERROR(__xludf.DUMMYFUNCTION("""COMPUTED_VALUE"""),"Non-negative Integers without Consecutive Ones")</f>
        <v>Non-negative Integers without Consecutive Ones</v>
      </c>
      <c r="C601" s="35" t="str">
        <f>IFERROR(__xludf.DUMMYFUNCTION("""COMPUTED_VALUE"""),"non-negative-integers-without-consecutive-ones")</f>
        <v>non-negative-integers-without-consecutive-ones</v>
      </c>
      <c r="D601" s="35" t="b">
        <f>IFERROR(__xludf.DUMMYFUNCTION("""COMPUTED_VALUE"""),FALSE)</f>
        <v>0</v>
      </c>
      <c r="E601" s="35" t="str">
        <f>IFERROR(__xludf.DUMMYFUNCTION("""COMPUTED_VALUE"""),"Hard")</f>
        <v>Hard</v>
      </c>
      <c r="F601" s="35">
        <f>IFERROR(__xludf.DUMMYFUNCTION("""COMPUTED_VALUE"""),1037.0)</f>
        <v>1037</v>
      </c>
      <c r="G601" s="35">
        <f>IFERROR(__xludf.DUMMYFUNCTION("""COMPUTED_VALUE"""),113.0)</f>
        <v>113</v>
      </c>
      <c r="H601" s="35" t="str">
        <f>IFERROR(__xludf.DUMMYFUNCTION("""COMPUTED_VALUE"""),"Algorithms")</f>
        <v>Algorithms</v>
      </c>
      <c r="I601" s="35">
        <f>IFERROR(__xludf.DUMMYFUNCTION("""COMPUTED_VALUE"""),0.386)</f>
        <v>0.386</v>
      </c>
      <c r="J601" s="35">
        <f>IFERROR(__xludf.DUMMYFUNCTION("""COMPUTED_VALUE"""),600.0)</f>
        <v>600</v>
      </c>
      <c r="K601" s="35" t="b">
        <f>IFERROR(__xludf.DUMMYFUNCTION("""COMPUTED_VALUE"""),FALSE)</f>
        <v>0</v>
      </c>
      <c r="L601" s="35" t="str">
        <f>IFERROR(__xludf.DUMMYFUNCTION("""COMPUTED_VALUE"""),"Dynamic Programming;")</f>
        <v>Dynamic Programming;</v>
      </c>
      <c r="M601" s="35" t="b">
        <f>IFERROR(__xludf.DUMMYFUNCTION("""COMPUTED_VALUE"""),TRUE)</f>
        <v>1</v>
      </c>
      <c r="N601" s="35" t="b">
        <f>IFERROR(__xludf.DUMMYFUNCTION("""COMPUTED_VALUE"""),FALSE)</f>
        <v>0</v>
      </c>
      <c r="O601" s="35">
        <f>IFERROR(__xludf.DUMMYFUNCTION("""COMPUTED_VALUE"""),38.645587723706)</f>
        <v>38.64558772</v>
      </c>
      <c r="P601" s="35">
        <f>IFERROR(__xludf.DUMMYFUNCTION("""COMPUTED_VALUE"""),29993.0)</f>
        <v>29993</v>
      </c>
      <c r="Q601" s="35">
        <f>IFERROR(__xludf.DUMMYFUNCTION("""COMPUTED_VALUE"""),77612.0)</f>
        <v>77612</v>
      </c>
    </row>
    <row r="602">
      <c r="A602" s="35">
        <f>IFERROR(__xludf.DUMMYFUNCTION("""COMPUTED_VALUE"""),601.0)</f>
        <v>601</v>
      </c>
      <c r="B602" s="35" t="str">
        <f>IFERROR(__xludf.DUMMYFUNCTION("""COMPUTED_VALUE"""),"Human Traffic of Stadium")</f>
        <v>Human Traffic of Stadium</v>
      </c>
      <c r="C602" s="35" t="str">
        <f>IFERROR(__xludf.DUMMYFUNCTION("""COMPUTED_VALUE"""),"human-traffic-of-stadium")</f>
        <v>human-traffic-of-stadium</v>
      </c>
      <c r="D602" s="35" t="b">
        <f>IFERROR(__xludf.DUMMYFUNCTION("""COMPUTED_VALUE"""),FALSE)</f>
        <v>0</v>
      </c>
      <c r="E602" s="35" t="str">
        <f>IFERROR(__xludf.DUMMYFUNCTION("""COMPUTED_VALUE"""),"Hard")</f>
        <v>Hard</v>
      </c>
      <c r="F602" s="35">
        <f>IFERROR(__xludf.DUMMYFUNCTION("""COMPUTED_VALUE"""),328.0)</f>
        <v>328</v>
      </c>
      <c r="G602" s="35">
        <f>IFERROR(__xludf.DUMMYFUNCTION("""COMPUTED_VALUE"""),471.0)</f>
        <v>471</v>
      </c>
      <c r="H602" s="35" t="str">
        <f>IFERROR(__xludf.DUMMYFUNCTION("""COMPUTED_VALUE"""),"Database")</f>
        <v>Database</v>
      </c>
      <c r="I602" s="35">
        <f>IFERROR(__xludf.DUMMYFUNCTION("""COMPUTED_VALUE"""),0.493)</f>
        <v>0.493</v>
      </c>
      <c r="J602" s="35">
        <f>IFERROR(__xludf.DUMMYFUNCTION("""COMPUTED_VALUE"""),601.0)</f>
        <v>601</v>
      </c>
      <c r="K602" s="35" t="b">
        <f>IFERROR(__xludf.DUMMYFUNCTION("""COMPUTED_VALUE"""),FALSE)</f>
        <v>0</v>
      </c>
      <c r="L602" s="35" t="str">
        <f>IFERROR(__xludf.DUMMYFUNCTION("""COMPUTED_VALUE"""),"Database;")</f>
        <v>Database;</v>
      </c>
      <c r="M602" s="35" t="b">
        <f>IFERROR(__xludf.DUMMYFUNCTION("""COMPUTED_VALUE"""),TRUE)</f>
        <v>1</v>
      </c>
      <c r="N602" s="35" t="b">
        <f>IFERROR(__xludf.DUMMYFUNCTION("""COMPUTED_VALUE"""),FALSE)</f>
        <v>0</v>
      </c>
      <c r="O602" s="35">
        <f>IFERROR(__xludf.DUMMYFUNCTION("""COMPUTED_VALUE"""),49.2660101018632)</f>
        <v>49.2660101</v>
      </c>
      <c r="P602" s="35">
        <f>IFERROR(__xludf.DUMMYFUNCTION("""COMPUTED_VALUE"""),58327.0)</f>
        <v>58327</v>
      </c>
      <c r="Q602" s="35">
        <f>IFERROR(__xludf.DUMMYFUNCTION("""COMPUTED_VALUE"""),118391.0)</f>
        <v>118391</v>
      </c>
    </row>
    <row r="603">
      <c r="A603" s="35">
        <f>IFERROR(__xludf.DUMMYFUNCTION("""COMPUTED_VALUE"""),602.0)</f>
        <v>602</v>
      </c>
      <c r="B603" s="35" t="str">
        <f>IFERROR(__xludf.DUMMYFUNCTION("""COMPUTED_VALUE"""),"Friend Requests II: Who Has the Most Friends")</f>
        <v>Friend Requests II: Who Has the Most Friends</v>
      </c>
      <c r="C603" s="35" t="str">
        <f>IFERROR(__xludf.DUMMYFUNCTION("""COMPUTED_VALUE"""),"friend-requests-ii-who-has-the-most-friends")</f>
        <v>friend-requests-ii-who-has-the-most-friends</v>
      </c>
      <c r="D603" s="35" t="b">
        <f>IFERROR(__xludf.DUMMYFUNCTION("""COMPUTED_VALUE"""),TRUE)</f>
        <v>1</v>
      </c>
      <c r="E603" s="35" t="str">
        <f>IFERROR(__xludf.DUMMYFUNCTION("""COMPUTED_VALUE"""),"Medium")</f>
        <v>Medium</v>
      </c>
      <c r="F603" s="35">
        <f>IFERROR(__xludf.DUMMYFUNCTION("""COMPUTED_VALUE"""),242.0)</f>
        <v>242</v>
      </c>
      <c r="G603" s="35">
        <f>IFERROR(__xludf.DUMMYFUNCTION("""COMPUTED_VALUE"""),70.0)</f>
        <v>70</v>
      </c>
      <c r="H603" s="35" t="str">
        <f>IFERROR(__xludf.DUMMYFUNCTION("""COMPUTED_VALUE"""),"Database")</f>
        <v>Database</v>
      </c>
      <c r="I603" s="35">
        <f>IFERROR(__xludf.DUMMYFUNCTION("""COMPUTED_VALUE"""),0.605)</f>
        <v>0.605</v>
      </c>
      <c r="J603" s="35">
        <f>IFERROR(__xludf.DUMMYFUNCTION("""COMPUTED_VALUE"""),602.0)</f>
        <v>602</v>
      </c>
      <c r="K603" s="35" t="b">
        <f>IFERROR(__xludf.DUMMYFUNCTION("""COMPUTED_VALUE"""),TRUE)</f>
        <v>1</v>
      </c>
      <c r="L603" s="35" t="str">
        <f>IFERROR(__xludf.DUMMYFUNCTION("""COMPUTED_VALUE"""),"Database;")</f>
        <v>Database;</v>
      </c>
      <c r="M603" s="35" t="b">
        <f>IFERROR(__xludf.DUMMYFUNCTION("""COMPUTED_VALUE"""),FALSE)</f>
        <v>0</v>
      </c>
      <c r="N603" s="35" t="b">
        <f>IFERROR(__xludf.DUMMYFUNCTION("""COMPUTED_VALUE"""),FALSE)</f>
        <v>0</v>
      </c>
      <c r="O603" s="35">
        <f>IFERROR(__xludf.DUMMYFUNCTION("""COMPUTED_VALUE"""),60.5134741910978)</f>
        <v>60.51347419</v>
      </c>
      <c r="P603" s="35">
        <f>IFERROR(__xludf.DUMMYFUNCTION("""COMPUTED_VALUE"""),46999.0)</f>
        <v>46999</v>
      </c>
      <c r="Q603" s="35">
        <f>IFERROR(__xludf.DUMMYFUNCTION("""COMPUTED_VALUE"""),77667.0)</f>
        <v>77667</v>
      </c>
    </row>
    <row r="604">
      <c r="A604" s="35">
        <f>IFERROR(__xludf.DUMMYFUNCTION("""COMPUTED_VALUE"""),603.0)</f>
        <v>603</v>
      </c>
      <c r="B604" s="35" t="str">
        <f>IFERROR(__xludf.DUMMYFUNCTION("""COMPUTED_VALUE"""),"Consecutive Available Seats")</f>
        <v>Consecutive Available Seats</v>
      </c>
      <c r="C604" s="35" t="str">
        <f>IFERROR(__xludf.DUMMYFUNCTION("""COMPUTED_VALUE"""),"consecutive-available-seats")</f>
        <v>consecutive-available-seats</v>
      </c>
      <c r="D604" s="35" t="b">
        <f>IFERROR(__xludf.DUMMYFUNCTION("""COMPUTED_VALUE"""),TRUE)</f>
        <v>1</v>
      </c>
      <c r="E604" s="35" t="str">
        <f>IFERROR(__xludf.DUMMYFUNCTION("""COMPUTED_VALUE"""),"Easy")</f>
        <v>Easy</v>
      </c>
      <c r="F604" s="35">
        <f>IFERROR(__xludf.DUMMYFUNCTION("""COMPUTED_VALUE"""),441.0)</f>
        <v>441</v>
      </c>
      <c r="G604" s="35">
        <f>IFERROR(__xludf.DUMMYFUNCTION("""COMPUTED_VALUE"""),39.0)</f>
        <v>39</v>
      </c>
      <c r="H604" s="35" t="str">
        <f>IFERROR(__xludf.DUMMYFUNCTION("""COMPUTED_VALUE"""),"Database")</f>
        <v>Database</v>
      </c>
      <c r="I604" s="35">
        <f>IFERROR(__xludf.DUMMYFUNCTION("""COMPUTED_VALUE"""),0.677)</f>
        <v>0.677</v>
      </c>
      <c r="J604" s="35">
        <f>IFERROR(__xludf.DUMMYFUNCTION("""COMPUTED_VALUE"""),603.0)</f>
        <v>603</v>
      </c>
      <c r="K604" s="35" t="b">
        <f>IFERROR(__xludf.DUMMYFUNCTION("""COMPUTED_VALUE"""),TRUE)</f>
        <v>1</v>
      </c>
      <c r="L604" s="35" t="str">
        <f>IFERROR(__xludf.DUMMYFUNCTION("""COMPUTED_VALUE"""),"Database;")</f>
        <v>Database;</v>
      </c>
      <c r="M604" s="35" t="b">
        <f>IFERROR(__xludf.DUMMYFUNCTION("""COMPUTED_VALUE"""),TRUE)</f>
        <v>1</v>
      </c>
      <c r="N604" s="35" t="b">
        <f>IFERROR(__xludf.DUMMYFUNCTION("""COMPUTED_VALUE"""),FALSE)</f>
        <v>0</v>
      </c>
      <c r="O604" s="35">
        <f>IFERROR(__xludf.DUMMYFUNCTION("""COMPUTED_VALUE"""),67.7161458333333)</f>
        <v>67.71614583</v>
      </c>
      <c r="P604" s="35">
        <f>IFERROR(__xludf.DUMMYFUNCTION("""COMPUTED_VALUE"""),52005.0)</f>
        <v>52005</v>
      </c>
      <c r="Q604" s="35">
        <f>IFERROR(__xludf.DUMMYFUNCTION("""COMPUTED_VALUE"""),76799.0)</f>
        <v>76799</v>
      </c>
    </row>
    <row r="605">
      <c r="A605" s="35">
        <f>IFERROR(__xludf.DUMMYFUNCTION("""COMPUTED_VALUE"""),604.0)</f>
        <v>604</v>
      </c>
      <c r="B605" s="35" t="str">
        <f>IFERROR(__xludf.DUMMYFUNCTION("""COMPUTED_VALUE"""),"Design Compressed String Iterator")</f>
        <v>Design Compressed String Iterator</v>
      </c>
      <c r="C605" s="35" t="str">
        <f>IFERROR(__xludf.DUMMYFUNCTION("""COMPUTED_VALUE"""),"design-compressed-string-iterator")</f>
        <v>design-compressed-string-iterator</v>
      </c>
      <c r="D605" s="35" t="b">
        <f>IFERROR(__xludf.DUMMYFUNCTION("""COMPUTED_VALUE"""),TRUE)</f>
        <v>1</v>
      </c>
      <c r="E605" s="35" t="str">
        <f>IFERROR(__xludf.DUMMYFUNCTION("""COMPUTED_VALUE"""),"Easy")</f>
        <v>Easy</v>
      </c>
      <c r="F605" s="35">
        <f>IFERROR(__xludf.DUMMYFUNCTION("""COMPUTED_VALUE"""),350.0)</f>
        <v>350</v>
      </c>
      <c r="G605" s="35">
        <f>IFERROR(__xludf.DUMMYFUNCTION("""COMPUTED_VALUE"""),121.0)</f>
        <v>121</v>
      </c>
      <c r="H605" s="35" t="str">
        <f>IFERROR(__xludf.DUMMYFUNCTION("""COMPUTED_VALUE"""),"Algorithms")</f>
        <v>Algorithms</v>
      </c>
      <c r="I605" s="35">
        <f>IFERROR(__xludf.DUMMYFUNCTION("""COMPUTED_VALUE"""),0.39)</f>
        <v>0.39</v>
      </c>
      <c r="J605" s="35">
        <f>IFERROR(__xludf.DUMMYFUNCTION("""COMPUTED_VALUE"""),604.0)</f>
        <v>604</v>
      </c>
      <c r="K605" s="35" t="b">
        <f>IFERROR(__xludf.DUMMYFUNCTION("""COMPUTED_VALUE"""),TRUE)</f>
        <v>1</v>
      </c>
      <c r="L605" s="35" t="str">
        <f>IFERROR(__xludf.DUMMYFUNCTION("""COMPUTED_VALUE"""),"Array;Hash Table;String;Design;Iterator;")</f>
        <v>Array;Hash Table;String;Design;Iterator;</v>
      </c>
      <c r="M605" s="35" t="b">
        <f>IFERROR(__xludf.DUMMYFUNCTION("""COMPUTED_VALUE"""),TRUE)</f>
        <v>1</v>
      </c>
      <c r="N605" s="35" t="b">
        <f>IFERROR(__xludf.DUMMYFUNCTION("""COMPUTED_VALUE"""),FALSE)</f>
        <v>0</v>
      </c>
      <c r="O605" s="35">
        <f>IFERROR(__xludf.DUMMYFUNCTION("""COMPUTED_VALUE"""),38.9795515613377)</f>
        <v>38.97955156</v>
      </c>
      <c r="P605" s="35">
        <f>IFERROR(__xludf.DUMMYFUNCTION("""COMPUTED_VALUE"""),25677.0)</f>
        <v>25677</v>
      </c>
      <c r="Q605" s="35">
        <f>IFERROR(__xludf.DUMMYFUNCTION("""COMPUTED_VALUE"""),65873.0)</f>
        <v>65873</v>
      </c>
    </row>
    <row r="606">
      <c r="A606" s="35">
        <f>IFERROR(__xludf.DUMMYFUNCTION("""COMPUTED_VALUE"""),605.0)</f>
        <v>605</v>
      </c>
      <c r="B606" s="35" t="str">
        <f>IFERROR(__xludf.DUMMYFUNCTION("""COMPUTED_VALUE"""),"Can Place Flowers")</f>
        <v>Can Place Flowers</v>
      </c>
      <c r="C606" s="35" t="str">
        <f>IFERROR(__xludf.DUMMYFUNCTION("""COMPUTED_VALUE"""),"can-place-flowers")</f>
        <v>can-place-flowers</v>
      </c>
      <c r="D606" s="35" t="b">
        <f>IFERROR(__xludf.DUMMYFUNCTION("""COMPUTED_VALUE"""),FALSE)</f>
        <v>0</v>
      </c>
      <c r="E606" s="35" t="str">
        <f>IFERROR(__xludf.DUMMYFUNCTION("""COMPUTED_VALUE"""),"Easy")</f>
        <v>Easy</v>
      </c>
      <c r="F606" s="35">
        <f>IFERROR(__xludf.DUMMYFUNCTION("""COMPUTED_VALUE"""),2775.0)</f>
        <v>2775</v>
      </c>
      <c r="G606" s="35">
        <f>IFERROR(__xludf.DUMMYFUNCTION("""COMPUTED_VALUE"""),629.0)</f>
        <v>629</v>
      </c>
      <c r="H606" s="35" t="str">
        <f>IFERROR(__xludf.DUMMYFUNCTION("""COMPUTED_VALUE"""),"Algorithms")</f>
        <v>Algorithms</v>
      </c>
      <c r="I606" s="35">
        <f>IFERROR(__xludf.DUMMYFUNCTION("""COMPUTED_VALUE"""),0.33)</f>
        <v>0.33</v>
      </c>
      <c r="J606" s="35">
        <f>IFERROR(__xludf.DUMMYFUNCTION("""COMPUTED_VALUE"""),605.0)</f>
        <v>605</v>
      </c>
      <c r="K606" s="35" t="b">
        <f>IFERROR(__xludf.DUMMYFUNCTION("""COMPUTED_VALUE"""),FALSE)</f>
        <v>0</v>
      </c>
      <c r="L606" s="35" t="str">
        <f>IFERROR(__xludf.DUMMYFUNCTION("""COMPUTED_VALUE"""),"Array;Greedy;")</f>
        <v>Array;Greedy;</v>
      </c>
      <c r="M606" s="35" t="b">
        <f>IFERROR(__xludf.DUMMYFUNCTION("""COMPUTED_VALUE"""),TRUE)</f>
        <v>1</v>
      </c>
      <c r="N606" s="35" t="b">
        <f>IFERROR(__xludf.DUMMYFUNCTION("""COMPUTED_VALUE"""),FALSE)</f>
        <v>0</v>
      </c>
      <c r="O606" s="35">
        <f>IFERROR(__xludf.DUMMYFUNCTION("""COMPUTED_VALUE"""),33.0128073258609)</f>
        <v>33.01280733</v>
      </c>
      <c r="P606" s="35">
        <f>IFERROR(__xludf.DUMMYFUNCTION("""COMPUTED_VALUE"""),280827.0)</f>
        <v>280827</v>
      </c>
      <c r="Q606" s="35">
        <f>IFERROR(__xludf.DUMMYFUNCTION("""COMPUTED_VALUE"""),850668.0)</f>
        <v>850668</v>
      </c>
    </row>
    <row r="607">
      <c r="A607" s="35">
        <f>IFERROR(__xludf.DUMMYFUNCTION("""COMPUTED_VALUE"""),606.0)</f>
        <v>606</v>
      </c>
      <c r="B607" s="35" t="str">
        <f>IFERROR(__xludf.DUMMYFUNCTION("""COMPUTED_VALUE"""),"Construct String from Binary Tree")</f>
        <v>Construct String from Binary Tree</v>
      </c>
      <c r="C607" s="35" t="str">
        <f>IFERROR(__xludf.DUMMYFUNCTION("""COMPUTED_VALUE"""),"construct-string-from-binary-tree")</f>
        <v>construct-string-from-binary-tree</v>
      </c>
      <c r="D607" s="35" t="b">
        <f>IFERROR(__xludf.DUMMYFUNCTION("""COMPUTED_VALUE"""),FALSE)</f>
        <v>0</v>
      </c>
      <c r="E607" s="35" t="str">
        <f>IFERROR(__xludf.DUMMYFUNCTION("""COMPUTED_VALUE"""),"Easy")</f>
        <v>Easy</v>
      </c>
      <c r="F607" s="35">
        <f>IFERROR(__xludf.DUMMYFUNCTION("""COMPUTED_VALUE"""),1306.0)</f>
        <v>1306</v>
      </c>
      <c r="G607" s="35">
        <f>IFERROR(__xludf.DUMMYFUNCTION("""COMPUTED_VALUE"""),1681.0)</f>
        <v>1681</v>
      </c>
      <c r="H607" s="35" t="str">
        <f>IFERROR(__xludf.DUMMYFUNCTION("""COMPUTED_VALUE"""),"Algorithms")</f>
        <v>Algorithms</v>
      </c>
      <c r="I607" s="35">
        <f>IFERROR(__xludf.DUMMYFUNCTION("""COMPUTED_VALUE"""),0.574)</f>
        <v>0.574</v>
      </c>
      <c r="J607" s="35">
        <f>IFERROR(__xludf.DUMMYFUNCTION("""COMPUTED_VALUE"""),606.0)</f>
        <v>606</v>
      </c>
      <c r="K607" s="35" t="b">
        <f>IFERROR(__xludf.DUMMYFUNCTION("""COMPUTED_VALUE"""),FALSE)</f>
        <v>0</v>
      </c>
      <c r="L607" s="35" t="str">
        <f>IFERROR(__xludf.DUMMYFUNCTION("""COMPUTED_VALUE"""),"String;Tree;Depth-First Search;Binary Tree;")</f>
        <v>String;Tree;Depth-First Search;Binary Tree;</v>
      </c>
      <c r="M607" s="35" t="b">
        <f>IFERROR(__xludf.DUMMYFUNCTION("""COMPUTED_VALUE"""),TRUE)</f>
        <v>1</v>
      </c>
      <c r="N607" s="35" t="b">
        <f>IFERROR(__xludf.DUMMYFUNCTION("""COMPUTED_VALUE"""),FALSE)</f>
        <v>0</v>
      </c>
      <c r="O607" s="35">
        <f>IFERROR(__xludf.DUMMYFUNCTION("""COMPUTED_VALUE"""),57.4347280392436)</f>
        <v>57.43472804</v>
      </c>
      <c r="P607" s="35">
        <f>IFERROR(__xludf.DUMMYFUNCTION("""COMPUTED_VALUE"""),124927.0)</f>
        <v>124927</v>
      </c>
      <c r="Q607" s="35">
        <f>IFERROR(__xludf.DUMMYFUNCTION("""COMPUTED_VALUE"""),217511.0)</f>
        <v>217511</v>
      </c>
    </row>
    <row r="608">
      <c r="A608" s="35">
        <f>IFERROR(__xludf.DUMMYFUNCTION("""COMPUTED_VALUE"""),607.0)</f>
        <v>607</v>
      </c>
      <c r="B608" s="35" t="str">
        <f>IFERROR(__xludf.DUMMYFUNCTION("""COMPUTED_VALUE"""),"Sales Person")</f>
        <v>Sales Person</v>
      </c>
      <c r="C608" s="35" t="str">
        <f>IFERROR(__xludf.DUMMYFUNCTION("""COMPUTED_VALUE"""),"sales-person")</f>
        <v>sales-person</v>
      </c>
      <c r="D608" s="35" t="b">
        <f>IFERROR(__xludf.DUMMYFUNCTION("""COMPUTED_VALUE"""),TRUE)</f>
        <v>1</v>
      </c>
      <c r="E608" s="35" t="str">
        <f>IFERROR(__xludf.DUMMYFUNCTION("""COMPUTED_VALUE"""),"Easy")</f>
        <v>Easy</v>
      </c>
      <c r="F608" s="35">
        <f>IFERROR(__xludf.DUMMYFUNCTION("""COMPUTED_VALUE"""),232.0)</f>
        <v>232</v>
      </c>
      <c r="G608" s="35">
        <f>IFERROR(__xludf.DUMMYFUNCTION("""COMPUTED_VALUE"""),45.0)</f>
        <v>45</v>
      </c>
      <c r="H608" s="35" t="str">
        <f>IFERROR(__xludf.DUMMYFUNCTION("""COMPUTED_VALUE"""),"Database")</f>
        <v>Database</v>
      </c>
      <c r="I608" s="35">
        <f>IFERROR(__xludf.DUMMYFUNCTION("""COMPUTED_VALUE"""),0.68)</f>
        <v>0.68</v>
      </c>
      <c r="J608" s="35">
        <f>IFERROR(__xludf.DUMMYFUNCTION("""COMPUTED_VALUE"""),607.0)</f>
        <v>607</v>
      </c>
      <c r="K608" s="35" t="b">
        <f>IFERROR(__xludf.DUMMYFUNCTION("""COMPUTED_VALUE"""),TRUE)</f>
        <v>1</v>
      </c>
      <c r="L608" s="35" t="str">
        <f>IFERROR(__xludf.DUMMYFUNCTION("""COMPUTED_VALUE"""),"Database;")</f>
        <v>Database;</v>
      </c>
      <c r="M608" s="35" t="b">
        <f>IFERROR(__xludf.DUMMYFUNCTION("""COMPUTED_VALUE"""),TRUE)</f>
        <v>1</v>
      </c>
      <c r="N608" s="35" t="b">
        <f>IFERROR(__xludf.DUMMYFUNCTION("""COMPUTED_VALUE"""),FALSE)</f>
        <v>0</v>
      </c>
      <c r="O608" s="35">
        <f>IFERROR(__xludf.DUMMYFUNCTION("""COMPUTED_VALUE"""),67.973190194615)</f>
        <v>67.97319019</v>
      </c>
      <c r="P608" s="35">
        <f>IFERROR(__xludf.DUMMYFUNCTION("""COMPUTED_VALUE"""),47360.0)</f>
        <v>47360</v>
      </c>
      <c r="Q608" s="35">
        <f>IFERROR(__xludf.DUMMYFUNCTION("""COMPUTED_VALUE"""),69675.0)</f>
        <v>69675</v>
      </c>
    </row>
    <row r="609">
      <c r="A609" s="35">
        <f>IFERROR(__xludf.DUMMYFUNCTION("""COMPUTED_VALUE"""),608.0)</f>
        <v>608</v>
      </c>
      <c r="B609" s="35" t="str">
        <f>IFERROR(__xludf.DUMMYFUNCTION("""COMPUTED_VALUE"""),"Tree Node")</f>
        <v>Tree Node</v>
      </c>
      <c r="C609" s="35" t="str">
        <f>IFERROR(__xludf.DUMMYFUNCTION("""COMPUTED_VALUE"""),"tree-node")</f>
        <v>tree-node</v>
      </c>
      <c r="D609" s="35" t="b">
        <f>IFERROR(__xludf.DUMMYFUNCTION("""COMPUTED_VALUE"""),TRUE)</f>
        <v>1</v>
      </c>
      <c r="E609" s="35" t="str">
        <f>IFERROR(__xludf.DUMMYFUNCTION("""COMPUTED_VALUE"""),"Medium")</f>
        <v>Medium</v>
      </c>
      <c r="F609" s="35">
        <f>IFERROR(__xludf.DUMMYFUNCTION("""COMPUTED_VALUE"""),317.0)</f>
        <v>317</v>
      </c>
      <c r="G609" s="35">
        <f>IFERROR(__xludf.DUMMYFUNCTION("""COMPUTED_VALUE"""),30.0)</f>
        <v>30</v>
      </c>
      <c r="H609" s="35" t="str">
        <f>IFERROR(__xludf.DUMMYFUNCTION("""COMPUTED_VALUE"""),"Database")</f>
        <v>Database</v>
      </c>
      <c r="I609" s="35">
        <f>IFERROR(__xludf.DUMMYFUNCTION("""COMPUTED_VALUE"""),0.713)</f>
        <v>0.713</v>
      </c>
      <c r="J609" s="35">
        <f>IFERROR(__xludf.DUMMYFUNCTION("""COMPUTED_VALUE"""),608.0)</f>
        <v>608</v>
      </c>
      <c r="K609" s="35" t="b">
        <f>IFERROR(__xludf.DUMMYFUNCTION("""COMPUTED_VALUE"""),TRUE)</f>
        <v>1</v>
      </c>
      <c r="L609" s="35" t="str">
        <f>IFERROR(__xludf.DUMMYFUNCTION("""COMPUTED_VALUE"""),"Database;")</f>
        <v>Database;</v>
      </c>
      <c r="M609" s="35" t="b">
        <f>IFERROR(__xludf.DUMMYFUNCTION("""COMPUTED_VALUE"""),TRUE)</f>
        <v>1</v>
      </c>
      <c r="N609" s="35" t="b">
        <f>IFERROR(__xludf.DUMMYFUNCTION("""COMPUTED_VALUE"""),FALSE)</f>
        <v>0</v>
      </c>
      <c r="O609" s="35">
        <f>IFERROR(__xludf.DUMMYFUNCTION("""COMPUTED_VALUE"""),71.2972707500175)</f>
        <v>71.29727075</v>
      </c>
      <c r="P609" s="35">
        <f>IFERROR(__xludf.DUMMYFUNCTION("""COMPUTED_VALUE"""),40648.0)</f>
        <v>40648</v>
      </c>
      <c r="Q609" s="35">
        <f>IFERROR(__xludf.DUMMYFUNCTION("""COMPUTED_VALUE"""),57012.0)</f>
        <v>57012</v>
      </c>
    </row>
    <row r="610">
      <c r="A610" s="35">
        <f>IFERROR(__xludf.DUMMYFUNCTION("""COMPUTED_VALUE"""),609.0)</f>
        <v>609</v>
      </c>
      <c r="B610" s="35" t="str">
        <f>IFERROR(__xludf.DUMMYFUNCTION("""COMPUTED_VALUE"""),"Find Duplicate File in System")</f>
        <v>Find Duplicate File in System</v>
      </c>
      <c r="C610" s="35" t="str">
        <f>IFERROR(__xludf.DUMMYFUNCTION("""COMPUTED_VALUE"""),"find-duplicate-file-in-system")</f>
        <v>find-duplicate-file-in-system</v>
      </c>
      <c r="D610" s="35" t="b">
        <f>IFERROR(__xludf.DUMMYFUNCTION("""COMPUTED_VALUE"""),FALSE)</f>
        <v>0</v>
      </c>
      <c r="E610" s="35" t="str">
        <f>IFERROR(__xludf.DUMMYFUNCTION("""COMPUTED_VALUE"""),"Medium")</f>
        <v>Medium</v>
      </c>
      <c r="F610" s="35">
        <f>IFERROR(__xludf.DUMMYFUNCTION("""COMPUTED_VALUE"""),794.0)</f>
        <v>794</v>
      </c>
      <c r="G610" s="35">
        <f>IFERROR(__xludf.DUMMYFUNCTION("""COMPUTED_VALUE"""),908.0)</f>
        <v>908</v>
      </c>
      <c r="H610" s="35" t="str">
        <f>IFERROR(__xludf.DUMMYFUNCTION("""COMPUTED_VALUE"""),"Algorithms")</f>
        <v>Algorithms</v>
      </c>
      <c r="I610" s="35">
        <f>IFERROR(__xludf.DUMMYFUNCTION("""COMPUTED_VALUE"""),0.637)</f>
        <v>0.637</v>
      </c>
      <c r="J610" s="35">
        <f>IFERROR(__xludf.DUMMYFUNCTION("""COMPUTED_VALUE"""),609.0)</f>
        <v>609</v>
      </c>
      <c r="K610" s="35" t="b">
        <f>IFERROR(__xludf.DUMMYFUNCTION("""COMPUTED_VALUE"""),FALSE)</f>
        <v>0</v>
      </c>
      <c r="L610" s="35" t="str">
        <f>IFERROR(__xludf.DUMMYFUNCTION("""COMPUTED_VALUE"""),"Array;Hash Table;String;")</f>
        <v>Array;Hash Table;String;</v>
      </c>
      <c r="M610" s="35" t="b">
        <f>IFERROR(__xludf.DUMMYFUNCTION("""COMPUTED_VALUE"""),TRUE)</f>
        <v>1</v>
      </c>
      <c r="N610" s="35" t="b">
        <f>IFERROR(__xludf.DUMMYFUNCTION("""COMPUTED_VALUE"""),FALSE)</f>
        <v>0</v>
      </c>
      <c r="O610" s="35">
        <f>IFERROR(__xludf.DUMMYFUNCTION("""COMPUTED_VALUE"""),63.7014161916552)</f>
        <v>63.70141619</v>
      </c>
      <c r="P610" s="35">
        <f>IFERROR(__xludf.DUMMYFUNCTION("""COMPUTED_VALUE"""),93650.0)</f>
        <v>93650</v>
      </c>
      <c r="Q610" s="35">
        <f>IFERROR(__xludf.DUMMYFUNCTION("""COMPUTED_VALUE"""),147014.0)</f>
        <v>147014</v>
      </c>
    </row>
    <row r="611">
      <c r="A611" s="35">
        <f>IFERROR(__xludf.DUMMYFUNCTION("""COMPUTED_VALUE"""),610.0)</f>
        <v>610</v>
      </c>
      <c r="B611" s="35" t="str">
        <f>IFERROR(__xludf.DUMMYFUNCTION("""COMPUTED_VALUE"""),"Triangle Judgement")</f>
        <v>Triangle Judgement</v>
      </c>
      <c r="C611" s="35" t="str">
        <f>IFERROR(__xludf.DUMMYFUNCTION("""COMPUTED_VALUE"""),"triangle-judgement")</f>
        <v>triangle-judgement</v>
      </c>
      <c r="D611" s="35" t="b">
        <f>IFERROR(__xludf.DUMMYFUNCTION("""COMPUTED_VALUE"""),TRUE)</f>
        <v>1</v>
      </c>
      <c r="E611" s="35" t="str">
        <f>IFERROR(__xludf.DUMMYFUNCTION("""COMPUTED_VALUE"""),"Easy")</f>
        <v>Easy</v>
      </c>
      <c r="F611" s="35">
        <f>IFERROR(__xludf.DUMMYFUNCTION("""COMPUTED_VALUE"""),205.0)</f>
        <v>205</v>
      </c>
      <c r="G611" s="35">
        <f>IFERROR(__xludf.DUMMYFUNCTION("""COMPUTED_VALUE"""),46.0)</f>
        <v>46</v>
      </c>
      <c r="H611" s="35" t="str">
        <f>IFERROR(__xludf.DUMMYFUNCTION("""COMPUTED_VALUE"""),"Database")</f>
        <v>Database</v>
      </c>
      <c r="I611" s="35">
        <f>IFERROR(__xludf.DUMMYFUNCTION("""COMPUTED_VALUE"""),0.707)</f>
        <v>0.707</v>
      </c>
      <c r="J611" s="35">
        <f>IFERROR(__xludf.DUMMYFUNCTION("""COMPUTED_VALUE"""),610.0)</f>
        <v>610</v>
      </c>
      <c r="K611" s="35" t="b">
        <f>IFERROR(__xludf.DUMMYFUNCTION("""COMPUTED_VALUE"""),TRUE)</f>
        <v>1</v>
      </c>
      <c r="L611" s="35" t="str">
        <f>IFERROR(__xludf.DUMMYFUNCTION("""COMPUTED_VALUE"""),"Database;")</f>
        <v>Database;</v>
      </c>
      <c r="M611" s="35" t="b">
        <f>IFERROR(__xludf.DUMMYFUNCTION("""COMPUTED_VALUE"""),TRUE)</f>
        <v>1</v>
      </c>
      <c r="N611" s="35" t="b">
        <f>IFERROR(__xludf.DUMMYFUNCTION("""COMPUTED_VALUE"""),FALSE)</f>
        <v>0</v>
      </c>
      <c r="O611" s="35">
        <f>IFERROR(__xludf.DUMMYFUNCTION("""COMPUTED_VALUE"""),70.7017284680159)</f>
        <v>70.70172847</v>
      </c>
      <c r="P611" s="35">
        <f>IFERROR(__xludf.DUMMYFUNCTION("""COMPUTED_VALUE"""),47857.0)</f>
        <v>47857</v>
      </c>
      <c r="Q611" s="35">
        <f>IFERROR(__xludf.DUMMYFUNCTION("""COMPUTED_VALUE"""),67689.0)</f>
        <v>67689</v>
      </c>
    </row>
    <row r="612">
      <c r="A612" s="35">
        <f>IFERROR(__xludf.DUMMYFUNCTION("""COMPUTED_VALUE"""),611.0)</f>
        <v>611</v>
      </c>
      <c r="B612" s="35" t="str">
        <f>IFERROR(__xludf.DUMMYFUNCTION("""COMPUTED_VALUE"""),"Valid Triangle Number")</f>
        <v>Valid Triangle Number</v>
      </c>
      <c r="C612" s="35" t="str">
        <f>IFERROR(__xludf.DUMMYFUNCTION("""COMPUTED_VALUE"""),"valid-triangle-number")</f>
        <v>valid-triangle-number</v>
      </c>
      <c r="D612" s="35" t="b">
        <f>IFERROR(__xludf.DUMMYFUNCTION("""COMPUTED_VALUE"""),FALSE)</f>
        <v>0</v>
      </c>
      <c r="E612" s="35" t="str">
        <f>IFERROR(__xludf.DUMMYFUNCTION("""COMPUTED_VALUE"""),"Medium")</f>
        <v>Medium</v>
      </c>
      <c r="F612" s="35">
        <f>IFERROR(__xludf.DUMMYFUNCTION("""COMPUTED_VALUE"""),2347.0)</f>
        <v>2347</v>
      </c>
      <c r="G612" s="35">
        <f>IFERROR(__xludf.DUMMYFUNCTION("""COMPUTED_VALUE"""),143.0)</f>
        <v>143</v>
      </c>
      <c r="H612" s="35" t="str">
        <f>IFERROR(__xludf.DUMMYFUNCTION("""COMPUTED_VALUE"""),"Algorithms")</f>
        <v>Algorithms</v>
      </c>
      <c r="I612" s="35">
        <f>IFERROR(__xludf.DUMMYFUNCTION("""COMPUTED_VALUE"""),0.496)</f>
        <v>0.496</v>
      </c>
      <c r="J612" s="35">
        <f>IFERROR(__xludf.DUMMYFUNCTION("""COMPUTED_VALUE"""),611.0)</f>
        <v>611</v>
      </c>
      <c r="K612" s="35" t="b">
        <f>IFERROR(__xludf.DUMMYFUNCTION("""COMPUTED_VALUE"""),FALSE)</f>
        <v>0</v>
      </c>
      <c r="L612" s="35" t="str">
        <f>IFERROR(__xludf.DUMMYFUNCTION("""COMPUTED_VALUE"""),"Array;Two Pointers;Binary Search;Greedy;Sorting;")</f>
        <v>Array;Two Pointers;Binary Search;Greedy;Sorting;</v>
      </c>
      <c r="M612" s="35" t="b">
        <f>IFERROR(__xludf.DUMMYFUNCTION("""COMPUTED_VALUE"""),TRUE)</f>
        <v>1</v>
      </c>
      <c r="N612" s="35" t="b">
        <f>IFERROR(__xludf.DUMMYFUNCTION("""COMPUTED_VALUE"""),FALSE)</f>
        <v>0</v>
      </c>
      <c r="O612" s="35">
        <f>IFERROR(__xludf.DUMMYFUNCTION("""COMPUTED_VALUE"""),49.5670412780531)</f>
        <v>49.56704128</v>
      </c>
      <c r="P612" s="35">
        <f>IFERROR(__xludf.DUMMYFUNCTION("""COMPUTED_VALUE"""),130684.0)</f>
        <v>130684</v>
      </c>
      <c r="Q612" s="35">
        <f>IFERROR(__xludf.DUMMYFUNCTION("""COMPUTED_VALUE"""),263651.0)</f>
        <v>263651</v>
      </c>
    </row>
    <row r="613">
      <c r="A613" s="35">
        <f>IFERROR(__xludf.DUMMYFUNCTION("""COMPUTED_VALUE"""),612.0)</f>
        <v>612</v>
      </c>
      <c r="B613" s="35" t="str">
        <f>IFERROR(__xludf.DUMMYFUNCTION("""COMPUTED_VALUE"""),"Shortest Distance in a Plane")</f>
        <v>Shortest Distance in a Plane</v>
      </c>
      <c r="C613" s="35" t="str">
        <f>IFERROR(__xludf.DUMMYFUNCTION("""COMPUTED_VALUE"""),"shortest-distance-in-a-plane")</f>
        <v>shortest-distance-in-a-plane</v>
      </c>
      <c r="D613" s="35" t="b">
        <f>IFERROR(__xludf.DUMMYFUNCTION("""COMPUTED_VALUE"""),TRUE)</f>
        <v>1</v>
      </c>
      <c r="E613" s="35" t="str">
        <f>IFERROR(__xludf.DUMMYFUNCTION("""COMPUTED_VALUE"""),"Medium")</f>
        <v>Medium</v>
      </c>
      <c r="F613" s="35">
        <f>IFERROR(__xludf.DUMMYFUNCTION("""COMPUTED_VALUE"""),161.0)</f>
        <v>161</v>
      </c>
      <c r="G613" s="35">
        <f>IFERROR(__xludf.DUMMYFUNCTION("""COMPUTED_VALUE"""),61.0)</f>
        <v>61</v>
      </c>
      <c r="H613" s="35" t="str">
        <f>IFERROR(__xludf.DUMMYFUNCTION("""COMPUTED_VALUE"""),"Database")</f>
        <v>Database</v>
      </c>
      <c r="I613" s="35">
        <f>IFERROR(__xludf.DUMMYFUNCTION("""COMPUTED_VALUE"""),0.63)</f>
        <v>0.63</v>
      </c>
      <c r="J613" s="35">
        <f>IFERROR(__xludf.DUMMYFUNCTION("""COMPUTED_VALUE"""),612.0)</f>
        <v>612</v>
      </c>
      <c r="K613" s="35" t="b">
        <f>IFERROR(__xludf.DUMMYFUNCTION("""COMPUTED_VALUE"""),TRUE)</f>
        <v>1</v>
      </c>
      <c r="L613" s="35" t="str">
        <f>IFERROR(__xludf.DUMMYFUNCTION("""COMPUTED_VALUE"""),"Database;")</f>
        <v>Database;</v>
      </c>
      <c r="M613" s="35" t="b">
        <f>IFERROR(__xludf.DUMMYFUNCTION("""COMPUTED_VALUE"""),TRUE)</f>
        <v>1</v>
      </c>
      <c r="N613" s="35" t="b">
        <f>IFERROR(__xludf.DUMMYFUNCTION("""COMPUTED_VALUE"""),FALSE)</f>
        <v>0</v>
      </c>
      <c r="O613" s="35">
        <f>IFERROR(__xludf.DUMMYFUNCTION("""COMPUTED_VALUE"""),63.0187850159288)</f>
        <v>63.01878502</v>
      </c>
      <c r="P613" s="35">
        <f>IFERROR(__xludf.DUMMYFUNCTION("""COMPUTED_VALUE"""),28682.0)</f>
        <v>28682</v>
      </c>
      <c r="Q613" s="35">
        <f>IFERROR(__xludf.DUMMYFUNCTION("""COMPUTED_VALUE"""),45513.0)</f>
        <v>45513</v>
      </c>
    </row>
    <row r="614">
      <c r="A614" s="35">
        <f>IFERROR(__xludf.DUMMYFUNCTION("""COMPUTED_VALUE"""),613.0)</f>
        <v>613</v>
      </c>
      <c r="B614" s="35" t="str">
        <f>IFERROR(__xludf.DUMMYFUNCTION("""COMPUTED_VALUE"""),"Shortest Distance in a Line")</f>
        <v>Shortest Distance in a Line</v>
      </c>
      <c r="C614" s="35" t="str">
        <f>IFERROR(__xludf.DUMMYFUNCTION("""COMPUTED_VALUE"""),"shortest-distance-in-a-line")</f>
        <v>shortest-distance-in-a-line</v>
      </c>
      <c r="D614" s="35" t="b">
        <f>IFERROR(__xludf.DUMMYFUNCTION("""COMPUTED_VALUE"""),TRUE)</f>
        <v>1</v>
      </c>
      <c r="E614" s="35" t="str">
        <f>IFERROR(__xludf.DUMMYFUNCTION("""COMPUTED_VALUE"""),"Easy")</f>
        <v>Easy</v>
      </c>
      <c r="F614" s="35">
        <f>IFERROR(__xludf.DUMMYFUNCTION("""COMPUTED_VALUE"""),240.0)</f>
        <v>240</v>
      </c>
      <c r="G614" s="35">
        <f>IFERROR(__xludf.DUMMYFUNCTION("""COMPUTED_VALUE"""),33.0)</f>
        <v>33</v>
      </c>
      <c r="H614" s="35" t="str">
        <f>IFERROR(__xludf.DUMMYFUNCTION("""COMPUTED_VALUE"""),"Database")</f>
        <v>Database</v>
      </c>
      <c r="I614" s="35">
        <f>IFERROR(__xludf.DUMMYFUNCTION("""COMPUTED_VALUE"""),0.81)</f>
        <v>0.81</v>
      </c>
      <c r="J614" s="35">
        <f>IFERROR(__xludf.DUMMYFUNCTION("""COMPUTED_VALUE"""),613.0)</f>
        <v>613</v>
      </c>
      <c r="K614" s="35" t="b">
        <f>IFERROR(__xludf.DUMMYFUNCTION("""COMPUTED_VALUE"""),TRUE)</f>
        <v>1</v>
      </c>
      <c r="L614" s="35" t="str">
        <f>IFERROR(__xludf.DUMMYFUNCTION("""COMPUTED_VALUE"""),"Database;")</f>
        <v>Database;</v>
      </c>
      <c r="M614" s="35" t="b">
        <f>IFERROR(__xludf.DUMMYFUNCTION("""COMPUTED_VALUE"""),TRUE)</f>
        <v>1</v>
      </c>
      <c r="N614" s="35" t="b">
        <f>IFERROR(__xludf.DUMMYFUNCTION("""COMPUTED_VALUE"""),FALSE)</f>
        <v>0</v>
      </c>
      <c r="O614" s="35">
        <f>IFERROR(__xludf.DUMMYFUNCTION("""COMPUTED_VALUE"""),81.0085353020762)</f>
        <v>81.0085353</v>
      </c>
      <c r="P614" s="35">
        <f>IFERROR(__xludf.DUMMYFUNCTION("""COMPUTED_VALUE"""),48499.0)</f>
        <v>48499</v>
      </c>
      <c r="Q614" s="35">
        <f>IFERROR(__xludf.DUMMYFUNCTION("""COMPUTED_VALUE"""),59869.0)</f>
        <v>59869</v>
      </c>
    </row>
    <row r="615">
      <c r="A615" s="35">
        <f>IFERROR(__xludf.DUMMYFUNCTION("""COMPUTED_VALUE"""),614.0)</f>
        <v>614</v>
      </c>
      <c r="B615" s="35" t="str">
        <f>IFERROR(__xludf.DUMMYFUNCTION("""COMPUTED_VALUE"""),"Second Degree Follower")</f>
        <v>Second Degree Follower</v>
      </c>
      <c r="C615" s="35" t="str">
        <f>IFERROR(__xludf.DUMMYFUNCTION("""COMPUTED_VALUE"""),"second-degree-follower")</f>
        <v>second-degree-follower</v>
      </c>
      <c r="D615" s="35" t="b">
        <f>IFERROR(__xludf.DUMMYFUNCTION("""COMPUTED_VALUE"""),TRUE)</f>
        <v>1</v>
      </c>
      <c r="E615" s="35" t="str">
        <f>IFERROR(__xludf.DUMMYFUNCTION("""COMPUTED_VALUE"""),"Medium")</f>
        <v>Medium</v>
      </c>
      <c r="F615" s="35">
        <f>IFERROR(__xludf.DUMMYFUNCTION("""COMPUTED_VALUE"""),115.0)</f>
        <v>115</v>
      </c>
      <c r="G615" s="35">
        <f>IFERROR(__xludf.DUMMYFUNCTION("""COMPUTED_VALUE"""),691.0)</f>
        <v>691</v>
      </c>
      <c r="H615" s="35" t="str">
        <f>IFERROR(__xludf.DUMMYFUNCTION("""COMPUTED_VALUE"""),"Database")</f>
        <v>Database</v>
      </c>
      <c r="I615" s="35">
        <f>IFERROR(__xludf.DUMMYFUNCTION("""COMPUTED_VALUE"""),0.352)</f>
        <v>0.352</v>
      </c>
      <c r="J615" s="35">
        <f>IFERROR(__xludf.DUMMYFUNCTION("""COMPUTED_VALUE"""),614.0)</f>
        <v>614</v>
      </c>
      <c r="K615" s="35" t="b">
        <f>IFERROR(__xludf.DUMMYFUNCTION("""COMPUTED_VALUE"""),TRUE)</f>
        <v>1</v>
      </c>
      <c r="L615" s="35" t="str">
        <f>IFERROR(__xludf.DUMMYFUNCTION("""COMPUTED_VALUE"""),"Database;")</f>
        <v>Database;</v>
      </c>
      <c r="M615" s="35" t="b">
        <f>IFERROR(__xludf.DUMMYFUNCTION("""COMPUTED_VALUE"""),FALSE)</f>
        <v>0</v>
      </c>
      <c r="N615" s="35" t="b">
        <f>IFERROR(__xludf.DUMMYFUNCTION("""COMPUTED_VALUE"""),FALSE)</f>
        <v>0</v>
      </c>
      <c r="O615" s="35">
        <f>IFERROR(__xludf.DUMMYFUNCTION("""COMPUTED_VALUE"""),35.1840397344879)</f>
        <v>35.18403973</v>
      </c>
      <c r="P615" s="35">
        <f>IFERROR(__xludf.DUMMYFUNCTION("""COMPUTED_VALUE"""),38111.0)</f>
        <v>38111</v>
      </c>
      <c r="Q615" s="35">
        <f>IFERROR(__xludf.DUMMYFUNCTION("""COMPUTED_VALUE"""),108319.0)</f>
        <v>108319</v>
      </c>
    </row>
    <row r="616">
      <c r="A616" s="35">
        <f>IFERROR(__xludf.DUMMYFUNCTION("""COMPUTED_VALUE"""),615.0)</f>
        <v>615</v>
      </c>
      <c r="B616" s="35" t="str">
        <f>IFERROR(__xludf.DUMMYFUNCTION("""COMPUTED_VALUE"""),"Average Salary: Departments VS Company")</f>
        <v>Average Salary: Departments VS Company</v>
      </c>
      <c r="C616" s="35" t="str">
        <f>IFERROR(__xludf.DUMMYFUNCTION("""COMPUTED_VALUE"""),"average-salary-departments-vs-company")</f>
        <v>average-salary-departments-vs-company</v>
      </c>
      <c r="D616" s="35" t="b">
        <f>IFERROR(__xludf.DUMMYFUNCTION("""COMPUTED_VALUE"""),TRUE)</f>
        <v>1</v>
      </c>
      <c r="E616" s="35" t="str">
        <f>IFERROR(__xludf.DUMMYFUNCTION("""COMPUTED_VALUE"""),"Hard")</f>
        <v>Hard</v>
      </c>
      <c r="F616" s="35">
        <f>IFERROR(__xludf.DUMMYFUNCTION("""COMPUTED_VALUE"""),168.0)</f>
        <v>168</v>
      </c>
      <c r="G616" s="35">
        <f>IFERROR(__xludf.DUMMYFUNCTION("""COMPUTED_VALUE"""),58.0)</f>
        <v>58</v>
      </c>
      <c r="H616" s="35" t="str">
        <f>IFERROR(__xludf.DUMMYFUNCTION("""COMPUTED_VALUE"""),"Database")</f>
        <v>Database</v>
      </c>
      <c r="I616" s="35">
        <f>IFERROR(__xludf.DUMMYFUNCTION("""COMPUTED_VALUE"""),0.56)</f>
        <v>0.56</v>
      </c>
      <c r="J616" s="35">
        <f>IFERROR(__xludf.DUMMYFUNCTION("""COMPUTED_VALUE"""),615.0)</f>
        <v>615</v>
      </c>
      <c r="K616" s="35" t="b">
        <f>IFERROR(__xludf.DUMMYFUNCTION("""COMPUTED_VALUE"""),TRUE)</f>
        <v>1</v>
      </c>
      <c r="L616" s="35" t="str">
        <f>IFERROR(__xludf.DUMMYFUNCTION("""COMPUTED_VALUE"""),"Database;")</f>
        <v>Database;</v>
      </c>
      <c r="M616" s="35" t="b">
        <f>IFERROR(__xludf.DUMMYFUNCTION("""COMPUTED_VALUE"""),TRUE)</f>
        <v>1</v>
      </c>
      <c r="N616" s="35" t="b">
        <f>IFERROR(__xludf.DUMMYFUNCTION("""COMPUTED_VALUE"""),FALSE)</f>
        <v>0</v>
      </c>
      <c r="O616" s="35">
        <f>IFERROR(__xludf.DUMMYFUNCTION("""COMPUTED_VALUE"""),55.9789720680474)</f>
        <v>55.97897207</v>
      </c>
      <c r="P616" s="35">
        <f>IFERROR(__xludf.DUMMYFUNCTION("""COMPUTED_VALUE"""),24811.0)</f>
        <v>24811</v>
      </c>
      <c r="Q616" s="35">
        <f>IFERROR(__xludf.DUMMYFUNCTION("""COMPUTED_VALUE"""),44322.0)</f>
        <v>44322</v>
      </c>
    </row>
    <row r="617">
      <c r="A617" s="35">
        <f>IFERROR(__xludf.DUMMYFUNCTION("""COMPUTED_VALUE"""),616.0)</f>
        <v>616</v>
      </c>
      <c r="B617" s="35" t="str">
        <f>IFERROR(__xludf.DUMMYFUNCTION("""COMPUTED_VALUE"""),"Add Bold Tag in String")</f>
        <v>Add Bold Tag in String</v>
      </c>
      <c r="C617" s="35" t="str">
        <f>IFERROR(__xludf.DUMMYFUNCTION("""COMPUTED_VALUE"""),"add-bold-tag-in-string")</f>
        <v>add-bold-tag-in-string</v>
      </c>
      <c r="D617" s="35" t="b">
        <f>IFERROR(__xludf.DUMMYFUNCTION("""COMPUTED_VALUE"""),TRUE)</f>
        <v>1</v>
      </c>
      <c r="E617" s="35" t="str">
        <f>IFERROR(__xludf.DUMMYFUNCTION("""COMPUTED_VALUE"""),"Medium")</f>
        <v>Medium</v>
      </c>
      <c r="F617" s="35">
        <f>IFERROR(__xludf.DUMMYFUNCTION("""COMPUTED_VALUE"""),883.0)</f>
        <v>883</v>
      </c>
      <c r="G617" s="35">
        <f>IFERROR(__xludf.DUMMYFUNCTION("""COMPUTED_VALUE"""),146.0)</f>
        <v>146</v>
      </c>
      <c r="H617" s="35" t="str">
        <f>IFERROR(__xludf.DUMMYFUNCTION("""COMPUTED_VALUE"""),"Algorithms")</f>
        <v>Algorithms</v>
      </c>
      <c r="I617" s="35">
        <f>IFERROR(__xludf.DUMMYFUNCTION("""COMPUTED_VALUE"""),0.479)</f>
        <v>0.479</v>
      </c>
      <c r="J617" s="35">
        <f>IFERROR(__xludf.DUMMYFUNCTION("""COMPUTED_VALUE"""),616.0)</f>
        <v>616</v>
      </c>
      <c r="K617" s="35" t="b">
        <f>IFERROR(__xludf.DUMMYFUNCTION("""COMPUTED_VALUE"""),TRUE)</f>
        <v>1</v>
      </c>
      <c r="L617" s="35" t="str">
        <f>IFERROR(__xludf.DUMMYFUNCTION("""COMPUTED_VALUE"""),"Array;Hash Table;String;Trie;String Matching;")</f>
        <v>Array;Hash Table;String;Trie;String Matching;</v>
      </c>
      <c r="M617" s="35" t="b">
        <f>IFERROR(__xludf.DUMMYFUNCTION("""COMPUTED_VALUE"""),FALSE)</f>
        <v>0</v>
      </c>
      <c r="N617" s="35" t="b">
        <f>IFERROR(__xludf.DUMMYFUNCTION("""COMPUTED_VALUE"""),FALSE)</f>
        <v>0</v>
      </c>
      <c r="O617" s="35">
        <f>IFERROR(__xludf.DUMMYFUNCTION("""COMPUTED_VALUE"""),47.8618918610044)</f>
        <v>47.86189186</v>
      </c>
      <c r="P617" s="35">
        <f>IFERROR(__xludf.DUMMYFUNCTION("""COMPUTED_VALUE"""),71195.0)</f>
        <v>71195</v>
      </c>
      <c r="Q617" s="35">
        <f>IFERROR(__xludf.DUMMYFUNCTION("""COMPUTED_VALUE"""),148752.0)</f>
        <v>148752</v>
      </c>
    </row>
    <row r="618">
      <c r="A618" s="35">
        <f>IFERROR(__xludf.DUMMYFUNCTION("""COMPUTED_VALUE"""),617.0)</f>
        <v>617</v>
      </c>
      <c r="B618" s="35" t="str">
        <f>IFERROR(__xludf.DUMMYFUNCTION("""COMPUTED_VALUE"""),"Merge Two Binary Trees")</f>
        <v>Merge Two Binary Trees</v>
      </c>
      <c r="C618" s="35" t="str">
        <f>IFERROR(__xludf.DUMMYFUNCTION("""COMPUTED_VALUE"""),"merge-two-binary-trees")</f>
        <v>merge-two-binary-trees</v>
      </c>
      <c r="D618" s="35" t="b">
        <f>IFERROR(__xludf.DUMMYFUNCTION("""COMPUTED_VALUE"""),FALSE)</f>
        <v>0</v>
      </c>
      <c r="E618" s="35" t="str">
        <f>IFERROR(__xludf.DUMMYFUNCTION("""COMPUTED_VALUE"""),"Easy")</f>
        <v>Easy</v>
      </c>
      <c r="F618" s="35">
        <f>IFERROR(__xludf.DUMMYFUNCTION("""COMPUTED_VALUE"""),6201.0)</f>
        <v>6201</v>
      </c>
      <c r="G618" s="35">
        <f>IFERROR(__xludf.DUMMYFUNCTION("""COMPUTED_VALUE"""),240.0)</f>
        <v>240</v>
      </c>
      <c r="H618" s="35" t="str">
        <f>IFERROR(__xludf.DUMMYFUNCTION("""COMPUTED_VALUE"""),"Algorithms")</f>
        <v>Algorithms</v>
      </c>
      <c r="I618" s="35">
        <f>IFERROR(__xludf.DUMMYFUNCTION("""COMPUTED_VALUE"""),0.777)</f>
        <v>0.777</v>
      </c>
      <c r="J618" s="35">
        <f>IFERROR(__xludf.DUMMYFUNCTION("""COMPUTED_VALUE"""),617.0)</f>
        <v>617</v>
      </c>
      <c r="K618" s="35" t="b">
        <f>IFERROR(__xludf.DUMMYFUNCTION("""COMPUTED_VALUE"""),FALSE)</f>
        <v>0</v>
      </c>
      <c r="L618" s="35" t="str">
        <f>IFERROR(__xludf.DUMMYFUNCTION("""COMPUTED_VALUE"""),"Tree;Depth-First Search;Breadth-First Search;Binary Tree;")</f>
        <v>Tree;Depth-First Search;Breadth-First Search;Binary Tree;</v>
      </c>
      <c r="M618" s="35" t="b">
        <f>IFERROR(__xludf.DUMMYFUNCTION("""COMPUTED_VALUE"""),TRUE)</f>
        <v>1</v>
      </c>
      <c r="N618" s="35" t="b">
        <f>IFERROR(__xludf.DUMMYFUNCTION("""COMPUTED_VALUE"""),FALSE)</f>
        <v>0</v>
      </c>
      <c r="O618" s="35">
        <f>IFERROR(__xludf.DUMMYFUNCTION("""COMPUTED_VALUE"""),77.6579019970484)</f>
        <v>77.657902</v>
      </c>
      <c r="P618" s="35">
        <f>IFERROR(__xludf.DUMMYFUNCTION("""COMPUTED_VALUE"""),531991.0)</f>
        <v>531991</v>
      </c>
      <c r="Q618" s="35">
        <f>IFERROR(__xludf.DUMMYFUNCTION("""COMPUTED_VALUE"""),685047.0)</f>
        <v>685047</v>
      </c>
    </row>
    <row r="619">
      <c r="A619" s="35">
        <f>IFERROR(__xludf.DUMMYFUNCTION("""COMPUTED_VALUE"""),618.0)</f>
        <v>618</v>
      </c>
      <c r="B619" s="35" t="str">
        <f>IFERROR(__xludf.DUMMYFUNCTION("""COMPUTED_VALUE"""),"Students Report By Geography")</f>
        <v>Students Report By Geography</v>
      </c>
      <c r="C619" s="35" t="str">
        <f>IFERROR(__xludf.DUMMYFUNCTION("""COMPUTED_VALUE"""),"students-report-by-geography")</f>
        <v>students-report-by-geography</v>
      </c>
      <c r="D619" s="35" t="b">
        <f>IFERROR(__xludf.DUMMYFUNCTION("""COMPUTED_VALUE"""),TRUE)</f>
        <v>1</v>
      </c>
      <c r="E619" s="35" t="str">
        <f>IFERROR(__xludf.DUMMYFUNCTION("""COMPUTED_VALUE"""),"Hard")</f>
        <v>Hard</v>
      </c>
      <c r="F619" s="35">
        <f>IFERROR(__xludf.DUMMYFUNCTION("""COMPUTED_VALUE"""),115.0)</f>
        <v>115</v>
      </c>
      <c r="G619" s="35">
        <f>IFERROR(__xludf.DUMMYFUNCTION("""COMPUTED_VALUE"""),129.0)</f>
        <v>129</v>
      </c>
      <c r="H619" s="35" t="str">
        <f>IFERROR(__xludf.DUMMYFUNCTION("""COMPUTED_VALUE"""),"Database")</f>
        <v>Database</v>
      </c>
      <c r="I619" s="35">
        <f>IFERROR(__xludf.DUMMYFUNCTION("""COMPUTED_VALUE"""),0.631)</f>
        <v>0.631</v>
      </c>
      <c r="J619" s="35">
        <f>IFERROR(__xludf.DUMMYFUNCTION("""COMPUTED_VALUE"""),618.0)</f>
        <v>618</v>
      </c>
      <c r="K619" s="35" t="b">
        <f>IFERROR(__xludf.DUMMYFUNCTION("""COMPUTED_VALUE"""),TRUE)</f>
        <v>1</v>
      </c>
      <c r="L619" s="35" t="str">
        <f>IFERROR(__xludf.DUMMYFUNCTION("""COMPUTED_VALUE"""),"Database;")</f>
        <v>Database;</v>
      </c>
      <c r="M619" s="35" t="b">
        <f>IFERROR(__xludf.DUMMYFUNCTION("""COMPUTED_VALUE"""),TRUE)</f>
        <v>1</v>
      </c>
      <c r="N619" s="35" t="b">
        <f>IFERROR(__xludf.DUMMYFUNCTION("""COMPUTED_VALUE"""),FALSE)</f>
        <v>0</v>
      </c>
      <c r="O619" s="35">
        <f>IFERROR(__xludf.DUMMYFUNCTION("""COMPUTED_VALUE"""),63.0689363757092)</f>
        <v>63.06893638</v>
      </c>
      <c r="P619" s="35">
        <f>IFERROR(__xludf.DUMMYFUNCTION("""COMPUTED_VALUE"""),15671.0)</f>
        <v>15671</v>
      </c>
      <c r="Q619" s="35">
        <f>IFERROR(__xludf.DUMMYFUNCTION("""COMPUTED_VALUE"""),24848.0)</f>
        <v>24848</v>
      </c>
    </row>
    <row r="620">
      <c r="A620" s="35">
        <f>IFERROR(__xludf.DUMMYFUNCTION("""COMPUTED_VALUE"""),619.0)</f>
        <v>619</v>
      </c>
      <c r="B620" s="35" t="str">
        <f>IFERROR(__xludf.DUMMYFUNCTION("""COMPUTED_VALUE"""),"Biggest Single Number")</f>
        <v>Biggest Single Number</v>
      </c>
      <c r="C620" s="35" t="str">
        <f>IFERROR(__xludf.DUMMYFUNCTION("""COMPUTED_VALUE"""),"biggest-single-number")</f>
        <v>biggest-single-number</v>
      </c>
      <c r="D620" s="35" t="b">
        <f>IFERROR(__xludf.DUMMYFUNCTION("""COMPUTED_VALUE"""),TRUE)</f>
        <v>1</v>
      </c>
      <c r="E620" s="35" t="str">
        <f>IFERROR(__xludf.DUMMYFUNCTION("""COMPUTED_VALUE"""),"Easy")</f>
        <v>Easy</v>
      </c>
      <c r="F620" s="35">
        <f>IFERROR(__xludf.DUMMYFUNCTION("""COMPUTED_VALUE"""),115.0)</f>
        <v>115</v>
      </c>
      <c r="G620" s="35">
        <f>IFERROR(__xludf.DUMMYFUNCTION("""COMPUTED_VALUE"""),104.0)</f>
        <v>104</v>
      </c>
      <c r="H620" s="35" t="str">
        <f>IFERROR(__xludf.DUMMYFUNCTION("""COMPUTED_VALUE"""),"Database")</f>
        <v>Database</v>
      </c>
      <c r="I620" s="35">
        <f>IFERROR(__xludf.DUMMYFUNCTION("""COMPUTED_VALUE"""),0.472)</f>
        <v>0.472</v>
      </c>
      <c r="J620" s="35">
        <f>IFERROR(__xludf.DUMMYFUNCTION("""COMPUTED_VALUE"""),619.0)</f>
        <v>619</v>
      </c>
      <c r="K620" s="35" t="b">
        <f>IFERROR(__xludf.DUMMYFUNCTION("""COMPUTED_VALUE"""),TRUE)</f>
        <v>1</v>
      </c>
      <c r="L620" s="35" t="str">
        <f>IFERROR(__xludf.DUMMYFUNCTION("""COMPUTED_VALUE"""),"Database;")</f>
        <v>Database;</v>
      </c>
      <c r="M620" s="35" t="b">
        <f>IFERROR(__xludf.DUMMYFUNCTION("""COMPUTED_VALUE"""),TRUE)</f>
        <v>1</v>
      </c>
      <c r="N620" s="35" t="b">
        <f>IFERROR(__xludf.DUMMYFUNCTION("""COMPUTED_VALUE"""),FALSE)</f>
        <v>0</v>
      </c>
      <c r="O620" s="35">
        <f>IFERROR(__xludf.DUMMYFUNCTION("""COMPUTED_VALUE"""),47.2317305080141)</f>
        <v>47.23173051</v>
      </c>
      <c r="P620" s="35">
        <f>IFERROR(__xludf.DUMMYFUNCTION("""COMPUTED_VALUE"""),43462.0)</f>
        <v>43462</v>
      </c>
      <c r="Q620" s="35">
        <f>IFERROR(__xludf.DUMMYFUNCTION("""COMPUTED_VALUE"""),92019.0)</f>
        <v>92019</v>
      </c>
    </row>
    <row r="621">
      <c r="A621" s="35">
        <f>IFERROR(__xludf.DUMMYFUNCTION("""COMPUTED_VALUE"""),620.0)</f>
        <v>620</v>
      </c>
      <c r="B621" s="35" t="str">
        <f>IFERROR(__xludf.DUMMYFUNCTION("""COMPUTED_VALUE"""),"Not Boring Movies")</f>
        <v>Not Boring Movies</v>
      </c>
      <c r="C621" s="35" t="str">
        <f>IFERROR(__xludf.DUMMYFUNCTION("""COMPUTED_VALUE"""),"not-boring-movies")</f>
        <v>not-boring-movies</v>
      </c>
      <c r="D621" s="35" t="b">
        <f>IFERROR(__xludf.DUMMYFUNCTION("""COMPUTED_VALUE"""),FALSE)</f>
        <v>0</v>
      </c>
      <c r="E621" s="35" t="str">
        <f>IFERROR(__xludf.DUMMYFUNCTION("""COMPUTED_VALUE"""),"Easy")</f>
        <v>Easy</v>
      </c>
      <c r="F621" s="35">
        <f>IFERROR(__xludf.DUMMYFUNCTION("""COMPUTED_VALUE"""),462.0)</f>
        <v>462</v>
      </c>
      <c r="G621" s="35">
        <f>IFERROR(__xludf.DUMMYFUNCTION("""COMPUTED_VALUE"""),359.0)</f>
        <v>359</v>
      </c>
      <c r="H621" s="35" t="str">
        <f>IFERROR(__xludf.DUMMYFUNCTION("""COMPUTED_VALUE"""),"Database")</f>
        <v>Database</v>
      </c>
      <c r="I621" s="35">
        <f>IFERROR(__xludf.DUMMYFUNCTION("""COMPUTED_VALUE"""),0.724)</f>
        <v>0.724</v>
      </c>
      <c r="J621" s="35">
        <f>IFERROR(__xludf.DUMMYFUNCTION("""COMPUTED_VALUE"""),620.0)</f>
        <v>620</v>
      </c>
      <c r="K621" s="35" t="b">
        <f>IFERROR(__xludf.DUMMYFUNCTION("""COMPUTED_VALUE"""),FALSE)</f>
        <v>0</v>
      </c>
      <c r="L621" s="35" t="str">
        <f>IFERROR(__xludf.DUMMYFUNCTION("""COMPUTED_VALUE"""),"Database;")</f>
        <v>Database;</v>
      </c>
      <c r="M621" s="35" t="b">
        <f>IFERROR(__xludf.DUMMYFUNCTION("""COMPUTED_VALUE"""),TRUE)</f>
        <v>1</v>
      </c>
      <c r="N621" s="35" t="b">
        <f>IFERROR(__xludf.DUMMYFUNCTION("""COMPUTED_VALUE"""),FALSE)</f>
        <v>0</v>
      </c>
      <c r="O621" s="35">
        <f>IFERROR(__xludf.DUMMYFUNCTION("""COMPUTED_VALUE"""),72.354597462627)</f>
        <v>72.35459746</v>
      </c>
      <c r="P621" s="35">
        <f>IFERROR(__xludf.DUMMYFUNCTION("""COMPUTED_VALUE"""),177823.0)</f>
        <v>177823</v>
      </c>
      <c r="Q621" s="35">
        <f>IFERROR(__xludf.DUMMYFUNCTION("""COMPUTED_VALUE"""),245766.0)</f>
        <v>245766</v>
      </c>
    </row>
    <row r="622">
      <c r="A622" s="35">
        <f>IFERROR(__xludf.DUMMYFUNCTION("""COMPUTED_VALUE"""),621.0)</f>
        <v>621</v>
      </c>
      <c r="B622" s="35" t="str">
        <f>IFERROR(__xludf.DUMMYFUNCTION("""COMPUTED_VALUE"""),"Task Scheduler")</f>
        <v>Task Scheduler</v>
      </c>
      <c r="C622" s="35" t="str">
        <f>IFERROR(__xludf.DUMMYFUNCTION("""COMPUTED_VALUE"""),"task-scheduler")</f>
        <v>task-scheduler</v>
      </c>
      <c r="D622" s="35" t="b">
        <f>IFERROR(__xludf.DUMMYFUNCTION("""COMPUTED_VALUE"""),FALSE)</f>
        <v>0</v>
      </c>
      <c r="E622" s="35" t="str">
        <f>IFERROR(__xludf.DUMMYFUNCTION("""COMPUTED_VALUE"""),"Medium")</f>
        <v>Medium</v>
      </c>
      <c r="F622" s="35">
        <f>IFERROR(__xludf.DUMMYFUNCTION("""COMPUTED_VALUE"""),6133.0)</f>
        <v>6133</v>
      </c>
      <c r="G622" s="35">
        <f>IFERROR(__xludf.DUMMYFUNCTION("""COMPUTED_VALUE"""),1171.0)</f>
        <v>1171</v>
      </c>
      <c r="H622" s="35" t="str">
        <f>IFERROR(__xludf.DUMMYFUNCTION("""COMPUTED_VALUE"""),"Algorithms")</f>
        <v>Algorithms</v>
      </c>
      <c r="I622" s="35">
        <f>IFERROR(__xludf.DUMMYFUNCTION("""COMPUTED_VALUE"""),0.543)</f>
        <v>0.543</v>
      </c>
      <c r="J622" s="35">
        <f>IFERROR(__xludf.DUMMYFUNCTION("""COMPUTED_VALUE"""),621.0)</f>
        <v>621</v>
      </c>
      <c r="K622" s="35" t="b">
        <f>IFERROR(__xludf.DUMMYFUNCTION("""COMPUTED_VALUE"""),FALSE)</f>
        <v>0</v>
      </c>
      <c r="L622" s="35" t="str">
        <f>IFERROR(__xludf.DUMMYFUNCTION("""COMPUTED_VALUE"""),"Array;Hash Table;Greedy;Sorting;Heap (Priority Queue);Counting;")</f>
        <v>Array;Hash Table;Greedy;Sorting;Heap (Priority Queue);Counting;</v>
      </c>
      <c r="M622" s="35" t="b">
        <f>IFERROR(__xludf.DUMMYFUNCTION("""COMPUTED_VALUE"""),TRUE)</f>
        <v>1</v>
      </c>
      <c r="N622" s="35" t="b">
        <f>IFERROR(__xludf.DUMMYFUNCTION("""COMPUTED_VALUE"""),FALSE)</f>
        <v>0</v>
      </c>
      <c r="O622" s="35">
        <f>IFERROR(__xludf.DUMMYFUNCTION("""COMPUTED_VALUE"""),54.2656469746269)</f>
        <v>54.26564697</v>
      </c>
      <c r="P622" s="35">
        <f>IFERROR(__xludf.DUMMYFUNCTION("""COMPUTED_VALUE"""),326045.0)</f>
        <v>326045</v>
      </c>
      <c r="Q622" s="35">
        <f>IFERROR(__xludf.DUMMYFUNCTION("""COMPUTED_VALUE"""),600831.0)</f>
        <v>600831</v>
      </c>
    </row>
    <row r="623">
      <c r="A623" s="35">
        <f>IFERROR(__xludf.DUMMYFUNCTION("""COMPUTED_VALUE"""),860.0)</f>
        <v>860</v>
      </c>
      <c r="B623" s="35" t="str">
        <f>IFERROR(__xludf.DUMMYFUNCTION("""COMPUTED_VALUE"""),"Design Circular Queue")</f>
        <v>Design Circular Queue</v>
      </c>
      <c r="C623" s="35" t="str">
        <f>IFERROR(__xludf.DUMMYFUNCTION("""COMPUTED_VALUE"""),"design-circular-queue")</f>
        <v>design-circular-queue</v>
      </c>
      <c r="D623" s="35" t="b">
        <f>IFERROR(__xludf.DUMMYFUNCTION("""COMPUTED_VALUE"""),FALSE)</f>
        <v>0</v>
      </c>
      <c r="E623" s="35" t="str">
        <f>IFERROR(__xludf.DUMMYFUNCTION("""COMPUTED_VALUE"""),"Medium")</f>
        <v>Medium</v>
      </c>
      <c r="F623" s="35">
        <f>IFERROR(__xludf.DUMMYFUNCTION("""COMPUTED_VALUE"""),1578.0)</f>
        <v>1578</v>
      </c>
      <c r="G623" s="35">
        <f>IFERROR(__xludf.DUMMYFUNCTION("""COMPUTED_VALUE"""),163.0)</f>
        <v>163</v>
      </c>
      <c r="H623" s="35" t="str">
        <f>IFERROR(__xludf.DUMMYFUNCTION("""COMPUTED_VALUE"""),"Algorithms")</f>
        <v>Algorithms</v>
      </c>
      <c r="I623" s="35">
        <f>IFERROR(__xludf.DUMMYFUNCTION("""COMPUTED_VALUE"""),0.485)</f>
        <v>0.485</v>
      </c>
      <c r="J623" s="35">
        <f>IFERROR(__xludf.DUMMYFUNCTION("""COMPUTED_VALUE"""),622.0)</f>
        <v>622</v>
      </c>
      <c r="K623" s="35" t="b">
        <f>IFERROR(__xludf.DUMMYFUNCTION("""COMPUTED_VALUE"""),FALSE)</f>
        <v>0</v>
      </c>
      <c r="L623" s="35" t="str">
        <f>IFERROR(__xludf.DUMMYFUNCTION("""COMPUTED_VALUE"""),"Array;Linked List;Design;Queue;")</f>
        <v>Array;Linked List;Design;Queue;</v>
      </c>
      <c r="M623" s="35" t="b">
        <f>IFERROR(__xludf.DUMMYFUNCTION("""COMPUTED_VALUE"""),TRUE)</f>
        <v>1</v>
      </c>
      <c r="N623" s="35" t="b">
        <f>IFERROR(__xludf.DUMMYFUNCTION("""COMPUTED_VALUE"""),FALSE)</f>
        <v>0</v>
      </c>
      <c r="O623" s="35">
        <f>IFERROR(__xludf.DUMMYFUNCTION("""COMPUTED_VALUE"""),48.5295944994408)</f>
        <v>48.5295945</v>
      </c>
      <c r="P623" s="35">
        <f>IFERROR(__xludf.DUMMYFUNCTION("""COMPUTED_VALUE"""),164028.0)</f>
        <v>164028</v>
      </c>
      <c r="Q623" s="35">
        <f>IFERROR(__xludf.DUMMYFUNCTION("""COMPUTED_VALUE"""),337999.0)</f>
        <v>337999</v>
      </c>
    </row>
    <row r="624">
      <c r="A624" s="35">
        <f>IFERROR(__xludf.DUMMYFUNCTION("""COMPUTED_VALUE"""),623.0)</f>
        <v>623</v>
      </c>
      <c r="B624" s="35" t="str">
        <f>IFERROR(__xludf.DUMMYFUNCTION("""COMPUTED_VALUE"""),"Add One Row to Tree")</f>
        <v>Add One Row to Tree</v>
      </c>
      <c r="C624" s="35" t="str">
        <f>IFERROR(__xludf.DUMMYFUNCTION("""COMPUTED_VALUE"""),"add-one-row-to-tree")</f>
        <v>add-one-row-to-tree</v>
      </c>
      <c r="D624" s="35" t="b">
        <f>IFERROR(__xludf.DUMMYFUNCTION("""COMPUTED_VALUE"""),FALSE)</f>
        <v>0</v>
      </c>
      <c r="E624" s="35" t="str">
        <f>IFERROR(__xludf.DUMMYFUNCTION("""COMPUTED_VALUE"""),"Medium")</f>
        <v>Medium</v>
      </c>
      <c r="F624" s="35">
        <f>IFERROR(__xludf.DUMMYFUNCTION("""COMPUTED_VALUE"""),1215.0)</f>
        <v>1215</v>
      </c>
      <c r="G624" s="35">
        <f>IFERROR(__xludf.DUMMYFUNCTION("""COMPUTED_VALUE"""),170.0)</f>
        <v>170</v>
      </c>
      <c r="H624" s="35" t="str">
        <f>IFERROR(__xludf.DUMMYFUNCTION("""COMPUTED_VALUE"""),"Algorithms")</f>
        <v>Algorithms</v>
      </c>
      <c r="I624" s="35">
        <f>IFERROR(__xludf.DUMMYFUNCTION("""COMPUTED_VALUE"""),0.538)</f>
        <v>0.538</v>
      </c>
      <c r="J624" s="35">
        <f>IFERROR(__xludf.DUMMYFUNCTION("""COMPUTED_VALUE"""),623.0)</f>
        <v>623</v>
      </c>
      <c r="K624" s="35" t="b">
        <f>IFERROR(__xludf.DUMMYFUNCTION("""COMPUTED_VALUE"""),FALSE)</f>
        <v>0</v>
      </c>
      <c r="L624" s="35" t="str">
        <f>IFERROR(__xludf.DUMMYFUNCTION("""COMPUTED_VALUE"""),"Tree;Depth-First Search;Breadth-First Search;Binary Tree;")</f>
        <v>Tree;Depth-First Search;Breadth-First Search;Binary Tree;</v>
      </c>
      <c r="M624" s="35" t="b">
        <f>IFERROR(__xludf.DUMMYFUNCTION("""COMPUTED_VALUE"""),TRUE)</f>
        <v>1</v>
      </c>
      <c r="N624" s="35" t="b">
        <f>IFERROR(__xludf.DUMMYFUNCTION("""COMPUTED_VALUE"""),FALSE)</f>
        <v>0</v>
      </c>
      <c r="O624" s="35">
        <f>IFERROR(__xludf.DUMMYFUNCTION("""COMPUTED_VALUE"""),53.7804651656191)</f>
        <v>53.78046517</v>
      </c>
      <c r="P624" s="35">
        <f>IFERROR(__xludf.DUMMYFUNCTION("""COMPUTED_VALUE"""),81116.0)</f>
        <v>81116</v>
      </c>
      <c r="Q624" s="35">
        <f>IFERROR(__xludf.DUMMYFUNCTION("""COMPUTED_VALUE"""),150828.0)</f>
        <v>150828</v>
      </c>
    </row>
    <row r="625">
      <c r="A625" s="35">
        <f>IFERROR(__xludf.DUMMYFUNCTION("""COMPUTED_VALUE"""),624.0)</f>
        <v>624</v>
      </c>
      <c r="B625" s="35" t="str">
        <f>IFERROR(__xludf.DUMMYFUNCTION("""COMPUTED_VALUE"""),"Maximum Distance in Arrays")</f>
        <v>Maximum Distance in Arrays</v>
      </c>
      <c r="C625" s="35" t="str">
        <f>IFERROR(__xludf.DUMMYFUNCTION("""COMPUTED_VALUE"""),"maximum-distance-in-arrays")</f>
        <v>maximum-distance-in-arrays</v>
      </c>
      <c r="D625" s="35" t="b">
        <f>IFERROR(__xludf.DUMMYFUNCTION("""COMPUTED_VALUE"""),TRUE)</f>
        <v>1</v>
      </c>
      <c r="E625" s="35" t="str">
        <f>IFERROR(__xludf.DUMMYFUNCTION("""COMPUTED_VALUE"""),"Medium")</f>
        <v>Medium</v>
      </c>
      <c r="F625" s="35">
        <f>IFERROR(__xludf.DUMMYFUNCTION("""COMPUTED_VALUE"""),591.0)</f>
        <v>591</v>
      </c>
      <c r="G625" s="35">
        <f>IFERROR(__xludf.DUMMYFUNCTION("""COMPUTED_VALUE"""),61.0)</f>
        <v>61</v>
      </c>
      <c r="H625" s="35" t="str">
        <f>IFERROR(__xludf.DUMMYFUNCTION("""COMPUTED_VALUE"""),"Algorithms")</f>
        <v>Algorithms</v>
      </c>
      <c r="I625" s="35">
        <f>IFERROR(__xludf.DUMMYFUNCTION("""COMPUTED_VALUE"""),0.415)</f>
        <v>0.415</v>
      </c>
      <c r="J625" s="35">
        <f>IFERROR(__xludf.DUMMYFUNCTION("""COMPUTED_VALUE"""),624.0)</f>
        <v>624</v>
      </c>
      <c r="K625" s="35" t="b">
        <f>IFERROR(__xludf.DUMMYFUNCTION("""COMPUTED_VALUE"""),TRUE)</f>
        <v>1</v>
      </c>
      <c r="L625" s="35" t="str">
        <f>IFERROR(__xludf.DUMMYFUNCTION("""COMPUTED_VALUE"""),"Array;Greedy;")</f>
        <v>Array;Greedy;</v>
      </c>
      <c r="M625" s="35" t="b">
        <f>IFERROR(__xludf.DUMMYFUNCTION("""COMPUTED_VALUE"""),TRUE)</f>
        <v>1</v>
      </c>
      <c r="N625" s="35" t="b">
        <f>IFERROR(__xludf.DUMMYFUNCTION("""COMPUTED_VALUE"""),FALSE)</f>
        <v>0</v>
      </c>
      <c r="O625" s="35">
        <f>IFERROR(__xludf.DUMMYFUNCTION("""COMPUTED_VALUE"""),41.5186693742443)</f>
        <v>41.51866937</v>
      </c>
      <c r="P625" s="35">
        <f>IFERROR(__xludf.DUMMYFUNCTION("""COMPUTED_VALUE"""),35371.0)</f>
        <v>35371</v>
      </c>
      <c r="Q625" s="35">
        <f>IFERROR(__xludf.DUMMYFUNCTION("""COMPUTED_VALUE"""),85193.0)</f>
        <v>85193</v>
      </c>
    </row>
    <row r="626">
      <c r="A626" s="35">
        <f>IFERROR(__xludf.DUMMYFUNCTION("""COMPUTED_VALUE"""),625.0)</f>
        <v>625</v>
      </c>
      <c r="B626" s="35" t="str">
        <f>IFERROR(__xludf.DUMMYFUNCTION("""COMPUTED_VALUE"""),"Minimum Factorization")</f>
        <v>Minimum Factorization</v>
      </c>
      <c r="C626" s="35" t="str">
        <f>IFERROR(__xludf.DUMMYFUNCTION("""COMPUTED_VALUE"""),"minimum-factorization")</f>
        <v>minimum-factorization</v>
      </c>
      <c r="D626" s="35" t="b">
        <f>IFERROR(__xludf.DUMMYFUNCTION("""COMPUTED_VALUE"""),TRUE)</f>
        <v>1</v>
      </c>
      <c r="E626" s="35" t="str">
        <f>IFERROR(__xludf.DUMMYFUNCTION("""COMPUTED_VALUE"""),"Medium")</f>
        <v>Medium</v>
      </c>
      <c r="F626" s="35">
        <f>IFERROR(__xludf.DUMMYFUNCTION("""COMPUTED_VALUE"""),118.0)</f>
        <v>118</v>
      </c>
      <c r="G626" s="35">
        <f>IFERROR(__xludf.DUMMYFUNCTION("""COMPUTED_VALUE"""),98.0)</f>
        <v>98</v>
      </c>
      <c r="H626" s="35" t="str">
        <f>IFERROR(__xludf.DUMMYFUNCTION("""COMPUTED_VALUE"""),"Algorithms")</f>
        <v>Algorithms</v>
      </c>
      <c r="I626" s="35">
        <f>IFERROR(__xludf.DUMMYFUNCTION("""COMPUTED_VALUE"""),0.332)</f>
        <v>0.332</v>
      </c>
      <c r="J626" s="35">
        <f>IFERROR(__xludf.DUMMYFUNCTION("""COMPUTED_VALUE"""),625.0)</f>
        <v>625</v>
      </c>
      <c r="K626" s="35" t="b">
        <f>IFERROR(__xludf.DUMMYFUNCTION("""COMPUTED_VALUE"""),TRUE)</f>
        <v>1</v>
      </c>
      <c r="L626" s="35" t="str">
        <f>IFERROR(__xludf.DUMMYFUNCTION("""COMPUTED_VALUE"""),"Math;Greedy;")</f>
        <v>Math;Greedy;</v>
      </c>
      <c r="M626" s="35" t="b">
        <f>IFERROR(__xludf.DUMMYFUNCTION("""COMPUTED_VALUE"""),TRUE)</f>
        <v>1</v>
      </c>
      <c r="N626" s="35" t="b">
        <f>IFERROR(__xludf.DUMMYFUNCTION("""COMPUTED_VALUE"""),FALSE)</f>
        <v>0</v>
      </c>
      <c r="O626" s="35">
        <f>IFERROR(__xludf.DUMMYFUNCTION("""COMPUTED_VALUE"""),33.2350798171822)</f>
        <v>33.23507982</v>
      </c>
      <c r="P626" s="35">
        <f>IFERROR(__xludf.DUMMYFUNCTION("""COMPUTED_VALUE"""),10035.0)</f>
        <v>10035</v>
      </c>
      <c r="Q626" s="35">
        <f>IFERROR(__xludf.DUMMYFUNCTION("""COMPUTED_VALUE"""),30194.0)</f>
        <v>30194</v>
      </c>
    </row>
    <row r="627">
      <c r="A627" s="35">
        <f>IFERROR(__xludf.DUMMYFUNCTION("""COMPUTED_VALUE"""),626.0)</f>
        <v>626</v>
      </c>
      <c r="B627" s="35" t="str">
        <f>IFERROR(__xludf.DUMMYFUNCTION("""COMPUTED_VALUE"""),"Exchange Seats")</f>
        <v>Exchange Seats</v>
      </c>
      <c r="C627" s="35" t="str">
        <f>IFERROR(__xludf.DUMMYFUNCTION("""COMPUTED_VALUE"""),"exchange-seats")</f>
        <v>exchange-seats</v>
      </c>
      <c r="D627" s="35" t="b">
        <f>IFERROR(__xludf.DUMMYFUNCTION("""COMPUTED_VALUE"""),FALSE)</f>
        <v>0</v>
      </c>
      <c r="E627" s="35" t="str">
        <f>IFERROR(__xludf.DUMMYFUNCTION("""COMPUTED_VALUE"""),"Medium")</f>
        <v>Medium</v>
      </c>
      <c r="F627" s="35">
        <f>IFERROR(__xludf.DUMMYFUNCTION("""COMPUTED_VALUE"""),633.0)</f>
        <v>633</v>
      </c>
      <c r="G627" s="35">
        <f>IFERROR(__xludf.DUMMYFUNCTION("""COMPUTED_VALUE"""),347.0)</f>
        <v>347</v>
      </c>
      <c r="H627" s="35" t="str">
        <f>IFERROR(__xludf.DUMMYFUNCTION("""COMPUTED_VALUE"""),"Database")</f>
        <v>Database</v>
      </c>
      <c r="I627" s="35">
        <f>IFERROR(__xludf.DUMMYFUNCTION("""COMPUTED_VALUE"""),0.689)</f>
        <v>0.689</v>
      </c>
      <c r="J627" s="35">
        <f>IFERROR(__xludf.DUMMYFUNCTION("""COMPUTED_VALUE"""),626.0)</f>
        <v>626</v>
      </c>
      <c r="K627" s="35" t="b">
        <f>IFERROR(__xludf.DUMMYFUNCTION("""COMPUTED_VALUE"""),FALSE)</f>
        <v>0</v>
      </c>
      <c r="L627" s="35" t="str">
        <f>IFERROR(__xludf.DUMMYFUNCTION("""COMPUTED_VALUE"""),"Database;")</f>
        <v>Database;</v>
      </c>
      <c r="M627" s="35" t="b">
        <f>IFERROR(__xludf.DUMMYFUNCTION("""COMPUTED_VALUE"""),TRUE)</f>
        <v>1</v>
      </c>
      <c r="N627" s="35" t="b">
        <f>IFERROR(__xludf.DUMMYFUNCTION("""COMPUTED_VALUE"""),FALSE)</f>
        <v>0</v>
      </c>
      <c r="O627" s="35">
        <f>IFERROR(__xludf.DUMMYFUNCTION("""COMPUTED_VALUE"""),68.9374385009198)</f>
        <v>68.9374385</v>
      </c>
      <c r="P627" s="35">
        <f>IFERROR(__xludf.DUMMYFUNCTION("""COMPUTED_VALUE"""),96681.0)</f>
        <v>96681</v>
      </c>
      <c r="Q627" s="35">
        <f>IFERROR(__xludf.DUMMYFUNCTION("""COMPUTED_VALUE"""),140245.0)</f>
        <v>140245</v>
      </c>
    </row>
    <row r="628">
      <c r="A628" s="35">
        <f>IFERROR(__xludf.DUMMYFUNCTION("""COMPUTED_VALUE"""),627.0)</f>
        <v>627</v>
      </c>
      <c r="B628" s="35" t="str">
        <f>IFERROR(__xludf.DUMMYFUNCTION("""COMPUTED_VALUE"""),"Swap Salary")</f>
        <v>Swap Salary</v>
      </c>
      <c r="C628" s="35" t="str">
        <f>IFERROR(__xludf.DUMMYFUNCTION("""COMPUTED_VALUE"""),"swap-salary")</f>
        <v>swap-salary</v>
      </c>
      <c r="D628" s="35" t="b">
        <f>IFERROR(__xludf.DUMMYFUNCTION("""COMPUTED_VALUE"""),FALSE)</f>
        <v>0</v>
      </c>
      <c r="E628" s="35" t="str">
        <f>IFERROR(__xludf.DUMMYFUNCTION("""COMPUTED_VALUE"""),"Easy")</f>
        <v>Easy</v>
      </c>
      <c r="F628" s="35">
        <f>IFERROR(__xludf.DUMMYFUNCTION("""COMPUTED_VALUE"""),790.0)</f>
        <v>790</v>
      </c>
      <c r="G628" s="35">
        <f>IFERROR(__xludf.DUMMYFUNCTION("""COMPUTED_VALUE"""),397.0)</f>
        <v>397</v>
      </c>
      <c r="H628" s="35" t="str">
        <f>IFERROR(__xludf.DUMMYFUNCTION("""COMPUTED_VALUE"""),"Database")</f>
        <v>Database</v>
      </c>
      <c r="I628" s="35">
        <f>IFERROR(__xludf.DUMMYFUNCTION("""COMPUTED_VALUE"""),0.799)</f>
        <v>0.799</v>
      </c>
      <c r="J628" s="35">
        <f>IFERROR(__xludf.DUMMYFUNCTION("""COMPUTED_VALUE"""),627.0)</f>
        <v>627</v>
      </c>
      <c r="K628" s="35" t="b">
        <f>IFERROR(__xludf.DUMMYFUNCTION("""COMPUTED_VALUE"""),FALSE)</f>
        <v>0</v>
      </c>
      <c r="L628" s="35" t="str">
        <f>IFERROR(__xludf.DUMMYFUNCTION("""COMPUTED_VALUE"""),"Database;")</f>
        <v>Database;</v>
      </c>
      <c r="M628" s="35" t="b">
        <f>IFERROR(__xludf.DUMMYFUNCTION("""COMPUTED_VALUE"""),TRUE)</f>
        <v>1</v>
      </c>
      <c r="N628" s="35" t="b">
        <f>IFERROR(__xludf.DUMMYFUNCTION("""COMPUTED_VALUE"""),FALSE)</f>
        <v>0</v>
      </c>
      <c r="O628" s="35">
        <f>IFERROR(__xludf.DUMMYFUNCTION("""COMPUTED_VALUE"""),79.8761887672707)</f>
        <v>79.87618877</v>
      </c>
      <c r="P628" s="35">
        <f>IFERROR(__xludf.DUMMYFUNCTION("""COMPUTED_VALUE"""),178060.0)</f>
        <v>178060</v>
      </c>
      <c r="Q628" s="35">
        <f>IFERROR(__xludf.DUMMYFUNCTION("""COMPUTED_VALUE"""),222920.0)</f>
        <v>222920</v>
      </c>
    </row>
    <row r="629">
      <c r="A629" s="35">
        <f>IFERROR(__xludf.DUMMYFUNCTION("""COMPUTED_VALUE"""),628.0)</f>
        <v>628</v>
      </c>
      <c r="B629" s="35" t="str">
        <f>IFERROR(__xludf.DUMMYFUNCTION("""COMPUTED_VALUE"""),"Maximum Product of Three Numbers")</f>
        <v>Maximum Product of Three Numbers</v>
      </c>
      <c r="C629" s="35" t="str">
        <f>IFERROR(__xludf.DUMMYFUNCTION("""COMPUTED_VALUE"""),"maximum-product-of-three-numbers")</f>
        <v>maximum-product-of-three-numbers</v>
      </c>
      <c r="D629" s="35" t="b">
        <f>IFERROR(__xludf.DUMMYFUNCTION("""COMPUTED_VALUE"""),FALSE)</f>
        <v>0</v>
      </c>
      <c r="E629" s="35" t="str">
        <f>IFERROR(__xludf.DUMMYFUNCTION("""COMPUTED_VALUE"""),"Easy")</f>
        <v>Easy</v>
      </c>
      <c r="F629" s="35">
        <f>IFERROR(__xludf.DUMMYFUNCTION("""COMPUTED_VALUE"""),2519.0)</f>
        <v>2519</v>
      </c>
      <c r="G629" s="35">
        <f>IFERROR(__xludf.DUMMYFUNCTION("""COMPUTED_VALUE"""),513.0)</f>
        <v>513</v>
      </c>
      <c r="H629" s="35" t="str">
        <f>IFERROR(__xludf.DUMMYFUNCTION("""COMPUTED_VALUE"""),"Algorithms")</f>
        <v>Algorithms</v>
      </c>
      <c r="I629" s="35">
        <f>IFERROR(__xludf.DUMMYFUNCTION("""COMPUTED_VALUE"""),0.468)</f>
        <v>0.468</v>
      </c>
      <c r="J629" s="35">
        <f>IFERROR(__xludf.DUMMYFUNCTION("""COMPUTED_VALUE"""),628.0)</f>
        <v>628</v>
      </c>
      <c r="K629" s="35" t="b">
        <f>IFERROR(__xludf.DUMMYFUNCTION("""COMPUTED_VALUE"""),FALSE)</f>
        <v>0</v>
      </c>
      <c r="L629" s="35" t="str">
        <f>IFERROR(__xludf.DUMMYFUNCTION("""COMPUTED_VALUE"""),"Array;Math;Sorting;")</f>
        <v>Array;Math;Sorting;</v>
      </c>
      <c r="M629" s="35" t="b">
        <f>IFERROR(__xludf.DUMMYFUNCTION("""COMPUTED_VALUE"""),TRUE)</f>
        <v>1</v>
      </c>
      <c r="N629" s="35" t="b">
        <f>IFERROR(__xludf.DUMMYFUNCTION("""COMPUTED_VALUE"""),FALSE)</f>
        <v>0</v>
      </c>
      <c r="O629" s="35">
        <f>IFERROR(__xludf.DUMMYFUNCTION("""COMPUTED_VALUE"""),46.7840016516361)</f>
        <v>46.78400165</v>
      </c>
      <c r="P629" s="35">
        <f>IFERROR(__xludf.DUMMYFUNCTION("""COMPUTED_VALUE"""),199412.0)</f>
        <v>199412</v>
      </c>
      <c r="Q629" s="35">
        <f>IFERROR(__xludf.DUMMYFUNCTION("""COMPUTED_VALUE"""),426238.0)</f>
        <v>426238</v>
      </c>
    </row>
    <row r="630">
      <c r="A630" s="35">
        <f>IFERROR(__xludf.DUMMYFUNCTION("""COMPUTED_VALUE"""),629.0)</f>
        <v>629</v>
      </c>
      <c r="B630" s="35" t="str">
        <f>IFERROR(__xludf.DUMMYFUNCTION("""COMPUTED_VALUE"""),"K Inverse Pairs Array")</f>
        <v>K Inverse Pairs Array</v>
      </c>
      <c r="C630" s="35" t="str">
        <f>IFERROR(__xludf.DUMMYFUNCTION("""COMPUTED_VALUE"""),"k-inverse-pairs-array")</f>
        <v>k-inverse-pairs-array</v>
      </c>
      <c r="D630" s="35" t="b">
        <f>IFERROR(__xludf.DUMMYFUNCTION("""COMPUTED_VALUE"""),FALSE)</f>
        <v>0</v>
      </c>
      <c r="E630" s="35" t="str">
        <f>IFERROR(__xludf.DUMMYFUNCTION("""COMPUTED_VALUE"""),"Hard")</f>
        <v>Hard</v>
      </c>
      <c r="F630" s="35">
        <f>IFERROR(__xludf.DUMMYFUNCTION("""COMPUTED_VALUE"""),746.0)</f>
        <v>746</v>
      </c>
      <c r="G630" s="35">
        <f>IFERROR(__xludf.DUMMYFUNCTION("""COMPUTED_VALUE"""),108.0)</f>
        <v>108</v>
      </c>
      <c r="H630" s="35" t="str">
        <f>IFERROR(__xludf.DUMMYFUNCTION("""COMPUTED_VALUE"""),"Algorithms")</f>
        <v>Algorithms</v>
      </c>
      <c r="I630" s="35">
        <f>IFERROR(__xludf.DUMMYFUNCTION("""COMPUTED_VALUE"""),0.372)</f>
        <v>0.372</v>
      </c>
      <c r="J630" s="35">
        <f>IFERROR(__xludf.DUMMYFUNCTION("""COMPUTED_VALUE"""),629.0)</f>
        <v>629</v>
      </c>
      <c r="K630" s="35" t="b">
        <f>IFERROR(__xludf.DUMMYFUNCTION("""COMPUTED_VALUE"""),FALSE)</f>
        <v>0</v>
      </c>
      <c r="L630" s="35" t="str">
        <f>IFERROR(__xludf.DUMMYFUNCTION("""COMPUTED_VALUE"""),"Dynamic Programming;")</f>
        <v>Dynamic Programming;</v>
      </c>
      <c r="M630" s="35" t="b">
        <f>IFERROR(__xludf.DUMMYFUNCTION("""COMPUTED_VALUE"""),TRUE)</f>
        <v>1</v>
      </c>
      <c r="N630" s="35" t="b">
        <f>IFERROR(__xludf.DUMMYFUNCTION("""COMPUTED_VALUE"""),FALSE)</f>
        <v>0</v>
      </c>
      <c r="O630" s="35">
        <f>IFERROR(__xludf.DUMMYFUNCTION("""COMPUTED_VALUE"""),37.2309605788044)</f>
        <v>37.23096058</v>
      </c>
      <c r="P630" s="35">
        <f>IFERROR(__xludf.DUMMYFUNCTION("""COMPUTED_VALUE"""),24546.0)</f>
        <v>24546</v>
      </c>
      <c r="Q630" s="35">
        <f>IFERROR(__xludf.DUMMYFUNCTION("""COMPUTED_VALUE"""),65929.0)</f>
        <v>65929</v>
      </c>
    </row>
    <row r="631">
      <c r="A631" s="35">
        <f>IFERROR(__xludf.DUMMYFUNCTION("""COMPUTED_VALUE"""),630.0)</f>
        <v>630</v>
      </c>
      <c r="B631" s="35" t="str">
        <f>IFERROR(__xludf.DUMMYFUNCTION("""COMPUTED_VALUE"""),"Course Schedule III")</f>
        <v>Course Schedule III</v>
      </c>
      <c r="C631" s="35" t="str">
        <f>IFERROR(__xludf.DUMMYFUNCTION("""COMPUTED_VALUE"""),"course-schedule-iii")</f>
        <v>course-schedule-iii</v>
      </c>
      <c r="D631" s="35" t="b">
        <f>IFERROR(__xludf.DUMMYFUNCTION("""COMPUTED_VALUE"""),FALSE)</f>
        <v>0</v>
      </c>
      <c r="E631" s="35" t="str">
        <f>IFERROR(__xludf.DUMMYFUNCTION("""COMPUTED_VALUE"""),"Hard")</f>
        <v>Hard</v>
      </c>
      <c r="F631" s="35">
        <f>IFERROR(__xludf.DUMMYFUNCTION("""COMPUTED_VALUE"""),1846.0)</f>
        <v>1846</v>
      </c>
      <c r="G631" s="35">
        <f>IFERROR(__xludf.DUMMYFUNCTION("""COMPUTED_VALUE"""),53.0)</f>
        <v>53</v>
      </c>
      <c r="H631" s="35" t="str">
        <f>IFERROR(__xludf.DUMMYFUNCTION("""COMPUTED_VALUE"""),"Algorithms")</f>
        <v>Algorithms</v>
      </c>
      <c r="I631" s="35">
        <f>IFERROR(__xludf.DUMMYFUNCTION("""COMPUTED_VALUE"""),0.356)</f>
        <v>0.356</v>
      </c>
      <c r="J631" s="35">
        <f>IFERROR(__xludf.DUMMYFUNCTION("""COMPUTED_VALUE"""),630.0)</f>
        <v>630</v>
      </c>
      <c r="K631" s="35" t="b">
        <f>IFERROR(__xludf.DUMMYFUNCTION("""COMPUTED_VALUE"""),FALSE)</f>
        <v>0</v>
      </c>
      <c r="L631" s="35" t="str">
        <f>IFERROR(__xludf.DUMMYFUNCTION("""COMPUTED_VALUE"""),"Array;Greedy;Heap (Priority Queue);")</f>
        <v>Array;Greedy;Heap (Priority Queue);</v>
      </c>
      <c r="M631" s="35" t="b">
        <f>IFERROR(__xludf.DUMMYFUNCTION("""COMPUTED_VALUE"""),TRUE)</f>
        <v>1</v>
      </c>
      <c r="N631" s="35" t="b">
        <f>IFERROR(__xludf.DUMMYFUNCTION("""COMPUTED_VALUE"""),FALSE)</f>
        <v>0</v>
      </c>
      <c r="O631" s="35">
        <f>IFERROR(__xludf.DUMMYFUNCTION("""COMPUTED_VALUE"""),35.6216994719155)</f>
        <v>35.62169947</v>
      </c>
      <c r="P631" s="35">
        <f>IFERROR(__xludf.DUMMYFUNCTION("""COMPUTED_VALUE"""),54908.0)</f>
        <v>54908</v>
      </c>
      <c r="Q631" s="35">
        <f>IFERROR(__xludf.DUMMYFUNCTION("""COMPUTED_VALUE"""),154142.0)</f>
        <v>154142</v>
      </c>
    </row>
    <row r="632">
      <c r="A632" s="35">
        <f>IFERROR(__xludf.DUMMYFUNCTION("""COMPUTED_VALUE"""),631.0)</f>
        <v>631</v>
      </c>
      <c r="B632" s="35" t="str">
        <f>IFERROR(__xludf.DUMMYFUNCTION("""COMPUTED_VALUE"""),"Design Excel Sum Formula")</f>
        <v>Design Excel Sum Formula</v>
      </c>
      <c r="C632" s="35" t="str">
        <f>IFERROR(__xludf.DUMMYFUNCTION("""COMPUTED_VALUE"""),"design-excel-sum-formula")</f>
        <v>design-excel-sum-formula</v>
      </c>
      <c r="D632" s="35" t="b">
        <f>IFERROR(__xludf.DUMMYFUNCTION("""COMPUTED_VALUE"""),TRUE)</f>
        <v>1</v>
      </c>
      <c r="E632" s="35" t="str">
        <f>IFERROR(__xludf.DUMMYFUNCTION("""COMPUTED_VALUE"""),"Hard")</f>
        <v>Hard</v>
      </c>
      <c r="F632" s="35">
        <f>IFERROR(__xludf.DUMMYFUNCTION("""COMPUTED_VALUE"""),169.0)</f>
        <v>169</v>
      </c>
      <c r="G632" s="35">
        <f>IFERROR(__xludf.DUMMYFUNCTION("""COMPUTED_VALUE"""),208.0)</f>
        <v>208</v>
      </c>
      <c r="H632" s="35" t="str">
        <f>IFERROR(__xludf.DUMMYFUNCTION("""COMPUTED_VALUE"""),"Algorithms")</f>
        <v>Algorithms</v>
      </c>
      <c r="I632" s="35">
        <f>IFERROR(__xludf.DUMMYFUNCTION("""COMPUTED_VALUE"""),0.406)</f>
        <v>0.406</v>
      </c>
      <c r="J632" s="35">
        <f>IFERROR(__xludf.DUMMYFUNCTION("""COMPUTED_VALUE"""),631.0)</f>
        <v>631</v>
      </c>
      <c r="K632" s="35" t="b">
        <f>IFERROR(__xludf.DUMMYFUNCTION("""COMPUTED_VALUE"""),TRUE)</f>
        <v>1</v>
      </c>
      <c r="L632" s="35" t="str">
        <f>IFERROR(__xludf.DUMMYFUNCTION("""COMPUTED_VALUE"""),"Graph;Design;Topological Sort;")</f>
        <v>Graph;Design;Topological Sort;</v>
      </c>
      <c r="M632" s="35" t="b">
        <f>IFERROR(__xludf.DUMMYFUNCTION("""COMPUTED_VALUE"""),TRUE)</f>
        <v>1</v>
      </c>
      <c r="N632" s="35" t="b">
        <f>IFERROR(__xludf.DUMMYFUNCTION("""COMPUTED_VALUE"""),FALSE)</f>
        <v>0</v>
      </c>
      <c r="O632" s="35">
        <f>IFERROR(__xludf.DUMMYFUNCTION("""COMPUTED_VALUE"""),40.6143481573565)</f>
        <v>40.61434816</v>
      </c>
      <c r="P632" s="35">
        <f>IFERROR(__xludf.DUMMYFUNCTION("""COMPUTED_VALUE"""),10128.0)</f>
        <v>10128</v>
      </c>
      <c r="Q632" s="35">
        <f>IFERROR(__xludf.DUMMYFUNCTION("""COMPUTED_VALUE"""),24937.0)</f>
        <v>24937</v>
      </c>
    </row>
    <row r="633">
      <c r="A633" s="35">
        <f>IFERROR(__xludf.DUMMYFUNCTION("""COMPUTED_VALUE"""),632.0)</f>
        <v>632</v>
      </c>
      <c r="B633" s="35" t="str">
        <f>IFERROR(__xludf.DUMMYFUNCTION("""COMPUTED_VALUE"""),"Smallest Range Covering Elements from K Lists")</f>
        <v>Smallest Range Covering Elements from K Lists</v>
      </c>
      <c r="C633" s="35" t="str">
        <f>IFERROR(__xludf.DUMMYFUNCTION("""COMPUTED_VALUE"""),"smallest-range-covering-elements-from-k-lists")</f>
        <v>smallest-range-covering-elements-from-k-lists</v>
      </c>
      <c r="D633" s="35" t="b">
        <f>IFERROR(__xludf.DUMMYFUNCTION("""COMPUTED_VALUE"""),FALSE)</f>
        <v>0</v>
      </c>
      <c r="E633" s="35" t="str">
        <f>IFERROR(__xludf.DUMMYFUNCTION("""COMPUTED_VALUE"""),"Hard")</f>
        <v>Hard</v>
      </c>
      <c r="F633" s="35">
        <f>IFERROR(__xludf.DUMMYFUNCTION("""COMPUTED_VALUE"""),2028.0)</f>
        <v>2028</v>
      </c>
      <c r="G633" s="35">
        <f>IFERROR(__xludf.DUMMYFUNCTION("""COMPUTED_VALUE"""),34.0)</f>
        <v>34</v>
      </c>
      <c r="H633" s="35" t="str">
        <f>IFERROR(__xludf.DUMMYFUNCTION("""COMPUTED_VALUE"""),"Algorithms")</f>
        <v>Algorithms</v>
      </c>
      <c r="I633" s="35">
        <f>IFERROR(__xludf.DUMMYFUNCTION("""COMPUTED_VALUE"""),0.58)</f>
        <v>0.58</v>
      </c>
      <c r="J633" s="35">
        <f>IFERROR(__xludf.DUMMYFUNCTION("""COMPUTED_VALUE"""),632.0)</f>
        <v>632</v>
      </c>
      <c r="K633" s="35" t="b">
        <f>IFERROR(__xludf.DUMMYFUNCTION("""COMPUTED_VALUE"""),FALSE)</f>
        <v>0</v>
      </c>
      <c r="L633" s="35" t="str">
        <f>IFERROR(__xludf.DUMMYFUNCTION("""COMPUTED_VALUE"""),"Array;Hash Table;Greedy;Sliding Window;Sorting;Heap (Priority Queue);")</f>
        <v>Array;Hash Table;Greedy;Sliding Window;Sorting;Heap (Priority Queue);</v>
      </c>
      <c r="M633" s="35" t="b">
        <f>IFERROR(__xludf.DUMMYFUNCTION("""COMPUTED_VALUE"""),TRUE)</f>
        <v>1</v>
      </c>
      <c r="N633" s="35" t="b">
        <f>IFERROR(__xludf.DUMMYFUNCTION("""COMPUTED_VALUE"""),FALSE)</f>
        <v>0</v>
      </c>
      <c r="O633" s="35">
        <f>IFERROR(__xludf.DUMMYFUNCTION("""COMPUTED_VALUE"""),58.0379984951091)</f>
        <v>58.0379985</v>
      </c>
      <c r="P633" s="35">
        <f>IFERROR(__xludf.DUMMYFUNCTION("""COMPUTED_VALUE"""),61706.0)</f>
        <v>61706</v>
      </c>
      <c r="Q633" s="35">
        <f>IFERROR(__xludf.DUMMYFUNCTION("""COMPUTED_VALUE"""),106318.0)</f>
        <v>106318</v>
      </c>
    </row>
    <row r="634">
      <c r="A634" s="35">
        <f>IFERROR(__xludf.DUMMYFUNCTION("""COMPUTED_VALUE"""),633.0)</f>
        <v>633</v>
      </c>
      <c r="B634" s="35" t="str">
        <f>IFERROR(__xludf.DUMMYFUNCTION("""COMPUTED_VALUE"""),"Sum of Square Numbers")</f>
        <v>Sum of Square Numbers</v>
      </c>
      <c r="C634" s="35" t="str">
        <f>IFERROR(__xludf.DUMMYFUNCTION("""COMPUTED_VALUE"""),"sum-of-square-numbers")</f>
        <v>sum-of-square-numbers</v>
      </c>
      <c r="D634" s="35" t="b">
        <f>IFERROR(__xludf.DUMMYFUNCTION("""COMPUTED_VALUE"""),FALSE)</f>
        <v>0</v>
      </c>
      <c r="E634" s="35" t="str">
        <f>IFERROR(__xludf.DUMMYFUNCTION("""COMPUTED_VALUE"""),"Medium")</f>
        <v>Medium</v>
      </c>
      <c r="F634" s="35">
        <f>IFERROR(__xludf.DUMMYFUNCTION("""COMPUTED_VALUE"""),1277.0)</f>
        <v>1277</v>
      </c>
      <c r="G634" s="35">
        <f>IFERROR(__xludf.DUMMYFUNCTION("""COMPUTED_VALUE"""),456.0)</f>
        <v>456</v>
      </c>
      <c r="H634" s="35" t="str">
        <f>IFERROR(__xludf.DUMMYFUNCTION("""COMPUTED_VALUE"""),"Algorithms")</f>
        <v>Algorithms</v>
      </c>
      <c r="I634" s="35">
        <f>IFERROR(__xludf.DUMMYFUNCTION("""COMPUTED_VALUE"""),0.345)</f>
        <v>0.345</v>
      </c>
      <c r="J634" s="35">
        <f>IFERROR(__xludf.DUMMYFUNCTION("""COMPUTED_VALUE"""),633.0)</f>
        <v>633</v>
      </c>
      <c r="K634" s="35" t="b">
        <f>IFERROR(__xludf.DUMMYFUNCTION("""COMPUTED_VALUE"""),FALSE)</f>
        <v>0</v>
      </c>
      <c r="L634" s="35" t="str">
        <f>IFERROR(__xludf.DUMMYFUNCTION("""COMPUTED_VALUE"""),"Math;Two Pointers;Binary Search;")</f>
        <v>Math;Two Pointers;Binary Search;</v>
      </c>
      <c r="M634" s="35" t="b">
        <f>IFERROR(__xludf.DUMMYFUNCTION("""COMPUTED_VALUE"""),TRUE)</f>
        <v>1</v>
      </c>
      <c r="N634" s="35" t="b">
        <f>IFERROR(__xludf.DUMMYFUNCTION("""COMPUTED_VALUE"""),FALSE)</f>
        <v>0</v>
      </c>
      <c r="O634" s="35">
        <f>IFERROR(__xludf.DUMMYFUNCTION("""COMPUTED_VALUE"""),34.5224950582507)</f>
        <v>34.52249506</v>
      </c>
      <c r="P634" s="35">
        <f>IFERROR(__xludf.DUMMYFUNCTION("""COMPUTED_VALUE"""),128187.0)</f>
        <v>128187</v>
      </c>
      <c r="Q634" s="35">
        <f>IFERROR(__xludf.DUMMYFUNCTION("""COMPUTED_VALUE"""),371320.0)</f>
        <v>371320</v>
      </c>
    </row>
    <row r="635">
      <c r="A635" s="35">
        <f>IFERROR(__xludf.DUMMYFUNCTION("""COMPUTED_VALUE"""),634.0)</f>
        <v>634</v>
      </c>
      <c r="B635" s="35" t="str">
        <f>IFERROR(__xludf.DUMMYFUNCTION("""COMPUTED_VALUE"""),"Find the Derangement of An Array")</f>
        <v>Find the Derangement of An Array</v>
      </c>
      <c r="C635" s="35" t="str">
        <f>IFERROR(__xludf.DUMMYFUNCTION("""COMPUTED_VALUE"""),"find-the-derangement-of-an-array")</f>
        <v>find-the-derangement-of-an-array</v>
      </c>
      <c r="D635" s="35" t="b">
        <f>IFERROR(__xludf.DUMMYFUNCTION("""COMPUTED_VALUE"""),TRUE)</f>
        <v>1</v>
      </c>
      <c r="E635" s="35" t="str">
        <f>IFERROR(__xludf.DUMMYFUNCTION("""COMPUTED_VALUE"""),"Medium")</f>
        <v>Medium</v>
      </c>
      <c r="F635" s="35">
        <f>IFERROR(__xludf.DUMMYFUNCTION("""COMPUTED_VALUE"""),162.0)</f>
        <v>162</v>
      </c>
      <c r="G635" s="35">
        <f>IFERROR(__xludf.DUMMYFUNCTION("""COMPUTED_VALUE"""),132.0)</f>
        <v>132</v>
      </c>
      <c r="H635" s="35" t="str">
        <f>IFERROR(__xludf.DUMMYFUNCTION("""COMPUTED_VALUE"""),"Algorithms")</f>
        <v>Algorithms</v>
      </c>
      <c r="I635" s="35">
        <f>IFERROR(__xludf.DUMMYFUNCTION("""COMPUTED_VALUE"""),0.411)</f>
        <v>0.411</v>
      </c>
      <c r="J635" s="35">
        <f>IFERROR(__xludf.DUMMYFUNCTION("""COMPUTED_VALUE"""),634.0)</f>
        <v>634</v>
      </c>
      <c r="K635" s="35" t="b">
        <f>IFERROR(__xludf.DUMMYFUNCTION("""COMPUTED_VALUE"""),TRUE)</f>
        <v>1</v>
      </c>
      <c r="L635" s="35" t="str">
        <f>IFERROR(__xludf.DUMMYFUNCTION("""COMPUTED_VALUE"""),"Math;Dynamic Programming;")</f>
        <v>Math;Dynamic Programming;</v>
      </c>
      <c r="M635" s="35" t="b">
        <f>IFERROR(__xludf.DUMMYFUNCTION("""COMPUTED_VALUE"""),TRUE)</f>
        <v>1</v>
      </c>
      <c r="N635" s="35" t="b">
        <f>IFERROR(__xludf.DUMMYFUNCTION("""COMPUTED_VALUE"""),FALSE)</f>
        <v>0</v>
      </c>
      <c r="O635" s="35">
        <f>IFERROR(__xludf.DUMMYFUNCTION("""COMPUTED_VALUE"""),41.1456514146)</f>
        <v>41.14565141</v>
      </c>
      <c r="P635" s="35">
        <f>IFERROR(__xludf.DUMMYFUNCTION("""COMPUTED_VALUE"""),8246.0)</f>
        <v>8246</v>
      </c>
      <c r="Q635" s="35">
        <f>IFERROR(__xludf.DUMMYFUNCTION("""COMPUTED_VALUE"""),20041.0)</f>
        <v>20041</v>
      </c>
    </row>
    <row r="636">
      <c r="A636" s="35">
        <f>IFERROR(__xludf.DUMMYFUNCTION("""COMPUTED_VALUE"""),635.0)</f>
        <v>635</v>
      </c>
      <c r="B636" s="35" t="str">
        <f>IFERROR(__xludf.DUMMYFUNCTION("""COMPUTED_VALUE"""),"Design Log Storage System")</f>
        <v>Design Log Storage System</v>
      </c>
      <c r="C636" s="35" t="str">
        <f>IFERROR(__xludf.DUMMYFUNCTION("""COMPUTED_VALUE"""),"design-log-storage-system")</f>
        <v>design-log-storage-system</v>
      </c>
      <c r="D636" s="35" t="b">
        <f>IFERROR(__xludf.DUMMYFUNCTION("""COMPUTED_VALUE"""),TRUE)</f>
        <v>1</v>
      </c>
      <c r="E636" s="35" t="str">
        <f>IFERROR(__xludf.DUMMYFUNCTION("""COMPUTED_VALUE"""),"Medium")</f>
        <v>Medium</v>
      </c>
      <c r="F636" s="35">
        <f>IFERROR(__xludf.DUMMYFUNCTION("""COMPUTED_VALUE"""),408.0)</f>
        <v>408</v>
      </c>
      <c r="G636" s="35">
        <f>IFERROR(__xludf.DUMMYFUNCTION("""COMPUTED_VALUE"""),168.0)</f>
        <v>168</v>
      </c>
      <c r="H636" s="35" t="str">
        <f>IFERROR(__xludf.DUMMYFUNCTION("""COMPUTED_VALUE"""),"Algorithms")</f>
        <v>Algorithms</v>
      </c>
      <c r="I636" s="35">
        <f>IFERROR(__xludf.DUMMYFUNCTION("""COMPUTED_VALUE"""),0.622)</f>
        <v>0.622</v>
      </c>
      <c r="J636" s="35">
        <f>IFERROR(__xludf.DUMMYFUNCTION("""COMPUTED_VALUE"""),635.0)</f>
        <v>635</v>
      </c>
      <c r="K636" s="35" t="b">
        <f>IFERROR(__xludf.DUMMYFUNCTION("""COMPUTED_VALUE"""),TRUE)</f>
        <v>1</v>
      </c>
      <c r="L636" s="35" t="str">
        <f>IFERROR(__xludf.DUMMYFUNCTION("""COMPUTED_VALUE"""),"Hash Table;String;Design;Ordered Set;")</f>
        <v>Hash Table;String;Design;Ordered Set;</v>
      </c>
      <c r="M636" s="35" t="b">
        <f>IFERROR(__xludf.DUMMYFUNCTION("""COMPUTED_VALUE"""),TRUE)</f>
        <v>1</v>
      </c>
      <c r="N636" s="35" t="b">
        <f>IFERROR(__xludf.DUMMYFUNCTION("""COMPUTED_VALUE"""),FALSE)</f>
        <v>0</v>
      </c>
      <c r="O636" s="35">
        <f>IFERROR(__xludf.DUMMYFUNCTION("""COMPUTED_VALUE"""),62.1827303260915)</f>
        <v>62.18273033</v>
      </c>
      <c r="P636" s="35">
        <f>IFERROR(__xludf.DUMMYFUNCTION("""COMPUTED_VALUE"""),29252.0)</f>
        <v>29252</v>
      </c>
      <c r="Q636" s="35">
        <f>IFERROR(__xludf.DUMMYFUNCTION("""COMPUTED_VALUE"""),47042.0)</f>
        <v>47042</v>
      </c>
    </row>
    <row r="637">
      <c r="A637" s="35">
        <f>IFERROR(__xludf.DUMMYFUNCTION("""COMPUTED_VALUE"""),636.0)</f>
        <v>636</v>
      </c>
      <c r="B637" s="35" t="str">
        <f>IFERROR(__xludf.DUMMYFUNCTION("""COMPUTED_VALUE"""),"Exclusive Time of Functions")</f>
        <v>Exclusive Time of Functions</v>
      </c>
      <c r="C637" s="35" t="str">
        <f>IFERROR(__xludf.DUMMYFUNCTION("""COMPUTED_VALUE"""),"exclusive-time-of-functions")</f>
        <v>exclusive-time-of-functions</v>
      </c>
      <c r="D637" s="35" t="b">
        <f>IFERROR(__xludf.DUMMYFUNCTION("""COMPUTED_VALUE"""),FALSE)</f>
        <v>0</v>
      </c>
      <c r="E637" s="35" t="str">
        <f>IFERROR(__xludf.DUMMYFUNCTION("""COMPUTED_VALUE"""),"Medium")</f>
        <v>Medium</v>
      </c>
      <c r="F637" s="35">
        <f>IFERROR(__xludf.DUMMYFUNCTION("""COMPUTED_VALUE"""),1548.0)</f>
        <v>1548</v>
      </c>
      <c r="G637" s="35">
        <f>IFERROR(__xludf.DUMMYFUNCTION("""COMPUTED_VALUE"""),2318.0)</f>
        <v>2318</v>
      </c>
      <c r="H637" s="35" t="str">
        <f>IFERROR(__xludf.DUMMYFUNCTION("""COMPUTED_VALUE"""),"Algorithms")</f>
        <v>Algorithms</v>
      </c>
      <c r="I637" s="35">
        <f>IFERROR(__xludf.DUMMYFUNCTION("""COMPUTED_VALUE"""),0.597)</f>
        <v>0.597</v>
      </c>
      <c r="J637" s="35">
        <f>IFERROR(__xludf.DUMMYFUNCTION("""COMPUTED_VALUE"""),636.0)</f>
        <v>636</v>
      </c>
      <c r="K637" s="35" t="b">
        <f>IFERROR(__xludf.DUMMYFUNCTION("""COMPUTED_VALUE"""),FALSE)</f>
        <v>0</v>
      </c>
      <c r="L637" s="35" t="str">
        <f>IFERROR(__xludf.DUMMYFUNCTION("""COMPUTED_VALUE"""),"Array;Stack;")</f>
        <v>Array;Stack;</v>
      </c>
      <c r="M637" s="35" t="b">
        <f>IFERROR(__xludf.DUMMYFUNCTION("""COMPUTED_VALUE"""),FALSE)</f>
        <v>0</v>
      </c>
      <c r="N637" s="35" t="b">
        <f>IFERROR(__xludf.DUMMYFUNCTION("""COMPUTED_VALUE"""),FALSE)</f>
        <v>0</v>
      </c>
      <c r="O637" s="35">
        <f>IFERROR(__xludf.DUMMYFUNCTION("""COMPUTED_VALUE"""),59.7151746980561)</f>
        <v>59.7151747</v>
      </c>
      <c r="P637" s="35">
        <f>IFERROR(__xludf.DUMMYFUNCTION("""COMPUTED_VALUE"""),160621.0)</f>
        <v>160621</v>
      </c>
      <c r="Q637" s="35">
        <f>IFERROR(__xludf.DUMMYFUNCTION("""COMPUTED_VALUE"""),268988.0)</f>
        <v>268988</v>
      </c>
    </row>
    <row r="638">
      <c r="A638" s="35">
        <f>IFERROR(__xludf.DUMMYFUNCTION("""COMPUTED_VALUE"""),637.0)</f>
        <v>637</v>
      </c>
      <c r="B638" s="35" t="str">
        <f>IFERROR(__xludf.DUMMYFUNCTION("""COMPUTED_VALUE"""),"Average of Levels in Binary Tree")</f>
        <v>Average of Levels in Binary Tree</v>
      </c>
      <c r="C638" s="35" t="str">
        <f>IFERROR(__xludf.DUMMYFUNCTION("""COMPUTED_VALUE"""),"average-of-levels-in-binary-tree")</f>
        <v>average-of-levels-in-binary-tree</v>
      </c>
      <c r="D638" s="35" t="b">
        <f>IFERROR(__xludf.DUMMYFUNCTION("""COMPUTED_VALUE"""),FALSE)</f>
        <v>0</v>
      </c>
      <c r="E638" s="35" t="str">
        <f>IFERROR(__xludf.DUMMYFUNCTION("""COMPUTED_VALUE"""),"Easy")</f>
        <v>Easy</v>
      </c>
      <c r="F638" s="35">
        <f>IFERROR(__xludf.DUMMYFUNCTION("""COMPUTED_VALUE"""),2816.0)</f>
        <v>2816</v>
      </c>
      <c r="G638" s="35">
        <f>IFERROR(__xludf.DUMMYFUNCTION("""COMPUTED_VALUE"""),229.0)</f>
        <v>229</v>
      </c>
      <c r="H638" s="35" t="str">
        <f>IFERROR(__xludf.DUMMYFUNCTION("""COMPUTED_VALUE"""),"Algorithms")</f>
        <v>Algorithms</v>
      </c>
      <c r="I638" s="35">
        <f>IFERROR(__xludf.DUMMYFUNCTION("""COMPUTED_VALUE"""),0.684)</f>
        <v>0.684</v>
      </c>
      <c r="J638" s="35">
        <f>IFERROR(__xludf.DUMMYFUNCTION("""COMPUTED_VALUE"""),637.0)</f>
        <v>637</v>
      </c>
      <c r="K638" s="35" t="b">
        <f>IFERROR(__xludf.DUMMYFUNCTION("""COMPUTED_VALUE"""),FALSE)</f>
        <v>0</v>
      </c>
      <c r="L638" s="35" t="str">
        <f>IFERROR(__xludf.DUMMYFUNCTION("""COMPUTED_VALUE"""),"Tree;Depth-First Search;Breadth-First Search;Binary Tree;")</f>
        <v>Tree;Depth-First Search;Breadth-First Search;Binary Tree;</v>
      </c>
      <c r="M638" s="35" t="b">
        <f>IFERROR(__xludf.DUMMYFUNCTION("""COMPUTED_VALUE"""),TRUE)</f>
        <v>1</v>
      </c>
      <c r="N638" s="35" t="b">
        <f>IFERROR(__xludf.DUMMYFUNCTION("""COMPUTED_VALUE"""),FALSE)</f>
        <v>0</v>
      </c>
      <c r="O638" s="35">
        <f>IFERROR(__xludf.DUMMYFUNCTION("""COMPUTED_VALUE"""),68.3542310125653)</f>
        <v>68.35423101</v>
      </c>
      <c r="P638" s="35">
        <f>IFERROR(__xludf.DUMMYFUNCTION("""COMPUTED_VALUE"""),256053.0)</f>
        <v>256053</v>
      </c>
      <c r="Q638" s="35">
        <f>IFERROR(__xludf.DUMMYFUNCTION("""COMPUTED_VALUE"""),374597.0)</f>
        <v>374597</v>
      </c>
    </row>
    <row r="639">
      <c r="A639" s="35">
        <f>IFERROR(__xludf.DUMMYFUNCTION("""COMPUTED_VALUE"""),638.0)</f>
        <v>638</v>
      </c>
      <c r="B639" s="35" t="str">
        <f>IFERROR(__xludf.DUMMYFUNCTION("""COMPUTED_VALUE"""),"Shopping Offers")</f>
        <v>Shopping Offers</v>
      </c>
      <c r="C639" s="35" t="str">
        <f>IFERROR(__xludf.DUMMYFUNCTION("""COMPUTED_VALUE"""),"shopping-offers")</f>
        <v>shopping-offers</v>
      </c>
      <c r="D639" s="35" t="b">
        <f>IFERROR(__xludf.DUMMYFUNCTION("""COMPUTED_VALUE"""),FALSE)</f>
        <v>0</v>
      </c>
      <c r="E639" s="35" t="str">
        <f>IFERROR(__xludf.DUMMYFUNCTION("""COMPUTED_VALUE"""),"Medium")</f>
        <v>Medium</v>
      </c>
      <c r="F639" s="35">
        <f>IFERROR(__xludf.DUMMYFUNCTION("""COMPUTED_VALUE"""),958.0)</f>
        <v>958</v>
      </c>
      <c r="G639" s="35">
        <f>IFERROR(__xludf.DUMMYFUNCTION("""COMPUTED_VALUE"""),620.0)</f>
        <v>620</v>
      </c>
      <c r="H639" s="35" t="str">
        <f>IFERROR(__xludf.DUMMYFUNCTION("""COMPUTED_VALUE"""),"Algorithms")</f>
        <v>Algorithms</v>
      </c>
      <c r="I639" s="35">
        <f>IFERROR(__xludf.DUMMYFUNCTION("""COMPUTED_VALUE"""),0.545)</f>
        <v>0.545</v>
      </c>
      <c r="J639" s="35">
        <f>IFERROR(__xludf.DUMMYFUNCTION("""COMPUTED_VALUE"""),638.0)</f>
        <v>638</v>
      </c>
      <c r="K639" s="35" t="b">
        <f>IFERROR(__xludf.DUMMYFUNCTION("""COMPUTED_VALUE"""),FALSE)</f>
        <v>0</v>
      </c>
      <c r="L639" s="35" t="str">
        <f>IFERROR(__xludf.DUMMYFUNCTION("""COMPUTED_VALUE"""),"Array;Dynamic Programming;Backtracking;Bit Manipulation;Memoization;Bitmask;")</f>
        <v>Array;Dynamic Programming;Backtracking;Bit Manipulation;Memoization;Bitmask;</v>
      </c>
      <c r="M639" s="35" t="b">
        <f>IFERROR(__xludf.DUMMYFUNCTION("""COMPUTED_VALUE"""),TRUE)</f>
        <v>1</v>
      </c>
      <c r="N639" s="35" t="b">
        <f>IFERROR(__xludf.DUMMYFUNCTION("""COMPUTED_VALUE"""),FALSE)</f>
        <v>0</v>
      </c>
      <c r="O639" s="35">
        <f>IFERROR(__xludf.DUMMYFUNCTION("""COMPUTED_VALUE"""),54.4672031211899)</f>
        <v>54.46720312</v>
      </c>
      <c r="P639" s="35">
        <f>IFERROR(__xludf.DUMMYFUNCTION("""COMPUTED_VALUE"""),44674.0)</f>
        <v>44674</v>
      </c>
      <c r="Q639" s="35">
        <f>IFERROR(__xludf.DUMMYFUNCTION("""COMPUTED_VALUE"""),82020.0)</f>
        <v>82020</v>
      </c>
    </row>
    <row r="640">
      <c r="A640" s="35">
        <f>IFERROR(__xludf.DUMMYFUNCTION("""COMPUTED_VALUE"""),639.0)</f>
        <v>639</v>
      </c>
      <c r="B640" s="35" t="str">
        <f>IFERROR(__xludf.DUMMYFUNCTION("""COMPUTED_VALUE"""),"Decode Ways II")</f>
        <v>Decode Ways II</v>
      </c>
      <c r="C640" s="35" t="str">
        <f>IFERROR(__xludf.DUMMYFUNCTION("""COMPUTED_VALUE"""),"decode-ways-ii")</f>
        <v>decode-ways-ii</v>
      </c>
      <c r="D640" s="35" t="b">
        <f>IFERROR(__xludf.DUMMYFUNCTION("""COMPUTED_VALUE"""),FALSE)</f>
        <v>0</v>
      </c>
      <c r="E640" s="35" t="str">
        <f>IFERROR(__xludf.DUMMYFUNCTION("""COMPUTED_VALUE"""),"Hard")</f>
        <v>Hard</v>
      </c>
      <c r="F640" s="35">
        <f>IFERROR(__xludf.DUMMYFUNCTION("""COMPUTED_VALUE"""),1020.0)</f>
        <v>1020</v>
      </c>
      <c r="G640" s="35">
        <f>IFERROR(__xludf.DUMMYFUNCTION("""COMPUTED_VALUE"""),739.0)</f>
        <v>739</v>
      </c>
      <c r="H640" s="35" t="str">
        <f>IFERROR(__xludf.DUMMYFUNCTION("""COMPUTED_VALUE"""),"Algorithms")</f>
        <v>Algorithms</v>
      </c>
      <c r="I640" s="35">
        <f>IFERROR(__xludf.DUMMYFUNCTION("""COMPUTED_VALUE"""),0.303)</f>
        <v>0.303</v>
      </c>
      <c r="J640" s="35">
        <f>IFERROR(__xludf.DUMMYFUNCTION("""COMPUTED_VALUE"""),639.0)</f>
        <v>639</v>
      </c>
      <c r="K640" s="35" t="b">
        <f>IFERROR(__xludf.DUMMYFUNCTION("""COMPUTED_VALUE"""),FALSE)</f>
        <v>0</v>
      </c>
      <c r="L640" s="35" t="str">
        <f>IFERROR(__xludf.DUMMYFUNCTION("""COMPUTED_VALUE"""),"String;Dynamic Programming;")</f>
        <v>String;Dynamic Programming;</v>
      </c>
      <c r="M640" s="35" t="b">
        <f>IFERROR(__xludf.DUMMYFUNCTION("""COMPUTED_VALUE"""),TRUE)</f>
        <v>1</v>
      </c>
      <c r="N640" s="35" t="b">
        <f>IFERROR(__xludf.DUMMYFUNCTION("""COMPUTED_VALUE"""),FALSE)</f>
        <v>0</v>
      </c>
      <c r="O640" s="35">
        <f>IFERROR(__xludf.DUMMYFUNCTION("""COMPUTED_VALUE"""),30.3243768737052)</f>
        <v>30.32437687</v>
      </c>
      <c r="P640" s="35">
        <f>IFERROR(__xludf.DUMMYFUNCTION("""COMPUTED_VALUE"""),59578.0)</f>
        <v>59578</v>
      </c>
      <c r="Q640" s="35">
        <f>IFERROR(__xludf.DUMMYFUNCTION("""COMPUTED_VALUE"""),196469.0)</f>
        <v>196469</v>
      </c>
    </row>
    <row r="641">
      <c r="A641" s="35">
        <f>IFERROR(__xludf.DUMMYFUNCTION("""COMPUTED_VALUE"""),640.0)</f>
        <v>640</v>
      </c>
      <c r="B641" s="35" t="str">
        <f>IFERROR(__xludf.DUMMYFUNCTION("""COMPUTED_VALUE"""),"Solve the Equation")</f>
        <v>Solve the Equation</v>
      </c>
      <c r="C641" s="35" t="str">
        <f>IFERROR(__xludf.DUMMYFUNCTION("""COMPUTED_VALUE"""),"solve-the-equation")</f>
        <v>solve-the-equation</v>
      </c>
      <c r="D641" s="35" t="b">
        <f>IFERROR(__xludf.DUMMYFUNCTION("""COMPUTED_VALUE"""),FALSE)</f>
        <v>0</v>
      </c>
      <c r="E641" s="35" t="str">
        <f>IFERROR(__xludf.DUMMYFUNCTION("""COMPUTED_VALUE"""),"Medium")</f>
        <v>Medium</v>
      </c>
      <c r="F641" s="35">
        <f>IFERROR(__xludf.DUMMYFUNCTION("""COMPUTED_VALUE"""),360.0)</f>
        <v>360</v>
      </c>
      <c r="G641" s="35">
        <f>IFERROR(__xludf.DUMMYFUNCTION("""COMPUTED_VALUE"""),681.0)</f>
        <v>681</v>
      </c>
      <c r="H641" s="35" t="str">
        <f>IFERROR(__xludf.DUMMYFUNCTION("""COMPUTED_VALUE"""),"Algorithms")</f>
        <v>Algorithms</v>
      </c>
      <c r="I641" s="35">
        <f>IFERROR(__xludf.DUMMYFUNCTION("""COMPUTED_VALUE"""),0.433)</f>
        <v>0.433</v>
      </c>
      <c r="J641" s="35">
        <f>IFERROR(__xludf.DUMMYFUNCTION("""COMPUTED_VALUE"""),640.0)</f>
        <v>640</v>
      </c>
      <c r="K641" s="35" t="b">
        <f>IFERROR(__xludf.DUMMYFUNCTION("""COMPUTED_VALUE"""),FALSE)</f>
        <v>0</v>
      </c>
      <c r="L641" s="35" t="str">
        <f>IFERROR(__xludf.DUMMYFUNCTION("""COMPUTED_VALUE"""),"Math;String;Simulation;")</f>
        <v>Math;String;Simulation;</v>
      </c>
      <c r="M641" s="35" t="b">
        <f>IFERROR(__xludf.DUMMYFUNCTION("""COMPUTED_VALUE"""),TRUE)</f>
        <v>1</v>
      </c>
      <c r="N641" s="35" t="b">
        <f>IFERROR(__xludf.DUMMYFUNCTION("""COMPUTED_VALUE"""),FALSE)</f>
        <v>0</v>
      </c>
      <c r="O641" s="35">
        <f>IFERROR(__xludf.DUMMYFUNCTION("""COMPUTED_VALUE"""),43.2797647541544)</f>
        <v>43.27976475</v>
      </c>
      <c r="P641" s="35">
        <f>IFERROR(__xludf.DUMMYFUNCTION("""COMPUTED_VALUE"""),31644.0)</f>
        <v>31644</v>
      </c>
      <c r="Q641" s="35">
        <f>IFERROR(__xludf.DUMMYFUNCTION("""COMPUTED_VALUE"""),73115.0)</f>
        <v>73115</v>
      </c>
    </row>
    <row r="642">
      <c r="A642" s="35">
        <f>IFERROR(__xludf.DUMMYFUNCTION("""COMPUTED_VALUE"""),859.0)</f>
        <v>859</v>
      </c>
      <c r="B642" s="35" t="str">
        <f>IFERROR(__xludf.DUMMYFUNCTION("""COMPUTED_VALUE"""),"Design Circular Deque")</f>
        <v>Design Circular Deque</v>
      </c>
      <c r="C642" s="35" t="str">
        <f>IFERROR(__xludf.DUMMYFUNCTION("""COMPUTED_VALUE"""),"design-circular-deque")</f>
        <v>design-circular-deque</v>
      </c>
      <c r="D642" s="35" t="b">
        <f>IFERROR(__xludf.DUMMYFUNCTION("""COMPUTED_VALUE"""),FALSE)</f>
        <v>0</v>
      </c>
      <c r="E642" s="35" t="str">
        <f>IFERROR(__xludf.DUMMYFUNCTION("""COMPUTED_VALUE"""),"Medium")</f>
        <v>Medium</v>
      </c>
      <c r="F642" s="35">
        <f>IFERROR(__xludf.DUMMYFUNCTION("""COMPUTED_VALUE"""),655.0)</f>
        <v>655</v>
      </c>
      <c r="G642" s="35">
        <f>IFERROR(__xludf.DUMMYFUNCTION("""COMPUTED_VALUE"""),55.0)</f>
        <v>55</v>
      </c>
      <c r="H642" s="35" t="str">
        <f>IFERROR(__xludf.DUMMYFUNCTION("""COMPUTED_VALUE"""),"Algorithms")</f>
        <v>Algorithms</v>
      </c>
      <c r="I642" s="35">
        <f>IFERROR(__xludf.DUMMYFUNCTION("""COMPUTED_VALUE"""),0.572)</f>
        <v>0.572</v>
      </c>
      <c r="J642" s="35">
        <f>IFERROR(__xludf.DUMMYFUNCTION("""COMPUTED_VALUE"""),641.0)</f>
        <v>641</v>
      </c>
      <c r="K642" s="35" t="b">
        <f>IFERROR(__xludf.DUMMYFUNCTION("""COMPUTED_VALUE"""),FALSE)</f>
        <v>0</v>
      </c>
      <c r="L642" s="35" t="str">
        <f>IFERROR(__xludf.DUMMYFUNCTION("""COMPUTED_VALUE"""),"Array;Linked List;Design;Queue;")</f>
        <v>Array;Linked List;Design;Queue;</v>
      </c>
      <c r="M642" s="35" t="b">
        <f>IFERROR(__xludf.DUMMYFUNCTION("""COMPUTED_VALUE"""),FALSE)</f>
        <v>0</v>
      </c>
      <c r="N642" s="35" t="b">
        <f>IFERROR(__xludf.DUMMYFUNCTION("""COMPUTED_VALUE"""),FALSE)</f>
        <v>0</v>
      </c>
      <c r="O642" s="35">
        <f>IFERROR(__xludf.DUMMYFUNCTION("""COMPUTED_VALUE"""),57.2225727304591)</f>
        <v>57.22257273</v>
      </c>
      <c r="P642" s="35">
        <f>IFERROR(__xludf.DUMMYFUNCTION("""COMPUTED_VALUE"""),40814.0)</f>
        <v>40814</v>
      </c>
      <c r="Q642" s="35">
        <f>IFERROR(__xludf.DUMMYFUNCTION("""COMPUTED_VALUE"""),71325.0)</f>
        <v>71325</v>
      </c>
    </row>
    <row r="643">
      <c r="A643" s="35">
        <f>IFERROR(__xludf.DUMMYFUNCTION("""COMPUTED_VALUE"""),642.0)</f>
        <v>642</v>
      </c>
      <c r="B643" s="35" t="str">
        <f>IFERROR(__xludf.DUMMYFUNCTION("""COMPUTED_VALUE"""),"Design Search Autocomplete System")</f>
        <v>Design Search Autocomplete System</v>
      </c>
      <c r="C643" s="35" t="str">
        <f>IFERROR(__xludf.DUMMYFUNCTION("""COMPUTED_VALUE"""),"design-search-autocomplete-system")</f>
        <v>design-search-autocomplete-system</v>
      </c>
      <c r="D643" s="35" t="b">
        <f>IFERROR(__xludf.DUMMYFUNCTION("""COMPUTED_VALUE"""),TRUE)</f>
        <v>1</v>
      </c>
      <c r="E643" s="35" t="str">
        <f>IFERROR(__xludf.DUMMYFUNCTION("""COMPUTED_VALUE"""),"Hard")</f>
        <v>Hard</v>
      </c>
      <c r="F643" s="35">
        <f>IFERROR(__xludf.DUMMYFUNCTION("""COMPUTED_VALUE"""),1700.0)</f>
        <v>1700</v>
      </c>
      <c r="G643" s="35">
        <f>IFERROR(__xludf.DUMMYFUNCTION("""COMPUTED_VALUE"""),117.0)</f>
        <v>117</v>
      </c>
      <c r="H643" s="35" t="str">
        <f>IFERROR(__xludf.DUMMYFUNCTION("""COMPUTED_VALUE"""),"Algorithms")</f>
        <v>Algorithms</v>
      </c>
      <c r="I643" s="35">
        <f>IFERROR(__xludf.DUMMYFUNCTION("""COMPUTED_VALUE"""),0.481)</f>
        <v>0.481</v>
      </c>
      <c r="J643" s="35">
        <f>IFERROR(__xludf.DUMMYFUNCTION("""COMPUTED_VALUE"""),642.0)</f>
        <v>642</v>
      </c>
      <c r="K643" s="35" t="b">
        <f>IFERROR(__xludf.DUMMYFUNCTION("""COMPUTED_VALUE"""),TRUE)</f>
        <v>1</v>
      </c>
      <c r="L643" s="35" t="str">
        <f>IFERROR(__xludf.DUMMYFUNCTION("""COMPUTED_VALUE"""),"String;Design;Trie;Data Stream;")</f>
        <v>String;Design;Trie;Data Stream;</v>
      </c>
      <c r="M643" s="35" t="b">
        <f>IFERROR(__xludf.DUMMYFUNCTION("""COMPUTED_VALUE"""),FALSE)</f>
        <v>0</v>
      </c>
      <c r="N643" s="35" t="b">
        <f>IFERROR(__xludf.DUMMYFUNCTION("""COMPUTED_VALUE"""),FALSE)</f>
        <v>0</v>
      </c>
      <c r="O643" s="35">
        <f>IFERROR(__xludf.DUMMYFUNCTION("""COMPUTED_VALUE"""),48.0656927828463)</f>
        <v>48.06569278</v>
      </c>
      <c r="P643" s="35">
        <f>IFERROR(__xludf.DUMMYFUNCTION("""COMPUTED_VALUE"""),108316.0)</f>
        <v>108316</v>
      </c>
      <c r="Q643" s="35">
        <f>IFERROR(__xludf.DUMMYFUNCTION("""COMPUTED_VALUE"""),225351.0)</f>
        <v>225351</v>
      </c>
    </row>
    <row r="644">
      <c r="A644" s="35">
        <f>IFERROR(__xludf.DUMMYFUNCTION("""COMPUTED_VALUE"""),643.0)</f>
        <v>643</v>
      </c>
      <c r="B644" s="35" t="str">
        <f>IFERROR(__xludf.DUMMYFUNCTION("""COMPUTED_VALUE"""),"Maximum Average Subarray I")</f>
        <v>Maximum Average Subarray I</v>
      </c>
      <c r="C644" s="35" t="str">
        <f>IFERROR(__xludf.DUMMYFUNCTION("""COMPUTED_VALUE"""),"maximum-average-subarray-i")</f>
        <v>maximum-average-subarray-i</v>
      </c>
      <c r="D644" s="35" t="b">
        <f>IFERROR(__xludf.DUMMYFUNCTION("""COMPUTED_VALUE"""),FALSE)</f>
        <v>0</v>
      </c>
      <c r="E644" s="35" t="str">
        <f>IFERROR(__xludf.DUMMYFUNCTION("""COMPUTED_VALUE"""),"Easy")</f>
        <v>Easy</v>
      </c>
      <c r="F644" s="35">
        <f>IFERROR(__xludf.DUMMYFUNCTION("""COMPUTED_VALUE"""),1495.0)</f>
        <v>1495</v>
      </c>
      <c r="G644" s="35">
        <f>IFERROR(__xludf.DUMMYFUNCTION("""COMPUTED_VALUE"""),155.0)</f>
        <v>155</v>
      </c>
      <c r="H644" s="35" t="str">
        <f>IFERROR(__xludf.DUMMYFUNCTION("""COMPUTED_VALUE"""),"Algorithms")</f>
        <v>Algorithms</v>
      </c>
      <c r="I644" s="35">
        <f>IFERROR(__xludf.DUMMYFUNCTION("""COMPUTED_VALUE"""),0.434)</f>
        <v>0.434</v>
      </c>
      <c r="J644" s="35">
        <f>IFERROR(__xludf.DUMMYFUNCTION("""COMPUTED_VALUE"""),643.0)</f>
        <v>643</v>
      </c>
      <c r="K644" s="35" t="b">
        <f>IFERROR(__xludf.DUMMYFUNCTION("""COMPUTED_VALUE"""),FALSE)</f>
        <v>0</v>
      </c>
      <c r="L644" s="35" t="str">
        <f>IFERROR(__xludf.DUMMYFUNCTION("""COMPUTED_VALUE"""),"Array;Sliding Window;")</f>
        <v>Array;Sliding Window;</v>
      </c>
      <c r="M644" s="35" t="b">
        <f>IFERROR(__xludf.DUMMYFUNCTION("""COMPUTED_VALUE"""),TRUE)</f>
        <v>1</v>
      </c>
      <c r="N644" s="35" t="b">
        <f>IFERROR(__xludf.DUMMYFUNCTION("""COMPUTED_VALUE"""),FALSE)</f>
        <v>0</v>
      </c>
      <c r="O644" s="35">
        <f>IFERROR(__xludf.DUMMYFUNCTION("""COMPUTED_VALUE"""),43.3773803524831)</f>
        <v>43.37738035</v>
      </c>
      <c r="P644" s="35">
        <f>IFERROR(__xludf.DUMMYFUNCTION("""COMPUTED_VALUE"""),135144.0)</f>
        <v>135144</v>
      </c>
      <c r="Q644" s="35">
        <f>IFERROR(__xludf.DUMMYFUNCTION("""COMPUTED_VALUE"""),311550.0)</f>
        <v>311550</v>
      </c>
    </row>
    <row r="645">
      <c r="A645" s="35">
        <f>IFERROR(__xludf.DUMMYFUNCTION("""COMPUTED_VALUE"""),644.0)</f>
        <v>644</v>
      </c>
      <c r="B645" s="35" t="str">
        <f>IFERROR(__xludf.DUMMYFUNCTION("""COMPUTED_VALUE"""),"Maximum Average Subarray II")</f>
        <v>Maximum Average Subarray II</v>
      </c>
      <c r="C645" s="35" t="str">
        <f>IFERROR(__xludf.DUMMYFUNCTION("""COMPUTED_VALUE"""),"maximum-average-subarray-ii")</f>
        <v>maximum-average-subarray-ii</v>
      </c>
      <c r="D645" s="35" t="b">
        <f>IFERROR(__xludf.DUMMYFUNCTION("""COMPUTED_VALUE"""),TRUE)</f>
        <v>1</v>
      </c>
      <c r="E645" s="35" t="str">
        <f>IFERROR(__xludf.DUMMYFUNCTION("""COMPUTED_VALUE"""),"Hard")</f>
        <v>Hard</v>
      </c>
      <c r="F645" s="35">
        <f>IFERROR(__xludf.DUMMYFUNCTION("""COMPUTED_VALUE"""),526.0)</f>
        <v>526</v>
      </c>
      <c r="G645" s="35">
        <f>IFERROR(__xludf.DUMMYFUNCTION("""COMPUTED_VALUE"""),57.0)</f>
        <v>57</v>
      </c>
      <c r="H645" s="35" t="str">
        <f>IFERROR(__xludf.DUMMYFUNCTION("""COMPUTED_VALUE"""),"Algorithms")</f>
        <v>Algorithms</v>
      </c>
      <c r="I645" s="35">
        <f>IFERROR(__xludf.DUMMYFUNCTION("""COMPUTED_VALUE"""),0.351)</f>
        <v>0.351</v>
      </c>
      <c r="J645" s="35">
        <f>IFERROR(__xludf.DUMMYFUNCTION("""COMPUTED_VALUE"""),644.0)</f>
        <v>644</v>
      </c>
      <c r="K645" s="35" t="b">
        <f>IFERROR(__xludf.DUMMYFUNCTION("""COMPUTED_VALUE"""),TRUE)</f>
        <v>1</v>
      </c>
      <c r="L645" s="35" t="str">
        <f>IFERROR(__xludf.DUMMYFUNCTION("""COMPUTED_VALUE"""),"Array;Binary Search;")</f>
        <v>Array;Binary Search;</v>
      </c>
      <c r="M645" s="35" t="b">
        <f>IFERROR(__xludf.DUMMYFUNCTION("""COMPUTED_VALUE"""),TRUE)</f>
        <v>1</v>
      </c>
      <c r="N645" s="35" t="b">
        <f>IFERROR(__xludf.DUMMYFUNCTION("""COMPUTED_VALUE"""),TRUE)</f>
        <v>1</v>
      </c>
      <c r="O645" s="35">
        <f>IFERROR(__xludf.DUMMYFUNCTION("""COMPUTED_VALUE"""),35.1331848919676)</f>
        <v>35.13318489</v>
      </c>
      <c r="P645" s="35">
        <f>IFERROR(__xludf.DUMMYFUNCTION("""COMPUTED_VALUE"""),17041.0)</f>
        <v>17041</v>
      </c>
      <c r="Q645" s="35">
        <f>IFERROR(__xludf.DUMMYFUNCTION("""COMPUTED_VALUE"""),48504.0)</f>
        <v>48504</v>
      </c>
    </row>
    <row r="646">
      <c r="A646" s="35">
        <f>IFERROR(__xludf.DUMMYFUNCTION("""COMPUTED_VALUE"""),645.0)</f>
        <v>645</v>
      </c>
      <c r="B646" s="35" t="str">
        <f>IFERROR(__xludf.DUMMYFUNCTION("""COMPUTED_VALUE"""),"Set Mismatch")</f>
        <v>Set Mismatch</v>
      </c>
      <c r="C646" s="35" t="str">
        <f>IFERROR(__xludf.DUMMYFUNCTION("""COMPUTED_VALUE"""),"set-mismatch")</f>
        <v>set-mismatch</v>
      </c>
      <c r="D646" s="35" t="b">
        <f>IFERROR(__xludf.DUMMYFUNCTION("""COMPUTED_VALUE"""),FALSE)</f>
        <v>0</v>
      </c>
      <c r="E646" s="35" t="str">
        <f>IFERROR(__xludf.DUMMYFUNCTION("""COMPUTED_VALUE"""),"Easy")</f>
        <v>Easy</v>
      </c>
      <c r="F646" s="35">
        <f>IFERROR(__xludf.DUMMYFUNCTION("""COMPUTED_VALUE"""),1776.0)</f>
        <v>1776</v>
      </c>
      <c r="G646" s="35">
        <f>IFERROR(__xludf.DUMMYFUNCTION("""COMPUTED_VALUE"""),544.0)</f>
        <v>544</v>
      </c>
      <c r="H646" s="35" t="str">
        <f>IFERROR(__xludf.DUMMYFUNCTION("""COMPUTED_VALUE"""),"Algorithms")</f>
        <v>Algorithms</v>
      </c>
      <c r="I646" s="35">
        <f>IFERROR(__xludf.DUMMYFUNCTION("""COMPUTED_VALUE"""),0.412)</f>
        <v>0.412</v>
      </c>
      <c r="J646" s="35">
        <f>IFERROR(__xludf.DUMMYFUNCTION("""COMPUTED_VALUE"""),645.0)</f>
        <v>645</v>
      </c>
      <c r="K646" s="35" t="b">
        <f>IFERROR(__xludf.DUMMYFUNCTION("""COMPUTED_VALUE"""),FALSE)</f>
        <v>0</v>
      </c>
      <c r="L646" s="35" t="str">
        <f>IFERROR(__xludf.DUMMYFUNCTION("""COMPUTED_VALUE"""),"Array;Hash Table;Bit Manipulation;Sorting;")</f>
        <v>Array;Hash Table;Bit Manipulation;Sorting;</v>
      </c>
      <c r="M646" s="35" t="b">
        <f>IFERROR(__xludf.DUMMYFUNCTION("""COMPUTED_VALUE"""),TRUE)</f>
        <v>1</v>
      </c>
      <c r="N646" s="35" t="b">
        <f>IFERROR(__xludf.DUMMYFUNCTION("""COMPUTED_VALUE"""),FALSE)</f>
        <v>0</v>
      </c>
      <c r="O646" s="35">
        <f>IFERROR(__xludf.DUMMYFUNCTION("""COMPUTED_VALUE"""),41.2282343170452)</f>
        <v>41.22823432</v>
      </c>
      <c r="P646" s="35">
        <f>IFERROR(__xludf.DUMMYFUNCTION("""COMPUTED_VALUE"""),160839.0)</f>
        <v>160839</v>
      </c>
      <c r="Q646" s="35">
        <f>IFERROR(__xludf.DUMMYFUNCTION("""COMPUTED_VALUE"""),390113.0)</f>
        <v>390113</v>
      </c>
    </row>
    <row r="647">
      <c r="A647" s="35">
        <f>IFERROR(__xludf.DUMMYFUNCTION("""COMPUTED_VALUE"""),646.0)</f>
        <v>646</v>
      </c>
      <c r="B647" s="35" t="str">
        <f>IFERROR(__xludf.DUMMYFUNCTION("""COMPUTED_VALUE"""),"Maximum Length of Pair Chain")</f>
        <v>Maximum Length of Pair Chain</v>
      </c>
      <c r="C647" s="35" t="str">
        <f>IFERROR(__xludf.DUMMYFUNCTION("""COMPUTED_VALUE"""),"maximum-length-of-pair-chain")</f>
        <v>maximum-length-of-pair-chain</v>
      </c>
      <c r="D647" s="35" t="b">
        <f>IFERROR(__xludf.DUMMYFUNCTION("""COMPUTED_VALUE"""),FALSE)</f>
        <v>0</v>
      </c>
      <c r="E647" s="35" t="str">
        <f>IFERROR(__xludf.DUMMYFUNCTION("""COMPUTED_VALUE"""),"Medium")</f>
        <v>Medium</v>
      </c>
      <c r="F647" s="35">
        <f>IFERROR(__xludf.DUMMYFUNCTION("""COMPUTED_VALUE"""),2110.0)</f>
        <v>2110</v>
      </c>
      <c r="G647" s="35">
        <f>IFERROR(__xludf.DUMMYFUNCTION("""COMPUTED_VALUE"""),99.0)</f>
        <v>99</v>
      </c>
      <c r="H647" s="35" t="str">
        <f>IFERROR(__xludf.DUMMYFUNCTION("""COMPUTED_VALUE"""),"Algorithms")</f>
        <v>Algorithms</v>
      </c>
      <c r="I647" s="35">
        <f>IFERROR(__xludf.DUMMYFUNCTION("""COMPUTED_VALUE"""),0.554)</f>
        <v>0.554</v>
      </c>
      <c r="J647" s="35">
        <f>IFERROR(__xludf.DUMMYFUNCTION("""COMPUTED_VALUE"""),646.0)</f>
        <v>646</v>
      </c>
      <c r="K647" s="35" t="b">
        <f>IFERROR(__xludf.DUMMYFUNCTION("""COMPUTED_VALUE"""),FALSE)</f>
        <v>0</v>
      </c>
      <c r="L647" s="35" t="str">
        <f>IFERROR(__xludf.DUMMYFUNCTION("""COMPUTED_VALUE"""),"Array;Dynamic Programming;Greedy;Sorting;")</f>
        <v>Array;Dynamic Programming;Greedy;Sorting;</v>
      </c>
      <c r="M647" s="35" t="b">
        <f>IFERROR(__xludf.DUMMYFUNCTION("""COMPUTED_VALUE"""),TRUE)</f>
        <v>1</v>
      </c>
      <c r="N647" s="35" t="b">
        <f>IFERROR(__xludf.DUMMYFUNCTION("""COMPUTED_VALUE"""),FALSE)</f>
        <v>0</v>
      </c>
      <c r="O647" s="35">
        <f>IFERROR(__xludf.DUMMYFUNCTION("""COMPUTED_VALUE"""),55.4502218391905)</f>
        <v>55.45022184</v>
      </c>
      <c r="P647" s="35">
        <f>IFERROR(__xludf.DUMMYFUNCTION("""COMPUTED_VALUE"""),104231.0)</f>
        <v>104231</v>
      </c>
      <c r="Q647" s="35">
        <f>IFERROR(__xludf.DUMMYFUNCTION("""COMPUTED_VALUE"""),187973.0)</f>
        <v>187973</v>
      </c>
    </row>
    <row r="648">
      <c r="A648" s="35">
        <f>IFERROR(__xludf.DUMMYFUNCTION("""COMPUTED_VALUE"""),647.0)</f>
        <v>647</v>
      </c>
      <c r="B648" s="35" t="str">
        <f>IFERROR(__xludf.DUMMYFUNCTION("""COMPUTED_VALUE"""),"Palindromic Substrings")</f>
        <v>Palindromic Substrings</v>
      </c>
      <c r="C648" s="35" t="str">
        <f>IFERROR(__xludf.DUMMYFUNCTION("""COMPUTED_VALUE"""),"palindromic-substrings")</f>
        <v>palindromic-substrings</v>
      </c>
      <c r="D648" s="35" t="b">
        <f>IFERROR(__xludf.DUMMYFUNCTION("""COMPUTED_VALUE"""),FALSE)</f>
        <v>0</v>
      </c>
      <c r="E648" s="35" t="str">
        <f>IFERROR(__xludf.DUMMYFUNCTION("""COMPUTED_VALUE"""),"Medium")</f>
        <v>Medium</v>
      </c>
      <c r="F648" s="35">
        <f>IFERROR(__xludf.DUMMYFUNCTION("""COMPUTED_VALUE"""),5980.0)</f>
        <v>5980</v>
      </c>
      <c r="G648" s="35">
        <f>IFERROR(__xludf.DUMMYFUNCTION("""COMPUTED_VALUE"""),152.0)</f>
        <v>152</v>
      </c>
      <c r="H648" s="35" t="str">
        <f>IFERROR(__xludf.DUMMYFUNCTION("""COMPUTED_VALUE"""),"Algorithms")</f>
        <v>Algorithms</v>
      </c>
      <c r="I648" s="35">
        <f>IFERROR(__xludf.DUMMYFUNCTION("""COMPUTED_VALUE"""),0.643)</f>
        <v>0.643</v>
      </c>
      <c r="J648" s="35">
        <f>IFERROR(__xludf.DUMMYFUNCTION("""COMPUTED_VALUE"""),647.0)</f>
        <v>647</v>
      </c>
      <c r="K648" s="35" t="b">
        <f>IFERROR(__xludf.DUMMYFUNCTION("""COMPUTED_VALUE"""),FALSE)</f>
        <v>0</v>
      </c>
      <c r="L648" s="35" t="str">
        <f>IFERROR(__xludf.DUMMYFUNCTION("""COMPUTED_VALUE"""),"String;Dynamic Programming;")</f>
        <v>String;Dynamic Programming;</v>
      </c>
      <c r="M648" s="35" t="b">
        <f>IFERROR(__xludf.DUMMYFUNCTION("""COMPUTED_VALUE"""),TRUE)</f>
        <v>1</v>
      </c>
      <c r="N648" s="35" t="b">
        <f>IFERROR(__xludf.DUMMYFUNCTION("""COMPUTED_VALUE"""),FALSE)</f>
        <v>0</v>
      </c>
      <c r="O648" s="35">
        <f>IFERROR(__xludf.DUMMYFUNCTION("""COMPUTED_VALUE"""),64.3254860479312)</f>
        <v>64.32548605</v>
      </c>
      <c r="P648" s="35">
        <f>IFERROR(__xludf.DUMMYFUNCTION("""COMPUTED_VALUE"""),382500.0)</f>
        <v>382500</v>
      </c>
      <c r="Q648" s="35">
        <f>IFERROR(__xludf.DUMMYFUNCTION("""COMPUTED_VALUE"""),594632.0)</f>
        <v>594632</v>
      </c>
    </row>
    <row r="649">
      <c r="A649" s="35">
        <f>IFERROR(__xludf.DUMMYFUNCTION("""COMPUTED_VALUE"""),648.0)</f>
        <v>648</v>
      </c>
      <c r="B649" s="35" t="str">
        <f>IFERROR(__xludf.DUMMYFUNCTION("""COMPUTED_VALUE"""),"Replace Words")</f>
        <v>Replace Words</v>
      </c>
      <c r="C649" s="35" t="str">
        <f>IFERROR(__xludf.DUMMYFUNCTION("""COMPUTED_VALUE"""),"replace-words")</f>
        <v>replace-words</v>
      </c>
      <c r="D649" s="35" t="b">
        <f>IFERROR(__xludf.DUMMYFUNCTION("""COMPUTED_VALUE"""),FALSE)</f>
        <v>0</v>
      </c>
      <c r="E649" s="35" t="str">
        <f>IFERROR(__xludf.DUMMYFUNCTION("""COMPUTED_VALUE"""),"Medium")</f>
        <v>Medium</v>
      </c>
      <c r="F649" s="35">
        <f>IFERROR(__xludf.DUMMYFUNCTION("""COMPUTED_VALUE"""),1428.0)</f>
        <v>1428</v>
      </c>
      <c r="G649" s="35">
        <f>IFERROR(__xludf.DUMMYFUNCTION("""COMPUTED_VALUE"""),150.0)</f>
        <v>150</v>
      </c>
      <c r="H649" s="35" t="str">
        <f>IFERROR(__xludf.DUMMYFUNCTION("""COMPUTED_VALUE"""),"Algorithms")</f>
        <v>Algorithms</v>
      </c>
      <c r="I649" s="35">
        <f>IFERROR(__xludf.DUMMYFUNCTION("""COMPUTED_VALUE"""),0.618)</f>
        <v>0.618</v>
      </c>
      <c r="J649" s="35">
        <f>IFERROR(__xludf.DUMMYFUNCTION("""COMPUTED_VALUE"""),648.0)</f>
        <v>648</v>
      </c>
      <c r="K649" s="35" t="b">
        <f>IFERROR(__xludf.DUMMYFUNCTION("""COMPUTED_VALUE"""),FALSE)</f>
        <v>0</v>
      </c>
      <c r="L649" s="35" t="str">
        <f>IFERROR(__xludf.DUMMYFUNCTION("""COMPUTED_VALUE"""),"Array;Hash Table;String;Trie;")</f>
        <v>Array;Hash Table;String;Trie;</v>
      </c>
      <c r="M649" s="35" t="b">
        <f>IFERROR(__xludf.DUMMYFUNCTION("""COMPUTED_VALUE"""),TRUE)</f>
        <v>1</v>
      </c>
      <c r="N649" s="35" t="b">
        <f>IFERROR(__xludf.DUMMYFUNCTION("""COMPUTED_VALUE"""),FALSE)</f>
        <v>0</v>
      </c>
      <c r="O649" s="35">
        <f>IFERROR(__xludf.DUMMYFUNCTION("""COMPUTED_VALUE"""),61.7717311587035)</f>
        <v>61.77173116</v>
      </c>
      <c r="P649" s="35">
        <f>IFERROR(__xludf.DUMMYFUNCTION("""COMPUTED_VALUE"""),91805.0)</f>
        <v>91805</v>
      </c>
      <c r="Q649" s="35">
        <f>IFERROR(__xludf.DUMMYFUNCTION("""COMPUTED_VALUE"""),148620.0)</f>
        <v>148620</v>
      </c>
    </row>
    <row r="650">
      <c r="A650" s="35">
        <f>IFERROR(__xludf.DUMMYFUNCTION("""COMPUTED_VALUE"""),649.0)</f>
        <v>649</v>
      </c>
      <c r="B650" s="35" t="str">
        <f>IFERROR(__xludf.DUMMYFUNCTION("""COMPUTED_VALUE"""),"Dota2 Senate")</f>
        <v>Dota2 Senate</v>
      </c>
      <c r="C650" s="35" t="str">
        <f>IFERROR(__xludf.DUMMYFUNCTION("""COMPUTED_VALUE"""),"dota2-senate")</f>
        <v>dota2-senate</v>
      </c>
      <c r="D650" s="35" t="b">
        <f>IFERROR(__xludf.DUMMYFUNCTION("""COMPUTED_VALUE"""),FALSE)</f>
        <v>0</v>
      </c>
      <c r="E650" s="35" t="str">
        <f>IFERROR(__xludf.DUMMYFUNCTION("""COMPUTED_VALUE"""),"Medium")</f>
        <v>Medium</v>
      </c>
      <c r="F650" s="35">
        <f>IFERROR(__xludf.DUMMYFUNCTION("""COMPUTED_VALUE"""),412.0)</f>
        <v>412</v>
      </c>
      <c r="G650" s="35">
        <f>IFERROR(__xludf.DUMMYFUNCTION("""COMPUTED_VALUE"""),299.0)</f>
        <v>299</v>
      </c>
      <c r="H650" s="35" t="str">
        <f>IFERROR(__xludf.DUMMYFUNCTION("""COMPUTED_VALUE"""),"Algorithms")</f>
        <v>Algorithms</v>
      </c>
      <c r="I650" s="35">
        <f>IFERROR(__xludf.DUMMYFUNCTION("""COMPUTED_VALUE"""),0.399)</f>
        <v>0.399</v>
      </c>
      <c r="J650" s="35">
        <f>IFERROR(__xludf.DUMMYFUNCTION("""COMPUTED_VALUE"""),649.0)</f>
        <v>649</v>
      </c>
      <c r="K650" s="35" t="b">
        <f>IFERROR(__xludf.DUMMYFUNCTION("""COMPUTED_VALUE"""),FALSE)</f>
        <v>0</v>
      </c>
      <c r="L650" s="35" t="str">
        <f>IFERROR(__xludf.DUMMYFUNCTION("""COMPUTED_VALUE"""),"String;Greedy;Queue;")</f>
        <v>String;Greedy;Queue;</v>
      </c>
      <c r="M650" s="35" t="b">
        <f>IFERROR(__xludf.DUMMYFUNCTION("""COMPUTED_VALUE"""),FALSE)</f>
        <v>0</v>
      </c>
      <c r="N650" s="35" t="b">
        <f>IFERROR(__xludf.DUMMYFUNCTION("""COMPUTED_VALUE"""),FALSE)</f>
        <v>0</v>
      </c>
      <c r="O650" s="35">
        <f>IFERROR(__xludf.DUMMYFUNCTION("""COMPUTED_VALUE"""),39.8728291195363)</f>
        <v>39.87282912</v>
      </c>
      <c r="P650" s="35">
        <f>IFERROR(__xludf.DUMMYFUNCTION("""COMPUTED_VALUE"""),18435.0)</f>
        <v>18435</v>
      </c>
      <c r="Q650" s="35">
        <f>IFERROR(__xludf.DUMMYFUNCTION("""COMPUTED_VALUE"""),46236.0)</f>
        <v>46236</v>
      </c>
    </row>
    <row r="651">
      <c r="A651" s="35">
        <f>IFERROR(__xludf.DUMMYFUNCTION("""COMPUTED_VALUE"""),650.0)</f>
        <v>650</v>
      </c>
      <c r="B651" s="35" t="str">
        <f>IFERROR(__xludf.DUMMYFUNCTION("""COMPUTED_VALUE"""),"2 Keys Keyboard")</f>
        <v>2 Keys Keyboard</v>
      </c>
      <c r="C651" s="35" t="str">
        <f>IFERROR(__xludf.DUMMYFUNCTION("""COMPUTED_VALUE"""),"2-keys-keyboard")</f>
        <v>2-keys-keyboard</v>
      </c>
      <c r="D651" s="35" t="b">
        <f>IFERROR(__xludf.DUMMYFUNCTION("""COMPUTED_VALUE"""),FALSE)</f>
        <v>0</v>
      </c>
      <c r="E651" s="35" t="str">
        <f>IFERROR(__xludf.DUMMYFUNCTION("""COMPUTED_VALUE"""),"Medium")</f>
        <v>Medium</v>
      </c>
      <c r="F651" s="35">
        <f>IFERROR(__xludf.DUMMYFUNCTION("""COMPUTED_VALUE"""),2390.0)</f>
        <v>2390</v>
      </c>
      <c r="G651" s="35">
        <f>IFERROR(__xludf.DUMMYFUNCTION("""COMPUTED_VALUE"""),158.0)</f>
        <v>158</v>
      </c>
      <c r="H651" s="35" t="str">
        <f>IFERROR(__xludf.DUMMYFUNCTION("""COMPUTED_VALUE"""),"Algorithms")</f>
        <v>Algorithms</v>
      </c>
      <c r="I651" s="35">
        <f>IFERROR(__xludf.DUMMYFUNCTION("""COMPUTED_VALUE"""),0.521)</f>
        <v>0.521</v>
      </c>
      <c r="J651" s="35">
        <f>IFERROR(__xludf.DUMMYFUNCTION("""COMPUTED_VALUE"""),650.0)</f>
        <v>650</v>
      </c>
      <c r="K651" s="35" t="b">
        <f>IFERROR(__xludf.DUMMYFUNCTION("""COMPUTED_VALUE"""),FALSE)</f>
        <v>0</v>
      </c>
      <c r="L651" s="35" t="str">
        <f>IFERROR(__xludf.DUMMYFUNCTION("""COMPUTED_VALUE"""),"Math;Dynamic Programming;")</f>
        <v>Math;Dynamic Programming;</v>
      </c>
      <c r="M651" s="35" t="b">
        <f>IFERROR(__xludf.DUMMYFUNCTION("""COMPUTED_VALUE"""),TRUE)</f>
        <v>1</v>
      </c>
      <c r="N651" s="35" t="b">
        <f>IFERROR(__xludf.DUMMYFUNCTION("""COMPUTED_VALUE"""),FALSE)</f>
        <v>0</v>
      </c>
      <c r="O651" s="35">
        <f>IFERROR(__xludf.DUMMYFUNCTION("""COMPUTED_VALUE"""),52.105254545157)</f>
        <v>52.10525455</v>
      </c>
      <c r="P651" s="35">
        <f>IFERROR(__xludf.DUMMYFUNCTION("""COMPUTED_VALUE"""),95523.0)</f>
        <v>95523</v>
      </c>
      <c r="Q651" s="35">
        <f>IFERROR(__xludf.DUMMYFUNCTION("""COMPUTED_VALUE"""),183327.0)</f>
        <v>183327</v>
      </c>
    </row>
    <row r="652">
      <c r="A652" s="35">
        <f>IFERROR(__xludf.DUMMYFUNCTION("""COMPUTED_VALUE"""),651.0)</f>
        <v>651</v>
      </c>
      <c r="B652" s="35" t="str">
        <f>IFERROR(__xludf.DUMMYFUNCTION("""COMPUTED_VALUE"""),"4 Keys Keyboard")</f>
        <v>4 Keys Keyboard</v>
      </c>
      <c r="C652" s="35" t="str">
        <f>IFERROR(__xludf.DUMMYFUNCTION("""COMPUTED_VALUE"""),"4-keys-keyboard")</f>
        <v>4-keys-keyboard</v>
      </c>
      <c r="D652" s="35" t="b">
        <f>IFERROR(__xludf.DUMMYFUNCTION("""COMPUTED_VALUE"""),TRUE)</f>
        <v>1</v>
      </c>
      <c r="E652" s="35" t="str">
        <f>IFERROR(__xludf.DUMMYFUNCTION("""COMPUTED_VALUE"""),"Medium")</f>
        <v>Medium</v>
      </c>
      <c r="F652" s="35">
        <f>IFERROR(__xludf.DUMMYFUNCTION("""COMPUTED_VALUE"""),492.0)</f>
        <v>492</v>
      </c>
      <c r="G652" s="35">
        <f>IFERROR(__xludf.DUMMYFUNCTION("""COMPUTED_VALUE"""),70.0)</f>
        <v>70</v>
      </c>
      <c r="H652" s="35" t="str">
        <f>IFERROR(__xludf.DUMMYFUNCTION("""COMPUTED_VALUE"""),"Algorithms")</f>
        <v>Algorithms</v>
      </c>
      <c r="I652" s="35">
        <f>IFERROR(__xludf.DUMMYFUNCTION("""COMPUTED_VALUE"""),0.54)</f>
        <v>0.54</v>
      </c>
      <c r="J652" s="35">
        <f>IFERROR(__xludf.DUMMYFUNCTION("""COMPUTED_VALUE"""),651.0)</f>
        <v>651</v>
      </c>
      <c r="K652" s="35" t="b">
        <f>IFERROR(__xludf.DUMMYFUNCTION("""COMPUTED_VALUE"""),TRUE)</f>
        <v>1</v>
      </c>
      <c r="L652" s="35" t="str">
        <f>IFERROR(__xludf.DUMMYFUNCTION("""COMPUTED_VALUE"""),"Math;Dynamic Programming;")</f>
        <v>Math;Dynamic Programming;</v>
      </c>
      <c r="M652" s="35" t="b">
        <f>IFERROR(__xludf.DUMMYFUNCTION("""COMPUTED_VALUE"""),FALSE)</f>
        <v>0</v>
      </c>
      <c r="N652" s="35" t="b">
        <f>IFERROR(__xludf.DUMMYFUNCTION("""COMPUTED_VALUE"""),FALSE)</f>
        <v>0</v>
      </c>
      <c r="O652" s="35">
        <f>IFERROR(__xludf.DUMMYFUNCTION("""COMPUTED_VALUE"""),54.0374726337762)</f>
        <v>54.03747263</v>
      </c>
      <c r="P652" s="35">
        <f>IFERROR(__xludf.DUMMYFUNCTION("""COMPUTED_VALUE"""),21227.0)</f>
        <v>21227</v>
      </c>
      <c r="Q652" s="35">
        <f>IFERROR(__xludf.DUMMYFUNCTION("""COMPUTED_VALUE"""),39282.0)</f>
        <v>39282</v>
      </c>
    </row>
    <row r="653">
      <c r="A653" s="35">
        <f>IFERROR(__xludf.DUMMYFUNCTION("""COMPUTED_VALUE"""),652.0)</f>
        <v>652</v>
      </c>
      <c r="B653" s="35" t="str">
        <f>IFERROR(__xludf.DUMMYFUNCTION("""COMPUTED_VALUE"""),"Find Duplicate Subtrees")</f>
        <v>Find Duplicate Subtrees</v>
      </c>
      <c r="C653" s="35" t="str">
        <f>IFERROR(__xludf.DUMMYFUNCTION("""COMPUTED_VALUE"""),"find-duplicate-subtrees")</f>
        <v>find-duplicate-subtrees</v>
      </c>
      <c r="D653" s="35" t="b">
        <f>IFERROR(__xludf.DUMMYFUNCTION("""COMPUTED_VALUE"""),FALSE)</f>
        <v>0</v>
      </c>
      <c r="E653" s="35" t="str">
        <f>IFERROR(__xludf.DUMMYFUNCTION("""COMPUTED_VALUE"""),"Medium")</f>
        <v>Medium</v>
      </c>
      <c r="F653" s="35">
        <f>IFERROR(__xludf.DUMMYFUNCTION("""COMPUTED_VALUE"""),3033.0)</f>
        <v>3033</v>
      </c>
      <c r="G653" s="35">
        <f>IFERROR(__xludf.DUMMYFUNCTION("""COMPUTED_VALUE"""),291.0)</f>
        <v>291</v>
      </c>
      <c r="H653" s="35" t="str">
        <f>IFERROR(__xludf.DUMMYFUNCTION("""COMPUTED_VALUE"""),"Algorithms")</f>
        <v>Algorithms</v>
      </c>
      <c r="I653" s="35">
        <f>IFERROR(__xludf.DUMMYFUNCTION("""COMPUTED_VALUE"""),0.555)</f>
        <v>0.555</v>
      </c>
      <c r="J653" s="35">
        <f>IFERROR(__xludf.DUMMYFUNCTION("""COMPUTED_VALUE"""),652.0)</f>
        <v>652</v>
      </c>
      <c r="K653" s="35" t="b">
        <f>IFERROR(__xludf.DUMMYFUNCTION("""COMPUTED_VALUE"""),FALSE)</f>
        <v>0</v>
      </c>
      <c r="L653" s="35" t="str">
        <f>IFERROR(__xludf.DUMMYFUNCTION("""COMPUTED_VALUE"""),"Hash Table;Tree;Depth-First Search;Binary Tree;")</f>
        <v>Hash Table;Tree;Depth-First Search;Binary Tree;</v>
      </c>
      <c r="M653" s="35" t="b">
        <f>IFERROR(__xludf.DUMMYFUNCTION("""COMPUTED_VALUE"""),FALSE)</f>
        <v>0</v>
      </c>
      <c r="N653" s="35" t="b">
        <f>IFERROR(__xludf.DUMMYFUNCTION("""COMPUTED_VALUE"""),FALSE)</f>
        <v>0</v>
      </c>
      <c r="O653" s="35">
        <f>IFERROR(__xludf.DUMMYFUNCTION("""COMPUTED_VALUE"""),55.5144930409611)</f>
        <v>55.51449304</v>
      </c>
      <c r="P653" s="35">
        <f>IFERROR(__xludf.DUMMYFUNCTION("""COMPUTED_VALUE"""),140000.0)</f>
        <v>140000</v>
      </c>
      <c r="Q653" s="35">
        <f>IFERROR(__xludf.DUMMYFUNCTION("""COMPUTED_VALUE"""),252187.0)</f>
        <v>252187</v>
      </c>
    </row>
    <row r="654">
      <c r="A654" s="35">
        <f>IFERROR(__xludf.DUMMYFUNCTION("""COMPUTED_VALUE"""),653.0)</f>
        <v>653</v>
      </c>
      <c r="B654" s="35" t="str">
        <f>IFERROR(__xludf.DUMMYFUNCTION("""COMPUTED_VALUE"""),"Two Sum IV - Input is a BST")</f>
        <v>Two Sum IV - Input is a BST</v>
      </c>
      <c r="C654" s="35" t="str">
        <f>IFERROR(__xludf.DUMMYFUNCTION("""COMPUTED_VALUE"""),"two-sum-iv-input-is-a-bst")</f>
        <v>two-sum-iv-input-is-a-bst</v>
      </c>
      <c r="D654" s="35" t="b">
        <f>IFERROR(__xludf.DUMMYFUNCTION("""COMPUTED_VALUE"""),FALSE)</f>
        <v>0</v>
      </c>
      <c r="E654" s="35" t="str">
        <f>IFERROR(__xludf.DUMMYFUNCTION("""COMPUTED_VALUE"""),"Easy")</f>
        <v>Easy</v>
      </c>
      <c r="F654" s="35">
        <f>IFERROR(__xludf.DUMMYFUNCTION("""COMPUTED_VALUE"""),3394.0)</f>
        <v>3394</v>
      </c>
      <c r="G654" s="35">
        <f>IFERROR(__xludf.DUMMYFUNCTION("""COMPUTED_VALUE"""),195.0)</f>
        <v>195</v>
      </c>
      <c r="H654" s="35" t="str">
        <f>IFERROR(__xludf.DUMMYFUNCTION("""COMPUTED_VALUE"""),"Algorithms")</f>
        <v>Algorithms</v>
      </c>
      <c r="I654" s="35">
        <f>IFERROR(__xludf.DUMMYFUNCTION("""COMPUTED_VALUE"""),0.586)</f>
        <v>0.586</v>
      </c>
      <c r="J654" s="35">
        <f>IFERROR(__xludf.DUMMYFUNCTION("""COMPUTED_VALUE"""),653.0)</f>
        <v>653</v>
      </c>
      <c r="K654" s="35" t="b">
        <f>IFERROR(__xludf.DUMMYFUNCTION("""COMPUTED_VALUE"""),FALSE)</f>
        <v>0</v>
      </c>
      <c r="L654" s="35" t="str">
        <f>IFERROR(__xludf.DUMMYFUNCTION("""COMPUTED_VALUE"""),"Hash Table;Two Pointers;Tree;Depth-First Search;Breadth-First Search;Binary Search Tree;Binary Tree;")</f>
        <v>Hash Table;Two Pointers;Tree;Depth-First Search;Breadth-First Search;Binary Search Tree;Binary Tree;</v>
      </c>
      <c r="M654" s="35" t="b">
        <f>IFERROR(__xludf.DUMMYFUNCTION("""COMPUTED_VALUE"""),TRUE)</f>
        <v>1</v>
      </c>
      <c r="N654" s="35" t="b">
        <f>IFERROR(__xludf.DUMMYFUNCTION("""COMPUTED_VALUE"""),FALSE)</f>
        <v>0</v>
      </c>
      <c r="O654" s="35">
        <f>IFERROR(__xludf.DUMMYFUNCTION("""COMPUTED_VALUE"""),58.6084693162478)</f>
        <v>58.60846932</v>
      </c>
      <c r="P654" s="35">
        <f>IFERROR(__xludf.DUMMYFUNCTION("""COMPUTED_VALUE"""),292714.0)</f>
        <v>292714</v>
      </c>
      <c r="Q654" s="35">
        <f>IFERROR(__xludf.DUMMYFUNCTION("""COMPUTED_VALUE"""),499444.0)</f>
        <v>499444</v>
      </c>
    </row>
    <row r="655">
      <c r="A655" s="35">
        <f>IFERROR(__xludf.DUMMYFUNCTION("""COMPUTED_VALUE"""),654.0)</f>
        <v>654</v>
      </c>
      <c r="B655" s="35" t="str">
        <f>IFERROR(__xludf.DUMMYFUNCTION("""COMPUTED_VALUE"""),"Maximum Binary Tree")</f>
        <v>Maximum Binary Tree</v>
      </c>
      <c r="C655" s="35" t="str">
        <f>IFERROR(__xludf.DUMMYFUNCTION("""COMPUTED_VALUE"""),"maximum-binary-tree")</f>
        <v>maximum-binary-tree</v>
      </c>
      <c r="D655" s="35" t="b">
        <f>IFERROR(__xludf.DUMMYFUNCTION("""COMPUTED_VALUE"""),FALSE)</f>
        <v>0</v>
      </c>
      <c r="E655" s="35" t="str">
        <f>IFERROR(__xludf.DUMMYFUNCTION("""COMPUTED_VALUE"""),"Medium")</f>
        <v>Medium</v>
      </c>
      <c r="F655" s="35">
        <f>IFERROR(__xludf.DUMMYFUNCTION("""COMPUTED_VALUE"""),3445.0)</f>
        <v>3445</v>
      </c>
      <c r="G655" s="35">
        <f>IFERROR(__xludf.DUMMYFUNCTION("""COMPUTED_VALUE"""),294.0)</f>
        <v>294</v>
      </c>
      <c r="H655" s="35" t="str">
        <f>IFERROR(__xludf.DUMMYFUNCTION("""COMPUTED_VALUE"""),"Algorithms")</f>
        <v>Algorithms</v>
      </c>
      <c r="I655" s="35">
        <f>IFERROR(__xludf.DUMMYFUNCTION("""COMPUTED_VALUE"""),0.833)</f>
        <v>0.833</v>
      </c>
      <c r="J655" s="35">
        <f>IFERROR(__xludf.DUMMYFUNCTION("""COMPUTED_VALUE"""),654.0)</f>
        <v>654</v>
      </c>
      <c r="K655" s="35" t="b">
        <f>IFERROR(__xludf.DUMMYFUNCTION("""COMPUTED_VALUE"""),FALSE)</f>
        <v>0</v>
      </c>
      <c r="L655" s="35" t="str">
        <f>IFERROR(__xludf.DUMMYFUNCTION("""COMPUTED_VALUE"""),"Array;Divide and Conquer;Stack;Tree;Monotonic Stack;Binary Tree;")</f>
        <v>Array;Divide and Conquer;Stack;Tree;Monotonic Stack;Binary Tree;</v>
      </c>
      <c r="M655" s="35" t="b">
        <f>IFERROR(__xludf.DUMMYFUNCTION("""COMPUTED_VALUE"""),TRUE)</f>
        <v>1</v>
      </c>
      <c r="N655" s="35" t="b">
        <f>IFERROR(__xludf.DUMMYFUNCTION("""COMPUTED_VALUE"""),FALSE)</f>
        <v>0</v>
      </c>
      <c r="O655" s="35">
        <f>IFERROR(__xludf.DUMMYFUNCTION("""COMPUTED_VALUE"""),83.315396406092)</f>
        <v>83.31539641</v>
      </c>
      <c r="P655" s="35">
        <f>IFERROR(__xludf.DUMMYFUNCTION("""COMPUTED_VALUE"""),204374.0)</f>
        <v>204374</v>
      </c>
      <c r="Q655" s="35">
        <f>IFERROR(__xludf.DUMMYFUNCTION("""COMPUTED_VALUE"""),245301.0)</f>
        <v>245301</v>
      </c>
    </row>
    <row r="656">
      <c r="A656" s="35">
        <f>IFERROR(__xludf.DUMMYFUNCTION("""COMPUTED_VALUE"""),655.0)</f>
        <v>655</v>
      </c>
      <c r="B656" s="35" t="str">
        <f>IFERROR(__xludf.DUMMYFUNCTION("""COMPUTED_VALUE"""),"Print Binary Tree")</f>
        <v>Print Binary Tree</v>
      </c>
      <c r="C656" s="35" t="str">
        <f>IFERROR(__xludf.DUMMYFUNCTION("""COMPUTED_VALUE"""),"print-binary-tree")</f>
        <v>print-binary-tree</v>
      </c>
      <c r="D656" s="35" t="b">
        <f>IFERROR(__xludf.DUMMYFUNCTION("""COMPUTED_VALUE"""),FALSE)</f>
        <v>0</v>
      </c>
      <c r="E656" s="35" t="str">
        <f>IFERROR(__xludf.DUMMYFUNCTION("""COMPUTED_VALUE"""),"Medium")</f>
        <v>Medium</v>
      </c>
      <c r="F656" s="35">
        <f>IFERROR(__xludf.DUMMYFUNCTION("""COMPUTED_VALUE"""),160.0)</f>
        <v>160</v>
      </c>
      <c r="G656" s="35">
        <f>IFERROR(__xludf.DUMMYFUNCTION("""COMPUTED_VALUE"""),183.0)</f>
        <v>183</v>
      </c>
      <c r="H656" s="35" t="str">
        <f>IFERROR(__xludf.DUMMYFUNCTION("""COMPUTED_VALUE"""),"Algorithms")</f>
        <v>Algorithms</v>
      </c>
      <c r="I656" s="35">
        <f>IFERROR(__xludf.DUMMYFUNCTION("""COMPUTED_VALUE"""),0.593)</f>
        <v>0.593</v>
      </c>
      <c r="J656" s="35">
        <f>IFERROR(__xludf.DUMMYFUNCTION("""COMPUTED_VALUE"""),655.0)</f>
        <v>655</v>
      </c>
      <c r="K656" s="35" t="b">
        <f>IFERROR(__xludf.DUMMYFUNCTION("""COMPUTED_VALUE"""),FALSE)</f>
        <v>0</v>
      </c>
      <c r="L656" s="35" t="str">
        <f>IFERROR(__xludf.DUMMYFUNCTION("""COMPUTED_VALUE"""),"Tree;Depth-First Search;Breadth-First Search;Binary Tree;")</f>
        <v>Tree;Depth-First Search;Breadth-First Search;Binary Tree;</v>
      </c>
      <c r="M656" s="35" t="b">
        <f>IFERROR(__xludf.DUMMYFUNCTION("""COMPUTED_VALUE"""),FALSE)</f>
        <v>0</v>
      </c>
      <c r="N656" s="35" t="b">
        <f>IFERROR(__xludf.DUMMYFUNCTION("""COMPUTED_VALUE"""),FALSE)</f>
        <v>0</v>
      </c>
      <c r="O656" s="35">
        <f>IFERROR(__xludf.DUMMYFUNCTION("""COMPUTED_VALUE"""),59.2746377425641)</f>
        <v>59.27463774</v>
      </c>
      <c r="P656" s="35">
        <f>IFERROR(__xludf.DUMMYFUNCTION("""COMPUTED_VALUE"""),48965.0)</f>
        <v>48965</v>
      </c>
      <c r="Q656" s="35">
        <f>IFERROR(__xludf.DUMMYFUNCTION("""COMPUTED_VALUE"""),82607.0)</f>
        <v>82607</v>
      </c>
    </row>
    <row r="657">
      <c r="A657" s="35">
        <f>IFERROR(__xludf.DUMMYFUNCTION("""COMPUTED_VALUE"""),656.0)</f>
        <v>656</v>
      </c>
      <c r="B657" s="35" t="str">
        <f>IFERROR(__xludf.DUMMYFUNCTION("""COMPUTED_VALUE"""),"Coin Path")</f>
        <v>Coin Path</v>
      </c>
      <c r="C657" s="35" t="str">
        <f>IFERROR(__xludf.DUMMYFUNCTION("""COMPUTED_VALUE"""),"coin-path")</f>
        <v>coin-path</v>
      </c>
      <c r="D657" s="35" t="b">
        <f>IFERROR(__xludf.DUMMYFUNCTION("""COMPUTED_VALUE"""),TRUE)</f>
        <v>1</v>
      </c>
      <c r="E657" s="35" t="str">
        <f>IFERROR(__xludf.DUMMYFUNCTION("""COMPUTED_VALUE"""),"Hard")</f>
        <v>Hard</v>
      </c>
      <c r="F657" s="35">
        <f>IFERROR(__xludf.DUMMYFUNCTION("""COMPUTED_VALUE"""),216.0)</f>
        <v>216</v>
      </c>
      <c r="G657" s="35">
        <f>IFERROR(__xludf.DUMMYFUNCTION("""COMPUTED_VALUE"""),96.0)</f>
        <v>96</v>
      </c>
      <c r="H657" s="35" t="str">
        <f>IFERROR(__xludf.DUMMYFUNCTION("""COMPUTED_VALUE"""),"Algorithms")</f>
        <v>Algorithms</v>
      </c>
      <c r="I657" s="35">
        <f>IFERROR(__xludf.DUMMYFUNCTION("""COMPUTED_VALUE"""),0.312)</f>
        <v>0.312</v>
      </c>
      <c r="J657" s="35">
        <f>IFERROR(__xludf.DUMMYFUNCTION("""COMPUTED_VALUE"""),656.0)</f>
        <v>656</v>
      </c>
      <c r="K657" s="35" t="b">
        <f>IFERROR(__xludf.DUMMYFUNCTION("""COMPUTED_VALUE"""),TRUE)</f>
        <v>1</v>
      </c>
      <c r="L657" s="35" t="str">
        <f>IFERROR(__xludf.DUMMYFUNCTION("""COMPUTED_VALUE"""),"Array;Dynamic Programming;")</f>
        <v>Array;Dynamic Programming;</v>
      </c>
      <c r="M657" s="35" t="b">
        <f>IFERROR(__xludf.DUMMYFUNCTION("""COMPUTED_VALUE"""),TRUE)</f>
        <v>1</v>
      </c>
      <c r="N657" s="35" t="b">
        <f>IFERROR(__xludf.DUMMYFUNCTION("""COMPUTED_VALUE"""),FALSE)</f>
        <v>0</v>
      </c>
      <c r="O657" s="35">
        <f>IFERROR(__xludf.DUMMYFUNCTION("""COMPUTED_VALUE"""),31.1794116900586)</f>
        <v>31.17941169</v>
      </c>
      <c r="P657" s="35">
        <f>IFERROR(__xludf.DUMMYFUNCTION("""COMPUTED_VALUE"""),12285.0)</f>
        <v>12285</v>
      </c>
      <c r="Q657" s="35">
        <f>IFERROR(__xludf.DUMMYFUNCTION("""COMPUTED_VALUE"""),39401.0)</f>
        <v>39401</v>
      </c>
    </row>
    <row r="658">
      <c r="A658" s="35">
        <f>IFERROR(__xludf.DUMMYFUNCTION("""COMPUTED_VALUE"""),657.0)</f>
        <v>657</v>
      </c>
      <c r="B658" s="35" t="str">
        <f>IFERROR(__xludf.DUMMYFUNCTION("""COMPUTED_VALUE"""),"Robot Return to Origin")</f>
        <v>Robot Return to Origin</v>
      </c>
      <c r="C658" s="35" t="str">
        <f>IFERROR(__xludf.DUMMYFUNCTION("""COMPUTED_VALUE"""),"robot-return-to-origin")</f>
        <v>robot-return-to-origin</v>
      </c>
      <c r="D658" s="35" t="b">
        <f>IFERROR(__xludf.DUMMYFUNCTION("""COMPUTED_VALUE"""),FALSE)</f>
        <v>0</v>
      </c>
      <c r="E658" s="35" t="str">
        <f>IFERROR(__xludf.DUMMYFUNCTION("""COMPUTED_VALUE"""),"Easy")</f>
        <v>Easy</v>
      </c>
      <c r="F658" s="35">
        <f>IFERROR(__xludf.DUMMYFUNCTION("""COMPUTED_VALUE"""),1624.0)</f>
        <v>1624</v>
      </c>
      <c r="G658" s="35">
        <f>IFERROR(__xludf.DUMMYFUNCTION("""COMPUTED_VALUE"""),712.0)</f>
        <v>712</v>
      </c>
      <c r="H658" s="35" t="str">
        <f>IFERROR(__xludf.DUMMYFUNCTION("""COMPUTED_VALUE"""),"Algorithms")</f>
        <v>Algorithms</v>
      </c>
      <c r="I658" s="35">
        <f>IFERROR(__xludf.DUMMYFUNCTION("""COMPUTED_VALUE"""),0.75)</f>
        <v>0.75</v>
      </c>
      <c r="J658" s="35">
        <f>IFERROR(__xludf.DUMMYFUNCTION("""COMPUTED_VALUE"""),657.0)</f>
        <v>657</v>
      </c>
      <c r="K658" s="35" t="b">
        <f>IFERROR(__xludf.DUMMYFUNCTION("""COMPUTED_VALUE"""),FALSE)</f>
        <v>0</v>
      </c>
      <c r="L658" s="35" t="str">
        <f>IFERROR(__xludf.DUMMYFUNCTION("""COMPUTED_VALUE"""),"String;Simulation;")</f>
        <v>String;Simulation;</v>
      </c>
      <c r="M658" s="35" t="b">
        <f>IFERROR(__xludf.DUMMYFUNCTION("""COMPUTED_VALUE"""),TRUE)</f>
        <v>1</v>
      </c>
      <c r="N658" s="35" t="b">
        <f>IFERROR(__xludf.DUMMYFUNCTION("""COMPUTED_VALUE"""),FALSE)</f>
        <v>0</v>
      </c>
      <c r="O658" s="35">
        <f>IFERROR(__xludf.DUMMYFUNCTION("""COMPUTED_VALUE"""),74.9735090719809)</f>
        <v>74.97350907</v>
      </c>
      <c r="P658" s="35">
        <f>IFERROR(__xludf.DUMMYFUNCTION("""COMPUTED_VALUE"""),322638.0)</f>
        <v>322638</v>
      </c>
      <c r="Q658" s="35">
        <f>IFERROR(__xludf.DUMMYFUNCTION("""COMPUTED_VALUE"""),430336.0)</f>
        <v>430336</v>
      </c>
    </row>
    <row r="659">
      <c r="A659" s="35">
        <f>IFERROR(__xludf.DUMMYFUNCTION("""COMPUTED_VALUE"""),658.0)</f>
        <v>658</v>
      </c>
      <c r="B659" s="35" t="str">
        <f>IFERROR(__xludf.DUMMYFUNCTION("""COMPUTED_VALUE"""),"Find K Closest Elements")</f>
        <v>Find K Closest Elements</v>
      </c>
      <c r="C659" s="35" t="str">
        <f>IFERROR(__xludf.DUMMYFUNCTION("""COMPUTED_VALUE"""),"find-k-closest-elements")</f>
        <v>find-k-closest-elements</v>
      </c>
      <c r="D659" s="35" t="b">
        <f>IFERROR(__xludf.DUMMYFUNCTION("""COMPUTED_VALUE"""),FALSE)</f>
        <v>0</v>
      </c>
      <c r="E659" s="35" t="str">
        <f>IFERROR(__xludf.DUMMYFUNCTION("""COMPUTED_VALUE"""),"Medium")</f>
        <v>Medium</v>
      </c>
      <c r="F659" s="35">
        <f>IFERROR(__xludf.DUMMYFUNCTION("""COMPUTED_VALUE"""),3970.0)</f>
        <v>3970</v>
      </c>
      <c r="G659" s="35">
        <f>IFERROR(__xludf.DUMMYFUNCTION("""COMPUTED_VALUE"""),407.0)</f>
        <v>407</v>
      </c>
      <c r="H659" s="35" t="str">
        <f>IFERROR(__xludf.DUMMYFUNCTION("""COMPUTED_VALUE"""),"Algorithms")</f>
        <v>Algorithms</v>
      </c>
      <c r="I659" s="35">
        <f>IFERROR(__xludf.DUMMYFUNCTION("""COMPUTED_VALUE"""),0.443)</f>
        <v>0.443</v>
      </c>
      <c r="J659" s="35">
        <f>IFERROR(__xludf.DUMMYFUNCTION("""COMPUTED_VALUE"""),658.0)</f>
        <v>658</v>
      </c>
      <c r="K659" s="35" t="b">
        <f>IFERROR(__xludf.DUMMYFUNCTION("""COMPUTED_VALUE"""),FALSE)</f>
        <v>0</v>
      </c>
      <c r="L659" s="35" t="str">
        <f>IFERROR(__xludf.DUMMYFUNCTION("""COMPUTED_VALUE"""),"Array;Two Pointers;Binary Search;Sorting;Heap (Priority Queue);")</f>
        <v>Array;Two Pointers;Binary Search;Sorting;Heap (Priority Queue);</v>
      </c>
      <c r="M659" s="35" t="b">
        <f>IFERROR(__xludf.DUMMYFUNCTION("""COMPUTED_VALUE"""),TRUE)</f>
        <v>1</v>
      </c>
      <c r="N659" s="35" t="b">
        <f>IFERROR(__xludf.DUMMYFUNCTION("""COMPUTED_VALUE"""),FALSE)</f>
        <v>0</v>
      </c>
      <c r="O659" s="35">
        <f>IFERROR(__xludf.DUMMYFUNCTION("""COMPUTED_VALUE"""),44.3261462913833)</f>
        <v>44.32614629</v>
      </c>
      <c r="P659" s="35">
        <f>IFERROR(__xludf.DUMMYFUNCTION("""COMPUTED_VALUE"""),266820.0)</f>
        <v>266820</v>
      </c>
      <c r="Q659" s="35">
        <f>IFERROR(__xludf.DUMMYFUNCTION("""COMPUTED_VALUE"""),601951.0)</f>
        <v>601951</v>
      </c>
    </row>
    <row r="660">
      <c r="A660" s="35">
        <f>IFERROR(__xludf.DUMMYFUNCTION("""COMPUTED_VALUE"""),659.0)</f>
        <v>659</v>
      </c>
      <c r="B660" s="35" t="str">
        <f>IFERROR(__xludf.DUMMYFUNCTION("""COMPUTED_VALUE"""),"Split Array into Consecutive Subsequences")</f>
        <v>Split Array into Consecutive Subsequences</v>
      </c>
      <c r="C660" s="35" t="str">
        <f>IFERROR(__xludf.DUMMYFUNCTION("""COMPUTED_VALUE"""),"split-array-into-consecutive-subsequences")</f>
        <v>split-array-into-consecutive-subsequences</v>
      </c>
      <c r="D660" s="35" t="b">
        <f>IFERROR(__xludf.DUMMYFUNCTION("""COMPUTED_VALUE"""),FALSE)</f>
        <v>0</v>
      </c>
      <c r="E660" s="35" t="str">
        <f>IFERROR(__xludf.DUMMYFUNCTION("""COMPUTED_VALUE"""),"Medium")</f>
        <v>Medium</v>
      </c>
      <c r="F660" s="35">
        <f>IFERROR(__xludf.DUMMYFUNCTION("""COMPUTED_VALUE"""),2049.0)</f>
        <v>2049</v>
      </c>
      <c r="G660" s="35">
        <f>IFERROR(__xludf.DUMMYFUNCTION("""COMPUTED_VALUE"""),543.0)</f>
        <v>543</v>
      </c>
      <c r="H660" s="35" t="str">
        <f>IFERROR(__xludf.DUMMYFUNCTION("""COMPUTED_VALUE"""),"Algorithms")</f>
        <v>Algorithms</v>
      </c>
      <c r="I660" s="35">
        <f>IFERROR(__xludf.DUMMYFUNCTION("""COMPUTED_VALUE"""),0.455)</f>
        <v>0.455</v>
      </c>
      <c r="J660" s="35">
        <f>IFERROR(__xludf.DUMMYFUNCTION("""COMPUTED_VALUE"""),659.0)</f>
        <v>659</v>
      </c>
      <c r="K660" s="35" t="b">
        <f>IFERROR(__xludf.DUMMYFUNCTION("""COMPUTED_VALUE"""),FALSE)</f>
        <v>0</v>
      </c>
      <c r="L660" s="35" t="str">
        <f>IFERROR(__xludf.DUMMYFUNCTION("""COMPUTED_VALUE"""),"Array;Hash Table;Greedy;Heap (Priority Queue);")</f>
        <v>Array;Hash Table;Greedy;Heap (Priority Queue);</v>
      </c>
      <c r="M660" s="35" t="b">
        <f>IFERROR(__xludf.DUMMYFUNCTION("""COMPUTED_VALUE"""),TRUE)</f>
        <v>1</v>
      </c>
      <c r="N660" s="35" t="b">
        <f>IFERROR(__xludf.DUMMYFUNCTION("""COMPUTED_VALUE"""),FALSE)</f>
        <v>0</v>
      </c>
      <c r="O660" s="35">
        <f>IFERROR(__xludf.DUMMYFUNCTION("""COMPUTED_VALUE"""),45.4992466232578)</f>
        <v>45.49924662</v>
      </c>
      <c r="P660" s="35">
        <f>IFERROR(__xludf.DUMMYFUNCTION("""COMPUTED_VALUE"""),67640.0)</f>
        <v>67640</v>
      </c>
      <c r="Q660" s="35">
        <f>IFERROR(__xludf.DUMMYFUNCTION("""COMPUTED_VALUE"""),148661.0)</f>
        <v>148661</v>
      </c>
    </row>
    <row r="661">
      <c r="A661" s="35">
        <f>IFERROR(__xludf.DUMMYFUNCTION("""COMPUTED_VALUE"""),660.0)</f>
        <v>660</v>
      </c>
      <c r="B661" s="35" t="str">
        <f>IFERROR(__xludf.DUMMYFUNCTION("""COMPUTED_VALUE"""),"Remove 9")</f>
        <v>Remove 9</v>
      </c>
      <c r="C661" s="35" t="str">
        <f>IFERROR(__xludf.DUMMYFUNCTION("""COMPUTED_VALUE"""),"remove-9")</f>
        <v>remove-9</v>
      </c>
      <c r="D661" s="35" t="b">
        <f>IFERROR(__xludf.DUMMYFUNCTION("""COMPUTED_VALUE"""),TRUE)</f>
        <v>1</v>
      </c>
      <c r="E661" s="35" t="str">
        <f>IFERROR(__xludf.DUMMYFUNCTION("""COMPUTED_VALUE"""),"Hard")</f>
        <v>Hard</v>
      </c>
      <c r="F661" s="35">
        <f>IFERROR(__xludf.DUMMYFUNCTION("""COMPUTED_VALUE"""),133.0)</f>
        <v>133</v>
      </c>
      <c r="G661" s="35">
        <f>IFERROR(__xludf.DUMMYFUNCTION("""COMPUTED_VALUE"""),165.0)</f>
        <v>165</v>
      </c>
      <c r="H661" s="35" t="str">
        <f>IFERROR(__xludf.DUMMYFUNCTION("""COMPUTED_VALUE"""),"Algorithms")</f>
        <v>Algorithms</v>
      </c>
      <c r="I661" s="35">
        <f>IFERROR(__xludf.DUMMYFUNCTION("""COMPUTED_VALUE"""),0.554)</f>
        <v>0.554</v>
      </c>
      <c r="J661" s="35">
        <f>IFERROR(__xludf.DUMMYFUNCTION("""COMPUTED_VALUE"""),660.0)</f>
        <v>660</v>
      </c>
      <c r="K661" s="35" t="b">
        <f>IFERROR(__xludf.DUMMYFUNCTION("""COMPUTED_VALUE"""),TRUE)</f>
        <v>1</v>
      </c>
      <c r="L661" s="35" t="str">
        <f>IFERROR(__xludf.DUMMYFUNCTION("""COMPUTED_VALUE"""),"Math;")</f>
        <v>Math;</v>
      </c>
      <c r="M661" s="35" t="b">
        <f>IFERROR(__xludf.DUMMYFUNCTION("""COMPUTED_VALUE"""),TRUE)</f>
        <v>1</v>
      </c>
      <c r="N661" s="35" t="b">
        <f>IFERROR(__xludf.DUMMYFUNCTION("""COMPUTED_VALUE"""),FALSE)</f>
        <v>0</v>
      </c>
      <c r="O661" s="35">
        <f>IFERROR(__xludf.DUMMYFUNCTION("""COMPUTED_VALUE"""),55.4474459096146)</f>
        <v>55.44744591</v>
      </c>
      <c r="P661" s="35">
        <f>IFERROR(__xludf.DUMMYFUNCTION("""COMPUTED_VALUE"""),8662.0)</f>
        <v>8662</v>
      </c>
      <c r="Q661" s="35">
        <f>IFERROR(__xludf.DUMMYFUNCTION("""COMPUTED_VALUE"""),15622.0)</f>
        <v>15622</v>
      </c>
    </row>
    <row r="662">
      <c r="A662" s="35">
        <f>IFERROR(__xludf.DUMMYFUNCTION("""COMPUTED_VALUE"""),661.0)</f>
        <v>661</v>
      </c>
      <c r="B662" s="35" t="str">
        <f>IFERROR(__xludf.DUMMYFUNCTION("""COMPUTED_VALUE"""),"Image Smoother")</f>
        <v>Image Smoother</v>
      </c>
      <c r="C662" s="35" t="str">
        <f>IFERROR(__xludf.DUMMYFUNCTION("""COMPUTED_VALUE"""),"image-smoother")</f>
        <v>image-smoother</v>
      </c>
      <c r="D662" s="35" t="b">
        <f>IFERROR(__xludf.DUMMYFUNCTION("""COMPUTED_VALUE"""),FALSE)</f>
        <v>0</v>
      </c>
      <c r="E662" s="35" t="str">
        <f>IFERROR(__xludf.DUMMYFUNCTION("""COMPUTED_VALUE"""),"Easy")</f>
        <v>Easy</v>
      </c>
      <c r="F662" s="35">
        <f>IFERROR(__xludf.DUMMYFUNCTION("""COMPUTED_VALUE"""),375.0)</f>
        <v>375</v>
      </c>
      <c r="G662" s="35">
        <f>IFERROR(__xludf.DUMMYFUNCTION("""COMPUTED_VALUE"""),1560.0)</f>
        <v>1560</v>
      </c>
      <c r="H662" s="35" t="str">
        <f>IFERROR(__xludf.DUMMYFUNCTION("""COMPUTED_VALUE"""),"Algorithms")</f>
        <v>Algorithms</v>
      </c>
      <c r="I662" s="35">
        <f>IFERROR(__xludf.DUMMYFUNCTION("""COMPUTED_VALUE"""),0.54)</f>
        <v>0.54</v>
      </c>
      <c r="J662" s="35">
        <f>IFERROR(__xludf.DUMMYFUNCTION("""COMPUTED_VALUE"""),661.0)</f>
        <v>661</v>
      </c>
      <c r="K662" s="35" t="b">
        <f>IFERROR(__xludf.DUMMYFUNCTION("""COMPUTED_VALUE"""),FALSE)</f>
        <v>0</v>
      </c>
      <c r="L662" s="35" t="str">
        <f>IFERROR(__xludf.DUMMYFUNCTION("""COMPUTED_VALUE"""),"Array;Matrix;")</f>
        <v>Array;Matrix;</v>
      </c>
      <c r="M662" s="35" t="b">
        <f>IFERROR(__xludf.DUMMYFUNCTION("""COMPUTED_VALUE"""),FALSE)</f>
        <v>0</v>
      </c>
      <c r="N662" s="35" t="b">
        <f>IFERROR(__xludf.DUMMYFUNCTION("""COMPUTED_VALUE"""),FALSE)</f>
        <v>0</v>
      </c>
      <c r="O662" s="35">
        <f>IFERROR(__xludf.DUMMYFUNCTION("""COMPUTED_VALUE"""),53.9545278720935)</f>
        <v>53.95452787</v>
      </c>
      <c r="P662" s="35">
        <f>IFERROR(__xludf.DUMMYFUNCTION("""COMPUTED_VALUE"""),62767.0)</f>
        <v>62767</v>
      </c>
      <c r="Q662" s="35">
        <f>IFERROR(__xludf.DUMMYFUNCTION("""COMPUTED_VALUE"""),116334.0)</f>
        <v>116334</v>
      </c>
    </row>
    <row r="663">
      <c r="A663" s="35">
        <f>IFERROR(__xludf.DUMMYFUNCTION("""COMPUTED_VALUE"""),662.0)</f>
        <v>662</v>
      </c>
      <c r="B663" s="35" t="str">
        <f>IFERROR(__xludf.DUMMYFUNCTION("""COMPUTED_VALUE"""),"Maximum Width of Binary Tree")</f>
        <v>Maximum Width of Binary Tree</v>
      </c>
      <c r="C663" s="35" t="str">
        <f>IFERROR(__xludf.DUMMYFUNCTION("""COMPUTED_VALUE"""),"maximum-width-of-binary-tree")</f>
        <v>maximum-width-of-binary-tree</v>
      </c>
      <c r="D663" s="35" t="b">
        <f>IFERROR(__xludf.DUMMYFUNCTION("""COMPUTED_VALUE"""),FALSE)</f>
        <v>0</v>
      </c>
      <c r="E663" s="35" t="str">
        <f>IFERROR(__xludf.DUMMYFUNCTION("""COMPUTED_VALUE"""),"Medium")</f>
        <v>Medium</v>
      </c>
      <c r="F663" s="35">
        <f>IFERROR(__xludf.DUMMYFUNCTION("""COMPUTED_VALUE"""),4291.0)</f>
        <v>4291</v>
      </c>
      <c r="G663" s="35">
        <f>IFERROR(__xludf.DUMMYFUNCTION("""COMPUTED_VALUE"""),693.0)</f>
        <v>693</v>
      </c>
      <c r="H663" s="35" t="str">
        <f>IFERROR(__xludf.DUMMYFUNCTION("""COMPUTED_VALUE"""),"Algorithms")</f>
        <v>Algorithms</v>
      </c>
      <c r="I663" s="35">
        <f>IFERROR(__xludf.DUMMYFUNCTION("""COMPUTED_VALUE"""),0.402)</f>
        <v>0.402</v>
      </c>
      <c r="J663" s="35">
        <f>IFERROR(__xludf.DUMMYFUNCTION("""COMPUTED_VALUE"""),662.0)</f>
        <v>662</v>
      </c>
      <c r="K663" s="35" t="b">
        <f>IFERROR(__xludf.DUMMYFUNCTION("""COMPUTED_VALUE"""),FALSE)</f>
        <v>0</v>
      </c>
      <c r="L663" s="35" t="str">
        <f>IFERROR(__xludf.DUMMYFUNCTION("""COMPUTED_VALUE"""),"Tree;Depth-First Search;Breadth-First Search;Binary Tree;")</f>
        <v>Tree;Depth-First Search;Breadth-First Search;Binary Tree;</v>
      </c>
      <c r="M663" s="35" t="b">
        <f>IFERROR(__xludf.DUMMYFUNCTION("""COMPUTED_VALUE"""),TRUE)</f>
        <v>1</v>
      </c>
      <c r="N663" s="35" t="b">
        <f>IFERROR(__xludf.DUMMYFUNCTION("""COMPUTED_VALUE"""),FALSE)</f>
        <v>0</v>
      </c>
      <c r="O663" s="35">
        <f>IFERROR(__xludf.DUMMYFUNCTION("""COMPUTED_VALUE"""),40.151125047126)</f>
        <v>40.15112505</v>
      </c>
      <c r="P663" s="35">
        <f>IFERROR(__xludf.DUMMYFUNCTION("""COMPUTED_VALUE"""),174656.0)</f>
        <v>174656</v>
      </c>
      <c r="Q663" s="35">
        <f>IFERROR(__xludf.DUMMYFUNCTION("""COMPUTED_VALUE"""),434993.0)</f>
        <v>434993</v>
      </c>
    </row>
    <row r="664">
      <c r="A664" s="35">
        <f>IFERROR(__xludf.DUMMYFUNCTION("""COMPUTED_VALUE"""),663.0)</f>
        <v>663</v>
      </c>
      <c r="B664" s="35" t="str">
        <f>IFERROR(__xludf.DUMMYFUNCTION("""COMPUTED_VALUE"""),"Equal Tree Partition")</f>
        <v>Equal Tree Partition</v>
      </c>
      <c r="C664" s="35" t="str">
        <f>IFERROR(__xludf.DUMMYFUNCTION("""COMPUTED_VALUE"""),"equal-tree-partition")</f>
        <v>equal-tree-partition</v>
      </c>
      <c r="D664" s="35" t="b">
        <f>IFERROR(__xludf.DUMMYFUNCTION("""COMPUTED_VALUE"""),TRUE)</f>
        <v>1</v>
      </c>
      <c r="E664" s="35" t="str">
        <f>IFERROR(__xludf.DUMMYFUNCTION("""COMPUTED_VALUE"""),"Medium")</f>
        <v>Medium</v>
      </c>
      <c r="F664" s="35">
        <f>IFERROR(__xludf.DUMMYFUNCTION("""COMPUTED_VALUE"""),418.0)</f>
        <v>418</v>
      </c>
      <c r="G664" s="35">
        <f>IFERROR(__xludf.DUMMYFUNCTION("""COMPUTED_VALUE"""),32.0)</f>
        <v>32</v>
      </c>
      <c r="H664" s="35" t="str">
        <f>IFERROR(__xludf.DUMMYFUNCTION("""COMPUTED_VALUE"""),"Algorithms")</f>
        <v>Algorithms</v>
      </c>
      <c r="I664" s="35">
        <f>IFERROR(__xludf.DUMMYFUNCTION("""COMPUTED_VALUE"""),0.411)</f>
        <v>0.411</v>
      </c>
      <c r="J664" s="35">
        <f>IFERROR(__xludf.DUMMYFUNCTION("""COMPUTED_VALUE"""),663.0)</f>
        <v>663</v>
      </c>
      <c r="K664" s="35" t="b">
        <f>IFERROR(__xludf.DUMMYFUNCTION("""COMPUTED_VALUE"""),TRUE)</f>
        <v>1</v>
      </c>
      <c r="L664" s="35" t="str">
        <f>IFERROR(__xludf.DUMMYFUNCTION("""COMPUTED_VALUE"""),"Tree;Depth-First Search;Binary Tree;")</f>
        <v>Tree;Depth-First Search;Binary Tree;</v>
      </c>
      <c r="M664" s="35" t="b">
        <f>IFERROR(__xludf.DUMMYFUNCTION("""COMPUTED_VALUE"""),TRUE)</f>
        <v>1</v>
      </c>
      <c r="N664" s="35" t="b">
        <f>IFERROR(__xludf.DUMMYFUNCTION("""COMPUTED_VALUE"""),FALSE)</f>
        <v>0</v>
      </c>
      <c r="O664" s="35">
        <f>IFERROR(__xludf.DUMMYFUNCTION("""COMPUTED_VALUE"""),41.1377117348498)</f>
        <v>41.13771173</v>
      </c>
      <c r="P664" s="35">
        <f>IFERROR(__xludf.DUMMYFUNCTION("""COMPUTED_VALUE"""),26909.0)</f>
        <v>26909</v>
      </c>
      <c r="Q664" s="35">
        <f>IFERROR(__xludf.DUMMYFUNCTION("""COMPUTED_VALUE"""),65412.0)</f>
        <v>65412</v>
      </c>
    </row>
    <row r="665">
      <c r="A665" s="35">
        <f>IFERROR(__xludf.DUMMYFUNCTION("""COMPUTED_VALUE"""),664.0)</f>
        <v>664</v>
      </c>
      <c r="B665" s="35" t="str">
        <f>IFERROR(__xludf.DUMMYFUNCTION("""COMPUTED_VALUE"""),"Strange Printer")</f>
        <v>Strange Printer</v>
      </c>
      <c r="C665" s="35" t="str">
        <f>IFERROR(__xludf.DUMMYFUNCTION("""COMPUTED_VALUE"""),"strange-printer")</f>
        <v>strange-printer</v>
      </c>
      <c r="D665" s="35" t="b">
        <f>IFERROR(__xludf.DUMMYFUNCTION("""COMPUTED_VALUE"""),FALSE)</f>
        <v>0</v>
      </c>
      <c r="E665" s="35" t="str">
        <f>IFERROR(__xludf.DUMMYFUNCTION("""COMPUTED_VALUE"""),"Hard")</f>
        <v>Hard</v>
      </c>
      <c r="F665" s="35">
        <f>IFERROR(__xludf.DUMMYFUNCTION("""COMPUTED_VALUE"""),792.0)</f>
        <v>792</v>
      </c>
      <c r="G665" s="35">
        <f>IFERROR(__xludf.DUMMYFUNCTION("""COMPUTED_VALUE"""),73.0)</f>
        <v>73</v>
      </c>
      <c r="H665" s="35" t="str">
        <f>IFERROR(__xludf.DUMMYFUNCTION("""COMPUTED_VALUE"""),"Algorithms")</f>
        <v>Algorithms</v>
      </c>
      <c r="I665" s="35">
        <f>IFERROR(__xludf.DUMMYFUNCTION("""COMPUTED_VALUE"""),0.454)</f>
        <v>0.454</v>
      </c>
      <c r="J665" s="35">
        <f>IFERROR(__xludf.DUMMYFUNCTION("""COMPUTED_VALUE"""),664.0)</f>
        <v>664</v>
      </c>
      <c r="K665" s="35" t="b">
        <f>IFERROR(__xludf.DUMMYFUNCTION("""COMPUTED_VALUE"""),FALSE)</f>
        <v>0</v>
      </c>
      <c r="L665" s="35" t="str">
        <f>IFERROR(__xludf.DUMMYFUNCTION("""COMPUTED_VALUE"""),"String;Dynamic Programming;")</f>
        <v>String;Dynamic Programming;</v>
      </c>
      <c r="M665" s="35" t="b">
        <f>IFERROR(__xludf.DUMMYFUNCTION("""COMPUTED_VALUE"""),FALSE)</f>
        <v>0</v>
      </c>
      <c r="N665" s="35" t="b">
        <f>IFERROR(__xludf.DUMMYFUNCTION("""COMPUTED_VALUE"""),FALSE)</f>
        <v>0</v>
      </c>
      <c r="O665" s="35">
        <f>IFERROR(__xludf.DUMMYFUNCTION("""COMPUTED_VALUE"""),45.4091564527757)</f>
        <v>45.40915645</v>
      </c>
      <c r="P665" s="35">
        <f>IFERROR(__xludf.DUMMYFUNCTION("""COMPUTED_VALUE"""),25193.0)</f>
        <v>25193</v>
      </c>
      <c r="Q665" s="35">
        <f>IFERROR(__xludf.DUMMYFUNCTION("""COMPUTED_VALUE"""),55480.0)</f>
        <v>55480</v>
      </c>
    </row>
    <row r="666">
      <c r="A666" s="35">
        <f>IFERROR(__xludf.DUMMYFUNCTION("""COMPUTED_VALUE"""),665.0)</f>
        <v>665</v>
      </c>
      <c r="B666" s="35" t="str">
        <f>IFERROR(__xludf.DUMMYFUNCTION("""COMPUTED_VALUE"""),"Non-decreasing Array")</f>
        <v>Non-decreasing Array</v>
      </c>
      <c r="C666" s="35" t="str">
        <f>IFERROR(__xludf.DUMMYFUNCTION("""COMPUTED_VALUE"""),"non-decreasing-array")</f>
        <v>non-decreasing-array</v>
      </c>
      <c r="D666" s="35" t="b">
        <f>IFERROR(__xludf.DUMMYFUNCTION("""COMPUTED_VALUE"""),FALSE)</f>
        <v>0</v>
      </c>
      <c r="E666" s="35" t="str">
        <f>IFERROR(__xludf.DUMMYFUNCTION("""COMPUTED_VALUE"""),"Medium")</f>
        <v>Medium</v>
      </c>
      <c r="F666" s="35">
        <f>IFERROR(__xludf.DUMMYFUNCTION("""COMPUTED_VALUE"""),3531.0)</f>
        <v>3531</v>
      </c>
      <c r="G666" s="35">
        <f>IFERROR(__xludf.DUMMYFUNCTION("""COMPUTED_VALUE"""),663.0)</f>
        <v>663</v>
      </c>
      <c r="H666" s="35" t="str">
        <f>IFERROR(__xludf.DUMMYFUNCTION("""COMPUTED_VALUE"""),"Algorithms")</f>
        <v>Algorithms</v>
      </c>
      <c r="I666" s="35">
        <f>IFERROR(__xludf.DUMMYFUNCTION("""COMPUTED_VALUE"""),0.214)</f>
        <v>0.214</v>
      </c>
      <c r="J666" s="35">
        <f>IFERROR(__xludf.DUMMYFUNCTION("""COMPUTED_VALUE"""),665.0)</f>
        <v>665</v>
      </c>
      <c r="K666" s="35" t="b">
        <f>IFERROR(__xludf.DUMMYFUNCTION("""COMPUTED_VALUE"""),FALSE)</f>
        <v>0</v>
      </c>
      <c r="L666" s="35" t="str">
        <f>IFERROR(__xludf.DUMMYFUNCTION("""COMPUTED_VALUE"""),"Array;")</f>
        <v>Array;</v>
      </c>
      <c r="M666" s="35" t="b">
        <f>IFERROR(__xludf.DUMMYFUNCTION("""COMPUTED_VALUE"""),TRUE)</f>
        <v>1</v>
      </c>
      <c r="N666" s="35" t="b">
        <f>IFERROR(__xludf.DUMMYFUNCTION("""COMPUTED_VALUE"""),FALSE)</f>
        <v>0</v>
      </c>
      <c r="O666" s="35">
        <f>IFERROR(__xludf.DUMMYFUNCTION("""COMPUTED_VALUE"""),21.4371541341661)</f>
        <v>21.43715413</v>
      </c>
      <c r="P666" s="35">
        <f>IFERROR(__xludf.DUMMYFUNCTION("""COMPUTED_VALUE"""),169130.0)</f>
        <v>169130</v>
      </c>
      <c r="Q666" s="35">
        <f>IFERROR(__xludf.DUMMYFUNCTION("""COMPUTED_VALUE"""),788954.0)</f>
        <v>788954</v>
      </c>
    </row>
    <row r="667">
      <c r="A667" s="35">
        <f>IFERROR(__xludf.DUMMYFUNCTION("""COMPUTED_VALUE"""),666.0)</f>
        <v>666</v>
      </c>
      <c r="B667" s="35" t="str">
        <f>IFERROR(__xludf.DUMMYFUNCTION("""COMPUTED_VALUE"""),"Path Sum IV")</f>
        <v>Path Sum IV</v>
      </c>
      <c r="C667" s="35" t="str">
        <f>IFERROR(__xludf.DUMMYFUNCTION("""COMPUTED_VALUE"""),"path-sum-iv")</f>
        <v>path-sum-iv</v>
      </c>
      <c r="D667" s="35" t="b">
        <f>IFERROR(__xludf.DUMMYFUNCTION("""COMPUTED_VALUE"""),TRUE)</f>
        <v>1</v>
      </c>
      <c r="E667" s="35" t="str">
        <f>IFERROR(__xludf.DUMMYFUNCTION("""COMPUTED_VALUE"""),"Medium")</f>
        <v>Medium</v>
      </c>
      <c r="F667" s="35">
        <f>IFERROR(__xludf.DUMMYFUNCTION("""COMPUTED_VALUE"""),276.0)</f>
        <v>276</v>
      </c>
      <c r="G667" s="35">
        <f>IFERROR(__xludf.DUMMYFUNCTION("""COMPUTED_VALUE"""),368.0)</f>
        <v>368</v>
      </c>
      <c r="H667" s="35" t="str">
        <f>IFERROR(__xludf.DUMMYFUNCTION("""COMPUTED_VALUE"""),"Algorithms")</f>
        <v>Algorithms</v>
      </c>
      <c r="I667" s="35">
        <f>IFERROR(__xludf.DUMMYFUNCTION("""COMPUTED_VALUE"""),0.584)</f>
        <v>0.584</v>
      </c>
      <c r="J667" s="35">
        <f>IFERROR(__xludf.DUMMYFUNCTION("""COMPUTED_VALUE"""),666.0)</f>
        <v>666</v>
      </c>
      <c r="K667" s="35" t="b">
        <f>IFERROR(__xludf.DUMMYFUNCTION("""COMPUTED_VALUE"""),TRUE)</f>
        <v>1</v>
      </c>
      <c r="L667" s="35" t="str">
        <f>IFERROR(__xludf.DUMMYFUNCTION("""COMPUTED_VALUE"""),"Array;Tree;Depth-First Search;Binary Tree;")</f>
        <v>Array;Tree;Depth-First Search;Binary Tree;</v>
      </c>
      <c r="M667" s="35" t="b">
        <f>IFERROR(__xludf.DUMMYFUNCTION("""COMPUTED_VALUE"""),TRUE)</f>
        <v>1</v>
      </c>
      <c r="N667" s="35" t="b">
        <f>IFERROR(__xludf.DUMMYFUNCTION("""COMPUTED_VALUE"""),FALSE)</f>
        <v>0</v>
      </c>
      <c r="O667" s="35">
        <f>IFERROR(__xludf.DUMMYFUNCTION("""COMPUTED_VALUE"""),58.4493651475188)</f>
        <v>58.44936515</v>
      </c>
      <c r="P667" s="35">
        <f>IFERROR(__xludf.DUMMYFUNCTION("""COMPUTED_VALUE"""),19058.0)</f>
        <v>19058</v>
      </c>
      <c r="Q667" s="35">
        <f>IFERROR(__xludf.DUMMYFUNCTION("""COMPUTED_VALUE"""),32606.0)</f>
        <v>32606</v>
      </c>
    </row>
    <row r="668">
      <c r="A668" s="35">
        <f>IFERROR(__xludf.DUMMYFUNCTION("""COMPUTED_VALUE"""),667.0)</f>
        <v>667</v>
      </c>
      <c r="B668" s="35" t="str">
        <f>IFERROR(__xludf.DUMMYFUNCTION("""COMPUTED_VALUE"""),"Beautiful Arrangement II")</f>
        <v>Beautiful Arrangement II</v>
      </c>
      <c r="C668" s="35" t="str">
        <f>IFERROR(__xludf.DUMMYFUNCTION("""COMPUTED_VALUE"""),"beautiful-arrangement-ii")</f>
        <v>beautiful-arrangement-ii</v>
      </c>
      <c r="D668" s="35" t="b">
        <f>IFERROR(__xludf.DUMMYFUNCTION("""COMPUTED_VALUE"""),FALSE)</f>
        <v>0</v>
      </c>
      <c r="E668" s="35" t="str">
        <f>IFERROR(__xludf.DUMMYFUNCTION("""COMPUTED_VALUE"""),"Medium")</f>
        <v>Medium</v>
      </c>
      <c r="F668" s="35">
        <f>IFERROR(__xludf.DUMMYFUNCTION("""COMPUTED_VALUE"""),641.0)</f>
        <v>641</v>
      </c>
      <c r="G668" s="35">
        <f>IFERROR(__xludf.DUMMYFUNCTION("""COMPUTED_VALUE"""),950.0)</f>
        <v>950</v>
      </c>
      <c r="H668" s="35" t="str">
        <f>IFERROR(__xludf.DUMMYFUNCTION("""COMPUTED_VALUE"""),"Algorithms")</f>
        <v>Algorithms</v>
      </c>
      <c r="I668" s="35">
        <f>IFERROR(__xludf.DUMMYFUNCTION("""COMPUTED_VALUE"""),0.593)</f>
        <v>0.593</v>
      </c>
      <c r="J668" s="35">
        <f>IFERROR(__xludf.DUMMYFUNCTION("""COMPUTED_VALUE"""),667.0)</f>
        <v>667</v>
      </c>
      <c r="K668" s="35" t="b">
        <f>IFERROR(__xludf.DUMMYFUNCTION("""COMPUTED_VALUE"""),FALSE)</f>
        <v>0</v>
      </c>
      <c r="L668" s="35" t="str">
        <f>IFERROR(__xludf.DUMMYFUNCTION("""COMPUTED_VALUE"""),"Array;Math;")</f>
        <v>Array;Math;</v>
      </c>
      <c r="M668" s="35" t="b">
        <f>IFERROR(__xludf.DUMMYFUNCTION("""COMPUTED_VALUE"""),TRUE)</f>
        <v>1</v>
      </c>
      <c r="N668" s="35" t="b">
        <f>IFERROR(__xludf.DUMMYFUNCTION("""COMPUTED_VALUE"""),FALSE)</f>
        <v>0</v>
      </c>
      <c r="O668" s="35">
        <f>IFERROR(__xludf.DUMMYFUNCTION("""COMPUTED_VALUE"""),59.2763693748727)</f>
        <v>59.27636937</v>
      </c>
      <c r="P668" s="35">
        <f>IFERROR(__xludf.DUMMYFUNCTION("""COMPUTED_VALUE"""),46577.0)</f>
        <v>46577</v>
      </c>
      <c r="Q668" s="35">
        <f>IFERROR(__xludf.DUMMYFUNCTION("""COMPUTED_VALUE"""),78576.0)</f>
        <v>78576</v>
      </c>
    </row>
    <row r="669">
      <c r="A669" s="35">
        <f>IFERROR(__xludf.DUMMYFUNCTION("""COMPUTED_VALUE"""),668.0)</f>
        <v>668</v>
      </c>
      <c r="B669" s="35" t="str">
        <f>IFERROR(__xludf.DUMMYFUNCTION("""COMPUTED_VALUE"""),"Kth Smallest Number in Multiplication Table")</f>
        <v>Kth Smallest Number in Multiplication Table</v>
      </c>
      <c r="C669" s="35" t="str">
        <f>IFERROR(__xludf.DUMMYFUNCTION("""COMPUTED_VALUE"""),"kth-smallest-number-in-multiplication-table")</f>
        <v>kth-smallest-number-in-multiplication-table</v>
      </c>
      <c r="D669" s="35" t="b">
        <f>IFERROR(__xludf.DUMMYFUNCTION("""COMPUTED_VALUE"""),FALSE)</f>
        <v>0</v>
      </c>
      <c r="E669" s="35" t="str">
        <f>IFERROR(__xludf.DUMMYFUNCTION("""COMPUTED_VALUE"""),"Hard")</f>
        <v>Hard</v>
      </c>
      <c r="F669" s="35">
        <f>IFERROR(__xludf.DUMMYFUNCTION("""COMPUTED_VALUE"""),1558.0)</f>
        <v>1558</v>
      </c>
      <c r="G669" s="35">
        <f>IFERROR(__xludf.DUMMYFUNCTION("""COMPUTED_VALUE"""),44.0)</f>
        <v>44</v>
      </c>
      <c r="H669" s="35" t="str">
        <f>IFERROR(__xludf.DUMMYFUNCTION("""COMPUTED_VALUE"""),"Algorithms")</f>
        <v>Algorithms</v>
      </c>
      <c r="I669" s="35">
        <f>IFERROR(__xludf.DUMMYFUNCTION("""COMPUTED_VALUE"""),0.509)</f>
        <v>0.509</v>
      </c>
      <c r="J669" s="35">
        <f>IFERROR(__xludf.DUMMYFUNCTION("""COMPUTED_VALUE"""),668.0)</f>
        <v>668</v>
      </c>
      <c r="K669" s="35" t="b">
        <f>IFERROR(__xludf.DUMMYFUNCTION("""COMPUTED_VALUE"""),FALSE)</f>
        <v>0</v>
      </c>
      <c r="L669" s="35" t="str">
        <f>IFERROR(__xludf.DUMMYFUNCTION("""COMPUTED_VALUE"""),"Binary Search;")</f>
        <v>Binary Search;</v>
      </c>
      <c r="M669" s="35" t="b">
        <f>IFERROR(__xludf.DUMMYFUNCTION("""COMPUTED_VALUE"""),TRUE)</f>
        <v>1</v>
      </c>
      <c r="N669" s="35" t="b">
        <f>IFERROR(__xludf.DUMMYFUNCTION("""COMPUTED_VALUE"""),FALSE)</f>
        <v>0</v>
      </c>
      <c r="O669" s="35">
        <f>IFERROR(__xludf.DUMMYFUNCTION("""COMPUTED_VALUE"""),50.891245365416)</f>
        <v>50.89124537</v>
      </c>
      <c r="P669" s="35">
        <f>IFERROR(__xludf.DUMMYFUNCTION("""COMPUTED_VALUE"""),47080.0)</f>
        <v>47080</v>
      </c>
      <c r="Q669" s="35">
        <f>IFERROR(__xludf.DUMMYFUNCTION("""COMPUTED_VALUE"""),92511.0)</f>
        <v>92511</v>
      </c>
    </row>
    <row r="670">
      <c r="A670" s="35">
        <f>IFERROR(__xludf.DUMMYFUNCTION("""COMPUTED_VALUE"""),669.0)</f>
        <v>669</v>
      </c>
      <c r="B670" s="35" t="str">
        <f>IFERROR(__xludf.DUMMYFUNCTION("""COMPUTED_VALUE"""),"Trim a Binary Search Tree")</f>
        <v>Trim a Binary Search Tree</v>
      </c>
      <c r="C670" s="35" t="str">
        <f>IFERROR(__xludf.DUMMYFUNCTION("""COMPUTED_VALUE"""),"trim-a-binary-search-tree")</f>
        <v>trim-a-binary-search-tree</v>
      </c>
      <c r="D670" s="35" t="b">
        <f>IFERROR(__xludf.DUMMYFUNCTION("""COMPUTED_VALUE"""),FALSE)</f>
        <v>0</v>
      </c>
      <c r="E670" s="35" t="str">
        <f>IFERROR(__xludf.DUMMYFUNCTION("""COMPUTED_VALUE"""),"Medium")</f>
        <v>Medium</v>
      </c>
      <c r="F670" s="35">
        <f>IFERROR(__xludf.DUMMYFUNCTION("""COMPUTED_VALUE"""),3527.0)</f>
        <v>3527</v>
      </c>
      <c r="G670" s="35">
        <f>IFERROR(__xludf.DUMMYFUNCTION("""COMPUTED_VALUE"""),216.0)</f>
        <v>216</v>
      </c>
      <c r="H670" s="35" t="str">
        <f>IFERROR(__xludf.DUMMYFUNCTION("""COMPUTED_VALUE"""),"Algorithms")</f>
        <v>Algorithms</v>
      </c>
      <c r="I670" s="35">
        <f>IFERROR(__xludf.DUMMYFUNCTION("""COMPUTED_VALUE"""),0.646)</f>
        <v>0.646</v>
      </c>
      <c r="J670" s="35">
        <f>IFERROR(__xludf.DUMMYFUNCTION("""COMPUTED_VALUE"""),669.0)</f>
        <v>669</v>
      </c>
      <c r="K670" s="35" t="b">
        <f>IFERROR(__xludf.DUMMYFUNCTION("""COMPUTED_VALUE"""),FALSE)</f>
        <v>0</v>
      </c>
      <c r="L670" s="35" t="str">
        <f>IFERROR(__xludf.DUMMYFUNCTION("""COMPUTED_VALUE"""),"Tree;Depth-First Search;Binary Search Tree;Binary Tree;")</f>
        <v>Tree;Depth-First Search;Binary Search Tree;Binary Tree;</v>
      </c>
      <c r="M670" s="35" t="b">
        <f>IFERROR(__xludf.DUMMYFUNCTION("""COMPUTED_VALUE"""),TRUE)</f>
        <v>1</v>
      </c>
      <c r="N670" s="35" t="b">
        <f>IFERROR(__xludf.DUMMYFUNCTION("""COMPUTED_VALUE"""),FALSE)</f>
        <v>0</v>
      </c>
      <c r="O670" s="35">
        <f>IFERROR(__xludf.DUMMYFUNCTION("""COMPUTED_VALUE"""),64.5596740864833)</f>
        <v>64.55967409</v>
      </c>
      <c r="P670" s="35">
        <f>IFERROR(__xludf.DUMMYFUNCTION("""COMPUTED_VALUE"""),186518.0)</f>
        <v>186518</v>
      </c>
      <c r="Q670" s="35">
        <f>IFERROR(__xludf.DUMMYFUNCTION("""COMPUTED_VALUE"""),288909.0)</f>
        <v>288909</v>
      </c>
    </row>
    <row r="671">
      <c r="A671" s="35">
        <f>IFERROR(__xludf.DUMMYFUNCTION("""COMPUTED_VALUE"""),670.0)</f>
        <v>670</v>
      </c>
      <c r="B671" s="35" t="str">
        <f>IFERROR(__xludf.DUMMYFUNCTION("""COMPUTED_VALUE"""),"Maximum Swap")</f>
        <v>Maximum Swap</v>
      </c>
      <c r="C671" s="35" t="str">
        <f>IFERROR(__xludf.DUMMYFUNCTION("""COMPUTED_VALUE"""),"maximum-swap")</f>
        <v>maximum-swap</v>
      </c>
      <c r="D671" s="35" t="b">
        <f>IFERROR(__xludf.DUMMYFUNCTION("""COMPUTED_VALUE"""),FALSE)</f>
        <v>0</v>
      </c>
      <c r="E671" s="35" t="str">
        <f>IFERROR(__xludf.DUMMYFUNCTION("""COMPUTED_VALUE"""),"Medium")</f>
        <v>Medium</v>
      </c>
      <c r="F671" s="35">
        <f>IFERROR(__xludf.DUMMYFUNCTION("""COMPUTED_VALUE"""),2343.0)</f>
        <v>2343</v>
      </c>
      <c r="G671" s="35">
        <f>IFERROR(__xludf.DUMMYFUNCTION("""COMPUTED_VALUE"""),137.0)</f>
        <v>137</v>
      </c>
      <c r="H671" s="35" t="str">
        <f>IFERROR(__xludf.DUMMYFUNCTION("""COMPUTED_VALUE"""),"Algorithms")</f>
        <v>Algorithms</v>
      </c>
      <c r="I671" s="35">
        <f>IFERROR(__xludf.DUMMYFUNCTION("""COMPUTED_VALUE"""),0.474)</f>
        <v>0.474</v>
      </c>
      <c r="J671" s="35">
        <f>IFERROR(__xludf.DUMMYFUNCTION("""COMPUTED_VALUE"""),670.0)</f>
        <v>670</v>
      </c>
      <c r="K671" s="35" t="b">
        <f>IFERROR(__xludf.DUMMYFUNCTION("""COMPUTED_VALUE"""),FALSE)</f>
        <v>0</v>
      </c>
      <c r="L671" s="35" t="str">
        <f>IFERROR(__xludf.DUMMYFUNCTION("""COMPUTED_VALUE"""),"Math;Greedy;")</f>
        <v>Math;Greedy;</v>
      </c>
      <c r="M671" s="35" t="b">
        <f>IFERROR(__xludf.DUMMYFUNCTION("""COMPUTED_VALUE"""),FALSE)</f>
        <v>0</v>
      </c>
      <c r="N671" s="35" t="b">
        <f>IFERROR(__xludf.DUMMYFUNCTION("""COMPUTED_VALUE"""),FALSE)</f>
        <v>0</v>
      </c>
      <c r="O671" s="35">
        <f>IFERROR(__xludf.DUMMYFUNCTION("""COMPUTED_VALUE"""),47.3579117428161)</f>
        <v>47.35791174</v>
      </c>
      <c r="P671" s="35">
        <f>IFERROR(__xludf.DUMMYFUNCTION("""COMPUTED_VALUE"""),156533.0)</f>
        <v>156533</v>
      </c>
      <c r="Q671" s="35">
        <f>IFERROR(__xludf.DUMMYFUNCTION("""COMPUTED_VALUE"""),330528.0)</f>
        <v>330528</v>
      </c>
    </row>
    <row r="672">
      <c r="A672" s="35">
        <f>IFERROR(__xludf.DUMMYFUNCTION("""COMPUTED_VALUE"""),671.0)</f>
        <v>671</v>
      </c>
      <c r="B672" s="35" t="str">
        <f>IFERROR(__xludf.DUMMYFUNCTION("""COMPUTED_VALUE"""),"Second Minimum Node In a Binary Tree")</f>
        <v>Second Minimum Node In a Binary Tree</v>
      </c>
      <c r="C672" s="35" t="str">
        <f>IFERROR(__xludf.DUMMYFUNCTION("""COMPUTED_VALUE"""),"second-minimum-node-in-a-binary-tree")</f>
        <v>second-minimum-node-in-a-binary-tree</v>
      </c>
      <c r="D672" s="35" t="b">
        <f>IFERROR(__xludf.DUMMYFUNCTION("""COMPUTED_VALUE"""),FALSE)</f>
        <v>0</v>
      </c>
      <c r="E672" s="35" t="str">
        <f>IFERROR(__xludf.DUMMYFUNCTION("""COMPUTED_VALUE"""),"Easy")</f>
        <v>Easy</v>
      </c>
      <c r="F672" s="35">
        <f>IFERROR(__xludf.DUMMYFUNCTION("""COMPUTED_VALUE"""),1153.0)</f>
        <v>1153</v>
      </c>
      <c r="G672" s="35">
        <f>IFERROR(__xludf.DUMMYFUNCTION("""COMPUTED_VALUE"""),1425.0)</f>
        <v>1425</v>
      </c>
      <c r="H672" s="35" t="str">
        <f>IFERROR(__xludf.DUMMYFUNCTION("""COMPUTED_VALUE"""),"Algorithms")</f>
        <v>Algorithms</v>
      </c>
      <c r="I672" s="35">
        <f>IFERROR(__xludf.DUMMYFUNCTION("""COMPUTED_VALUE"""),0.435)</f>
        <v>0.435</v>
      </c>
      <c r="J672" s="35">
        <f>IFERROR(__xludf.DUMMYFUNCTION("""COMPUTED_VALUE"""),671.0)</f>
        <v>671</v>
      </c>
      <c r="K672" s="35" t="b">
        <f>IFERROR(__xludf.DUMMYFUNCTION("""COMPUTED_VALUE"""),FALSE)</f>
        <v>0</v>
      </c>
      <c r="L672" s="35" t="str">
        <f>IFERROR(__xludf.DUMMYFUNCTION("""COMPUTED_VALUE"""),"Tree;Depth-First Search;Binary Tree;")</f>
        <v>Tree;Depth-First Search;Binary Tree;</v>
      </c>
      <c r="M672" s="35" t="b">
        <f>IFERROR(__xludf.DUMMYFUNCTION("""COMPUTED_VALUE"""),TRUE)</f>
        <v>1</v>
      </c>
      <c r="N672" s="35" t="b">
        <f>IFERROR(__xludf.DUMMYFUNCTION("""COMPUTED_VALUE"""),FALSE)</f>
        <v>0</v>
      </c>
      <c r="O672" s="35">
        <f>IFERROR(__xludf.DUMMYFUNCTION("""COMPUTED_VALUE"""),43.5019742450023)</f>
        <v>43.50197425</v>
      </c>
      <c r="P672" s="35">
        <f>IFERROR(__xludf.DUMMYFUNCTION("""COMPUTED_VALUE"""),133196.0)</f>
        <v>133196</v>
      </c>
      <c r="Q672" s="35">
        <f>IFERROR(__xludf.DUMMYFUNCTION("""COMPUTED_VALUE"""),306188.0)</f>
        <v>306188</v>
      </c>
    </row>
    <row r="673">
      <c r="A673" s="35">
        <f>IFERROR(__xludf.DUMMYFUNCTION("""COMPUTED_VALUE"""),672.0)</f>
        <v>672</v>
      </c>
      <c r="B673" s="35" t="str">
        <f>IFERROR(__xludf.DUMMYFUNCTION("""COMPUTED_VALUE"""),"Bulb Switcher II")</f>
        <v>Bulb Switcher II</v>
      </c>
      <c r="C673" s="35" t="str">
        <f>IFERROR(__xludf.DUMMYFUNCTION("""COMPUTED_VALUE"""),"bulb-switcher-ii")</f>
        <v>bulb-switcher-ii</v>
      </c>
      <c r="D673" s="35" t="b">
        <f>IFERROR(__xludf.DUMMYFUNCTION("""COMPUTED_VALUE"""),FALSE)</f>
        <v>0</v>
      </c>
      <c r="E673" s="35" t="str">
        <f>IFERROR(__xludf.DUMMYFUNCTION("""COMPUTED_VALUE"""),"Medium")</f>
        <v>Medium</v>
      </c>
      <c r="F673" s="35">
        <f>IFERROR(__xludf.DUMMYFUNCTION("""COMPUTED_VALUE"""),23.0)</f>
        <v>23</v>
      </c>
      <c r="G673" s="35">
        <f>IFERROR(__xludf.DUMMYFUNCTION("""COMPUTED_VALUE"""),61.0)</f>
        <v>61</v>
      </c>
      <c r="H673" s="35" t="str">
        <f>IFERROR(__xludf.DUMMYFUNCTION("""COMPUTED_VALUE"""),"Algorithms")</f>
        <v>Algorithms</v>
      </c>
      <c r="I673" s="35">
        <f>IFERROR(__xludf.DUMMYFUNCTION("""COMPUTED_VALUE"""),0.508)</f>
        <v>0.508</v>
      </c>
      <c r="J673" s="35">
        <f>IFERROR(__xludf.DUMMYFUNCTION("""COMPUTED_VALUE"""),672.0)</f>
        <v>672</v>
      </c>
      <c r="K673" s="35" t="b">
        <f>IFERROR(__xludf.DUMMYFUNCTION("""COMPUTED_VALUE"""),FALSE)</f>
        <v>0</v>
      </c>
      <c r="L673" s="35" t="str">
        <f>IFERROR(__xludf.DUMMYFUNCTION("""COMPUTED_VALUE"""),"Math;Bit Manipulation;Depth-First Search;Breadth-First Search;")</f>
        <v>Math;Bit Manipulation;Depth-First Search;Breadth-First Search;</v>
      </c>
      <c r="M673" s="35" t="b">
        <f>IFERROR(__xludf.DUMMYFUNCTION("""COMPUTED_VALUE"""),FALSE)</f>
        <v>0</v>
      </c>
      <c r="N673" s="35" t="b">
        <f>IFERROR(__xludf.DUMMYFUNCTION("""COMPUTED_VALUE"""),FALSE)</f>
        <v>0</v>
      </c>
      <c r="O673" s="35">
        <f>IFERROR(__xludf.DUMMYFUNCTION("""COMPUTED_VALUE"""),50.8423419261449)</f>
        <v>50.84234193</v>
      </c>
      <c r="P673" s="35">
        <f>IFERROR(__xludf.DUMMYFUNCTION("""COMPUTED_VALUE"""),16508.0)</f>
        <v>16508</v>
      </c>
      <c r="Q673" s="35">
        <f>IFERROR(__xludf.DUMMYFUNCTION("""COMPUTED_VALUE"""),32469.0)</f>
        <v>32469</v>
      </c>
    </row>
    <row r="674">
      <c r="A674" s="35">
        <f>IFERROR(__xludf.DUMMYFUNCTION("""COMPUTED_VALUE"""),673.0)</f>
        <v>673</v>
      </c>
      <c r="B674" s="35" t="str">
        <f>IFERROR(__xludf.DUMMYFUNCTION("""COMPUTED_VALUE"""),"Number of Longest Increasing Subsequence")</f>
        <v>Number of Longest Increasing Subsequence</v>
      </c>
      <c r="C674" s="35" t="str">
        <f>IFERROR(__xludf.DUMMYFUNCTION("""COMPUTED_VALUE"""),"number-of-longest-increasing-subsequence")</f>
        <v>number-of-longest-increasing-subsequence</v>
      </c>
      <c r="D674" s="35" t="b">
        <f>IFERROR(__xludf.DUMMYFUNCTION("""COMPUTED_VALUE"""),FALSE)</f>
        <v>0</v>
      </c>
      <c r="E674" s="35" t="str">
        <f>IFERROR(__xludf.DUMMYFUNCTION("""COMPUTED_VALUE"""),"Medium")</f>
        <v>Medium</v>
      </c>
      <c r="F674" s="35">
        <f>IFERROR(__xludf.DUMMYFUNCTION("""COMPUTED_VALUE"""),3239.0)</f>
        <v>3239</v>
      </c>
      <c r="G674" s="35">
        <f>IFERROR(__xludf.DUMMYFUNCTION("""COMPUTED_VALUE"""),161.0)</f>
        <v>161</v>
      </c>
      <c r="H674" s="35" t="str">
        <f>IFERROR(__xludf.DUMMYFUNCTION("""COMPUTED_VALUE"""),"Algorithms")</f>
        <v>Algorithms</v>
      </c>
      <c r="I674" s="35">
        <f>IFERROR(__xludf.DUMMYFUNCTION("""COMPUTED_VALUE"""),0.406)</f>
        <v>0.406</v>
      </c>
      <c r="J674" s="35">
        <f>IFERROR(__xludf.DUMMYFUNCTION("""COMPUTED_VALUE"""),673.0)</f>
        <v>673</v>
      </c>
      <c r="K674" s="35" t="b">
        <f>IFERROR(__xludf.DUMMYFUNCTION("""COMPUTED_VALUE"""),FALSE)</f>
        <v>0</v>
      </c>
      <c r="L674" s="35" t="str">
        <f>IFERROR(__xludf.DUMMYFUNCTION("""COMPUTED_VALUE"""),"Array;Dynamic Programming;Binary Indexed Tree;Segment Tree;")</f>
        <v>Array;Dynamic Programming;Binary Indexed Tree;Segment Tree;</v>
      </c>
      <c r="M674" s="35" t="b">
        <f>IFERROR(__xludf.DUMMYFUNCTION("""COMPUTED_VALUE"""),FALSE)</f>
        <v>0</v>
      </c>
      <c r="N674" s="35" t="b">
        <f>IFERROR(__xludf.DUMMYFUNCTION("""COMPUTED_VALUE"""),FALSE)</f>
        <v>0</v>
      </c>
      <c r="O674" s="35">
        <f>IFERROR(__xludf.DUMMYFUNCTION("""COMPUTED_VALUE"""),40.5666689739507)</f>
        <v>40.56666897</v>
      </c>
      <c r="P674" s="35">
        <f>IFERROR(__xludf.DUMMYFUNCTION("""COMPUTED_VALUE"""),105492.0)</f>
        <v>105492</v>
      </c>
      <c r="Q674" s="35">
        <f>IFERROR(__xludf.DUMMYFUNCTION("""COMPUTED_VALUE"""),260046.0)</f>
        <v>260046</v>
      </c>
    </row>
    <row r="675">
      <c r="A675" s="35">
        <f>IFERROR(__xludf.DUMMYFUNCTION("""COMPUTED_VALUE"""),674.0)</f>
        <v>674</v>
      </c>
      <c r="B675" s="35" t="str">
        <f>IFERROR(__xludf.DUMMYFUNCTION("""COMPUTED_VALUE"""),"Longest Continuous Increasing Subsequence")</f>
        <v>Longest Continuous Increasing Subsequence</v>
      </c>
      <c r="C675" s="35" t="str">
        <f>IFERROR(__xludf.DUMMYFUNCTION("""COMPUTED_VALUE"""),"longest-continuous-increasing-subsequence")</f>
        <v>longest-continuous-increasing-subsequence</v>
      </c>
      <c r="D675" s="35" t="b">
        <f>IFERROR(__xludf.DUMMYFUNCTION("""COMPUTED_VALUE"""),FALSE)</f>
        <v>0</v>
      </c>
      <c r="E675" s="35" t="str">
        <f>IFERROR(__xludf.DUMMYFUNCTION("""COMPUTED_VALUE"""),"Easy")</f>
        <v>Easy</v>
      </c>
      <c r="F675" s="35">
        <f>IFERROR(__xludf.DUMMYFUNCTION("""COMPUTED_VALUE"""),1603.0)</f>
        <v>1603</v>
      </c>
      <c r="G675" s="35">
        <f>IFERROR(__xludf.DUMMYFUNCTION("""COMPUTED_VALUE"""),160.0)</f>
        <v>160</v>
      </c>
      <c r="H675" s="35" t="str">
        <f>IFERROR(__xludf.DUMMYFUNCTION("""COMPUTED_VALUE"""),"Algorithms")</f>
        <v>Algorithms</v>
      </c>
      <c r="I675" s="35">
        <f>IFERROR(__xludf.DUMMYFUNCTION("""COMPUTED_VALUE"""),0.482)</f>
        <v>0.482</v>
      </c>
      <c r="J675" s="35">
        <f>IFERROR(__xludf.DUMMYFUNCTION("""COMPUTED_VALUE"""),674.0)</f>
        <v>674</v>
      </c>
      <c r="K675" s="35" t="b">
        <f>IFERROR(__xludf.DUMMYFUNCTION("""COMPUTED_VALUE"""),FALSE)</f>
        <v>0</v>
      </c>
      <c r="L675" s="35" t="str">
        <f>IFERROR(__xludf.DUMMYFUNCTION("""COMPUTED_VALUE"""),"Array;")</f>
        <v>Array;</v>
      </c>
      <c r="M675" s="35" t="b">
        <f>IFERROR(__xludf.DUMMYFUNCTION("""COMPUTED_VALUE"""),TRUE)</f>
        <v>1</v>
      </c>
      <c r="N675" s="35" t="b">
        <f>IFERROR(__xludf.DUMMYFUNCTION("""COMPUTED_VALUE"""),FALSE)</f>
        <v>0</v>
      </c>
      <c r="O675" s="35">
        <f>IFERROR(__xludf.DUMMYFUNCTION("""COMPUTED_VALUE"""),48.1780780144409)</f>
        <v>48.17807801</v>
      </c>
      <c r="P675" s="35">
        <f>IFERROR(__xludf.DUMMYFUNCTION("""COMPUTED_VALUE"""),186427.0)</f>
        <v>186427</v>
      </c>
      <c r="Q675" s="35">
        <f>IFERROR(__xludf.DUMMYFUNCTION("""COMPUTED_VALUE"""),386954.0)</f>
        <v>386954</v>
      </c>
    </row>
    <row r="676">
      <c r="A676" s="35">
        <f>IFERROR(__xludf.DUMMYFUNCTION("""COMPUTED_VALUE"""),675.0)</f>
        <v>675</v>
      </c>
      <c r="B676" s="35" t="str">
        <f>IFERROR(__xludf.DUMMYFUNCTION("""COMPUTED_VALUE"""),"Cut Off Trees for Golf Event")</f>
        <v>Cut Off Trees for Golf Event</v>
      </c>
      <c r="C676" s="35" t="str">
        <f>IFERROR(__xludf.DUMMYFUNCTION("""COMPUTED_VALUE"""),"cut-off-trees-for-golf-event")</f>
        <v>cut-off-trees-for-golf-event</v>
      </c>
      <c r="D676" s="35" t="b">
        <f>IFERROR(__xludf.DUMMYFUNCTION("""COMPUTED_VALUE"""),FALSE)</f>
        <v>0</v>
      </c>
      <c r="E676" s="35" t="str">
        <f>IFERROR(__xludf.DUMMYFUNCTION("""COMPUTED_VALUE"""),"Hard")</f>
        <v>Hard</v>
      </c>
      <c r="F676" s="35">
        <f>IFERROR(__xludf.DUMMYFUNCTION("""COMPUTED_VALUE"""),870.0)</f>
        <v>870</v>
      </c>
      <c r="G676" s="35">
        <f>IFERROR(__xludf.DUMMYFUNCTION("""COMPUTED_VALUE"""),499.0)</f>
        <v>499</v>
      </c>
      <c r="H676" s="35" t="str">
        <f>IFERROR(__xludf.DUMMYFUNCTION("""COMPUTED_VALUE"""),"Algorithms")</f>
        <v>Algorithms</v>
      </c>
      <c r="I676" s="35">
        <f>IFERROR(__xludf.DUMMYFUNCTION("""COMPUTED_VALUE"""),0.355)</f>
        <v>0.355</v>
      </c>
      <c r="J676" s="35">
        <f>IFERROR(__xludf.DUMMYFUNCTION("""COMPUTED_VALUE"""),675.0)</f>
        <v>675</v>
      </c>
      <c r="K676" s="35" t="b">
        <f>IFERROR(__xludf.DUMMYFUNCTION("""COMPUTED_VALUE"""),FALSE)</f>
        <v>0</v>
      </c>
      <c r="L676" s="35" t="str">
        <f>IFERROR(__xludf.DUMMYFUNCTION("""COMPUTED_VALUE"""),"Array;Breadth-First Search;Heap (Priority Queue);Matrix;")</f>
        <v>Array;Breadth-First Search;Heap (Priority Queue);Matrix;</v>
      </c>
      <c r="M676" s="35" t="b">
        <f>IFERROR(__xludf.DUMMYFUNCTION("""COMPUTED_VALUE"""),FALSE)</f>
        <v>0</v>
      </c>
      <c r="N676" s="35" t="b">
        <f>IFERROR(__xludf.DUMMYFUNCTION("""COMPUTED_VALUE"""),FALSE)</f>
        <v>0</v>
      </c>
      <c r="O676" s="35">
        <f>IFERROR(__xludf.DUMMYFUNCTION("""COMPUTED_VALUE"""),35.484213530501)</f>
        <v>35.48421353</v>
      </c>
      <c r="P676" s="35">
        <f>IFERROR(__xludf.DUMMYFUNCTION("""COMPUTED_VALUE"""),53463.0)</f>
        <v>53463</v>
      </c>
      <c r="Q676" s="35">
        <f>IFERROR(__xludf.DUMMYFUNCTION("""COMPUTED_VALUE"""),150667.0)</f>
        <v>150667</v>
      </c>
    </row>
    <row r="677">
      <c r="A677" s="35">
        <f>IFERROR(__xludf.DUMMYFUNCTION("""COMPUTED_VALUE"""),676.0)</f>
        <v>676</v>
      </c>
      <c r="B677" s="35" t="str">
        <f>IFERROR(__xludf.DUMMYFUNCTION("""COMPUTED_VALUE"""),"Implement Magic Dictionary")</f>
        <v>Implement Magic Dictionary</v>
      </c>
      <c r="C677" s="35" t="str">
        <f>IFERROR(__xludf.DUMMYFUNCTION("""COMPUTED_VALUE"""),"implement-magic-dictionary")</f>
        <v>implement-magic-dictionary</v>
      </c>
      <c r="D677" s="35" t="b">
        <f>IFERROR(__xludf.DUMMYFUNCTION("""COMPUTED_VALUE"""),FALSE)</f>
        <v>0</v>
      </c>
      <c r="E677" s="35" t="str">
        <f>IFERROR(__xludf.DUMMYFUNCTION("""COMPUTED_VALUE"""),"Medium")</f>
        <v>Medium</v>
      </c>
      <c r="F677" s="35">
        <f>IFERROR(__xludf.DUMMYFUNCTION("""COMPUTED_VALUE"""),973.0)</f>
        <v>973</v>
      </c>
      <c r="G677" s="35">
        <f>IFERROR(__xludf.DUMMYFUNCTION("""COMPUTED_VALUE"""),178.0)</f>
        <v>178</v>
      </c>
      <c r="H677" s="35" t="str">
        <f>IFERROR(__xludf.DUMMYFUNCTION("""COMPUTED_VALUE"""),"Algorithms")</f>
        <v>Algorithms</v>
      </c>
      <c r="I677" s="35">
        <f>IFERROR(__xludf.DUMMYFUNCTION("""COMPUTED_VALUE"""),0.565)</f>
        <v>0.565</v>
      </c>
      <c r="J677" s="35">
        <f>IFERROR(__xludf.DUMMYFUNCTION("""COMPUTED_VALUE"""),676.0)</f>
        <v>676</v>
      </c>
      <c r="K677" s="35" t="b">
        <f>IFERROR(__xludf.DUMMYFUNCTION("""COMPUTED_VALUE"""),FALSE)</f>
        <v>0</v>
      </c>
      <c r="L677" s="35" t="str">
        <f>IFERROR(__xludf.DUMMYFUNCTION("""COMPUTED_VALUE"""),"Hash Table;String;Design;Trie;")</f>
        <v>Hash Table;String;Design;Trie;</v>
      </c>
      <c r="M677" s="35" t="b">
        <f>IFERROR(__xludf.DUMMYFUNCTION("""COMPUTED_VALUE"""),FALSE)</f>
        <v>0</v>
      </c>
      <c r="N677" s="35" t="b">
        <f>IFERROR(__xludf.DUMMYFUNCTION("""COMPUTED_VALUE"""),FALSE)</f>
        <v>0</v>
      </c>
      <c r="O677" s="35">
        <f>IFERROR(__xludf.DUMMYFUNCTION("""COMPUTED_VALUE"""),56.4653186116384)</f>
        <v>56.46531861</v>
      </c>
      <c r="P677" s="35">
        <f>IFERROR(__xludf.DUMMYFUNCTION("""COMPUTED_VALUE"""),61266.0)</f>
        <v>61266</v>
      </c>
      <c r="Q677" s="35">
        <f>IFERROR(__xludf.DUMMYFUNCTION("""COMPUTED_VALUE"""),108502.0)</f>
        <v>108502</v>
      </c>
    </row>
    <row r="678">
      <c r="A678" s="35">
        <f>IFERROR(__xludf.DUMMYFUNCTION("""COMPUTED_VALUE"""),677.0)</f>
        <v>677</v>
      </c>
      <c r="B678" s="35" t="str">
        <f>IFERROR(__xludf.DUMMYFUNCTION("""COMPUTED_VALUE"""),"Map Sum Pairs")</f>
        <v>Map Sum Pairs</v>
      </c>
      <c r="C678" s="35" t="str">
        <f>IFERROR(__xludf.DUMMYFUNCTION("""COMPUTED_VALUE"""),"map-sum-pairs")</f>
        <v>map-sum-pairs</v>
      </c>
      <c r="D678" s="35" t="b">
        <f>IFERROR(__xludf.DUMMYFUNCTION("""COMPUTED_VALUE"""),FALSE)</f>
        <v>0</v>
      </c>
      <c r="E678" s="35" t="str">
        <f>IFERROR(__xludf.DUMMYFUNCTION("""COMPUTED_VALUE"""),"Medium")</f>
        <v>Medium</v>
      </c>
      <c r="F678" s="35">
        <f>IFERROR(__xludf.DUMMYFUNCTION("""COMPUTED_VALUE"""),1177.0)</f>
        <v>1177</v>
      </c>
      <c r="G678" s="35">
        <f>IFERROR(__xludf.DUMMYFUNCTION("""COMPUTED_VALUE"""),119.0)</f>
        <v>119</v>
      </c>
      <c r="H678" s="35" t="str">
        <f>IFERROR(__xludf.DUMMYFUNCTION("""COMPUTED_VALUE"""),"Algorithms")</f>
        <v>Algorithms</v>
      </c>
      <c r="I678" s="35">
        <f>IFERROR(__xludf.DUMMYFUNCTION("""COMPUTED_VALUE"""),0.57)</f>
        <v>0.57</v>
      </c>
      <c r="J678" s="35">
        <f>IFERROR(__xludf.DUMMYFUNCTION("""COMPUTED_VALUE"""),677.0)</f>
        <v>677</v>
      </c>
      <c r="K678" s="35" t="b">
        <f>IFERROR(__xludf.DUMMYFUNCTION("""COMPUTED_VALUE"""),FALSE)</f>
        <v>0</v>
      </c>
      <c r="L678" s="35" t="str">
        <f>IFERROR(__xludf.DUMMYFUNCTION("""COMPUTED_VALUE"""),"Hash Table;String;Design;Trie;")</f>
        <v>Hash Table;String;Design;Trie;</v>
      </c>
      <c r="M678" s="35" t="b">
        <f>IFERROR(__xludf.DUMMYFUNCTION("""COMPUTED_VALUE"""),TRUE)</f>
        <v>1</v>
      </c>
      <c r="N678" s="35" t="b">
        <f>IFERROR(__xludf.DUMMYFUNCTION("""COMPUTED_VALUE"""),FALSE)</f>
        <v>0</v>
      </c>
      <c r="O678" s="35">
        <f>IFERROR(__xludf.DUMMYFUNCTION("""COMPUTED_VALUE"""),57.0156155753635)</f>
        <v>57.01561558</v>
      </c>
      <c r="P678" s="35">
        <f>IFERROR(__xludf.DUMMYFUNCTION("""COMPUTED_VALUE"""),85073.0)</f>
        <v>85073</v>
      </c>
      <c r="Q678" s="35">
        <f>IFERROR(__xludf.DUMMYFUNCTION("""COMPUTED_VALUE"""),149210.0)</f>
        <v>149210</v>
      </c>
    </row>
    <row r="679">
      <c r="A679" s="35">
        <f>IFERROR(__xludf.DUMMYFUNCTION("""COMPUTED_VALUE"""),678.0)</f>
        <v>678</v>
      </c>
      <c r="B679" s="35" t="str">
        <f>IFERROR(__xludf.DUMMYFUNCTION("""COMPUTED_VALUE"""),"Valid Parenthesis String")</f>
        <v>Valid Parenthesis String</v>
      </c>
      <c r="C679" s="35" t="str">
        <f>IFERROR(__xludf.DUMMYFUNCTION("""COMPUTED_VALUE"""),"valid-parenthesis-string")</f>
        <v>valid-parenthesis-string</v>
      </c>
      <c r="D679" s="35" t="b">
        <f>IFERROR(__xludf.DUMMYFUNCTION("""COMPUTED_VALUE"""),FALSE)</f>
        <v>0</v>
      </c>
      <c r="E679" s="35" t="str">
        <f>IFERROR(__xludf.DUMMYFUNCTION("""COMPUTED_VALUE"""),"Medium")</f>
        <v>Medium</v>
      </c>
      <c r="F679" s="35">
        <f>IFERROR(__xludf.DUMMYFUNCTION("""COMPUTED_VALUE"""),3194.0)</f>
        <v>3194</v>
      </c>
      <c r="G679" s="35">
        <f>IFERROR(__xludf.DUMMYFUNCTION("""COMPUTED_VALUE"""),79.0)</f>
        <v>79</v>
      </c>
      <c r="H679" s="35" t="str">
        <f>IFERROR(__xludf.DUMMYFUNCTION("""COMPUTED_VALUE"""),"Algorithms")</f>
        <v>Algorithms</v>
      </c>
      <c r="I679" s="35">
        <f>IFERROR(__xludf.DUMMYFUNCTION("""COMPUTED_VALUE"""),0.33)</f>
        <v>0.33</v>
      </c>
      <c r="J679" s="35">
        <f>IFERROR(__xludf.DUMMYFUNCTION("""COMPUTED_VALUE"""),678.0)</f>
        <v>678</v>
      </c>
      <c r="K679" s="35" t="b">
        <f>IFERROR(__xludf.DUMMYFUNCTION("""COMPUTED_VALUE"""),FALSE)</f>
        <v>0</v>
      </c>
      <c r="L679" s="35" t="str">
        <f>IFERROR(__xludf.DUMMYFUNCTION("""COMPUTED_VALUE"""),"String;Dynamic Programming;Stack;Greedy;")</f>
        <v>String;Dynamic Programming;Stack;Greedy;</v>
      </c>
      <c r="M679" s="35" t="b">
        <f>IFERROR(__xludf.DUMMYFUNCTION("""COMPUTED_VALUE"""),TRUE)</f>
        <v>1</v>
      </c>
      <c r="N679" s="35" t="b">
        <f>IFERROR(__xludf.DUMMYFUNCTION("""COMPUTED_VALUE"""),FALSE)</f>
        <v>0</v>
      </c>
      <c r="O679" s="35">
        <f>IFERROR(__xludf.DUMMYFUNCTION("""COMPUTED_VALUE"""),33.0275490495069)</f>
        <v>33.02754905</v>
      </c>
      <c r="P679" s="35">
        <f>IFERROR(__xludf.DUMMYFUNCTION("""COMPUTED_VALUE"""),162446.0)</f>
        <v>162446</v>
      </c>
      <c r="Q679" s="35">
        <f>IFERROR(__xludf.DUMMYFUNCTION("""COMPUTED_VALUE"""),491847.0)</f>
        <v>491847</v>
      </c>
    </row>
    <row r="680">
      <c r="A680" s="35">
        <f>IFERROR(__xludf.DUMMYFUNCTION("""COMPUTED_VALUE"""),679.0)</f>
        <v>679</v>
      </c>
      <c r="B680" s="35" t="str">
        <f>IFERROR(__xludf.DUMMYFUNCTION("""COMPUTED_VALUE"""),"24 Game")</f>
        <v>24 Game</v>
      </c>
      <c r="C680" s="35" t="str">
        <f>IFERROR(__xludf.DUMMYFUNCTION("""COMPUTED_VALUE"""),"24-game")</f>
        <v>24-game</v>
      </c>
      <c r="D680" s="35" t="b">
        <f>IFERROR(__xludf.DUMMYFUNCTION("""COMPUTED_VALUE"""),FALSE)</f>
        <v>0</v>
      </c>
      <c r="E680" s="35" t="str">
        <f>IFERROR(__xludf.DUMMYFUNCTION("""COMPUTED_VALUE"""),"Hard")</f>
        <v>Hard</v>
      </c>
      <c r="F680" s="35">
        <f>IFERROR(__xludf.DUMMYFUNCTION("""COMPUTED_VALUE"""),1149.0)</f>
        <v>1149</v>
      </c>
      <c r="G680" s="35">
        <f>IFERROR(__xludf.DUMMYFUNCTION("""COMPUTED_VALUE"""),214.0)</f>
        <v>214</v>
      </c>
      <c r="H680" s="35" t="str">
        <f>IFERROR(__xludf.DUMMYFUNCTION("""COMPUTED_VALUE"""),"Algorithms")</f>
        <v>Algorithms</v>
      </c>
      <c r="I680" s="35">
        <f>IFERROR(__xludf.DUMMYFUNCTION("""COMPUTED_VALUE"""),0.486)</f>
        <v>0.486</v>
      </c>
      <c r="J680" s="35">
        <f>IFERROR(__xludf.DUMMYFUNCTION("""COMPUTED_VALUE"""),679.0)</f>
        <v>679</v>
      </c>
      <c r="K680" s="35" t="b">
        <f>IFERROR(__xludf.DUMMYFUNCTION("""COMPUTED_VALUE"""),FALSE)</f>
        <v>0</v>
      </c>
      <c r="L680" s="35" t="str">
        <f>IFERROR(__xludf.DUMMYFUNCTION("""COMPUTED_VALUE"""),"Array;Math;Backtracking;")</f>
        <v>Array;Math;Backtracking;</v>
      </c>
      <c r="M680" s="35" t="b">
        <f>IFERROR(__xludf.DUMMYFUNCTION("""COMPUTED_VALUE"""),FALSE)</f>
        <v>0</v>
      </c>
      <c r="N680" s="35" t="b">
        <f>IFERROR(__xludf.DUMMYFUNCTION("""COMPUTED_VALUE"""),FALSE)</f>
        <v>0</v>
      </c>
      <c r="O680" s="35">
        <f>IFERROR(__xludf.DUMMYFUNCTION("""COMPUTED_VALUE"""),48.6101555518651)</f>
        <v>48.61015555</v>
      </c>
      <c r="P680" s="35">
        <f>IFERROR(__xludf.DUMMYFUNCTION("""COMPUTED_VALUE"""),61469.0)</f>
        <v>61469</v>
      </c>
      <c r="Q680" s="35">
        <f>IFERROR(__xludf.DUMMYFUNCTION("""COMPUTED_VALUE"""),126453.0)</f>
        <v>126453</v>
      </c>
    </row>
    <row r="681">
      <c r="A681" s="35">
        <f>IFERROR(__xludf.DUMMYFUNCTION("""COMPUTED_VALUE"""),680.0)</f>
        <v>680</v>
      </c>
      <c r="B681" s="35" t="str">
        <f>IFERROR(__xludf.DUMMYFUNCTION("""COMPUTED_VALUE"""),"Valid Palindrome II")</f>
        <v>Valid Palindrome II</v>
      </c>
      <c r="C681" s="35" t="str">
        <f>IFERROR(__xludf.DUMMYFUNCTION("""COMPUTED_VALUE"""),"valid-palindrome-ii")</f>
        <v>valid-palindrome-ii</v>
      </c>
      <c r="D681" s="35" t="b">
        <f>IFERROR(__xludf.DUMMYFUNCTION("""COMPUTED_VALUE"""),FALSE)</f>
        <v>0</v>
      </c>
      <c r="E681" s="35" t="str">
        <f>IFERROR(__xludf.DUMMYFUNCTION("""COMPUTED_VALUE"""),"Easy")</f>
        <v>Easy</v>
      </c>
      <c r="F681" s="35">
        <f>IFERROR(__xludf.DUMMYFUNCTION("""COMPUTED_VALUE"""),4107.0)</f>
        <v>4107</v>
      </c>
      <c r="G681" s="35">
        <f>IFERROR(__xludf.DUMMYFUNCTION("""COMPUTED_VALUE"""),245.0)</f>
        <v>245</v>
      </c>
      <c r="H681" s="35" t="str">
        <f>IFERROR(__xludf.DUMMYFUNCTION("""COMPUTED_VALUE"""),"Algorithms")</f>
        <v>Algorithms</v>
      </c>
      <c r="I681" s="35">
        <f>IFERROR(__xludf.DUMMYFUNCTION("""COMPUTED_VALUE"""),0.385)</f>
        <v>0.385</v>
      </c>
      <c r="J681" s="35">
        <f>IFERROR(__xludf.DUMMYFUNCTION("""COMPUTED_VALUE"""),680.0)</f>
        <v>680</v>
      </c>
      <c r="K681" s="35" t="b">
        <f>IFERROR(__xludf.DUMMYFUNCTION("""COMPUTED_VALUE"""),FALSE)</f>
        <v>0</v>
      </c>
      <c r="L681" s="35" t="str">
        <f>IFERROR(__xludf.DUMMYFUNCTION("""COMPUTED_VALUE"""),"Two Pointers;String;Greedy;")</f>
        <v>Two Pointers;String;Greedy;</v>
      </c>
      <c r="M681" s="35" t="b">
        <f>IFERROR(__xludf.DUMMYFUNCTION("""COMPUTED_VALUE"""),FALSE)</f>
        <v>0</v>
      </c>
      <c r="N681" s="35" t="b">
        <f>IFERROR(__xludf.DUMMYFUNCTION("""COMPUTED_VALUE"""),FALSE)</f>
        <v>0</v>
      </c>
      <c r="O681" s="35">
        <f>IFERROR(__xludf.DUMMYFUNCTION("""COMPUTED_VALUE"""),38.5179948562111)</f>
        <v>38.51799486</v>
      </c>
      <c r="P681" s="35">
        <f>IFERROR(__xludf.DUMMYFUNCTION("""COMPUTED_VALUE"""),412446.0)</f>
        <v>412446</v>
      </c>
      <c r="Q681" s="35">
        <f>IFERROR(__xludf.DUMMYFUNCTION("""COMPUTED_VALUE"""),1070789.0)</f>
        <v>1070789</v>
      </c>
    </row>
    <row r="682">
      <c r="A682" s="35">
        <f>IFERROR(__xludf.DUMMYFUNCTION("""COMPUTED_VALUE"""),681.0)</f>
        <v>681</v>
      </c>
      <c r="B682" s="35" t="str">
        <f>IFERROR(__xludf.DUMMYFUNCTION("""COMPUTED_VALUE"""),"Next Closest Time")</f>
        <v>Next Closest Time</v>
      </c>
      <c r="C682" s="35" t="str">
        <f>IFERROR(__xludf.DUMMYFUNCTION("""COMPUTED_VALUE"""),"next-closest-time")</f>
        <v>next-closest-time</v>
      </c>
      <c r="D682" s="35" t="b">
        <f>IFERROR(__xludf.DUMMYFUNCTION("""COMPUTED_VALUE"""),TRUE)</f>
        <v>1</v>
      </c>
      <c r="E682" s="35" t="str">
        <f>IFERROR(__xludf.DUMMYFUNCTION("""COMPUTED_VALUE"""),"Medium")</f>
        <v>Medium</v>
      </c>
      <c r="F682" s="35">
        <f>IFERROR(__xludf.DUMMYFUNCTION("""COMPUTED_VALUE"""),650.0)</f>
        <v>650</v>
      </c>
      <c r="G682" s="35">
        <f>IFERROR(__xludf.DUMMYFUNCTION("""COMPUTED_VALUE"""),950.0)</f>
        <v>950</v>
      </c>
      <c r="H682" s="35" t="str">
        <f>IFERROR(__xludf.DUMMYFUNCTION("""COMPUTED_VALUE"""),"Algorithms")</f>
        <v>Algorithms</v>
      </c>
      <c r="I682" s="35">
        <f>IFERROR(__xludf.DUMMYFUNCTION("""COMPUTED_VALUE"""),0.465)</f>
        <v>0.465</v>
      </c>
      <c r="J682" s="35">
        <f>IFERROR(__xludf.DUMMYFUNCTION("""COMPUTED_VALUE"""),681.0)</f>
        <v>681</v>
      </c>
      <c r="K682" s="35" t="b">
        <f>IFERROR(__xludf.DUMMYFUNCTION("""COMPUTED_VALUE"""),TRUE)</f>
        <v>1</v>
      </c>
      <c r="L682" s="35" t="str">
        <f>IFERROR(__xludf.DUMMYFUNCTION("""COMPUTED_VALUE"""),"String;Enumeration;")</f>
        <v>String;Enumeration;</v>
      </c>
      <c r="M682" s="35" t="b">
        <f>IFERROR(__xludf.DUMMYFUNCTION("""COMPUTED_VALUE"""),FALSE)</f>
        <v>0</v>
      </c>
      <c r="N682" s="35" t="b">
        <f>IFERROR(__xludf.DUMMYFUNCTION("""COMPUTED_VALUE"""),FALSE)</f>
        <v>0</v>
      </c>
      <c r="O682" s="35">
        <f>IFERROR(__xludf.DUMMYFUNCTION("""COMPUTED_VALUE"""),46.4658070342682)</f>
        <v>46.46580703</v>
      </c>
      <c r="P682" s="35">
        <f>IFERROR(__xludf.DUMMYFUNCTION("""COMPUTED_VALUE"""),92611.0)</f>
        <v>92611</v>
      </c>
      <c r="Q682" s="35">
        <f>IFERROR(__xludf.DUMMYFUNCTION("""COMPUTED_VALUE"""),199309.0)</f>
        <v>199309</v>
      </c>
    </row>
    <row r="683">
      <c r="A683" s="35">
        <f>IFERROR(__xludf.DUMMYFUNCTION("""COMPUTED_VALUE"""),682.0)</f>
        <v>682</v>
      </c>
      <c r="B683" s="35" t="str">
        <f>IFERROR(__xludf.DUMMYFUNCTION("""COMPUTED_VALUE"""),"Baseball Game")</f>
        <v>Baseball Game</v>
      </c>
      <c r="C683" s="35" t="str">
        <f>IFERROR(__xludf.DUMMYFUNCTION("""COMPUTED_VALUE"""),"baseball-game")</f>
        <v>baseball-game</v>
      </c>
      <c r="D683" s="35" t="b">
        <f>IFERROR(__xludf.DUMMYFUNCTION("""COMPUTED_VALUE"""),FALSE)</f>
        <v>0</v>
      </c>
      <c r="E683" s="35" t="str">
        <f>IFERROR(__xludf.DUMMYFUNCTION("""COMPUTED_VALUE"""),"Easy")</f>
        <v>Easy</v>
      </c>
      <c r="F683" s="35">
        <f>IFERROR(__xludf.DUMMYFUNCTION("""COMPUTED_VALUE"""),972.0)</f>
        <v>972</v>
      </c>
      <c r="G683" s="35">
        <f>IFERROR(__xludf.DUMMYFUNCTION("""COMPUTED_VALUE"""),1355.0)</f>
        <v>1355</v>
      </c>
      <c r="H683" s="35" t="str">
        <f>IFERROR(__xludf.DUMMYFUNCTION("""COMPUTED_VALUE"""),"Algorithms")</f>
        <v>Algorithms</v>
      </c>
      <c r="I683" s="35">
        <f>IFERROR(__xludf.DUMMYFUNCTION("""COMPUTED_VALUE"""),0.693)</f>
        <v>0.693</v>
      </c>
      <c r="J683" s="35">
        <f>IFERROR(__xludf.DUMMYFUNCTION("""COMPUTED_VALUE"""),682.0)</f>
        <v>682</v>
      </c>
      <c r="K683" s="35" t="b">
        <f>IFERROR(__xludf.DUMMYFUNCTION("""COMPUTED_VALUE"""),FALSE)</f>
        <v>0</v>
      </c>
      <c r="L683" s="35" t="str">
        <f>IFERROR(__xludf.DUMMYFUNCTION("""COMPUTED_VALUE"""),"Array;Stack;Simulation;")</f>
        <v>Array;Stack;Simulation;</v>
      </c>
      <c r="M683" s="35" t="b">
        <f>IFERROR(__xludf.DUMMYFUNCTION("""COMPUTED_VALUE"""),TRUE)</f>
        <v>1</v>
      </c>
      <c r="N683" s="35" t="b">
        <f>IFERROR(__xludf.DUMMYFUNCTION("""COMPUTED_VALUE"""),FALSE)</f>
        <v>0</v>
      </c>
      <c r="O683" s="35">
        <f>IFERROR(__xludf.DUMMYFUNCTION("""COMPUTED_VALUE"""),69.3301444883488)</f>
        <v>69.33014449</v>
      </c>
      <c r="P683" s="35">
        <f>IFERROR(__xludf.DUMMYFUNCTION("""COMPUTED_VALUE"""),140008.0)</f>
        <v>140008</v>
      </c>
      <c r="Q683" s="35">
        <f>IFERROR(__xludf.DUMMYFUNCTION("""COMPUTED_VALUE"""),201946.0)</f>
        <v>201946</v>
      </c>
    </row>
    <row r="684">
      <c r="A684" s="35">
        <f>IFERROR(__xludf.DUMMYFUNCTION("""COMPUTED_VALUE"""),683.0)</f>
        <v>683</v>
      </c>
      <c r="B684" s="35" t="str">
        <f>IFERROR(__xludf.DUMMYFUNCTION("""COMPUTED_VALUE"""),"K Empty Slots")</f>
        <v>K Empty Slots</v>
      </c>
      <c r="C684" s="35" t="str">
        <f>IFERROR(__xludf.DUMMYFUNCTION("""COMPUTED_VALUE"""),"k-empty-slots")</f>
        <v>k-empty-slots</v>
      </c>
      <c r="D684" s="35" t="b">
        <f>IFERROR(__xludf.DUMMYFUNCTION("""COMPUTED_VALUE"""),TRUE)</f>
        <v>1</v>
      </c>
      <c r="E684" s="35" t="str">
        <f>IFERROR(__xludf.DUMMYFUNCTION("""COMPUTED_VALUE"""),"Hard")</f>
        <v>Hard</v>
      </c>
      <c r="F684" s="35">
        <f>IFERROR(__xludf.DUMMYFUNCTION("""COMPUTED_VALUE"""),720.0)</f>
        <v>720</v>
      </c>
      <c r="G684" s="35">
        <f>IFERROR(__xludf.DUMMYFUNCTION("""COMPUTED_VALUE"""),646.0)</f>
        <v>646</v>
      </c>
      <c r="H684" s="35" t="str">
        <f>IFERROR(__xludf.DUMMYFUNCTION("""COMPUTED_VALUE"""),"Algorithms")</f>
        <v>Algorithms</v>
      </c>
      <c r="I684" s="35">
        <f>IFERROR(__xludf.DUMMYFUNCTION("""COMPUTED_VALUE"""),0.367)</f>
        <v>0.367</v>
      </c>
      <c r="J684" s="35">
        <f>IFERROR(__xludf.DUMMYFUNCTION("""COMPUTED_VALUE"""),683.0)</f>
        <v>683</v>
      </c>
      <c r="K684" s="35" t="b">
        <f>IFERROR(__xludf.DUMMYFUNCTION("""COMPUTED_VALUE"""),TRUE)</f>
        <v>1</v>
      </c>
      <c r="L684" s="35" t="str">
        <f>IFERROR(__xludf.DUMMYFUNCTION("""COMPUTED_VALUE"""),"Array;Binary Indexed Tree;Sliding Window;Ordered Set;")</f>
        <v>Array;Binary Indexed Tree;Sliding Window;Ordered Set;</v>
      </c>
      <c r="M684" s="35" t="b">
        <f>IFERROR(__xludf.DUMMYFUNCTION("""COMPUTED_VALUE"""),FALSE)</f>
        <v>0</v>
      </c>
      <c r="N684" s="35" t="b">
        <f>IFERROR(__xludf.DUMMYFUNCTION("""COMPUTED_VALUE"""),FALSE)</f>
        <v>0</v>
      </c>
      <c r="O684" s="35">
        <f>IFERROR(__xludf.DUMMYFUNCTION("""COMPUTED_VALUE"""),36.7344512617973)</f>
        <v>36.73445126</v>
      </c>
      <c r="P684" s="35">
        <f>IFERROR(__xludf.DUMMYFUNCTION("""COMPUTED_VALUE"""),55620.0)</f>
        <v>55620</v>
      </c>
      <c r="Q684" s="35">
        <f>IFERROR(__xludf.DUMMYFUNCTION("""COMPUTED_VALUE"""),151411.0)</f>
        <v>151411</v>
      </c>
    </row>
    <row r="685">
      <c r="A685" s="35">
        <f>IFERROR(__xludf.DUMMYFUNCTION("""COMPUTED_VALUE"""),684.0)</f>
        <v>684</v>
      </c>
      <c r="B685" s="35" t="str">
        <f>IFERROR(__xludf.DUMMYFUNCTION("""COMPUTED_VALUE"""),"Redundant Connection")</f>
        <v>Redundant Connection</v>
      </c>
      <c r="C685" s="35" t="str">
        <f>IFERROR(__xludf.DUMMYFUNCTION("""COMPUTED_VALUE"""),"redundant-connection")</f>
        <v>redundant-connection</v>
      </c>
      <c r="D685" s="35" t="b">
        <f>IFERROR(__xludf.DUMMYFUNCTION("""COMPUTED_VALUE"""),FALSE)</f>
        <v>0</v>
      </c>
      <c r="E685" s="35" t="str">
        <f>IFERROR(__xludf.DUMMYFUNCTION("""COMPUTED_VALUE"""),"Medium")</f>
        <v>Medium</v>
      </c>
      <c r="F685" s="35">
        <f>IFERROR(__xludf.DUMMYFUNCTION("""COMPUTED_VALUE"""),3454.0)</f>
        <v>3454</v>
      </c>
      <c r="G685" s="35">
        <f>IFERROR(__xludf.DUMMYFUNCTION("""COMPUTED_VALUE"""),281.0)</f>
        <v>281</v>
      </c>
      <c r="H685" s="35" t="str">
        <f>IFERROR(__xludf.DUMMYFUNCTION("""COMPUTED_VALUE"""),"Algorithms")</f>
        <v>Algorithms</v>
      </c>
      <c r="I685" s="35">
        <f>IFERROR(__xludf.DUMMYFUNCTION("""COMPUTED_VALUE"""),0.61)</f>
        <v>0.61</v>
      </c>
      <c r="J685" s="35">
        <f>IFERROR(__xludf.DUMMYFUNCTION("""COMPUTED_VALUE"""),684.0)</f>
        <v>684</v>
      </c>
      <c r="K685" s="35" t="b">
        <f>IFERROR(__xludf.DUMMYFUNCTION("""COMPUTED_VALUE"""),FALSE)</f>
        <v>0</v>
      </c>
      <c r="L685" s="35" t="str">
        <f>IFERROR(__xludf.DUMMYFUNCTION("""COMPUTED_VALUE"""),"Depth-First Search;Breadth-First Search;Union Find;Graph;")</f>
        <v>Depth-First Search;Breadth-First Search;Union Find;Graph;</v>
      </c>
      <c r="M685" s="35" t="b">
        <f>IFERROR(__xludf.DUMMYFUNCTION("""COMPUTED_VALUE"""),TRUE)</f>
        <v>1</v>
      </c>
      <c r="N685" s="35" t="b">
        <f>IFERROR(__xludf.DUMMYFUNCTION("""COMPUTED_VALUE"""),FALSE)</f>
        <v>0</v>
      </c>
      <c r="O685" s="35">
        <f>IFERROR(__xludf.DUMMYFUNCTION("""COMPUTED_VALUE"""),60.9941688421908)</f>
        <v>60.99416884</v>
      </c>
      <c r="P685" s="35">
        <f>IFERROR(__xludf.DUMMYFUNCTION("""COMPUTED_VALUE"""),189013.0)</f>
        <v>189013</v>
      </c>
      <c r="Q685" s="35">
        <f>IFERROR(__xludf.DUMMYFUNCTION("""COMPUTED_VALUE"""),309887.0)</f>
        <v>309887</v>
      </c>
    </row>
    <row r="686">
      <c r="A686" s="35">
        <f>IFERROR(__xludf.DUMMYFUNCTION("""COMPUTED_VALUE"""),685.0)</f>
        <v>685</v>
      </c>
      <c r="B686" s="35" t="str">
        <f>IFERROR(__xludf.DUMMYFUNCTION("""COMPUTED_VALUE"""),"Redundant Connection II")</f>
        <v>Redundant Connection II</v>
      </c>
      <c r="C686" s="35" t="str">
        <f>IFERROR(__xludf.DUMMYFUNCTION("""COMPUTED_VALUE"""),"redundant-connection-ii")</f>
        <v>redundant-connection-ii</v>
      </c>
      <c r="D686" s="35" t="b">
        <f>IFERROR(__xludf.DUMMYFUNCTION("""COMPUTED_VALUE"""),FALSE)</f>
        <v>0</v>
      </c>
      <c r="E686" s="35" t="str">
        <f>IFERROR(__xludf.DUMMYFUNCTION("""COMPUTED_VALUE"""),"Hard")</f>
        <v>Hard</v>
      </c>
      <c r="F686" s="35">
        <f>IFERROR(__xludf.DUMMYFUNCTION("""COMPUTED_VALUE"""),1498.0)</f>
        <v>1498</v>
      </c>
      <c r="G686" s="35">
        <f>IFERROR(__xludf.DUMMYFUNCTION("""COMPUTED_VALUE"""),264.0)</f>
        <v>264</v>
      </c>
      <c r="H686" s="35" t="str">
        <f>IFERROR(__xludf.DUMMYFUNCTION("""COMPUTED_VALUE"""),"Algorithms")</f>
        <v>Algorithms</v>
      </c>
      <c r="I686" s="35">
        <f>IFERROR(__xludf.DUMMYFUNCTION("""COMPUTED_VALUE"""),0.337)</f>
        <v>0.337</v>
      </c>
      <c r="J686" s="35">
        <f>IFERROR(__xludf.DUMMYFUNCTION("""COMPUTED_VALUE"""),685.0)</f>
        <v>685</v>
      </c>
      <c r="K686" s="35" t="b">
        <f>IFERROR(__xludf.DUMMYFUNCTION("""COMPUTED_VALUE"""),FALSE)</f>
        <v>0</v>
      </c>
      <c r="L686" s="35" t="str">
        <f>IFERROR(__xludf.DUMMYFUNCTION("""COMPUTED_VALUE"""),"Depth-First Search;Breadth-First Search;Union Find;Graph;")</f>
        <v>Depth-First Search;Breadth-First Search;Union Find;Graph;</v>
      </c>
      <c r="M686" s="35" t="b">
        <f>IFERROR(__xludf.DUMMYFUNCTION("""COMPUTED_VALUE"""),FALSE)</f>
        <v>0</v>
      </c>
      <c r="N686" s="35" t="b">
        <f>IFERROR(__xludf.DUMMYFUNCTION("""COMPUTED_VALUE"""),FALSE)</f>
        <v>0</v>
      </c>
      <c r="O686" s="35">
        <f>IFERROR(__xludf.DUMMYFUNCTION("""COMPUTED_VALUE"""),33.6503565675941)</f>
        <v>33.65035657</v>
      </c>
      <c r="P686" s="35">
        <f>IFERROR(__xludf.DUMMYFUNCTION("""COMPUTED_VALUE"""),50348.0)</f>
        <v>50348</v>
      </c>
      <c r="Q686" s="35">
        <f>IFERROR(__xludf.DUMMYFUNCTION("""COMPUTED_VALUE"""),149620.0)</f>
        <v>149620</v>
      </c>
    </row>
    <row r="687">
      <c r="A687" s="35">
        <f>IFERROR(__xludf.DUMMYFUNCTION("""COMPUTED_VALUE"""),686.0)</f>
        <v>686</v>
      </c>
      <c r="B687" s="35" t="str">
        <f>IFERROR(__xludf.DUMMYFUNCTION("""COMPUTED_VALUE"""),"Repeated String Match")</f>
        <v>Repeated String Match</v>
      </c>
      <c r="C687" s="35" t="str">
        <f>IFERROR(__xludf.DUMMYFUNCTION("""COMPUTED_VALUE"""),"repeated-string-match")</f>
        <v>repeated-string-match</v>
      </c>
      <c r="D687" s="35" t="b">
        <f>IFERROR(__xludf.DUMMYFUNCTION("""COMPUTED_VALUE"""),FALSE)</f>
        <v>0</v>
      </c>
      <c r="E687" s="35" t="str">
        <f>IFERROR(__xludf.DUMMYFUNCTION("""COMPUTED_VALUE"""),"Medium")</f>
        <v>Medium</v>
      </c>
      <c r="F687" s="35">
        <f>IFERROR(__xludf.DUMMYFUNCTION("""COMPUTED_VALUE"""),1353.0)</f>
        <v>1353</v>
      </c>
      <c r="G687" s="35">
        <f>IFERROR(__xludf.DUMMYFUNCTION("""COMPUTED_VALUE"""),891.0)</f>
        <v>891</v>
      </c>
      <c r="H687" s="35" t="str">
        <f>IFERROR(__xludf.DUMMYFUNCTION("""COMPUTED_VALUE"""),"Algorithms")</f>
        <v>Algorithms</v>
      </c>
      <c r="I687" s="35">
        <f>IFERROR(__xludf.DUMMYFUNCTION("""COMPUTED_VALUE"""),0.335)</f>
        <v>0.335</v>
      </c>
      <c r="J687" s="35">
        <f>IFERROR(__xludf.DUMMYFUNCTION("""COMPUTED_VALUE"""),686.0)</f>
        <v>686</v>
      </c>
      <c r="K687" s="35" t="b">
        <f>IFERROR(__xludf.DUMMYFUNCTION("""COMPUTED_VALUE"""),FALSE)</f>
        <v>0</v>
      </c>
      <c r="L687" s="35" t="str">
        <f>IFERROR(__xludf.DUMMYFUNCTION("""COMPUTED_VALUE"""),"String;String Matching;")</f>
        <v>String;String Matching;</v>
      </c>
      <c r="M687" s="35" t="b">
        <f>IFERROR(__xludf.DUMMYFUNCTION("""COMPUTED_VALUE"""),FALSE)</f>
        <v>0</v>
      </c>
      <c r="N687" s="35" t="b">
        <f>IFERROR(__xludf.DUMMYFUNCTION("""COMPUTED_VALUE"""),FALSE)</f>
        <v>0</v>
      </c>
      <c r="O687" s="35">
        <f>IFERROR(__xludf.DUMMYFUNCTION("""COMPUTED_VALUE"""),33.4796386991814)</f>
        <v>33.4796387</v>
      </c>
      <c r="P687" s="35">
        <f>IFERROR(__xludf.DUMMYFUNCTION("""COMPUTED_VALUE"""),118535.0)</f>
        <v>118535</v>
      </c>
      <c r="Q687" s="35">
        <f>IFERROR(__xludf.DUMMYFUNCTION("""COMPUTED_VALUE"""),354047.0)</f>
        <v>354047</v>
      </c>
    </row>
    <row r="688">
      <c r="A688" s="35">
        <f>IFERROR(__xludf.DUMMYFUNCTION("""COMPUTED_VALUE"""),687.0)</f>
        <v>687</v>
      </c>
      <c r="B688" s="35" t="str">
        <f>IFERROR(__xludf.DUMMYFUNCTION("""COMPUTED_VALUE"""),"Longest Univalue Path")</f>
        <v>Longest Univalue Path</v>
      </c>
      <c r="C688" s="35" t="str">
        <f>IFERROR(__xludf.DUMMYFUNCTION("""COMPUTED_VALUE"""),"longest-univalue-path")</f>
        <v>longest-univalue-path</v>
      </c>
      <c r="D688" s="35" t="b">
        <f>IFERROR(__xludf.DUMMYFUNCTION("""COMPUTED_VALUE"""),FALSE)</f>
        <v>0</v>
      </c>
      <c r="E688" s="35" t="str">
        <f>IFERROR(__xludf.DUMMYFUNCTION("""COMPUTED_VALUE"""),"Medium")</f>
        <v>Medium</v>
      </c>
      <c r="F688" s="35">
        <f>IFERROR(__xludf.DUMMYFUNCTION("""COMPUTED_VALUE"""),2966.0)</f>
        <v>2966</v>
      </c>
      <c r="G688" s="35">
        <f>IFERROR(__xludf.DUMMYFUNCTION("""COMPUTED_VALUE"""),604.0)</f>
        <v>604</v>
      </c>
      <c r="H688" s="35" t="str">
        <f>IFERROR(__xludf.DUMMYFUNCTION("""COMPUTED_VALUE"""),"Algorithms")</f>
        <v>Algorithms</v>
      </c>
      <c r="I688" s="35">
        <f>IFERROR(__xludf.DUMMYFUNCTION("""COMPUTED_VALUE"""),0.392)</f>
        <v>0.392</v>
      </c>
      <c r="J688" s="35">
        <f>IFERROR(__xludf.DUMMYFUNCTION("""COMPUTED_VALUE"""),687.0)</f>
        <v>687</v>
      </c>
      <c r="K688" s="35" t="b">
        <f>IFERROR(__xludf.DUMMYFUNCTION("""COMPUTED_VALUE"""),FALSE)</f>
        <v>0</v>
      </c>
      <c r="L688" s="35" t="str">
        <f>IFERROR(__xludf.DUMMYFUNCTION("""COMPUTED_VALUE"""),"Tree;Depth-First Search;Binary Tree;")</f>
        <v>Tree;Depth-First Search;Binary Tree;</v>
      </c>
      <c r="M688" s="35" t="b">
        <f>IFERROR(__xludf.DUMMYFUNCTION("""COMPUTED_VALUE"""),TRUE)</f>
        <v>1</v>
      </c>
      <c r="N688" s="35" t="b">
        <f>IFERROR(__xludf.DUMMYFUNCTION("""COMPUTED_VALUE"""),FALSE)</f>
        <v>0</v>
      </c>
      <c r="O688" s="35">
        <f>IFERROR(__xludf.DUMMYFUNCTION("""COMPUTED_VALUE"""),39.1901636260513)</f>
        <v>39.19016363</v>
      </c>
      <c r="P688" s="35">
        <f>IFERROR(__xludf.DUMMYFUNCTION("""COMPUTED_VALUE"""),137503.0)</f>
        <v>137503</v>
      </c>
      <c r="Q688" s="35">
        <f>IFERROR(__xludf.DUMMYFUNCTION("""COMPUTED_VALUE"""),350861.0)</f>
        <v>350861</v>
      </c>
    </row>
    <row r="689">
      <c r="A689" s="35">
        <f>IFERROR(__xludf.DUMMYFUNCTION("""COMPUTED_VALUE"""),688.0)</f>
        <v>688</v>
      </c>
      <c r="B689" s="35" t="str">
        <f>IFERROR(__xludf.DUMMYFUNCTION("""COMPUTED_VALUE"""),"Knight Probability in Chessboard")</f>
        <v>Knight Probability in Chessboard</v>
      </c>
      <c r="C689" s="35" t="str">
        <f>IFERROR(__xludf.DUMMYFUNCTION("""COMPUTED_VALUE"""),"knight-probability-in-chessboard")</f>
        <v>knight-probability-in-chessboard</v>
      </c>
      <c r="D689" s="35" t="b">
        <f>IFERROR(__xludf.DUMMYFUNCTION("""COMPUTED_VALUE"""),FALSE)</f>
        <v>0</v>
      </c>
      <c r="E689" s="35" t="str">
        <f>IFERROR(__xludf.DUMMYFUNCTION("""COMPUTED_VALUE"""),"Medium")</f>
        <v>Medium</v>
      </c>
      <c r="F689" s="35">
        <f>IFERROR(__xludf.DUMMYFUNCTION("""COMPUTED_VALUE"""),1857.0)</f>
        <v>1857</v>
      </c>
      <c r="G689" s="35">
        <f>IFERROR(__xludf.DUMMYFUNCTION("""COMPUTED_VALUE"""),285.0)</f>
        <v>285</v>
      </c>
      <c r="H689" s="35" t="str">
        <f>IFERROR(__xludf.DUMMYFUNCTION("""COMPUTED_VALUE"""),"Algorithms")</f>
        <v>Algorithms</v>
      </c>
      <c r="I689" s="35">
        <f>IFERROR(__xludf.DUMMYFUNCTION("""COMPUTED_VALUE"""),0.515)</f>
        <v>0.515</v>
      </c>
      <c r="J689" s="35">
        <f>IFERROR(__xludf.DUMMYFUNCTION("""COMPUTED_VALUE"""),688.0)</f>
        <v>688</v>
      </c>
      <c r="K689" s="35" t="b">
        <f>IFERROR(__xludf.DUMMYFUNCTION("""COMPUTED_VALUE"""),FALSE)</f>
        <v>0</v>
      </c>
      <c r="L689" s="35" t="str">
        <f>IFERROR(__xludf.DUMMYFUNCTION("""COMPUTED_VALUE"""),"Dynamic Programming;")</f>
        <v>Dynamic Programming;</v>
      </c>
      <c r="M689" s="35" t="b">
        <f>IFERROR(__xludf.DUMMYFUNCTION("""COMPUTED_VALUE"""),TRUE)</f>
        <v>1</v>
      </c>
      <c r="N689" s="35" t="b">
        <f>IFERROR(__xludf.DUMMYFUNCTION("""COMPUTED_VALUE"""),FALSE)</f>
        <v>0</v>
      </c>
      <c r="O689" s="35">
        <f>IFERROR(__xludf.DUMMYFUNCTION("""COMPUTED_VALUE"""),51.48775493924)</f>
        <v>51.48775494</v>
      </c>
      <c r="P689" s="35">
        <f>IFERROR(__xludf.DUMMYFUNCTION("""COMPUTED_VALUE"""),77452.0)</f>
        <v>77452</v>
      </c>
      <c r="Q689" s="35">
        <f>IFERROR(__xludf.DUMMYFUNCTION("""COMPUTED_VALUE"""),150428.0)</f>
        <v>150428</v>
      </c>
    </row>
    <row r="690">
      <c r="A690" s="35">
        <f>IFERROR(__xludf.DUMMYFUNCTION("""COMPUTED_VALUE"""),689.0)</f>
        <v>689</v>
      </c>
      <c r="B690" s="35" t="str">
        <f>IFERROR(__xludf.DUMMYFUNCTION("""COMPUTED_VALUE"""),"Maximum Sum of 3 Non-Overlapping Subarrays")</f>
        <v>Maximum Sum of 3 Non-Overlapping Subarrays</v>
      </c>
      <c r="C690" s="35" t="str">
        <f>IFERROR(__xludf.DUMMYFUNCTION("""COMPUTED_VALUE"""),"maximum-sum-of-3-non-overlapping-subarrays")</f>
        <v>maximum-sum-of-3-non-overlapping-subarrays</v>
      </c>
      <c r="D690" s="35" t="b">
        <f>IFERROR(__xludf.DUMMYFUNCTION("""COMPUTED_VALUE"""),FALSE)</f>
        <v>0</v>
      </c>
      <c r="E690" s="35" t="str">
        <f>IFERROR(__xludf.DUMMYFUNCTION("""COMPUTED_VALUE"""),"Hard")</f>
        <v>Hard</v>
      </c>
      <c r="F690" s="35">
        <f>IFERROR(__xludf.DUMMYFUNCTION("""COMPUTED_VALUE"""),1572.0)</f>
        <v>1572</v>
      </c>
      <c r="G690" s="35">
        <f>IFERROR(__xludf.DUMMYFUNCTION("""COMPUTED_VALUE"""),95.0)</f>
        <v>95</v>
      </c>
      <c r="H690" s="35" t="str">
        <f>IFERROR(__xludf.DUMMYFUNCTION("""COMPUTED_VALUE"""),"Algorithms")</f>
        <v>Algorithms</v>
      </c>
      <c r="I690" s="35">
        <f>IFERROR(__xludf.DUMMYFUNCTION("""COMPUTED_VALUE"""),0.484)</f>
        <v>0.484</v>
      </c>
      <c r="J690" s="35">
        <f>IFERROR(__xludf.DUMMYFUNCTION("""COMPUTED_VALUE"""),689.0)</f>
        <v>689</v>
      </c>
      <c r="K690" s="35" t="b">
        <f>IFERROR(__xludf.DUMMYFUNCTION("""COMPUTED_VALUE"""),FALSE)</f>
        <v>0</v>
      </c>
      <c r="L690" s="35" t="str">
        <f>IFERROR(__xludf.DUMMYFUNCTION("""COMPUTED_VALUE"""),"Array;Dynamic Programming;")</f>
        <v>Array;Dynamic Programming;</v>
      </c>
      <c r="M690" s="35" t="b">
        <f>IFERROR(__xludf.DUMMYFUNCTION("""COMPUTED_VALUE"""),TRUE)</f>
        <v>1</v>
      </c>
      <c r="N690" s="35" t="b">
        <f>IFERROR(__xludf.DUMMYFUNCTION("""COMPUTED_VALUE"""),FALSE)</f>
        <v>0</v>
      </c>
      <c r="O690" s="35">
        <f>IFERROR(__xludf.DUMMYFUNCTION("""COMPUTED_VALUE"""),48.3613992191505)</f>
        <v>48.36139922</v>
      </c>
      <c r="P690" s="35">
        <f>IFERROR(__xludf.DUMMYFUNCTION("""COMPUTED_VALUE"""),61310.0)</f>
        <v>61310</v>
      </c>
      <c r="Q690" s="35">
        <f>IFERROR(__xludf.DUMMYFUNCTION("""COMPUTED_VALUE"""),126767.0)</f>
        <v>126767</v>
      </c>
    </row>
    <row r="691">
      <c r="A691" s="35">
        <f>IFERROR(__xludf.DUMMYFUNCTION("""COMPUTED_VALUE"""),690.0)</f>
        <v>690</v>
      </c>
      <c r="B691" s="35" t="str">
        <f>IFERROR(__xludf.DUMMYFUNCTION("""COMPUTED_VALUE"""),"Employee Importance")</f>
        <v>Employee Importance</v>
      </c>
      <c r="C691" s="35" t="str">
        <f>IFERROR(__xludf.DUMMYFUNCTION("""COMPUTED_VALUE"""),"employee-importance")</f>
        <v>employee-importance</v>
      </c>
      <c r="D691" s="35" t="b">
        <f>IFERROR(__xludf.DUMMYFUNCTION("""COMPUTED_VALUE"""),FALSE)</f>
        <v>0</v>
      </c>
      <c r="E691" s="35" t="str">
        <f>IFERROR(__xludf.DUMMYFUNCTION("""COMPUTED_VALUE"""),"Medium")</f>
        <v>Medium</v>
      </c>
      <c r="F691" s="35">
        <f>IFERROR(__xludf.DUMMYFUNCTION("""COMPUTED_VALUE"""),1515.0)</f>
        <v>1515</v>
      </c>
      <c r="G691" s="35">
        <f>IFERROR(__xludf.DUMMYFUNCTION("""COMPUTED_VALUE"""),1216.0)</f>
        <v>1216</v>
      </c>
      <c r="H691" s="35" t="str">
        <f>IFERROR(__xludf.DUMMYFUNCTION("""COMPUTED_VALUE"""),"Algorithms")</f>
        <v>Algorithms</v>
      </c>
      <c r="I691" s="35">
        <f>IFERROR(__xludf.DUMMYFUNCTION("""COMPUTED_VALUE"""),0.636)</f>
        <v>0.636</v>
      </c>
      <c r="J691" s="35">
        <f>IFERROR(__xludf.DUMMYFUNCTION("""COMPUTED_VALUE"""),690.0)</f>
        <v>690</v>
      </c>
      <c r="K691" s="35" t="b">
        <f>IFERROR(__xludf.DUMMYFUNCTION("""COMPUTED_VALUE"""),FALSE)</f>
        <v>0</v>
      </c>
      <c r="L691" s="35" t="str">
        <f>IFERROR(__xludf.DUMMYFUNCTION("""COMPUTED_VALUE"""),"Hash Table;Depth-First Search;Breadth-First Search;")</f>
        <v>Hash Table;Depth-First Search;Breadth-First Search;</v>
      </c>
      <c r="M691" s="35" t="b">
        <f>IFERROR(__xludf.DUMMYFUNCTION("""COMPUTED_VALUE"""),TRUE)</f>
        <v>1</v>
      </c>
      <c r="N691" s="35" t="b">
        <f>IFERROR(__xludf.DUMMYFUNCTION("""COMPUTED_VALUE"""),FALSE)</f>
        <v>0</v>
      </c>
      <c r="O691" s="35">
        <f>IFERROR(__xludf.DUMMYFUNCTION("""COMPUTED_VALUE"""),63.5845055248305)</f>
        <v>63.58450552</v>
      </c>
      <c r="P691" s="35">
        <f>IFERROR(__xludf.DUMMYFUNCTION("""COMPUTED_VALUE"""),168199.0)</f>
        <v>168199</v>
      </c>
      <c r="Q691" s="35">
        <f>IFERROR(__xludf.DUMMYFUNCTION("""COMPUTED_VALUE"""),264529.0)</f>
        <v>264529</v>
      </c>
    </row>
    <row r="692">
      <c r="A692" s="35">
        <f>IFERROR(__xludf.DUMMYFUNCTION("""COMPUTED_VALUE"""),691.0)</f>
        <v>691</v>
      </c>
      <c r="B692" s="35" t="str">
        <f>IFERROR(__xludf.DUMMYFUNCTION("""COMPUTED_VALUE"""),"Stickers to Spell Word")</f>
        <v>Stickers to Spell Word</v>
      </c>
      <c r="C692" s="35" t="str">
        <f>IFERROR(__xludf.DUMMYFUNCTION("""COMPUTED_VALUE"""),"stickers-to-spell-word")</f>
        <v>stickers-to-spell-word</v>
      </c>
      <c r="D692" s="35" t="b">
        <f>IFERROR(__xludf.DUMMYFUNCTION("""COMPUTED_VALUE"""),FALSE)</f>
        <v>0</v>
      </c>
      <c r="E692" s="35" t="str">
        <f>IFERROR(__xludf.DUMMYFUNCTION("""COMPUTED_VALUE"""),"Hard")</f>
        <v>Hard</v>
      </c>
      <c r="F692" s="35">
        <f>IFERROR(__xludf.DUMMYFUNCTION("""COMPUTED_VALUE"""),695.0)</f>
        <v>695</v>
      </c>
      <c r="G692" s="35">
        <f>IFERROR(__xludf.DUMMYFUNCTION("""COMPUTED_VALUE"""),67.0)</f>
        <v>67</v>
      </c>
      <c r="H692" s="35" t="str">
        <f>IFERROR(__xludf.DUMMYFUNCTION("""COMPUTED_VALUE"""),"Algorithms")</f>
        <v>Algorithms</v>
      </c>
      <c r="I692" s="35">
        <f>IFERROR(__xludf.DUMMYFUNCTION("""COMPUTED_VALUE"""),0.467)</f>
        <v>0.467</v>
      </c>
      <c r="J692" s="35">
        <f>IFERROR(__xludf.DUMMYFUNCTION("""COMPUTED_VALUE"""),691.0)</f>
        <v>691</v>
      </c>
      <c r="K692" s="35" t="b">
        <f>IFERROR(__xludf.DUMMYFUNCTION("""COMPUTED_VALUE"""),FALSE)</f>
        <v>0</v>
      </c>
      <c r="L692" s="35" t="str">
        <f>IFERROR(__xludf.DUMMYFUNCTION("""COMPUTED_VALUE"""),"Dynamic Programming;Backtracking;Bit Manipulation;Bitmask;")</f>
        <v>Dynamic Programming;Backtracking;Bit Manipulation;Bitmask;</v>
      </c>
      <c r="M692" s="35" t="b">
        <f>IFERROR(__xludf.DUMMYFUNCTION("""COMPUTED_VALUE"""),FALSE)</f>
        <v>0</v>
      </c>
      <c r="N692" s="35" t="b">
        <f>IFERROR(__xludf.DUMMYFUNCTION("""COMPUTED_VALUE"""),FALSE)</f>
        <v>0</v>
      </c>
      <c r="O692" s="35">
        <f>IFERROR(__xludf.DUMMYFUNCTION("""COMPUTED_VALUE"""),46.739286684023)</f>
        <v>46.73928668</v>
      </c>
      <c r="P692" s="35">
        <f>IFERROR(__xludf.DUMMYFUNCTION("""COMPUTED_VALUE"""),29263.0)</f>
        <v>29263</v>
      </c>
      <c r="Q692" s="35">
        <f>IFERROR(__xludf.DUMMYFUNCTION("""COMPUTED_VALUE"""),62608.0)</f>
        <v>62608</v>
      </c>
    </row>
    <row r="693">
      <c r="A693" s="35">
        <f>IFERROR(__xludf.DUMMYFUNCTION("""COMPUTED_VALUE"""),692.0)</f>
        <v>692</v>
      </c>
      <c r="B693" s="35" t="str">
        <f>IFERROR(__xludf.DUMMYFUNCTION("""COMPUTED_VALUE"""),"Top K Frequent Words")</f>
        <v>Top K Frequent Words</v>
      </c>
      <c r="C693" s="35" t="str">
        <f>IFERROR(__xludf.DUMMYFUNCTION("""COMPUTED_VALUE"""),"top-k-frequent-words")</f>
        <v>top-k-frequent-words</v>
      </c>
      <c r="D693" s="35" t="b">
        <f>IFERROR(__xludf.DUMMYFUNCTION("""COMPUTED_VALUE"""),FALSE)</f>
        <v>0</v>
      </c>
      <c r="E693" s="35" t="str">
        <f>IFERROR(__xludf.DUMMYFUNCTION("""COMPUTED_VALUE"""),"Medium")</f>
        <v>Medium</v>
      </c>
      <c r="F693" s="35">
        <f>IFERROR(__xludf.DUMMYFUNCTION("""COMPUTED_VALUE"""),4173.0)</f>
        <v>4173</v>
      </c>
      <c r="G693" s="35">
        <f>IFERROR(__xludf.DUMMYFUNCTION("""COMPUTED_VALUE"""),240.0)</f>
        <v>240</v>
      </c>
      <c r="H693" s="35" t="str">
        <f>IFERROR(__xludf.DUMMYFUNCTION("""COMPUTED_VALUE"""),"Algorithms")</f>
        <v>Algorithms</v>
      </c>
      <c r="I693" s="35">
        <f>IFERROR(__xludf.DUMMYFUNCTION("""COMPUTED_VALUE"""),0.542)</f>
        <v>0.542</v>
      </c>
      <c r="J693" s="35">
        <f>IFERROR(__xludf.DUMMYFUNCTION("""COMPUTED_VALUE"""),692.0)</f>
        <v>692</v>
      </c>
      <c r="K693" s="35" t="b">
        <f>IFERROR(__xludf.DUMMYFUNCTION("""COMPUTED_VALUE"""),FALSE)</f>
        <v>0</v>
      </c>
      <c r="L693" s="35" t="str">
        <f>IFERROR(__xludf.DUMMYFUNCTION("""COMPUTED_VALUE"""),"Hash Table;String;Trie;Sorting;Heap (Priority Queue);Bucket Sort;Counting;")</f>
        <v>Hash Table;String;Trie;Sorting;Heap (Priority Queue);Bucket Sort;Counting;</v>
      </c>
      <c r="M693" s="35" t="b">
        <f>IFERROR(__xludf.DUMMYFUNCTION("""COMPUTED_VALUE"""),FALSE)</f>
        <v>0</v>
      </c>
      <c r="N693" s="35" t="b">
        <f>IFERROR(__xludf.DUMMYFUNCTION("""COMPUTED_VALUE"""),FALSE)</f>
        <v>0</v>
      </c>
      <c r="O693" s="35">
        <f>IFERROR(__xludf.DUMMYFUNCTION("""COMPUTED_VALUE"""),54.2226294063135)</f>
        <v>54.22262941</v>
      </c>
      <c r="P693" s="35">
        <f>IFERROR(__xludf.DUMMYFUNCTION("""COMPUTED_VALUE"""),360426.0)</f>
        <v>360426</v>
      </c>
      <c r="Q693" s="35">
        <f>IFERROR(__xludf.DUMMYFUNCTION("""COMPUTED_VALUE"""),664720.0)</f>
        <v>664720</v>
      </c>
    </row>
    <row r="694">
      <c r="A694" s="35">
        <f>IFERROR(__xludf.DUMMYFUNCTION("""COMPUTED_VALUE"""),693.0)</f>
        <v>693</v>
      </c>
      <c r="B694" s="35" t="str">
        <f>IFERROR(__xludf.DUMMYFUNCTION("""COMPUTED_VALUE"""),"Binary Number with Alternating Bits")</f>
        <v>Binary Number with Alternating Bits</v>
      </c>
      <c r="C694" s="35" t="str">
        <f>IFERROR(__xludf.DUMMYFUNCTION("""COMPUTED_VALUE"""),"binary-number-with-alternating-bits")</f>
        <v>binary-number-with-alternating-bits</v>
      </c>
      <c r="D694" s="35" t="b">
        <f>IFERROR(__xludf.DUMMYFUNCTION("""COMPUTED_VALUE"""),FALSE)</f>
        <v>0</v>
      </c>
      <c r="E694" s="35" t="str">
        <f>IFERROR(__xludf.DUMMYFUNCTION("""COMPUTED_VALUE"""),"Easy")</f>
        <v>Easy</v>
      </c>
      <c r="F694" s="35">
        <f>IFERROR(__xludf.DUMMYFUNCTION("""COMPUTED_VALUE"""),875.0)</f>
        <v>875</v>
      </c>
      <c r="G694" s="35">
        <f>IFERROR(__xludf.DUMMYFUNCTION("""COMPUTED_VALUE"""),101.0)</f>
        <v>101</v>
      </c>
      <c r="H694" s="35" t="str">
        <f>IFERROR(__xludf.DUMMYFUNCTION("""COMPUTED_VALUE"""),"Algorithms")</f>
        <v>Algorithms</v>
      </c>
      <c r="I694" s="35">
        <f>IFERROR(__xludf.DUMMYFUNCTION("""COMPUTED_VALUE"""),0.607)</f>
        <v>0.607</v>
      </c>
      <c r="J694" s="35">
        <f>IFERROR(__xludf.DUMMYFUNCTION("""COMPUTED_VALUE"""),693.0)</f>
        <v>693</v>
      </c>
      <c r="K694" s="35" t="b">
        <f>IFERROR(__xludf.DUMMYFUNCTION("""COMPUTED_VALUE"""),FALSE)</f>
        <v>0</v>
      </c>
      <c r="L694" s="35" t="str">
        <f>IFERROR(__xludf.DUMMYFUNCTION("""COMPUTED_VALUE"""),"Bit Manipulation;")</f>
        <v>Bit Manipulation;</v>
      </c>
      <c r="M694" s="35" t="b">
        <f>IFERROR(__xludf.DUMMYFUNCTION("""COMPUTED_VALUE"""),TRUE)</f>
        <v>1</v>
      </c>
      <c r="N694" s="35" t="b">
        <f>IFERROR(__xludf.DUMMYFUNCTION("""COMPUTED_VALUE"""),FALSE)</f>
        <v>0</v>
      </c>
      <c r="O694" s="35">
        <f>IFERROR(__xludf.DUMMYFUNCTION("""COMPUTED_VALUE"""),60.7252229057698)</f>
        <v>60.72522291</v>
      </c>
      <c r="P694" s="35">
        <f>IFERROR(__xludf.DUMMYFUNCTION("""COMPUTED_VALUE"""),89628.0)</f>
        <v>89628</v>
      </c>
      <c r="Q694" s="35">
        <f>IFERROR(__xludf.DUMMYFUNCTION("""COMPUTED_VALUE"""),147596.0)</f>
        <v>147596</v>
      </c>
    </row>
    <row r="695">
      <c r="A695" s="35">
        <f>IFERROR(__xludf.DUMMYFUNCTION("""COMPUTED_VALUE"""),694.0)</f>
        <v>694</v>
      </c>
      <c r="B695" s="35" t="str">
        <f>IFERROR(__xludf.DUMMYFUNCTION("""COMPUTED_VALUE"""),"Number of Distinct Islands")</f>
        <v>Number of Distinct Islands</v>
      </c>
      <c r="C695" s="35" t="str">
        <f>IFERROR(__xludf.DUMMYFUNCTION("""COMPUTED_VALUE"""),"number-of-distinct-islands")</f>
        <v>number-of-distinct-islands</v>
      </c>
      <c r="D695" s="35" t="b">
        <f>IFERROR(__xludf.DUMMYFUNCTION("""COMPUTED_VALUE"""),TRUE)</f>
        <v>1</v>
      </c>
      <c r="E695" s="35" t="str">
        <f>IFERROR(__xludf.DUMMYFUNCTION("""COMPUTED_VALUE"""),"Medium")</f>
        <v>Medium</v>
      </c>
      <c r="F695" s="35">
        <f>IFERROR(__xludf.DUMMYFUNCTION("""COMPUTED_VALUE"""),1671.0)</f>
        <v>1671</v>
      </c>
      <c r="G695" s="35">
        <f>IFERROR(__xludf.DUMMYFUNCTION("""COMPUTED_VALUE"""),95.0)</f>
        <v>95</v>
      </c>
      <c r="H695" s="35" t="str">
        <f>IFERROR(__xludf.DUMMYFUNCTION("""COMPUTED_VALUE"""),"Algorithms")</f>
        <v>Algorithms</v>
      </c>
      <c r="I695" s="35">
        <f>IFERROR(__xludf.DUMMYFUNCTION("""COMPUTED_VALUE"""),0.595)</f>
        <v>0.595</v>
      </c>
      <c r="J695" s="35">
        <f>IFERROR(__xludf.DUMMYFUNCTION("""COMPUTED_VALUE"""),694.0)</f>
        <v>694</v>
      </c>
      <c r="K695" s="35" t="b">
        <f>IFERROR(__xludf.DUMMYFUNCTION("""COMPUTED_VALUE"""),TRUE)</f>
        <v>1</v>
      </c>
      <c r="L695" s="35" t="str">
        <f>IFERROR(__xludf.DUMMYFUNCTION("""COMPUTED_VALUE"""),"Hash Table;Depth-First Search;Breadth-First Search;Union Find;Hash Function;")</f>
        <v>Hash Table;Depth-First Search;Breadth-First Search;Union Find;Hash Function;</v>
      </c>
      <c r="M695" s="35" t="b">
        <f>IFERROR(__xludf.DUMMYFUNCTION("""COMPUTED_VALUE"""),TRUE)</f>
        <v>1</v>
      </c>
      <c r="N695" s="35" t="b">
        <f>IFERROR(__xludf.DUMMYFUNCTION("""COMPUTED_VALUE"""),TRUE)</f>
        <v>1</v>
      </c>
      <c r="O695" s="35">
        <f>IFERROR(__xludf.DUMMYFUNCTION("""COMPUTED_VALUE"""),59.5115746629356)</f>
        <v>59.51157466</v>
      </c>
      <c r="P695" s="35">
        <f>IFERROR(__xludf.DUMMYFUNCTION("""COMPUTED_VALUE"""),116970.0)</f>
        <v>116970</v>
      </c>
      <c r="Q695" s="35">
        <f>IFERROR(__xludf.DUMMYFUNCTION("""COMPUTED_VALUE"""),196550.0)</f>
        <v>196550</v>
      </c>
    </row>
    <row r="696">
      <c r="A696" s="35">
        <f>IFERROR(__xludf.DUMMYFUNCTION("""COMPUTED_VALUE"""),695.0)</f>
        <v>695</v>
      </c>
      <c r="B696" s="35" t="str">
        <f>IFERROR(__xludf.DUMMYFUNCTION("""COMPUTED_VALUE"""),"Max Area of Island")</f>
        <v>Max Area of Island</v>
      </c>
      <c r="C696" s="35" t="str">
        <f>IFERROR(__xludf.DUMMYFUNCTION("""COMPUTED_VALUE"""),"max-area-of-island")</f>
        <v>max-area-of-island</v>
      </c>
      <c r="D696" s="35" t="b">
        <f>IFERROR(__xludf.DUMMYFUNCTION("""COMPUTED_VALUE"""),FALSE)</f>
        <v>0</v>
      </c>
      <c r="E696" s="35" t="str">
        <f>IFERROR(__xludf.DUMMYFUNCTION("""COMPUTED_VALUE"""),"Medium")</f>
        <v>Medium</v>
      </c>
      <c r="F696" s="35">
        <f>IFERROR(__xludf.DUMMYFUNCTION("""COMPUTED_VALUE"""),5504.0)</f>
        <v>5504</v>
      </c>
      <c r="G696" s="35">
        <f>IFERROR(__xludf.DUMMYFUNCTION("""COMPUTED_VALUE"""),142.0)</f>
        <v>142</v>
      </c>
      <c r="H696" s="35" t="str">
        <f>IFERROR(__xludf.DUMMYFUNCTION("""COMPUTED_VALUE"""),"Algorithms")</f>
        <v>Algorithms</v>
      </c>
      <c r="I696" s="35">
        <f>IFERROR(__xludf.DUMMYFUNCTION("""COMPUTED_VALUE"""),0.692)</f>
        <v>0.692</v>
      </c>
      <c r="J696" s="35">
        <f>IFERROR(__xludf.DUMMYFUNCTION("""COMPUTED_VALUE"""),695.0)</f>
        <v>695</v>
      </c>
      <c r="K696" s="35" t="b">
        <f>IFERROR(__xludf.DUMMYFUNCTION("""COMPUTED_VALUE"""),FALSE)</f>
        <v>0</v>
      </c>
      <c r="L696" s="35" t="str">
        <f>IFERROR(__xludf.DUMMYFUNCTION("""COMPUTED_VALUE"""),"Array;Depth-First Search;Breadth-First Search;Union Find;Matrix;")</f>
        <v>Array;Depth-First Search;Breadth-First Search;Union Find;Matrix;</v>
      </c>
      <c r="M696" s="35" t="b">
        <f>IFERROR(__xludf.DUMMYFUNCTION("""COMPUTED_VALUE"""),TRUE)</f>
        <v>1</v>
      </c>
      <c r="N696" s="35" t="b">
        <f>IFERROR(__xludf.DUMMYFUNCTION("""COMPUTED_VALUE"""),FALSE)</f>
        <v>0</v>
      </c>
      <c r="O696" s="35">
        <f>IFERROR(__xludf.DUMMYFUNCTION("""COMPUTED_VALUE"""),69.1799305607237)</f>
        <v>69.17993056</v>
      </c>
      <c r="P696" s="35">
        <f>IFERROR(__xludf.DUMMYFUNCTION("""COMPUTED_VALUE"""),427582.0)</f>
        <v>427582</v>
      </c>
      <c r="Q696" s="35">
        <f>IFERROR(__xludf.DUMMYFUNCTION("""COMPUTED_VALUE"""),618077.0)</f>
        <v>618077</v>
      </c>
    </row>
    <row r="697">
      <c r="A697" s="35">
        <f>IFERROR(__xludf.DUMMYFUNCTION("""COMPUTED_VALUE"""),696.0)</f>
        <v>696</v>
      </c>
      <c r="B697" s="35" t="str">
        <f>IFERROR(__xludf.DUMMYFUNCTION("""COMPUTED_VALUE"""),"Count Binary Substrings")</f>
        <v>Count Binary Substrings</v>
      </c>
      <c r="C697" s="35" t="str">
        <f>IFERROR(__xludf.DUMMYFUNCTION("""COMPUTED_VALUE"""),"count-binary-substrings")</f>
        <v>count-binary-substrings</v>
      </c>
      <c r="D697" s="35" t="b">
        <f>IFERROR(__xludf.DUMMYFUNCTION("""COMPUTED_VALUE"""),FALSE)</f>
        <v>0</v>
      </c>
      <c r="E697" s="35" t="str">
        <f>IFERROR(__xludf.DUMMYFUNCTION("""COMPUTED_VALUE"""),"Easy")</f>
        <v>Easy</v>
      </c>
      <c r="F697" s="35">
        <f>IFERROR(__xludf.DUMMYFUNCTION("""COMPUTED_VALUE"""),2678.0)</f>
        <v>2678</v>
      </c>
      <c r="G697" s="35">
        <f>IFERROR(__xludf.DUMMYFUNCTION("""COMPUTED_VALUE"""),562.0)</f>
        <v>562</v>
      </c>
      <c r="H697" s="35" t="str">
        <f>IFERROR(__xludf.DUMMYFUNCTION("""COMPUTED_VALUE"""),"Algorithms")</f>
        <v>Algorithms</v>
      </c>
      <c r="I697" s="35">
        <f>IFERROR(__xludf.DUMMYFUNCTION("""COMPUTED_VALUE"""),0.646)</f>
        <v>0.646</v>
      </c>
      <c r="J697" s="35">
        <f>IFERROR(__xludf.DUMMYFUNCTION("""COMPUTED_VALUE"""),696.0)</f>
        <v>696</v>
      </c>
      <c r="K697" s="35" t="b">
        <f>IFERROR(__xludf.DUMMYFUNCTION("""COMPUTED_VALUE"""),FALSE)</f>
        <v>0</v>
      </c>
      <c r="L697" s="35" t="str">
        <f>IFERROR(__xludf.DUMMYFUNCTION("""COMPUTED_VALUE"""),"Two Pointers;String;")</f>
        <v>Two Pointers;String;</v>
      </c>
      <c r="M697" s="35" t="b">
        <f>IFERROR(__xludf.DUMMYFUNCTION("""COMPUTED_VALUE"""),TRUE)</f>
        <v>1</v>
      </c>
      <c r="N697" s="35" t="b">
        <f>IFERROR(__xludf.DUMMYFUNCTION("""COMPUTED_VALUE"""),FALSE)</f>
        <v>0</v>
      </c>
      <c r="O697" s="35">
        <f>IFERROR(__xludf.DUMMYFUNCTION("""COMPUTED_VALUE"""),64.5622970352545)</f>
        <v>64.56229704</v>
      </c>
      <c r="P697" s="35">
        <f>IFERROR(__xludf.DUMMYFUNCTION("""COMPUTED_VALUE"""),138170.0)</f>
        <v>138170</v>
      </c>
      <c r="Q697" s="35">
        <f>IFERROR(__xludf.DUMMYFUNCTION("""COMPUTED_VALUE"""),214010.0)</f>
        <v>214010</v>
      </c>
    </row>
    <row r="698">
      <c r="A698" s="35">
        <f>IFERROR(__xludf.DUMMYFUNCTION("""COMPUTED_VALUE"""),697.0)</f>
        <v>697</v>
      </c>
      <c r="B698" s="35" t="str">
        <f>IFERROR(__xludf.DUMMYFUNCTION("""COMPUTED_VALUE"""),"Degree of an Array")</f>
        <v>Degree of an Array</v>
      </c>
      <c r="C698" s="35" t="str">
        <f>IFERROR(__xludf.DUMMYFUNCTION("""COMPUTED_VALUE"""),"degree-of-an-array")</f>
        <v>degree-of-an-array</v>
      </c>
      <c r="D698" s="35" t="b">
        <f>IFERROR(__xludf.DUMMYFUNCTION("""COMPUTED_VALUE"""),FALSE)</f>
        <v>0</v>
      </c>
      <c r="E698" s="35" t="str">
        <f>IFERROR(__xludf.DUMMYFUNCTION("""COMPUTED_VALUE"""),"Easy")</f>
        <v>Easy</v>
      </c>
      <c r="F698" s="35">
        <f>IFERROR(__xludf.DUMMYFUNCTION("""COMPUTED_VALUE"""),1894.0)</f>
        <v>1894</v>
      </c>
      <c r="G698" s="35">
        <f>IFERROR(__xludf.DUMMYFUNCTION("""COMPUTED_VALUE"""),1246.0)</f>
        <v>1246</v>
      </c>
      <c r="H698" s="35" t="str">
        <f>IFERROR(__xludf.DUMMYFUNCTION("""COMPUTED_VALUE"""),"Algorithms")</f>
        <v>Algorithms</v>
      </c>
      <c r="I698" s="35">
        <f>IFERROR(__xludf.DUMMYFUNCTION("""COMPUTED_VALUE"""),0.556)</f>
        <v>0.556</v>
      </c>
      <c r="J698" s="35">
        <f>IFERROR(__xludf.DUMMYFUNCTION("""COMPUTED_VALUE"""),697.0)</f>
        <v>697</v>
      </c>
      <c r="K698" s="35" t="b">
        <f>IFERROR(__xludf.DUMMYFUNCTION("""COMPUTED_VALUE"""),FALSE)</f>
        <v>0</v>
      </c>
      <c r="L698" s="35" t="str">
        <f>IFERROR(__xludf.DUMMYFUNCTION("""COMPUTED_VALUE"""),"Array;Hash Table;")</f>
        <v>Array;Hash Table;</v>
      </c>
      <c r="M698" s="35" t="b">
        <f>IFERROR(__xludf.DUMMYFUNCTION("""COMPUTED_VALUE"""),TRUE)</f>
        <v>1</v>
      </c>
      <c r="N698" s="35" t="b">
        <f>IFERROR(__xludf.DUMMYFUNCTION("""COMPUTED_VALUE"""),FALSE)</f>
        <v>0</v>
      </c>
      <c r="O698" s="35">
        <f>IFERROR(__xludf.DUMMYFUNCTION("""COMPUTED_VALUE"""),55.5757615622424)</f>
        <v>55.57576156</v>
      </c>
      <c r="P698" s="35">
        <f>IFERROR(__xludf.DUMMYFUNCTION("""COMPUTED_VALUE"""),143635.0)</f>
        <v>143635</v>
      </c>
      <c r="Q698" s="35">
        <f>IFERROR(__xludf.DUMMYFUNCTION("""COMPUTED_VALUE"""),258449.0)</f>
        <v>258449</v>
      </c>
    </row>
    <row r="699">
      <c r="A699" s="35">
        <f>IFERROR(__xludf.DUMMYFUNCTION("""COMPUTED_VALUE"""),698.0)</f>
        <v>698</v>
      </c>
      <c r="B699" s="35" t="str">
        <f>IFERROR(__xludf.DUMMYFUNCTION("""COMPUTED_VALUE"""),"Partition to K Equal Sum Subsets")</f>
        <v>Partition to K Equal Sum Subsets</v>
      </c>
      <c r="C699" s="35" t="str">
        <f>IFERROR(__xludf.DUMMYFUNCTION("""COMPUTED_VALUE"""),"partition-to-k-equal-sum-subsets")</f>
        <v>partition-to-k-equal-sum-subsets</v>
      </c>
      <c r="D699" s="35" t="b">
        <f>IFERROR(__xludf.DUMMYFUNCTION("""COMPUTED_VALUE"""),FALSE)</f>
        <v>0</v>
      </c>
      <c r="E699" s="35" t="str">
        <f>IFERROR(__xludf.DUMMYFUNCTION("""COMPUTED_VALUE"""),"Medium")</f>
        <v>Medium</v>
      </c>
      <c r="F699" s="35">
        <f>IFERROR(__xludf.DUMMYFUNCTION("""COMPUTED_VALUE"""),4513.0)</f>
        <v>4513</v>
      </c>
      <c r="G699" s="35">
        <f>IFERROR(__xludf.DUMMYFUNCTION("""COMPUTED_VALUE"""),280.0)</f>
        <v>280</v>
      </c>
      <c r="H699" s="35" t="str">
        <f>IFERROR(__xludf.DUMMYFUNCTION("""COMPUTED_VALUE"""),"Algorithms")</f>
        <v>Algorithms</v>
      </c>
      <c r="I699" s="35">
        <f>IFERROR(__xludf.DUMMYFUNCTION("""COMPUTED_VALUE"""),0.448)</f>
        <v>0.448</v>
      </c>
      <c r="J699" s="35">
        <f>IFERROR(__xludf.DUMMYFUNCTION("""COMPUTED_VALUE"""),698.0)</f>
        <v>698</v>
      </c>
      <c r="K699" s="35" t="b">
        <f>IFERROR(__xludf.DUMMYFUNCTION("""COMPUTED_VALUE"""),FALSE)</f>
        <v>0</v>
      </c>
      <c r="L699" s="35" t="str">
        <f>IFERROR(__xludf.DUMMYFUNCTION("""COMPUTED_VALUE"""),"Array;Dynamic Programming;Backtracking;Bit Manipulation;Memoization;Bitmask;")</f>
        <v>Array;Dynamic Programming;Backtracking;Bit Manipulation;Memoization;Bitmask;</v>
      </c>
      <c r="M699" s="35" t="b">
        <f>IFERROR(__xludf.DUMMYFUNCTION("""COMPUTED_VALUE"""),TRUE)</f>
        <v>1</v>
      </c>
      <c r="N699" s="35" t="b">
        <f>IFERROR(__xludf.DUMMYFUNCTION("""COMPUTED_VALUE"""),FALSE)</f>
        <v>0</v>
      </c>
      <c r="O699" s="35">
        <f>IFERROR(__xludf.DUMMYFUNCTION("""COMPUTED_VALUE"""),44.8326419682448)</f>
        <v>44.83264197</v>
      </c>
      <c r="P699" s="35">
        <f>IFERROR(__xludf.DUMMYFUNCTION("""COMPUTED_VALUE"""),188053.0)</f>
        <v>188053</v>
      </c>
      <c r="Q699" s="35">
        <f>IFERROR(__xludf.DUMMYFUNCTION("""COMPUTED_VALUE"""),419455.0)</f>
        <v>419455</v>
      </c>
    </row>
    <row r="700">
      <c r="A700" s="35">
        <f>IFERROR(__xludf.DUMMYFUNCTION("""COMPUTED_VALUE"""),699.0)</f>
        <v>699</v>
      </c>
      <c r="B700" s="35" t="str">
        <f>IFERROR(__xludf.DUMMYFUNCTION("""COMPUTED_VALUE"""),"Falling Squares")</f>
        <v>Falling Squares</v>
      </c>
      <c r="C700" s="35" t="str">
        <f>IFERROR(__xludf.DUMMYFUNCTION("""COMPUTED_VALUE"""),"falling-squares")</f>
        <v>falling-squares</v>
      </c>
      <c r="D700" s="35" t="b">
        <f>IFERROR(__xludf.DUMMYFUNCTION("""COMPUTED_VALUE"""),FALSE)</f>
        <v>0</v>
      </c>
      <c r="E700" s="35" t="str">
        <f>IFERROR(__xludf.DUMMYFUNCTION("""COMPUTED_VALUE"""),"Hard")</f>
        <v>Hard</v>
      </c>
      <c r="F700" s="35">
        <f>IFERROR(__xludf.DUMMYFUNCTION("""COMPUTED_VALUE"""),436.0)</f>
        <v>436</v>
      </c>
      <c r="G700" s="35">
        <f>IFERROR(__xludf.DUMMYFUNCTION("""COMPUTED_VALUE"""),68.0)</f>
        <v>68</v>
      </c>
      <c r="H700" s="35" t="str">
        <f>IFERROR(__xludf.DUMMYFUNCTION("""COMPUTED_VALUE"""),"Algorithms")</f>
        <v>Algorithms</v>
      </c>
      <c r="I700" s="35">
        <f>IFERROR(__xludf.DUMMYFUNCTION("""COMPUTED_VALUE"""),0.437)</f>
        <v>0.437</v>
      </c>
      <c r="J700" s="35">
        <f>IFERROR(__xludf.DUMMYFUNCTION("""COMPUTED_VALUE"""),699.0)</f>
        <v>699</v>
      </c>
      <c r="K700" s="35" t="b">
        <f>IFERROR(__xludf.DUMMYFUNCTION("""COMPUTED_VALUE"""),FALSE)</f>
        <v>0</v>
      </c>
      <c r="L700" s="35" t="str">
        <f>IFERROR(__xludf.DUMMYFUNCTION("""COMPUTED_VALUE"""),"Array;Segment Tree;Ordered Set;")</f>
        <v>Array;Segment Tree;Ordered Set;</v>
      </c>
      <c r="M700" s="35" t="b">
        <f>IFERROR(__xludf.DUMMYFUNCTION("""COMPUTED_VALUE"""),TRUE)</f>
        <v>1</v>
      </c>
      <c r="N700" s="35" t="b">
        <f>IFERROR(__xludf.DUMMYFUNCTION("""COMPUTED_VALUE"""),FALSE)</f>
        <v>0</v>
      </c>
      <c r="O700" s="35">
        <f>IFERROR(__xludf.DUMMYFUNCTION("""COMPUTED_VALUE"""),43.6773956563662)</f>
        <v>43.67739566</v>
      </c>
      <c r="P700" s="35">
        <f>IFERROR(__xludf.DUMMYFUNCTION("""COMPUTED_VALUE"""),19025.0)</f>
        <v>19025</v>
      </c>
      <c r="Q700" s="35">
        <f>IFERROR(__xludf.DUMMYFUNCTION("""COMPUTED_VALUE"""),43558.0)</f>
        <v>43558</v>
      </c>
    </row>
    <row r="701">
      <c r="A701" s="35">
        <f>IFERROR(__xludf.DUMMYFUNCTION("""COMPUTED_VALUE"""),783.0)</f>
        <v>783</v>
      </c>
      <c r="B701" s="35" t="str">
        <f>IFERROR(__xludf.DUMMYFUNCTION("""COMPUTED_VALUE"""),"Search in a Binary Search Tree")</f>
        <v>Search in a Binary Search Tree</v>
      </c>
      <c r="C701" s="35" t="str">
        <f>IFERROR(__xludf.DUMMYFUNCTION("""COMPUTED_VALUE"""),"search-in-a-binary-search-tree")</f>
        <v>search-in-a-binary-search-tree</v>
      </c>
      <c r="D701" s="35" t="b">
        <f>IFERROR(__xludf.DUMMYFUNCTION("""COMPUTED_VALUE"""),FALSE)</f>
        <v>0</v>
      </c>
      <c r="E701" s="35" t="str">
        <f>IFERROR(__xludf.DUMMYFUNCTION("""COMPUTED_VALUE"""),"Easy")</f>
        <v>Easy</v>
      </c>
      <c r="F701" s="35">
        <f>IFERROR(__xludf.DUMMYFUNCTION("""COMPUTED_VALUE"""),2577.0)</f>
        <v>2577</v>
      </c>
      <c r="G701" s="35">
        <f>IFERROR(__xludf.DUMMYFUNCTION("""COMPUTED_VALUE"""),141.0)</f>
        <v>141</v>
      </c>
      <c r="H701" s="35" t="str">
        <f>IFERROR(__xludf.DUMMYFUNCTION("""COMPUTED_VALUE"""),"Algorithms")</f>
        <v>Algorithms</v>
      </c>
      <c r="I701" s="35">
        <f>IFERROR(__xludf.DUMMYFUNCTION("""COMPUTED_VALUE"""),0.752)</f>
        <v>0.752</v>
      </c>
      <c r="J701" s="35">
        <f>IFERROR(__xludf.DUMMYFUNCTION("""COMPUTED_VALUE"""),700.0)</f>
        <v>700</v>
      </c>
      <c r="K701" s="35" t="b">
        <f>IFERROR(__xludf.DUMMYFUNCTION("""COMPUTED_VALUE"""),FALSE)</f>
        <v>0</v>
      </c>
      <c r="L701" s="35" t="str">
        <f>IFERROR(__xludf.DUMMYFUNCTION("""COMPUTED_VALUE"""),"Tree;Binary Search Tree;Binary Tree;")</f>
        <v>Tree;Binary Search Tree;Binary Tree;</v>
      </c>
      <c r="M701" s="35" t="b">
        <f>IFERROR(__xludf.DUMMYFUNCTION("""COMPUTED_VALUE"""),TRUE)</f>
        <v>1</v>
      </c>
      <c r="N701" s="35" t="b">
        <f>IFERROR(__xludf.DUMMYFUNCTION("""COMPUTED_VALUE"""),FALSE)</f>
        <v>0</v>
      </c>
      <c r="O701" s="35">
        <f>IFERROR(__xludf.DUMMYFUNCTION("""COMPUTED_VALUE"""),75.1832406203678)</f>
        <v>75.18324062</v>
      </c>
      <c r="P701" s="35">
        <f>IFERROR(__xludf.DUMMYFUNCTION("""COMPUTED_VALUE"""),404238.0)</f>
        <v>404238</v>
      </c>
      <c r="Q701" s="35">
        <f>IFERROR(__xludf.DUMMYFUNCTION("""COMPUTED_VALUE"""),537670.0)</f>
        <v>537670</v>
      </c>
    </row>
    <row r="702">
      <c r="A702" s="35">
        <f>IFERROR(__xludf.DUMMYFUNCTION("""COMPUTED_VALUE"""),784.0)</f>
        <v>784</v>
      </c>
      <c r="B702" s="35" t="str">
        <f>IFERROR(__xludf.DUMMYFUNCTION("""COMPUTED_VALUE"""),"Insert into a Binary Search Tree")</f>
        <v>Insert into a Binary Search Tree</v>
      </c>
      <c r="C702" s="35" t="str">
        <f>IFERROR(__xludf.DUMMYFUNCTION("""COMPUTED_VALUE"""),"insert-into-a-binary-search-tree")</f>
        <v>insert-into-a-binary-search-tree</v>
      </c>
      <c r="D702" s="35" t="b">
        <f>IFERROR(__xludf.DUMMYFUNCTION("""COMPUTED_VALUE"""),FALSE)</f>
        <v>0</v>
      </c>
      <c r="E702" s="35" t="str">
        <f>IFERROR(__xludf.DUMMYFUNCTION("""COMPUTED_VALUE"""),"Medium")</f>
        <v>Medium</v>
      </c>
      <c r="F702" s="35">
        <f>IFERROR(__xludf.DUMMYFUNCTION("""COMPUTED_VALUE"""),3094.0)</f>
        <v>3094</v>
      </c>
      <c r="G702" s="35">
        <f>IFERROR(__xludf.DUMMYFUNCTION("""COMPUTED_VALUE"""),133.0)</f>
        <v>133</v>
      </c>
      <c r="H702" s="35" t="str">
        <f>IFERROR(__xludf.DUMMYFUNCTION("""COMPUTED_VALUE"""),"Algorithms")</f>
        <v>Algorithms</v>
      </c>
      <c r="I702" s="35">
        <f>IFERROR(__xludf.DUMMYFUNCTION("""COMPUTED_VALUE"""),0.75)</f>
        <v>0.75</v>
      </c>
      <c r="J702" s="35">
        <f>IFERROR(__xludf.DUMMYFUNCTION("""COMPUTED_VALUE"""),701.0)</f>
        <v>701</v>
      </c>
      <c r="K702" s="35" t="b">
        <f>IFERROR(__xludf.DUMMYFUNCTION("""COMPUTED_VALUE"""),FALSE)</f>
        <v>0</v>
      </c>
      <c r="L702" s="35" t="str">
        <f>IFERROR(__xludf.DUMMYFUNCTION("""COMPUTED_VALUE"""),"Tree;Binary Search Tree;Binary Tree;")</f>
        <v>Tree;Binary Search Tree;Binary Tree;</v>
      </c>
      <c r="M702" s="35" t="b">
        <f>IFERROR(__xludf.DUMMYFUNCTION("""COMPUTED_VALUE"""),TRUE)</f>
        <v>1</v>
      </c>
      <c r="N702" s="35" t="b">
        <f>IFERROR(__xludf.DUMMYFUNCTION("""COMPUTED_VALUE"""),FALSE)</f>
        <v>0</v>
      </c>
      <c r="O702" s="35">
        <f>IFERROR(__xludf.DUMMYFUNCTION("""COMPUTED_VALUE"""),74.9697973880937)</f>
        <v>74.96979739</v>
      </c>
      <c r="P702" s="35">
        <f>IFERROR(__xludf.DUMMYFUNCTION("""COMPUTED_VALUE"""),287311.0)</f>
        <v>287311</v>
      </c>
      <c r="Q702" s="35">
        <f>IFERROR(__xludf.DUMMYFUNCTION("""COMPUTED_VALUE"""),383235.0)</f>
        <v>383235</v>
      </c>
    </row>
    <row r="703">
      <c r="A703" s="35">
        <f>IFERROR(__xludf.DUMMYFUNCTION("""COMPUTED_VALUE"""),786.0)</f>
        <v>786</v>
      </c>
      <c r="B703" s="35" t="str">
        <f>IFERROR(__xludf.DUMMYFUNCTION("""COMPUTED_VALUE"""),"Search in a Sorted Array of Unknown Size")</f>
        <v>Search in a Sorted Array of Unknown Size</v>
      </c>
      <c r="C703" s="35" t="str">
        <f>IFERROR(__xludf.DUMMYFUNCTION("""COMPUTED_VALUE"""),"search-in-a-sorted-array-of-unknown-size")</f>
        <v>search-in-a-sorted-array-of-unknown-size</v>
      </c>
      <c r="D703" s="35" t="b">
        <f>IFERROR(__xludf.DUMMYFUNCTION("""COMPUTED_VALUE"""),TRUE)</f>
        <v>1</v>
      </c>
      <c r="E703" s="35" t="str">
        <f>IFERROR(__xludf.DUMMYFUNCTION("""COMPUTED_VALUE"""),"Medium")</f>
        <v>Medium</v>
      </c>
      <c r="F703" s="35">
        <f>IFERROR(__xludf.DUMMYFUNCTION("""COMPUTED_VALUE"""),674.0)</f>
        <v>674</v>
      </c>
      <c r="G703" s="35">
        <f>IFERROR(__xludf.DUMMYFUNCTION("""COMPUTED_VALUE"""),33.0)</f>
        <v>33</v>
      </c>
      <c r="H703" s="35" t="str">
        <f>IFERROR(__xludf.DUMMYFUNCTION("""COMPUTED_VALUE"""),"Algorithms")</f>
        <v>Algorithms</v>
      </c>
      <c r="I703" s="35">
        <f>IFERROR(__xludf.DUMMYFUNCTION("""COMPUTED_VALUE"""),0.706)</f>
        <v>0.706</v>
      </c>
      <c r="J703" s="35">
        <f>IFERROR(__xludf.DUMMYFUNCTION("""COMPUTED_VALUE"""),702.0)</f>
        <v>702</v>
      </c>
      <c r="K703" s="35" t="b">
        <f>IFERROR(__xludf.DUMMYFUNCTION("""COMPUTED_VALUE"""),TRUE)</f>
        <v>1</v>
      </c>
      <c r="L703" s="35" t="str">
        <f>IFERROR(__xludf.DUMMYFUNCTION("""COMPUTED_VALUE"""),"Array;Binary Search;Interactive;")</f>
        <v>Array;Binary Search;Interactive;</v>
      </c>
      <c r="M703" s="35" t="b">
        <f>IFERROR(__xludf.DUMMYFUNCTION("""COMPUTED_VALUE"""),TRUE)</f>
        <v>1</v>
      </c>
      <c r="N703" s="35" t="b">
        <f>IFERROR(__xludf.DUMMYFUNCTION("""COMPUTED_VALUE"""),FALSE)</f>
        <v>0</v>
      </c>
      <c r="O703" s="35">
        <f>IFERROR(__xludf.DUMMYFUNCTION("""COMPUTED_VALUE"""),70.5649498730691)</f>
        <v>70.56494987</v>
      </c>
      <c r="P703" s="35">
        <f>IFERROR(__xludf.DUMMYFUNCTION("""COMPUTED_VALUE"""),65599.0)</f>
        <v>65599</v>
      </c>
      <c r="Q703" s="35">
        <f>IFERROR(__xludf.DUMMYFUNCTION("""COMPUTED_VALUE"""),92963.0)</f>
        <v>92963</v>
      </c>
    </row>
    <row r="704">
      <c r="A704" s="35">
        <f>IFERROR(__xludf.DUMMYFUNCTION("""COMPUTED_VALUE"""),789.0)</f>
        <v>789</v>
      </c>
      <c r="B704" s="35" t="str">
        <f>IFERROR(__xludf.DUMMYFUNCTION("""COMPUTED_VALUE"""),"Kth Largest Element in a Stream")</f>
        <v>Kth Largest Element in a Stream</v>
      </c>
      <c r="C704" s="35" t="str">
        <f>IFERROR(__xludf.DUMMYFUNCTION("""COMPUTED_VALUE"""),"kth-largest-element-in-a-stream")</f>
        <v>kth-largest-element-in-a-stream</v>
      </c>
      <c r="D704" s="35" t="b">
        <f>IFERROR(__xludf.DUMMYFUNCTION("""COMPUTED_VALUE"""),FALSE)</f>
        <v>0</v>
      </c>
      <c r="E704" s="35" t="str">
        <f>IFERROR(__xludf.DUMMYFUNCTION("""COMPUTED_VALUE"""),"Easy")</f>
        <v>Easy</v>
      </c>
      <c r="F704" s="35">
        <f>IFERROR(__xludf.DUMMYFUNCTION("""COMPUTED_VALUE"""),1992.0)</f>
        <v>1992</v>
      </c>
      <c r="G704" s="35">
        <f>IFERROR(__xludf.DUMMYFUNCTION("""COMPUTED_VALUE"""),1162.0)</f>
        <v>1162</v>
      </c>
      <c r="H704" s="35" t="str">
        <f>IFERROR(__xludf.DUMMYFUNCTION("""COMPUTED_VALUE"""),"Algorithms")</f>
        <v>Algorithms</v>
      </c>
      <c r="I704" s="35">
        <f>IFERROR(__xludf.DUMMYFUNCTION("""COMPUTED_VALUE"""),0.527)</f>
        <v>0.527</v>
      </c>
      <c r="J704" s="35">
        <f>IFERROR(__xludf.DUMMYFUNCTION("""COMPUTED_VALUE"""),703.0)</f>
        <v>703</v>
      </c>
      <c r="K704" s="35" t="b">
        <f>IFERROR(__xludf.DUMMYFUNCTION("""COMPUTED_VALUE"""),FALSE)</f>
        <v>0</v>
      </c>
      <c r="L704" s="35" t="str">
        <f>IFERROR(__xludf.DUMMYFUNCTION("""COMPUTED_VALUE"""),"Tree;Design;Binary Search Tree;Heap (Priority Queue);Binary Tree;Data Stream;")</f>
        <v>Tree;Design;Binary Search Tree;Heap (Priority Queue);Binary Tree;Data Stream;</v>
      </c>
      <c r="M704" s="35" t="b">
        <f>IFERROR(__xludf.DUMMYFUNCTION("""COMPUTED_VALUE"""),TRUE)</f>
        <v>1</v>
      </c>
      <c r="N704" s="35" t="b">
        <f>IFERROR(__xludf.DUMMYFUNCTION("""COMPUTED_VALUE"""),FALSE)</f>
        <v>0</v>
      </c>
      <c r="O704" s="35">
        <f>IFERROR(__xludf.DUMMYFUNCTION("""COMPUTED_VALUE"""),52.6593711905871)</f>
        <v>52.65937119</v>
      </c>
      <c r="P704" s="35">
        <f>IFERROR(__xludf.DUMMYFUNCTION("""COMPUTED_VALUE"""),188774.0)</f>
        <v>188774</v>
      </c>
      <c r="Q704" s="35">
        <f>IFERROR(__xludf.DUMMYFUNCTION("""COMPUTED_VALUE"""),358482.0)</f>
        <v>358482</v>
      </c>
    </row>
    <row r="705">
      <c r="A705" s="35">
        <f>IFERROR(__xludf.DUMMYFUNCTION("""COMPUTED_VALUE"""),792.0)</f>
        <v>792</v>
      </c>
      <c r="B705" s="35" t="str">
        <f>IFERROR(__xludf.DUMMYFUNCTION("""COMPUTED_VALUE"""),"Binary Search")</f>
        <v>Binary Search</v>
      </c>
      <c r="C705" s="35" t="str">
        <f>IFERROR(__xludf.DUMMYFUNCTION("""COMPUTED_VALUE"""),"binary-search")</f>
        <v>binary-search</v>
      </c>
      <c r="D705" s="35" t="b">
        <f>IFERROR(__xludf.DUMMYFUNCTION("""COMPUTED_VALUE"""),FALSE)</f>
        <v>0</v>
      </c>
      <c r="E705" s="35" t="str">
        <f>IFERROR(__xludf.DUMMYFUNCTION("""COMPUTED_VALUE"""),"Easy")</f>
        <v>Easy</v>
      </c>
      <c r="F705" s="35">
        <f>IFERROR(__xludf.DUMMYFUNCTION("""COMPUTED_VALUE"""),3695.0)</f>
        <v>3695</v>
      </c>
      <c r="G705" s="35">
        <f>IFERROR(__xludf.DUMMYFUNCTION("""COMPUTED_VALUE"""),94.0)</f>
        <v>94</v>
      </c>
      <c r="H705" s="35" t="str">
        <f>IFERROR(__xludf.DUMMYFUNCTION("""COMPUTED_VALUE"""),"Algorithms")</f>
        <v>Algorithms</v>
      </c>
      <c r="I705" s="35">
        <f>IFERROR(__xludf.DUMMYFUNCTION("""COMPUTED_VALUE"""),0.546)</f>
        <v>0.546</v>
      </c>
      <c r="J705" s="35">
        <f>IFERROR(__xludf.DUMMYFUNCTION("""COMPUTED_VALUE"""),704.0)</f>
        <v>704</v>
      </c>
      <c r="K705" s="35" t="b">
        <f>IFERROR(__xludf.DUMMYFUNCTION("""COMPUTED_VALUE"""),FALSE)</f>
        <v>0</v>
      </c>
      <c r="L705" s="35" t="str">
        <f>IFERROR(__xludf.DUMMYFUNCTION("""COMPUTED_VALUE"""),"Array;Binary Search;")</f>
        <v>Array;Binary Search;</v>
      </c>
      <c r="M705" s="35" t="b">
        <f>IFERROR(__xludf.DUMMYFUNCTION("""COMPUTED_VALUE"""),TRUE)</f>
        <v>1</v>
      </c>
      <c r="N705" s="35" t="b">
        <f>IFERROR(__xludf.DUMMYFUNCTION("""COMPUTED_VALUE"""),FALSE)</f>
        <v>0</v>
      </c>
      <c r="O705" s="35">
        <f>IFERROR(__xludf.DUMMYFUNCTION("""COMPUTED_VALUE"""),54.5818383425369)</f>
        <v>54.58183834</v>
      </c>
      <c r="P705" s="35">
        <f>IFERROR(__xludf.DUMMYFUNCTION("""COMPUTED_VALUE"""),693029.0)</f>
        <v>693029</v>
      </c>
      <c r="Q705" s="35">
        <f>IFERROR(__xludf.DUMMYFUNCTION("""COMPUTED_VALUE"""),1269720.0)</f>
        <v>1269720</v>
      </c>
    </row>
    <row r="706">
      <c r="A706" s="35">
        <f>IFERROR(__xludf.DUMMYFUNCTION("""COMPUTED_VALUE"""),816.0)</f>
        <v>816</v>
      </c>
      <c r="B706" s="35" t="str">
        <f>IFERROR(__xludf.DUMMYFUNCTION("""COMPUTED_VALUE"""),"Design HashSet")</f>
        <v>Design HashSet</v>
      </c>
      <c r="C706" s="35" t="str">
        <f>IFERROR(__xludf.DUMMYFUNCTION("""COMPUTED_VALUE"""),"design-hashset")</f>
        <v>design-hashset</v>
      </c>
      <c r="D706" s="35" t="b">
        <f>IFERROR(__xludf.DUMMYFUNCTION("""COMPUTED_VALUE"""),FALSE)</f>
        <v>0</v>
      </c>
      <c r="E706" s="35" t="str">
        <f>IFERROR(__xludf.DUMMYFUNCTION("""COMPUTED_VALUE"""),"Easy")</f>
        <v>Easy</v>
      </c>
      <c r="F706" s="35">
        <f>IFERROR(__xludf.DUMMYFUNCTION("""COMPUTED_VALUE"""),1201.0)</f>
        <v>1201</v>
      </c>
      <c r="G706" s="35">
        <f>IFERROR(__xludf.DUMMYFUNCTION("""COMPUTED_VALUE"""),151.0)</f>
        <v>151</v>
      </c>
      <c r="H706" s="35" t="str">
        <f>IFERROR(__xludf.DUMMYFUNCTION("""COMPUTED_VALUE"""),"Algorithms")</f>
        <v>Algorithms</v>
      </c>
      <c r="I706" s="35">
        <f>IFERROR(__xludf.DUMMYFUNCTION("""COMPUTED_VALUE"""),0.638)</f>
        <v>0.638</v>
      </c>
      <c r="J706" s="35">
        <f>IFERROR(__xludf.DUMMYFUNCTION("""COMPUTED_VALUE"""),705.0)</f>
        <v>705</v>
      </c>
      <c r="K706" s="35" t="b">
        <f>IFERROR(__xludf.DUMMYFUNCTION("""COMPUTED_VALUE"""),FALSE)</f>
        <v>0</v>
      </c>
      <c r="L706" s="35" t="str">
        <f>IFERROR(__xludf.DUMMYFUNCTION("""COMPUTED_VALUE"""),"Array;Hash Table;Linked List;Design;Hash Function;")</f>
        <v>Array;Hash Table;Linked List;Design;Hash Function;</v>
      </c>
      <c r="M706" s="35" t="b">
        <f>IFERROR(__xludf.DUMMYFUNCTION("""COMPUTED_VALUE"""),TRUE)</f>
        <v>1</v>
      </c>
      <c r="N706" s="35" t="b">
        <f>IFERROR(__xludf.DUMMYFUNCTION("""COMPUTED_VALUE"""),FALSE)</f>
        <v>0</v>
      </c>
      <c r="O706" s="35">
        <f>IFERROR(__xludf.DUMMYFUNCTION("""COMPUTED_VALUE"""),63.8053747757971)</f>
        <v>63.80537478</v>
      </c>
      <c r="P706" s="35">
        <f>IFERROR(__xludf.DUMMYFUNCTION("""COMPUTED_VALUE"""),167548.0)</f>
        <v>167548</v>
      </c>
      <c r="Q706" s="35">
        <f>IFERROR(__xludf.DUMMYFUNCTION("""COMPUTED_VALUE"""),262592.0)</f>
        <v>262592</v>
      </c>
    </row>
    <row r="707">
      <c r="A707" s="35">
        <f>IFERROR(__xludf.DUMMYFUNCTION("""COMPUTED_VALUE"""),817.0)</f>
        <v>817</v>
      </c>
      <c r="B707" s="35" t="str">
        <f>IFERROR(__xludf.DUMMYFUNCTION("""COMPUTED_VALUE"""),"Design HashMap")</f>
        <v>Design HashMap</v>
      </c>
      <c r="C707" s="35" t="str">
        <f>IFERROR(__xludf.DUMMYFUNCTION("""COMPUTED_VALUE"""),"design-hashmap")</f>
        <v>design-hashmap</v>
      </c>
      <c r="D707" s="35" t="b">
        <f>IFERROR(__xludf.DUMMYFUNCTION("""COMPUTED_VALUE"""),FALSE)</f>
        <v>0</v>
      </c>
      <c r="E707" s="35" t="str">
        <f>IFERROR(__xludf.DUMMYFUNCTION("""COMPUTED_VALUE"""),"Easy")</f>
        <v>Easy</v>
      </c>
      <c r="F707" s="35">
        <f>IFERROR(__xludf.DUMMYFUNCTION("""COMPUTED_VALUE"""),2457.0)</f>
        <v>2457</v>
      </c>
      <c r="G707" s="35">
        <f>IFERROR(__xludf.DUMMYFUNCTION("""COMPUTED_VALUE"""),262.0)</f>
        <v>262</v>
      </c>
      <c r="H707" s="35" t="str">
        <f>IFERROR(__xludf.DUMMYFUNCTION("""COMPUTED_VALUE"""),"Algorithms")</f>
        <v>Algorithms</v>
      </c>
      <c r="I707" s="35">
        <f>IFERROR(__xludf.DUMMYFUNCTION("""COMPUTED_VALUE"""),0.638)</f>
        <v>0.638</v>
      </c>
      <c r="J707" s="35">
        <f>IFERROR(__xludf.DUMMYFUNCTION("""COMPUTED_VALUE"""),706.0)</f>
        <v>706</v>
      </c>
      <c r="K707" s="35" t="b">
        <f>IFERROR(__xludf.DUMMYFUNCTION("""COMPUTED_VALUE"""),FALSE)</f>
        <v>0</v>
      </c>
      <c r="L707" s="35" t="str">
        <f>IFERROR(__xludf.DUMMYFUNCTION("""COMPUTED_VALUE"""),"Array;Hash Table;Linked List;Design;Hash Function;")</f>
        <v>Array;Hash Table;Linked List;Design;Hash Function;</v>
      </c>
      <c r="M707" s="35" t="b">
        <f>IFERROR(__xludf.DUMMYFUNCTION("""COMPUTED_VALUE"""),TRUE)</f>
        <v>1</v>
      </c>
      <c r="N707" s="35" t="b">
        <f>IFERROR(__xludf.DUMMYFUNCTION("""COMPUTED_VALUE"""),FALSE)</f>
        <v>0</v>
      </c>
      <c r="O707" s="35">
        <f>IFERROR(__xludf.DUMMYFUNCTION("""COMPUTED_VALUE"""),63.7755355751675)</f>
        <v>63.77553558</v>
      </c>
      <c r="P707" s="35">
        <f>IFERROR(__xludf.DUMMYFUNCTION("""COMPUTED_VALUE"""),269318.0)</f>
        <v>269318</v>
      </c>
      <c r="Q707" s="35">
        <f>IFERROR(__xludf.DUMMYFUNCTION("""COMPUTED_VALUE"""),422287.0)</f>
        <v>422287</v>
      </c>
    </row>
    <row r="708">
      <c r="A708" s="35">
        <f>IFERROR(__xludf.DUMMYFUNCTION("""COMPUTED_VALUE"""),838.0)</f>
        <v>838</v>
      </c>
      <c r="B708" s="35" t="str">
        <f>IFERROR(__xludf.DUMMYFUNCTION("""COMPUTED_VALUE"""),"Design Linked List")</f>
        <v>Design Linked List</v>
      </c>
      <c r="C708" s="35" t="str">
        <f>IFERROR(__xludf.DUMMYFUNCTION("""COMPUTED_VALUE"""),"design-linked-list")</f>
        <v>design-linked-list</v>
      </c>
      <c r="D708" s="35" t="b">
        <f>IFERROR(__xludf.DUMMYFUNCTION("""COMPUTED_VALUE"""),FALSE)</f>
        <v>0</v>
      </c>
      <c r="E708" s="35" t="str">
        <f>IFERROR(__xludf.DUMMYFUNCTION("""COMPUTED_VALUE"""),"Medium")</f>
        <v>Medium</v>
      </c>
      <c r="F708" s="35">
        <f>IFERROR(__xludf.DUMMYFUNCTION("""COMPUTED_VALUE"""),1355.0)</f>
        <v>1355</v>
      </c>
      <c r="G708" s="35">
        <f>IFERROR(__xludf.DUMMYFUNCTION("""COMPUTED_VALUE"""),1132.0)</f>
        <v>1132</v>
      </c>
      <c r="H708" s="35" t="str">
        <f>IFERROR(__xludf.DUMMYFUNCTION("""COMPUTED_VALUE"""),"Algorithms")</f>
        <v>Algorithms</v>
      </c>
      <c r="I708" s="35">
        <f>IFERROR(__xludf.DUMMYFUNCTION("""COMPUTED_VALUE"""),0.269)</f>
        <v>0.269</v>
      </c>
      <c r="J708" s="35">
        <f>IFERROR(__xludf.DUMMYFUNCTION("""COMPUTED_VALUE"""),707.0)</f>
        <v>707</v>
      </c>
      <c r="K708" s="35" t="b">
        <f>IFERROR(__xludf.DUMMYFUNCTION("""COMPUTED_VALUE"""),FALSE)</f>
        <v>0</v>
      </c>
      <c r="L708" s="35" t="str">
        <f>IFERROR(__xludf.DUMMYFUNCTION("""COMPUTED_VALUE"""),"Linked List;Design;")</f>
        <v>Linked List;Design;</v>
      </c>
      <c r="M708" s="35" t="b">
        <f>IFERROR(__xludf.DUMMYFUNCTION("""COMPUTED_VALUE"""),TRUE)</f>
        <v>1</v>
      </c>
      <c r="N708" s="35" t="b">
        <f>IFERROR(__xludf.DUMMYFUNCTION("""COMPUTED_VALUE"""),FALSE)</f>
        <v>0</v>
      </c>
      <c r="O708" s="35">
        <f>IFERROR(__xludf.DUMMYFUNCTION("""COMPUTED_VALUE"""),26.8601751747214)</f>
        <v>26.86017517</v>
      </c>
      <c r="P708" s="35">
        <f>IFERROR(__xludf.DUMMYFUNCTION("""COMPUTED_VALUE"""),174828.0)</f>
        <v>174828</v>
      </c>
      <c r="Q708" s="35">
        <f>IFERROR(__xludf.DUMMYFUNCTION("""COMPUTED_VALUE"""),650873.0)</f>
        <v>650873</v>
      </c>
    </row>
    <row r="709">
      <c r="A709" s="35">
        <f>IFERROR(__xludf.DUMMYFUNCTION("""COMPUTED_VALUE"""),850.0)</f>
        <v>850</v>
      </c>
      <c r="B709" s="35" t="str">
        <f>IFERROR(__xludf.DUMMYFUNCTION("""COMPUTED_VALUE"""),"Insert into a Sorted Circular Linked List")</f>
        <v>Insert into a Sorted Circular Linked List</v>
      </c>
      <c r="C709" s="35" t="str">
        <f>IFERROR(__xludf.DUMMYFUNCTION("""COMPUTED_VALUE"""),"insert-into-a-sorted-circular-linked-list")</f>
        <v>insert-into-a-sorted-circular-linked-list</v>
      </c>
      <c r="D709" s="35" t="b">
        <f>IFERROR(__xludf.DUMMYFUNCTION("""COMPUTED_VALUE"""),TRUE)</f>
        <v>1</v>
      </c>
      <c r="E709" s="35" t="str">
        <f>IFERROR(__xludf.DUMMYFUNCTION("""COMPUTED_VALUE"""),"Medium")</f>
        <v>Medium</v>
      </c>
      <c r="F709" s="35">
        <f>IFERROR(__xludf.DUMMYFUNCTION("""COMPUTED_VALUE"""),867.0)</f>
        <v>867</v>
      </c>
      <c r="G709" s="35">
        <f>IFERROR(__xludf.DUMMYFUNCTION("""COMPUTED_VALUE"""),580.0)</f>
        <v>580</v>
      </c>
      <c r="H709" s="35" t="str">
        <f>IFERROR(__xludf.DUMMYFUNCTION("""COMPUTED_VALUE"""),"Algorithms")</f>
        <v>Algorithms</v>
      </c>
      <c r="I709" s="35">
        <f>IFERROR(__xludf.DUMMYFUNCTION("""COMPUTED_VALUE"""),0.342)</f>
        <v>0.342</v>
      </c>
      <c r="J709" s="35">
        <f>IFERROR(__xludf.DUMMYFUNCTION("""COMPUTED_VALUE"""),708.0)</f>
        <v>708</v>
      </c>
      <c r="K709" s="35" t="b">
        <f>IFERROR(__xludf.DUMMYFUNCTION("""COMPUTED_VALUE"""),TRUE)</f>
        <v>1</v>
      </c>
      <c r="L709" s="35" t="str">
        <f>IFERROR(__xludf.DUMMYFUNCTION("""COMPUTED_VALUE"""),"Linked List;")</f>
        <v>Linked List;</v>
      </c>
      <c r="M709" s="35" t="b">
        <f>IFERROR(__xludf.DUMMYFUNCTION("""COMPUTED_VALUE"""),TRUE)</f>
        <v>1</v>
      </c>
      <c r="N709" s="35" t="b">
        <f>IFERROR(__xludf.DUMMYFUNCTION("""COMPUTED_VALUE"""),FALSE)</f>
        <v>0</v>
      </c>
      <c r="O709" s="35">
        <f>IFERROR(__xludf.DUMMYFUNCTION("""COMPUTED_VALUE"""),34.1796496165112)</f>
        <v>34.17964962</v>
      </c>
      <c r="P709" s="35">
        <f>IFERROR(__xludf.DUMMYFUNCTION("""COMPUTED_VALUE"""),103964.0)</f>
        <v>103964</v>
      </c>
      <c r="Q709" s="35">
        <f>IFERROR(__xludf.DUMMYFUNCTION("""COMPUTED_VALUE"""),304168.0)</f>
        <v>304168</v>
      </c>
    </row>
    <row r="710">
      <c r="A710" s="35">
        <f>IFERROR(__xludf.DUMMYFUNCTION("""COMPUTED_VALUE"""),742.0)</f>
        <v>742</v>
      </c>
      <c r="B710" s="35" t="str">
        <f>IFERROR(__xludf.DUMMYFUNCTION("""COMPUTED_VALUE"""),"To Lower Case")</f>
        <v>To Lower Case</v>
      </c>
      <c r="C710" s="35" t="str">
        <f>IFERROR(__xludf.DUMMYFUNCTION("""COMPUTED_VALUE"""),"to-lower-case")</f>
        <v>to-lower-case</v>
      </c>
      <c r="D710" s="35" t="b">
        <f>IFERROR(__xludf.DUMMYFUNCTION("""COMPUTED_VALUE"""),FALSE)</f>
        <v>0</v>
      </c>
      <c r="E710" s="35" t="str">
        <f>IFERROR(__xludf.DUMMYFUNCTION("""COMPUTED_VALUE"""),"Easy")</f>
        <v>Easy</v>
      </c>
      <c r="F710" s="35">
        <f>IFERROR(__xludf.DUMMYFUNCTION("""COMPUTED_VALUE"""),1010.0)</f>
        <v>1010</v>
      </c>
      <c r="G710" s="35">
        <f>IFERROR(__xludf.DUMMYFUNCTION("""COMPUTED_VALUE"""),2262.0)</f>
        <v>2262</v>
      </c>
      <c r="H710" s="35" t="str">
        <f>IFERROR(__xludf.DUMMYFUNCTION("""COMPUTED_VALUE"""),"Algorithms")</f>
        <v>Algorithms</v>
      </c>
      <c r="I710" s="35">
        <f>IFERROR(__xludf.DUMMYFUNCTION("""COMPUTED_VALUE"""),0.812)</f>
        <v>0.812</v>
      </c>
      <c r="J710" s="35">
        <f>IFERROR(__xludf.DUMMYFUNCTION("""COMPUTED_VALUE"""),709.0)</f>
        <v>709</v>
      </c>
      <c r="K710" s="35" t="b">
        <f>IFERROR(__xludf.DUMMYFUNCTION("""COMPUTED_VALUE"""),FALSE)</f>
        <v>0</v>
      </c>
      <c r="L710" s="35" t="str">
        <f>IFERROR(__xludf.DUMMYFUNCTION("""COMPUTED_VALUE"""),"String;")</f>
        <v>String;</v>
      </c>
      <c r="M710" s="35" t="b">
        <f>IFERROR(__xludf.DUMMYFUNCTION("""COMPUTED_VALUE"""),TRUE)</f>
        <v>1</v>
      </c>
      <c r="N710" s="35" t="b">
        <f>IFERROR(__xludf.DUMMYFUNCTION("""COMPUTED_VALUE"""),FALSE)</f>
        <v>0</v>
      </c>
      <c r="O710" s="35">
        <f>IFERROR(__xludf.DUMMYFUNCTION("""COMPUTED_VALUE"""),81.1564533118532)</f>
        <v>81.15645331</v>
      </c>
      <c r="P710" s="35">
        <f>IFERROR(__xludf.DUMMYFUNCTION("""COMPUTED_VALUE"""),327443.0)</f>
        <v>327443</v>
      </c>
      <c r="Q710" s="35">
        <f>IFERROR(__xludf.DUMMYFUNCTION("""COMPUTED_VALUE"""),403472.0)</f>
        <v>403472</v>
      </c>
    </row>
    <row r="711">
      <c r="A711" s="35">
        <f>IFERROR(__xludf.DUMMYFUNCTION("""COMPUTED_VALUE"""),894.0)</f>
        <v>894</v>
      </c>
      <c r="B711" s="35" t="str">
        <f>IFERROR(__xludf.DUMMYFUNCTION("""COMPUTED_VALUE"""),"Random Pick with Blacklist")</f>
        <v>Random Pick with Blacklist</v>
      </c>
      <c r="C711" s="35" t="str">
        <f>IFERROR(__xludf.DUMMYFUNCTION("""COMPUTED_VALUE"""),"random-pick-with-blacklist")</f>
        <v>random-pick-with-blacklist</v>
      </c>
      <c r="D711" s="35" t="b">
        <f>IFERROR(__xludf.DUMMYFUNCTION("""COMPUTED_VALUE"""),FALSE)</f>
        <v>0</v>
      </c>
      <c r="E711" s="35" t="str">
        <f>IFERROR(__xludf.DUMMYFUNCTION("""COMPUTED_VALUE"""),"Hard")</f>
        <v>Hard</v>
      </c>
      <c r="F711" s="35">
        <f>IFERROR(__xludf.DUMMYFUNCTION("""COMPUTED_VALUE"""),583.0)</f>
        <v>583</v>
      </c>
      <c r="G711" s="35">
        <f>IFERROR(__xludf.DUMMYFUNCTION("""COMPUTED_VALUE"""),89.0)</f>
        <v>89</v>
      </c>
      <c r="H711" s="35" t="str">
        <f>IFERROR(__xludf.DUMMYFUNCTION("""COMPUTED_VALUE"""),"Algorithms")</f>
        <v>Algorithms</v>
      </c>
      <c r="I711" s="35">
        <f>IFERROR(__xludf.DUMMYFUNCTION("""COMPUTED_VALUE"""),0.333)</f>
        <v>0.333</v>
      </c>
      <c r="J711" s="35">
        <f>IFERROR(__xludf.DUMMYFUNCTION("""COMPUTED_VALUE"""),710.0)</f>
        <v>710</v>
      </c>
      <c r="K711" s="35" t="b">
        <f>IFERROR(__xludf.DUMMYFUNCTION("""COMPUTED_VALUE"""),FALSE)</f>
        <v>0</v>
      </c>
      <c r="L711" s="35" t="str">
        <f>IFERROR(__xludf.DUMMYFUNCTION("""COMPUTED_VALUE"""),"Hash Table;Math;Binary Search;Sorting;Randomized;")</f>
        <v>Hash Table;Math;Binary Search;Sorting;Randomized;</v>
      </c>
      <c r="M711" s="35" t="b">
        <f>IFERROR(__xludf.DUMMYFUNCTION("""COMPUTED_VALUE"""),TRUE)</f>
        <v>1</v>
      </c>
      <c r="N711" s="35" t="b">
        <f>IFERROR(__xludf.DUMMYFUNCTION("""COMPUTED_VALUE"""),FALSE)</f>
        <v>0</v>
      </c>
      <c r="O711" s="35">
        <f>IFERROR(__xludf.DUMMYFUNCTION("""COMPUTED_VALUE"""),33.2614447105438)</f>
        <v>33.26144471</v>
      </c>
      <c r="P711" s="35">
        <f>IFERROR(__xludf.DUMMYFUNCTION("""COMPUTED_VALUE"""),26526.0)</f>
        <v>26526</v>
      </c>
      <c r="Q711" s="35">
        <f>IFERROR(__xludf.DUMMYFUNCTION("""COMPUTED_VALUE"""),79751.0)</f>
        <v>79751</v>
      </c>
    </row>
    <row r="712">
      <c r="A712" s="35">
        <f>IFERROR(__xludf.DUMMYFUNCTION("""COMPUTED_VALUE"""),711.0)</f>
        <v>711</v>
      </c>
      <c r="B712" s="35" t="str">
        <f>IFERROR(__xludf.DUMMYFUNCTION("""COMPUTED_VALUE"""),"Number of Distinct Islands II")</f>
        <v>Number of Distinct Islands II</v>
      </c>
      <c r="C712" s="35" t="str">
        <f>IFERROR(__xludf.DUMMYFUNCTION("""COMPUTED_VALUE"""),"number-of-distinct-islands-ii")</f>
        <v>number-of-distinct-islands-ii</v>
      </c>
      <c r="D712" s="35" t="b">
        <f>IFERROR(__xludf.DUMMYFUNCTION("""COMPUTED_VALUE"""),TRUE)</f>
        <v>1</v>
      </c>
      <c r="E712" s="35" t="str">
        <f>IFERROR(__xludf.DUMMYFUNCTION("""COMPUTED_VALUE"""),"Hard")</f>
        <v>Hard</v>
      </c>
      <c r="F712" s="35">
        <f>IFERROR(__xludf.DUMMYFUNCTION("""COMPUTED_VALUE"""),208.0)</f>
        <v>208</v>
      </c>
      <c r="G712" s="35">
        <f>IFERROR(__xludf.DUMMYFUNCTION("""COMPUTED_VALUE"""),214.0)</f>
        <v>214</v>
      </c>
      <c r="H712" s="35" t="str">
        <f>IFERROR(__xludf.DUMMYFUNCTION("""COMPUTED_VALUE"""),"Algorithms")</f>
        <v>Algorithms</v>
      </c>
      <c r="I712" s="35">
        <f>IFERROR(__xludf.DUMMYFUNCTION("""COMPUTED_VALUE"""),0.509)</f>
        <v>0.509</v>
      </c>
      <c r="J712" s="35">
        <f>IFERROR(__xludf.DUMMYFUNCTION("""COMPUTED_VALUE"""),711.0)</f>
        <v>711</v>
      </c>
      <c r="K712" s="35" t="b">
        <f>IFERROR(__xludf.DUMMYFUNCTION("""COMPUTED_VALUE"""),TRUE)</f>
        <v>1</v>
      </c>
      <c r="L712" s="35" t="str">
        <f>IFERROR(__xludf.DUMMYFUNCTION("""COMPUTED_VALUE"""),"Hash Table;Depth-First Search;Breadth-First Search;Union Find;Hash Function;")</f>
        <v>Hash Table;Depth-First Search;Breadth-First Search;Union Find;Hash Function;</v>
      </c>
      <c r="M712" s="35" t="b">
        <f>IFERROR(__xludf.DUMMYFUNCTION("""COMPUTED_VALUE"""),FALSE)</f>
        <v>0</v>
      </c>
      <c r="N712" s="35" t="b">
        <f>IFERROR(__xludf.DUMMYFUNCTION("""COMPUTED_VALUE"""),FALSE)</f>
        <v>0</v>
      </c>
      <c r="O712" s="35">
        <f>IFERROR(__xludf.DUMMYFUNCTION("""COMPUTED_VALUE"""),50.8775252525252)</f>
        <v>50.87752525</v>
      </c>
      <c r="P712" s="35">
        <f>IFERROR(__xludf.DUMMYFUNCTION("""COMPUTED_VALUE"""),8059.0)</f>
        <v>8059</v>
      </c>
      <c r="Q712" s="35">
        <f>IFERROR(__xludf.DUMMYFUNCTION("""COMPUTED_VALUE"""),15840.0)</f>
        <v>15840</v>
      </c>
    </row>
    <row r="713">
      <c r="A713" s="35">
        <f>IFERROR(__xludf.DUMMYFUNCTION("""COMPUTED_VALUE"""),712.0)</f>
        <v>712</v>
      </c>
      <c r="B713" s="35" t="str">
        <f>IFERROR(__xludf.DUMMYFUNCTION("""COMPUTED_VALUE"""),"Minimum ASCII Delete Sum for Two Strings")</f>
        <v>Minimum ASCII Delete Sum for Two Strings</v>
      </c>
      <c r="C713" s="35" t="str">
        <f>IFERROR(__xludf.DUMMYFUNCTION("""COMPUTED_VALUE"""),"minimum-ascii-delete-sum-for-two-strings")</f>
        <v>minimum-ascii-delete-sum-for-two-strings</v>
      </c>
      <c r="D713" s="35" t="b">
        <f>IFERROR(__xludf.DUMMYFUNCTION("""COMPUTED_VALUE"""),FALSE)</f>
        <v>0</v>
      </c>
      <c r="E713" s="35" t="str">
        <f>IFERROR(__xludf.DUMMYFUNCTION("""COMPUTED_VALUE"""),"Medium")</f>
        <v>Medium</v>
      </c>
      <c r="F713" s="35">
        <f>IFERROR(__xludf.DUMMYFUNCTION("""COMPUTED_VALUE"""),1827.0)</f>
        <v>1827</v>
      </c>
      <c r="G713" s="35">
        <f>IFERROR(__xludf.DUMMYFUNCTION("""COMPUTED_VALUE"""),61.0)</f>
        <v>61</v>
      </c>
      <c r="H713" s="35" t="str">
        <f>IFERROR(__xludf.DUMMYFUNCTION("""COMPUTED_VALUE"""),"Algorithms")</f>
        <v>Algorithms</v>
      </c>
      <c r="I713" s="35">
        <f>IFERROR(__xludf.DUMMYFUNCTION("""COMPUTED_VALUE"""),0.614)</f>
        <v>0.614</v>
      </c>
      <c r="J713" s="35">
        <f>IFERROR(__xludf.DUMMYFUNCTION("""COMPUTED_VALUE"""),712.0)</f>
        <v>712</v>
      </c>
      <c r="K713" s="35" t="b">
        <f>IFERROR(__xludf.DUMMYFUNCTION("""COMPUTED_VALUE"""),FALSE)</f>
        <v>0</v>
      </c>
      <c r="L713" s="35" t="str">
        <f>IFERROR(__xludf.DUMMYFUNCTION("""COMPUTED_VALUE"""),"String;Dynamic Programming;")</f>
        <v>String;Dynamic Programming;</v>
      </c>
      <c r="M713" s="35" t="b">
        <f>IFERROR(__xludf.DUMMYFUNCTION("""COMPUTED_VALUE"""),TRUE)</f>
        <v>1</v>
      </c>
      <c r="N713" s="35" t="b">
        <f>IFERROR(__xludf.DUMMYFUNCTION("""COMPUTED_VALUE"""),FALSE)</f>
        <v>0</v>
      </c>
      <c r="O713" s="35">
        <f>IFERROR(__xludf.DUMMYFUNCTION("""COMPUTED_VALUE"""),61.3592970498265)</f>
        <v>61.35929705</v>
      </c>
      <c r="P713" s="35">
        <f>IFERROR(__xludf.DUMMYFUNCTION("""COMPUTED_VALUE"""),59775.0)</f>
        <v>59775</v>
      </c>
      <c r="Q713" s="35">
        <f>IFERROR(__xludf.DUMMYFUNCTION("""COMPUTED_VALUE"""),97418.0)</f>
        <v>97418</v>
      </c>
    </row>
    <row r="714">
      <c r="A714" s="35">
        <f>IFERROR(__xludf.DUMMYFUNCTION("""COMPUTED_VALUE"""),713.0)</f>
        <v>713</v>
      </c>
      <c r="B714" s="35" t="str">
        <f>IFERROR(__xludf.DUMMYFUNCTION("""COMPUTED_VALUE"""),"Subarray Product Less Than K")</f>
        <v>Subarray Product Less Than K</v>
      </c>
      <c r="C714" s="35" t="str">
        <f>IFERROR(__xludf.DUMMYFUNCTION("""COMPUTED_VALUE"""),"subarray-product-less-than-k")</f>
        <v>subarray-product-less-than-k</v>
      </c>
      <c r="D714" s="35" t="b">
        <f>IFERROR(__xludf.DUMMYFUNCTION("""COMPUTED_VALUE"""),FALSE)</f>
        <v>0</v>
      </c>
      <c r="E714" s="35" t="str">
        <f>IFERROR(__xludf.DUMMYFUNCTION("""COMPUTED_VALUE"""),"Medium")</f>
        <v>Medium</v>
      </c>
      <c r="F714" s="35">
        <f>IFERROR(__xludf.DUMMYFUNCTION("""COMPUTED_VALUE"""),3667.0)</f>
        <v>3667</v>
      </c>
      <c r="G714" s="35">
        <f>IFERROR(__xludf.DUMMYFUNCTION("""COMPUTED_VALUE"""),127.0)</f>
        <v>127</v>
      </c>
      <c r="H714" s="35" t="str">
        <f>IFERROR(__xludf.DUMMYFUNCTION("""COMPUTED_VALUE"""),"Algorithms")</f>
        <v>Algorithms</v>
      </c>
      <c r="I714" s="35">
        <f>IFERROR(__xludf.DUMMYFUNCTION("""COMPUTED_VALUE"""),0.433)</f>
        <v>0.433</v>
      </c>
      <c r="J714" s="35">
        <f>IFERROR(__xludf.DUMMYFUNCTION("""COMPUTED_VALUE"""),713.0)</f>
        <v>713</v>
      </c>
      <c r="K714" s="35" t="b">
        <f>IFERROR(__xludf.DUMMYFUNCTION("""COMPUTED_VALUE"""),FALSE)</f>
        <v>0</v>
      </c>
      <c r="L714" s="35" t="str">
        <f>IFERROR(__xludf.DUMMYFUNCTION("""COMPUTED_VALUE"""),"Array;Sliding Window;")</f>
        <v>Array;Sliding Window;</v>
      </c>
      <c r="M714" s="35" t="b">
        <f>IFERROR(__xludf.DUMMYFUNCTION("""COMPUTED_VALUE"""),TRUE)</f>
        <v>1</v>
      </c>
      <c r="N714" s="35" t="b">
        <f>IFERROR(__xludf.DUMMYFUNCTION("""COMPUTED_VALUE"""),FALSE)</f>
        <v>0</v>
      </c>
      <c r="O714" s="35">
        <f>IFERROR(__xludf.DUMMYFUNCTION("""COMPUTED_VALUE"""),43.3070509334783)</f>
        <v>43.30705093</v>
      </c>
      <c r="P714" s="35">
        <f>IFERROR(__xludf.DUMMYFUNCTION("""COMPUTED_VALUE"""),152907.0)</f>
        <v>152907</v>
      </c>
      <c r="Q714" s="35">
        <f>IFERROR(__xludf.DUMMYFUNCTION("""COMPUTED_VALUE"""),353083.0)</f>
        <v>353083</v>
      </c>
    </row>
    <row r="715">
      <c r="A715" s="35">
        <f>IFERROR(__xludf.DUMMYFUNCTION("""COMPUTED_VALUE"""),714.0)</f>
        <v>714</v>
      </c>
      <c r="B715" s="35" t="str">
        <f>IFERROR(__xludf.DUMMYFUNCTION("""COMPUTED_VALUE"""),"Best Time to Buy and Sell Stock with Transaction Fee")</f>
        <v>Best Time to Buy and Sell Stock with Transaction Fee</v>
      </c>
      <c r="C715" s="35" t="str">
        <f>IFERROR(__xludf.DUMMYFUNCTION("""COMPUTED_VALUE"""),"best-time-to-buy-and-sell-stock-with-transaction-fee")</f>
        <v>best-time-to-buy-and-sell-stock-with-transaction-fee</v>
      </c>
      <c r="D715" s="35" t="b">
        <f>IFERROR(__xludf.DUMMYFUNCTION("""COMPUTED_VALUE"""),FALSE)</f>
        <v>0</v>
      </c>
      <c r="E715" s="35" t="str">
        <f>IFERROR(__xludf.DUMMYFUNCTION("""COMPUTED_VALUE"""),"Medium")</f>
        <v>Medium</v>
      </c>
      <c r="F715" s="35">
        <f>IFERROR(__xludf.DUMMYFUNCTION("""COMPUTED_VALUE"""),3692.0)</f>
        <v>3692</v>
      </c>
      <c r="G715" s="35">
        <f>IFERROR(__xludf.DUMMYFUNCTION("""COMPUTED_VALUE"""),98.0)</f>
        <v>98</v>
      </c>
      <c r="H715" s="35" t="str">
        <f>IFERROR(__xludf.DUMMYFUNCTION("""COMPUTED_VALUE"""),"Algorithms")</f>
        <v>Algorithms</v>
      </c>
      <c r="I715" s="35">
        <f>IFERROR(__xludf.DUMMYFUNCTION("""COMPUTED_VALUE"""),0.617)</f>
        <v>0.617</v>
      </c>
      <c r="J715" s="35">
        <f>IFERROR(__xludf.DUMMYFUNCTION("""COMPUTED_VALUE"""),714.0)</f>
        <v>714</v>
      </c>
      <c r="K715" s="35" t="b">
        <f>IFERROR(__xludf.DUMMYFUNCTION("""COMPUTED_VALUE"""),FALSE)</f>
        <v>0</v>
      </c>
      <c r="L715" s="35" t="str">
        <f>IFERROR(__xludf.DUMMYFUNCTION("""COMPUTED_VALUE"""),"Array;Dynamic Programming;Greedy;")</f>
        <v>Array;Dynamic Programming;Greedy;</v>
      </c>
      <c r="M715" s="35" t="b">
        <f>IFERROR(__xludf.DUMMYFUNCTION("""COMPUTED_VALUE"""),TRUE)</f>
        <v>1</v>
      </c>
      <c r="N715" s="35" t="b">
        <f>IFERROR(__xludf.DUMMYFUNCTION("""COMPUTED_VALUE"""),FALSE)</f>
        <v>0</v>
      </c>
      <c r="O715" s="35">
        <f>IFERROR(__xludf.DUMMYFUNCTION("""COMPUTED_VALUE"""),61.6615584693647)</f>
        <v>61.66155847</v>
      </c>
      <c r="P715" s="35">
        <f>IFERROR(__xludf.DUMMYFUNCTION("""COMPUTED_VALUE"""),155515.0)</f>
        <v>155515</v>
      </c>
      <c r="Q715" s="35">
        <f>IFERROR(__xludf.DUMMYFUNCTION("""COMPUTED_VALUE"""),252208.0)</f>
        <v>252208</v>
      </c>
    </row>
    <row r="716">
      <c r="A716" s="35">
        <f>IFERROR(__xludf.DUMMYFUNCTION("""COMPUTED_VALUE"""),715.0)</f>
        <v>715</v>
      </c>
      <c r="B716" s="35" t="str">
        <f>IFERROR(__xludf.DUMMYFUNCTION("""COMPUTED_VALUE"""),"Range Module")</f>
        <v>Range Module</v>
      </c>
      <c r="C716" s="35" t="str">
        <f>IFERROR(__xludf.DUMMYFUNCTION("""COMPUTED_VALUE"""),"range-module")</f>
        <v>range-module</v>
      </c>
      <c r="D716" s="35" t="b">
        <f>IFERROR(__xludf.DUMMYFUNCTION("""COMPUTED_VALUE"""),FALSE)</f>
        <v>0</v>
      </c>
      <c r="E716" s="35" t="str">
        <f>IFERROR(__xludf.DUMMYFUNCTION("""COMPUTED_VALUE"""),"Hard")</f>
        <v>Hard</v>
      </c>
      <c r="F716" s="35">
        <f>IFERROR(__xludf.DUMMYFUNCTION("""COMPUTED_VALUE"""),880.0)</f>
        <v>880</v>
      </c>
      <c r="G716" s="35">
        <f>IFERROR(__xludf.DUMMYFUNCTION("""COMPUTED_VALUE"""),68.0)</f>
        <v>68</v>
      </c>
      <c r="H716" s="35" t="str">
        <f>IFERROR(__xludf.DUMMYFUNCTION("""COMPUTED_VALUE"""),"Algorithms")</f>
        <v>Algorithms</v>
      </c>
      <c r="I716" s="35">
        <f>IFERROR(__xludf.DUMMYFUNCTION("""COMPUTED_VALUE"""),0.434)</f>
        <v>0.434</v>
      </c>
      <c r="J716" s="35">
        <f>IFERROR(__xludf.DUMMYFUNCTION("""COMPUTED_VALUE"""),715.0)</f>
        <v>715</v>
      </c>
      <c r="K716" s="35" t="b">
        <f>IFERROR(__xludf.DUMMYFUNCTION("""COMPUTED_VALUE"""),FALSE)</f>
        <v>0</v>
      </c>
      <c r="L716" s="35" t="str">
        <f>IFERROR(__xludf.DUMMYFUNCTION("""COMPUTED_VALUE"""),"Design;Segment Tree;Ordered Set;")</f>
        <v>Design;Segment Tree;Ordered Set;</v>
      </c>
      <c r="M716" s="35" t="b">
        <f>IFERROR(__xludf.DUMMYFUNCTION("""COMPUTED_VALUE"""),FALSE)</f>
        <v>0</v>
      </c>
      <c r="N716" s="35" t="b">
        <f>IFERROR(__xludf.DUMMYFUNCTION("""COMPUTED_VALUE"""),FALSE)</f>
        <v>0</v>
      </c>
      <c r="O716" s="35">
        <f>IFERROR(__xludf.DUMMYFUNCTION("""COMPUTED_VALUE"""),43.3582572735437)</f>
        <v>43.35825727</v>
      </c>
      <c r="P716" s="35">
        <f>IFERROR(__xludf.DUMMYFUNCTION("""COMPUTED_VALUE"""),41519.0)</f>
        <v>41519</v>
      </c>
      <c r="Q716" s="35">
        <f>IFERROR(__xludf.DUMMYFUNCTION("""COMPUTED_VALUE"""),95758.0)</f>
        <v>95758</v>
      </c>
    </row>
    <row r="717">
      <c r="A717" s="35">
        <f>IFERROR(__xludf.DUMMYFUNCTION("""COMPUTED_VALUE"""),716.0)</f>
        <v>716</v>
      </c>
      <c r="B717" s="35" t="str">
        <f>IFERROR(__xludf.DUMMYFUNCTION("""COMPUTED_VALUE"""),"Max Stack")</f>
        <v>Max Stack</v>
      </c>
      <c r="C717" s="35" t="str">
        <f>IFERROR(__xludf.DUMMYFUNCTION("""COMPUTED_VALUE"""),"max-stack")</f>
        <v>max-stack</v>
      </c>
      <c r="D717" s="35" t="b">
        <f>IFERROR(__xludf.DUMMYFUNCTION("""COMPUTED_VALUE"""),TRUE)</f>
        <v>1</v>
      </c>
      <c r="E717" s="35" t="str">
        <f>IFERROR(__xludf.DUMMYFUNCTION("""COMPUTED_VALUE"""),"Easy")</f>
        <v>Easy</v>
      </c>
      <c r="F717" s="35">
        <f>IFERROR(__xludf.DUMMYFUNCTION("""COMPUTED_VALUE"""),1415.0)</f>
        <v>1415</v>
      </c>
      <c r="G717" s="35">
        <f>IFERROR(__xludf.DUMMYFUNCTION("""COMPUTED_VALUE"""),410.0)</f>
        <v>410</v>
      </c>
      <c r="H717" s="35" t="str">
        <f>IFERROR(__xludf.DUMMYFUNCTION("""COMPUTED_VALUE"""),"Algorithms")</f>
        <v>Algorithms</v>
      </c>
      <c r="I717" s="35">
        <f>IFERROR(__xludf.DUMMYFUNCTION("""COMPUTED_VALUE"""),0.449)</f>
        <v>0.449</v>
      </c>
      <c r="J717" s="35">
        <f>IFERROR(__xludf.DUMMYFUNCTION("""COMPUTED_VALUE"""),716.0)</f>
        <v>716</v>
      </c>
      <c r="K717" s="35" t="b">
        <f>IFERROR(__xludf.DUMMYFUNCTION("""COMPUTED_VALUE"""),TRUE)</f>
        <v>1</v>
      </c>
      <c r="L717" s="35" t="str">
        <f>IFERROR(__xludf.DUMMYFUNCTION("""COMPUTED_VALUE"""),"Linked List;Stack;Design;Doubly-Linked List;Ordered Set;")</f>
        <v>Linked List;Stack;Design;Doubly-Linked List;Ordered Set;</v>
      </c>
      <c r="M717" s="35" t="b">
        <f>IFERROR(__xludf.DUMMYFUNCTION("""COMPUTED_VALUE"""),TRUE)</f>
        <v>1</v>
      </c>
      <c r="N717" s="35" t="b">
        <f>IFERROR(__xludf.DUMMYFUNCTION("""COMPUTED_VALUE"""),FALSE)</f>
        <v>0</v>
      </c>
      <c r="O717" s="35">
        <f>IFERROR(__xludf.DUMMYFUNCTION("""COMPUTED_VALUE"""),44.9306322023237)</f>
        <v>44.9306322</v>
      </c>
      <c r="P717" s="35">
        <f>IFERROR(__xludf.DUMMYFUNCTION("""COMPUTED_VALUE"""),113575.0)</f>
        <v>113575</v>
      </c>
      <c r="Q717" s="35">
        <f>IFERROR(__xludf.DUMMYFUNCTION("""COMPUTED_VALUE"""),252780.0)</f>
        <v>252780</v>
      </c>
    </row>
    <row r="718">
      <c r="A718" s="35">
        <f>IFERROR(__xludf.DUMMYFUNCTION("""COMPUTED_VALUE"""),717.0)</f>
        <v>717</v>
      </c>
      <c r="B718" s="35" t="str">
        <f>IFERROR(__xludf.DUMMYFUNCTION("""COMPUTED_VALUE"""),"1-bit and 2-bit Characters")</f>
        <v>1-bit and 2-bit Characters</v>
      </c>
      <c r="C718" s="35" t="str">
        <f>IFERROR(__xludf.DUMMYFUNCTION("""COMPUTED_VALUE"""),"1-bit-and-2-bit-characters")</f>
        <v>1-bit-and-2-bit-characters</v>
      </c>
      <c r="D718" s="35" t="b">
        <f>IFERROR(__xludf.DUMMYFUNCTION("""COMPUTED_VALUE"""),FALSE)</f>
        <v>0</v>
      </c>
      <c r="E718" s="35" t="str">
        <f>IFERROR(__xludf.DUMMYFUNCTION("""COMPUTED_VALUE"""),"Easy")</f>
        <v>Easy</v>
      </c>
      <c r="F718" s="35">
        <f>IFERROR(__xludf.DUMMYFUNCTION("""COMPUTED_VALUE"""),657.0)</f>
        <v>657</v>
      </c>
      <c r="G718" s="35">
        <f>IFERROR(__xludf.DUMMYFUNCTION("""COMPUTED_VALUE"""),1693.0)</f>
        <v>1693</v>
      </c>
      <c r="H718" s="35" t="str">
        <f>IFERROR(__xludf.DUMMYFUNCTION("""COMPUTED_VALUE"""),"Algorithms")</f>
        <v>Algorithms</v>
      </c>
      <c r="I718" s="35">
        <f>IFERROR(__xludf.DUMMYFUNCTION("""COMPUTED_VALUE"""),0.462)</f>
        <v>0.462</v>
      </c>
      <c r="J718" s="35">
        <f>IFERROR(__xludf.DUMMYFUNCTION("""COMPUTED_VALUE"""),717.0)</f>
        <v>717</v>
      </c>
      <c r="K718" s="35" t="b">
        <f>IFERROR(__xludf.DUMMYFUNCTION("""COMPUTED_VALUE"""),FALSE)</f>
        <v>0</v>
      </c>
      <c r="L718" s="35" t="str">
        <f>IFERROR(__xludf.DUMMYFUNCTION("""COMPUTED_VALUE"""),"Array;")</f>
        <v>Array;</v>
      </c>
      <c r="M718" s="35" t="b">
        <f>IFERROR(__xludf.DUMMYFUNCTION("""COMPUTED_VALUE"""),FALSE)</f>
        <v>0</v>
      </c>
      <c r="N718" s="35" t="b">
        <f>IFERROR(__xludf.DUMMYFUNCTION("""COMPUTED_VALUE"""),FALSE)</f>
        <v>0</v>
      </c>
      <c r="O718" s="35">
        <f>IFERROR(__xludf.DUMMYFUNCTION("""COMPUTED_VALUE"""),46.2377446513831)</f>
        <v>46.23774465</v>
      </c>
      <c r="P718" s="35">
        <f>IFERROR(__xludf.DUMMYFUNCTION("""COMPUTED_VALUE"""),101490.0)</f>
        <v>101490</v>
      </c>
      <c r="Q718" s="35">
        <f>IFERROR(__xludf.DUMMYFUNCTION("""COMPUTED_VALUE"""),219496.0)</f>
        <v>219496</v>
      </c>
    </row>
    <row r="719">
      <c r="A719" s="35">
        <f>IFERROR(__xludf.DUMMYFUNCTION("""COMPUTED_VALUE"""),718.0)</f>
        <v>718</v>
      </c>
      <c r="B719" s="35" t="str">
        <f>IFERROR(__xludf.DUMMYFUNCTION("""COMPUTED_VALUE"""),"Maximum Length of Repeated Subarray")</f>
        <v>Maximum Length of Repeated Subarray</v>
      </c>
      <c r="C719" s="35" t="str">
        <f>IFERROR(__xludf.DUMMYFUNCTION("""COMPUTED_VALUE"""),"maximum-length-of-repeated-subarray")</f>
        <v>maximum-length-of-repeated-subarray</v>
      </c>
      <c r="D719" s="35" t="b">
        <f>IFERROR(__xludf.DUMMYFUNCTION("""COMPUTED_VALUE"""),FALSE)</f>
        <v>0</v>
      </c>
      <c r="E719" s="35" t="str">
        <f>IFERROR(__xludf.DUMMYFUNCTION("""COMPUTED_VALUE"""),"Medium")</f>
        <v>Medium</v>
      </c>
      <c r="F719" s="35">
        <f>IFERROR(__xludf.DUMMYFUNCTION("""COMPUTED_VALUE"""),3593.0)</f>
        <v>3593</v>
      </c>
      <c r="G719" s="35">
        <f>IFERROR(__xludf.DUMMYFUNCTION("""COMPUTED_VALUE"""),87.0)</f>
        <v>87</v>
      </c>
      <c r="H719" s="35" t="str">
        <f>IFERROR(__xludf.DUMMYFUNCTION("""COMPUTED_VALUE"""),"Algorithms")</f>
        <v>Algorithms</v>
      </c>
      <c r="I719" s="35">
        <f>IFERROR(__xludf.DUMMYFUNCTION("""COMPUTED_VALUE"""),0.513)</f>
        <v>0.513</v>
      </c>
      <c r="J719" s="35">
        <f>IFERROR(__xludf.DUMMYFUNCTION("""COMPUTED_VALUE"""),718.0)</f>
        <v>718</v>
      </c>
      <c r="K719" s="35" t="b">
        <f>IFERROR(__xludf.DUMMYFUNCTION("""COMPUTED_VALUE"""),FALSE)</f>
        <v>0</v>
      </c>
      <c r="L719" s="35" t="str">
        <f>IFERROR(__xludf.DUMMYFUNCTION("""COMPUTED_VALUE"""),"Array;Binary Search;Dynamic Programming;Sliding Window;Rolling Hash;Hash Function;")</f>
        <v>Array;Binary Search;Dynamic Programming;Sliding Window;Rolling Hash;Hash Function;</v>
      </c>
      <c r="M719" s="35" t="b">
        <f>IFERROR(__xludf.DUMMYFUNCTION("""COMPUTED_VALUE"""),TRUE)</f>
        <v>1</v>
      </c>
      <c r="N719" s="35" t="b">
        <f>IFERROR(__xludf.DUMMYFUNCTION("""COMPUTED_VALUE"""),FALSE)</f>
        <v>0</v>
      </c>
      <c r="O719" s="35">
        <f>IFERROR(__xludf.DUMMYFUNCTION("""COMPUTED_VALUE"""),51.3443724895483)</f>
        <v>51.34437249</v>
      </c>
      <c r="P719" s="35">
        <f>IFERROR(__xludf.DUMMYFUNCTION("""COMPUTED_VALUE"""),162851.0)</f>
        <v>162851</v>
      </c>
      <c r="Q719" s="35">
        <f>IFERROR(__xludf.DUMMYFUNCTION("""COMPUTED_VALUE"""),317173.0)</f>
        <v>317173</v>
      </c>
    </row>
    <row r="720">
      <c r="A720" s="35">
        <f>IFERROR(__xludf.DUMMYFUNCTION("""COMPUTED_VALUE"""),719.0)</f>
        <v>719</v>
      </c>
      <c r="B720" s="35" t="str">
        <f>IFERROR(__xludf.DUMMYFUNCTION("""COMPUTED_VALUE"""),"Find K-th Smallest Pair Distance")</f>
        <v>Find K-th Smallest Pair Distance</v>
      </c>
      <c r="C720" s="35" t="str">
        <f>IFERROR(__xludf.DUMMYFUNCTION("""COMPUTED_VALUE"""),"find-k-th-smallest-pair-distance")</f>
        <v>find-k-th-smallest-pair-distance</v>
      </c>
      <c r="D720" s="35" t="b">
        <f>IFERROR(__xludf.DUMMYFUNCTION("""COMPUTED_VALUE"""),FALSE)</f>
        <v>0</v>
      </c>
      <c r="E720" s="35" t="str">
        <f>IFERROR(__xludf.DUMMYFUNCTION("""COMPUTED_VALUE"""),"Hard")</f>
        <v>Hard</v>
      </c>
      <c r="F720" s="35">
        <f>IFERROR(__xludf.DUMMYFUNCTION("""COMPUTED_VALUE"""),1876.0)</f>
        <v>1876</v>
      </c>
      <c r="G720" s="35">
        <f>IFERROR(__xludf.DUMMYFUNCTION("""COMPUTED_VALUE"""),61.0)</f>
        <v>61</v>
      </c>
      <c r="H720" s="35" t="str">
        <f>IFERROR(__xludf.DUMMYFUNCTION("""COMPUTED_VALUE"""),"Algorithms")</f>
        <v>Algorithms</v>
      </c>
      <c r="I720" s="35">
        <f>IFERROR(__xludf.DUMMYFUNCTION("""COMPUTED_VALUE"""),0.348)</f>
        <v>0.348</v>
      </c>
      <c r="J720" s="35">
        <f>IFERROR(__xludf.DUMMYFUNCTION("""COMPUTED_VALUE"""),719.0)</f>
        <v>719</v>
      </c>
      <c r="K720" s="35" t="b">
        <f>IFERROR(__xludf.DUMMYFUNCTION("""COMPUTED_VALUE"""),FALSE)</f>
        <v>0</v>
      </c>
      <c r="L720" s="35" t="str">
        <f>IFERROR(__xludf.DUMMYFUNCTION("""COMPUTED_VALUE"""),"Array;Two Pointers;Binary Search;Sorting;")</f>
        <v>Array;Two Pointers;Binary Search;Sorting;</v>
      </c>
      <c r="M720" s="35" t="b">
        <f>IFERROR(__xludf.DUMMYFUNCTION("""COMPUTED_VALUE"""),TRUE)</f>
        <v>1</v>
      </c>
      <c r="N720" s="35" t="b">
        <f>IFERROR(__xludf.DUMMYFUNCTION("""COMPUTED_VALUE"""),FALSE)</f>
        <v>0</v>
      </c>
      <c r="O720" s="35">
        <f>IFERROR(__xludf.DUMMYFUNCTION("""COMPUTED_VALUE"""),34.7704350073537)</f>
        <v>34.77043501</v>
      </c>
      <c r="P720" s="35">
        <f>IFERROR(__xludf.DUMMYFUNCTION("""COMPUTED_VALUE"""),56502.0)</f>
        <v>56502</v>
      </c>
      <c r="Q720" s="35">
        <f>IFERROR(__xludf.DUMMYFUNCTION("""COMPUTED_VALUE"""),162501.0)</f>
        <v>162501</v>
      </c>
    </row>
    <row r="721">
      <c r="A721" s="35">
        <f>IFERROR(__xludf.DUMMYFUNCTION("""COMPUTED_VALUE"""),720.0)</f>
        <v>720</v>
      </c>
      <c r="B721" s="35" t="str">
        <f>IFERROR(__xludf.DUMMYFUNCTION("""COMPUTED_VALUE"""),"Longest Word in Dictionary")</f>
        <v>Longest Word in Dictionary</v>
      </c>
      <c r="C721" s="35" t="str">
        <f>IFERROR(__xludf.DUMMYFUNCTION("""COMPUTED_VALUE"""),"longest-word-in-dictionary")</f>
        <v>longest-word-in-dictionary</v>
      </c>
      <c r="D721" s="35" t="b">
        <f>IFERROR(__xludf.DUMMYFUNCTION("""COMPUTED_VALUE"""),FALSE)</f>
        <v>0</v>
      </c>
      <c r="E721" s="35" t="str">
        <f>IFERROR(__xludf.DUMMYFUNCTION("""COMPUTED_VALUE"""),"Medium")</f>
        <v>Medium</v>
      </c>
      <c r="F721" s="35">
        <f>IFERROR(__xludf.DUMMYFUNCTION("""COMPUTED_VALUE"""),1270.0)</f>
        <v>1270</v>
      </c>
      <c r="G721" s="35">
        <f>IFERROR(__xludf.DUMMYFUNCTION("""COMPUTED_VALUE"""),1270.0)</f>
        <v>1270</v>
      </c>
      <c r="H721" s="35" t="str">
        <f>IFERROR(__xludf.DUMMYFUNCTION("""COMPUTED_VALUE"""),"Algorithms")</f>
        <v>Algorithms</v>
      </c>
      <c r="I721" s="35">
        <f>IFERROR(__xludf.DUMMYFUNCTION("""COMPUTED_VALUE"""),0.508)</f>
        <v>0.508</v>
      </c>
      <c r="J721" s="35">
        <f>IFERROR(__xludf.DUMMYFUNCTION("""COMPUTED_VALUE"""),720.0)</f>
        <v>720</v>
      </c>
      <c r="K721" s="35" t="b">
        <f>IFERROR(__xludf.DUMMYFUNCTION("""COMPUTED_VALUE"""),FALSE)</f>
        <v>0</v>
      </c>
      <c r="L721" s="35" t="str">
        <f>IFERROR(__xludf.DUMMYFUNCTION("""COMPUTED_VALUE"""),"Array;Hash Table;String;Trie;Sorting;")</f>
        <v>Array;Hash Table;String;Trie;Sorting;</v>
      </c>
      <c r="M721" s="35" t="b">
        <f>IFERROR(__xludf.DUMMYFUNCTION("""COMPUTED_VALUE"""),TRUE)</f>
        <v>1</v>
      </c>
      <c r="N721" s="35" t="b">
        <f>IFERROR(__xludf.DUMMYFUNCTION("""COMPUTED_VALUE"""),FALSE)</f>
        <v>0</v>
      </c>
      <c r="O721" s="35">
        <f>IFERROR(__xludf.DUMMYFUNCTION("""COMPUTED_VALUE"""),50.8280966345482)</f>
        <v>50.82809663</v>
      </c>
      <c r="P721" s="35">
        <f>IFERROR(__xludf.DUMMYFUNCTION("""COMPUTED_VALUE"""),109182.0)</f>
        <v>109182</v>
      </c>
      <c r="Q721" s="35">
        <f>IFERROR(__xludf.DUMMYFUNCTION("""COMPUTED_VALUE"""),214810.0)</f>
        <v>214810</v>
      </c>
    </row>
    <row r="722">
      <c r="A722" s="35">
        <f>IFERROR(__xludf.DUMMYFUNCTION("""COMPUTED_VALUE"""),721.0)</f>
        <v>721</v>
      </c>
      <c r="B722" s="35" t="str">
        <f>IFERROR(__xludf.DUMMYFUNCTION("""COMPUTED_VALUE"""),"Accounts Merge")</f>
        <v>Accounts Merge</v>
      </c>
      <c r="C722" s="35" t="str">
        <f>IFERROR(__xludf.DUMMYFUNCTION("""COMPUTED_VALUE"""),"accounts-merge")</f>
        <v>accounts-merge</v>
      </c>
      <c r="D722" s="35" t="b">
        <f>IFERROR(__xludf.DUMMYFUNCTION("""COMPUTED_VALUE"""),FALSE)</f>
        <v>0</v>
      </c>
      <c r="E722" s="35" t="str">
        <f>IFERROR(__xludf.DUMMYFUNCTION("""COMPUTED_VALUE"""),"Medium")</f>
        <v>Medium</v>
      </c>
      <c r="F722" s="35">
        <f>IFERROR(__xludf.DUMMYFUNCTION("""COMPUTED_VALUE"""),4002.0)</f>
        <v>4002</v>
      </c>
      <c r="G722" s="35">
        <f>IFERROR(__xludf.DUMMYFUNCTION("""COMPUTED_VALUE"""),719.0)</f>
        <v>719</v>
      </c>
      <c r="H722" s="35" t="str">
        <f>IFERROR(__xludf.DUMMYFUNCTION("""COMPUTED_VALUE"""),"Algorithms")</f>
        <v>Algorithms</v>
      </c>
      <c r="I722" s="35">
        <f>IFERROR(__xludf.DUMMYFUNCTION("""COMPUTED_VALUE"""),0.556)</f>
        <v>0.556</v>
      </c>
      <c r="J722" s="35">
        <f>IFERROR(__xludf.DUMMYFUNCTION("""COMPUTED_VALUE"""),721.0)</f>
        <v>721</v>
      </c>
      <c r="K722" s="35" t="b">
        <f>IFERROR(__xludf.DUMMYFUNCTION("""COMPUTED_VALUE"""),FALSE)</f>
        <v>0</v>
      </c>
      <c r="L722" s="35" t="str">
        <f>IFERROR(__xludf.DUMMYFUNCTION("""COMPUTED_VALUE"""),"Array;String;Depth-First Search;Breadth-First Search;Union Find;")</f>
        <v>Array;String;Depth-First Search;Breadth-First Search;Union Find;</v>
      </c>
      <c r="M722" s="35" t="b">
        <f>IFERROR(__xludf.DUMMYFUNCTION("""COMPUTED_VALUE"""),TRUE)</f>
        <v>1</v>
      </c>
      <c r="N722" s="35" t="b">
        <f>IFERROR(__xludf.DUMMYFUNCTION("""COMPUTED_VALUE"""),FALSE)</f>
        <v>0</v>
      </c>
      <c r="O722" s="35">
        <f>IFERROR(__xludf.DUMMYFUNCTION("""COMPUTED_VALUE"""),55.5649636217037)</f>
        <v>55.56496362</v>
      </c>
      <c r="P722" s="35">
        <f>IFERROR(__xludf.DUMMYFUNCTION("""COMPUTED_VALUE"""),233615.0)</f>
        <v>233615</v>
      </c>
      <c r="Q722" s="35">
        <f>IFERROR(__xludf.DUMMYFUNCTION("""COMPUTED_VALUE"""),420436.0)</f>
        <v>420436</v>
      </c>
    </row>
    <row r="723">
      <c r="A723" s="35">
        <f>IFERROR(__xludf.DUMMYFUNCTION("""COMPUTED_VALUE"""),722.0)</f>
        <v>722</v>
      </c>
      <c r="B723" s="35" t="str">
        <f>IFERROR(__xludf.DUMMYFUNCTION("""COMPUTED_VALUE"""),"Remove Comments")</f>
        <v>Remove Comments</v>
      </c>
      <c r="C723" s="35" t="str">
        <f>IFERROR(__xludf.DUMMYFUNCTION("""COMPUTED_VALUE"""),"remove-comments")</f>
        <v>remove-comments</v>
      </c>
      <c r="D723" s="35" t="b">
        <f>IFERROR(__xludf.DUMMYFUNCTION("""COMPUTED_VALUE"""),FALSE)</f>
        <v>0</v>
      </c>
      <c r="E723" s="35" t="str">
        <f>IFERROR(__xludf.DUMMYFUNCTION("""COMPUTED_VALUE"""),"Medium")</f>
        <v>Medium</v>
      </c>
      <c r="F723" s="35">
        <f>IFERROR(__xludf.DUMMYFUNCTION("""COMPUTED_VALUE"""),546.0)</f>
        <v>546</v>
      </c>
      <c r="G723" s="35">
        <f>IFERROR(__xludf.DUMMYFUNCTION("""COMPUTED_VALUE"""),1468.0)</f>
        <v>1468</v>
      </c>
      <c r="H723" s="35" t="str">
        <f>IFERROR(__xludf.DUMMYFUNCTION("""COMPUTED_VALUE"""),"Algorithms")</f>
        <v>Algorithms</v>
      </c>
      <c r="I723" s="35">
        <f>IFERROR(__xludf.DUMMYFUNCTION("""COMPUTED_VALUE"""),0.373)</f>
        <v>0.373</v>
      </c>
      <c r="J723" s="35">
        <f>IFERROR(__xludf.DUMMYFUNCTION("""COMPUTED_VALUE"""),722.0)</f>
        <v>722</v>
      </c>
      <c r="K723" s="35" t="b">
        <f>IFERROR(__xludf.DUMMYFUNCTION("""COMPUTED_VALUE"""),FALSE)</f>
        <v>0</v>
      </c>
      <c r="L723" s="35" t="str">
        <f>IFERROR(__xludf.DUMMYFUNCTION("""COMPUTED_VALUE"""),"Array;String;")</f>
        <v>Array;String;</v>
      </c>
      <c r="M723" s="35" t="b">
        <f>IFERROR(__xludf.DUMMYFUNCTION("""COMPUTED_VALUE"""),FALSE)</f>
        <v>0</v>
      </c>
      <c r="N723" s="35" t="b">
        <f>IFERROR(__xludf.DUMMYFUNCTION("""COMPUTED_VALUE"""),FALSE)</f>
        <v>0</v>
      </c>
      <c r="O723" s="35">
        <f>IFERROR(__xludf.DUMMYFUNCTION("""COMPUTED_VALUE"""),37.2809324141852)</f>
        <v>37.28093241</v>
      </c>
      <c r="P723" s="35">
        <f>IFERROR(__xludf.DUMMYFUNCTION("""COMPUTED_VALUE"""),52457.0)</f>
        <v>52457</v>
      </c>
      <c r="Q723" s="35">
        <f>IFERROR(__xludf.DUMMYFUNCTION("""COMPUTED_VALUE"""),140709.0)</f>
        <v>140709</v>
      </c>
    </row>
    <row r="724">
      <c r="A724" s="35">
        <f>IFERROR(__xludf.DUMMYFUNCTION("""COMPUTED_VALUE"""),723.0)</f>
        <v>723</v>
      </c>
      <c r="B724" s="35" t="str">
        <f>IFERROR(__xludf.DUMMYFUNCTION("""COMPUTED_VALUE"""),"Candy Crush")</f>
        <v>Candy Crush</v>
      </c>
      <c r="C724" s="35" t="str">
        <f>IFERROR(__xludf.DUMMYFUNCTION("""COMPUTED_VALUE"""),"candy-crush")</f>
        <v>candy-crush</v>
      </c>
      <c r="D724" s="35" t="b">
        <f>IFERROR(__xludf.DUMMYFUNCTION("""COMPUTED_VALUE"""),TRUE)</f>
        <v>1</v>
      </c>
      <c r="E724" s="35" t="str">
        <f>IFERROR(__xludf.DUMMYFUNCTION("""COMPUTED_VALUE"""),"Medium")</f>
        <v>Medium</v>
      </c>
      <c r="F724" s="35">
        <f>IFERROR(__xludf.DUMMYFUNCTION("""COMPUTED_VALUE"""),735.0)</f>
        <v>735</v>
      </c>
      <c r="G724" s="35">
        <f>IFERROR(__xludf.DUMMYFUNCTION("""COMPUTED_VALUE"""),325.0)</f>
        <v>325</v>
      </c>
      <c r="H724" s="35" t="str">
        <f>IFERROR(__xludf.DUMMYFUNCTION("""COMPUTED_VALUE"""),"Algorithms")</f>
        <v>Algorithms</v>
      </c>
      <c r="I724" s="35">
        <f>IFERROR(__xludf.DUMMYFUNCTION("""COMPUTED_VALUE"""),0.749)</f>
        <v>0.749</v>
      </c>
      <c r="J724" s="35">
        <f>IFERROR(__xludf.DUMMYFUNCTION("""COMPUTED_VALUE"""),723.0)</f>
        <v>723</v>
      </c>
      <c r="K724" s="35" t="b">
        <f>IFERROR(__xludf.DUMMYFUNCTION("""COMPUTED_VALUE"""),TRUE)</f>
        <v>1</v>
      </c>
      <c r="L724" s="35" t="str">
        <f>IFERROR(__xludf.DUMMYFUNCTION("""COMPUTED_VALUE"""),"Array;Two Pointers;Matrix;Simulation;")</f>
        <v>Array;Two Pointers;Matrix;Simulation;</v>
      </c>
      <c r="M724" s="35" t="b">
        <f>IFERROR(__xludf.DUMMYFUNCTION("""COMPUTED_VALUE"""),TRUE)</f>
        <v>1</v>
      </c>
      <c r="N724" s="35" t="b">
        <f>IFERROR(__xludf.DUMMYFUNCTION("""COMPUTED_VALUE"""),FALSE)</f>
        <v>0</v>
      </c>
      <c r="O724" s="35">
        <f>IFERROR(__xludf.DUMMYFUNCTION("""COMPUTED_VALUE"""),74.9399956360462)</f>
        <v>74.93999564</v>
      </c>
      <c r="P724" s="35">
        <f>IFERROR(__xludf.DUMMYFUNCTION("""COMPUTED_VALUE"""),48083.0)</f>
        <v>48083</v>
      </c>
      <c r="Q724" s="35">
        <f>IFERROR(__xludf.DUMMYFUNCTION("""COMPUTED_VALUE"""),64162.0)</f>
        <v>64162</v>
      </c>
    </row>
    <row r="725">
      <c r="A725" s="35">
        <f>IFERROR(__xludf.DUMMYFUNCTION("""COMPUTED_VALUE"""),724.0)</f>
        <v>724</v>
      </c>
      <c r="B725" s="35" t="str">
        <f>IFERROR(__xludf.DUMMYFUNCTION("""COMPUTED_VALUE"""),"Find Pivot Index")</f>
        <v>Find Pivot Index</v>
      </c>
      <c r="C725" s="35" t="str">
        <f>IFERROR(__xludf.DUMMYFUNCTION("""COMPUTED_VALUE"""),"find-pivot-index")</f>
        <v>find-pivot-index</v>
      </c>
      <c r="D725" s="35" t="b">
        <f>IFERROR(__xludf.DUMMYFUNCTION("""COMPUTED_VALUE"""),FALSE)</f>
        <v>0</v>
      </c>
      <c r="E725" s="35" t="str">
        <f>IFERROR(__xludf.DUMMYFUNCTION("""COMPUTED_VALUE"""),"Easy")</f>
        <v>Easy</v>
      </c>
      <c r="F725" s="35">
        <f>IFERROR(__xludf.DUMMYFUNCTION("""COMPUTED_VALUE"""),2924.0)</f>
        <v>2924</v>
      </c>
      <c r="G725" s="35">
        <f>IFERROR(__xludf.DUMMYFUNCTION("""COMPUTED_VALUE"""),361.0)</f>
        <v>361</v>
      </c>
      <c r="H725" s="35" t="str">
        <f>IFERROR(__xludf.DUMMYFUNCTION("""COMPUTED_VALUE"""),"Algorithms")</f>
        <v>Algorithms</v>
      </c>
      <c r="I725" s="35">
        <f>IFERROR(__xludf.DUMMYFUNCTION("""COMPUTED_VALUE"""),0.511)</f>
        <v>0.511</v>
      </c>
      <c r="J725" s="35">
        <f>IFERROR(__xludf.DUMMYFUNCTION("""COMPUTED_VALUE"""),724.0)</f>
        <v>724</v>
      </c>
      <c r="K725" s="35" t="b">
        <f>IFERROR(__xludf.DUMMYFUNCTION("""COMPUTED_VALUE"""),FALSE)</f>
        <v>0</v>
      </c>
      <c r="L725" s="35" t="str">
        <f>IFERROR(__xludf.DUMMYFUNCTION("""COMPUTED_VALUE"""),"Array;Prefix Sum;")</f>
        <v>Array;Prefix Sum;</v>
      </c>
      <c r="M725" s="35" t="b">
        <f>IFERROR(__xludf.DUMMYFUNCTION("""COMPUTED_VALUE"""),TRUE)</f>
        <v>1</v>
      </c>
      <c r="N725" s="35" t="b">
        <f>IFERROR(__xludf.DUMMYFUNCTION("""COMPUTED_VALUE"""),FALSE)</f>
        <v>0</v>
      </c>
      <c r="O725" s="35">
        <f>IFERROR(__xludf.DUMMYFUNCTION("""COMPUTED_VALUE"""),51.0537204696562)</f>
        <v>51.05372047</v>
      </c>
      <c r="P725" s="35">
        <f>IFERROR(__xludf.DUMMYFUNCTION("""COMPUTED_VALUE"""),288716.0)</f>
        <v>288716</v>
      </c>
      <c r="Q725" s="35">
        <f>IFERROR(__xludf.DUMMYFUNCTION("""COMPUTED_VALUE"""),565515.0)</f>
        <v>565515</v>
      </c>
    </row>
    <row r="726">
      <c r="A726" s="35">
        <f>IFERROR(__xludf.DUMMYFUNCTION("""COMPUTED_VALUE"""),725.0)</f>
        <v>725</v>
      </c>
      <c r="B726" s="35" t="str">
        <f>IFERROR(__xludf.DUMMYFUNCTION("""COMPUTED_VALUE"""),"Split Linked List in Parts")</f>
        <v>Split Linked List in Parts</v>
      </c>
      <c r="C726" s="35" t="str">
        <f>IFERROR(__xludf.DUMMYFUNCTION("""COMPUTED_VALUE"""),"split-linked-list-in-parts")</f>
        <v>split-linked-list-in-parts</v>
      </c>
      <c r="D726" s="35" t="b">
        <f>IFERROR(__xludf.DUMMYFUNCTION("""COMPUTED_VALUE"""),FALSE)</f>
        <v>0</v>
      </c>
      <c r="E726" s="35" t="str">
        <f>IFERROR(__xludf.DUMMYFUNCTION("""COMPUTED_VALUE"""),"Medium")</f>
        <v>Medium</v>
      </c>
      <c r="F726" s="35">
        <f>IFERROR(__xludf.DUMMYFUNCTION("""COMPUTED_VALUE"""),1725.0)</f>
        <v>1725</v>
      </c>
      <c r="G726" s="35">
        <f>IFERROR(__xludf.DUMMYFUNCTION("""COMPUTED_VALUE"""),191.0)</f>
        <v>191</v>
      </c>
      <c r="H726" s="35" t="str">
        <f>IFERROR(__xludf.DUMMYFUNCTION("""COMPUTED_VALUE"""),"Algorithms")</f>
        <v>Algorithms</v>
      </c>
      <c r="I726" s="35">
        <f>IFERROR(__xludf.DUMMYFUNCTION("""COMPUTED_VALUE"""),0.567)</f>
        <v>0.567</v>
      </c>
      <c r="J726" s="35">
        <f>IFERROR(__xludf.DUMMYFUNCTION("""COMPUTED_VALUE"""),725.0)</f>
        <v>725</v>
      </c>
      <c r="K726" s="35" t="b">
        <f>IFERROR(__xludf.DUMMYFUNCTION("""COMPUTED_VALUE"""),FALSE)</f>
        <v>0</v>
      </c>
      <c r="L726" s="35" t="str">
        <f>IFERROR(__xludf.DUMMYFUNCTION("""COMPUTED_VALUE"""),"Linked List;")</f>
        <v>Linked List;</v>
      </c>
      <c r="M726" s="35" t="b">
        <f>IFERROR(__xludf.DUMMYFUNCTION("""COMPUTED_VALUE"""),TRUE)</f>
        <v>1</v>
      </c>
      <c r="N726" s="35" t="b">
        <f>IFERROR(__xludf.DUMMYFUNCTION("""COMPUTED_VALUE"""),FALSE)</f>
        <v>0</v>
      </c>
      <c r="O726" s="35">
        <f>IFERROR(__xludf.DUMMYFUNCTION("""COMPUTED_VALUE"""),56.6844172956299)</f>
        <v>56.6844173</v>
      </c>
      <c r="P726" s="35">
        <f>IFERROR(__xludf.DUMMYFUNCTION("""COMPUTED_VALUE"""),93351.0)</f>
        <v>93351</v>
      </c>
      <c r="Q726" s="35">
        <f>IFERROR(__xludf.DUMMYFUNCTION("""COMPUTED_VALUE"""),164687.0)</f>
        <v>164687</v>
      </c>
    </row>
    <row r="727">
      <c r="A727" s="35">
        <f>IFERROR(__xludf.DUMMYFUNCTION("""COMPUTED_VALUE"""),726.0)</f>
        <v>726</v>
      </c>
      <c r="B727" s="35" t="str">
        <f>IFERROR(__xludf.DUMMYFUNCTION("""COMPUTED_VALUE"""),"Number of Atoms")</f>
        <v>Number of Atoms</v>
      </c>
      <c r="C727" s="35" t="str">
        <f>IFERROR(__xludf.DUMMYFUNCTION("""COMPUTED_VALUE"""),"number-of-atoms")</f>
        <v>number-of-atoms</v>
      </c>
      <c r="D727" s="35" t="b">
        <f>IFERROR(__xludf.DUMMYFUNCTION("""COMPUTED_VALUE"""),FALSE)</f>
        <v>0</v>
      </c>
      <c r="E727" s="35" t="str">
        <f>IFERROR(__xludf.DUMMYFUNCTION("""COMPUTED_VALUE"""),"Hard")</f>
        <v>Hard</v>
      </c>
      <c r="F727" s="35">
        <f>IFERROR(__xludf.DUMMYFUNCTION("""COMPUTED_VALUE"""),889.0)</f>
        <v>889</v>
      </c>
      <c r="G727" s="35">
        <f>IFERROR(__xludf.DUMMYFUNCTION("""COMPUTED_VALUE"""),221.0)</f>
        <v>221</v>
      </c>
      <c r="H727" s="35" t="str">
        <f>IFERROR(__xludf.DUMMYFUNCTION("""COMPUTED_VALUE"""),"Algorithms")</f>
        <v>Algorithms</v>
      </c>
      <c r="I727" s="35">
        <f>IFERROR(__xludf.DUMMYFUNCTION("""COMPUTED_VALUE"""),0.517)</f>
        <v>0.517</v>
      </c>
      <c r="J727" s="35">
        <f>IFERROR(__xludf.DUMMYFUNCTION("""COMPUTED_VALUE"""),726.0)</f>
        <v>726</v>
      </c>
      <c r="K727" s="35" t="b">
        <f>IFERROR(__xludf.DUMMYFUNCTION("""COMPUTED_VALUE"""),FALSE)</f>
        <v>0</v>
      </c>
      <c r="L727" s="35" t="str">
        <f>IFERROR(__xludf.DUMMYFUNCTION("""COMPUTED_VALUE"""),"Hash Table;String;Stack;Sorting;")</f>
        <v>Hash Table;String;Stack;Sorting;</v>
      </c>
      <c r="M727" s="35" t="b">
        <f>IFERROR(__xludf.DUMMYFUNCTION("""COMPUTED_VALUE"""),TRUE)</f>
        <v>1</v>
      </c>
      <c r="N727" s="35" t="b">
        <f>IFERROR(__xludf.DUMMYFUNCTION("""COMPUTED_VALUE"""),FALSE)</f>
        <v>0</v>
      </c>
      <c r="O727" s="35">
        <f>IFERROR(__xludf.DUMMYFUNCTION("""COMPUTED_VALUE"""),51.7197119155712)</f>
        <v>51.71971192</v>
      </c>
      <c r="P727" s="35">
        <f>IFERROR(__xludf.DUMMYFUNCTION("""COMPUTED_VALUE"""),43518.0)</f>
        <v>43518</v>
      </c>
      <c r="Q727" s="35">
        <f>IFERROR(__xludf.DUMMYFUNCTION("""COMPUTED_VALUE"""),84142.0)</f>
        <v>84142</v>
      </c>
    </row>
    <row r="728">
      <c r="A728" s="35">
        <f>IFERROR(__xludf.DUMMYFUNCTION("""COMPUTED_VALUE"""),727.0)</f>
        <v>727</v>
      </c>
      <c r="B728" s="35" t="str">
        <f>IFERROR(__xludf.DUMMYFUNCTION("""COMPUTED_VALUE"""),"Minimum Window Subsequence")</f>
        <v>Minimum Window Subsequence</v>
      </c>
      <c r="C728" s="35" t="str">
        <f>IFERROR(__xludf.DUMMYFUNCTION("""COMPUTED_VALUE"""),"minimum-window-subsequence")</f>
        <v>minimum-window-subsequence</v>
      </c>
      <c r="D728" s="35" t="b">
        <f>IFERROR(__xludf.DUMMYFUNCTION("""COMPUTED_VALUE"""),TRUE)</f>
        <v>1</v>
      </c>
      <c r="E728" s="35" t="str">
        <f>IFERROR(__xludf.DUMMYFUNCTION("""COMPUTED_VALUE"""),"Hard")</f>
        <v>Hard</v>
      </c>
      <c r="F728" s="35">
        <f>IFERROR(__xludf.DUMMYFUNCTION("""COMPUTED_VALUE"""),1196.0)</f>
        <v>1196</v>
      </c>
      <c r="G728" s="35">
        <f>IFERROR(__xludf.DUMMYFUNCTION("""COMPUTED_VALUE"""),71.0)</f>
        <v>71</v>
      </c>
      <c r="H728" s="35" t="str">
        <f>IFERROR(__xludf.DUMMYFUNCTION("""COMPUTED_VALUE"""),"Algorithms")</f>
        <v>Algorithms</v>
      </c>
      <c r="I728" s="35">
        <f>IFERROR(__xludf.DUMMYFUNCTION("""COMPUTED_VALUE"""),0.429)</f>
        <v>0.429</v>
      </c>
      <c r="J728" s="35">
        <f>IFERROR(__xludf.DUMMYFUNCTION("""COMPUTED_VALUE"""),727.0)</f>
        <v>727</v>
      </c>
      <c r="K728" s="35" t="b">
        <f>IFERROR(__xludf.DUMMYFUNCTION("""COMPUTED_VALUE"""),TRUE)</f>
        <v>1</v>
      </c>
      <c r="L728" s="35" t="str">
        <f>IFERROR(__xludf.DUMMYFUNCTION("""COMPUTED_VALUE"""),"String;Dynamic Programming;Sliding Window;")</f>
        <v>String;Dynamic Programming;Sliding Window;</v>
      </c>
      <c r="M728" s="35" t="b">
        <f>IFERROR(__xludf.DUMMYFUNCTION("""COMPUTED_VALUE"""),FALSE)</f>
        <v>0</v>
      </c>
      <c r="N728" s="35" t="b">
        <f>IFERROR(__xludf.DUMMYFUNCTION("""COMPUTED_VALUE"""),FALSE)</f>
        <v>0</v>
      </c>
      <c r="O728" s="35">
        <f>IFERROR(__xludf.DUMMYFUNCTION("""COMPUTED_VALUE"""),42.8784064917301)</f>
        <v>42.87840649</v>
      </c>
      <c r="P728" s="35">
        <f>IFERROR(__xludf.DUMMYFUNCTION("""COMPUTED_VALUE"""),74611.0)</f>
        <v>74611</v>
      </c>
      <c r="Q728" s="35">
        <f>IFERROR(__xludf.DUMMYFUNCTION("""COMPUTED_VALUE"""),174005.0)</f>
        <v>174005</v>
      </c>
    </row>
    <row r="729">
      <c r="A729" s="35">
        <f>IFERROR(__xludf.DUMMYFUNCTION("""COMPUTED_VALUE"""),728.0)</f>
        <v>728</v>
      </c>
      <c r="B729" s="35" t="str">
        <f>IFERROR(__xludf.DUMMYFUNCTION("""COMPUTED_VALUE"""),"Self Dividing Numbers")</f>
        <v>Self Dividing Numbers</v>
      </c>
      <c r="C729" s="35" t="str">
        <f>IFERROR(__xludf.DUMMYFUNCTION("""COMPUTED_VALUE"""),"self-dividing-numbers")</f>
        <v>self-dividing-numbers</v>
      </c>
      <c r="D729" s="35" t="b">
        <f>IFERROR(__xludf.DUMMYFUNCTION("""COMPUTED_VALUE"""),FALSE)</f>
        <v>0</v>
      </c>
      <c r="E729" s="35" t="str">
        <f>IFERROR(__xludf.DUMMYFUNCTION("""COMPUTED_VALUE"""),"Easy")</f>
        <v>Easy</v>
      </c>
      <c r="F729" s="35">
        <f>IFERROR(__xludf.DUMMYFUNCTION("""COMPUTED_VALUE"""),1100.0)</f>
        <v>1100</v>
      </c>
      <c r="G729" s="35">
        <f>IFERROR(__xludf.DUMMYFUNCTION("""COMPUTED_VALUE"""),347.0)</f>
        <v>347</v>
      </c>
      <c r="H729" s="35" t="str">
        <f>IFERROR(__xludf.DUMMYFUNCTION("""COMPUTED_VALUE"""),"Algorithms")</f>
        <v>Algorithms</v>
      </c>
      <c r="I729" s="35">
        <f>IFERROR(__xludf.DUMMYFUNCTION("""COMPUTED_VALUE"""),0.768)</f>
        <v>0.768</v>
      </c>
      <c r="J729" s="35">
        <f>IFERROR(__xludf.DUMMYFUNCTION("""COMPUTED_VALUE"""),728.0)</f>
        <v>728</v>
      </c>
      <c r="K729" s="35" t="b">
        <f>IFERROR(__xludf.DUMMYFUNCTION("""COMPUTED_VALUE"""),FALSE)</f>
        <v>0</v>
      </c>
      <c r="L729" s="35" t="str">
        <f>IFERROR(__xludf.DUMMYFUNCTION("""COMPUTED_VALUE"""),"Math;")</f>
        <v>Math;</v>
      </c>
      <c r="M729" s="35" t="b">
        <f>IFERROR(__xludf.DUMMYFUNCTION("""COMPUTED_VALUE"""),TRUE)</f>
        <v>1</v>
      </c>
      <c r="N729" s="35" t="b">
        <f>IFERROR(__xludf.DUMMYFUNCTION("""COMPUTED_VALUE"""),FALSE)</f>
        <v>0</v>
      </c>
      <c r="O729" s="35">
        <f>IFERROR(__xludf.DUMMYFUNCTION("""COMPUTED_VALUE"""),76.7866469650773)</f>
        <v>76.78664697</v>
      </c>
      <c r="P729" s="35">
        <f>IFERROR(__xludf.DUMMYFUNCTION("""COMPUTED_VALUE"""),172009.0)</f>
        <v>172009</v>
      </c>
      <c r="Q729" s="35">
        <f>IFERROR(__xludf.DUMMYFUNCTION("""COMPUTED_VALUE"""),224009.0)</f>
        <v>224009</v>
      </c>
    </row>
    <row r="730">
      <c r="A730" s="35">
        <f>IFERROR(__xludf.DUMMYFUNCTION("""COMPUTED_VALUE"""),729.0)</f>
        <v>729</v>
      </c>
      <c r="B730" s="35" t="str">
        <f>IFERROR(__xludf.DUMMYFUNCTION("""COMPUTED_VALUE"""),"My Calendar I")</f>
        <v>My Calendar I</v>
      </c>
      <c r="C730" s="35" t="str">
        <f>IFERROR(__xludf.DUMMYFUNCTION("""COMPUTED_VALUE"""),"my-calendar-i")</f>
        <v>my-calendar-i</v>
      </c>
      <c r="D730" s="35" t="b">
        <f>IFERROR(__xludf.DUMMYFUNCTION("""COMPUTED_VALUE"""),FALSE)</f>
        <v>0</v>
      </c>
      <c r="E730" s="35" t="str">
        <f>IFERROR(__xludf.DUMMYFUNCTION("""COMPUTED_VALUE"""),"Medium")</f>
        <v>Medium</v>
      </c>
      <c r="F730" s="35">
        <f>IFERROR(__xludf.DUMMYFUNCTION("""COMPUTED_VALUE"""),1826.0)</f>
        <v>1826</v>
      </c>
      <c r="G730" s="35">
        <f>IFERROR(__xludf.DUMMYFUNCTION("""COMPUTED_VALUE"""),56.0)</f>
        <v>56</v>
      </c>
      <c r="H730" s="35" t="str">
        <f>IFERROR(__xludf.DUMMYFUNCTION("""COMPUTED_VALUE"""),"Algorithms")</f>
        <v>Algorithms</v>
      </c>
      <c r="I730" s="35">
        <f>IFERROR(__xludf.DUMMYFUNCTION("""COMPUTED_VALUE"""),0.55)</f>
        <v>0.55</v>
      </c>
      <c r="J730" s="35">
        <f>IFERROR(__xludf.DUMMYFUNCTION("""COMPUTED_VALUE"""),729.0)</f>
        <v>729</v>
      </c>
      <c r="K730" s="35" t="b">
        <f>IFERROR(__xludf.DUMMYFUNCTION("""COMPUTED_VALUE"""),FALSE)</f>
        <v>0</v>
      </c>
      <c r="L730" s="35" t="str">
        <f>IFERROR(__xludf.DUMMYFUNCTION("""COMPUTED_VALUE"""),"Design;Segment Tree;Ordered Set;")</f>
        <v>Design;Segment Tree;Ordered Set;</v>
      </c>
      <c r="M730" s="35" t="b">
        <f>IFERROR(__xludf.DUMMYFUNCTION("""COMPUTED_VALUE"""),TRUE)</f>
        <v>1</v>
      </c>
      <c r="N730" s="35" t="b">
        <f>IFERROR(__xludf.DUMMYFUNCTION("""COMPUTED_VALUE"""),FALSE)</f>
        <v>0</v>
      </c>
      <c r="O730" s="35">
        <f>IFERROR(__xludf.DUMMYFUNCTION("""COMPUTED_VALUE"""),55.0060388826119)</f>
        <v>55.00603888</v>
      </c>
      <c r="P730" s="35">
        <f>IFERROR(__xludf.DUMMYFUNCTION("""COMPUTED_VALUE"""),141184.0)</f>
        <v>141184</v>
      </c>
      <c r="Q730" s="35">
        <f>IFERROR(__xludf.DUMMYFUNCTION("""COMPUTED_VALUE"""),256670.0)</f>
        <v>256670</v>
      </c>
    </row>
    <row r="731">
      <c r="A731" s="35">
        <f>IFERROR(__xludf.DUMMYFUNCTION("""COMPUTED_VALUE"""),730.0)</f>
        <v>730</v>
      </c>
      <c r="B731" s="35" t="str">
        <f>IFERROR(__xludf.DUMMYFUNCTION("""COMPUTED_VALUE"""),"Count Different Palindromic Subsequences")</f>
        <v>Count Different Palindromic Subsequences</v>
      </c>
      <c r="C731" s="35" t="str">
        <f>IFERROR(__xludf.DUMMYFUNCTION("""COMPUTED_VALUE"""),"count-different-palindromic-subsequences")</f>
        <v>count-different-palindromic-subsequences</v>
      </c>
      <c r="D731" s="35" t="b">
        <f>IFERROR(__xludf.DUMMYFUNCTION("""COMPUTED_VALUE"""),FALSE)</f>
        <v>0</v>
      </c>
      <c r="E731" s="35" t="str">
        <f>IFERROR(__xludf.DUMMYFUNCTION("""COMPUTED_VALUE"""),"Hard")</f>
        <v>Hard</v>
      </c>
      <c r="F731" s="35">
        <f>IFERROR(__xludf.DUMMYFUNCTION("""COMPUTED_VALUE"""),1232.0)</f>
        <v>1232</v>
      </c>
      <c r="G731" s="35">
        <f>IFERROR(__xludf.DUMMYFUNCTION("""COMPUTED_VALUE"""),67.0)</f>
        <v>67</v>
      </c>
      <c r="H731" s="35" t="str">
        <f>IFERROR(__xludf.DUMMYFUNCTION("""COMPUTED_VALUE"""),"Algorithms")</f>
        <v>Algorithms</v>
      </c>
      <c r="I731" s="35">
        <f>IFERROR(__xludf.DUMMYFUNCTION("""COMPUTED_VALUE"""),0.441)</f>
        <v>0.441</v>
      </c>
      <c r="J731" s="35">
        <f>IFERROR(__xludf.DUMMYFUNCTION("""COMPUTED_VALUE"""),730.0)</f>
        <v>730</v>
      </c>
      <c r="K731" s="35" t="b">
        <f>IFERROR(__xludf.DUMMYFUNCTION("""COMPUTED_VALUE"""),FALSE)</f>
        <v>0</v>
      </c>
      <c r="L731" s="35" t="str">
        <f>IFERROR(__xludf.DUMMYFUNCTION("""COMPUTED_VALUE"""),"String;Dynamic Programming;")</f>
        <v>String;Dynamic Programming;</v>
      </c>
      <c r="M731" s="35" t="b">
        <f>IFERROR(__xludf.DUMMYFUNCTION("""COMPUTED_VALUE"""),FALSE)</f>
        <v>0</v>
      </c>
      <c r="N731" s="35" t="b">
        <f>IFERROR(__xludf.DUMMYFUNCTION("""COMPUTED_VALUE"""),FALSE)</f>
        <v>0</v>
      </c>
      <c r="O731" s="35">
        <f>IFERROR(__xludf.DUMMYFUNCTION("""COMPUTED_VALUE"""),44.0969667938343)</f>
        <v>44.09696679</v>
      </c>
      <c r="P731" s="35">
        <f>IFERROR(__xludf.DUMMYFUNCTION("""COMPUTED_VALUE"""),25776.0)</f>
        <v>25776</v>
      </c>
      <c r="Q731" s="35">
        <f>IFERROR(__xludf.DUMMYFUNCTION("""COMPUTED_VALUE"""),58453.0)</f>
        <v>58453</v>
      </c>
    </row>
    <row r="732">
      <c r="A732" s="35">
        <f>IFERROR(__xludf.DUMMYFUNCTION("""COMPUTED_VALUE"""),731.0)</f>
        <v>731</v>
      </c>
      <c r="B732" s="35" t="str">
        <f>IFERROR(__xludf.DUMMYFUNCTION("""COMPUTED_VALUE"""),"My Calendar II")</f>
        <v>My Calendar II</v>
      </c>
      <c r="C732" s="35" t="str">
        <f>IFERROR(__xludf.DUMMYFUNCTION("""COMPUTED_VALUE"""),"my-calendar-ii")</f>
        <v>my-calendar-ii</v>
      </c>
      <c r="D732" s="35" t="b">
        <f>IFERROR(__xludf.DUMMYFUNCTION("""COMPUTED_VALUE"""),FALSE)</f>
        <v>0</v>
      </c>
      <c r="E732" s="35" t="str">
        <f>IFERROR(__xludf.DUMMYFUNCTION("""COMPUTED_VALUE"""),"Medium")</f>
        <v>Medium</v>
      </c>
      <c r="F732" s="35">
        <f>IFERROR(__xludf.DUMMYFUNCTION("""COMPUTED_VALUE"""),1095.0)</f>
        <v>1095</v>
      </c>
      <c r="G732" s="35">
        <f>IFERROR(__xludf.DUMMYFUNCTION("""COMPUTED_VALUE"""),122.0)</f>
        <v>122</v>
      </c>
      <c r="H732" s="35" t="str">
        <f>IFERROR(__xludf.DUMMYFUNCTION("""COMPUTED_VALUE"""),"Algorithms")</f>
        <v>Algorithms</v>
      </c>
      <c r="I732" s="35">
        <f>IFERROR(__xludf.DUMMYFUNCTION("""COMPUTED_VALUE"""),0.531)</f>
        <v>0.531</v>
      </c>
      <c r="J732" s="35">
        <f>IFERROR(__xludf.DUMMYFUNCTION("""COMPUTED_VALUE"""),731.0)</f>
        <v>731</v>
      </c>
      <c r="K732" s="35" t="b">
        <f>IFERROR(__xludf.DUMMYFUNCTION("""COMPUTED_VALUE"""),FALSE)</f>
        <v>0</v>
      </c>
      <c r="L732" s="35" t="str">
        <f>IFERROR(__xludf.DUMMYFUNCTION("""COMPUTED_VALUE"""),"Design;Segment Tree;Ordered Set;")</f>
        <v>Design;Segment Tree;Ordered Set;</v>
      </c>
      <c r="M732" s="35" t="b">
        <f>IFERROR(__xludf.DUMMYFUNCTION("""COMPUTED_VALUE"""),TRUE)</f>
        <v>1</v>
      </c>
      <c r="N732" s="35" t="b">
        <f>IFERROR(__xludf.DUMMYFUNCTION("""COMPUTED_VALUE"""),FALSE)</f>
        <v>0</v>
      </c>
      <c r="O732" s="35">
        <f>IFERROR(__xludf.DUMMYFUNCTION("""COMPUTED_VALUE"""),53.1445619255886)</f>
        <v>53.14456193</v>
      </c>
      <c r="P732" s="35">
        <f>IFERROR(__xludf.DUMMYFUNCTION("""COMPUTED_VALUE"""),70719.0)</f>
        <v>70719</v>
      </c>
      <c r="Q732" s="35">
        <f>IFERROR(__xludf.DUMMYFUNCTION("""COMPUTED_VALUE"""),133070.0)</f>
        <v>133070</v>
      </c>
    </row>
    <row r="733">
      <c r="A733" s="35">
        <f>IFERROR(__xludf.DUMMYFUNCTION("""COMPUTED_VALUE"""),732.0)</f>
        <v>732</v>
      </c>
      <c r="B733" s="35" t="str">
        <f>IFERROR(__xludf.DUMMYFUNCTION("""COMPUTED_VALUE"""),"My Calendar III")</f>
        <v>My Calendar III</v>
      </c>
      <c r="C733" s="35" t="str">
        <f>IFERROR(__xludf.DUMMYFUNCTION("""COMPUTED_VALUE"""),"my-calendar-iii")</f>
        <v>my-calendar-iii</v>
      </c>
      <c r="D733" s="35" t="b">
        <f>IFERROR(__xludf.DUMMYFUNCTION("""COMPUTED_VALUE"""),FALSE)</f>
        <v>0</v>
      </c>
      <c r="E733" s="35" t="str">
        <f>IFERROR(__xludf.DUMMYFUNCTION("""COMPUTED_VALUE"""),"Hard")</f>
        <v>Hard</v>
      </c>
      <c r="F733" s="35">
        <f>IFERROR(__xludf.DUMMYFUNCTION("""COMPUTED_VALUE"""),687.0)</f>
        <v>687</v>
      </c>
      <c r="G733" s="35">
        <f>IFERROR(__xludf.DUMMYFUNCTION("""COMPUTED_VALUE"""),142.0)</f>
        <v>142</v>
      </c>
      <c r="H733" s="35" t="str">
        <f>IFERROR(__xludf.DUMMYFUNCTION("""COMPUTED_VALUE"""),"Algorithms")</f>
        <v>Algorithms</v>
      </c>
      <c r="I733" s="35">
        <f>IFERROR(__xludf.DUMMYFUNCTION("""COMPUTED_VALUE"""),0.662)</f>
        <v>0.662</v>
      </c>
      <c r="J733" s="35">
        <f>IFERROR(__xludf.DUMMYFUNCTION("""COMPUTED_VALUE"""),732.0)</f>
        <v>732</v>
      </c>
      <c r="K733" s="35" t="b">
        <f>IFERROR(__xludf.DUMMYFUNCTION("""COMPUTED_VALUE"""),FALSE)</f>
        <v>0</v>
      </c>
      <c r="L733" s="35" t="str">
        <f>IFERROR(__xludf.DUMMYFUNCTION("""COMPUTED_VALUE"""),"Design;Segment Tree;Ordered Set;")</f>
        <v>Design;Segment Tree;Ordered Set;</v>
      </c>
      <c r="M733" s="35" t="b">
        <f>IFERROR(__xludf.DUMMYFUNCTION("""COMPUTED_VALUE"""),TRUE)</f>
        <v>1</v>
      </c>
      <c r="N733" s="35" t="b">
        <f>IFERROR(__xludf.DUMMYFUNCTION("""COMPUTED_VALUE"""),FALSE)</f>
        <v>0</v>
      </c>
      <c r="O733" s="35">
        <f>IFERROR(__xludf.DUMMYFUNCTION("""COMPUTED_VALUE"""),66.2271908661524)</f>
        <v>66.22719087</v>
      </c>
      <c r="P733" s="35">
        <f>IFERROR(__xludf.DUMMYFUNCTION("""COMPUTED_VALUE"""),38979.0)</f>
        <v>38979</v>
      </c>
      <c r="Q733" s="35">
        <f>IFERROR(__xludf.DUMMYFUNCTION("""COMPUTED_VALUE"""),58857.0)</f>
        <v>58857</v>
      </c>
    </row>
    <row r="734">
      <c r="A734" s="35">
        <f>IFERROR(__xludf.DUMMYFUNCTION("""COMPUTED_VALUE"""),733.0)</f>
        <v>733</v>
      </c>
      <c r="B734" s="35" t="str">
        <f>IFERROR(__xludf.DUMMYFUNCTION("""COMPUTED_VALUE"""),"Flood Fill")</f>
        <v>Flood Fill</v>
      </c>
      <c r="C734" s="35" t="str">
        <f>IFERROR(__xludf.DUMMYFUNCTION("""COMPUTED_VALUE"""),"flood-fill")</f>
        <v>flood-fill</v>
      </c>
      <c r="D734" s="35" t="b">
        <f>IFERROR(__xludf.DUMMYFUNCTION("""COMPUTED_VALUE"""),FALSE)</f>
        <v>0</v>
      </c>
      <c r="E734" s="35" t="str">
        <f>IFERROR(__xludf.DUMMYFUNCTION("""COMPUTED_VALUE"""),"Easy")</f>
        <v>Easy</v>
      </c>
      <c r="F734" s="35">
        <f>IFERROR(__xludf.DUMMYFUNCTION("""COMPUTED_VALUE"""),3671.0)</f>
        <v>3671</v>
      </c>
      <c r="G734" s="35">
        <f>IFERROR(__xludf.DUMMYFUNCTION("""COMPUTED_VALUE"""),352.0)</f>
        <v>352</v>
      </c>
      <c r="H734" s="35" t="str">
        <f>IFERROR(__xludf.DUMMYFUNCTION("""COMPUTED_VALUE"""),"Algorithms")</f>
        <v>Algorithms</v>
      </c>
      <c r="I734" s="35">
        <f>IFERROR(__xludf.DUMMYFUNCTION("""COMPUTED_VALUE"""),0.579)</f>
        <v>0.579</v>
      </c>
      <c r="J734" s="35">
        <f>IFERROR(__xludf.DUMMYFUNCTION("""COMPUTED_VALUE"""),733.0)</f>
        <v>733</v>
      </c>
      <c r="K734" s="35" t="b">
        <f>IFERROR(__xludf.DUMMYFUNCTION("""COMPUTED_VALUE"""),FALSE)</f>
        <v>0</v>
      </c>
      <c r="L734" s="35" t="str">
        <f>IFERROR(__xludf.DUMMYFUNCTION("""COMPUTED_VALUE"""),"Array;Depth-First Search;Breadth-First Search;Matrix;")</f>
        <v>Array;Depth-First Search;Breadth-First Search;Matrix;</v>
      </c>
      <c r="M734" s="35" t="b">
        <f>IFERROR(__xludf.DUMMYFUNCTION("""COMPUTED_VALUE"""),TRUE)</f>
        <v>1</v>
      </c>
      <c r="N734" s="35" t="b">
        <f>IFERROR(__xludf.DUMMYFUNCTION("""COMPUTED_VALUE"""),FALSE)</f>
        <v>0</v>
      </c>
      <c r="O734" s="35">
        <f>IFERROR(__xludf.DUMMYFUNCTION("""COMPUTED_VALUE"""),57.8598357610869)</f>
        <v>57.85983576</v>
      </c>
      <c r="P734" s="35">
        <f>IFERROR(__xludf.DUMMYFUNCTION("""COMPUTED_VALUE"""),366010.0)</f>
        <v>366010</v>
      </c>
      <c r="Q734" s="35">
        <f>IFERROR(__xludf.DUMMYFUNCTION("""COMPUTED_VALUE"""),632585.0)</f>
        <v>632585</v>
      </c>
    </row>
    <row r="735">
      <c r="A735" s="35">
        <f>IFERROR(__xludf.DUMMYFUNCTION("""COMPUTED_VALUE"""),734.0)</f>
        <v>734</v>
      </c>
      <c r="B735" s="35" t="str">
        <f>IFERROR(__xludf.DUMMYFUNCTION("""COMPUTED_VALUE"""),"Sentence Similarity")</f>
        <v>Sentence Similarity</v>
      </c>
      <c r="C735" s="35" t="str">
        <f>IFERROR(__xludf.DUMMYFUNCTION("""COMPUTED_VALUE"""),"sentence-similarity")</f>
        <v>sentence-similarity</v>
      </c>
      <c r="D735" s="35" t="b">
        <f>IFERROR(__xludf.DUMMYFUNCTION("""COMPUTED_VALUE"""),TRUE)</f>
        <v>1</v>
      </c>
      <c r="E735" s="35" t="str">
        <f>IFERROR(__xludf.DUMMYFUNCTION("""COMPUTED_VALUE"""),"Easy")</f>
        <v>Easy</v>
      </c>
      <c r="F735" s="35">
        <f>IFERROR(__xludf.DUMMYFUNCTION("""COMPUTED_VALUE"""),275.0)</f>
        <v>275</v>
      </c>
      <c r="G735" s="35">
        <f>IFERROR(__xludf.DUMMYFUNCTION("""COMPUTED_VALUE"""),437.0)</f>
        <v>437</v>
      </c>
      <c r="H735" s="35" t="str">
        <f>IFERROR(__xludf.DUMMYFUNCTION("""COMPUTED_VALUE"""),"Algorithms")</f>
        <v>Algorithms</v>
      </c>
      <c r="I735" s="35">
        <f>IFERROR(__xludf.DUMMYFUNCTION("""COMPUTED_VALUE"""),0.429)</f>
        <v>0.429</v>
      </c>
      <c r="J735" s="35">
        <f>IFERROR(__xludf.DUMMYFUNCTION("""COMPUTED_VALUE"""),734.0)</f>
        <v>734</v>
      </c>
      <c r="K735" s="35" t="b">
        <f>IFERROR(__xludf.DUMMYFUNCTION("""COMPUTED_VALUE"""),TRUE)</f>
        <v>1</v>
      </c>
      <c r="L735" s="35" t="str">
        <f>IFERROR(__xludf.DUMMYFUNCTION("""COMPUTED_VALUE"""),"Array;Hash Table;String;")</f>
        <v>Array;Hash Table;String;</v>
      </c>
      <c r="M735" s="35" t="b">
        <f>IFERROR(__xludf.DUMMYFUNCTION("""COMPUTED_VALUE"""),FALSE)</f>
        <v>0</v>
      </c>
      <c r="N735" s="35" t="b">
        <f>IFERROR(__xludf.DUMMYFUNCTION("""COMPUTED_VALUE"""),FALSE)</f>
        <v>0</v>
      </c>
      <c r="O735" s="35">
        <f>IFERROR(__xludf.DUMMYFUNCTION("""COMPUTED_VALUE"""),42.9353436683988)</f>
        <v>42.93534367</v>
      </c>
      <c r="P735" s="35">
        <f>IFERROR(__xludf.DUMMYFUNCTION("""COMPUTED_VALUE"""),49491.0)</f>
        <v>49491</v>
      </c>
      <c r="Q735" s="35">
        <f>IFERROR(__xludf.DUMMYFUNCTION("""COMPUTED_VALUE"""),115270.0)</f>
        <v>115270</v>
      </c>
    </row>
    <row r="736">
      <c r="A736" s="35">
        <f>IFERROR(__xludf.DUMMYFUNCTION("""COMPUTED_VALUE"""),735.0)</f>
        <v>735</v>
      </c>
      <c r="B736" s="35" t="str">
        <f>IFERROR(__xludf.DUMMYFUNCTION("""COMPUTED_VALUE"""),"Asteroid Collision")</f>
        <v>Asteroid Collision</v>
      </c>
      <c r="C736" s="35" t="str">
        <f>IFERROR(__xludf.DUMMYFUNCTION("""COMPUTED_VALUE"""),"asteroid-collision")</f>
        <v>asteroid-collision</v>
      </c>
      <c r="D736" s="35" t="b">
        <f>IFERROR(__xludf.DUMMYFUNCTION("""COMPUTED_VALUE"""),FALSE)</f>
        <v>0</v>
      </c>
      <c r="E736" s="35" t="str">
        <f>IFERROR(__xludf.DUMMYFUNCTION("""COMPUTED_VALUE"""),"Medium")</f>
        <v>Medium</v>
      </c>
      <c r="F736" s="35">
        <f>IFERROR(__xludf.DUMMYFUNCTION("""COMPUTED_VALUE"""),3271.0)</f>
        <v>3271</v>
      </c>
      <c r="G736" s="35">
        <f>IFERROR(__xludf.DUMMYFUNCTION("""COMPUTED_VALUE"""),260.0)</f>
        <v>260</v>
      </c>
      <c r="H736" s="35" t="str">
        <f>IFERROR(__xludf.DUMMYFUNCTION("""COMPUTED_VALUE"""),"Algorithms")</f>
        <v>Algorithms</v>
      </c>
      <c r="I736" s="35">
        <f>IFERROR(__xludf.DUMMYFUNCTION("""COMPUTED_VALUE"""),0.444)</f>
        <v>0.444</v>
      </c>
      <c r="J736" s="35">
        <f>IFERROR(__xludf.DUMMYFUNCTION("""COMPUTED_VALUE"""),735.0)</f>
        <v>735</v>
      </c>
      <c r="K736" s="35" t="b">
        <f>IFERROR(__xludf.DUMMYFUNCTION("""COMPUTED_VALUE"""),FALSE)</f>
        <v>0</v>
      </c>
      <c r="L736" s="35" t="str">
        <f>IFERROR(__xludf.DUMMYFUNCTION("""COMPUTED_VALUE"""),"Array;Stack;")</f>
        <v>Array;Stack;</v>
      </c>
      <c r="M736" s="35" t="b">
        <f>IFERROR(__xludf.DUMMYFUNCTION("""COMPUTED_VALUE"""),TRUE)</f>
        <v>1</v>
      </c>
      <c r="N736" s="35" t="b">
        <f>IFERROR(__xludf.DUMMYFUNCTION("""COMPUTED_VALUE"""),FALSE)</f>
        <v>0</v>
      </c>
      <c r="O736" s="35">
        <f>IFERROR(__xludf.DUMMYFUNCTION("""COMPUTED_VALUE"""),44.3837275542981)</f>
        <v>44.38372755</v>
      </c>
      <c r="P736" s="35">
        <f>IFERROR(__xludf.DUMMYFUNCTION("""COMPUTED_VALUE"""),185423.0)</f>
        <v>185423</v>
      </c>
      <c r="Q736" s="35">
        <f>IFERROR(__xludf.DUMMYFUNCTION("""COMPUTED_VALUE"""),417779.0)</f>
        <v>417779</v>
      </c>
    </row>
    <row r="737">
      <c r="A737" s="35">
        <f>IFERROR(__xludf.DUMMYFUNCTION("""COMPUTED_VALUE"""),736.0)</f>
        <v>736</v>
      </c>
      <c r="B737" s="35" t="str">
        <f>IFERROR(__xludf.DUMMYFUNCTION("""COMPUTED_VALUE"""),"Parse Lisp Expression")</f>
        <v>Parse Lisp Expression</v>
      </c>
      <c r="C737" s="35" t="str">
        <f>IFERROR(__xludf.DUMMYFUNCTION("""COMPUTED_VALUE"""),"parse-lisp-expression")</f>
        <v>parse-lisp-expression</v>
      </c>
      <c r="D737" s="35" t="b">
        <f>IFERROR(__xludf.DUMMYFUNCTION("""COMPUTED_VALUE"""),FALSE)</f>
        <v>0</v>
      </c>
      <c r="E737" s="35" t="str">
        <f>IFERROR(__xludf.DUMMYFUNCTION("""COMPUTED_VALUE"""),"Hard")</f>
        <v>Hard</v>
      </c>
      <c r="F737" s="35">
        <f>IFERROR(__xludf.DUMMYFUNCTION("""COMPUTED_VALUE"""),380.0)</f>
        <v>380</v>
      </c>
      <c r="G737" s="35">
        <f>IFERROR(__xludf.DUMMYFUNCTION("""COMPUTED_VALUE"""),297.0)</f>
        <v>297</v>
      </c>
      <c r="H737" s="35" t="str">
        <f>IFERROR(__xludf.DUMMYFUNCTION("""COMPUTED_VALUE"""),"Algorithms")</f>
        <v>Algorithms</v>
      </c>
      <c r="I737" s="35">
        <f>IFERROR(__xludf.DUMMYFUNCTION("""COMPUTED_VALUE"""),0.512)</f>
        <v>0.512</v>
      </c>
      <c r="J737" s="35">
        <f>IFERROR(__xludf.DUMMYFUNCTION("""COMPUTED_VALUE"""),736.0)</f>
        <v>736</v>
      </c>
      <c r="K737" s="35" t="b">
        <f>IFERROR(__xludf.DUMMYFUNCTION("""COMPUTED_VALUE"""),FALSE)</f>
        <v>0</v>
      </c>
      <c r="L737" s="35" t="str">
        <f>IFERROR(__xludf.DUMMYFUNCTION("""COMPUTED_VALUE"""),"Hash Table;String;Stack;Recursion;")</f>
        <v>Hash Table;String;Stack;Recursion;</v>
      </c>
      <c r="M737" s="35" t="b">
        <f>IFERROR(__xludf.DUMMYFUNCTION("""COMPUTED_VALUE"""),FALSE)</f>
        <v>0</v>
      </c>
      <c r="N737" s="35" t="b">
        <f>IFERROR(__xludf.DUMMYFUNCTION("""COMPUTED_VALUE"""),FALSE)</f>
        <v>0</v>
      </c>
      <c r="O737" s="35">
        <f>IFERROR(__xludf.DUMMYFUNCTION("""COMPUTED_VALUE"""),51.1984227573581)</f>
        <v>51.19842276</v>
      </c>
      <c r="P737" s="35">
        <f>IFERROR(__xludf.DUMMYFUNCTION("""COMPUTED_VALUE"""),18178.0)</f>
        <v>18178</v>
      </c>
      <c r="Q737" s="35">
        <f>IFERROR(__xludf.DUMMYFUNCTION("""COMPUTED_VALUE"""),35505.0)</f>
        <v>35505</v>
      </c>
    </row>
    <row r="738">
      <c r="A738" s="35">
        <f>IFERROR(__xludf.DUMMYFUNCTION("""COMPUTED_VALUE"""),737.0)</f>
        <v>737</v>
      </c>
      <c r="B738" s="35" t="str">
        <f>IFERROR(__xludf.DUMMYFUNCTION("""COMPUTED_VALUE"""),"Sentence Similarity II")</f>
        <v>Sentence Similarity II</v>
      </c>
      <c r="C738" s="35" t="str">
        <f>IFERROR(__xludf.DUMMYFUNCTION("""COMPUTED_VALUE"""),"sentence-similarity-ii")</f>
        <v>sentence-similarity-ii</v>
      </c>
      <c r="D738" s="35" t="b">
        <f>IFERROR(__xludf.DUMMYFUNCTION("""COMPUTED_VALUE"""),TRUE)</f>
        <v>1</v>
      </c>
      <c r="E738" s="35" t="str">
        <f>IFERROR(__xludf.DUMMYFUNCTION("""COMPUTED_VALUE"""),"Medium")</f>
        <v>Medium</v>
      </c>
      <c r="F738" s="35">
        <f>IFERROR(__xludf.DUMMYFUNCTION("""COMPUTED_VALUE"""),689.0)</f>
        <v>689</v>
      </c>
      <c r="G738" s="35">
        <f>IFERROR(__xludf.DUMMYFUNCTION("""COMPUTED_VALUE"""),41.0)</f>
        <v>41</v>
      </c>
      <c r="H738" s="35" t="str">
        <f>IFERROR(__xludf.DUMMYFUNCTION("""COMPUTED_VALUE"""),"Algorithms")</f>
        <v>Algorithms</v>
      </c>
      <c r="I738" s="35">
        <f>IFERROR(__xludf.DUMMYFUNCTION("""COMPUTED_VALUE"""),0.479)</f>
        <v>0.479</v>
      </c>
      <c r="J738" s="35">
        <f>IFERROR(__xludf.DUMMYFUNCTION("""COMPUTED_VALUE"""),737.0)</f>
        <v>737</v>
      </c>
      <c r="K738" s="35" t="b">
        <f>IFERROR(__xludf.DUMMYFUNCTION("""COMPUTED_VALUE"""),TRUE)</f>
        <v>1</v>
      </c>
      <c r="L738" s="35" t="str">
        <f>IFERROR(__xludf.DUMMYFUNCTION("""COMPUTED_VALUE"""),"Array;Hash Table;String;Depth-First Search;Breadth-First Search;Union Find;")</f>
        <v>Array;Hash Table;String;Depth-First Search;Breadth-First Search;Union Find;</v>
      </c>
      <c r="M738" s="35" t="b">
        <f>IFERROR(__xludf.DUMMYFUNCTION("""COMPUTED_VALUE"""),TRUE)</f>
        <v>1</v>
      </c>
      <c r="N738" s="35" t="b">
        <f>IFERROR(__xludf.DUMMYFUNCTION("""COMPUTED_VALUE"""),FALSE)</f>
        <v>0</v>
      </c>
      <c r="O738" s="35">
        <f>IFERROR(__xludf.DUMMYFUNCTION("""COMPUTED_VALUE"""),47.8948027551659)</f>
        <v>47.89480276</v>
      </c>
      <c r="P738" s="35">
        <f>IFERROR(__xludf.DUMMYFUNCTION("""COMPUTED_VALUE"""),57364.0)</f>
        <v>57364</v>
      </c>
      <c r="Q738" s="35">
        <f>IFERROR(__xludf.DUMMYFUNCTION("""COMPUTED_VALUE"""),119773.0)</f>
        <v>119773</v>
      </c>
    </row>
    <row r="739">
      <c r="A739" s="35">
        <f>IFERROR(__xludf.DUMMYFUNCTION("""COMPUTED_VALUE"""),738.0)</f>
        <v>738</v>
      </c>
      <c r="B739" s="35" t="str">
        <f>IFERROR(__xludf.DUMMYFUNCTION("""COMPUTED_VALUE"""),"Monotone Increasing Digits")</f>
        <v>Monotone Increasing Digits</v>
      </c>
      <c r="C739" s="35" t="str">
        <f>IFERROR(__xludf.DUMMYFUNCTION("""COMPUTED_VALUE"""),"monotone-increasing-digits")</f>
        <v>monotone-increasing-digits</v>
      </c>
      <c r="D739" s="35" t="b">
        <f>IFERROR(__xludf.DUMMYFUNCTION("""COMPUTED_VALUE"""),FALSE)</f>
        <v>0</v>
      </c>
      <c r="E739" s="35" t="str">
        <f>IFERROR(__xludf.DUMMYFUNCTION("""COMPUTED_VALUE"""),"Medium")</f>
        <v>Medium</v>
      </c>
      <c r="F739" s="35">
        <f>IFERROR(__xludf.DUMMYFUNCTION("""COMPUTED_VALUE"""),881.0)</f>
        <v>881</v>
      </c>
      <c r="G739" s="35">
        <f>IFERROR(__xludf.DUMMYFUNCTION("""COMPUTED_VALUE"""),86.0)</f>
        <v>86</v>
      </c>
      <c r="H739" s="35" t="str">
        <f>IFERROR(__xludf.DUMMYFUNCTION("""COMPUTED_VALUE"""),"Algorithms")</f>
        <v>Algorithms</v>
      </c>
      <c r="I739" s="35">
        <f>IFERROR(__xludf.DUMMYFUNCTION("""COMPUTED_VALUE"""),0.467)</f>
        <v>0.467</v>
      </c>
      <c r="J739" s="35">
        <f>IFERROR(__xludf.DUMMYFUNCTION("""COMPUTED_VALUE"""),738.0)</f>
        <v>738</v>
      </c>
      <c r="K739" s="35" t="b">
        <f>IFERROR(__xludf.DUMMYFUNCTION("""COMPUTED_VALUE"""),FALSE)</f>
        <v>0</v>
      </c>
      <c r="L739" s="35" t="str">
        <f>IFERROR(__xludf.DUMMYFUNCTION("""COMPUTED_VALUE"""),"Math;Greedy;")</f>
        <v>Math;Greedy;</v>
      </c>
      <c r="M739" s="35" t="b">
        <f>IFERROR(__xludf.DUMMYFUNCTION("""COMPUTED_VALUE"""),FALSE)</f>
        <v>0</v>
      </c>
      <c r="N739" s="35" t="b">
        <f>IFERROR(__xludf.DUMMYFUNCTION("""COMPUTED_VALUE"""),FALSE)</f>
        <v>0</v>
      </c>
      <c r="O739" s="35">
        <f>IFERROR(__xludf.DUMMYFUNCTION("""COMPUTED_VALUE"""),46.7449497208131)</f>
        <v>46.74494972</v>
      </c>
      <c r="P739" s="35">
        <f>IFERROR(__xludf.DUMMYFUNCTION("""COMPUTED_VALUE"""),36584.0)</f>
        <v>36584</v>
      </c>
      <c r="Q739" s="35">
        <f>IFERROR(__xludf.DUMMYFUNCTION("""COMPUTED_VALUE"""),78263.0)</f>
        <v>78263</v>
      </c>
    </row>
    <row r="740">
      <c r="A740" s="35">
        <f>IFERROR(__xludf.DUMMYFUNCTION("""COMPUTED_VALUE"""),739.0)</f>
        <v>739</v>
      </c>
      <c r="B740" s="35" t="str">
        <f>IFERROR(__xludf.DUMMYFUNCTION("""COMPUTED_VALUE"""),"Daily Temperatures")</f>
        <v>Daily Temperatures</v>
      </c>
      <c r="C740" s="35" t="str">
        <f>IFERROR(__xludf.DUMMYFUNCTION("""COMPUTED_VALUE"""),"daily-temperatures")</f>
        <v>daily-temperatures</v>
      </c>
      <c r="D740" s="35" t="b">
        <f>IFERROR(__xludf.DUMMYFUNCTION("""COMPUTED_VALUE"""),FALSE)</f>
        <v>0</v>
      </c>
      <c r="E740" s="35" t="str">
        <f>IFERROR(__xludf.DUMMYFUNCTION("""COMPUTED_VALUE"""),"Medium")</f>
        <v>Medium</v>
      </c>
      <c r="F740" s="35">
        <f>IFERROR(__xludf.DUMMYFUNCTION("""COMPUTED_VALUE"""),6550.0)</f>
        <v>6550</v>
      </c>
      <c r="G740" s="35">
        <f>IFERROR(__xludf.DUMMYFUNCTION("""COMPUTED_VALUE"""),152.0)</f>
        <v>152</v>
      </c>
      <c r="H740" s="35" t="str">
        <f>IFERROR(__xludf.DUMMYFUNCTION("""COMPUTED_VALUE"""),"Algorithms")</f>
        <v>Algorithms</v>
      </c>
      <c r="I740" s="35">
        <f>IFERROR(__xludf.DUMMYFUNCTION("""COMPUTED_VALUE"""),0.669)</f>
        <v>0.669</v>
      </c>
      <c r="J740" s="35">
        <f>IFERROR(__xludf.DUMMYFUNCTION("""COMPUTED_VALUE"""),739.0)</f>
        <v>739</v>
      </c>
      <c r="K740" s="35" t="b">
        <f>IFERROR(__xludf.DUMMYFUNCTION("""COMPUTED_VALUE"""),FALSE)</f>
        <v>0</v>
      </c>
      <c r="L740" s="35" t="str">
        <f>IFERROR(__xludf.DUMMYFUNCTION("""COMPUTED_VALUE"""),"Array;Stack;Monotonic Stack;")</f>
        <v>Array;Stack;Monotonic Stack;</v>
      </c>
      <c r="M740" s="35" t="b">
        <f>IFERROR(__xludf.DUMMYFUNCTION("""COMPUTED_VALUE"""),TRUE)</f>
        <v>1</v>
      </c>
      <c r="N740" s="35" t="b">
        <f>IFERROR(__xludf.DUMMYFUNCTION("""COMPUTED_VALUE"""),FALSE)</f>
        <v>0</v>
      </c>
      <c r="O740" s="35">
        <f>IFERROR(__xludf.DUMMYFUNCTION("""COMPUTED_VALUE"""),66.8983623091941)</f>
        <v>66.89836231</v>
      </c>
      <c r="P740" s="35">
        <f>IFERROR(__xludf.DUMMYFUNCTION("""COMPUTED_VALUE"""),360815.0)</f>
        <v>360815</v>
      </c>
      <c r="Q740" s="35">
        <f>IFERROR(__xludf.DUMMYFUNCTION("""COMPUTED_VALUE"""),539351.0)</f>
        <v>539351</v>
      </c>
    </row>
    <row r="741">
      <c r="A741" s="35">
        <f>IFERROR(__xludf.DUMMYFUNCTION("""COMPUTED_VALUE"""),740.0)</f>
        <v>740</v>
      </c>
      <c r="B741" s="35" t="str">
        <f>IFERROR(__xludf.DUMMYFUNCTION("""COMPUTED_VALUE"""),"Delete and Earn")</f>
        <v>Delete and Earn</v>
      </c>
      <c r="C741" s="35" t="str">
        <f>IFERROR(__xludf.DUMMYFUNCTION("""COMPUTED_VALUE"""),"delete-and-earn")</f>
        <v>delete-and-earn</v>
      </c>
      <c r="D741" s="35" t="b">
        <f>IFERROR(__xludf.DUMMYFUNCTION("""COMPUTED_VALUE"""),FALSE)</f>
        <v>0</v>
      </c>
      <c r="E741" s="35" t="str">
        <f>IFERROR(__xludf.DUMMYFUNCTION("""COMPUTED_VALUE"""),"Medium")</f>
        <v>Medium</v>
      </c>
      <c r="F741" s="35">
        <f>IFERROR(__xludf.DUMMYFUNCTION("""COMPUTED_VALUE"""),4388.0)</f>
        <v>4388</v>
      </c>
      <c r="G741" s="35">
        <f>IFERROR(__xludf.DUMMYFUNCTION("""COMPUTED_VALUE"""),248.0)</f>
        <v>248</v>
      </c>
      <c r="H741" s="35" t="str">
        <f>IFERROR(__xludf.DUMMYFUNCTION("""COMPUTED_VALUE"""),"Algorithms")</f>
        <v>Algorithms</v>
      </c>
      <c r="I741" s="35">
        <f>IFERROR(__xludf.DUMMYFUNCTION("""COMPUTED_VALUE"""),0.57)</f>
        <v>0.57</v>
      </c>
      <c r="J741" s="35">
        <f>IFERROR(__xludf.DUMMYFUNCTION("""COMPUTED_VALUE"""),740.0)</f>
        <v>740</v>
      </c>
      <c r="K741" s="35" t="b">
        <f>IFERROR(__xludf.DUMMYFUNCTION("""COMPUTED_VALUE"""),FALSE)</f>
        <v>0</v>
      </c>
      <c r="L741" s="35" t="str">
        <f>IFERROR(__xludf.DUMMYFUNCTION("""COMPUTED_VALUE"""),"Array;Hash Table;Dynamic Programming;")</f>
        <v>Array;Hash Table;Dynamic Programming;</v>
      </c>
      <c r="M741" s="35" t="b">
        <f>IFERROR(__xludf.DUMMYFUNCTION("""COMPUTED_VALUE"""),TRUE)</f>
        <v>1</v>
      </c>
      <c r="N741" s="35" t="b">
        <f>IFERROR(__xludf.DUMMYFUNCTION("""COMPUTED_VALUE"""),FALSE)</f>
        <v>0</v>
      </c>
      <c r="O741" s="35">
        <f>IFERROR(__xludf.DUMMYFUNCTION("""COMPUTED_VALUE"""),57.0442237642138)</f>
        <v>57.04422376</v>
      </c>
      <c r="P741" s="35">
        <f>IFERROR(__xludf.DUMMYFUNCTION("""COMPUTED_VALUE"""),164738.0)</f>
        <v>164738</v>
      </c>
      <c r="Q741" s="35">
        <f>IFERROR(__xludf.DUMMYFUNCTION("""COMPUTED_VALUE"""),288792.0)</f>
        <v>288792</v>
      </c>
    </row>
    <row r="742">
      <c r="A742" s="35">
        <f>IFERROR(__xludf.DUMMYFUNCTION("""COMPUTED_VALUE"""),741.0)</f>
        <v>741</v>
      </c>
      <c r="B742" s="35" t="str">
        <f>IFERROR(__xludf.DUMMYFUNCTION("""COMPUTED_VALUE"""),"Cherry Pickup")</f>
        <v>Cherry Pickup</v>
      </c>
      <c r="C742" s="35" t="str">
        <f>IFERROR(__xludf.DUMMYFUNCTION("""COMPUTED_VALUE"""),"cherry-pickup")</f>
        <v>cherry-pickup</v>
      </c>
      <c r="D742" s="35" t="b">
        <f>IFERROR(__xludf.DUMMYFUNCTION("""COMPUTED_VALUE"""),FALSE)</f>
        <v>0</v>
      </c>
      <c r="E742" s="35" t="str">
        <f>IFERROR(__xludf.DUMMYFUNCTION("""COMPUTED_VALUE"""),"Hard")</f>
        <v>Hard</v>
      </c>
      <c r="F742" s="35">
        <f>IFERROR(__xludf.DUMMYFUNCTION("""COMPUTED_VALUE"""),2484.0)</f>
        <v>2484</v>
      </c>
      <c r="G742" s="35">
        <f>IFERROR(__xludf.DUMMYFUNCTION("""COMPUTED_VALUE"""),117.0)</f>
        <v>117</v>
      </c>
      <c r="H742" s="35" t="str">
        <f>IFERROR(__xludf.DUMMYFUNCTION("""COMPUTED_VALUE"""),"Algorithms")</f>
        <v>Algorithms</v>
      </c>
      <c r="I742" s="35">
        <f>IFERROR(__xludf.DUMMYFUNCTION("""COMPUTED_VALUE"""),0.361)</f>
        <v>0.361</v>
      </c>
      <c r="J742" s="35">
        <f>IFERROR(__xludf.DUMMYFUNCTION("""COMPUTED_VALUE"""),741.0)</f>
        <v>741</v>
      </c>
      <c r="K742" s="35" t="b">
        <f>IFERROR(__xludf.DUMMYFUNCTION("""COMPUTED_VALUE"""),FALSE)</f>
        <v>0</v>
      </c>
      <c r="L742" s="35" t="str">
        <f>IFERROR(__xludf.DUMMYFUNCTION("""COMPUTED_VALUE"""),"Array;Dynamic Programming;Matrix;")</f>
        <v>Array;Dynamic Programming;Matrix;</v>
      </c>
      <c r="M742" s="35" t="b">
        <f>IFERROR(__xludf.DUMMYFUNCTION("""COMPUTED_VALUE"""),TRUE)</f>
        <v>1</v>
      </c>
      <c r="N742" s="35" t="b">
        <f>IFERROR(__xludf.DUMMYFUNCTION("""COMPUTED_VALUE"""),FALSE)</f>
        <v>0</v>
      </c>
      <c r="O742" s="35">
        <f>IFERROR(__xludf.DUMMYFUNCTION("""COMPUTED_VALUE"""),36.1429216145319)</f>
        <v>36.14292161</v>
      </c>
      <c r="P742" s="35">
        <f>IFERROR(__xludf.DUMMYFUNCTION("""COMPUTED_VALUE"""),51255.0)</f>
        <v>51255</v>
      </c>
      <c r="Q742" s="35">
        <f>IFERROR(__xludf.DUMMYFUNCTION("""COMPUTED_VALUE"""),141812.0)</f>
        <v>141812</v>
      </c>
    </row>
    <row r="743">
      <c r="A743" s="35">
        <f>IFERROR(__xludf.DUMMYFUNCTION("""COMPUTED_VALUE"""),743.0)</f>
        <v>743</v>
      </c>
      <c r="B743" s="35" t="str">
        <f>IFERROR(__xludf.DUMMYFUNCTION("""COMPUTED_VALUE"""),"Closest Leaf in a Binary Tree")</f>
        <v>Closest Leaf in a Binary Tree</v>
      </c>
      <c r="C743" s="35" t="str">
        <f>IFERROR(__xludf.DUMMYFUNCTION("""COMPUTED_VALUE"""),"closest-leaf-in-a-binary-tree")</f>
        <v>closest-leaf-in-a-binary-tree</v>
      </c>
      <c r="D743" s="35" t="b">
        <f>IFERROR(__xludf.DUMMYFUNCTION("""COMPUTED_VALUE"""),TRUE)</f>
        <v>1</v>
      </c>
      <c r="E743" s="35" t="str">
        <f>IFERROR(__xludf.DUMMYFUNCTION("""COMPUTED_VALUE"""),"Medium")</f>
        <v>Medium</v>
      </c>
      <c r="F743" s="35">
        <f>IFERROR(__xludf.DUMMYFUNCTION("""COMPUTED_VALUE"""),732.0)</f>
        <v>732</v>
      </c>
      <c r="G743" s="35">
        <f>IFERROR(__xludf.DUMMYFUNCTION("""COMPUTED_VALUE"""),146.0)</f>
        <v>146</v>
      </c>
      <c r="H743" s="35" t="str">
        <f>IFERROR(__xludf.DUMMYFUNCTION("""COMPUTED_VALUE"""),"Algorithms")</f>
        <v>Algorithms</v>
      </c>
      <c r="I743" s="35">
        <f>IFERROR(__xludf.DUMMYFUNCTION("""COMPUTED_VALUE"""),0.455)</f>
        <v>0.455</v>
      </c>
      <c r="J743" s="35">
        <f>IFERROR(__xludf.DUMMYFUNCTION("""COMPUTED_VALUE"""),742.0)</f>
        <v>742</v>
      </c>
      <c r="K743" s="35" t="b">
        <f>IFERROR(__xludf.DUMMYFUNCTION("""COMPUTED_VALUE"""),TRUE)</f>
        <v>1</v>
      </c>
      <c r="L743" s="35" t="str">
        <f>IFERROR(__xludf.DUMMYFUNCTION("""COMPUTED_VALUE"""),"Tree;Depth-First Search;Breadth-First Search;Binary Tree;")</f>
        <v>Tree;Depth-First Search;Breadth-First Search;Binary Tree;</v>
      </c>
      <c r="M743" s="35" t="b">
        <f>IFERROR(__xludf.DUMMYFUNCTION("""COMPUTED_VALUE"""),TRUE)</f>
        <v>1</v>
      </c>
      <c r="N743" s="35" t="b">
        <f>IFERROR(__xludf.DUMMYFUNCTION("""COMPUTED_VALUE"""),FALSE)</f>
        <v>0</v>
      </c>
      <c r="O743" s="35">
        <f>IFERROR(__xludf.DUMMYFUNCTION("""COMPUTED_VALUE"""),45.4654736529023)</f>
        <v>45.46547365</v>
      </c>
      <c r="P743" s="35">
        <f>IFERROR(__xludf.DUMMYFUNCTION("""COMPUTED_VALUE"""),36687.0)</f>
        <v>36687</v>
      </c>
      <c r="Q743" s="35">
        <f>IFERROR(__xludf.DUMMYFUNCTION("""COMPUTED_VALUE"""),80692.0)</f>
        <v>80692</v>
      </c>
    </row>
    <row r="744">
      <c r="A744" s="35">
        <f>IFERROR(__xludf.DUMMYFUNCTION("""COMPUTED_VALUE"""),744.0)</f>
        <v>744</v>
      </c>
      <c r="B744" s="35" t="str">
        <f>IFERROR(__xludf.DUMMYFUNCTION("""COMPUTED_VALUE"""),"Network Delay Time")</f>
        <v>Network Delay Time</v>
      </c>
      <c r="C744" s="35" t="str">
        <f>IFERROR(__xludf.DUMMYFUNCTION("""COMPUTED_VALUE"""),"network-delay-time")</f>
        <v>network-delay-time</v>
      </c>
      <c r="D744" s="35" t="b">
        <f>IFERROR(__xludf.DUMMYFUNCTION("""COMPUTED_VALUE"""),FALSE)</f>
        <v>0</v>
      </c>
      <c r="E744" s="35" t="str">
        <f>IFERROR(__xludf.DUMMYFUNCTION("""COMPUTED_VALUE"""),"Medium")</f>
        <v>Medium</v>
      </c>
      <c r="F744" s="35">
        <f>IFERROR(__xludf.DUMMYFUNCTION("""COMPUTED_VALUE"""),3778.0)</f>
        <v>3778</v>
      </c>
      <c r="G744" s="35">
        <f>IFERROR(__xludf.DUMMYFUNCTION("""COMPUTED_VALUE"""),274.0)</f>
        <v>274</v>
      </c>
      <c r="H744" s="35" t="str">
        <f>IFERROR(__xludf.DUMMYFUNCTION("""COMPUTED_VALUE"""),"Algorithms")</f>
        <v>Algorithms</v>
      </c>
      <c r="I744" s="35">
        <f>IFERROR(__xludf.DUMMYFUNCTION("""COMPUTED_VALUE"""),0.482)</f>
        <v>0.482</v>
      </c>
      <c r="J744" s="35">
        <f>IFERROR(__xludf.DUMMYFUNCTION("""COMPUTED_VALUE"""),743.0)</f>
        <v>743</v>
      </c>
      <c r="K744" s="35" t="b">
        <f>IFERROR(__xludf.DUMMYFUNCTION("""COMPUTED_VALUE"""),FALSE)</f>
        <v>0</v>
      </c>
      <c r="L744" s="35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744" s="35" t="b">
        <f>IFERROR(__xludf.DUMMYFUNCTION("""COMPUTED_VALUE"""),TRUE)</f>
        <v>1</v>
      </c>
      <c r="N744" s="35" t="b">
        <f>IFERROR(__xludf.DUMMYFUNCTION("""COMPUTED_VALUE"""),FALSE)</f>
        <v>0</v>
      </c>
      <c r="O744" s="35">
        <f>IFERROR(__xludf.DUMMYFUNCTION("""COMPUTED_VALUE"""),48.1509399632202)</f>
        <v>48.15093996</v>
      </c>
      <c r="P744" s="35">
        <f>IFERROR(__xludf.DUMMYFUNCTION("""COMPUTED_VALUE"""),222292.0)</f>
        <v>222292</v>
      </c>
      <c r="Q744" s="35">
        <f>IFERROR(__xludf.DUMMYFUNCTION("""COMPUTED_VALUE"""),461653.0)</f>
        <v>461653</v>
      </c>
    </row>
    <row r="745">
      <c r="A745" s="35">
        <f>IFERROR(__xludf.DUMMYFUNCTION("""COMPUTED_VALUE"""),745.0)</f>
        <v>745</v>
      </c>
      <c r="B745" s="35" t="str">
        <f>IFERROR(__xludf.DUMMYFUNCTION("""COMPUTED_VALUE"""),"Find Smallest Letter Greater Than Target")</f>
        <v>Find Smallest Letter Greater Than Target</v>
      </c>
      <c r="C745" s="35" t="str">
        <f>IFERROR(__xludf.DUMMYFUNCTION("""COMPUTED_VALUE"""),"find-smallest-letter-greater-than-target")</f>
        <v>find-smallest-letter-greater-than-target</v>
      </c>
      <c r="D745" s="35" t="b">
        <f>IFERROR(__xludf.DUMMYFUNCTION("""COMPUTED_VALUE"""),FALSE)</f>
        <v>0</v>
      </c>
      <c r="E745" s="35" t="str">
        <f>IFERROR(__xludf.DUMMYFUNCTION("""COMPUTED_VALUE"""),"Easy")</f>
        <v>Easy</v>
      </c>
      <c r="F745" s="35">
        <f>IFERROR(__xludf.DUMMYFUNCTION("""COMPUTED_VALUE"""),1400.0)</f>
        <v>1400</v>
      </c>
      <c r="G745" s="35">
        <f>IFERROR(__xludf.DUMMYFUNCTION("""COMPUTED_VALUE"""),1297.0)</f>
        <v>1297</v>
      </c>
      <c r="H745" s="35" t="str">
        <f>IFERROR(__xludf.DUMMYFUNCTION("""COMPUTED_VALUE"""),"Algorithms")</f>
        <v>Algorithms</v>
      </c>
      <c r="I745" s="35">
        <f>IFERROR(__xludf.DUMMYFUNCTION("""COMPUTED_VALUE"""),0.454)</f>
        <v>0.454</v>
      </c>
      <c r="J745" s="35">
        <f>IFERROR(__xludf.DUMMYFUNCTION("""COMPUTED_VALUE"""),744.0)</f>
        <v>744</v>
      </c>
      <c r="K745" s="35" t="b">
        <f>IFERROR(__xludf.DUMMYFUNCTION("""COMPUTED_VALUE"""),FALSE)</f>
        <v>0</v>
      </c>
      <c r="L745" s="35" t="str">
        <f>IFERROR(__xludf.DUMMYFUNCTION("""COMPUTED_VALUE"""),"Array;Binary Search;")</f>
        <v>Array;Binary Search;</v>
      </c>
      <c r="M745" s="35" t="b">
        <f>IFERROR(__xludf.DUMMYFUNCTION("""COMPUTED_VALUE"""),TRUE)</f>
        <v>1</v>
      </c>
      <c r="N745" s="35" t="b">
        <f>IFERROR(__xludf.DUMMYFUNCTION("""COMPUTED_VALUE"""),FALSE)</f>
        <v>0</v>
      </c>
      <c r="O745" s="35">
        <f>IFERROR(__xludf.DUMMYFUNCTION("""COMPUTED_VALUE"""),45.3626225941154)</f>
        <v>45.36262259</v>
      </c>
      <c r="P745" s="35">
        <f>IFERROR(__xludf.DUMMYFUNCTION("""COMPUTED_VALUE"""),170113.0)</f>
        <v>170113</v>
      </c>
      <c r="Q745" s="35">
        <f>IFERROR(__xludf.DUMMYFUNCTION("""COMPUTED_VALUE"""),375006.0)</f>
        <v>375006</v>
      </c>
    </row>
    <row r="746">
      <c r="A746" s="35">
        <f>IFERROR(__xludf.DUMMYFUNCTION("""COMPUTED_VALUE"""),746.0)</f>
        <v>746</v>
      </c>
      <c r="B746" s="35" t="str">
        <f>IFERROR(__xludf.DUMMYFUNCTION("""COMPUTED_VALUE"""),"Prefix and Suffix Search")</f>
        <v>Prefix and Suffix Search</v>
      </c>
      <c r="C746" s="35" t="str">
        <f>IFERROR(__xludf.DUMMYFUNCTION("""COMPUTED_VALUE"""),"prefix-and-suffix-search")</f>
        <v>prefix-and-suffix-search</v>
      </c>
      <c r="D746" s="35" t="b">
        <f>IFERROR(__xludf.DUMMYFUNCTION("""COMPUTED_VALUE"""),FALSE)</f>
        <v>0</v>
      </c>
      <c r="E746" s="35" t="str">
        <f>IFERROR(__xludf.DUMMYFUNCTION("""COMPUTED_VALUE"""),"Hard")</f>
        <v>Hard</v>
      </c>
      <c r="F746" s="35">
        <f>IFERROR(__xludf.DUMMYFUNCTION("""COMPUTED_VALUE"""),1005.0)</f>
        <v>1005</v>
      </c>
      <c r="G746" s="35">
        <f>IFERROR(__xludf.DUMMYFUNCTION("""COMPUTED_VALUE"""),325.0)</f>
        <v>325</v>
      </c>
      <c r="H746" s="35" t="str">
        <f>IFERROR(__xludf.DUMMYFUNCTION("""COMPUTED_VALUE"""),"Algorithms")</f>
        <v>Algorithms</v>
      </c>
      <c r="I746" s="35">
        <f>IFERROR(__xludf.DUMMYFUNCTION("""COMPUTED_VALUE"""),0.364)</f>
        <v>0.364</v>
      </c>
      <c r="J746" s="35">
        <f>IFERROR(__xludf.DUMMYFUNCTION("""COMPUTED_VALUE"""),745.0)</f>
        <v>745</v>
      </c>
      <c r="K746" s="35" t="b">
        <f>IFERROR(__xludf.DUMMYFUNCTION("""COMPUTED_VALUE"""),FALSE)</f>
        <v>0</v>
      </c>
      <c r="L746" s="35" t="str">
        <f>IFERROR(__xludf.DUMMYFUNCTION("""COMPUTED_VALUE"""),"String;Design;Trie;")</f>
        <v>String;Design;Trie;</v>
      </c>
      <c r="M746" s="35" t="b">
        <f>IFERROR(__xludf.DUMMYFUNCTION("""COMPUTED_VALUE"""),TRUE)</f>
        <v>1</v>
      </c>
      <c r="N746" s="35" t="b">
        <f>IFERROR(__xludf.DUMMYFUNCTION("""COMPUTED_VALUE"""),FALSE)</f>
        <v>0</v>
      </c>
      <c r="O746" s="35">
        <f>IFERROR(__xludf.DUMMYFUNCTION("""COMPUTED_VALUE"""),36.3854971808371)</f>
        <v>36.38549718</v>
      </c>
      <c r="P746" s="35">
        <f>IFERROR(__xludf.DUMMYFUNCTION("""COMPUTED_VALUE"""),48722.0)</f>
        <v>48722</v>
      </c>
      <c r="Q746" s="35">
        <f>IFERROR(__xludf.DUMMYFUNCTION("""COMPUTED_VALUE"""),133905.0)</f>
        <v>133905</v>
      </c>
    </row>
    <row r="747">
      <c r="A747" s="35">
        <f>IFERROR(__xludf.DUMMYFUNCTION("""COMPUTED_VALUE"""),747.0)</f>
        <v>747</v>
      </c>
      <c r="B747" s="35" t="str">
        <f>IFERROR(__xludf.DUMMYFUNCTION("""COMPUTED_VALUE"""),"Min Cost Climbing Stairs")</f>
        <v>Min Cost Climbing Stairs</v>
      </c>
      <c r="C747" s="35" t="str">
        <f>IFERROR(__xludf.DUMMYFUNCTION("""COMPUTED_VALUE"""),"min-cost-climbing-stairs")</f>
        <v>min-cost-climbing-stairs</v>
      </c>
      <c r="D747" s="35" t="b">
        <f>IFERROR(__xludf.DUMMYFUNCTION("""COMPUTED_VALUE"""),FALSE)</f>
        <v>0</v>
      </c>
      <c r="E747" s="35" t="str">
        <f>IFERROR(__xludf.DUMMYFUNCTION("""COMPUTED_VALUE"""),"Easy")</f>
        <v>Easy</v>
      </c>
      <c r="F747" s="35">
        <f>IFERROR(__xludf.DUMMYFUNCTION("""COMPUTED_VALUE"""),5493.0)</f>
        <v>5493</v>
      </c>
      <c r="G747" s="35">
        <f>IFERROR(__xludf.DUMMYFUNCTION("""COMPUTED_VALUE"""),961.0)</f>
        <v>961</v>
      </c>
      <c r="H747" s="35" t="str">
        <f>IFERROR(__xludf.DUMMYFUNCTION("""COMPUTED_VALUE"""),"Algorithms")</f>
        <v>Algorithms</v>
      </c>
      <c r="I747" s="35">
        <f>IFERROR(__xludf.DUMMYFUNCTION("""COMPUTED_VALUE"""),0.582)</f>
        <v>0.582</v>
      </c>
      <c r="J747" s="35">
        <f>IFERROR(__xludf.DUMMYFUNCTION("""COMPUTED_VALUE"""),746.0)</f>
        <v>746</v>
      </c>
      <c r="K747" s="35" t="b">
        <f>IFERROR(__xludf.DUMMYFUNCTION("""COMPUTED_VALUE"""),FALSE)</f>
        <v>0</v>
      </c>
      <c r="L747" s="35" t="str">
        <f>IFERROR(__xludf.DUMMYFUNCTION("""COMPUTED_VALUE"""),"Array;Dynamic Programming;")</f>
        <v>Array;Dynamic Programming;</v>
      </c>
      <c r="M747" s="35" t="b">
        <f>IFERROR(__xludf.DUMMYFUNCTION("""COMPUTED_VALUE"""),TRUE)</f>
        <v>1</v>
      </c>
      <c r="N747" s="35" t="b">
        <f>IFERROR(__xludf.DUMMYFUNCTION("""COMPUTED_VALUE"""),FALSE)</f>
        <v>0</v>
      </c>
      <c r="O747" s="35">
        <f>IFERROR(__xludf.DUMMYFUNCTION("""COMPUTED_VALUE"""),58.1727213400043)</f>
        <v>58.17272134</v>
      </c>
      <c r="P747" s="35">
        <f>IFERROR(__xludf.DUMMYFUNCTION("""COMPUTED_VALUE"""),427861.0)</f>
        <v>427861</v>
      </c>
      <c r="Q747" s="35">
        <f>IFERROR(__xludf.DUMMYFUNCTION("""COMPUTED_VALUE"""),735506.0)</f>
        <v>735506</v>
      </c>
    </row>
    <row r="748">
      <c r="A748" s="35">
        <f>IFERROR(__xludf.DUMMYFUNCTION("""COMPUTED_VALUE"""),748.0)</f>
        <v>748</v>
      </c>
      <c r="B748" s="35" t="str">
        <f>IFERROR(__xludf.DUMMYFUNCTION("""COMPUTED_VALUE"""),"Largest Number At Least Twice of Others")</f>
        <v>Largest Number At Least Twice of Others</v>
      </c>
      <c r="C748" s="35" t="str">
        <f>IFERROR(__xludf.DUMMYFUNCTION("""COMPUTED_VALUE"""),"largest-number-at-least-twice-of-others")</f>
        <v>largest-number-at-least-twice-of-others</v>
      </c>
      <c r="D748" s="35" t="b">
        <f>IFERROR(__xludf.DUMMYFUNCTION("""COMPUTED_VALUE"""),FALSE)</f>
        <v>0</v>
      </c>
      <c r="E748" s="35" t="str">
        <f>IFERROR(__xludf.DUMMYFUNCTION("""COMPUTED_VALUE"""),"Easy")</f>
        <v>Easy</v>
      </c>
      <c r="F748" s="35">
        <f>IFERROR(__xludf.DUMMYFUNCTION("""COMPUTED_VALUE"""),637.0)</f>
        <v>637</v>
      </c>
      <c r="G748" s="35">
        <f>IFERROR(__xludf.DUMMYFUNCTION("""COMPUTED_VALUE"""),745.0)</f>
        <v>745</v>
      </c>
      <c r="H748" s="35" t="str">
        <f>IFERROR(__xludf.DUMMYFUNCTION("""COMPUTED_VALUE"""),"Algorithms")</f>
        <v>Algorithms</v>
      </c>
      <c r="I748" s="35">
        <f>IFERROR(__xludf.DUMMYFUNCTION("""COMPUTED_VALUE"""),0.45)</f>
        <v>0.45</v>
      </c>
      <c r="J748" s="35">
        <f>IFERROR(__xludf.DUMMYFUNCTION("""COMPUTED_VALUE"""),747.0)</f>
        <v>747</v>
      </c>
      <c r="K748" s="35" t="b">
        <f>IFERROR(__xludf.DUMMYFUNCTION("""COMPUTED_VALUE"""),FALSE)</f>
        <v>0</v>
      </c>
      <c r="L748" s="35" t="str">
        <f>IFERROR(__xludf.DUMMYFUNCTION("""COMPUTED_VALUE"""),"Array;Sorting;")</f>
        <v>Array;Sorting;</v>
      </c>
      <c r="M748" s="35" t="b">
        <f>IFERROR(__xludf.DUMMYFUNCTION("""COMPUTED_VALUE"""),FALSE)</f>
        <v>0</v>
      </c>
      <c r="N748" s="35" t="b">
        <f>IFERROR(__xludf.DUMMYFUNCTION("""COMPUTED_VALUE"""),FALSE)</f>
        <v>0</v>
      </c>
      <c r="O748" s="35">
        <f>IFERROR(__xludf.DUMMYFUNCTION("""COMPUTED_VALUE"""),44.9898204257131)</f>
        <v>44.98982043</v>
      </c>
      <c r="P748" s="35">
        <f>IFERROR(__xludf.DUMMYFUNCTION("""COMPUTED_VALUE"""),150045.0)</f>
        <v>150045</v>
      </c>
      <c r="Q748" s="35">
        <f>IFERROR(__xludf.DUMMYFUNCTION("""COMPUTED_VALUE"""),333509.0)</f>
        <v>333509</v>
      </c>
    </row>
    <row r="749">
      <c r="A749" s="35">
        <f>IFERROR(__xludf.DUMMYFUNCTION("""COMPUTED_VALUE"""),749.0)</f>
        <v>749</v>
      </c>
      <c r="B749" s="35" t="str">
        <f>IFERROR(__xludf.DUMMYFUNCTION("""COMPUTED_VALUE"""),"Shortest Completing Word")</f>
        <v>Shortest Completing Word</v>
      </c>
      <c r="C749" s="35" t="str">
        <f>IFERROR(__xludf.DUMMYFUNCTION("""COMPUTED_VALUE"""),"shortest-completing-word")</f>
        <v>shortest-completing-word</v>
      </c>
      <c r="D749" s="35" t="b">
        <f>IFERROR(__xludf.DUMMYFUNCTION("""COMPUTED_VALUE"""),FALSE)</f>
        <v>0</v>
      </c>
      <c r="E749" s="35" t="str">
        <f>IFERROR(__xludf.DUMMYFUNCTION("""COMPUTED_VALUE"""),"Easy")</f>
        <v>Easy</v>
      </c>
      <c r="F749" s="35">
        <f>IFERROR(__xludf.DUMMYFUNCTION("""COMPUTED_VALUE"""),295.0)</f>
        <v>295</v>
      </c>
      <c r="G749" s="35">
        <f>IFERROR(__xludf.DUMMYFUNCTION("""COMPUTED_VALUE"""),836.0)</f>
        <v>836</v>
      </c>
      <c r="H749" s="35" t="str">
        <f>IFERROR(__xludf.DUMMYFUNCTION("""COMPUTED_VALUE"""),"Algorithms")</f>
        <v>Algorithms</v>
      </c>
      <c r="I749" s="35">
        <f>IFERROR(__xludf.DUMMYFUNCTION("""COMPUTED_VALUE"""),0.588)</f>
        <v>0.588</v>
      </c>
      <c r="J749" s="35">
        <f>IFERROR(__xludf.DUMMYFUNCTION("""COMPUTED_VALUE"""),748.0)</f>
        <v>748</v>
      </c>
      <c r="K749" s="35" t="b">
        <f>IFERROR(__xludf.DUMMYFUNCTION("""COMPUTED_VALUE"""),FALSE)</f>
        <v>0</v>
      </c>
      <c r="L749" s="35" t="str">
        <f>IFERROR(__xludf.DUMMYFUNCTION("""COMPUTED_VALUE"""),"Array;Hash Table;String;")</f>
        <v>Array;Hash Table;String;</v>
      </c>
      <c r="M749" s="35" t="b">
        <f>IFERROR(__xludf.DUMMYFUNCTION("""COMPUTED_VALUE"""),FALSE)</f>
        <v>0</v>
      </c>
      <c r="N749" s="35" t="b">
        <f>IFERROR(__xludf.DUMMYFUNCTION("""COMPUTED_VALUE"""),FALSE)</f>
        <v>0</v>
      </c>
      <c r="O749" s="35">
        <f>IFERROR(__xludf.DUMMYFUNCTION("""COMPUTED_VALUE"""),58.7551756377721)</f>
        <v>58.75517564</v>
      </c>
      <c r="P749" s="35">
        <f>IFERROR(__xludf.DUMMYFUNCTION("""COMPUTED_VALUE"""),48389.0)</f>
        <v>48389</v>
      </c>
      <c r="Q749" s="35">
        <f>IFERROR(__xludf.DUMMYFUNCTION("""COMPUTED_VALUE"""),82357.0)</f>
        <v>82357</v>
      </c>
    </row>
    <row r="750">
      <c r="A750" s="35">
        <f>IFERROR(__xludf.DUMMYFUNCTION("""COMPUTED_VALUE"""),750.0)</f>
        <v>750</v>
      </c>
      <c r="B750" s="35" t="str">
        <f>IFERROR(__xludf.DUMMYFUNCTION("""COMPUTED_VALUE"""),"Contain Virus")</f>
        <v>Contain Virus</v>
      </c>
      <c r="C750" s="35" t="str">
        <f>IFERROR(__xludf.DUMMYFUNCTION("""COMPUTED_VALUE"""),"contain-virus")</f>
        <v>contain-virus</v>
      </c>
      <c r="D750" s="35" t="b">
        <f>IFERROR(__xludf.DUMMYFUNCTION("""COMPUTED_VALUE"""),FALSE)</f>
        <v>0</v>
      </c>
      <c r="E750" s="35" t="str">
        <f>IFERROR(__xludf.DUMMYFUNCTION("""COMPUTED_VALUE"""),"Hard")</f>
        <v>Hard</v>
      </c>
      <c r="F750" s="35">
        <f>IFERROR(__xludf.DUMMYFUNCTION("""COMPUTED_VALUE"""),219.0)</f>
        <v>219</v>
      </c>
      <c r="G750" s="35">
        <f>IFERROR(__xludf.DUMMYFUNCTION("""COMPUTED_VALUE"""),362.0)</f>
        <v>362</v>
      </c>
      <c r="H750" s="35" t="str">
        <f>IFERROR(__xludf.DUMMYFUNCTION("""COMPUTED_VALUE"""),"Algorithms")</f>
        <v>Algorithms</v>
      </c>
      <c r="I750" s="35">
        <f>IFERROR(__xludf.DUMMYFUNCTION("""COMPUTED_VALUE"""),0.499)</f>
        <v>0.499</v>
      </c>
      <c r="J750" s="35">
        <f>IFERROR(__xludf.DUMMYFUNCTION("""COMPUTED_VALUE"""),749.0)</f>
        <v>749</v>
      </c>
      <c r="K750" s="35" t="b">
        <f>IFERROR(__xludf.DUMMYFUNCTION("""COMPUTED_VALUE"""),FALSE)</f>
        <v>0</v>
      </c>
      <c r="L750" s="35" t="str">
        <f>IFERROR(__xludf.DUMMYFUNCTION("""COMPUTED_VALUE"""),"Array;Depth-First Search;Breadth-First Search;Matrix;Simulation;")</f>
        <v>Array;Depth-First Search;Breadth-First Search;Matrix;Simulation;</v>
      </c>
      <c r="M750" s="35" t="b">
        <f>IFERROR(__xludf.DUMMYFUNCTION("""COMPUTED_VALUE"""),FALSE)</f>
        <v>0</v>
      </c>
      <c r="N750" s="35" t="b">
        <f>IFERROR(__xludf.DUMMYFUNCTION("""COMPUTED_VALUE"""),FALSE)</f>
        <v>0</v>
      </c>
      <c r="O750" s="35">
        <f>IFERROR(__xludf.DUMMYFUNCTION("""COMPUTED_VALUE"""),49.8692240627724)</f>
        <v>49.86922406</v>
      </c>
      <c r="P750" s="35">
        <f>IFERROR(__xludf.DUMMYFUNCTION("""COMPUTED_VALUE"""),8008.0)</f>
        <v>8008</v>
      </c>
      <c r="Q750" s="35">
        <f>IFERROR(__xludf.DUMMYFUNCTION("""COMPUTED_VALUE"""),16058.0)</f>
        <v>16058</v>
      </c>
    </row>
    <row r="751">
      <c r="A751" s="35">
        <f>IFERROR(__xludf.DUMMYFUNCTION("""COMPUTED_VALUE"""),751.0)</f>
        <v>751</v>
      </c>
      <c r="B751" s="35" t="str">
        <f>IFERROR(__xludf.DUMMYFUNCTION("""COMPUTED_VALUE"""),"Number Of Corner Rectangles")</f>
        <v>Number Of Corner Rectangles</v>
      </c>
      <c r="C751" s="35" t="str">
        <f>IFERROR(__xludf.DUMMYFUNCTION("""COMPUTED_VALUE"""),"number-of-corner-rectangles")</f>
        <v>number-of-corner-rectangles</v>
      </c>
      <c r="D751" s="35" t="b">
        <f>IFERROR(__xludf.DUMMYFUNCTION("""COMPUTED_VALUE"""),TRUE)</f>
        <v>1</v>
      </c>
      <c r="E751" s="35" t="str">
        <f>IFERROR(__xludf.DUMMYFUNCTION("""COMPUTED_VALUE"""),"Medium")</f>
        <v>Medium</v>
      </c>
      <c r="F751" s="35">
        <f>IFERROR(__xludf.DUMMYFUNCTION("""COMPUTED_VALUE"""),565.0)</f>
        <v>565</v>
      </c>
      <c r="G751" s="35">
        <f>IFERROR(__xludf.DUMMYFUNCTION("""COMPUTED_VALUE"""),85.0)</f>
        <v>85</v>
      </c>
      <c r="H751" s="35" t="str">
        <f>IFERROR(__xludf.DUMMYFUNCTION("""COMPUTED_VALUE"""),"Algorithms")</f>
        <v>Algorithms</v>
      </c>
      <c r="I751" s="35">
        <f>IFERROR(__xludf.DUMMYFUNCTION("""COMPUTED_VALUE"""),0.675)</f>
        <v>0.675</v>
      </c>
      <c r="J751" s="35">
        <f>IFERROR(__xludf.DUMMYFUNCTION("""COMPUTED_VALUE"""),750.0)</f>
        <v>750</v>
      </c>
      <c r="K751" s="35" t="b">
        <f>IFERROR(__xludf.DUMMYFUNCTION("""COMPUTED_VALUE"""),TRUE)</f>
        <v>1</v>
      </c>
      <c r="L751" s="35" t="str">
        <f>IFERROR(__xludf.DUMMYFUNCTION("""COMPUTED_VALUE"""),"Array;Math;Dynamic Programming;Matrix;")</f>
        <v>Array;Math;Dynamic Programming;Matrix;</v>
      </c>
      <c r="M751" s="35" t="b">
        <f>IFERROR(__xludf.DUMMYFUNCTION("""COMPUTED_VALUE"""),TRUE)</f>
        <v>1</v>
      </c>
      <c r="N751" s="35" t="b">
        <f>IFERROR(__xludf.DUMMYFUNCTION("""COMPUTED_VALUE"""),FALSE)</f>
        <v>0</v>
      </c>
      <c r="O751" s="35">
        <f>IFERROR(__xludf.DUMMYFUNCTION("""COMPUTED_VALUE"""),67.5217756723716)</f>
        <v>67.52177567</v>
      </c>
      <c r="P751" s="35">
        <f>IFERROR(__xludf.DUMMYFUNCTION("""COMPUTED_VALUE"""),35349.0)</f>
        <v>35349</v>
      </c>
      <c r="Q751" s="35">
        <f>IFERROR(__xludf.DUMMYFUNCTION("""COMPUTED_VALUE"""),52352.0)</f>
        <v>52352</v>
      </c>
    </row>
    <row r="752">
      <c r="A752" s="35">
        <f>IFERROR(__xludf.DUMMYFUNCTION("""COMPUTED_VALUE"""),752.0)</f>
        <v>752</v>
      </c>
      <c r="B752" s="35" t="str">
        <f>IFERROR(__xludf.DUMMYFUNCTION("""COMPUTED_VALUE"""),"IP to CIDR")</f>
        <v>IP to CIDR</v>
      </c>
      <c r="C752" s="35" t="str">
        <f>IFERROR(__xludf.DUMMYFUNCTION("""COMPUTED_VALUE"""),"ip-to-cidr")</f>
        <v>ip-to-cidr</v>
      </c>
      <c r="D752" s="35" t="b">
        <f>IFERROR(__xludf.DUMMYFUNCTION("""COMPUTED_VALUE"""),TRUE)</f>
        <v>1</v>
      </c>
      <c r="E752" s="35" t="str">
        <f>IFERROR(__xludf.DUMMYFUNCTION("""COMPUTED_VALUE"""),"Medium")</f>
        <v>Medium</v>
      </c>
      <c r="F752" s="35">
        <f>IFERROR(__xludf.DUMMYFUNCTION("""COMPUTED_VALUE"""),24.0)</f>
        <v>24</v>
      </c>
      <c r="G752" s="35">
        <f>IFERROR(__xludf.DUMMYFUNCTION("""COMPUTED_VALUE"""),69.0)</f>
        <v>69</v>
      </c>
      <c r="H752" s="35" t="str">
        <f>IFERROR(__xludf.DUMMYFUNCTION("""COMPUTED_VALUE"""),"Algorithms")</f>
        <v>Algorithms</v>
      </c>
      <c r="I752" s="35">
        <f>IFERROR(__xludf.DUMMYFUNCTION("""COMPUTED_VALUE"""),0.551)</f>
        <v>0.551</v>
      </c>
      <c r="J752" s="35">
        <f>IFERROR(__xludf.DUMMYFUNCTION("""COMPUTED_VALUE"""),751.0)</f>
        <v>751</v>
      </c>
      <c r="K752" s="35" t="b">
        <f>IFERROR(__xludf.DUMMYFUNCTION("""COMPUTED_VALUE"""),TRUE)</f>
        <v>1</v>
      </c>
      <c r="L752" s="35" t="str">
        <f>IFERROR(__xludf.DUMMYFUNCTION("""COMPUTED_VALUE"""),"String;Bit Manipulation;")</f>
        <v>String;Bit Manipulation;</v>
      </c>
      <c r="M752" s="35" t="b">
        <f>IFERROR(__xludf.DUMMYFUNCTION("""COMPUTED_VALUE"""),FALSE)</f>
        <v>0</v>
      </c>
      <c r="N752" s="35" t="b">
        <f>IFERROR(__xludf.DUMMYFUNCTION("""COMPUTED_VALUE"""),FALSE)</f>
        <v>0</v>
      </c>
      <c r="O752" s="35">
        <f>IFERROR(__xludf.DUMMYFUNCTION("""COMPUTED_VALUE"""),55.1482852609739)</f>
        <v>55.14828526</v>
      </c>
      <c r="P752" s="35">
        <f>IFERROR(__xludf.DUMMYFUNCTION("""COMPUTED_VALUE"""),13556.0)</f>
        <v>13556</v>
      </c>
      <c r="Q752" s="35">
        <f>IFERROR(__xludf.DUMMYFUNCTION("""COMPUTED_VALUE"""),24581.0)</f>
        <v>24581</v>
      </c>
    </row>
    <row r="753">
      <c r="A753" s="35">
        <f>IFERROR(__xludf.DUMMYFUNCTION("""COMPUTED_VALUE"""),753.0)</f>
        <v>753</v>
      </c>
      <c r="B753" s="35" t="str">
        <f>IFERROR(__xludf.DUMMYFUNCTION("""COMPUTED_VALUE"""),"Open the Lock")</f>
        <v>Open the Lock</v>
      </c>
      <c r="C753" s="35" t="str">
        <f>IFERROR(__xludf.DUMMYFUNCTION("""COMPUTED_VALUE"""),"open-the-lock")</f>
        <v>open-the-lock</v>
      </c>
      <c r="D753" s="35" t="b">
        <f>IFERROR(__xludf.DUMMYFUNCTION("""COMPUTED_VALUE"""),FALSE)</f>
        <v>0</v>
      </c>
      <c r="E753" s="35" t="str">
        <f>IFERROR(__xludf.DUMMYFUNCTION("""COMPUTED_VALUE"""),"Medium")</f>
        <v>Medium</v>
      </c>
      <c r="F753" s="35">
        <f>IFERROR(__xludf.DUMMYFUNCTION("""COMPUTED_VALUE"""),2641.0)</f>
        <v>2641</v>
      </c>
      <c r="G753" s="35">
        <f>IFERROR(__xludf.DUMMYFUNCTION("""COMPUTED_VALUE"""),88.0)</f>
        <v>88</v>
      </c>
      <c r="H753" s="35" t="str">
        <f>IFERROR(__xludf.DUMMYFUNCTION("""COMPUTED_VALUE"""),"Algorithms")</f>
        <v>Algorithms</v>
      </c>
      <c r="I753" s="35">
        <f>IFERROR(__xludf.DUMMYFUNCTION("""COMPUTED_VALUE"""),0.552)</f>
        <v>0.552</v>
      </c>
      <c r="J753" s="35">
        <f>IFERROR(__xludf.DUMMYFUNCTION("""COMPUTED_VALUE"""),752.0)</f>
        <v>752</v>
      </c>
      <c r="K753" s="35" t="b">
        <f>IFERROR(__xludf.DUMMYFUNCTION("""COMPUTED_VALUE"""),FALSE)</f>
        <v>0</v>
      </c>
      <c r="L753" s="35" t="str">
        <f>IFERROR(__xludf.DUMMYFUNCTION("""COMPUTED_VALUE"""),"Array;Hash Table;String;Breadth-First Search;")</f>
        <v>Array;Hash Table;String;Breadth-First Search;</v>
      </c>
      <c r="M753" s="35" t="b">
        <f>IFERROR(__xludf.DUMMYFUNCTION("""COMPUTED_VALUE"""),TRUE)</f>
        <v>1</v>
      </c>
      <c r="N753" s="35" t="b">
        <f>IFERROR(__xludf.DUMMYFUNCTION("""COMPUTED_VALUE"""),FALSE)</f>
        <v>0</v>
      </c>
      <c r="O753" s="35">
        <f>IFERROR(__xludf.DUMMYFUNCTION("""COMPUTED_VALUE"""),55.2340909420132)</f>
        <v>55.23409094</v>
      </c>
      <c r="P753" s="35">
        <f>IFERROR(__xludf.DUMMYFUNCTION("""COMPUTED_VALUE"""),152515.0)</f>
        <v>152515</v>
      </c>
      <c r="Q753" s="35">
        <f>IFERROR(__xludf.DUMMYFUNCTION("""COMPUTED_VALUE"""),276127.0)</f>
        <v>276127</v>
      </c>
    </row>
    <row r="754">
      <c r="A754" s="35">
        <f>IFERROR(__xludf.DUMMYFUNCTION("""COMPUTED_VALUE"""),754.0)</f>
        <v>754</v>
      </c>
      <c r="B754" s="35" t="str">
        <f>IFERROR(__xludf.DUMMYFUNCTION("""COMPUTED_VALUE"""),"Cracking the Safe")</f>
        <v>Cracking the Safe</v>
      </c>
      <c r="C754" s="35" t="str">
        <f>IFERROR(__xludf.DUMMYFUNCTION("""COMPUTED_VALUE"""),"cracking-the-safe")</f>
        <v>cracking-the-safe</v>
      </c>
      <c r="D754" s="35" t="b">
        <f>IFERROR(__xludf.DUMMYFUNCTION("""COMPUTED_VALUE"""),FALSE)</f>
        <v>0</v>
      </c>
      <c r="E754" s="35" t="str">
        <f>IFERROR(__xludf.DUMMYFUNCTION("""COMPUTED_VALUE"""),"Hard")</f>
        <v>Hard</v>
      </c>
      <c r="F754" s="35">
        <f>IFERROR(__xludf.DUMMYFUNCTION("""COMPUTED_VALUE"""),175.0)</f>
        <v>175</v>
      </c>
      <c r="G754" s="35">
        <f>IFERROR(__xludf.DUMMYFUNCTION("""COMPUTED_VALUE"""),27.0)</f>
        <v>27</v>
      </c>
      <c r="H754" s="35" t="str">
        <f>IFERROR(__xludf.DUMMYFUNCTION("""COMPUTED_VALUE"""),"Algorithms")</f>
        <v>Algorithms</v>
      </c>
      <c r="I754" s="35">
        <f>IFERROR(__xludf.DUMMYFUNCTION("""COMPUTED_VALUE"""),0.544)</f>
        <v>0.544</v>
      </c>
      <c r="J754" s="35">
        <f>IFERROR(__xludf.DUMMYFUNCTION("""COMPUTED_VALUE"""),753.0)</f>
        <v>753</v>
      </c>
      <c r="K754" s="35" t="b">
        <f>IFERROR(__xludf.DUMMYFUNCTION("""COMPUTED_VALUE"""),FALSE)</f>
        <v>0</v>
      </c>
      <c r="L754" s="35" t="str">
        <f>IFERROR(__xludf.DUMMYFUNCTION("""COMPUTED_VALUE"""),"Depth-First Search;Graph;Eulerian Circuit;")</f>
        <v>Depth-First Search;Graph;Eulerian Circuit;</v>
      </c>
      <c r="M754" s="35" t="b">
        <f>IFERROR(__xludf.DUMMYFUNCTION("""COMPUTED_VALUE"""),FALSE)</f>
        <v>0</v>
      </c>
      <c r="N754" s="35" t="b">
        <f>IFERROR(__xludf.DUMMYFUNCTION("""COMPUTED_VALUE"""),FALSE)</f>
        <v>0</v>
      </c>
      <c r="O754" s="35">
        <f>IFERROR(__xludf.DUMMYFUNCTION("""COMPUTED_VALUE"""),54.4447279221489)</f>
        <v>54.44472792</v>
      </c>
      <c r="P754" s="35">
        <f>IFERROR(__xludf.DUMMYFUNCTION("""COMPUTED_VALUE"""),44814.0)</f>
        <v>44814</v>
      </c>
      <c r="Q754" s="35">
        <f>IFERROR(__xludf.DUMMYFUNCTION("""COMPUTED_VALUE"""),82311.0)</f>
        <v>82311</v>
      </c>
    </row>
    <row r="755">
      <c r="A755" s="35">
        <f>IFERROR(__xludf.DUMMYFUNCTION("""COMPUTED_VALUE"""),755.0)</f>
        <v>755</v>
      </c>
      <c r="B755" s="35" t="str">
        <f>IFERROR(__xludf.DUMMYFUNCTION("""COMPUTED_VALUE"""),"Reach a Number")</f>
        <v>Reach a Number</v>
      </c>
      <c r="C755" s="35" t="str">
        <f>IFERROR(__xludf.DUMMYFUNCTION("""COMPUTED_VALUE"""),"reach-a-number")</f>
        <v>reach-a-number</v>
      </c>
      <c r="D755" s="35" t="b">
        <f>IFERROR(__xludf.DUMMYFUNCTION("""COMPUTED_VALUE"""),FALSE)</f>
        <v>0</v>
      </c>
      <c r="E755" s="35" t="str">
        <f>IFERROR(__xludf.DUMMYFUNCTION("""COMPUTED_VALUE"""),"Medium")</f>
        <v>Medium</v>
      </c>
      <c r="F755" s="35">
        <f>IFERROR(__xludf.DUMMYFUNCTION("""COMPUTED_VALUE"""),1053.0)</f>
        <v>1053</v>
      </c>
      <c r="G755" s="35">
        <f>IFERROR(__xludf.DUMMYFUNCTION("""COMPUTED_VALUE"""),649.0)</f>
        <v>649</v>
      </c>
      <c r="H755" s="35" t="str">
        <f>IFERROR(__xludf.DUMMYFUNCTION("""COMPUTED_VALUE"""),"Algorithms")</f>
        <v>Algorithms</v>
      </c>
      <c r="I755" s="35">
        <f>IFERROR(__xludf.DUMMYFUNCTION("""COMPUTED_VALUE"""),0.417)</f>
        <v>0.417</v>
      </c>
      <c r="J755" s="35">
        <f>IFERROR(__xludf.DUMMYFUNCTION("""COMPUTED_VALUE"""),754.0)</f>
        <v>754</v>
      </c>
      <c r="K755" s="35" t="b">
        <f>IFERROR(__xludf.DUMMYFUNCTION("""COMPUTED_VALUE"""),FALSE)</f>
        <v>0</v>
      </c>
      <c r="L755" s="35" t="str">
        <f>IFERROR(__xludf.DUMMYFUNCTION("""COMPUTED_VALUE"""),"Math;Binary Search;")</f>
        <v>Math;Binary Search;</v>
      </c>
      <c r="M755" s="35" t="b">
        <f>IFERROR(__xludf.DUMMYFUNCTION("""COMPUTED_VALUE"""),TRUE)</f>
        <v>1</v>
      </c>
      <c r="N755" s="35" t="b">
        <f>IFERROR(__xludf.DUMMYFUNCTION("""COMPUTED_VALUE"""),FALSE)</f>
        <v>0</v>
      </c>
      <c r="O755" s="35">
        <f>IFERROR(__xludf.DUMMYFUNCTION("""COMPUTED_VALUE"""),41.7352065086915)</f>
        <v>41.73520651</v>
      </c>
      <c r="P755" s="35">
        <f>IFERROR(__xludf.DUMMYFUNCTION("""COMPUTED_VALUE"""),37550.0)</f>
        <v>37550</v>
      </c>
      <c r="Q755" s="35">
        <f>IFERROR(__xludf.DUMMYFUNCTION("""COMPUTED_VALUE"""),89972.0)</f>
        <v>89972</v>
      </c>
    </row>
    <row r="756">
      <c r="A756" s="35">
        <f>IFERROR(__xludf.DUMMYFUNCTION("""COMPUTED_VALUE"""),756.0)</f>
        <v>756</v>
      </c>
      <c r="B756" s="35" t="str">
        <f>IFERROR(__xludf.DUMMYFUNCTION("""COMPUTED_VALUE"""),"Pour Water")</f>
        <v>Pour Water</v>
      </c>
      <c r="C756" s="35" t="str">
        <f>IFERROR(__xludf.DUMMYFUNCTION("""COMPUTED_VALUE"""),"pour-water")</f>
        <v>pour-water</v>
      </c>
      <c r="D756" s="35" t="b">
        <f>IFERROR(__xludf.DUMMYFUNCTION("""COMPUTED_VALUE"""),TRUE)</f>
        <v>1</v>
      </c>
      <c r="E756" s="35" t="str">
        <f>IFERROR(__xludf.DUMMYFUNCTION("""COMPUTED_VALUE"""),"Medium")</f>
        <v>Medium</v>
      </c>
      <c r="F756" s="35">
        <f>IFERROR(__xludf.DUMMYFUNCTION("""COMPUTED_VALUE"""),253.0)</f>
        <v>253</v>
      </c>
      <c r="G756" s="35">
        <f>IFERROR(__xludf.DUMMYFUNCTION("""COMPUTED_VALUE"""),590.0)</f>
        <v>590</v>
      </c>
      <c r="H756" s="35" t="str">
        <f>IFERROR(__xludf.DUMMYFUNCTION("""COMPUTED_VALUE"""),"Algorithms")</f>
        <v>Algorithms</v>
      </c>
      <c r="I756" s="35">
        <f>IFERROR(__xludf.DUMMYFUNCTION("""COMPUTED_VALUE"""),0.454)</f>
        <v>0.454</v>
      </c>
      <c r="J756" s="35">
        <f>IFERROR(__xludf.DUMMYFUNCTION("""COMPUTED_VALUE"""),755.0)</f>
        <v>755</v>
      </c>
      <c r="K756" s="35" t="b">
        <f>IFERROR(__xludf.DUMMYFUNCTION("""COMPUTED_VALUE"""),TRUE)</f>
        <v>1</v>
      </c>
      <c r="L756" s="35" t="str">
        <f>IFERROR(__xludf.DUMMYFUNCTION("""COMPUTED_VALUE"""),"Array;Simulation;")</f>
        <v>Array;Simulation;</v>
      </c>
      <c r="M756" s="35" t="b">
        <f>IFERROR(__xludf.DUMMYFUNCTION("""COMPUTED_VALUE"""),FALSE)</f>
        <v>0</v>
      </c>
      <c r="N756" s="35" t="b">
        <f>IFERROR(__xludf.DUMMYFUNCTION("""COMPUTED_VALUE"""),FALSE)</f>
        <v>0</v>
      </c>
      <c r="O756" s="35">
        <f>IFERROR(__xludf.DUMMYFUNCTION("""COMPUTED_VALUE"""),45.3953171667775)</f>
        <v>45.39531717</v>
      </c>
      <c r="P756" s="35">
        <f>IFERROR(__xludf.DUMMYFUNCTION("""COMPUTED_VALUE"""),29334.0)</f>
        <v>29334</v>
      </c>
      <c r="Q756" s="35">
        <f>IFERROR(__xludf.DUMMYFUNCTION("""COMPUTED_VALUE"""),64619.0)</f>
        <v>64619</v>
      </c>
    </row>
    <row r="757">
      <c r="A757" s="35">
        <f>IFERROR(__xludf.DUMMYFUNCTION("""COMPUTED_VALUE"""),757.0)</f>
        <v>757</v>
      </c>
      <c r="B757" s="35" t="str">
        <f>IFERROR(__xludf.DUMMYFUNCTION("""COMPUTED_VALUE"""),"Pyramid Transition Matrix")</f>
        <v>Pyramid Transition Matrix</v>
      </c>
      <c r="C757" s="35" t="str">
        <f>IFERROR(__xludf.DUMMYFUNCTION("""COMPUTED_VALUE"""),"pyramid-transition-matrix")</f>
        <v>pyramid-transition-matrix</v>
      </c>
      <c r="D757" s="35" t="b">
        <f>IFERROR(__xludf.DUMMYFUNCTION("""COMPUTED_VALUE"""),FALSE)</f>
        <v>0</v>
      </c>
      <c r="E757" s="35" t="str">
        <f>IFERROR(__xludf.DUMMYFUNCTION("""COMPUTED_VALUE"""),"Medium")</f>
        <v>Medium</v>
      </c>
      <c r="F757" s="35">
        <f>IFERROR(__xludf.DUMMYFUNCTION("""COMPUTED_VALUE"""),443.0)</f>
        <v>443</v>
      </c>
      <c r="G757" s="35">
        <f>IFERROR(__xludf.DUMMYFUNCTION("""COMPUTED_VALUE"""),421.0)</f>
        <v>421</v>
      </c>
      <c r="H757" s="35" t="str">
        <f>IFERROR(__xludf.DUMMYFUNCTION("""COMPUTED_VALUE"""),"Algorithms")</f>
        <v>Algorithms</v>
      </c>
      <c r="I757" s="35">
        <f>IFERROR(__xludf.DUMMYFUNCTION("""COMPUTED_VALUE"""),0.547)</f>
        <v>0.547</v>
      </c>
      <c r="J757" s="35">
        <f>IFERROR(__xludf.DUMMYFUNCTION("""COMPUTED_VALUE"""),756.0)</f>
        <v>756</v>
      </c>
      <c r="K757" s="35" t="b">
        <f>IFERROR(__xludf.DUMMYFUNCTION("""COMPUTED_VALUE"""),FALSE)</f>
        <v>0</v>
      </c>
      <c r="L757" s="35" t="str">
        <f>IFERROR(__xludf.DUMMYFUNCTION("""COMPUTED_VALUE"""),"Bit Manipulation;Depth-First Search;Breadth-First Search;")</f>
        <v>Bit Manipulation;Depth-First Search;Breadth-First Search;</v>
      </c>
      <c r="M757" s="35" t="b">
        <f>IFERROR(__xludf.DUMMYFUNCTION("""COMPUTED_VALUE"""),FALSE)</f>
        <v>0</v>
      </c>
      <c r="N757" s="35" t="b">
        <f>IFERROR(__xludf.DUMMYFUNCTION("""COMPUTED_VALUE"""),FALSE)</f>
        <v>0</v>
      </c>
      <c r="O757" s="35">
        <f>IFERROR(__xludf.DUMMYFUNCTION("""COMPUTED_VALUE"""),54.7489116438776)</f>
        <v>54.74891164</v>
      </c>
      <c r="P757" s="35">
        <f>IFERROR(__xludf.DUMMYFUNCTION("""COMPUTED_VALUE"""),26787.0)</f>
        <v>26787</v>
      </c>
      <c r="Q757" s="35">
        <f>IFERROR(__xludf.DUMMYFUNCTION("""COMPUTED_VALUE"""),48927.0)</f>
        <v>48927</v>
      </c>
    </row>
    <row r="758">
      <c r="A758" s="35">
        <f>IFERROR(__xludf.DUMMYFUNCTION("""COMPUTED_VALUE"""),759.0)</f>
        <v>759</v>
      </c>
      <c r="B758" s="35" t="str">
        <f>IFERROR(__xludf.DUMMYFUNCTION("""COMPUTED_VALUE"""),"Set Intersection Size At Least Two")</f>
        <v>Set Intersection Size At Least Two</v>
      </c>
      <c r="C758" s="35" t="str">
        <f>IFERROR(__xludf.DUMMYFUNCTION("""COMPUTED_VALUE"""),"set-intersection-size-at-least-two")</f>
        <v>set-intersection-size-at-least-two</v>
      </c>
      <c r="D758" s="35" t="b">
        <f>IFERROR(__xludf.DUMMYFUNCTION("""COMPUTED_VALUE"""),FALSE)</f>
        <v>0</v>
      </c>
      <c r="E758" s="35" t="str">
        <f>IFERROR(__xludf.DUMMYFUNCTION("""COMPUTED_VALUE"""),"Hard")</f>
        <v>Hard</v>
      </c>
      <c r="F758" s="35">
        <f>IFERROR(__xludf.DUMMYFUNCTION("""COMPUTED_VALUE"""),432.0)</f>
        <v>432</v>
      </c>
      <c r="G758" s="35">
        <f>IFERROR(__xludf.DUMMYFUNCTION("""COMPUTED_VALUE"""),57.0)</f>
        <v>57</v>
      </c>
      <c r="H758" s="35" t="str">
        <f>IFERROR(__xludf.DUMMYFUNCTION("""COMPUTED_VALUE"""),"Algorithms")</f>
        <v>Algorithms</v>
      </c>
      <c r="I758" s="35">
        <f>IFERROR(__xludf.DUMMYFUNCTION("""COMPUTED_VALUE"""),0.43)</f>
        <v>0.43</v>
      </c>
      <c r="J758" s="35">
        <f>IFERROR(__xludf.DUMMYFUNCTION("""COMPUTED_VALUE"""),757.0)</f>
        <v>757</v>
      </c>
      <c r="K758" s="35" t="b">
        <f>IFERROR(__xludf.DUMMYFUNCTION("""COMPUTED_VALUE"""),FALSE)</f>
        <v>0</v>
      </c>
      <c r="L758" s="35" t="str">
        <f>IFERROR(__xludf.DUMMYFUNCTION("""COMPUTED_VALUE"""),"Array;Greedy;Sorting;")</f>
        <v>Array;Greedy;Sorting;</v>
      </c>
      <c r="M758" s="35" t="b">
        <f>IFERROR(__xludf.DUMMYFUNCTION("""COMPUTED_VALUE"""),FALSE)</f>
        <v>0</v>
      </c>
      <c r="N758" s="35" t="b">
        <f>IFERROR(__xludf.DUMMYFUNCTION("""COMPUTED_VALUE"""),FALSE)</f>
        <v>0</v>
      </c>
      <c r="O758" s="35">
        <f>IFERROR(__xludf.DUMMYFUNCTION("""COMPUTED_VALUE"""),43.018439716312)</f>
        <v>43.01843972</v>
      </c>
      <c r="P758" s="35">
        <f>IFERROR(__xludf.DUMMYFUNCTION("""COMPUTED_VALUE"""),15164.0)</f>
        <v>15164</v>
      </c>
      <c r="Q758" s="35">
        <f>IFERROR(__xludf.DUMMYFUNCTION("""COMPUTED_VALUE"""),35250.0)</f>
        <v>35250</v>
      </c>
    </row>
    <row r="759">
      <c r="A759" s="35">
        <f>IFERROR(__xludf.DUMMYFUNCTION("""COMPUTED_VALUE"""),760.0)</f>
        <v>760</v>
      </c>
      <c r="B759" s="35" t="str">
        <f>IFERROR(__xludf.DUMMYFUNCTION("""COMPUTED_VALUE"""),"Bold Words in String")</f>
        <v>Bold Words in String</v>
      </c>
      <c r="C759" s="35" t="str">
        <f>IFERROR(__xludf.DUMMYFUNCTION("""COMPUTED_VALUE"""),"bold-words-in-string")</f>
        <v>bold-words-in-string</v>
      </c>
      <c r="D759" s="35" t="b">
        <f>IFERROR(__xludf.DUMMYFUNCTION("""COMPUTED_VALUE"""),TRUE)</f>
        <v>1</v>
      </c>
      <c r="E759" s="35" t="str">
        <f>IFERROR(__xludf.DUMMYFUNCTION("""COMPUTED_VALUE"""),"Medium")</f>
        <v>Medium</v>
      </c>
      <c r="F759" s="35">
        <f>IFERROR(__xludf.DUMMYFUNCTION("""COMPUTED_VALUE"""),231.0)</f>
        <v>231</v>
      </c>
      <c r="G759" s="35">
        <f>IFERROR(__xludf.DUMMYFUNCTION("""COMPUTED_VALUE"""),114.0)</f>
        <v>114</v>
      </c>
      <c r="H759" s="35" t="str">
        <f>IFERROR(__xludf.DUMMYFUNCTION("""COMPUTED_VALUE"""),"Algorithms")</f>
        <v>Algorithms</v>
      </c>
      <c r="I759" s="35">
        <f>IFERROR(__xludf.DUMMYFUNCTION("""COMPUTED_VALUE"""),0.5)</f>
        <v>0.5</v>
      </c>
      <c r="J759" s="35">
        <f>IFERROR(__xludf.DUMMYFUNCTION("""COMPUTED_VALUE"""),758.0)</f>
        <v>758</v>
      </c>
      <c r="K759" s="35" t="b">
        <f>IFERROR(__xludf.DUMMYFUNCTION("""COMPUTED_VALUE"""),TRUE)</f>
        <v>1</v>
      </c>
      <c r="L759" s="35" t="str">
        <f>IFERROR(__xludf.DUMMYFUNCTION("""COMPUTED_VALUE"""),"Array;Hash Table;String;Trie;String Matching;")</f>
        <v>Array;Hash Table;String;Trie;String Matching;</v>
      </c>
      <c r="M759" s="35" t="b">
        <f>IFERROR(__xludf.DUMMYFUNCTION("""COMPUTED_VALUE"""),FALSE)</f>
        <v>0</v>
      </c>
      <c r="N759" s="35" t="b">
        <f>IFERROR(__xludf.DUMMYFUNCTION("""COMPUTED_VALUE"""),FALSE)</f>
        <v>0</v>
      </c>
      <c r="O759" s="35">
        <f>IFERROR(__xludf.DUMMYFUNCTION("""COMPUTED_VALUE"""),50.0030847060275)</f>
        <v>50.00308471</v>
      </c>
      <c r="P759" s="35">
        <f>IFERROR(__xludf.DUMMYFUNCTION("""COMPUTED_VALUE"""),16210.0)</f>
        <v>16210</v>
      </c>
      <c r="Q759" s="35">
        <f>IFERROR(__xludf.DUMMYFUNCTION("""COMPUTED_VALUE"""),32418.0)</f>
        <v>32418</v>
      </c>
    </row>
    <row r="760">
      <c r="A760" s="35">
        <f>IFERROR(__xludf.DUMMYFUNCTION("""COMPUTED_VALUE"""),761.0)</f>
        <v>761</v>
      </c>
      <c r="B760" s="35" t="str">
        <f>IFERROR(__xludf.DUMMYFUNCTION("""COMPUTED_VALUE"""),"Employee Free Time")</f>
        <v>Employee Free Time</v>
      </c>
      <c r="C760" s="35" t="str">
        <f>IFERROR(__xludf.DUMMYFUNCTION("""COMPUTED_VALUE"""),"employee-free-time")</f>
        <v>employee-free-time</v>
      </c>
      <c r="D760" s="35" t="b">
        <f>IFERROR(__xludf.DUMMYFUNCTION("""COMPUTED_VALUE"""),TRUE)</f>
        <v>1</v>
      </c>
      <c r="E760" s="35" t="str">
        <f>IFERROR(__xludf.DUMMYFUNCTION("""COMPUTED_VALUE"""),"Hard")</f>
        <v>Hard</v>
      </c>
      <c r="F760" s="35">
        <f>IFERROR(__xludf.DUMMYFUNCTION("""COMPUTED_VALUE"""),1319.0)</f>
        <v>1319</v>
      </c>
      <c r="G760" s="35">
        <f>IFERROR(__xludf.DUMMYFUNCTION("""COMPUTED_VALUE"""),84.0)</f>
        <v>84</v>
      </c>
      <c r="H760" s="35" t="str">
        <f>IFERROR(__xludf.DUMMYFUNCTION("""COMPUTED_VALUE"""),"Algorithms")</f>
        <v>Algorithms</v>
      </c>
      <c r="I760" s="35">
        <f>IFERROR(__xludf.DUMMYFUNCTION("""COMPUTED_VALUE"""),0.709)</f>
        <v>0.709</v>
      </c>
      <c r="J760" s="35">
        <f>IFERROR(__xludf.DUMMYFUNCTION("""COMPUTED_VALUE"""),759.0)</f>
        <v>759</v>
      </c>
      <c r="K760" s="35" t="b">
        <f>IFERROR(__xludf.DUMMYFUNCTION("""COMPUTED_VALUE"""),TRUE)</f>
        <v>1</v>
      </c>
      <c r="L760" s="35" t="str">
        <f>IFERROR(__xludf.DUMMYFUNCTION("""COMPUTED_VALUE"""),"Array;Sorting;Heap (Priority Queue);")</f>
        <v>Array;Sorting;Heap (Priority Queue);</v>
      </c>
      <c r="M760" s="35" t="b">
        <f>IFERROR(__xludf.DUMMYFUNCTION("""COMPUTED_VALUE"""),FALSE)</f>
        <v>0</v>
      </c>
      <c r="N760" s="35" t="b">
        <f>IFERROR(__xludf.DUMMYFUNCTION("""COMPUTED_VALUE"""),FALSE)</f>
        <v>0</v>
      </c>
      <c r="O760" s="35">
        <f>IFERROR(__xludf.DUMMYFUNCTION("""COMPUTED_VALUE"""),70.8676518791801)</f>
        <v>70.86765188</v>
      </c>
      <c r="P760" s="35">
        <f>IFERROR(__xludf.DUMMYFUNCTION("""COMPUTED_VALUE"""),101615.0)</f>
        <v>101615</v>
      </c>
      <c r="Q760" s="35">
        <f>IFERROR(__xludf.DUMMYFUNCTION("""COMPUTED_VALUE"""),143387.0)</f>
        <v>143387</v>
      </c>
    </row>
    <row r="761">
      <c r="A761" s="35">
        <f>IFERROR(__xludf.DUMMYFUNCTION("""COMPUTED_VALUE"""),762.0)</f>
        <v>762</v>
      </c>
      <c r="B761" s="35" t="str">
        <f>IFERROR(__xludf.DUMMYFUNCTION("""COMPUTED_VALUE"""),"Find Anagram Mappings")</f>
        <v>Find Anagram Mappings</v>
      </c>
      <c r="C761" s="35" t="str">
        <f>IFERROR(__xludf.DUMMYFUNCTION("""COMPUTED_VALUE"""),"find-anagram-mappings")</f>
        <v>find-anagram-mappings</v>
      </c>
      <c r="D761" s="35" t="b">
        <f>IFERROR(__xludf.DUMMYFUNCTION("""COMPUTED_VALUE"""),TRUE)</f>
        <v>1</v>
      </c>
      <c r="E761" s="35" t="str">
        <f>IFERROR(__xludf.DUMMYFUNCTION("""COMPUTED_VALUE"""),"Easy")</f>
        <v>Easy</v>
      </c>
      <c r="F761" s="35">
        <f>IFERROR(__xludf.DUMMYFUNCTION("""COMPUTED_VALUE"""),478.0)</f>
        <v>478</v>
      </c>
      <c r="G761" s="35">
        <f>IFERROR(__xludf.DUMMYFUNCTION("""COMPUTED_VALUE"""),193.0)</f>
        <v>193</v>
      </c>
      <c r="H761" s="35" t="str">
        <f>IFERROR(__xludf.DUMMYFUNCTION("""COMPUTED_VALUE"""),"Algorithms")</f>
        <v>Algorithms</v>
      </c>
      <c r="I761" s="35">
        <f>IFERROR(__xludf.DUMMYFUNCTION("""COMPUTED_VALUE"""),0.826)</f>
        <v>0.826</v>
      </c>
      <c r="J761" s="35">
        <f>IFERROR(__xludf.DUMMYFUNCTION("""COMPUTED_VALUE"""),760.0)</f>
        <v>760</v>
      </c>
      <c r="K761" s="35" t="b">
        <f>IFERROR(__xludf.DUMMYFUNCTION("""COMPUTED_VALUE"""),TRUE)</f>
        <v>1</v>
      </c>
      <c r="L761" s="35" t="str">
        <f>IFERROR(__xludf.DUMMYFUNCTION("""COMPUTED_VALUE"""),"Array;Hash Table;")</f>
        <v>Array;Hash Table;</v>
      </c>
      <c r="M761" s="35" t="b">
        <f>IFERROR(__xludf.DUMMYFUNCTION("""COMPUTED_VALUE"""),TRUE)</f>
        <v>1</v>
      </c>
      <c r="N761" s="35" t="b">
        <f>IFERROR(__xludf.DUMMYFUNCTION("""COMPUTED_VALUE"""),FALSE)</f>
        <v>0</v>
      </c>
      <c r="O761" s="35">
        <f>IFERROR(__xludf.DUMMYFUNCTION("""COMPUTED_VALUE"""),82.6141104676505)</f>
        <v>82.61411047</v>
      </c>
      <c r="P761" s="35">
        <f>IFERROR(__xludf.DUMMYFUNCTION("""COMPUTED_VALUE"""),79602.0)</f>
        <v>79602</v>
      </c>
      <c r="Q761" s="35">
        <f>IFERROR(__xludf.DUMMYFUNCTION("""COMPUTED_VALUE"""),96354.0)</f>
        <v>96354</v>
      </c>
    </row>
    <row r="762">
      <c r="A762" s="35">
        <f>IFERROR(__xludf.DUMMYFUNCTION("""COMPUTED_VALUE"""),763.0)</f>
        <v>763</v>
      </c>
      <c r="B762" s="35" t="str">
        <f>IFERROR(__xludf.DUMMYFUNCTION("""COMPUTED_VALUE"""),"Special Binary String")</f>
        <v>Special Binary String</v>
      </c>
      <c r="C762" s="35" t="str">
        <f>IFERROR(__xludf.DUMMYFUNCTION("""COMPUTED_VALUE"""),"special-binary-string")</f>
        <v>special-binary-string</v>
      </c>
      <c r="D762" s="35" t="b">
        <f>IFERROR(__xludf.DUMMYFUNCTION("""COMPUTED_VALUE"""),FALSE)</f>
        <v>0</v>
      </c>
      <c r="E762" s="35" t="str">
        <f>IFERROR(__xludf.DUMMYFUNCTION("""COMPUTED_VALUE"""),"Hard")</f>
        <v>Hard</v>
      </c>
      <c r="F762" s="35">
        <f>IFERROR(__xludf.DUMMYFUNCTION("""COMPUTED_VALUE"""),519.0)</f>
        <v>519</v>
      </c>
      <c r="G762" s="35">
        <f>IFERROR(__xludf.DUMMYFUNCTION("""COMPUTED_VALUE"""),167.0)</f>
        <v>167</v>
      </c>
      <c r="H762" s="35" t="str">
        <f>IFERROR(__xludf.DUMMYFUNCTION("""COMPUTED_VALUE"""),"Algorithms")</f>
        <v>Algorithms</v>
      </c>
      <c r="I762" s="35">
        <f>IFERROR(__xludf.DUMMYFUNCTION("""COMPUTED_VALUE"""),0.598)</f>
        <v>0.598</v>
      </c>
      <c r="J762" s="35">
        <f>IFERROR(__xludf.DUMMYFUNCTION("""COMPUTED_VALUE"""),761.0)</f>
        <v>761</v>
      </c>
      <c r="K762" s="35" t="b">
        <f>IFERROR(__xludf.DUMMYFUNCTION("""COMPUTED_VALUE"""),FALSE)</f>
        <v>0</v>
      </c>
      <c r="L762" s="35" t="str">
        <f>IFERROR(__xludf.DUMMYFUNCTION("""COMPUTED_VALUE"""),"String;Recursion;")</f>
        <v>String;Recursion;</v>
      </c>
      <c r="M762" s="35" t="b">
        <f>IFERROR(__xludf.DUMMYFUNCTION("""COMPUTED_VALUE"""),TRUE)</f>
        <v>1</v>
      </c>
      <c r="N762" s="35" t="b">
        <f>IFERROR(__xludf.DUMMYFUNCTION("""COMPUTED_VALUE"""),FALSE)</f>
        <v>0</v>
      </c>
      <c r="O762" s="35">
        <f>IFERROR(__xludf.DUMMYFUNCTION("""COMPUTED_VALUE"""),59.7836999178607)</f>
        <v>59.78369992</v>
      </c>
      <c r="P762" s="35">
        <f>IFERROR(__xludf.DUMMYFUNCTION("""COMPUTED_VALUE"""),13101.0)</f>
        <v>13101</v>
      </c>
      <c r="Q762" s="35">
        <f>IFERROR(__xludf.DUMMYFUNCTION("""COMPUTED_VALUE"""),21914.0)</f>
        <v>21914</v>
      </c>
    </row>
    <row r="763">
      <c r="A763" s="35">
        <f>IFERROR(__xludf.DUMMYFUNCTION("""COMPUTED_VALUE"""),767.0)</f>
        <v>767</v>
      </c>
      <c r="B763" s="35" t="str">
        <f>IFERROR(__xludf.DUMMYFUNCTION("""COMPUTED_VALUE"""),"Prime Number of Set Bits in Binary Representation")</f>
        <v>Prime Number of Set Bits in Binary Representation</v>
      </c>
      <c r="C763" s="35" t="str">
        <f>IFERROR(__xludf.DUMMYFUNCTION("""COMPUTED_VALUE"""),"prime-number-of-set-bits-in-binary-representation")</f>
        <v>prime-number-of-set-bits-in-binary-representation</v>
      </c>
      <c r="D763" s="35" t="b">
        <f>IFERROR(__xludf.DUMMYFUNCTION("""COMPUTED_VALUE"""),FALSE)</f>
        <v>0</v>
      </c>
      <c r="E763" s="35" t="str">
        <f>IFERROR(__xludf.DUMMYFUNCTION("""COMPUTED_VALUE"""),"Easy")</f>
        <v>Easy</v>
      </c>
      <c r="F763" s="35">
        <f>IFERROR(__xludf.DUMMYFUNCTION("""COMPUTED_VALUE"""),444.0)</f>
        <v>444</v>
      </c>
      <c r="G763" s="35">
        <f>IFERROR(__xludf.DUMMYFUNCTION("""COMPUTED_VALUE"""),450.0)</f>
        <v>450</v>
      </c>
      <c r="H763" s="35" t="str">
        <f>IFERROR(__xludf.DUMMYFUNCTION("""COMPUTED_VALUE"""),"Algorithms")</f>
        <v>Algorithms</v>
      </c>
      <c r="I763" s="35">
        <f>IFERROR(__xludf.DUMMYFUNCTION("""COMPUTED_VALUE"""),0.665)</f>
        <v>0.665</v>
      </c>
      <c r="J763" s="35">
        <f>IFERROR(__xludf.DUMMYFUNCTION("""COMPUTED_VALUE"""),762.0)</f>
        <v>762</v>
      </c>
      <c r="K763" s="35" t="b">
        <f>IFERROR(__xludf.DUMMYFUNCTION("""COMPUTED_VALUE"""),FALSE)</f>
        <v>0</v>
      </c>
      <c r="L763" s="35" t="str">
        <f>IFERROR(__xludf.DUMMYFUNCTION("""COMPUTED_VALUE"""),"Math;Bit Manipulation;")</f>
        <v>Math;Bit Manipulation;</v>
      </c>
      <c r="M763" s="35" t="b">
        <f>IFERROR(__xludf.DUMMYFUNCTION("""COMPUTED_VALUE"""),FALSE)</f>
        <v>0</v>
      </c>
      <c r="N763" s="35" t="b">
        <f>IFERROR(__xludf.DUMMYFUNCTION("""COMPUTED_VALUE"""),FALSE)</f>
        <v>0</v>
      </c>
      <c r="O763" s="35">
        <f>IFERROR(__xludf.DUMMYFUNCTION("""COMPUTED_VALUE"""),66.4756361316815)</f>
        <v>66.47563613</v>
      </c>
      <c r="P763" s="35">
        <f>IFERROR(__xludf.DUMMYFUNCTION("""COMPUTED_VALUE"""),66695.0)</f>
        <v>66695</v>
      </c>
      <c r="Q763" s="35">
        <f>IFERROR(__xludf.DUMMYFUNCTION("""COMPUTED_VALUE"""),100331.0)</f>
        <v>100331</v>
      </c>
    </row>
    <row r="764">
      <c r="A764" s="35">
        <f>IFERROR(__xludf.DUMMYFUNCTION("""COMPUTED_VALUE"""),768.0)</f>
        <v>768</v>
      </c>
      <c r="B764" s="35" t="str">
        <f>IFERROR(__xludf.DUMMYFUNCTION("""COMPUTED_VALUE"""),"Partition Labels")</f>
        <v>Partition Labels</v>
      </c>
      <c r="C764" s="35" t="str">
        <f>IFERROR(__xludf.DUMMYFUNCTION("""COMPUTED_VALUE"""),"partition-labels")</f>
        <v>partition-labels</v>
      </c>
      <c r="D764" s="35" t="b">
        <f>IFERROR(__xludf.DUMMYFUNCTION("""COMPUTED_VALUE"""),FALSE)</f>
        <v>0</v>
      </c>
      <c r="E764" s="35" t="str">
        <f>IFERROR(__xludf.DUMMYFUNCTION("""COMPUTED_VALUE"""),"Medium")</f>
        <v>Medium</v>
      </c>
      <c r="F764" s="35">
        <f>IFERROR(__xludf.DUMMYFUNCTION("""COMPUTED_VALUE"""),6483.0)</f>
        <v>6483</v>
      </c>
      <c r="G764" s="35">
        <f>IFERROR(__xludf.DUMMYFUNCTION("""COMPUTED_VALUE"""),254.0)</f>
        <v>254</v>
      </c>
      <c r="H764" s="35" t="str">
        <f>IFERROR(__xludf.DUMMYFUNCTION("""COMPUTED_VALUE"""),"Algorithms")</f>
        <v>Algorithms</v>
      </c>
      <c r="I764" s="35">
        <f>IFERROR(__xludf.DUMMYFUNCTION("""COMPUTED_VALUE"""),0.787)</f>
        <v>0.787</v>
      </c>
      <c r="J764" s="35">
        <f>IFERROR(__xludf.DUMMYFUNCTION("""COMPUTED_VALUE"""),763.0)</f>
        <v>763</v>
      </c>
      <c r="K764" s="35" t="b">
        <f>IFERROR(__xludf.DUMMYFUNCTION("""COMPUTED_VALUE"""),FALSE)</f>
        <v>0</v>
      </c>
      <c r="L764" s="35" t="str">
        <f>IFERROR(__xludf.DUMMYFUNCTION("""COMPUTED_VALUE"""),"Hash Table;Two Pointers;String;Greedy;")</f>
        <v>Hash Table;Two Pointers;String;Greedy;</v>
      </c>
      <c r="M764" s="35" t="b">
        <f>IFERROR(__xludf.DUMMYFUNCTION("""COMPUTED_VALUE"""),TRUE)</f>
        <v>1</v>
      </c>
      <c r="N764" s="35" t="b">
        <f>IFERROR(__xludf.DUMMYFUNCTION("""COMPUTED_VALUE"""),FALSE)</f>
        <v>0</v>
      </c>
      <c r="O764" s="35">
        <f>IFERROR(__xludf.DUMMYFUNCTION("""COMPUTED_VALUE"""),78.6994297485129)</f>
        <v>78.69942975</v>
      </c>
      <c r="P764" s="35">
        <f>IFERROR(__xludf.DUMMYFUNCTION("""COMPUTED_VALUE"""),333145.0)</f>
        <v>333145</v>
      </c>
      <c r="Q764" s="35">
        <f>IFERROR(__xludf.DUMMYFUNCTION("""COMPUTED_VALUE"""),423314.0)</f>
        <v>423314</v>
      </c>
    </row>
    <row r="765">
      <c r="A765" s="35">
        <f>IFERROR(__xludf.DUMMYFUNCTION("""COMPUTED_VALUE"""),769.0)</f>
        <v>769</v>
      </c>
      <c r="B765" s="35" t="str">
        <f>IFERROR(__xludf.DUMMYFUNCTION("""COMPUTED_VALUE"""),"Largest Plus Sign")</f>
        <v>Largest Plus Sign</v>
      </c>
      <c r="C765" s="35" t="str">
        <f>IFERROR(__xludf.DUMMYFUNCTION("""COMPUTED_VALUE"""),"largest-plus-sign")</f>
        <v>largest-plus-sign</v>
      </c>
      <c r="D765" s="35" t="b">
        <f>IFERROR(__xludf.DUMMYFUNCTION("""COMPUTED_VALUE"""),FALSE)</f>
        <v>0</v>
      </c>
      <c r="E765" s="35" t="str">
        <f>IFERROR(__xludf.DUMMYFUNCTION("""COMPUTED_VALUE"""),"Medium")</f>
        <v>Medium</v>
      </c>
      <c r="F765" s="35">
        <f>IFERROR(__xludf.DUMMYFUNCTION("""COMPUTED_VALUE"""),1078.0)</f>
        <v>1078</v>
      </c>
      <c r="G765" s="35">
        <f>IFERROR(__xludf.DUMMYFUNCTION("""COMPUTED_VALUE"""),187.0)</f>
        <v>187</v>
      </c>
      <c r="H765" s="35" t="str">
        <f>IFERROR(__xludf.DUMMYFUNCTION("""COMPUTED_VALUE"""),"Algorithms")</f>
        <v>Algorithms</v>
      </c>
      <c r="I765" s="35">
        <f>IFERROR(__xludf.DUMMYFUNCTION("""COMPUTED_VALUE"""),0.486)</f>
        <v>0.486</v>
      </c>
      <c r="J765" s="35">
        <f>IFERROR(__xludf.DUMMYFUNCTION("""COMPUTED_VALUE"""),764.0)</f>
        <v>764</v>
      </c>
      <c r="K765" s="35" t="b">
        <f>IFERROR(__xludf.DUMMYFUNCTION("""COMPUTED_VALUE"""),FALSE)</f>
        <v>0</v>
      </c>
      <c r="L765" s="35" t="str">
        <f>IFERROR(__xludf.DUMMYFUNCTION("""COMPUTED_VALUE"""),"Array;Dynamic Programming;")</f>
        <v>Array;Dynamic Programming;</v>
      </c>
      <c r="M765" s="35" t="b">
        <f>IFERROR(__xludf.DUMMYFUNCTION("""COMPUTED_VALUE"""),TRUE)</f>
        <v>1</v>
      </c>
      <c r="N765" s="35" t="b">
        <f>IFERROR(__xludf.DUMMYFUNCTION("""COMPUTED_VALUE"""),FALSE)</f>
        <v>0</v>
      </c>
      <c r="O765" s="35">
        <f>IFERROR(__xludf.DUMMYFUNCTION("""COMPUTED_VALUE"""),48.5590322086672)</f>
        <v>48.55903221</v>
      </c>
      <c r="P765" s="35">
        <f>IFERROR(__xludf.DUMMYFUNCTION("""COMPUTED_VALUE"""),47566.0)</f>
        <v>47566</v>
      </c>
      <c r="Q765" s="35">
        <f>IFERROR(__xludf.DUMMYFUNCTION("""COMPUTED_VALUE"""),97955.0)</f>
        <v>97955</v>
      </c>
    </row>
    <row r="766">
      <c r="A766" s="35">
        <f>IFERROR(__xludf.DUMMYFUNCTION("""COMPUTED_VALUE"""),770.0)</f>
        <v>770</v>
      </c>
      <c r="B766" s="35" t="str">
        <f>IFERROR(__xludf.DUMMYFUNCTION("""COMPUTED_VALUE"""),"Couples Holding Hands")</f>
        <v>Couples Holding Hands</v>
      </c>
      <c r="C766" s="35" t="str">
        <f>IFERROR(__xludf.DUMMYFUNCTION("""COMPUTED_VALUE"""),"couples-holding-hands")</f>
        <v>couples-holding-hands</v>
      </c>
      <c r="D766" s="35" t="b">
        <f>IFERROR(__xludf.DUMMYFUNCTION("""COMPUTED_VALUE"""),FALSE)</f>
        <v>0</v>
      </c>
      <c r="E766" s="35" t="str">
        <f>IFERROR(__xludf.DUMMYFUNCTION("""COMPUTED_VALUE"""),"Hard")</f>
        <v>Hard</v>
      </c>
      <c r="F766" s="35">
        <f>IFERROR(__xludf.DUMMYFUNCTION("""COMPUTED_VALUE"""),1531.0)</f>
        <v>1531</v>
      </c>
      <c r="G766" s="35">
        <f>IFERROR(__xludf.DUMMYFUNCTION("""COMPUTED_VALUE"""),83.0)</f>
        <v>83</v>
      </c>
      <c r="H766" s="35" t="str">
        <f>IFERROR(__xludf.DUMMYFUNCTION("""COMPUTED_VALUE"""),"Algorithms")</f>
        <v>Algorithms</v>
      </c>
      <c r="I766" s="35">
        <f>IFERROR(__xludf.DUMMYFUNCTION("""COMPUTED_VALUE"""),0.563)</f>
        <v>0.563</v>
      </c>
      <c r="J766" s="35">
        <f>IFERROR(__xludf.DUMMYFUNCTION("""COMPUTED_VALUE"""),765.0)</f>
        <v>765</v>
      </c>
      <c r="K766" s="35" t="b">
        <f>IFERROR(__xludf.DUMMYFUNCTION("""COMPUTED_VALUE"""),FALSE)</f>
        <v>0</v>
      </c>
      <c r="L766" s="35" t="str">
        <f>IFERROR(__xludf.DUMMYFUNCTION("""COMPUTED_VALUE"""),"Greedy;Depth-First Search;Breadth-First Search;Union Find;Graph;")</f>
        <v>Greedy;Depth-First Search;Breadth-First Search;Union Find;Graph;</v>
      </c>
      <c r="M766" s="35" t="b">
        <f>IFERROR(__xludf.DUMMYFUNCTION("""COMPUTED_VALUE"""),TRUE)</f>
        <v>1</v>
      </c>
      <c r="N766" s="35" t="b">
        <f>IFERROR(__xludf.DUMMYFUNCTION("""COMPUTED_VALUE"""),FALSE)</f>
        <v>0</v>
      </c>
      <c r="O766" s="35">
        <f>IFERROR(__xludf.DUMMYFUNCTION("""COMPUTED_VALUE"""),56.342644619254)</f>
        <v>56.34264462</v>
      </c>
      <c r="P766" s="35">
        <f>IFERROR(__xludf.DUMMYFUNCTION("""COMPUTED_VALUE"""),42114.0)</f>
        <v>42114</v>
      </c>
      <c r="Q766" s="35">
        <f>IFERROR(__xludf.DUMMYFUNCTION("""COMPUTED_VALUE"""),74745.0)</f>
        <v>74745</v>
      </c>
    </row>
    <row r="767">
      <c r="A767" s="35">
        <f>IFERROR(__xludf.DUMMYFUNCTION("""COMPUTED_VALUE"""),777.0)</f>
        <v>777</v>
      </c>
      <c r="B767" s="35" t="str">
        <f>IFERROR(__xludf.DUMMYFUNCTION("""COMPUTED_VALUE"""),"Toeplitz Matrix")</f>
        <v>Toeplitz Matrix</v>
      </c>
      <c r="C767" s="35" t="str">
        <f>IFERROR(__xludf.DUMMYFUNCTION("""COMPUTED_VALUE"""),"toeplitz-matrix")</f>
        <v>toeplitz-matrix</v>
      </c>
      <c r="D767" s="35" t="b">
        <f>IFERROR(__xludf.DUMMYFUNCTION("""COMPUTED_VALUE"""),FALSE)</f>
        <v>0</v>
      </c>
      <c r="E767" s="35" t="str">
        <f>IFERROR(__xludf.DUMMYFUNCTION("""COMPUTED_VALUE"""),"Easy")</f>
        <v>Easy</v>
      </c>
      <c r="F767" s="35">
        <f>IFERROR(__xludf.DUMMYFUNCTION("""COMPUTED_VALUE"""),1860.0)</f>
        <v>1860</v>
      </c>
      <c r="G767" s="35">
        <f>IFERROR(__xludf.DUMMYFUNCTION("""COMPUTED_VALUE"""),117.0)</f>
        <v>117</v>
      </c>
      <c r="H767" s="35" t="str">
        <f>IFERROR(__xludf.DUMMYFUNCTION("""COMPUTED_VALUE"""),"Algorithms")</f>
        <v>Algorithms</v>
      </c>
      <c r="I767" s="35">
        <f>IFERROR(__xludf.DUMMYFUNCTION("""COMPUTED_VALUE"""),0.677)</f>
        <v>0.677</v>
      </c>
      <c r="J767" s="35">
        <f>IFERROR(__xludf.DUMMYFUNCTION("""COMPUTED_VALUE"""),766.0)</f>
        <v>766</v>
      </c>
      <c r="K767" s="35" t="b">
        <f>IFERROR(__xludf.DUMMYFUNCTION("""COMPUTED_VALUE"""),FALSE)</f>
        <v>0</v>
      </c>
      <c r="L767" s="35" t="str">
        <f>IFERROR(__xludf.DUMMYFUNCTION("""COMPUTED_VALUE"""),"Array;Matrix;")</f>
        <v>Array;Matrix;</v>
      </c>
      <c r="M767" s="35" t="b">
        <f>IFERROR(__xludf.DUMMYFUNCTION("""COMPUTED_VALUE"""),TRUE)</f>
        <v>1</v>
      </c>
      <c r="N767" s="35" t="b">
        <f>IFERROR(__xludf.DUMMYFUNCTION("""COMPUTED_VALUE"""),FALSE)</f>
        <v>0</v>
      </c>
      <c r="O767" s="35">
        <f>IFERROR(__xludf.DUMMYFUNCTION("""COMPUTED_VALUE"""),67.6914673037049)</f>
        <v>67.6914673</v>
      </c>
      <c r="P767" s="35">
        <f>IFERROR(__xludf.DUMMYFUNCTION("""COMPUTED_VALUE"""),175964.0)</f>
        <v>175964</v>
      </c>
      <c r="Q767" s="35">
        <f>IFERROR(__xludf.DUMMYFUNCTION("""COMPUTED_VALUE"""),259949.0)</f>
        <v>259949</v>
      </c>
    </row>
    <row r="768">
      <c r="A768" s="35">
        <f>IFERROR(__xludf.DUMMYFUNCTION("""COMPUTED_VALUE"""),778.0)</f>
        <v>778</v>
      </c>
      <c r="B768" s="35" t="str">
        <f>IFERROR(__xludf.DUMMYFUNCTION("""COMPUTED_VALUE"""),"Reorganize String")</f>
        <v>Reorganize String</v>
      </c>
      <c r="C768" s="35" t="str">
        <f>IFERROR(__xludf.DUMMYFUNCTION("""COMPUTED_VALUE"""),"reorganize-string")</f>
        <v>reorganize-string</v>
      </c>
      <c r="D768" s="35" t="b">
        <f>IFERROR(__xludf.DUMMYFUNCTION("""COMPUTED_VALUE"""),FALSE)</f>
        <v>0</v>
      </c>
      <c r="E768" s="35" t="str">
        <f>IFERROR(__xludf.DUMMYFUNCTION("""COMPUTED_VALUE"""),"Medium")</f>
        <v>Medium</v>
      </c>
      <c r="F768" s="35">
        <f>IFERROR(__xludf.DUMMYFUNCTION("""COMPUTED_VALUE"""),4365.0)</f>
        <v>4365</v>
      </c>
      <c r="G768" s="35">
        <f>IFERROR(__xludf.DUMMYFUNCTION("""COMPUTED_VALUE"""),170.0)</f>
        <v>170</v>
      </c>
      <c r="H768" s="35" t="str">
        <f>IFERROR(__xludf.DUMMYFUNCTION("""COMPUTED_VALUE"""),"Algorithms")</f>
        <v>Algorithms</v>
      </c>
      <c r="I768" s="35">
        <f>IFERROR(__xludf.DUMMYFUNCTION("""COMPUTED_VALUE"""),0.518)</f>
        <v>0.518</v>
      </c>
      <c r="J768" s="35">
        <f>IFERROR(__xludf.DUMMYFUNCTION("""COMPUTED_VALUE"""),767.0)</f>
        <v>767</v>
      </c>
      <c r="K768" s="35" t="b">
        <f>IFERROR(__xludf.DUMMYFUNCTION("""COMPUTED_VALUE"""),FALSE)</f>
        <v>0</v>
      </c>
      <c r="L768" s="35" t="str">
        <f>IFERROR(__xludf.DUMMYFUNCTION("""COMPUTED_VALUE"""),"Hash Table;String;Greedy;Sorting;Heap (Priority Queue);Counting;")</f>
        <v>Hash Table;String;Greedy;Sorting;Heap (Priority Queue);Counting;</v>
      </c>
      <c r="M768" s="35" t="b">
        <f>IFERROR(__xludf.DUMMYFUNCTION("""COMPUTED_VALUE"""),FALSE)</f>
        <v>0</v>
      </c>
      <c r="N768" s="35" t="b">
        <f>IFERROR(__xludf.DUMMYFUNCTION("""COMPUTED_VALUE"""),FALSE)</f>
        <v>0</v>
      </c>
      <c r="O768" s="35">
        <f>IFERROR(__xludf.DUMMYFUNCTION("""COMPUTED_VALUE"""),51.8266452313889)</f>
        <v>51.82664523</v>
      </c>
      <c r="P768" s="35">
        <f>IFERROR(__xludf.DUMMYFUNCTION("""COMPUTED_VALUE"""),198901.0)</f>
        <v>198901</v>
      </c>
      <c r="Q768" s="35">
        <f>IFERROR(__xludf.DUMMYFUNCTION("""COMPUTED_VALUE"""),383786.0)</f>
        <v>383786</v>
      </c>
    </row>
    <row r="769">
      <c r="A769" s="35">
        <f>IFERROR(__xludf.DUMMYFUNCTION("""COMPUTED_VALUE"""),779.0)</f>
        <v>779</v>
      </c>
      <c r="B769" s="35" t="str">
        <f>IFERROR(__xludf.DUMMYFUNCTION("""COMPUTED_VALUE"""),"Max Chunks To Make Sorted II")</f>
        <v>Max Chunks To Make Sorted II</v>
      </c>
      <c r="C769" s="35" t="str">
        <f>IFERROR(__xludf.DUMMYFUNCTION("""COMPUTED_VALUE"""),"max-chunks-to-make-sorted-ii")</f>
        <v>max-chunks-to-make-sorted-ii</v>
      </c>
      <c r="D769" s="35" t="b">
        <f>IFERROR(__xludf.DUMMYFUNCTION("""COMPUTED_VALUE"""),FALSE)</f>
        <v>0</v>
      </c>
      <c r="E769" s="35" t="str">
        <f>IFERROR(__xludf.DUMMYFUNCTION("""COMPUTED_VALUE"""),"Hard")</f>
        <v>Hard</v>
      </c>
      <c r="F769" s="35">
        <f>IFERROR(__xludf.DUMMYFUNCTION("""COMPUTED_VALUE"""),1075.0)</f>
        <v>1075</v>
      </c>
      <c r="G769" s="35">
        <f>IFERROR(__xludf.DUMMYFUNCTION("""COMPUTED_VALUE"""),31.0)</f>
        <v>31</v>
      </c>
      <c r="H769" s="35" t="str">
        <f>IFERROR(__xludf.DUMMYFUNCTION("""COMPUTED_VALUE"""),"Algorithms")</f>
        <v>Algorithms</v>
      </c>
      <c r="I769" s="35">
        <f>IFERROR(__xludf.DUMMYFUNCTION("""COMPUTED_VALUE"""),0.518)</f>
        <v>0.518</v>
      </c>
      <c r="J769" s="35">
        <f>IFERROR(__xludf.DUMMYFUNCTION("""COMPUTED_VALUE"""),768.0)</f>
        <v>768</v>
      </c>
      <c r="K769" s="35" t="b">
        <f>IFERROR(__xludf.DUMMYFUNCTION("""COMPUTED_VALUE"""),FALSE)</f>
        <v>0</v>
      </c>
      <c r="L769" s="35" t="str">
        <f>IFERROR(__xludf.DUMMYFUNCTION("""COMPUTED_VALUE"""),"Array;Stack;Greedy;Sorting;Monotonic Stack;")</f>
        <v>Array;Stack;Greedy;Sorting;Monotonic Stack;</v>
      </c>
      <c r="M769" s="35" t="b">
        <f>IFERROR(__xludf.DUMMYFUNCTION("""COMPUTED_VALUE"""),FALSE)</f>
        <v>0</v>
      </c>
      <c r="N769" s="35" t="b">
        <f>IFERROR(__xludf.DUMMYFUNCTION("""COMPUTED_VALUE"""),FALSE)</f>
        <v>0</v>
      </c>
      <c r="O769" s="35">
        <f>IFERROR(__xludf.DUMMYFUNCTION("""COMPUTED_VALUE"""),51.8263596380499)</f>
        <v>51.82635964</v>
      </c>
      <c r="P769" s="35">
        <f>IFERROR(__xludf.DUMMYFUNCTION("""COMPUTED_VALUE"""),39000.0)</f>
        <v>39000</v>
      </c>
      <c r="Q769" s="35">
        <f>IFERROR(__xludf.DUMMYFUNCTION("""COMPUTED_VALUE"""),75255.0)</f>
        <v>75255</v>
      </c>
    </row>
    <row r="770">
      <c r="A770" s="35">
        <f>IFERROR(__xludf.DUMMYFUNCTION("""COMPUTED_VALUE"""),780.0)</f>
        <v>780</v>
      </c>
      <c r="B770" s="35" t="str">
        <f>IFERROR(__xludf.DUMMYFUNCTION("""COMPUTED_VALUE"""),"Max Chunks To Make Sorted")</f>
        <v>Max Chunks To Make Sorted</v>
      </c>
      <c r="C770" s="35" t="str">
        <f>IFERROR(__xludf.DUMMYFUNCTION("""COMPUTED_VALUE"""),"max-chunks-to-make-sorted")</f>
        <v>max-chunks-to-make-sorted</v>
      </c>
      <c r="D770" s="35" t="b">
        <f>IFERROR(__xludf.DUMMYFUNCTION("""COMPUTED_VALUE"""),FALSE)</f>
        <v>0</v>
      </c>
      <c r="E770" s="35" t="str">
        <f>IFERROR(__xludf.DUMMYFUNCTION("""COMPUTED_VALUE"""),"Medium")</f>
        <v>Medium</v>
      </c>
      <c r="F770" s="35">
        <f>IFERROR(__xludf.DUMMYFUNCTION("""COMPUTED_VALUE"""),1739.0)</f>
        <v>1739</v>
      </c>
      <c r="G770" s="35">
        <f>IFERROR(__xludf.DUMMYFUNCTION("""COMPUTED_VALUE"""),178.0)</f>
        <v>178</v>
      </c>
      <c r="H770" s="35" t="str">
        <f>IFERROR(__xludf.DUMMYFUNCTION("""COMPUTED_VALUE"""),"Algorithms")</f>
        <v>Algorithms</v>
      </c>
      <c r="I770" s="35">
        <f>IFERROR(__xludf.DUMMYFUNCTION("""COMPUTED_VALUE"""),0.575)</f>
        <v>0.575</v>
      </c>
      <c r="J770" s="35">
        <f>IFERROR(__xludf.DUMMYFUNCTION("""COMPUTED_VALUE"""),769.0)</f>
        <v>769</v>
      </c>
      <c r="K770" s="35" t="b">
        <f>IFERROR(__xludf.DUMMYFUNCTION("""COMPUTED_VALUE"""),FALSE)</f>
        <v>0</v>
      </c>
      <c r="L770" s="35" t="str">
        <f>IFERROR(__xludf.DUMMYFUNCTION("""COMPUTED_VALUE"""),"Array;Stack;Greedy;Sorting;Monotonic Stack;")</f>
        <v>Array;Stack;Greedy;Sorting;Monotonic Stack;</v>
      </c>
      <c r="M770" s="35" t="b">
        <f>IFERROR(__xludf.DUMMYFUNCTION("""COMPUTED_VALUE"""),FALSE)</f>
        <v>0</v>
      </c>
      <c r="N770" s="35" t="b">
        <f>IFERROR(__xludf.DUMMYFUNCTION("""COMPUTED_VALUE"""),FALSE)</f>
        <v>0</v>
      </c>
      <c r="O770" s="35">
        <f>IFERROR(__xludf.DUMMYFUNCTION("""COMPUTED_VALUE"""),57.5333226543464)</f>
        <v>57.53332265</v>
      </c>
      <c r="P770" s="35">
        <f>IFERROR(__xludf.DUMMYFUNCTION("""COMPUTED_VALUE"""),68242.0)</f>
        <v>68242</v>
      </c>
      <c r="Q770" s="35">
        <f>IFERROR(__xludf.DUMMYFUNCTION("""COMPUTED_VALUE"""),118613.0)</f>
        <v>118613</v>
      </c>
    </row>
    <row r="771">
      <c r="A771" s="35">
        <f>IFERROR(__xludf.DUMMYFUNCTION("""COMPUTED_VALUE"""),781.0)</f>
        <v>781</v>
      </c>
      <c r="B771" s="35" t="str">
        <f>IFERROR(__xludf.DUMMYFUNCTION("""COMPUTED_VALUE"""),"Basic Calculator IV")</f>
        <v>Basic Calculator IV</v>
      </c>
      <c r="C771" s="35" t="str">
        <f>IFERROR(__xludf.DUMMYFUNCTION("""COMPUTED_VALUE"""),"basic-calculator-iv")</f>
        <v>basic-calculator-iv</v>
      </c>
      <c r="D771" s="35" t="b">
        <f>IFERROR(__xludf.DUMMYFUNCTION("""COMPUTED_VALUE"""),FALSE)</f>
        <v>0</v>
      </c>
      <c r="E771" s="35" t="str">
        <f>IFERROR(__xludf.DUMMYFUNCTION("""COMPUTED_VALUE"""),"Hard")</f>
        <v>Hard</v>
      </c>
      <c r="F771" s="35">
        <f>IFERROR(__xludf.DUMMYFUNCTION("""COMPUTED_VALUE"""),111.0)</f>
        <v>111</v>
      </c>
      <c r="G771" s="35">
        <f>IFERROR(__xludf.DUMMYFUNCTION("""COMPUTED_VALUE"""),1155.0)</f>
        <v>1155</v>
      </c>
      <c r="H771" s="35" t="str">
        <f>IFERROR(__xludf.DUMMYFUNCTION("""COMPUTED_VALUE"""),"Algorithms")</f>
        <v>Algorithms</v>
      </c>
      <c r="I771" s="35">
        <f>IFERROR(__xludf.DUMMYFUNCTION("""COMPUTED_VALUE"""),0.555)</f>
        <v>0.555</v>
      </c>
      <c r="J771" s="35">
        <f>IFERROR(__xludf.DUMMYFUNCTION("""COMPUTED_VALUE"""),770.0)</f>
        <v>770</v>
      </c>
      <c r="K771" s="35" t="b">
        <f>IFERROR(__xludf.DUMMYFUNCTION("""COMPUTED_VALUE"""),FALSE)</f>
        <v>0</v>
      </c>
      <c r="L771" s="35" t="str">
        <f>IFERROR(__xludf.DUMMYFUNCTION("""COMPUTED_VALUE"""),"Hash Table;Math;String;Stack;Recursion;")</f>
        <v>Hash Table;Math;String;Stack;Recursion;</v>
      </c>
      <c r="M771" s="35" t="b">
        <f>IFERROR(__xludf.DUMMYFUNCTION("""COMPUTED_VALUE"""),FALSE)</f>
        <v>0</v>
      </c>
      <c r="N771" s="35" t="b">
        <f>IFERROR(__xludf.DUMMYFUNCTION("""COMPUTED_VALUE"""),FALSE)</f>
        <v>0</v>
      </c>
      <c r="O771" s="35">
        <f>IFERROR(__xludf.DUMMYFUNCTION("""COMPUTED_VALUE"""),55.5368774952721)</f>
        <v>55.5368775</v>
      </c>
      <c r="P771" s="35">
        <f>IFERROR(__xludf.DUMMYFUNCTION("""COMPUTED_VALUE"""),7929.0)</f>
        <v>7929</v>
      </c>
      <c r="Q771" s="35">
        <f>IFERROR(__xludf.DUMMYFUNCTION("""COMPUTED_VALUE"""),14277.0)</f>
        <v>14277</v>
      </c>
    </row>
    <row r="772">
      <c r="A772" s="35">
        <f>IFERROR(__xludf.DUMMYFUNCTION("""COMPUTED_VALUE"""),782.0)</f>
        <v>782</v>
      </c>
      <c r="B772" s="35" t="str">
        <f>IFERROR(__xludf.DUMMYFUNCTION("""COMPUTED_VALUE"""),"Jewels and Stones")</f>
        <v>Jewels and Stones</v>
      </c>
      <c r="C772" s="35" t="str">
        <f>IFERROR(__xludf.DUMMYFUNCTION("""COMPUTED_VALUE"""),"jewels-and-stones")</f>
        <v>jewels-and-stones</v>
      </c>
      <c r="D772" s="35" t="b">
        <f>IFERROR(__xludf.DUMMYFUNCTION("""COMPUTED_VALUE"""),FALSE)</f>
        <v>0</v>
      </c>
      <c r="E772" s="35" t="str">
        <f>IFERROR(__xludf.DUMMYFUNCTION("""COMPUTED_VALUE"""),"Easy")</f>
        <v>Easy</v>
      </c>
      <c r="F772" s="35">
        <f>IFERROR(__xludf.DUMMYFUNCTION("""COMPUTED_VALUE"""),3377.0)</f>
        <v>3377</v>
      </c>
      <c r="G772" s="35">
        <f>IFERROR(__xludf.DUMMYFUNCTION("""COMPUTED_VALUE"""),482.0)</f>
        <v>482</v>
      </c>
      <c r="H772" s="35" t="str">
        <f>IFERROR(__xludf.DUMMYFUNCTION("""COMPUTED_VALUE"""),"Algorithms")</f>
        <v>Algorithms</v>
      </c>
      <c r="I772" s="35">
        <f>IFERROR(__xludf.DUMMYFUNCTION("""COMPUTED_VALUE"""),0.876)</f>
        <v>0.876</v>
      </c>
      <c r="J772" s="35">
        <f>IFERROR(__xludf.DUMMYFUNCTION("""COMPUTED_VALUE"""),771.0)</f>
        <v>771</v>
      </c>
      <c r="K772" s="35" t="b">
        <f>IFERROR(__xludf.DUMMYFUNCTION("""COMPUTED_VALUE"""),FALSE)</f>
        <v>0</v>
      </c>
      <c r="L772" s="35" t="str">
        <f>IFERROR(__xludf.DUMMYFUNCTION("""COMPUTED_VALUE"""),"Hash Table;String;")</f>
        <v>Hash Table;String;</v>
      </c>
      <c r="M772" s="35" t="b">
        <f>IFERROR(__xludf.DUMMYFUNCTION("""COMPUTED_VALUE"""),TRUE)</f>
        <v>1</v>
      </c>
      <c r="N772" s="35" t="b">
        <f>IFERROR(__xludf.DUMMYFUNCTION("""COMPUTED_VALUE"""),FALSE)</f>
        <v>0</v>
      </c>
      <c r="O772" s="35">
        <f>IFERROR(__xludf.DUMMYFUNCTION("""COMPUTED_VALUE"""),87.633939066175)</f>
        <v>87.63393907</v>
      </c>
      <c r="P772" s="35">
        <f>IFERROR(__xludf.DUMMYFUNCTION("""COMPUTED_VALUE"""),719457.0)</f>
        <v>719457</v>
      </c>
      <c r="Q772" s="35">
        <f>IFERROR(__xludf.DUMMYFUNCTION("""COMPUTED_VALUE"""),820980.0)</f>
        <v>820980</v>
      </c>
    </row>
    <row r="773">
      <c r="A773" s="35">
        <f>IFERROR(__xludf.DUMMYFUNCTION("""COMPUTED_VALUE"""),785.0)</f>
        <v>785</v>
      </c>
      <c r="B773" s="35" t="str">
        <f>IFERROR(__xludf.DUMMYFUNCTION("""COMPUTED_VALUE"""),"Basic Calculator III")</f>
        <v>Basic Calculator III</v>
      </c>
      <c r="C773" s="35" t="str">
        <f>IFERROR(__xludf.DUMMYFUNCTION("""COMPUTED_VALUE"""),"basic-calculator-iii")</f>
        <v>basic-calculator-iii</v>
      </c>
      <c r="D773" s="35" t="b">
        <f>IFERROR(__xludf.DUMMYFUNCTION("""COMPUTED_VALUE"""),TRUE)</f>
        <v>1</v>
      </c>
      <c r="E773" s="35" t="str">
        <f>IFERROR(__xludf.DUMMYFUNCTION("""COMPUTED_VALUE"""),"Hard")</f>
        <v>Hard</v>
      </c>
      <c r="F773" s="35">
        <f>IFERROR(__xludf.DUMMYFUNCTION("""COMPUTED_VALUE"""),810.0)</f>
        <v>810</v>
      </c>
      <c r="G773" s="35">
        <f>IFERROR(__xludf.DUMMYFUNCTION("""COMPUTED_VALUE"""),242.0)</f>
        <v>242</v>
      </c>
      <c r="H773" s="35" t="str">
        <f>IFERROR(__xludf.DUMMYFUNCTION("""COMPUTED_VALUE"""),"Algorithms")</f>
        <v>Algorithms</v>
      </c>
      <c r="I773" s="35">
        <f>IFERROR(__xludf.DUMMYFUNCTION("""COMPUTED_VALUE"""),0.472)</f>
        <v>0.472</v>
      </c>
      <c r="J773" s="35">
        <f>IFERROR(__xludf.DUMMYFUNCTION("""COMPUTED_VALUE"""),772.0)</f>
        <v>772</v>
      </c>
      <c r="K773" s="35" t="b">
        <f>IFERROR(__xludf.DUMMYFUNCTION("""COMPUTED_VALUE"""),TRUE)</f>
        <v>1</v>
      </c>
      <c r="L773" s="35" t="str">
        <f>IFERROR(__xludf.DUMMYFUNCTION("""COMPUTED_VALUE"""),"Math;String;Stack;Recursion;")</f>
        <v>Math;String;Stack;Recursion;</v>
      </c>
      <c r="M773" s="35" t="b">
        <f>IFERROR(__xludf.DUMMYFUNCTION("""COMPUTED_VALUE"""),FALSE)</f>
        <v>0</v>
      </c>
      <c r="N773" s="35" t="b">
        <f>IFERROR(__xludf.DUMMYFUNCTION("""COMPUTED_VALUE"""),FALSE)</f>
        <v>0</v>
      </c>
      <c r="O773" s="35">
        <f>IFERROR(__xludf.DUMMYFUNCTION("""COMPUTED_VALUE"""),47.1561653620643)</f>
        <v>47.15616536</v>
      </c>
      <c r="P773" s="35">
        <f>IFERROR(__xludf.DUMMYFUNCTION("""COMPUTED_VALUE"""),79218.0)</f>
        <v>79218</v>
      </c>
      <c r="Q773" s="35">
        <f>IFERROR(__xludf.DUMMYFUNCTION("""COMPUTED_VALUE"""),167993.0)</f>
        <v>167993</v>
      </c>
    </row>
    <row r="774">
      <c r="A774" s="35">
        <f>IFERROR(__xludf.DUMMYFUNCTION("""COMPUTED_VALUE"""),787.0)</f>
        <v>787</v>
      </c>
      <c r="B774" s="35" t="str">
        <f>IFERROR(__xludf.DUMMYFUNCTION("""COMPUTED_VALUE"""),"Sliding Puzzle")</f>
        <v>Sliding Puzzle</v>
      </c>
      <c r="C774" s="35" t="str">
        <f>IFERROR(__xludf.DUMMYFUNCTION("""COMPUTED_VALUE"""),"sliding-puzzle")</f>
        <v>sliding-puzzle</v>
      </c>
      <c r="D774" s="35" t="b">
        <f>IFERROR(__xludf.DUMMYFUNCTION("""COMPUTED_VALUE"""),FALSE)</f>
        <v>0</v>
      </c>
      <c r="E774" s="35" t="str">
        <f>IFERROR(__xludf.DUMMYFUNCTION("""COMPUTED_VALUE"""),"Hard")</f>
        <v>Hard</v>
      </c>
      <c r="F774" s="35">
        <f>IFERROR(__xludf.DUMMYFUNCTION("""COMPUTED_VALUE"""),1413.0)</f>
        <v>1413</v>
      </c>
      <c r="G774" s="35">
        <f>IFERROR(__xludf.DUMMYFUNCTION("""COMPUTED_VALUE"""),36.0)</f>
        <v>36</v>
      </c>
      <c r="H774" s="35" t="str">
        <f>IFERROR(__xludf.DUMMYFUNCTION("""COMPUTED_VALUE"""),"Algorithms")</f>
        <v>Algorithms</v>
      </c>
      <c r="I774" s="35">
        <f>IFERROR(__xludf.DUMMYFUNCTION("""COMPUTED_VALUE"""),0.63)</f>
        <v>0.63</v>
      </c>
      <c r="J774" s="35">
        <f>IFERROR(__xludf.DUMMYFUNCTION("""COMPUTED_VALUE"""),773.0)</f>
        <v>773</v>
      </c>
      <c r="K774" s="35" t="b">
        <f>IFERROR(__xludf.DUMMYFUNCTION("""COMPUTED_VALUE"""),FALSE)</f>
        <v>0</v>
      </c>
      <c r="L774" s="35" t="str">
        <f>IFERROR(__xludf.DUMMYFUNCTION("""COMPUTED_VALUE"""),"Array;Breadth-First Search;Matrix;")</f>
        <v>Array;Breadth-First Search;Matrix;</v>
      </c>
      <c r="M774" s="35" t="b">
        <f>IFERROR(__xludf.DUMMYFUNCTION("""COMPUTED_VALUE"""),FALSE)</f>
        <v>0</v>
      </c>
      <c r="N774" s="35" t="b">
        <f>IFERROR(__xludf.DUMMYFUNCTION("""COMPUTED_VALUE"""),FALSE)</f>
        <v>0</v>
      </c>
      <c r="O774" s="35">
        <f>IFERROR(__xludf.DUMMYFUNCTION("""COMPUTED_VALUE"""),62.9699815989673)</f>
        <v>62.9699816</v>
      </c>
      <c r="P774" s="35">
        <f>IFERROR(__xludf.DUMMYFUNCTION("""COMPUTED_VALUE"""),68782.0)</f>
        <v>68782</v>
      </c>
      <c r="Q774" s="35">
        <f>IFERROR(__xludf.DUMMYFUNCTION("""COMPUTED_VALUE"""),109228.0)</f>
        <v>109228</v>
      </c>
    </row>
    <row r="775">
      <c r="A775" s="35">
        <f>IFERROR(__xludf.DUMMYFUNCTION("""COMPUTED_VALUE"""),788.0)</f>
        <v>788</v>
      </c>
      <c r="B775" s="35" t="str">
        <f>IFERROR(__xludf.DUMMYFUNCTION("""COMPUTED_VALUE"""),"Minimize Max Distance to Gas Station")</f>
        <v>Minimize Max Distance to Gas Station</v>
      </c>
      <c r="C775" s="35" t="str">
        <f>IFERROR(__xludf.DUMMYFUNCTION("""COMPUTED_VALUE"""),"minimize-max-distance-to-gas-station")</f>
        <v>minimize-max-distance-to-gas-station</v>
      </c>
      <c r="D775" s="35" t="b">
        <f>IFERROR(__xludf.DUMMYFUNCTION("""COMPUTED_VALUE"""),TRUE)</f>
        <v>1</v>
      </c>
      <c r="E775" s="35" t="str">
        <f>IFERROR(__xludf.DUMMYFUNCTION("""COMPUTED_VALUE"""),"Hard")</f>
        <v>Hard</v>
      </c>
      <c r="F775" s="35">
        <f>IFERROR(__xludf.DUMMYFUNCTION("""COMPUTED_VALUE"""),572.0)</f>
        <v>572</v>
      </c>
      <c r="G775" s="35">
        <f>IFERROR(__xludf.DUMMYFUNCTION("""COMPUTED_VALUE"""),82.0)</f>
        <v>82</v>
      </c>
      <c r="H775" s="35" t="str">
        <f>IFERROR(__xludf.DUMMYFUNCTION("""COMPUTED_VALUE"""),"Algorithms")</f>
        <v>Algorithms</v>
      </c>
      <c r="I775" s="35">
        <f>IFERROR(__xludf.DUMMYFUNCTION("""COMPUTED_VALUE"""),0.502)</f>
        <v>0.502</v>
      </c>
      <c r="J775" s="35">
        <f>IFERROR(__xludf.DUMMYFUNCTION("""COMPUTED_VALUE"""),774.0)</f>
        <v>774</v>
      </c>
      <c r="K775" s="35" t="b">
        <f>IFERROR(__xludf.DUMMYFUNCTION("""COMPUTED_VALUE"""),TRUE)</f>
        <v>1</v>
      </c>
      <c r="L775" s="35" t="str">
        <f>IFERROR(__xludf.DUMMYFUNCTION("""COMPUTED_VALUE"""),"Array;Binary Search;")</f>
        <v>Array;Binary Search;</v>
      </c>
      <c r="M775" s="35" t="b">
        <f>IFERROR(__xludf.DUMMYFUNCTION("""COMPUTED_VALUE"""),TRUE)</f>
        <v>1</v>
      </c>
      <c r="N775" s="35" t="b">
        <f>IFERROR(__xludf.DUMMYFUNCTION("""COMPUTED_VALUE"""),FALSE)</f>
        <v>0</v>
      </c>
      <c r="O775" s="35">
        <f>IFERROR(__xludf.DUMMYFUNCTION("""COMPUTED_VALUE"""),50.2175525835622)</f>
        <v>50.21755258</v>
      </c>
      <c r="P775" s="35">
        <f>IFERROR(__xludf.DUMMYFUNCTION("""COMPUTED_VALUE"""),25045.0)</f>
        <v>25045</v>
      </c>
      <c r="Q775" s="35">
        <f>IFERROR(__xludf.DUMMYFUNCTION("""COMPUTED_VALUE"""),49873.0)</f>
        <v>49873</v>
      </c>
    </row>
    <row r="776">
      <c r="A776" s="35">
        <f>IFERROR(__xludf.DUMMYFUNCTION("""COMPUTED_VALUE"""),790.0)</f>
        <v>790</v>
      </c>
      <c r="B776" s="35" t="str">
        <f>IFERROR(__xludf.DUMMYFUNCTION("""COMPUTED_VALUE"""),"Global and Local Inversions")</f>
        <v>Global and Local Inversions</v>
      </c>
      <c r="C776" s="35" t="str">
        <f>IFERROR(__xludf.DUMMYFUNCTION("""COMPUTED_VALUE"""),"global-and-local-inversions")</f>
        <v>global-and-local-inversions</v>
      </c>
      <c r="D776" s="35" t="b">
        <f>IFERROR(__xludf.DUMMYFUNCTION("""COMPUTED_VALUE"""),FALSE)</f>
        <v>0</v>
      </c>
      <c r="E776" s="35" t="str">
        <f>IFERROR(__xludf.DUMMYFUNCTION("""COMPUTED_VALUE"""),"Medium")</f>
        <v>Medium</v>
      </c>
      <c r="F776" s="35">
        <f>IFERROR(__xludf.DUMMYFUNCTION("""COMPUTED_VALUE"""),1149.0)</f>
        <v>1149</v>
      </c>
      <c r="G776" s="35">
        <f>IFERROR(__xludf.DUMMYFUNCTION("""COMPUTED_VALUE"""),298.0)</f>
        <v>298</v>
      </c>
      <c r="H776" s="35" t="str">
        <f>IFERROR(__xludf.DUMMYFUNCTION("""COMPUTED_VALUE"""),"Algorithms")</f>
        <v>Algorithms</v>
      </c>
      <c r="I776" s="35">
        <f>IFERROR(__xludf.DUMMYFUNCTION("""COMPUTED_VALUE"""),0.454)</f>
        <v>0.454</v>
      </c>
      <c r="J776" s="35">
        <f>IFERROR(__xludf.DUMMYFUNCTION("""COMPUTED_VALUE"""),775.0)</f>
        <v>775</v>
      </c>
      <c r="K776" s="35" t="b">
        <f>IFERROR(__xludf.DUMMYFUNCTION("""COMPUTED_VALUE"""),FALSE)</f>
        <v>0</v>
      </c>
      <c r="L776" s="35" t="str">
        <f>IFERROR(__xludf.DUMMYFUNCTION("""COMPUTED_VALUE"""),"Array;Math;")</f>
        <v>Array;Math;</v>
      </c>
      <c r="M776" s="35" t="b">
        <f>IFERROR(__xludf.DUMMYFUNCTION("""COMPUTED_VALUE"""),TRUE)</f>
        <v>1</v>
      </c>
      <c r="N776" s="35" t="b">
        <f>IFERROR(__xludf.DUMMYFUNCTION("""COMPUTED_VALUE"""),FALSE)</f>
        <v>0</v>
      </c>
      <c r="O776" s="35">
        <f>IFERROR(__xludf.DUMMYFUNCTION("""COMPUTED_VALUE"""),45.3642168360698)</f>
        <v>45.36421684</v>
      </c>
      <c r="P776" s="35">
        <f>IFERROR(__xludf.DUMMYFUNCTION("""COMPUTED_VALUE"""),55700.0)</f>
        <v>55700</v>
      </c>
      <c r="Q776" s="35">
        <f>IFERROR(__xludf.DUMMYFUNCTION("""COMPUTED_VALUE"""),122784.0)</f>
        <v>122784</v>
      </c>
    </row>
    <row r="777">
      <c r="A777" s="35">
        <f>IFERROR(__xludf.DUMMYFUNCTION("""COMPUTED_VALUE"""),791.0)</f>
        <v>791</v>
      </c>
      <c r="B777" s="35" t="str">
        <f>IFERROR(__xludf.DUMMYFUNCTION("""COMPUTED_VALUE"""),"Split BST")</f>
        <v>Split BST</v>
      </c>
      <c r="C777" s="35" t="str">
        <f>IFERROR(__xludf.DUMMYFUNCTION("""COMPUTED_VALUE"""),"split-bst")</f>
        <v>split-bst</v>
      </c>
      <c r="D777" s="35" t="b">
        <f>IFERROR(__xludf.DUMMYFUNCTION("""COMPUTED_VALUE"""),TRUE)</f>
        <v>1</v>
      </c>
      <c r="E777" s="35" t="str">
        <f>IFERROR(__xludf.DUMMYFUNCTION("""COMPUTED_VALUE"""),"Medium")</f>
        <v>Medium</v>
      </c>
      <c r="F777" s="35">
        <f>IFERROR(__xludf.DUMMYFUNCTION("""COMPUTED_VALUE"""),875.0)</f>
        <v>875</v>
      </c>
      <c r="G777" s="35">
        <f>IFERROR(__xludf.DUMMYFUNCTION("""COMPUTED_VALUE"""),87.0)</f>
        <v>87</v>
      </c>
      <c r="H777" s="35" t="str">
        <f>IFERROR(__xludf.DUMMYFUNCTION("""COMPUTED_VALUE"""),"Algorithms")</f>
        <v>Algorithms</v>
      </c>
      <c r="I777" s="35">
        <f>IFERROR(__xludf.DUMMYFUNCTION("""COMPUTED_VALUE"""),0.582)</f>
        <v>0.582</v>
      </c>
      <c r="J777" s="35">
        <f>IFERROR(__xludf.DUMMYFUNCTION("""COMPUTED_VALUE"""),776.0)</f>
        <v>776</v>
      </c>
      <c r="K777" s="35" t="b">
        <f>IFERROR(__xludf.DUMMYFUNCTION("""COMPUTED_VALUE"""),TRUE)</f>
        <v>1</v>
      </c>
      <c r="L777" s="35" t="str">
        <f>IFERROR(__xludf.DUMMYFUNCTION("""COMPUTED_VALUE"""),"Tree;Binary Search Tree;Recursion;Binary Tree;")</f>
        <v>Tree;Binary Search Tree;Recursion;Binary Tree;</v>
      </c>
      <c r="M777" s="35" t="b">
        <f>IFERROR(__xludf.DUMMYFUNCTION("""COMPUTED_VALUE"""),TRUE)</f>
        <v>1</v>
      </c>
      <c r="N777" s="35" t="b">
        <f>IFERROR(__xludf.DUMMYFUNCTION("""COMPUTED_VALUE"""),FALSE)</f>
        <v>0</v>
      </c>
      <c r="O777" s="35">
        <f>IFERROR(__xludf.DUMMYFUNCTION("""COMPUTED_VALUE"""),58.1711420465791)</f>
        <v>58.17114205</v>
      </c>
      <c r="P777" s="35">
        <f>IFERROR(__xludf.DUMMYFUNCTION("""COMPUTED_VALUE"""),26451.0)</f>
        <v>26451</v>
      </c>
      <c r="Q777" s="35">
        <f>IFERROR(__xludf.DUMMYFUNCTION("""COMPUTED_VALUE"""),45471.0)</f>
        <v>45471</v>
      </c>
    </row>
    <row r="778">
      <c r="A778" s="35">
        <f>IFERROR(__xludf.DUMMYFUNCTION("""COMPUTED_VALUE"""),793.0)</f>
        <v>793</v>
      </c>
      <c r="B778" s="35" t="str">
        <f>IFERROR(__xludf.DUMMYFUNCTION("""COMPUTED_VALUE"""),"Swap Adjacent in LR String")</f>
        <v>Swap Adjacent in LR String</v>
      </c>
      <c r="C778" s="35" t="str">
        <f>IFERROR(__xludf.DUMMYFUNCTION("""COMPUTED_VALUE"""),"swap-adjacent-in-lr-string")</f>
        <v>swap-adjacent-in-lr-string</v>
      </c>
      <c r="D778" s="35" t="b">
        <f>IFERROR(__xludf.DUMMYFUNCTION("""COMPUTED_VALUE"""),FALSE)</f>
        <v>0</v>
      </c>
      <c r="E778" s="35" t="str">
        <f>IFERROR(__xludf.DUMMYFUNCTION("""COMPUTED_VALUE"""),"Medium")</f>
        <v>Medium</v>
      </c>
      <c r="F778" s="35">
        <f>IFERROR(__xludf.DUMMYFUNCTION("""COMPUTED_VALUE"""),746.0)</f>
        <v>746</v>
      </c>
      <c r="G778" s="35">
        <f>IFERROR(__xludf.DUMMYFUNCTION("""COMPUTED_VALUE"""),650.0)</f>
        <v>650</v>
      </c>
      <c r="H778" s="35" t="str">
        <f>IFERROR(__xludf.DUMMYFUNCTION("""COMPUTED_VALUE"""),"Algorithms")</f>
        <v>Algorithms</v>
      </c>
      <c r="I778" s="35">
        <f>IFERROR(__xludf.DUMMYFUNCTION("""COMPUTED_VALUE"""),0.362)</f>
        <v>0.362</v>
      </c>
      <c r="J778" s="35">
        <f>IFERROR(__xludf.DUMMYFUNCTION("""COMPUTED_VALUE"""),777.0)</f>
        <v>777</v>
      </c>
      <c r="K778" s="35" t="b">
        <f>IFERROR(__xludf.DUMMYFUNCTION("""COMPUTED_VALUE"""),FALSE)</f>
        <v>0</v>
      </c>
      <c r="L778" s="35" t="str">
        <f>IFERROR(__xludf.DUMMYFUNCTION("""COMPUTED_VALUE"""),"Two Pointers;String;")</f>
        <v>Two Pointers;String;</v>
      </c>
      <c r="M778" s="35" t="b">
        <f>IFERROR(__xludf.DUMMYFUNCTION("""COMPUTED_VALUE"""),FALSE)</f>
        <v>0</v>
      </c>
      <c r="N778" s="35" t="b">
        <f>IFERROR(__xludf.DUMMYFUNCTION("""COMPUTED_VALUE"""),FALSE)</f>
        <v>0</v>
      </c>
      <c r="O778" s="35">
        <f>IFERROR(__xludf.DUMMYFUNCTION("""COMPUTED_VALUE"""),36.2216115618366)</f>
        <v>36.22161156</v>
      </c>
      <c r="P778" s="35">
        <f>IFERROR(__xludf.DUMMYFUNCTION("""COMPUTED_VALUE"""),49825.0)</f>
        <v>49825</v>
      </c>
      <c r="Q778" s="35">
        <f>IFERROR(__xludf.DUMMYFUNCTION("""COMPUTED_VALUE"""),137555.0)</f>
        <v>137555</v>
      </c>
    </row>
    <row r="779">
      <c r="A779" s="35">
        <f>IFERROR(__xludf.DUMMYFUNCTION("""COMPUTED_VALUE"""),794.0)</f>
        <v>794</v>
      </c>
      <c r="B779" s="35" t="str">
        <f>IFERROR(__xludf.DUMMYFUNCTION("""COMPUTED_VALUE"""),"Swim in Rising Water")</f>
        <v>Swim in Rising Water</v>
      </c>
      <c r="C779" s="35" t="str">
        <f>IFERROR(__xludf.DUMMYFUNCTION("""COMPUTED_VALUE"""),"swim-in-rising-water")</f>
        <v>swim-in-rising-water</v>
      </c>
      <c r="D779" s="35" t="b">
        <f>IFERROR(__xludf.DUMMYFUNCTION("""COMPUTED_VALUE"""),FALSE)</f>
        <v>0</v>
      </c>
      <c r="E779" s="35" t="str">
        <f>IFERROR(__xludf.DUMMYFUNCTION("""COMPUTED_VALUE"""),"Hard")</f>
        <v>Hard</v>
      </c>
      <c r="F779" s="35">
        <f>IFERROR(__xludf.DUMMYFUNCTION("""COMPUTED_VALUE"""),1785.0)</f>
        <v>1785</v>
      </c>
      <c r="G779" s="35">
        <f>IFERROR(__xludf.DUMMYFUNCTION("""COMPUTED_VALUE"""),127.0)</f>
        <v>127</v>
      </c>
      <c r="H779" s="35" t="str">
        <f>IFERROR(__xludf.DUMMYFUNCTION("""COMPUTED_VALUE"""),"Algorithms")</f>
        <v>Algorithms</v>
      </c>
      <c r="I779" s="35">
        <f>IFERROR(__xludf.DUMMYFUNCTION("""COMPUTED_VALUE"""),0.584)</f>
        <v>0.584</v>
      </c>
      <c r="J779" s="35">
        <f>IFERROR(__xludf.DUMMYFUNCTION("""COMPUTED_VALUE"""),778.0)</f>
        <v>778</v>
      </c>
      <c r="K779" s="35" t="b">
        <f>IFERROR(__xludf.DUMMYFUNCTION("""COMPUTED_VALUE"""),FALSE)</f>
        <v>0</v>
      </c>
      <c r="L779" s="35" t="str">
        <f>IFERROR(__xludf.DUMMYFUNCTION("""COMPUTED_VALUE"""),"Array;Binary Search;Depth-First Search;Breadth-First Search;Union Find;Heap (Priority Queue);Matrix;")</f>
        <v>Array;Binary Search;Depth-First Search;Breadth-First Search;Union Find;Heap (Priority Queue);Matrix;</v>
      </c>
      <c r="M779" s="35" t="b">
        <f>IFERROR(__xludf.DUMMYFUNCTION("""COMPUTED_VALUE"""),TRUE)</f>
        <v>1</v>
      </c>
      <c r="N779" s="35" t="b">
        <f>IFERROR(__xludf.DUMMYFUNCTION("""COMPUTED_VALUE"""),FALSE)</f>
        <v>0</v>
      </c>
      <c r="O779" s="35">
        <f>IFERROR(__xludf.DUMMYFUNCTION("""COMPUTED_VALUE"""),58.4445888961114)</f>
        <v>58.4445889</v>
      </c>
      <c r="P779" s="35">
        <f>IFERROR(__xludf.DUMMYFUNCTION("""COMPUTED_VALUE"""),70127.0)</f>
        <v>70127</v>
      </c>
      <c r="Q779" s="35">
        <f>IFERROR(__xludf.DUMMYFUNCTION("""COMPUTED_VALUE"""),119989.0)</f>
        <v>119989</v>
      </c>
    </row>
    <row r="780">
      <c r="A780" s="35">
        <f>IFERROR(__xludf.DUMMYFUNCTION("""COMPUTED_VALUE"""),795.0)</f>
        <v>795</v>
      </c>
      <c r="B780" s="35" t="str">
        <f>IFERROR(__xludf.DUMMYFUNCTION("""COMPUTED_VALUE"""),"K-th Symbol in Grammar")</f>
        <v>K-th Symbol in Grammar</v>
      </c>
      <c r="C780" s="35" t="str">
        <f>IFERROR(__xludf.DUMMYFUNCTION("""COMPUTED_VALUE"""),"k-th-symbol-in-grammar")</f>
        <v>k-th-symbol-in-grammar</v>
      </c>
      <c r="D780" s="35" t="b">
        <f>IFERROR(__xludf.DUMMYFUNCTION("""COMPUTED_VALUE"""),FALSE)</f>
        <v>0</v>
      </c>
      <c r="E780" s="35" t="str">
        <f>IFERROR(__xludf.DUMMYFUNCTION("""COMPUTED_VALUE"""),"Medium")</f>
        <v>Medium</v>
      </c>
      <c r="F780" s="35">
        <f>IFERROR(__xludf.DUMMYFUNCTION("""COMPUTED_VALUE"""),1588.0)</f>
        <v>1588</v>
      </c>
      <c r="G780" s="35">
        <f>IFERROR(__xludf.DUMMYFUNCTION("""COMPUTED_VALUE"""),243.0)</f>
        <v>243</v>
      </c>
      <c r="H780" s="35" t="str">
        <f>IFERROR(__xludf.DUMMYFUNCTION("""COMPUTED_VALUE"""),"Algorithms")</f>
        <v>Algorithms</v>
      </c>
      <c r="I780" s="35">
        <f>IFERROR(__xludf.DUMMYFUNCTION("""COMPUTED_VALUE"""),0.398)</f>
        <v>0.398</v>
      </c>
      <c r="J780" s="35">
        <f>IFERROR(__xludf.DUMMYFUNCTION("""COMPUTED_VALUE"""),779.0)</f>
        <v>779</v>
      </c>
      <c r="K780" s="35" t="b">
        <f>IFERROR(__xludf.DUMMYFUNCTION("""COMPUTED_VALUE"""),FALSE)</f>
        <v>0</v>
      </c>
      <c r="L780" s="35" t="str">
        <f>IFERROR(__xludf.DUMMYFUNCTION("""COMPUTED_VALUE"""),"Math;Bit Manipulation;Recursion;")</f>
        <v>Math;Bit Manipulation;Recursion;</v>
      </c>
      <c r="M780" s="35" t="b">
        <f>IFERROR(__xludf.DUMMYFUNCTION("""COMPUTED_VALUE"""),FALSE)</f>
        <v>0</v>
      </c>
      <c r="N780" s="35" t="b">
        <f>IFERROR(__xludf.DUMMYFUNCTION("""COMPUTED_VALUE"""),FALSE)</f>
        <v>0</v>
      </c>
      <c r="O780" s="35">
        <f>IFERROR(__xludf.DUMMYFUNCTION("""COMPUTED_VALUE"""),39.8080618015182)</f>
        <v>39.8080618</v>
      </c>
      <c r="P780" s="35">
        <f>IFERROR(__xludf.DUMMYFUNCTION("""COMPUTED_VALUE"""),80179.0)</f>
        <v>80179</v>
      </c>
      <c r="Q780" s="35">
        <f>IFERROR(__xludf.DUMMYFUNCTION("""COMPUTED_VALUE"""),201416.0)</f>
        <v>201416</v>
      </c>
    </row>
    <row r="781">
      <c r="A781" s="35">
        <f>IFERROR(__xludf.DUMMYFUNCTION("""COMPUTED_VALUE"""),796.0)</f>
        <v>796</v>
      </c>
      <c r="B781" s="35" t="str">
        <f>IFERROR(__xludf.DUMMYFUNCTION("""COMPUTED_VALUE"""),"Reaching Points")</f>
        <v>Reaching Points</v>
      </c>
      <c r="C781" s="35" t="str">
        <f>IFERROR(__xludf.DUMMYFUNCTION("""COMPUTED_VALUE"""),"reaching-points")</f>
        <v>reaching-points</v>
      </c>
      <c r="D781" s="35" t="b">
        <f>IFERROR(__xludf.DUMMYFUNCTION("""COMPUTED_VALUE"""),FALSE)</f>
        <v>0</v>
      </c>
      <c r="E781" s="35" t="str">
        <f>IFERROR(__xludf.DUMMYFUNCTION("""COMPUTED_VALUE"""),"Hard")</f>
        <v>Hard</v>
      </c>
      <c r="F781" s="35">
        <f>IFERROR(__xludf.DUMMYFUNCTION("""COMPUTED_VALUE"""),910.0)</f>
        <v>910</v>
      </c>
      <c r="G781" s="35">
        <f>IFERROR(__xludf.DUMMYFUNCTION("""COMPUTED_VALUE"""),155.0)</f>
        <v>155</v>
      </c>
      <c r="H781" s="35" t="str">
        <f>IFERROR(__xludf.DUMMYFUNCTION("""COMPUTED_VALUE"""),"Algorithms")</f>
        <v>Algorithms</v>
      </c>
      <c r="I781" s="35">
        <f>IFERROR(__xludf.DUMMYFUNCTION("""COMPUTED_VALUE"""),0.315)</f>
        <v>0.315</v>
      </c>
      <c r="J781" s="35">
        <f>IFERROR(__xludf.DUMMYFUNCTION("""COMPUTED_VALUE"""),780.0)</f>
        <v>780</v>
      </c>
      <c r="K781" s="35" t="b">
        <f>IFERROR(__xludf.DUMMYFUNCTION("""COMPUTED_VALUE"""),FALSE)</f>
        <v>0</v>
      </c>
      <c r="L781" s="35" t="str">
        <f>IFERROR(__xludf.DUMMYFUNCTION("""COMPUTED_VALUE"""),"Math;")</f>
        <v>Math;</v>
      </c>
      <c r="M781" s="35" t="b">
        <f>IFERROR(__xludf.DUMMYFUNCTION("""COMPUTED_VALUE"""),TRUE)</f>
        <v>1</v>
      </c>
      <c r="N781" s="35" t="b">
        <f>IFERROR(__xludf.DUMMYFUNCTION("""COMPUTED_VALUE"""),FALSE)</f>
        <v>0</v>
      </c>
      <c r="O781" s="35">
        <f>IFERROR(__xludf.DUMMYFUNCTION("""COMPUTED_VALUE"""),31.4701270189744)</f>
        <v>31.47012702</v>
      </c>
      <c r="P781" s="35">
        <f>IFERROR(__xludf.DUMMYFUNCTION("""COMPUTED_VALUE"""),40137.0)</f>
        <v>40137</v>
      </c>
      <c r="Q781" s="35">
        <f>IFERROR(__xludf.DUMMYFUNCTION("""COMPUTED_VALUE"""),127540.0)</f>
        <v>127540</v>
      </c>
    </row>
    <row r="782">
      <c r="A782" s="35">
        <f>IFERROR(__xludf.DUMMYFUNCTION("""COMPUTED_VALUE"""),797.0)</f>
        <v>797</v>
      </c>
      <c r="B782" s="35" t="str">
        <f>IFERROR(__xludf.DUMMYFUNCTION("""COMPUTED_VALUE"""),"Rabbits in Forest")</f>
        <v>Rabbits in Forest</v>
      </c>
      <c r="C782" s="35" t="str">
        <f>IFERROR(__xludf.DUMMYFUNCTION("""COMPUTED_VALUE"""),"rabbits-in-forest")</f>
        <v>rabbits-in-forest</v>
      </c>
      <c r="D782" s="35" t="b">
        <f>IFERROR(__xludf.DUMMYFUNCTION("""COMPUTED_VALUE"""),FALSE)</f>
        <v>0</v>
      </c>
      <c r="E782" s="35" t="str">
        <f>IFERROR(__xludf.DUMMYFUNCTION("""COMPUTED_VALUE"""),"Medium")</f>
        <v>Medium</v>
      </c>
      <c r="F782" s="35">
        <f>IFERROR(__xludf.DUMMYFUNCTION("""COMPUTED_VALUE"""),661.0)</f>
        <v>661</v>
      </c>
      <c r="G782" s="35">
        <f>IFERROR(__xludf.DUMMYFUNCTION("""COMPUTED_VALUE"""),476.0)</f>
        <v>476</v>
      </c>
      <c r="H782" s="35" t="str">
        <f>IFERROR(__xludf.DUMMYFUNCTION("""COMPUTED_VALUE"""),"Algorithms")</f>
        <v>Algorithms</v>
      </c>
      <c r="I782" s="35">
        <f>IFERROR(__xludf.DUMMYFUNCTION("""COMPUTED_VALUE"""),0.557)</f>
        <v>0.557</v>
      </c>
      <c r="J782" s="35">
        <f>IFERROR(__xludf.DUMMYFUNCTION("""COMPUTED_VALUE"""),781.0)</f>
        <v>781</v>
      </c>
      <c r="K782" s="35" t="b">
        <f>IFERROR(__xludf.DUMMYFUNCTION("""COMPUTED_VALUE"""),FALSE)</f>
        <v>0</v>
      </c>
      <c r="L782" s="35" t="str">
        <f>IFERROR(__xludf.DUMMYFUNCTION("""COMPUTED_VALUE"""),"Array;Hash Table;Math;Greedy;")</f>
        <v>Array;Hash Table;Math;Greedy;</v>
      </c>
      <c r="M782" s="35" t="b">
        <f>IFERROR(__xludf.DUMMYFUNCTION("""COMPUTED_VALUE"""),TRUE)</f>
        <v>1</v>
      </c>
      <c r="N782" s="35" t="b">
        <f>IFERROR(__xludf.DUMMYFUNCTION("""COMPUTED_VALUE"""),FALSE)</f>
        <v>0</v>
      </c>
      <c r="O782" s="35">
        <f>IFERROR(__xludf.DUMMYFUNCTION("""COMPUTED_VALUE"""),55.7022579410639)</f>
        <v>55.70225794</v>
      </c>
      <c r="P782" s="35">
        <f>IFERROR(__xludf.DUMMYFUNCTION("""COMPUTED_VALUE"""),34932.0)</f>
        <v>34932</v>
      </c>
      <c r="Q782" s="35">
        <f>IFERROR(__xludf.DUMMYFUNCTION("""COMPUTED_VALUE"""),62712.0)</f>
        <v>62712</v>
      </c>
    </row>
    <row r="783">
      <c r="A783" s="35">
        <f>IFERROR(__xludf.DUMMYFUNCTION("""COMPUTED_VALUE"""),798.0)</f>
        <v>798</v>
      </c>
      <c r="B783" s="35" t="str">
        <f>IFERROR(__xludf.DUMMYFUNCTION("""COMPUTED_VALUE"""),"Transform to Chessboard")</f>
        <v>Transform to Chessboard</v>
      </c>
      <c r="C783" s="35" t="str">
        <f>IFERROR(__xludf.DUMMYFUNCTION("""COMPUTED_VALUE"""),"transform-to-chessboard")</f>
        <v>transform-to-chessboard</v>
      </c>
      <c r="D783" s="35" t="b">
        <f>IFERROR(__xludf.DUMMYFUNCTION("""COMPUTED_VALUE"""),FALSE)</f>
        <v>0</v>
      </c>
      <c r="E783" s="35" t="str">
        <f>IFERROR(__xludf.DUMMYFUNCTION("""COMPUTED_VALUE"""),"Hard")</f>
        <v>Hard</v>
      </c>
      <c r="F783" s="35">
        <f>IFERROR(__xludf.DUMMYFUNCTION("""COMPUTED_VALUE"""),284.0)</f>
        <v>284</v>
      </c>
      <c r="G783" s="35">
        <f>IFERROR(__xludf.DUMMYFUNCTION("""COMPUTED_VALUE"""),282.0)</f>
        <v>282</v>
      </c>
      <c r="H783" s="35" t="str">
        <f>IFERROR(__xludf.DUMMYFUNCTION("""COMPUTED_VALUE"""),"Algorithms")</f>
        <v>Algorithms</v>
      </c>
      <c r="I783" s="35">
        <f>IFERROR(__xludf.DUMMYFUNCTION("""COMPUTED_VALUE"""),0.521)</f>
        <v>0.521</v>
      </c>
      <c r="J783" s="35">
        <f>IFERROR(__xludf.DUMMYFUNCTION("""COMPUTED_VALUE"""),782.0)</f>
        <v>782</v>
      </c>
      <c r="K783" s="35" t="b">
        <f>IFERROR(__xludf.DUMMYFUNCTION("""COMPUTED_VALUE"""),FALSE)</f>
        <v>0</v>
      </c>
      <c r="L783" s="35" t="str">
        <f>IFERROR(__xludf.DUMMYFUNCTION("""COMPUTED_VALUE"""),"Array;Math;Bit Manipulation;Matrix;")</f>
        <v>Array;Math;Bit Manipulation;Matrix;</v>
      </c>
      <c r="M783" s="35" t="b">
        <f>IFERROR(__xludf.DUMMYFUNCTION("""COMPUTED_VALUE"""),TRUE)</f>
        <v>1</v>
      </c>
      <c r="N783" s="35" t="b">
        <f>IFERROR(__xludf.DUMMYFUNCTION("""COMPUTED_VALUE"""),FALSE)</f>
        <v>0</v>
      </c>
      <c r="O783" s="35">
        <f>IFERROR(__xludf.DUMMYFUNCTION("""COMPUTED_VALUE"""),52.0525854513584)</f>
        <v>52.05258545</v>
      </c>
      <c r="P783" s="35">
        <f>IFERROR(__xludf.DUMMYFUNCTION("""COMPUTED_VALUE"""),14848.0)</f>
        <v>14848</v>
      </c>
      <c r="Q783" s="35">
        <f>IFERROR(__xludf.DUMMYFUNCTION("""COMPUTED_VALUE"""),28525.0)</f>
        <v>28525</v>
      </c>
    </row>
    <row r="784">
      <c r="A784" s="35">
        <f>IFERROR(__xludf.DUMMYFUNCTION("""COMPUTED_VALUE"""),799.0)</f>
        <v>799</v>
      </c>
      <c r="B784" s="35" t="str">
        <f>IFERROR(__xludf.DUMMYFUNCTION("""COMPUTED_VALUE"""),"Minimum Distance Between BST Nodes")</f>
        <v>Minimum Distance Between BST Nodes</v>
      </c>
      <c r="C784" s="35" t="str">
        <f>IFERROR(__xludf.DUMMYFUNCTION("""COMPUTED_VALUE"""),"minimum-distance-between-bst-nodes")</f>
        <v>minimum-distance-between-bst-nodes</v>
      </c>
      <c r="D784" s="35" t="b">
        <f>IFERROR(__xludf.DUMMYFUNCTION("""COMPUTED_VALUE"""),FALSE)</f>
        <v>0</v>
      </c>
      <c r="E784" s="35" t="str">
        <f>IFERROR(__xludf.DUMMYFUNCTION("""COMPUTED_VALUE"""),"Easy")</f>
        <v>Easy</v>
      </c>
      <c r="F784" s="35">
        <f>IFERROR(__xludf.DUMMYFUNCTION("""COMPUTED_VALUE"""),1531.0)</f>
        <v>1531</v>
      </c>
      <c r="G784" s="35">
        <f>IFERROR(__xludf.DUMMYFUNCTION("""COMPUTED_VALUE"""),308.0)</f>
        <v>308</v>
      </c>
      <c r="H784" s="35" t="str">
        <f>IFERROR(__xludf.DUMMYFUNCTION("""COMPUTED_VALUE"""),"Algorithms")</f>
        <v>Algorithms</v>
      </c>
      <c r="I784" s="35">
        <f>IFERROR(__xludf.DUMMYFUNCTION("""COMPUTED_VALUE"""),0.559)</f>
        <v>0.559</v>
      </c>
      <c r="J784" s="35">
        <f>IFERROR(__xludf.DUMMYFUNCTION("""COMPUTED_VALUE"""),783.0)</f>
        <v>783</v>
      </c>
      <c r="K784" s="35" t="b">
        <f>IFERROR(__xludf.DUMMYFUNCTION("""COMPUTED_VALUE"""),FALSE)</f>
        <v>0</v>
      </c>
      <c r="L784" s="35" t="str">
        <f>IFERROR(__xludf.DUMMYFUNCTION("""COMPUTED_VALUE"""),"Tree;Depth-First Search;Breadth-First Search;Binary Search Tree;Binary Tree;")</f>
        <v>Tree;Depth-First Search;Breadth-First Search;Binary Search Tree;Binary Tree;</v>
      </c>
      <c r="M784" s="35" t="b">
        <f>IFERROR(__xludf.DUMMYFUNCTION("""COMPUTED_VALUE"""),TRUE)</f>
        <v>1</v>
      </c>
      <c r="N784" s="35" t="b">
        <f>IFERROR(__xludf.DUMMYFUNCTION("""COMPUTED_VALUE"""),FALSE)</f>
        <v>0</v>
      </c>
      <c r="O784" s="35">
        <f>IFERROR(__xludf.DUMMYFUNCTION("""COMPUTED_VALUE"""),55.8848299061102)</f>
        <v>55.88482991</v>
      </c>
      <c r="P784" s="35">
        <f>IFERROR(__xludf.DUMMYFUNCTION("""COMPUTED_VALUE"""),116126.0)</f>
        <v>116126</v>
      </c>
      <c r="Q784" s="35">
        <f>IFERROR(__xludf.DUMMYFUNCTION("""COMPUTED_VALUE"""),207796.0)</f>
        <v>207796</v>
      </c>
    </row>
    <row r="785">
      <c r="A785" s="35">
        <f>IFERROR(__xludf.DUMMYFUNCTION("""COMPUTED_VALUE"""),800.0)</f>
        <v>800</v>
      </c>
      <c r="B785" s="35" t="str">
        <f>IFERROR(__xludf.DUMMYFUNCTION("""COMPUTED_VALUE"""),"Letter Case Permutation")</f>
        <v>Letter Case Permutation</v>
      </c>
      <c r="C785" s="35" t="str">
        <f>IFERROR(__xludf.DUMMYFUNCTION("""COMPUTED_VALUE"""),"letter-case-permutation")</f>
        <v>letter-case-permutation</v>
      </c>
      <c r="D785" s="35" t="b">
        <f>IFERROR(__xludf.DUMMYFUNCTION("""COMPUTED_VALUE"""),FALSE)</f>
        <v>0</v>
      </c>
      <c r="E785" s="35" t="str">
        <f>IFERROR(__xludf.DUMMYFUNCTION("""COMPUTED_VALUE"""),"Medium")</f>
        <v>Medium</v>
      </c>
      <c r="F785" s="35">
        <f>IFERROR(__xludf.DUMMYFUNCTION("""COMPUTED_VALUE"""),3117.0)</f>
        <v>3117</v>
      </c>
      <c r="G785" s="35">
        <f>IFERROR(__xludf.DUMMYFUNCTION("""COMPUTED_VALUE"""),141.0)</f>
        <v>141</v>
      </c>
      <c r="H785" s="35" t="str">
        <f>IFERROR(__xludf.DUMMYFUNCTION("""COMPUTED_VALUE"""),"Algorithms")</f>
        <v>Algorithms</v>
      </c>
      <c r="I785" s="35">
        <f>IFERROR(__xludf.DUMMYFUNCTION("""COMPUTED_VALUE"""),0.719)</f>
        <v>0.719</v>
      </c>
      <c r="J785" s="35">
        <f>IFERROR(__xludf.DUMMYFUNCTION("""COMPUTED_VALUE"""),784.0)</f>
        <v>784</v>
      </c>
      <c r="K785" s="35" t="b">
        <f>IFERROR(__xludf.DUMMYFUNCTION("""COMPUTED_VALUE"""),FALSE)</f>
        <v>0</v>
      </c>
      <c r="L785" s="35" t="str">
        <f>IFERROR(__xludf.DUMMYFUNCTION("""COMPUTED_VALUE"""),"String;Backtracking;Bit Manipulation;")</f>
        <v>String;Backtracking;Bit Manipulation;</v>
      </c>
      <c r="M785" s="35" t="b">
        <f>IFERROR(__xludf.DUMMYFUNCTION("""COMPUTED_VALUE"""),TRUE)</f>
        <v>1</v>
      </c>
      <c r="N785" s="35" t="b">
        <f>IFERROR(__xludf.DUMMYFUNCTION("""COMPUTED_VALUE"""),FALSE)</f>
        <v>0</v>
      </c>
      <c r="O785" s="35">
        <f>IFERROR(__xludf.DUMMYFUNCTION("""COMPUTED_VALUE"""),71.9182358344336)</f>
        <v>71.91823583</v>
      </c>
      <c r="P785" s="35">
        <f>IFERROR(__xludf.DUMMYFUNCTION("""COMPUTED_VALUE"""),200436.0)</f>
        <v>200436</v>
      </c>
      <c r="Q785" s="35">
        <f>IFERROR(__xludf.DUMMYFUNCTION("""COMPUTED_VALUE"""),278700.0)</f>
        <v>278700</v>
      </c>
    </row>
    <row r="786">
      <c r="A786" s="35">
        <f>IFERROR(__xludf.DUMMYFUNCTION("""COMPUTED_VALUE"""),801.0)</f>
        <v>801</v>
      </c>
      <c r="B786" s="35" t="str">
        <f>IFERROR(__xludf.DUMMYFUNCTION("""COMPUTED_VALUE"""),"Is Graph Bipartite?")</f>
        <v>Is Graph Bipartite?</v>
      </c>
      <c r="C786" s="35" t="str">
        <f>IFERROR(__xludf.DUMMYFUNCTION("""COMPUTED_VALUE"""),"is-graph-bipartite")</f>
        <v>is-graph-bipartite</v>
      </c>
      <c r="D786" s="35" t="b">
        <f>IFERROR(__xludf.DUMMYFUNCTION("""COMPUTED_VALUE"""),FALSE)</f>
        <v>0</v>
      </c>
      <c r="E786" s="35" t="str">
        <f>IFERROR(__xludf.DUMMYFUNCTION("""COMPUTED_VALUE"""),"Medium")</f>
        <v>Medium</v>
      </c>
      <c r="F786" s="35">
        <f>IFERROR(__xludf.DUMMYFUNCTION("""COMPUTED_VALUE"""),3894.0)</f>
        <v>3894</v>
      </c>
      <c r="G786" s="35">
        <f>IFERROR(__xludf.DUMMYFUNCTION("""COMPUTED_VALUE"""),255.0)</f>
        <v>255</v>
      </c>
      <c r="H786" s="35" t="str">
        <f>IFERROR(__xludf.DUMMYFUNCTION("""COMPUTED_VALUE"""),"Algorithms")</f>
        <v>Algorithms</v>
      </c>
      <c r="I786" s="35">
        <f>IFERROR(__xludf.DUMMYFUNCTION("""COMPUTED_VALUE"""),0.502)</f>
        <v>0.502</v>
      </c>
      <c r="J786" s="35">
        <f>IFERROR(__xludf.DUMMYFUNCTION("""COMPUTED_VALUE"""),785.0)</f>
        <v>785</v>
      </c>
      <c r="K786" s="35" t="b">
        <f>IFERROR(__xludf.DUMMYFUNCTION("""COMPUTED_VALUE"""),FALSE)</f>
        <v>0</v>
      </c>
      <c r="L786" s="35" t="str">
        <f>IFERROR(__xludf.DUMMYFUNCTION("""COMPUTED_VALUE"""),"Depth-First Search;Breadth-First Search;Union Find;Graph;")</f>
        <v>Depth-First Search;Breadth-First Search;Union Find;Graph;</v>
      </c>
      <c r="M786" s="35" t="b">
        <f>IFERROR(__xludf.DUMMYFUNCTION("""COMPUTED_VALUE"""),TRUE)</f>
        <v>1</v>
      </c>
      <c r="N786" s="35" t="b">
        <f>IFERROR(__xludf.DUMMYFUNCTION("""COMPUTED_VALUE"""),FALSE)</f>
        <v>0</v>
      </c>
      <c r="O786" s="35">
        <f>IFERROR(__xludf.DUMMYFUNCTION("""COMPUTED_VALUE"""),50.1539145120203)</f>
        <v>50.15391451</v>
      </c>
      <c r="P786" s="35">
        <f>IFERROR(__xludf.DUMMYFUNCTION("""COMPUTED_VALUE"""),266386.0)</f>
        <v>266386</v>
      </c>
      <c r="Q786" s="35">
        <f>IFERROR(__xludf.DUMMYFUNCTION("""COMPUTED_VALUE"""),531136.0)</f>
        <v>531136</v>
      </c>
    </row>
    <row r="787">
      <c r="A787" s="35">
        <f>IFERROR(__xludf.DUMMYFUNCTION("""COMPUTED_VALUE"""),802.0)</f>
        <v>802</v>
      </c>
      <c r="B787" s="35" t="str">
        <f>IFERROR(__xludf.DUMMYFUNCTION("""COMPUTED_VALUE"""),"K-th Smallest Prime Fraction")</f>
        <v>K-th Smallest Prime Fraction</v>
      </c>
      <c r="C787" s="35" t="str">
        <f>IFERROR(__xludf.DUMMYFUNCTION("""COMPUTED_VALUE"""),"k-th-smallest-prime-fraction")</f>
        <v>k-th-smallest-prime-fraction</v>
      </c>
      <c r="D787" s="35" t="b">
        <f>IFERROR(__xludf.DUMMYFUNCTION("""COMPUTED_VALUE"""),FALSE)</f>
        <v>0</v>
      </c>
      <c r="E787" s="35" t="str">
        <f>IFERROR(__xludf.DUMMYFUNCTION("""COMPUTED_VALUE"""),"Hard")</f>
        <v>Hard</v>
      </c>
      <c r="F787" s="35">
        <f>IFERROR(__xludf.DUMMYFUNCTION("""COMPUTED_VALUE"""),721.0)</f>
        <v>721</v>
      </c>
      <c r="G787" s="35">
        <f>IFERROR(__xludf.DUMMYFUNCTION("""COMPUTED_VALUE"""),36.0)</f>
        <v>36</v>
      </c>
      <c r="H787" s="35" t="str">
        <f>IFERROR(__xludf.DUMMYFUNCTION("""COMPUTED_VALUE"""),"Algorithms")</f>
        <v>Algorithms</v>
      </c>
      <c r="I787" s="35">
        <f>IFERROR(__xludf.DUMMYFUNCTION("""COMPUTED_VALUE"""),0.481)</f>
        <v>0.481</v>
      </c>
      <c r="J787" s="35">
        <f>IFERROR(__xludf.DUMMYFUNCTION("""COMPUTED_VALUE"""),786.0)</f>
        <v>786</v>
      </c>
      <c r="K787" s="35" t="b">
        <f>IFERROR(__xludf.DUMMYFUNCTION("""COMPUTED_VALUE"""),FALSE)</f>
        <v>0</v>
      </c>
      <c r="L787" s="35" t="str">
        <f>IFERROR(__xludf.DUMMYFUNCTION("""COMPUTED_VALUE"""),"Array;Binary Search;Heap (Priority Queue);")</f>
        <v>Array;Binary Search;Heap (Priority Queue);</v>
      </c>
      <c r="M787" s="35" t="b">
        <f>IFERROR(__xludf.DUMMYFUNCTION("""COMPUTED_VALUE"""),TRUE)</f>
        <v>1</v>
      </c>
      <c r="N787" s="35" t="b">
        <f>IFERROR(__xludf.DUMMYFUNCTION("""COMPUTED_VALUE"""),FALSE)</f>
        <v>0</v>
      </c>
      <c r="O787" s="35">
        <f>IFERROR(__xludf.DUMMYFUNCTION("""COMPUTED_VALUE"""),48.0823823041896)</f>
        <v>48.0823823</v>
      </c>
      <c r="P787" s="35">
        <f>IFERROR(__xludf.DUMMYFUNCTION("""COMPUTED_VALUE"""),25237.0)</f>
        <v>25237</v>
      </c>
      <c r="Q787" s="35">
        <f>IFERROR(__xludf.DUMMYFUNCTION("""COMPUTED_VALUE"""),52487.0)</f>
        <v>52487</v>
      </c>
    </row>
    <row r="788">
      <c r="A788" s="35">
        <f>IFERROR(__xludf.DUMMYFUNCTION("""COMPUTED_VALUE"""),803.0)</f>
        <v>803</v>
      </c>
      <c r="B788" s="35" t="str">
        <f>IFERROR(__xludf.DUMMYFUNCTION("""COMPUTED_VALUE"""),"Cheapest Flights Within K Stops")</f>
        <v>Cheapest Flights Within K Stops</v>
      </c>
      <c r="C788" s="35" t="str">
        <f>IFERROR(__xludf.DUMMYFUNCTION("""COMPUTED_VALUE"""),"cheapest-flights-within-k-stops")</f>
        <v>cheapest-flights-within-k-stops</v>
      </c>
      <c r="D788" s="35" t="b">
        <f>IFERROR(__xludf.DUMMYFUNCTION("""COMPUTED_VALUE"""),FALSE)</f>
        <v>0</v>
      </c>
      <c r="E788" s="35" t="str">
        <f>IFERROR(__xludf.DUMMYFUNCTION("""COMPUTED_VALUE"""),"Medium")</f>
        <v>Medium</v>
      </c>
      <c r="F788" s="35">
        <f>IFERROR(__xludf.DUMMYFUNCTION("""COMPUTED_VALUE"""),4593.0)</f>
        <v>4593</v>
      </c>
      <c r="G788" s="35">
        <f>IFERROR(__xludf.DUMMYFUNCTION("""COMPUTED_VALUE"""),193.0)</f>
        <v>193</v>
      </c>
      <c r="H788" s="35" t="str">
        <f>IFERROR(__xludf.DUMMYFUNCTION("""COMPUTED_VALUE"""),"Algorithms")</f>
        <v>Algorithms</v>
      </c>
      <c r="I788" s="35">
        <f>IFERROR(__xludf.DUMMYFUNCTION("""COMPUTED_VALUE"""),0.362)</f>
        <v>0.362</v>
      </c>
      <c r="J788" s="35">
        <f>IFERROR(__xludf.DUMMYFUNCTION("""COMPUTED_VALUE"""),787.0)</f>
        <v>787</v>
      </c>
      <c r="K788" s="35" t="b">
        <f>IFERROR(__xludf.DUMMYFUNCTION("""COMPUTED_VALUE"""),FALSE)</f>
        <v>0</v>
      </c>
      <c r="L788" s="35" t="str">
        <f>IFERROR(__xludf.DUMMYFUNCTION("""COMPUTED_VALUE"""),"Dynamic Programming;Depth-First Search;Breadth-First Search;Graph;Heap (Priority Queue);Shortest Path;")</f>
        <v>Dynamic Programming;Depth-First Search;Breadth-First Search;Graph;Heap (Priority Queue);Shortest Path;</v>
      </c>
      <c r="M788" s="35" t="b">
        <f>IFERROR(__xludf.DUMMYFUNCTION("""COMPUTED_VALUE"""),TRUE)</f>
        <v>1</v>
      </c>
      <c r="N788" s="35" t="b">
        <f>IFERROR(__xludf.DUMMYFUNCTION("""COMPUTED_VALUE"""),FALSE)</f>
        <v>0</v>
      </c>
      <c r="O788" s="35">
        <f>IFERROR(__xludf.DUMMYFUNCTION("""COMPUTED_VALUE"""),36.1920649695703)</f>
        <v>36.19206497</v>
      </c>
      <c r="P788" s="35">
        <f>IFERROR(__xludf.DUMMYFUNCTION("""COMPUTED_VALUE"""),218897.0)</f>
        <v>218897</v>
      </c>
      <c r="Q788" s="35">
        <f>IFERROR(__xludf.DUMMYFUNCTION("""COMPUTED_VALUE"""),604821.0)</f>
        <v>604821</v>
      </c>
    </row>
    <row r="789">
      <c r="A789" s="35">
        <f>IFERROR(__xludf.DUMMYFUNCTION("""COMPUTED_VALUE"""),804.0)</f>
        <v>804</v>
      </c>
      <c r="B789" s="35" t="str">
        <f>IFERROR(__xludf.DUMMYFUNCTION("""COMPUTED_VALUE"""),"Rotated Digits")</f>
        <v>Rotated Digits</v>
      </c>
      <c r="C789" s="35" t="str">
        <f>IFERROR(__xludf.DUMMYFUNCTION("""COMPUTED_VALUE"""),"rotated-digits")</f>
        <v>rotated-digits</v>
      </c>
      <c r="D789" s="35" t="b">
        <f>IFERROR(__xludf.DUMMYFUNCTION("""COMPUTED_VALUE"""),FALSE)</f>
        <v>0</v>
      </c>
      <c r="E789" s="35" t="str">
        <f>IFERROR(__xludf.DUMMYFUNCTION("""COMPUTED_VALUE"""),"Medium")</f>
        <v>Medium</v>
      </c>
      <c r="F789" s="35">
        <f>IFERROR(__xludf.DUMMYFUNCTION("""COMPUTED_VALUE"""),561.0)</f>
        <v>561</v>
      </c>
      <c r="G789" s="35">
        <f>IFERROR(__xludf.DUMMYFUNCTION("""COMPUTED_VALUE"""),1702.0)</f>
        <v>1702</v>
      </c>
      <c r="H789" s="35" t="str">
        <f>IFERROR(__xludf.DUMMYFUNCTION("""COMPUTED_VALUE"""),"Algorithms")</f>
        <v>Algorithms</v>
      </c>
      <c r="I789" s="35">
        <f>IFERROR(__xludf.DUMMYFUNCTION("""COMPUTED_VALUE"""),0.573)</f>
        <v>0.573</v>
      </c>
      <c r="J789" s="35">
        <f>IFERROR(__xludf.DUMMYFUNCTION("""COMPUTED_VALUE"""),788.0)</f>
        <v>788</v>
      </c>
      <c r="K789" s="35" t="b">
        <f>IFERROR(__xludf.DUMMYFUNCTION("""COMPUTED_VALUE"""),FALSE)</f>
        <v>0</v>
      </c>
      <c r="L789" s="35" t="str">
        <f>IFERROR(__xludf.DUMMYFUNCTION("""COMPUTED_VALUE"""),"Math;Dynamic Programming;")</f>
        <v>Math;Dynamic Programming;</v>
      </c>
      <c r="M789" s="35" t="b">
        <f>IFERROR(__xludf.DUMMYFUNCTION("""COMPUTED_VALUE"""),FALSE)</f>
        <v>0</v>
      </c>
      <c r="N789" s="35" t="b">
        <f>IFERROR(__xludf.DUMMYFUNCTION("""COMPUTED_VALUE"""),FALSE)</f>
        <v>0</v>
      </c>
      <c r="O789" s="35">
        <f>IFERROR(__xludf.DUMMYFUNCTION("""COMPUTED_VALUE"""),57.266068624942)</f>
        <v>57.26606862</v>
      </c>
      <c r="P789" s="35">
        <f>IFERROR(__xludf.DUMMYFUNCTION("""COMPUTED_VALUE"""),82797.0)</f>
        <v>82797</v>
      </c>
      <c r="Q789" s="35">
        <f>IFERROR(__xludf.DUMMYFUNCTION("""COMPUTED_VALUE"""),144583.0)</f>
        <v>144583</v>
      </c>
    </row>
    <row r="790">
      <c r="A790" s="35">
        <f>IFERROR(__xludf.DUMMYFUNCTION("""COMPUTED_VALUE"""),805.0)</f>
        <v>805</v>
      </c>
      <c r="B790" s="35" t="str">
        <f>IFERROR(__xludf.DUMMYFUNCTION("""COMPUTED_VALUE"""),"Escape The Ghosts")</f>
        <v>Escape The Ghosts</v>
      </c>
      <c r="C790" s="35" t="str">
        <f>IFERROR(__xludf.DUMMYFUNCTION("""COMPUTED_VALUE"""),"escape-the-ghosts")</f>
        <v>escape-the-ghosts</v>
      </c>
      <c r="D790" s="35" t="b">
        <f>IFERROR(__xludf.DUMMYFUNCTION("""COMPUTED_VALUE"""),FALSE)</f>
        <v>0</v>
      </c>
      <c r="E790" s="35" t="str">
        <f>IFERROR(__xludf.DUMMYFUNCTION("""COMPUTED_VALUE"""),"Medium")</f>
        <v>Medium</v>
      </c>
      <c r="F790" s="35">
        <f>IFERROR(__xludf.DUMMYFUNCTION("""COMPUTED_VALUE"""),82.0)</f>
        <v>82</v>
      </c>
      <c r="G790" s="35">
        <f>IFERROR(__xludf.DUMMYFUNCTION("""COMPUTED_VALUE"""),13.0)</f>
        <v>13</v>
      </c>
      <c r="H790" s="35" t="str">
        <f>IFERROR(__xludf.DUMMYFUNCTION("""COMPUTED_VALUE"""),"Algorithms")</f>
        <v>Algorithms</v>
      </c>
      <c r="I790" s="35">
        <f>IFERROR(__xludf.DUMMYFUNCTION("""COMPUTED_VALUE"""),0.601)</f>
        <v>0.601</v>
      </c>
      <c r="J790" s="35">
        <f>IFERROR(__xludf.DUMMYFUNCTION("""COMPUTED_VALUE"""),789.0)</f>
        <v>789</v>
      </c>
      <c r="K790" s="35" t="b">
        <f>IFERROR(__xludf.DUMMYFUNCTION("""COMPUTED_VALUE"""),FALSE)</f>
        <v>0</v>
      </c>
      <c r="L790" s="35" t="str">
        <f>IFERROR(__xludf.DUMMYFUNCTION("""COMPUTED_VALUE"""),"Array;Math;")</f>
        <v>Array;Math;</v>
      </c>
      <c r="M790" s="35" t="b">
        <f>IFERROR(__xludf.DUMMYFUNCTION("""COMPUTED_VALUE"""),TRUE)</f>
        <v>1</v>
      </c>
      <c r="N790" s="35" t="b">
        <f>IFERROR(__xludf.DUMMYFUNCTION("""COMPUTED_VALUE"""),FALSE)</f>
        <v>0</v>
      </c>
      <c r="O790" s="35">
        <f>IFERROR(__xludf.DUMMYFUNCTION("""COMPUTED_VALUE"""),60.0542923027525)</f>
        <v>60.0542923</v>
      </c>
      <c r="P790" s="35">
        <f>IFERROR(__xludf.DUMMYFUNCTION("""COMPUTED_VALUE"""),20574.0)</f>
        <v>20574</v>
      </c>
      <c r="Q790" s="35">
        <f>IFERROR(__xludf.DUMMYFUNCTION("""COMPUTED_VALUE"""),34259.0)</f>
        <v>34259</v>
      </c>
    </row>
    <row r="791">
      <c r="A791" s="35">
        <f>IFERROR(__xludf.DUMMYFUNCTION("""COMPUTED_VALUE"""),806.0)</f>
        <v>806</v>
      </c>
      <c r="B791" s="35" t="str">
        <f>IFERROR(__xludf.DUMMYFUNCTION("""COMPUTED_VALUE"""),"Domino and Tromino Tiling")</f>
        <v>Domino and Tromino Tiling</v>
      </c>
      <c r="C791" s="35" t="str">
        <f>IFERROR(__xludf.DUMMYFUNCTION("""COMPUTED_VALUE"""),"domino-and-tromino-tiling")</f>
        <v>domino-and-tromino-tiling</v>
      </c>
      <c r="D791" s="35" t="b">
        <f>IFERROR(__xludf.DUMMYFUNCTION("""COMPUTED_VALUE"""),FALSE)</f>
        <v>0</v>
      </c>
      <c r="E791" s="35" t="str">
        <f>IFERROR(__xludf.DUMMYFUNCTION("""COMPUTED_VALUE"""),"Medium")</f>
        <v>Medium</v>
      </c>
      <c r="F791" s="35">
        <f>IFERROR(__xludf.DUMMYFUNCTION("""COMPUTED_VALUE"""),1417.0)</f>
        <v>1417</v>
      </c>
      <c r="G791" s="35">
        <f>IFERROR(__xludf.DUMMYFUNCTION("""COMPUTED_VALUE"""),556.0)</f>
        <v>556</v>
      </c>
      <c r="H791" s="35" t="str">
        <f>IFERROR(__xludf.DUMMYFUNCTION("""COMPUTED_VALUE"""),"Algorithms")</f>
        <v>Algorithms</v>
      </c>
      <c r="I791" s="35">
        <f>IFERROR(__xludf.DUMMYFUNCTION("""COMPUTED_VALUE"""),0.477)</f>
        <v>0.477</v>
      </c>
      <c r="J791" s="35">
        <f>IFERROR(__xludf.DUMMYFUNCTION("""COMPUTED_VALUE"""),790.0)</f>
        <v>790</v>
      </c>
      <c r="K791" s="35" t="b">
        <f>IFERROR(__xludf.DUMMYFUNCTION("""COMPUTED_VALUE"""),FALSE)</f>
        <v>0</v>
      </c>
      <c r="L791" s="35" t="str">
        <f>IFERROR(__xludf.DUMMYFUNCTION("""COMPUTED_VALUE"""),"Dynamic Programming;")</f>
        <v>Dynamic Programming;</v>
      </c>
      <c r="M791" s="35" t="b">
        <f>IFERROR(__xludf.DUMMYFUNCTION("""COMPUTED_VALUE"""),TRUE)</f>
        <v>1</v>
      </c>
      <c r="N791" s="35" t="b">
        <f>IFERROR(__xludf.DUMMYFUNCTION("""COMPUTED_VALUE"""),FALSE)</f>
        <v>0</v>
      </c>
      <c r="O791" s="35">
        <f>IFERROR(__xludf.DUMMYFUNCTION("""COMPUTED_VALUE"""),47.6894085399803)</f>
        <v>47.68940854</v>
      </c>
      <c r="P791" s="35">
        <f>IFERROR(__xludf.DUMMYFUNCTION("""COMPUTED_VALUE"""),44540.0)</f>
        <v>44540</v>
      </c>
      <c r="Q791" s="35">
        <f>IFERROR(__xludf.DUMMYFUNCTION("""COMPUTED_VALUE"""),93396.0)</f>
        <v>93396</v>
      </c>
    </row>
    <row r="792">
      <c r="A792" s="35">
        <f>IFERROR(__xludf.DUMMYFUNCTION("""COMPUTED_VALUE"""),807.0)</f>
        <v>807</v>
      </c>
      <c r="B792" s="35" t="str">
        <f>IFERROR(__xludf.DUMMYFUNCTION("""COMPUTED_VALUE"""),"Custom Sort String")</f>
        <v>Custom Sort String</v>
      </c>
      <c r="C792" s="35" t="str">
        <f>IFERROR(__xludf.DUMMYFUNCTION("""COMPUTED_VALUE"""),"custom-sort-string")</f>
        <v>custom-sort-string</v>
      </c>
      <c r="D792" s="35" t="b">
        <f>IFERROR(__xludf.DUMMYFUNCTION("""COMPUTED_VALUE"""),FALSE)</f>
        <v>0</v>
      </c>
      <c r="E792" s="35" t="str">
        <f>IFERROR(__xludf.DUMMYFUNCTION("""COMPUTED_VALUE"""),"Medium")</f>
        <v>Medium</v>
      </c>
      <c r="F792" s="35">
        <f>IFERROR(__xludf.DUMMYFUNCTION("""COMPUTED_VALUE"""),1884.0)</f>
        <v>1884</v>
      </c>
      <c r="G792" s="35">
        <f>IFERROR(__xludf.DUMMYFUNCTION("""COMPUTED_VALUE"""),274.0)</f>
        <v>274</v>
      </c>
      <c r="H792" s="35" t="str">
        <f>IFERROR(__xludf.DUMMYFUNCTION("""COMPUTED_VALUE"""),"Algorithms")</f>
        <v>Algorithms</v>
      </c>
      <c r="I792" s="35">
        <f>IFERROR(__xludf.DUMMYFUNCTION("""COMPUTED_VALUE"""),0.688)</f>
        <v>0.688</v>
      </c>
      <c r="J792" s="35">
        <f>IFERROR(__xludf.DUMMYFUNCTION("""COMPUTED_VALUE"""),791.0)</f>
        <v>791</v>
      </c>
      <c r="K792" s="35" t="b">
        <f>IFERROR(__xludf.DUMMYFUNCTION("""COMPUTED_VALUE"""),FALSE)</f>
        <v>0</v>
      </c>
      <c r="L792" s="35" t="str">
        <f>IFERROR(__xludf.DUMMYFUNCTION("""COMPUTED_VALUE"""),"Hash Table;String;Sorting;")</f>
        <v>Hash Table;String;Sorting;</v>
      </c>
      <c r="M792" s="35" t="b">
        <f>IFERROR(__xludf.DUMMYFUNCTION("""COMPUTED_VALUE"""),TRUE)</f>
        <v>1</v>
      </c>
      <c r="N792" s="35" t="b">
        <f>IFERROR(__xludf.DUMMYFUNCTION("""COMPUTED_VALUE"""),FALSE)</f>
        <v>0</v>
      </c>
      <c r="O792" s="35">
        <f>IFERROR(__xludf.DUMMYFUNCTION("""COMPUTED_VALUE"""),68.7784361662454)</f>
        <v>68.77843617</v>
      </c>
      <c r="P792" s="35">
        <f>IFERROR(__xludf.DUMMYFUNCTION("""COMPUTED_VALUE"""),165981.0)</f>
        <v>165981</v>
      </c>
      <c r="Q792" s="35">
        <f>IFERROR(__xludf.DUMMYFUNCTION("""COMPUTED_VALUE"""),241328.0)</f>
        <v>241328</v>
      </c>
    </row>
    <row r="793">
      <c r="A793" s="35">
        <f>IFERROR(__xludf.DUMMYFUNCTION("""COMPUTED_VALUE"""),808.0)</f>
        <v>808</v>
      </c>
      <c r="B793" s="35" t="str">
        <f>IFERROR(__xludf.DUMMYFUNCTION("""COMPUTED_VALUE"""),"Number of Matching Subsequences")</f>
        <v>Number of Matching Subsequences</v>
      </c>
      <c r="C793" s="35" t="str">
        <f>IFERROR(__xludf.DUMMYFUNCTION("""COMPUTED_VALUE"""),"number-of-matching-subsequences")</f>
        <v>number-of-matching-subsequences</v>
      </c>
      <c r="D793" s="35" t="b">
        <f>IFERROR(__xludf.DUMMYFUNCTION("""COMPUTED_VALUE"""),FALSE)</f>
        <v>0</v>
      </c>
      <c r="E793" s="35" t="str">
        <f>IFERROR(__xludf.DUMMYFUNCTION("""COMPUTED_VALUE"""),"Medium")</f>
        <v>Medium</v>
      </c>
      <c r="F793" s="35">
        <f>IFERROR(__xludf.DUMMYFUNCTION("""COMPUTED_VALUE"""),2793.0)</f>
        <v>2793</v>
      </c>
      <c r="G793" s="35">
        <f>IFERROR(__xludf.DUMMYFUNCTION("""COMPUTED_VALUE"""),142.0)</f>
        <v>142</v>
      </c>
      <c r="H793" s="35" t="str">
        <f>IFERROR(__xludf.DUMMYFUNCTION("""COMPUTED_VALUE"""),"Algorithms")</f>
        <v>Algorithms</v>
      </c>
      <c r="I793" s="35">
        <f>IFERROR(__xludf.DUMMYFUNCTION("""COMPUTED_VALUE"""),0.503)</f>
        <v>0.503</v>
      </c>
      <c r="J793" s="35">
        <f>IFERROR(__xludf.DUMMYFUNCTION("""COMPUTED_VALUE"""),792.0)</f>
        <v>792</v>
      </c>
      <c r="K793" s="35" t="b">
        <f>IFERROR(__xludf.DUMMYFUNCTION("""COMPUTED_VALUE"""),FALSE)</f>
        <v>0</v>
      </c>
      <c r="L793" s="35" t="str">
        <f>IFERROR(__xludf.DUMMYFUNCTION("""COMPUTED_VALUE"""),"Hash Table;String;Trie;Sorting;")</f>
        <v>Hash Table;String;Trie;Sorting;</v>
      </c>
      <c r="M793" s="35" t="b">
        <f>IFERROR(__xludf.DUMMYFUNCTION("""COMPUTED_VALUE"""),TRUE)</f>
        <v>1</v>
      </c>
      <c r="N793" s="35" t="b">
        <f>IFERROR(__xludf.DUMMYFUNCTION("""COMPUTED_VALUE"""),FALSE)</f>
        <v>0</v>
      </c>
      <c r="O793" s="35">
        <f>IFERROR(__xludf.DUMMYFUNCTION("""COMPUTED_VALUE"""),50.3348396358771)</f>
        <v>50.33483964</v>
      </c>
      <c r="P793" s="35">
        <f>IFERROR(__xludf.DUMMYFUNCTION("""COMPUTED_VALUE"""),123415.0)</f>
        <v>123415</v>
      </c>
      <c r="Q793" s="35">
        <f>IFERROR(__xludf.DUMMYFUNCTION("""COMPUTED_VALUE"""),245189.0)</f>
        <v>245189</v>
      </c>
    </row>
    <row r="794">
      <c r="A794" s="35">
        <f>IFERROR(__xludf.DUMMYFUNCTION("""COMPUTED_VALUE"""),809.0)</f>
        <v>809</v>
      </c>
      <c r="B794" s="35" t="str">
        <f>IFERROR(__xludf.DUMMYFUNCTION("""COMPUTED_VALUE"""),"Preimage Size of Factorial Zeroes Function")</f>
        <v>Preimage Size of Factorial Zeroes Function</v>
      </c>
      <c r="C794" s="35" t="str">
        <f>IFERROR(__xludf.DUMMYFUNCTION("""COMPUTED_VALUE"""),"preimage-size-of-factorial-zeroes-function")</f>
        <v>preimage-size-of-factorial-zeroes-function</v>
      </c>
      <c r="D794" s="35" t="b">
        <f>IFERROR(__xludf.DUMMYFUNCTION("""COMPUTED_VALUE"""),FALSE)</f>
        <v>0</v>
      </c>
      <c r="E794" s="35" t="str">
        <f>IFERROR(__xludf.DUMMYFUNCTION("""COMPUTED_VALUE"""),"Hard")</f>
        <v>Hard</v>
      </c>
      <c r="F794" s="35">
        <f>IFERROR(__xludf.DUMMYFUNCTION("""COMPUTED_VALUE"""),289.0)</f>
        <v>289</v>
      </c>
      <c r="G794" s="35">
        <f>IFERROR(__xludf.DUMMYFUNCTION("""COMPUTED_VALUE"""),68.0)</f>
        <v>68</v>
      </c>
      <c r="H794" s="35" t="str">
        <f>IFERROR(__xludf.DUMMYFUNCTION("""COMPUTED_VALUE"""),"Algorithms")</f>
        <v>Algorithms</v>
      </c>
      <c r="I794" s="35">
        <f>IFERROR(__xludf.DUMMYFUNCTION("""COMPUTED_VALUE"""),0.415)</f>
        <v>0.415</v>
      </c>
      <c r="J794" s="35">
        <f>IFERROR(__xludf.DUMMYFUNCTION("""COMPUTED_VALUE"""),793.0)</f>
        <v>793</v>
      </c>
      <c r="K794" s="35" t="b">
        <f>IFERROR(__xludf.DUMMYFUNCTION("""COMPUTED_VALUE"""),FALSE)</f>
        <v>0</v>
      </c>
      <c r="L794" s="35" t="str">
        <f>IFERROR(__xludf.DUMMYFUNCTION("""COMPUTED_VALUE"""),"Math;Binary Search;")</f>
        <v>Math;Binary Search;</v>
      </c>
      <c r="M794" s="35" t="b">
        <f>IFERROR(__xludf.DUMMYFUNCTION("""COMPUTED_VALUE"""),TRUE)</f>
        <v>1</v>
      </c>
      <c r="N794" s="35" t="b">
        <f>IFERROR(__xludf.DUMMYFUNCTION("""COMPUTED_VALUE"""),FALSE)</f>
        <v>0</v>
      </c>
      <c r="O794" s="35">
        <f>IFERROR(__xludf.DUMMYFUNCTION("""COMPUTED_VALUE"""),41.5403551960611)</f>
        <v>41.5403552</v>
      </c>
      <c r="P794" s="35">
        <f>IFERROR(__xludf.DUMMYFUNCTION("""COMPUTED_VALUE"""),11812.0)</f>
        <v>11812</v>
      </c>
      <c r="Q794" s="35">
        <f>IFERROR(__xludf.DUMMYFUNCTION("""COMPUTED_VALUE"""),28435.0)</f>
        <v>28435</v>
      </c>
    </row>
    <row r="795">
      <c r="A795" s="35">
        <f>IFERROR(__xludf.DUMMYFUNCTION("""COMPUTED_VALUE"""),810.0)</f>
        <v>810</v>
      </c>
      <c r="B795" s="35" t="str">
        <f>IFERROR(__xludf.DUMMYFUNCTION("""COMPUTED_VALUE"""),"Valid Tic-Tac-Toe State")</f>
        <v>Valid Tic-Tac-Toe State</v>
      </c>
      <c r="C795" s="35" t="str">
        <f>IFERROR(__xludf.DUMMYFUNCTION("""COMPUTED_VALUE"""),"valid-tic-tac-toe-state")</f>
        <v>valid-tic-tac-toe-state</v>
      </c>
      <c r="D795" s="35" t="b">
        <f>IFERROR(__xludf.DUMMYFUNCTION("""COMPUTED_VALUE"""),FALSE)</f>
        <v>0</v>
      </c>
      <c r="E795" s="35" t="str">
        <f>IFERROR(__xludf.DUMMYFUNCTION("""COMPUTED_VALUE"""),"Medium")</f>
        <v>Medium</v>
      </c>
      <c r="F795" s="35">
        <f>IFERROR(__xludf.DUMMYFUNCTION("""COMPUTED_VALUE"""),388.0)</f>
        <v>388</v>
      </c>
      <c r="G795" s="35">
        <f>IFERROR(__xludf.DUMMYFUNCTION("""COMPUTED_VALUE"""),934.0)</f>
        <v>934</v>
      </c>
      <c r="H795" s="35" t="str">
        <f>IFERROR(__xludf.DUMMYFUNCTION("""COMPUTED_VALUE"""),"Algorithms")</f>
        <v>Algorithms</v>
      </c>
      <c r="I795" s="35">
        <f>IFERROR(__xludf.DUMMYFUNCTION("""COMPUTED_VALUE"""),0.351)</f>
        <v>0.351</v>
      </c>
      <c r="J795" s="35">
        <f>IFERROR(__xludf.DUMMYFUNCTION("""COMPUTED_VALUE"""),794.0)</f>
        <v>794</v>
      </c>
      <c r="K795" s="35" t="b">
        <f>IFERROR(__xludf.DUMMYFUNCTION("""COMPUTED_VALUE"""),FALSE)</f>
        <v>0</v>
      </c>
      <c r="L795" s="35" t="str">
        <f>IFERROR(__xludf.DUMMYFUNCTION("""COMPUTED_VALUE"""),"Array;String;")</f>
        <v>Array;String;</v>
      </c>
      <c r="M795" s="35" t="b">
        <f>IFERROR(__xludf.DUMMYFUNCTION("""COMPUTED_VALUE"""),FALSE)</f>
        <v>0</v>
      </c>
      <c r="N795" s="35" t="b">
        <f>IFERROR(__xludf.DUMMYFUNCTION("""COMPUTED_VALUE"""),FALSE)</f>
        <v>0</v>
      </c>
      <c r="O795" s="35">
        <f>IFERROR(__xludf.DUMMYFUNCTION("""COMPUTED_VALUE"""),35.1320568370077)</f>
        <v>35.13205684</v>
      </c>
      <c r="P795" s="35">
        <f>IFERROR(__xludf.DUMMYFUNCTION("""COMPUTED_VALUE"""),44106.0)</f>
        <v>44106</v>
      </c>
      <c r="Q795" s="35">
        <f>IFERROR(__xludf.DUMMYFUNCTION("""COMPUTED_VALUE"""),125548.0)</f>
        <v>125548</v>
      </c>
    </row>
    <row r="796">
      <c r="A796" s="35">
        <f>IFERROR(__xludf.DUMMYFUNCTION("""COMPUTED_VALUE"""),811.0)</f>
        <v>811</v>
      </c>
      <c r="B796" s="35" t="str">
        <f>IFERROR(__xludf.DUMMYFUNCTION("""COMPUTED_VALUE"""),"Number of Subarrays with Bounded Maximum")</f>
        <v>Number of Subarrays with Bounded Maximum</v>
      </c>
      <c r="C796" s="35" t="str">
        <f>IFERROR(__xludf.DUMMYFUNCTION("""COMPUTED_VALUE"""),"number-of-subarrays-with-bounded-maximum")</f>
        <v>number-of-subarrays-with-bounded-maximum</v>
      </c>
      <c r="D796" s="35" t="b">
        <f>IFERROR(__xludf.DUMMYFUNCTION("""COMPUTED_VALUE"""),FALSE)</f>
        <v>0</v>
      </c>
      <c r="E796" s="35" t="str">
        <f>IFERROR(__xludf.DUMMYFUNCTION("""COMPUTED_VALUE"""),"Medium")</f>
        <v>Medium</v>
      </c>
      <c r="F796" s="35">
        <f>IFERROR(__xludf.DUMMYFUNCTION("""COMPUTED_VALUE"""),1553.0)</f>
        <v>1553</v>
      </c>
      <c r="G796" s="35">
        <f>IFERROR(__xludf.DUMMYFUNCTION("""COMPUTED_VALUE"""),89.0)</f>
        <v>89</v>
      </c>
      <c r="H796" s="35" t="str">
        <f>IFERROR(__xludf.DUMMYFUNCTION("""COMPUTED_VALUE"""),"Algorithms")</f>
        <v>Algorithms</v>
      </c>
      <c r="I796" s="35">
        <f>IFERROR(__xludf.DUMMYFUNCTION("""COMPUTED_VALUE"""),0.523)</f>
        <v>0.523</v>
      </c>
      <c r="J796" s="35">
        <f>IFERROR(__xludf.DUMMYFUNCTION("""COMPUTED_VALUE"""),795.0)</f>
        <v>795</v>
      </c>
      <c r="K796" s="35" t="b">
        <f>IFERROR(__xludf.DUMMYFUNCTION("""COMPUTED_VALUE"""),FALSE)</f>
        <v>0</v>
      </c>
      <c r="L796" s="35" t="str">
        <f>IFERROR(__xludf.DUMMYFUNCTION("""COMPUTED_VALUE"""),"Array;Two Pointers;")</f>
        <v>Array;Two Pointers;</v>
      </c>
      <c r="M796" s="35" t="b">
        <f>IFERROR(__xludf.DUMMYFUNCTION("""COMPUTED_VALUE"""),TRUE)</f>
        <v>1</v>
      </c>
      <c r="N796" s="35" t="b">
        <f>IFERROR(__xludf.DUMMYFUNCTION("""COMPUTED_VALUE"""),FALSE)</f>
        <v>0</v>
      </c>
      <c r="O796" s="35">
        <f>IFERROR(__xludf.DUMMYFUNCTION("""COMPUTED_VALUE"""),52.3306038894575)</f>
        <v>52.33060389</v>
      </c>
      <c r="P796" s="35">
        <f>IFERROR(__xludf.DUMMYFUNCTION("""COMPUTED_VALUE"""),51127.0)</f>
        <v>51127</v>
      </c>
      <c r="Q796" s="35">
        <f>IFERROR(__xludf.DUMMYFUNCTION("""COMPUTED_VALUE"""),97700.0)</f>
        <v>97700</v>
      </c>
    </row>
    <row r="797">
      <c r="A797" s="35">
        <f>IFERROR(__xludf.DUMMYFUNCTION("""COMPUTED_VALUE"""),812.0)</f>
        <v>812</v>
      </c>
      <c r="B797" s="35" t="str">
        <f>IFERROR(__xludf.DUMMYFUNCTION("""COMPUTED_VALUE"""),"Rotate String")</f>
        <v>Rotate String</v>
      </c>
      <c r="C797" s="35" t="str">
        <f>IFERROR(__xludf.DUMMYFUNCTION("""COMPUTED_VALUE"""),"rotate-string")</f>
        <v>rotate-string</v>
      </c>
      <c r="D797" s="35" t="b">
        <f>IFERROR(__xludf.DUMMYFUNCTION("""COMPUTED_VALUE"""),FALSE)</f>
        <v>0</v>
      </c>
      <c r="E797" s="35" t="str">
        <f>IFERROR(__xludf.DUMMYFUNCTION("""COMPUTED_VALUE"""),"Easy")</f>
        <v>Easy</v>
      </c>
      <c r="F797" s="35">
        <f>IFERROR(__xludf.DUMMYFUNCTION("""COMPUTED_VALUE"""),1715.0)</f>
        <v>1715</v>
      </c>
      <c r="G797" s="35">
        <f>IFERROR(__xludf.DUMMYFUNCTION("""COMPUTED_VALUE"""),82.0)</f>
        <v>82</v>
      </c>
      <c r="H797" s="35" t="str">
        <f>IFERROR(__xludf.DUMMYFUNCTION("""COMPUTED_VALUE"""),"Algorithms")</f>
        <v>Algorithms</v>
      </c>
      <c r="I797" s="35">
        <f>IFERROR(__xludf.DUMMYFUNCTION("""COMPUTED_VALUE"""),0.517)</f>
        <v>0.517</v>
      </c>
      <c r="J797" s="35">
        <f>IFERROR(__xludf.DUMMYFUNCTION("""COMPUTED_VALUE"""),796.0)</f>
        <v>796</v>
      </c>
      <c r="K797" s="35" t="b">
        <f>IFERROR(__xludf.DUMMYFUNCTION("""COMPUTED_VALUE"""),FALSE)</f>
        <v>0</v>
      </c>
      <c r="L797" s="35" t="str">
        <f>IFERROR(__xludf.DUMMYFUNCTION("""COMPUTED_VALUE"""),"String;String Matching;")</f>
        <v>String;String Matching;</v>
      </c>
      <c r="M797" s="35" t="b">
        <f>IFERROR(__xludf.DUMMYFUNCTION("""COMPUTED_VALUE"""),TRUE)</f>
        <v>1</v>
      </c>
      <c r="N797" s="35" t="b">
        <f>IFERROR(__xludf.DUMMYFUNCTION("""COMPUTED_VALUE"""),FALSE)</f>
        <v>0</v>
      </c>
      <c r="O797" s="35">
        <f>IFERROR(__xludf.DUMMYFUNCTION("""COMPUTED_VALUE"""),51.6881160194751)</f>
        <v>51.68811602</v>
      </c>
      <c r="P797" s="35">
        <f>IFERROR(__xludf.DUMMYFUNCTION("""COMPUTED_VALUE"""),139285.0)</f>
        <v>139285</v>
      </c>
      <c r="Q797" s="35">
        <f>IFERROR(__xludf.DUMMYFUNCTION("""COMPUTED_VALUE"""),269472.0)</f>
        <v>269472</v>
      </c>
    </row>
    <row r="798">
      <c r="A798" s="35">
        <f>IFERROR(__xludf.DUMMYFUNCTION("""COMPUTED_VALUE"""),813.0)</f>
        <v>813</v>
      </c>
      <c r="B798" s="35" t="str">
        <f>IFERROR(__xludf.DUMMYFUNCTION("""COMPUTED_VALUE"""),"All Paths From Source to Target")</f>
        <v>All Paths From Source to Target</v>
      </c>
      <c r="C798" s="35" t="str">
        <f>IFERROR(__xludf.DUMMYFUNCTION("""COMPUTED_VALUE"""),"all-paths-from-source-to-target")</f>
        <v>all-paths-from-source-to-target</v>
      </c>
      <c r="D798" s="35" t="b">
        <f>IFERROR(__xludf.DUMMYFUNCTION("""COMPUTED_VALUE"""),FALSE)</f>
        <v>0</v>
      </c>
      <c r="E798" s="35" t="str">
        <f>IFERROR(__xludf.DUMMYFUNCTION("""COMPUTED_VALUE"""),"Medium")</f>
        <v>Medium</v>
      </c>
      <c r="F798" s="35">
        <f>IFERROR(__xludf.DUMMYFUNCTION("""COMPUTED_VALUE"""),3810.0)</f>
        <v>3810</v>
      </c>
      <c r="G798" s="35">
        <f>IFERROR(__xludf.DUMMYFUNCTION("""COMPUTED_VALUE"""),113.0)</f>
        <v>113</v>
      </c>
      <c r="H798" s="35" t="str">
        <f>IFERROR(__xludf.DUMMYFUNCTION("""COMPUTED_VALUE"""),"Algorithms")</f>
        <v>Algorithms</v>
      </c>
      <c r="I798" s="35">
        <f>IFERROR(__xludf.DUMMYFUNCTION("""COMPUTED_VALUE"""),0.807)</f>
        <v>0.807</v>
      </c>
      <c r="J798" s="35">
        <f>IFERROR(__xludf.DUMMYFUNCTION("""COMPUTED_VALUE"""),797.0)</f>
        <v>797</v>
      </c>
      <c r="K798" s="35" t="b">
        <f>IFERROR(__xludf.DUMMYFUNCTION("""COMPUTED_VALUE"""),FALSE)</f>
        <v>0</v>
      </c>
      <c r="L798" s="35" t="str">
        <f>IFERROR(__xludf.DUMMYFUNCTION("""COMPUTED_VALUE"""),"Backtracking;Depth-First Search;Breadth-First Search;Graph;")</f>
        <v>Backtracking;Depth-First Search;Breadth-First Search;Graph;</v>
      </c>
      <c r="M798" s="35" t="b">
        <f>IFERROR(__xludf.DUMMYFUNCTION("""COMPUTED_VALUE"""),TRUE)</f>
        <v>1</v>
      </c>
      <c r="N798" s="35" t="b">
        <f>IFERROR(__xludf.DUMMYFUNCTION("""COMPUTED_VALUE"""),FALSE)</f>
        <v>0</v>
      </c>
      <c r="O798" s="35">
        <f>IFERROR(__xludf.DUMMYFUNCTION("""COMPUTED_VALUE"""),80.7424521233741)</f>
        <v>80.74245212</v>
      </c>
      <c r="P798" s="35">
        <f>IFERROR(__xludf.DUMMYFUNCTION("""COMPUTED_VALUE"""),257563.0)</f>
        <v>257563</v>
      </c>
      <c r="Q798" s="35">
        <f>IFERROR(__xludf.DUMMYFUNCTION("""COMPUTED_VALUE"""),318993.0)</f>
        <v>318993</v>
      </c>
    </row>
    <row r="799">
      <c r="A799" s="35">
        <f>IFERROR(__xludf.DUMMYFUNCTION("""COMPUTED_VALUE"""),814.0)</f>
        <v>814</v>
      </c>
      <c r="B799" s="35" t="str">
        <f>IFERROR(__xludf.DUMMYFUNCTION("""COMPUTED_VALUE"""),"Smallest Rotation with Highest Score")</f>
        <v>Smallest Rotation with Highest Score</v>
      </c>
      <c r="C799" s="35" t="str">
        <f>IFERROR(__xludf.DUMMYFUNCTION("""COMPUTED_VALUE"""),"smallest-rotation-with-highest-score")</f>
        <v>smallest-rotation-with-highest-score</v>
      </c>
      <c r="D799" s="35" t="b">
        <f>IFERROR(__xludf.DUMMYFUNCTION("""COMPUTED_VALUE"""),FALSE)</f>
        <v>0</v>
      </c>
      <c r="E799" s="35" t="str">
        <f>IFERROR(__xludf.DUMMYFUNCTION("""COMPUTED_VALUE"""),"Hard")</f>
        <v>Hard</v>
      </c>
      <c r="F799" s="35">
        <f>IFERROR(__xludf.DUMMYFUNCTION("""COMPUTED_VALUE"""),342.0)</f>
        <v>342</v>
      </c>
      <c r="G799" s="35">
        <f>IFERROR(__xludf.DUMMYFUNCTION("""COMPUTED_VALUE"""),21.0)</f>
        <v>21</v>
      </c>
      <c r="H799" s="35" t="str">
        <f>IFERROR(__xludf.DUMMYFUNCTION("""COMPUTED_VALUE"""),"Algorithms")</f>
        <v>Algorithms</v>
      </c>
      <c r="I799" s="35">
        <f>IFERROR(__xludf.DUMMYFUNCTION("""COMPUTED_VALUE"""),0.472)</f>
        <v>0.472</v>
      </c>
      <c r="J799" s="35">
        <f>IFERROR(__xludf.DUMMYFUNCTION("""COMPUTED_VALUE"""),798.0)</f>
        <v>798</v>
      </c>
      <c r="K799" s="35" t="b">
        <f>IFERROR(__xludf.DUMMYFUNCTION("""COMPUTED_VALUE"""),FALSE)</f>
        <v>0</v>
      </c>
      <c r="L799" s="35" t="str">
        <f>IFERROR(__xludf.DUMMYFUNCTION("""COMPUTED_VALUE"""),"Array;Prefix Sum;")</f>
        <v>Array;Prefix Sum;</v>
      </c>
      <c r="M799" s="35" t="b">
        <f>IFERROR(__xludf.DUMMYFUNCTION("""COMPUTED_VALUE"""),TRUE)</f>
        <v>1</v>
      </c>
      <c r="N799" s="35" t="b">
        <f>IFERROR(__xludf.DUMMYFUNCTION("""COMPUTED_VALUE"""),FALSE)</f>
        <v>0</v>
      </c>
      <c r="O799" s="35">
        <f>IFERROR(__xludf.DUMMYFUNCTION("""COMPUTED_VALUE"""),47.1996888543171)</f>
        <v>47.19968885</v>
      </c>
      <c r="P799" s="35">
        <f>IFERROR(__xludf.DUMMYFUNCTION("""COMPUTED_VALUE"""),8495.0)</f>
        <v>8495</v>
      </c>
      <c r="Q799" s="35">
        <f>IFERROR(__xludf.DUMMYFUNCTION("""COMPUTED_VALUE"""),17998.0)</f>
        <v>17998</v>
      </c>
    </row>
    <row r="800">
      <c r="A800" s="35">
        <f>IFERROR(__xludf.DUMMYFUNCTION("""COMPUTED_VALUE"""),815.0)</f>
        <v>815</v>
      </c>
      <c r="B800" s="35" t="str">
        <f>IFERROR(__xludf.DUMMYFUNCTION("""COMPUTED_VALUE"""),"Champagne Tower")</f>
        <v>Champagne Tower</v>
      </c>
      <c r="C800" s="35" t="str">
        <f>IFERROR(__xludf.DUMMYFUNCTION("""COMPUTED_VALUE"""),"champagne-tower")</f>
        <v>champagne-tower</v>
      </c>
      <c r="D800" s="35" t="b">
        <f>IFERROR(__xludf.DUMMYFUNCTION("""COMPUTED_VALUE"""),FALSE)</f>
        <v>0</v>
      </c>
      <c r="E800" s="35" t="str">
        <f>IFERROR(__xludf.DUMMYFUNCTION("""COMPUTED_VALUE"""),"Medium")</f>
        <v>Medium</v>
      </c>
      <c r="F800" s="35">
        <f>IFERROR(__xludf.DUMMYFUNCTION("""COMPUTED_VALUE"""),2236.0)</f>
        <v>2236</v>
      </c>
      <c r="G800" s="35">
        <f>IFERROR(__xludf.DUMMYFUNCTION("""COMPUTED_VALUE"""),127.0)</f>
        <v>127</v>
      </c>
      <c r="H800" s="35" t="str">
        <f>IFERROR(__xludf.DUMMYFUNCTION("""COMPUTED_VALUE"""),"Algorithms")</f>
        <v>Algorithms</v>
      </c>
      <c r="I800" s="35">
        <f>IFERROR(__xludf.DUMMYFUNCTION("""COMPUTED_VALUE"""),0.51)</f>
        <v>0.51</v>
      </c>
      <c r="J800" s="35">
        <f>IFERROR(__xludf.DUMMYFUNCTION("""COMPUTED_VALUE"""),799.0)</f>
        <v>799</v>
      </c>
      <c r="K800" s="35" t="b">
        <f>IFERROR(__xludf.DUMMYFUNCTION("""COMPUTED_VALUE"""),FALSE)</f>
        <v>0</v>
      </c>
      <c r="L800" s="35" t="str">
        <f>IFERROR(__xludf.DUMMYFUNCTION("""COMPUTED_VALUE"""),"Dynamic Programming;")</f>
        <v>Dynamic Programming;</v>
      </c>
      <c r="M800" s="35" t="b">
        <f>IFERROR(__xludf.DUMMYFUNCTION("""COMPUTED_VALUE"""),TRUE)</f>
        <v>1</v>
      </c>
      <c r="N800" s="35" t="b">
        <f>IFERROR(__xludf.DUMMYFUNCTION("""COMPUTED_VALUE"""),FALSE)</f>
        <v>0</v>
      </c>
      <c r="O800" s="35">
        <f>IFERROR(__xludf.DUMMYFUNCTION("""COMPUTED_VALUE"""),51.0469809945618)</f>
        <v>51.04698099</v>
      </c>
      <c r="P800" s="35">
        <f>IFERROR(__xludf.DUMMYFUNCTION("""COMPUTED_VALUE"""),72832.0)</f>
        <v>72832</v>
      </c>
      <c r="Q800" s="35">
        <f>IFERROR(__xludf.DUMMYFUNCTION("""COMPUTED_VALUE"""),142685.0)</f>
        <v>142685</v>
      </c>
    </row>
    <row r="801">
      <c r="A801" s="35">
        <f>IFERROR(__xludf.DUMMYFUNCTION("""COMPUTED_VALUE"""),818.0)</f>
        <v>818</v>
      </c>
      <c r="B801" s="35" t="str">
        <f>IFERROR(__xludf.DUMMYFUNCTION("""COMPUTED_VALUE"""),"Similar RGB Color")</f>
        <v>Similar RGB Color</v>
      </c>
      <c r="C801" s="35" t="str">
        <f>IFERROR(__xludf.DUMMYFUNCTION("""COMPUTED_VALUE"""),"similar-rgb-color")</f>
        <v>similar-rgb-color</v>
      </c>
      <c r="D801" s="35" t="b">
        <f>IFERROR(__xludf.DUMMYFUNCTION("""COMPUTED_VALUE"""),TRUE)</f>
        <v>1</v>
      </c>
      <c r="E801" s="35" t="str">
        <f>IFERROR(__xludf.DUMMYFUNCTION("""COMPUTED_VALUE"""),"Easy")</f>
        <v>Easy</v>
      </c>
      <c r="F801" s="35">
        <f>IFERROR(__xludf.DUMMYFUNCTION("""COMPUTED_VALUE"""),79.0)</f>
        <v>79</v>
      </c>
      <c r="G801" s="35">
        <f>IFERROR(__xludf.DUMMYFUNCTION("""COMPUTED_VALUE"""),483.0)</f>
        <v>483</v>
      </c>
      <c r="H801" s="35" t="str">
        <f>IFERROR(__xludf.DUMMYFUNCTION("""COMPUTED_VALUE"""),"Algorithms")</f>
        <v>Algorithms</v>
      </c>
      <c r="I801" s="35">
        <f>IFERROR(__xludf.DUMMYFUNCTION("""COMPUTED_VALUE"""),0.637)</f>
        <v>0.637</v>
      </c>
      <c r="J801" s="35">
        <f>IFERROR(__xludf.DUMMYFUNCTION("""COMPUTED_VALUE"""),800.0)</f>
        <v>800</v>
      </c>
      <c r="K801" s="35" t="b">
        <f>IFERROR(__xludf.DUMMYFUNCTION("""COMPUTED_VALUE"""),TRUE)</f>
        <v>1</v>
      </c>
      <c r="L801" s="35" t="str">
        <f>IFERROR(__xludf.DUMMYFUNCTION("""COMPUTED_VALUE"""),"Math;String;Enumeration;")</f>
        <v>Math;String;Enumeration;</v>
      </c>
      <c r="M801" s="35" t="b">
        <f>IFERROR(__xludf.DUMMYFUNCTION("""COMPUTED_VALUE"""),FALSE)</f>
        <v>0</v>
      </c>
      <c r="N801" s="35" t="b">
        <f>IFERROR(__xludf.DUMMYFUNCTION("""COMPUTED_VALUE"""),FALSE)</f>
        <v>0</v>
      </c>
      <c r="O801" s="35">
        <f>IFERROR(__xludf.DUMMYFUNCTION("""COMPUTED_VALUE"""),63.6503224485617)</f>
        <v>63.65032245</v>
      </c>
      <c r="P801" s="35">
        <f>IFERROR(__xludf.DUMMYFUNCTION("""COMPUTED_VALUE"""),12436.0)</f>
        <v>12436</v>
      </c>
      <c r="Q801" s="35">
        <f>IFERROR(__xludf.DUMMYFUNCTION("""COMPUTED_VALUE"""),19538.0)</f>
        <v>19538</v>
      </c>
    </row>
    <row r="802">
      <c r="A802" s="35">
        <f>IFERROR(__xludf.DUMMYFUNCTION("""COMPUTED_VALUE"""),819.0)</f>
        <v>819</v>
      </c>
      <c r="B802" s="35" t="str">
        <f>IFERROR(__xludf.DUMMYFUNCTION("""COMPUTED_VALUE"""),"Minimum Swaps To Make Sequences Increasing")</f>
        <v>Minimum Swaps To Make Sequences Increasing</v>
      </c>
      <c r="C802" s="35" t="str">
        <f>IFERROR(__xludf.DUMMYFUNCTION("""COMPUTED_VALUE"""),"minimum-swaps-to-make-sequences-increasing")</f>
        <v>minimum-swaps-to-make-sequences-increasing</v>
      </c>
      <c r="D802" s="35" t="b">
        <f>IFERROR(__xludf.DUMMYFUNCTION("""COMPUTED_VALUE"""),FALSE)</f>
        <v>0</v>
      </c>
      <c r="E802" s="35" t="str">
        <f>IFERROR(__xludf.DUMMYFUNCTION("""COMPUTED_VALUE"""),"Hard")</f>
        <v>Hard</v>
      </c>
      <c r="F802" s="35">
        <f>IFERROR(__xludf.DUMMYFUNCTION("""COMPUTED_VALUE"""),1942.0)</f>
        <v>1942</v>
      </c>
      <c r="G802" s="35">
        <f>IFERROR(__xludf.DUMMYFUNCTION("""COMPUTED_VALUE"""),123.0)</f>
        <v>123</v>
      </c>
      <c r="H802" s="35" t="str">
        <f>IFERROR(__xludf.DUMMYFUNCTION("""COMPUTED_VALUE"""),"Algorithms")</f>
        <v>Algorithms</v>
      </c>
      <c r="I802" s="35">
        <f>IFERROR(__xludf.DUMMYFUNCTION("""COMPUTED_VALUE"""),0.392)</f>
        <v>0.392</v>
      </c>
      <c r="J802" s="35">
        <f>IFERROR(__xludf.DUMMYFUNCTION("""COMPUTED_VALUE"""),801.0)</f>
        <v>801</v>
      </c>
      <c r="K802" s="35" t="b">
        <f>IFERROR(__xludf.DUMMYFUNCTION("""COMPUTED_VALUE"""),FALSE)</f>
        <v>0</v>
      </c>
      <c r="L802" s="35" t="str">
        <f>IFERROR(__xludf.DUMMYFUNCTION("""COMPUTED_VALUE"""),"Array;Dynamic Programming;")</f>
        <v>Array;Dynamic Programming;</v>
      </c>
      <c r="M802" s="35" t="b">
        <f>IFERROR(__xludf.DUMMYFUNCTION("""COMPUTED_VALUE"""),FALSE)</f>
        <v>0</v>
      </c>
      <c r="N802" s="35" t="b">
        <f>IFERROR(__xludf.DUMMYFUNCTION("""COMPUTED_VALUE"""),FALSE)</f>
        <v>0</v>
      </c>
      <c r="O802" s="35">
        <f>IFERROR(__xludf.DUMMYFUNCTION("""COMPUTED_VALUE"""),39.2093457518274)</f>
        <v>39.20934575</v>
      </c>
      <c r="P802" s="35">
        <f>IFERROR(__xludf.DUMMYFUNCTION("""COMPUTED_VALUE"""),51654.0)</f>
        <v>51654</v>
      </c>
      <c r="Q802" s="35">
        <f>IFERROR(__xludf.DUMMYFUNCTION("""COMPUTED_VALUE"""),131739.0)</f>
        <v>131739</v>
      </c>
    </row>
    <row r="803">
      <c r="A803" s="35">
        <f>IFERROR(__xludf.DUMMYFUNCTION("""COMPUTED_VALUE"""),820.0)</f>
        <v>820</v>
      </c>
      <c r="B803" s="35" t="str">
        <f>IFERROR(__xludf.DUMMYFUNCTION("""COMPUTED_VALUE"""),"Find Eventual Safe States")</f>
        <v>Find Eventual Safe States</v>
      </c>
      <c r="C803" s="35" t="str">
        <f>IFERROR(__xludf.DUMMYFUNCTION("""COMPUTED_VALUE"""),"find-eventual-safe-states")</f>
        <v>find-eventual-safe-states</v>
      </c>
      <c r="D803" s="35" t="b">
        <f>IFERROR(__xludf.DUMMYFUNCTION("""COMPUTED_VALUE"""),FALSE)</f>
        <v>0</v>
      </c>
      <c r="E803" s="35" t="str">
        <f>IFERROR(__xludf.DUMMYFUNCTION("""COMPUTED_VALUE"""),"Medium")</f>
        <v>Medium</v>
      </c>
      <c r="F803" s="35">
        <f>IFERROR(__xludf.DUMMYFUNCTION("""COMPUTED_VALUE"""),1847.0)</f>
        <v>1847</v>
      </c>
      <c r="G803" s="35">
        <f>IFERROR(__xludf.DUMMYFUNCTION("""COMPUTED_VALUE"""),305.0)</f>
        <v>305</v>
      </c>
      <c r="H803" s="35" t="str">
        <f>IFERROR(__xludf.DUMMYFUNCTION("""COMPUTED_VALUE"""),"Algorithms")</f>
        <v>Algorithms</v>
      </c>
      <c r="I803" s="35">
        <f>IFERROR(__xludf.DUMMYFUNCTION("""COMPUTED_VALUE"""),0.521)</f>
        <v>0.521</v>
      </c>
      <c r="J803" s="35">
        <f>IFERROR(__xludf.DUMMYFUNCTION("""COMPUTED_VALUE"""),802.0)</f>
        <v>802</v>
      </c>
      <c r="K803" s="35" t="b">
        <f>IFERROR(__xludf.DUMMYFUNCTION("""COMPUTED_VALUE"""),FALSE)</f>
        <v>0</v>
      </c>
      <c r="L803" s="35" t="str">
        <f>IFERROR(__xludf.DUMMYFUNCTION("""COMPUTED_VALUE"""),"Depth-First Search;Breadth-First Search;Graph;Topological Sort;")</f>
        <v>Depth-First Search;Breadth-First Search;Graph;Topological Sort;</v>
      </c>
      <c r="M803" s="35" t="b">
        <f>IFERROR(__xludf.DUMMYFUNCTION("""COMPUTED_VALUE"""),TRUE)</f>
        <v>1</v>
      </c>
      <c r="N803" s="35" t="b">
        <f>IFERROR(__xludf.DUMMYFUNCTION("""COMPUTED_VALUE"""),FALSE)</f>
        <v>0</v>
      </c>
      <c r="O803" s="35">
        <f>IFERROR(__xludf.DUMMYFUNCTION("""COMPUTED_VALUE"""),52.0635310432496)</f>
        <v>52.06353104</v>
      </c>
      <c r="P803" s="35">
        <f>IFERROR(__xludf.DUMMYFUNCTION("""COMPUTED_VALUE"""),72081.0)</f>
        <v>72081</v>
      </c>
      <c r="Q803" s="35">
        <f>IFERROR(__xludf.DUMMYFUNCTION("""COMPUTED_VALUE"""),138450.0)</f>
        <v>138450</v>
      </c>
    </row>
    <row r="804">
      <c r="A804" s="35">
        <f>IFERROR(__xludf.DUMMYFUNCTION("""COMPUTED_VALUE"""),821.0)</f>
        <v>821</v>
      </c>
      <c r="B804" s="35" t="str">
        <f>IFERROR(__xludf.DUMMYFUNCTION("""COMPUTED_VALUE"""),"Bricks Falling When Hit")</f>
        <v>Bricks Falling When Hit</v>
      </c>
      <c r="C804" s="35" t="str">
        <f>IFERROR(__xludf.DUMMYFUNCTION("""COMPUTED_VALUE"""),"bricks-falling-when-hit")</f>
        <v>bricks-falling-when-hit</v>
      </c>
      <c r="D804" s="35" t="b">
        <f>IFERROR(__xludf.DUMMYFUNCTION("""COMPUTED_VALUE"""),FALSE)</f>
        <v>0</v>
      </c>
      <c r="E804" s="35" t="str">
        <f>IFERROR(__xludf.DUMMYFUNCTION("""COMPUTED_VALUE"""),"Hard")</f>
        <v>Hard</v>
      </c>
      <c r="F804" s="35">
        <f>IFERROR(__xludf.DUMMYFUNCTION("""COMPUTED_VALUE"""),771.0)</f>
        <v>771</v>
      </c>
      <c r="G804" s="35">
        <f>IFERROR(__xludf.DUMMYFUNCTION("""COMPUTED_VALUE"""),168.0)</f>
        <v>168</v>
      </c>
      <c r="H804" s="35" t="str">
        <f>IFERROR(__xludf.DUMMYFUNCTION("""COMPUTED_VALUE"""),"Algorithms")</f>
        <v>Algorithms</v>
      </c>
      <c r="I804" s="35">
        <f>IFERROR(__xludf.DUMMYFUNCTION("""COMPUTED_VALUE"""),0.336)</f>
        <v>0.336</v>
      </c>
      <c r="J804" s="35">
        <f>IFERROR(__xludf.DUMMYFUNCTION("""COMPUTED_VALUE"""),803.0)</f>
        <v>803</v>
      </c>
      <c r="K804" s="35" t="b">
        <f>IFERROR(__xludf.DUMMYFUNCTION("""COMPUTED_VALUE"""),FALSE)</f>
        <v>0</v>
      </c>
      <c r="L804" s="35" t="str">
        <f>IFERROR(__xludf.DUMMYFUNCTION("""COMPUTED_VALUE"""),"Array;Union Find;Matrix;")</f>
        <v>Array;Union Find;Matrix;</v>
      </c>
      <c r="M804" s="35" t="b">
        <f>IFERROR(__xludf.DUMMYFUNCTION("""COMPUTED_VALUE"""),TRUE)</f>
        <v>1</v>
      </c>
      <c r="N804" s="35" t="b">
        <f>IFERROR(__xludf.DUMMYFUNCTION("""COMPUTED_VALUE"""),FALSE)</f>
        <v>0</v>
      </c>
      <c r="O804" s="35">
        <f>IFERROR(__xludf.DUMMYFUNCTION("""COMPUTED_VALUE"""),33.6434477259055)</f>
        <v>33.64344773</v>
      </c>
      <c r="P804" s="35">
        <f>IFERROR(__xludf.DUMMYFUNCTION("""COMPUTED_VALUE"""),24048.0)</f>
        <v>24048</v>
      </c>
      <c r="Q804" s="35">
        <f>IFERROR(__xludf.DUMMYFUNCTION("""COMPUTED_VALUE"""),71479.0)</f>
        <v>71479</v>
      </c>
    </row>
    <row r="805">
      <c r="A805" s="35">
        <f>IFERROR(__xludf.DUMMYFUNCTION("""COMPUTED_VALUE"""),822.0)</f>
        <v>822</v>
      </c>
      <c r="B805" s="35" t="str">
        <f>IFERROR(__xludf.DUMMYFUNCTION("""COMPUTED_VALUE"""),"Unique Morse Code Words")</f>
        <v>Unique Morse Code Words</v>
      </c>
      <c r="C805" s="35" t="str">
        <f>IFERROR(__xludf.DUMMYFUNCTION("""COMPUTED_VALUE"""),"unique-morse-code-words")</f>
        <v>unique-morse-code-words</v>
      </c>
      <c r="D805" s="35" t="b">
        <f>IFERROR(__xludf.DUMMYFUNCTION("""COMPUTED_VALUE"""),FALSE)</f>
        <v>0</v>
      </c>
      <c r="E805" s="35" t="str">
        <f>IFERROR(__xludf.DUMMYFUNCTION("""COMPUTED_VALUE"""),"Easy")</f>
        <v>Easy</v>
      </c>
      <c r="F805" s="35">
        <f>IFERROR(__xludf.DUMMYFUNCTION("""COMPUTED_VALUE"""),1172.0)</f>
        <v>1172</v>
      </c>
      <c r="G805" s="35">
        <f>IFERROR(__xludf.DUMMYFUNCTION("""COMPUTED_VALUE"""),1003.0)</f>
        <v>1003</v>
      </c>
      <c r="H805" s="35" t="str">
        <f>IFERROR(__xludf.DUMMYFUNCTION("""COMPUTED_VALUE"""),"Algorithms")</f>
        <v>Algorithms</v>
      </c>
      <c r="I805" s="35">
        <f>IFERROR(__xludf.DUMMYFUNCTION("""COMPUTED_VALUE"""),0.799)</f>
        <v>0.799</v>
      </c>
      <c r="J805" s="35">
        <f>IFERROR(__xludf.DUMMYFUNCTION("""COMPUTED_VALUE"""),804.0)</f>
        <v>804</v>
      </c>
      <c r="K805" s="35" t="b">
        <f>IFERROR(__xludf.DUMMYFUNCTION("""COMPUTED_VALUE"""),FALSE)</f>
        <v>0</v>
      </c>
      <c r="L805" s="35" t="str">
        <f>IFERROR(__xludf.DUMMYFUNCTION("""COMPUTED_VALUE"""),"Array;Hash Table;String;")</f>
        <v>Array;Hash Table;String;</v>
      </c>
      <c r="M805" s="35" t="b">
        <f>IFERROR(__xludf.DUMMYFUNCTION("""COMPUTED_VALUE"""),TRUE)</f>
        <v>1</v>
      </c>
      <c r="N805" s="35" t="b">
        <f>IFERROR(__xludf.DUMMYFUNCTION("""COMPUTED_VALUE"""),FALSE)</f>
        <v>0</v>
      </c>
      <c r="O805" s="35">
        <f>IFERROR(__xludf.DUMMYFUNCTION("""COMPUTED_VALUE"""),79.8591101935249)</f>
        <v>79.85911019</v>
      </c>
      <c r="P805" s="35">
        <f>IFERROR(__xludf.DUMMYFUNCTION("""COMPUTED_VALUE"""),211197.0)</f>
        <v>211197</v>
      </c>
      <c r="Q805" s="35">
        <f>IFERROR(__xludf.DUMMYFUNCTION("""COMPUTED_VALUE"""),264462.0)</f>
        <v>264462</v>
      </c>
    </row>
    <row r="806">
      <c r="A806" s="35">
        <f>IFERROR(__xludf.DUMMYFUNCTION("""COMPUTED_VALUE"""),823.0)</f>
        <v>823</v>
      </c>
      <c r="B806" s="35" t="str">
        <f>IFERROR(__xludf.DUMMYFUNCTION("""COMPUTED_VALUE"""),"Split Array With Same Average")</f>
        <v>Split Array With Same Average</v>
      </c>
      <c r="C806" s="35" t="str">
        <f>IFERROR(__xludf.DUMMYFUNCTION("""COMPUTED_VALUE"""),"split-array-with-same-average")</f>
        <v>split-array-with-same-average</v>
      </c>
      <c r="D806" s="35" t="b">
        <f>IFERROR(__xludf.DUMMYFUNCTION("""COMPUTED_VALUE"""),FALSE)</f>
        <v>0</v>
      </c>
      <c r="E806" s="35" t="str">
        <f>IFERROR(__xludf.DUMMYFUNCTION("""COMPUTED_VALUE"""),"Hard")</f>
        <v>Hard</v>
      </c>
      <c r="F806" s="35">
        <f>IFERROR(__xludf.DUMMYFUNCTION("""COMPUTED_VALUE"""),784.0)</f>
        <v>784</v>
      </c>
      <c r="G806" s="35">
        <f>IFERROR(__xludf.DUMMYFUNCTION("""COMPUTED_VALUE"""),113.0)</f>
        <v>113</v>
      </c>
      <c r="H806" s="35" t="str">
        <f>IFERROR(__xludf.DUMMYFUNCTION("""COMPUTED_VALUE"""),"Algorithms")</f>
        <v>Algorithms</v>
      </c>
      <c r="I806" s="35">
        <f>IFERROR(__xludf.DUMMYFUNCTION("""COMPUTED_VALUE"""),0.265)</f>
        <v>0.265</v>
      </c>
      <c r="J806" s="35">
        <f>IFERROR(__xludf.DUMMYFUNCTION("""COMPUTED_VALUE"""),805.0)</f>
        <v>805</v>
      </c>
      <c r="K806" s="35" t="b">
        <f>IFERROR(__xludf.DUMMYFUNCTION("""COMPUTED_VALUE"""),FALSE)</f>
        <v>0</v>
      </c>
      <c r="L806" s="35" t="str">
        <f>IFERROR(__xludf.DUMMYFUNCTION("""COMPUTED_VALUE"""),"Array;Math;Dynamic Programming;Bit Manipulation;Bitmask;")</f>
        <v>Array;Math;Dynamic Programming;Bit Manipulation;Bitmask;</v>
      </c>
      <c r="M806" s="35" t="b">
        <f>IFERROR(__xludf.DUMMYFUNCTION("""COMPUTED_VALUE"""),FALSE)</f>
        <v>0</v>
      </c>
      <c r="N806" s="35" t="b">
        <f>IFERROR(__xludf.DUMMYFUNCTION("""COMPUTED_VALUE"""),FALSE)</f>
        <v>0</v>
      </c>
      <c r="O806" s="35">
        <f>IFERROR(__xludf.DUMMYFUNCTION("""COMPUTED_VALUE"""),26.5477529594514)</f>
        <v>26.54775296</v>
      </c>
      <c r="P806" s="35">
        <f>IFERROR(__xludf.DUMMYFUNCTION("""COMPUTED_VALUE"""),24781.0)</f>
        <v>24781</v>
      </c>
      <c r="Q806" s="35">
        <f>IFERROR(__xludf.DUMMYFUNCTION("""COMPUTED_VALUE"""),93345.0)</f>
        <v>93345</v>
      </c>
    </row>
    <row r="807">
      <c r="A807" s="35">
        <f>IFERROR(__xludf.DUMMYFUNCTION("""COMPUTED_VALUE"""),824.0)</f>
        <v>824</v>
      </c>
      <c r="B807" s="35" t="str">
        <f>IFERROR(__xludf.DUMMYFUNCTION("""COMPUTED_VALUE"""),"Number of Lines To Write String")</f>
        <v>Number of Lines To Write String</v>
      </c>
      <c r="C807" s="35" t="str">
        <f>IFERROR(__xludf.DUMMYFUNCTION("""COMPUTED_VALUE"""),"number-of-lines-to-write-string")</f>
        <v>number-of-lines-to-write-string</v>
      </c>
      <c r="D807" s="35" t="b">
        <f>IFERROR(__xludf.DUMMYFUNCTION("""COMPUTED_VALUE"""),FALSE)</f>
        <v>0</v>
      </c>
      <c r="E807" s="35" t="str">
        <f>IFERROR(__xludf.DUMMYFUNCTION("""COMPUTED_VALUE"""),"Easy")</f>
        <v>Easy</v>
      </c>
      <c r="F807" s="35">
        <f>IFERROR(__xludf.DUMMYFUNCTION("""COMPUTED_VALUE"""),365.0)</f>
        <v>365</v>
      </c>
      <c r="G807" s="35">
        <f>IFERROR(__xludf.DUMMYFUNCTION("""COMPUTED_VALUE"""),1103.0)</f>
        <v>1103</v>
      </c>
      <c r="H807" s="35" t="str">
        <f>IFERROR(__xludf.DUMMYFUNCTION("""COMPUTED_VALUE"""),"Algorithms")</f>
        <v>Algorithms</v>
      </c>
      <c r="I807" s="35">
        <f>IFERROR(__xludf.DUMMYFUNCTION("""COMPUTED_VALUE"""),0.66)</f>
        <v>0.66</v>
      </c>
      <c r="J807" s="35">
        <f>IFERROR(__xludf.DUMMYFUNCTION("""COMPUTED_VALUE"""),806.0)</f>
        <v>806</v>
      </c>
      <c r="K807" s="35" t="b">
        <f>IFERROR(__xludf.DUMMYFUNCTION("""COMPUTED_VALUE"""),FALSE)</f>
        <v>0</v>
      </c>
      <c r="L807" s="35" t="str">
        <f>IFERROR(__xludf.DUMMYFUNCTION("""COMPUTED_VALUE"""),"Array;String;")</f>
        <v>Array;String;</v>
      </c>
      <c r="M807" s="35" t="b">
        <f>IFERROR(__xludf.DUMMYFUNCTION("""COMPUTED_VALUE"""),TRUE)</f>
        <v>1</v>
      </c>
      <c r="N807" s="35" t="b">
        <f>IFERROR(__xludf.DUMMYFUNCTION("""COMPUTED_VALUE"""),FALSE)</f>
        <v>0</v>
      </c>
      <c r="O807" s="35">
        <f>IFERROR(__xludf.DUMMYFUNCTION("""COMPUTED_VALUE"""),65.9691671603786)</f>
        <v>65.96916716</v>
      </c>
      <c r="P807" s="35">
        <f>IFERROR(__xludf.DUMMYFUNCTION("""COMPUTED_VALUE"""),52334.0)</f>
        <v>52334</v>
      </c>
      <c r="Q807" s="35">
        <f>IFERROR(__xludf.DUMMYFUNCTION("""COMPUTED_VALUE"""),79331.0)</f>
        <v>79331</v>
      </c>
    </row>
    <row r="808">
      <c r="A808" s="35">
        <f>IFERROR(__xludf.DUMMYFUNCTION("""COMPUTED_VALUE"""),825.0)</f>
        <v>825</v>
      </c>
      <c r="B808" s="35" t="str">
        <f>IFERROR(__xludf.DUMMYFUNCTION("""COMPUTED_VALUE"""),"Max Increase to Keep City Skyline")</f>
        <v>Max Increase to Keep City Skyline</v>
      </c>
      <c r="C808" s="35" t="str">
        <f>IFERROR(__xludf.DUMMYFUNCTION("""COMPUTED_VALUE"""),"max-increase-to-keep-city-skyline")</f>
        <v>max-increase-to-keep-city-skyline</v>
      </c>
      <c r="D808" s="35" t="b">
        <f>IFERROR(__xludf.DUMMYFUNCTION("""COMPUTED_VALUE"""),FALSE)</f>
        <v>0</v>
      </c>
      <c r="E808" s="35" t="str">
        <f>IFERROR(__xludf.DUMMYFUNCTION("""COMPUTED_VALUE"""),"Medium")</f>
        <v>Medium</v>
      </c>
      <c r="F808" s="35">
        <f>IFERROR(__xludf.DUMMYFUNCTION("""COMPUTED_VALUE"""),1634.0)</f>
        <v>1634</v>
      </c>
      <c r="G808" s="35">
        <f>IFERROR(__xludf.DUMMYFUNCTION("""COMPUTED_VALUE"""),407.0)</f>
        <v>407</v>
      </c>
      <c r="H808" s="35" t="str">
        <f>IFERROR(__xludf.DUMMYFUNCTION("""COMPUTED_VALUE"""),"Algorithms")</f>
        <v>Algorithms</v>
      </c>
      <c r="I808" s="35">
        <f>IFERROR(__xludf.DUMMYFUNCTION("""COMPUTED_VALUE"""),0.854)</f>
        <v>0.854</v>
      </c>
      <c r="J808" s="35">
        <f>IFERROR(__xludf.DUMMYFUNCTION("""COMPUTED_VALUE"""),807.0)</f>
        <v>807</v>
      </c>
      <c r="K808" s="35" t="b">
        <f>IFERROR(__xludf.DUMMYFUNCTION("""COMPUTED_VALUE"""),FALSE)</f>
        <v>0</v>
      </c>
      <c r="L808" s="35" t="str">
        <f>IFERROR(__xludf.DUMMYFUNCTION("""COMPUTED_VALUE"""),"Array;Greedy;Matrix;")</f>
        <v>Array;Greedy;Matrix;</v>
      </c>
      <c r="M808" s="35" t="b">
        <f>IFERROR(__xludf.DUMMYFUNCTION("""COMPUTED_VALUE"""),TRUE)</f>
        <v>1</v>
      </c>
      <c r="N808" s="35" t="b">
        <f>IFERROR(__xludf.DUMMYFUNCTION("""COMPUTED_VALUE"""),FALSE)</f>
        <v>0</v>
      </c>
      <c r="O808" s="35">
        <f>IFERROR(__xludf.DUMMYFUNCTION("""COMPUTED_VALUE"""),85.4009993975263)</f>
        <v>85.4009994</v>
      </c>
      <c r="P808" s="35">
        <f>IFERROR(__xludf.DUMMYFUNCTION("""COMPUTED_VALUE"""),120488.0)</f>
        <v>120488</v>
      </c>
      <c r="Q808" s="35">
        <f>IFERROR(__xludf.DUMMYFUNCTION("""COMPUTED_VALUE"""),141085.0)</f>
        <v>141085</v>
      </c>
    </row>
    <row r="809">
      <c r="A809" s="35">
        <f>IFERROR(__xludf.DUMMYFUNCTION("""COMPUTED_VALUE"""),826.0)</f>
        <v>826</v>
      </c>
      <c r="B809" s="35" t="str">
        <f>IFERROR(__xludf.DUMMYFUNCTION("""COMPUTED_VALUE"""),"Soup Servings")</f>
        <v>Soup Servings</v>
      </c>
      <c r="C809" s="35" t="str">
        <f>IFERROR(__xludf.DUMMYFUNCTION("""COMPUTED_VALUE"""),"soup-servings")</f>
        <v>soup-servings</v>
      </c>
      <c r="D809" s="35" t="b">
        <f>IFERROR(__xludf.DUMMYFUNCTION("""COMPUTED_VALUE"""),FALSE)</f>
        <v>0</v>
      </c>
      <c r="E809" s="35" t="str">
        <f>IFERROR(__xludf.DUMMYFUNCTION("""COMPUTED_VALUE"""),"Medium")</f>
        <v>Medium</v>
      </c>
      <c r="F809" s="35">
        <f>IFERROR(__xludf.DUMMYFUNCTION("""COMPUTED_VALUE"""),248.0)</f>
        <v>248</v>
      </c>
      <c r="G809" s="35">
        <f>IFERROR(__xludf.DUMMYFUNCTION("""COMPUTED_VALUE"""),735.0)</f>
        <v>735</v>
      </c>
      <c r="H809" s="35" t="str">
        <f>IFERROR(__xludf.DUMMYFUNCTION("""COMPUTED_VALUE"""),"Algorithms")</f>
        <v>Algorithms</v>
      </c>
      <c r="I809" s="35">
        <f>IFERROR(__xludf.DUMMYFUNCTION("""COMPUTED_VALUE"""),0.422)</f>
        <v>0.422</v>
      </c>
      <c r="J809" s="35">
        <f>IFERROR(__xludf.DUMMYFUNCTION("""COMPUTED_VALUE"""),808.0)</f>
        <v>808</v>
      </c>
      <c r="K809" s="35" t="b">
        <f>IFERROR(__xludf.DUMMYFUNCTION("""COMPUTED_VALUE"""),FALSE)</f>
        <v>0</v>
      </c>
      <c r="L809" s="35" t="str">
        <f>IFERROR(__xludf.DUMMYFUNCTION("""COMPUTED_VALUE"""),"Math;Dynamic Programming;Probability and Statistics;")</f>
        <v>Math;Dynamic Programming;Probability and Statistics;</v>
      </c>
      <c r="M809" s="35" t="b">
        <f>IFERROR(__xludf.DUMMYFUNCTION("""COMPUTED_VALUE"""),FALSE)</f>
        <v>0</v>
      </c>
      <c r="N809" s="35" t="b">
        <f>IFERROR(__xludf.DUMMYFUNCTION("""COMPUTED_VALUE"""),FALSE)</f>
        <v>0</v>
      </c>
      <c r="O809" s="35">
        <f>IFERROR(__xludf.DUMMYFUNCTION("""COMPUTED_VALUE"""),42.2354598274546)</f>
        <v>42.23545983</v>
      </c>
      <c r="P809" s="35">
        <f>IFERROR(__xludf.DUMMYFUNCTION("""COMPUTED_VALUE"""),14393.0)</f>
        <v>14393</v>
      </c>
      <c r="Q809" s="35">
        <f>IFERROR(__xludf.DUMMYFUNCTION("""COMPUTED_VALUE"""),34078.0)</f>
        <v>34078</v>
      </c>
    </row>
    <row r="810">
      <c r="A810" s="35">
        <f>IFERROR(__xludf.DUMMYFUNCTION("""COMPUTED_VALUE"""),827.0)</f>
        <v>827</v>
      </c>
      <c r="B810" s="35" t="str">
        <f>IFERROR(__xludf.DUMMYFUNCTION("""COMPUTED_VALUE"""),"Expressive Words")</f>
        <v>Expressive Words</v>
      </c>
      <c r="C810" s="35" t="str">
        <f>IFERROR(__xludf.DUMMYFUNCTION("""COMPUTED_VALUE"""),"expressive-words")</f>
        <v>expressive-words</v>
      </c>
      <c r="D810" s="35" t="b">
        <f>IFERROR(__xludf.DUMMYFUNCTION("""COMPUTED_VALUE"""),FALSE)</f>
        <v>0</v>
      </c>
      <c r="E810" s="35" t="str">
        <f>IFERROR(__xludf.DUMMYFUNCTION("""COMPUTED_VALUE"""),"Medium")</f>
        <v>Medium</v>
      </c>
      <c r="F810" s="35">
        <f>IFERROR(__xludf.DUMMYFUNCTION("""COMPUTED_VALUE"""),685.0)</f>
        <v>685</v>
      </c>
      <c r="G810" s="35">
        <f>IFERROR(__xludf.DUMMYFUNCTION("""COMPUTED_VALUE"""),1591.0)</f>
        <v>1591</v>
      </c>
      <c r="H810" s="35" t="str">
        <f>IFERROR(__xludf.DUMMYFUNCTION("""COMPUTED_VALUE"""),"Algorithms")</f>
        <v>Algorithms</v>
      </c>
      <c r="I810" s="35">
        <f>IFERROR(__xludf.DUMMYFUNCTION("""COMPUTED_VALUE"""),0.463)</f>
        <v>0.463</v>
      </c>
      <c r="J810" s="35">
        <f>IFERROR(__xludf.DUMMYFUNCTION("""COMPUTED_VALUE"""),809.0)</f>
        <v>809</v>
      </c>
      <c r="K810" s="35" t="b">
        <f>IFERROR(__xludf.DUMMYFUNCTION("""COMPUTED_VALUE"""),FALSE)</f>
        <v>0</v>
      </c>
      <c r="L810" s="35" t="str">
        <f>IFERROR(__xludf.DUMMYFUNCTION("""COMPUTED_VALUE"""),"Array;Two Pointers;String;")</f>
        <v>Array;Two Pointers;String;</v>
      </c>
      <c r="M810" s="35" t="b">
        <f>IFERROR(__xludf.DUMMYFUNCTION("""COMPUTED_VALUE"""),FALSE)</f>
        <v>0</v>
      </c>
      <c r="N810" s="35" t="b">
        <f>IFERROR(__xludf.DUMMYFUNCTION("""COMPUTED_VALUE"""),FALSE)</f>
        <v>0</v>
      </c>
      <c r="O810" s="35">
        <f>IFERROR(__xludf.DUMMYFUNCTION("""COMPUTED_VALUE"""),46.3387473790868)</f>
        <v>46.33874738</v>
      </c>
      <c r="P810" s="35">
        <f>IFERROR(__xludf.DUMMYFUNCTION("""COMPUTED_VALUE"""),92380.0)</f>
        <v>92380</v>
      </c>
      <c r="Q810" s="35">
        <f>IFERROR(__xludf.DUMMYFUNCTION("""COMPUTED_VALUE"""),199358.0)</f>
        <v>199358</v>
      </c>
    </row>
    <row r="811">
      <c r="A811" s="35">
        <f>IFERROR(__xludf.DUMMYFUNCTION("""COMPUTED_VALUE"""),828.0)</f>
        <v>828</v>
      </c>
      <c r="B811" s="35" t="str">
        <f>IFERROR(__xludf.DUMMYFUNCTION("""COMPUTED_VALUE"""),"Chalkboard XOR Game")</f>
        <v>Chalkboard XOR Game</v>
      </c>
      <c r="C811" s="35" t="str">
        <f>IFERROR(__xludf.DUMMYFUNCTION("""COMPUTED_VALUE"""),"chalkboard-xor-game")</f>
        <v>chalkboard-xor-game</v>
      </c>
      <c r="D811" s="35" t="b">
        <f>IFERROR(__xludf.DUMMYFUNCTION("""COMPUTED_VALUE"""),FALSE)</f>
        <v>0</v>
      </c>
      <c r="E811" s="35" t="str">
        <f>IFERROR(__xludf.DUMMYFUNCTION("""COMPUTED_VALUE"""),"Hard")</f>
        <v>Hard</v>
      </c>
      <c r="F811" s="35">
        <f>IFERROR(__xludf.DUMMYFUNCTION("""COMPUTED_VALUE"""),121.0)</f>
        <v>121</v>
      </c>
      <c r="G811" s="35">
        <f>IFERROR(__xludf.DUMMYFUNCTION("""COMPUTED_VALUE"""),232.0)</f>
        <v>232</v>
      </c>
      <c r="H811" s="35" t="str">
        <f>IFERROR(__xludf.DUMMYFUNCTION("""COMPUTED_VALUE"""),"Algorithms")</f>
        <v>Algorithms</v>
      </c>
      <c r="I811" s="35">
        <f>IFERROR(__xludf.DUMMYFUNCTION("""COMPUTED_VALUE"""),0.529)</f>
        <v>0.529</v>
      </c>
      <c r="J811" s="35">
        <f>IFERROR(__xludf.DUMMYFUNCTION("""COMPUTED_VALUE"""),810.0)</f>
        <v>810</v>
      </c>
      <c r="K811" s="35" t="b">
        <f>IFERROR(__xludf.DUMMYFUNCTION("""COMPUTED_VALUE"""),FALSE)</f>
        <v>0</v>
      </c>
      <c r="L811" s="35" t="str">
        <f>IFERROR(__xludf.DUMMYFUNCTION("""COMPUTED_VALUE"""),"Array;Math;Bit Manipulation;Brainteaser;Game Theory;")</f>
        <v>Array;Math;Bit Manipulation;Brainteaser;Game Theory;</v>
      </c>
      <c r="M811" s="35" t="b">
        <f>IFERROR(__xludf.DUMMYFUNCTION("""COMPUTED_VALUE"""),TRUE)</f>
        <v>1</v>
      </c>
      <c r="N811" s="35" t="b">
        <f>IFERROR(__xludf.DUMMYFUNCTION("""COMPUTED_VALUE"""),FALSE)</f>
        <v>0</v>
      </c>
      <c r="O811" s="35">
        <f>IFERROR(__xludf.DUMMYFUNCTION("""COMPUTED_VALUE"""),52.9461208708077)</f>
        <v>52.94612087</v>
      </c>
      <c r="P811" s="35">
        <f>IFERROR(__xludf.DUMMYFUNCTION("""COMPUTED_VALUE"""),6299.0)</f>
        <v>6299</v>
      </c>
      <c r="Q811" s="35">
        <f>IFERROR(__xludf.DUMMYFUNCTION("""COMPUTED_VALUE"""),11897.0)</f>
        <v>11897</v>
      </c>
    </row>
    <row r="812">
      <c r="A812" s="35">
        <f>IFERROR(__xludf.DUMMYFUNCTION("""COMPUTED_VALUE"""),829.0)</f>
        <v>829</v>
      </c>
      <c r="B812" s="35" t="str">
        <f>IFERROR(__xludf.DUMMYFUNCTION("""COMPUTED_VALUE"""),"Subdomain Visit Count")</f>
        <v>Subdomain Visit Count</v>
      </c>
      <c r="C812" s="35" t="str">
        <f>IFERROR(__xludf.DUMMYFUNCTION("""COMPUTED_VALUE"""),"subdomain-visit-count")</f>
        <v>subdomain-visit-count</v>
      </c>
      <c r="D812" s="35" t="b">
        <f>IFERROR(__xludf.DUMMYFUNCTION("""COMPUTED_VALUE"""),FALSE)</f>
        <v>0</v>
      </c>
      <c r="E812" s="35" t="str">
        <f>IFERROR(__xludf.DUMMYFUNCTION("""COMPUTED_VALUE"""),"Medium")</f>
        <v>Medium</v>
      </c>
      <c r="F812" s="35">
        <f>IFERROR(__xludf.DUMMYFUNCTION("""COMPUTED_VALUE"""),1009.0)</f>
        <v>1009</v>
      </c>
      <c r="G812" s="35">
        <f>IFERROR(__xludf.DUMMYFUNCTION("""COMPUTED_VALUE"""),1091.0)</f>
        <v>1091</v>
      </c>
      <c r="H812" s="35" t="str">
        <f>IFERROR(__xludf.DUMMYFUNCTION("""COMPUTED_VALUE"""),"Algorithms")</f>
        <v>Algorithms</v>
      </c>
      <c r="I812" s="35">
        <f>IFERROR(__xludf.DUMMYFUNCTION("""COMPUTED_VALUE"""),0.74)</f>
        <v>0.74</v>
      </c>
      <c r="J812" s="35">
        <f>IFERROR(__xludf.DUMMYFUNCTION("""COMPUTED_VALUE"""),811.0)</f>
        <v>811</v>
      </c>
      <c r="K812" s="35" t="b">
        <f>IFERROR(__xludf.DUMMYFUNCTION("""COMPUTED_VALUE"""),FALSE)</f>
        <v>0</v>
      </c>
      <c r="L812" s="35" t="str">
        <f>IFERROR(__xludf.DUMMYFUNCTION("""COMPUTED_VALUE"""),"Array;Hash Table;String;Counting;")</f>
        <v>Array;Hash Table;String;Counting;</v>
      </c>
      <c r="M812" s="35" t="b">
        <f>IFERROR(__xludf.DUMMYFUNCTION("""COMPUTED_VALUE"""),TRUE)</f>
        <v>1</v>
      </c>
      <c r="N812" s="35" t="b">
        <f>IFERROR(__xludf.DUMMYFUNCTION("""COMPUTED_VALUE"""),FALSE)</f>
        <v>0</v>
      </c>
      <c r="O812" s="35">
        <f>IFERROR(__xludf.DUMMYFUNCTION("""COMPUTED_VALUE"""),73.9602658549325)</f>
        <v>73.96026585</v>
      </c>
      <c r="P812" s="35">
        <f>IFERROR(__xludf.DUMMYFUNCTION("""COMPUTED_VALUE"""),164247.0)</f>
        <v>164247</v>
      </c>
      <c r="Q812" s="35">
        <f>IFERROR(__xludf.DUMMYFUNCTION("""COMPUTED_VALUE"""),222075.0)</f>
        <v>222075</v>
      </c>
    </row>
    <row r="813">
      <c r="A813" s="35">
        <f>IFERROR(__xludf.DUMMYFUNCTION("""COMPUTED_VALUE"""),830.0)</f>
        <v>830</v>
      </c>
      <c r="B813" s="35" t="str">
        <f>IFERROR(__xludf.DUMMYFUNCTION("""COMPUTED_VALUE"""),"Largest Triangle Area")</f>
        <v>Largest Triangle Area</v>
      </c>
      <c r="C813" s="35" t="str">
        <f>IFERROR(__xludf.DUMMYFUNCTION("""COMPUTED_VALUE"""),"largest-triangle-area")</f>
        <v>largest-triangle-area</v>
      </c>
      <c r="D813" s="35" t="b">
        <f>IFERROR(__xludf.DUMMYFUNCTION("""COMPUTED_VALUE"""),FALSE)</f>
        <v>0</v>
      </c>
      <c r="E813" s="35" t="str">
        <f>IFERROR(__xludf.DUMMYFUNCTION("""COMPUTED_VALUE"""),"Easy")</f>
        <v>Easy</v>
      </c>
      <c r="F813" s="35">
        <f>IFERROR(__xludf.DUMMYFUNCTION("""COMPUTED_VALUE"""),321.0)</f>
        <v>321</v>
      </c>
      <c r="G813" s="35">
        <f>IFERROR(__xludf.DUMMYFUNCTION("""COMPUTED_VALUE"""),1305.0)</f>
        <v>1305</v>
      </c>
      <c r="H813" s="35" t="str">
        <f>IFERROR(__xludf.DUMMYFUNCTION("""COMPUTED_VALUE"""),"Algorithms")</f>
        <v>Algorithms</v>
      </c>
      <c r="I813" s="35">
        <f>IFERROR(__xludf.DUMMYFUNCTION("""COMPUTED_VALUE"""),0.595)</f>
        <v>0.595</v>
      </c>
      <c r="J813" s="35">
        <f>IFERROR(__xludf.DUMMYFUNCTION("""COMPUTED_VALUE"""),812.0)</f>
        <v>812</v>
      </c>
      <c r="K813" s="35" t="b">
        <f>IFERROR(__xludf.DUMMYFUNCTION("""COMPUTED_VALUE"""),FALSE)</f>
        <v>0</v>
      </c>
      <c r="L813" s="35" t="str">
        <f>IFERROR(__xludf.DUMMYFUNCTION("""COMPUTED_VALUE"""),"Array;Math;Geometry;")</f>
        <v>Array;Math;Geometry;</v>
      </c>
      <c r="M813" s="35" t="b">
        <f>IFERROR(__xludf.DUMMYFUNCTION("""COMPUTED_VALUE"""),FALSE)</f>
        <v>0</v>
      </c>
      <c r="N813" s="35" t="b">
        <f>IFERROR(__xludf.DUMMYFUNCTION("""COMPUTED_VALUE"""),FALSE)</f>
        <v>0</v>
      </c>
      <c r="O813" s="35">
        <f>IFERROR(__xludf.DUMMYFUNCTION("""COMPUTED_VALUE"""),59.5137879617221)</f>
        <v>59.51378796</v>
      </c>
      <c r="P813" s="35">
        <f>IFERROR(__xludf.DUMMYFUNCTION("""COMPUTED_VALUE"""),31531.0)</f>
        <v>31531</v>
      </c>
      <c r="Q813" s="35">
        <f>IFERROR(__xludf.DUMMYFUNCTION("""COMPUTED_VALUE"""),52981.0)</f>
        <v>52981</v>
      </c>
    </row>
    <row r="814">
      <c r="A814" s="35">
        <f>IFERROR(__xludf.DUMMYFUNCTION("""COMPUTED_VALUE"""),831.0)</f>
        <v>831</v>
      </c>
      <c r="B814" s="35" t="str">
        <f>IFERROR(__xludf.DUMMYFUNCTION("""COMPUTED_VALUE"""),"Largest Sum of Averages")</f>
        <v>Largest Sum of Averages</v>
      </c>
      <c r="C814" s="35" t="str">
        <f>IFERROR(__xludf.DUMMYFUNCTION("""COMPUTED_VALUE"""),"largest-sum-of-averages")</f>
        <v>largest-sum-of-averages</v>
      </c>
      <c r="D814" s="35" t="b">
        <f>IFERROR(__xludf.DUMMYFUNCTION("""COMPUTED_VALUE"""),FALSE)</f>
        <v>0</v>
      </c>
      <c r="E814" s="35" t="str">
        <f>IFERROR(__xludf.DUMMYFUNCTION("""COMPUTED_VALUE"""),"Medium")</f>
        <v>Medium</v>
      </c>
      <c r="F814" s="35">
        <f>IFERROR(__xludf.DUMMYFUNCTION("""COMPUTED_VALUE"""),1515.0)</f>
        <v>1515</v>
      </c>
      <c r="G814" s="35">
        <f>IFERROR(__xludf.DUMMYFUNCTION("""COMPUTED_VALUE"""),75.0)</f>
        <v>75</v>
      </c>
      <c r="H814" s="35" t="str">
        <f>IFERROR(__xludf.DUMMYFUNCTION("""COMPUTED_VALUE"""),"Algorithms")</f>
        <v>Algorithms</v>
      </c>
      <c r="I814" s="35">
        <f>IFERROR(__xludf.DUMMYFUNCTION("""COMPUTED_VALUE"""),0.522)</f>
        <v>0.522</v>
      </c>
      <c r="J814" s="35">
        <f>IFERROR(__xludf.DUMMYFUNCTION("""COMPUTED_VALUE"""),813.0)</f>
        <v>813</v>
      </c>
      <c r="K814" s="35" t="b">
        <f>IFERROR(__xludf.DUMMYFUNCTION("""COMPUTED_VALUE"""),FALSE)</f>
        <v>0</v>
      </c>
      <c r="L814" s="35" t="str">
        <f>IFERROR(__xludf.DUMMYFUNCTION("""COMPUTED_VALUE"""),"Array;Dynamic Programming;")</f>
        <v>Array;Dynamic Programming;</v>
      </c>
      <c r="M814" s="35" t="b">
        <f>IFERROR(__xludf.DUMMYFUNCTION("""COMPUTED_VALUE"""),TRUE)</f>
        <v>1</v>
      </c>
      <c r="N814" s="35" t="b">
        <f>IFERROR(__xludf.DUMMYFUNCTION("""COMPUTED_VALUE"""),FALSE)</f>
        <v>0</v>
      </c>
      <c r="O814" s="35">
        <f>IFERROR(__xludf.DUMMYFUNCTION("""COMPUTED_VALUE"""),52.2461438720657)</f>
        <v>52.24614387</v>
      </c>
      <c r="P814" s="35">
        <f>IFERROR(__xludf.DUMMYFUNCTION("""COMPUTED_VALUE"""),38682.0)</f>
        <v>38682</v>
      </c>
      <c r="Q814" s="35">
        <f>IFERROR(__xludf.DUMMYFUNCTION("""COMPUTED_VALUE"""),74038.0)</f>
        <v>74038</v>
      </c>
    </row>
    <row r="815">
      <c r="A815" s="35">
        <f>IFERROR(__xludf.DUMMYFUNCTION("""COMPUTED_VALUE"""),832.0)</f>
        <v>832</v>
      </c>
      <c r="B815" s="35" t="str">
        <f>IFERROR(__xludf.DUMMYFUNCTION("""COMPUTED_VALUE"""),"Binary Tree Pruning")</f>
        <v>Binary Tree Pruning</v>
      </c>
      <c r="C815" s="35" t="str">
        <f>IFERROR(__xludf.DUMMYFUNCTION("""COMPUTED_VALUE"""),"binary-tree-pruning")</f>
        <v>binary-tree-pruning</v>
      </c>
      <c r="D815" s="35" t="b">
        <f>IFERROR(__xludf.DUMMYFUNCTION("""COMPUTED_VALUE"""),FALSE)</f>
        <v>0</v>
      </c>
      <c r="E815" s="35" t="str">
        <f>IFERROR(__xludf.DUMMYFUNCTION("""COMPUTED_VALUE"""),"Medium")</f>
        <v>Medium</v>
      </c>
      <c r="F815" s="35">
        <f>IFERROR(__xludf.DUMMYFUNCTION("""COMPUTED_VALUE"""),2313.0)</f>
        <v>2313</v>
      </c>
      <c r="G815" s="35">
        <f>IFERROR(__xludf.DUMMYFUNCTION("""COMPUTED_VALUE"""),66.0)</f>
        <v>66</v>
      </c>
      <c r="H815" s="35" t="str">
        <f>IFERROR(__xludf.DUMMYFUNCTION("""COMPUTED_VALUE"""),"Algorithms")</f>
        <v>Algorithms</v>
      </c>
      <c r="I815" s="35">
        <f>IFERROR(__xludf.DUMMYFUNCTION("""COMPUTED_VALUE"""),0.71)</f>
        <v>0.71</v>
      </c>
      <c r="J815" s="35">
        <f>IFERROR(__xludf.DUMMYFUNCTION("""COMPUTED_VALUE"""),814.0)</f>
        <v>814</v>
      </c>
      <c r="K815" s="35" t="b">
        <f>IFERROR(__xludf.DUMMYFUNCTION("""COMPUTED_VALUE"""),FALSE)</f>
        <v>0</v>
      </c>
      <c r="L815" s="35" t="str">
        <f>IFERROR(__xludf.DUMMYFUNCTION("""COMPUTED_VALUE"""),"Tree;Depth-First Search;Binary Tree;")</f>
        <v>Tree;Depth-First Search;Binary Tree;</v>
      </c>
      <c r="M815" s="35" t="b">
        <f>IFERROR(__xludf.DUMMYFUNCTION("""COMPUTED_VALUE"""),TRUE)</f>
        <v>1</v>
      </c>
      <c r="N815" s="35" t="b">
        <f>IFERROR(__xludf.DUMMYFUNCTION("""COMPUTED_VALUE"""),FALSE)</f>
        <v>0</v>
      </c>
      <c r="O815" s="35">
        <f>IFERROR(__xludf.DUMMYFUNCTION("""COMPUTED_VALUE"""),71.0331863806541)</f>
        <v>71.03318638</v>
      </c>
      <c r="P815" s="35">
        <f>IFERROR(__xludf.DUMMYFUNCTION("""COMPUTED_VALUE"""),136794.0)</f>
        <v>136794</v>
      </c>
      <c r="Q815" s="35">
        <f>IFERROR(__xludf.DUMMYFUNCTION("""COMPUTED_VALUE"""),192575.0)</f>
        <v>192575</v>
      </c>
    </row>
    <row r="816">
      <c r="A816" s="35">
        <f>IFERROR(__xludf.DUMMYFUNCTION("""COMPUTED_VALUE"""),833.0)</f>
        <v>833</v>
      </c>
      <c r="B816" s="35" t="str">
        <f>IFERROR(__xludf.DUMMYFUNCTION("""COMPUTED_VALUE"""),"Bus Routes")</f>
        <v>Bus Routes</v>
      </c>
      <c r="C816" s="35" t="str">
        <f>IFERROR(__xludf.DUMMYFUNCTION("""COMPUTED_VALUE"""),"bus-routes")</f>
        <v>bus-routes</v>
      </c>
      <c r="D816" s="35" t="b">
        <f>IFERROR(__xludf.DUMMYFUNCTION("""COMPUTED_VALUE"""),FALSE)</f>
        <v>0</v>
      </c>
      <c r="E816" s="35" t="str">
        <f>IFERROR(__xludf.DUMMYFUNCTION("""COMPUTED_VALUE"""),"Hard")</f>
        <v>Hard</v>
      </c>
      <c r="F816" s="35">
        <f>IFERROR(__xludf.DUMMYFUNCTION("""COMPUTED_VALUE"""),1863.0)</f>
        <v>1863</v>
      </c>
      <c r="G816" s="35">
        <f>IFERROR(__xludf.DUMMYFUNCTION("""COMPUTED_VALUE"""),49.0)</f>
        <v>49</v>
      </c>
      <c r="H816" s="35" t="str">
        <f>IFERROR(__xludf.DUMMYFUNCTION("""COMPUTED_VALUE"""),"Algorithms")</f>
        <v>Algorithms</v>
      </c>
      <c r="I816" s="35">
        <f>IFERROR(__xludf.DUMMYFUNCTION("""COMPUTED_VALUE"""),0.451)</f>
        <v>0.451</v>
      </c>
      <c r="J816" s="35">
        <f>IFERROR(__xludf.DUMMYFUNCTION("""COMPUTED_VALUE"""),815.0)</f>
        <v>815</v>
      </c>
      <c r="K816" s="35" t="b">
        <f>IFERROR(__xludf.DUMMYFUNCTION("""COMPUTED_VALUE"""),FALSE)</f>
        <v>0</v>
      </c>
      <c r="L816" s="35" t="str">
        <f>IFERROR(__xludf.DUMMYFUNCTION("""COMPUTED_VALUE"""),"Array;Hash Table;Breadth-First Search;")</f>
        <v>Array;Hash Table;Breadth-First Search;</v>
      </c>
      <c r="M816" s="35" t="b">
        <f>IFERROR(__xludf.DUMMYFUNCTION("""COMPUTED_VALUE"""),TRUE)</f>
        <v>1</v>
      </c>
      <c r="N816" s="35" t="b">
        <f>IFERROR(__xludf.DUMMYFUNCTION("""COMPUTED_VALUE"""),FALSE)</f>
        <v>0</v>
      </c>
      <c r="O816" s="35">
        <f>IFERROR(__xludf.DUMMYFUNCTION("""COMPUTED_VALUE"""),45.0684845114351)</f>
        <v>45.06848451</v>
      </c>
      <c r="P816" s="35">
        <f>IFERROR(__xludf.DUMMYFUNCTION("""COMPUTED_VALUE"""),78606.0)</f>
        <v>78606</v>
      </c>
      <c r="Q816" s="35">
        <f>IFERROR(__xludf.DUMMYFUNCTION("""COMPUTED_VALUE"""),174414.0)</f>
        <v>174414</v>
      </c>
    </row>
    <row r="817">
      <c r="A817" s="35">
        <f>IFERROR(__xludf.DUMMYFUNCTION("""COMPUTED_VALUE"""),834.0)</f>
        <v>834</v>
      </c>
      <c r="B817" s="35" t="str">
        <f>IFERROR(__xludf.DUMMYFUNCTION("""COMPUTED_VALUE"""),"Ambiguous Coordinates")</f>
        <v>Ambiguous Coordinates</v>
      </c>
      <c r="C817" s="35" t="str">
        <f>IFERROR(__xludf.DUMMYFUNCTION("""COMPUTED_VALUE"""),"ambiguous-coordinates")</f>
        <v>ambiguous-coordinates</v>
      </c>
      <c r="D817" s="35" t="b">
        <f>IFERROR(__xludf.DUMMYFUNCTION("""COMPUTED_VALUE"""),FALSE)</f>
        <v>0</v>
      </c>
      <c r="E817" s="35" t="str">
        <f>IFERROR(__xludf.DUMMYFUNCTION("""COMPUTED_VALUE"""),"Medium")</f>
        <v>Medium</v>
      </c>
      <c r="F817" s="35">
        <f>IFERROR(__xludf.DUMMYFUNCTION("""COMPUTED_VALUE"""),248.0)</f>
        <v>248</v>
      </c>
      <c r="G817" s="35">
        <f>IFERROR(__xludf.DUMMYFUNCTION("""COMPUTED_VALUE"""),583.0)</f>
        <v>583</v>
      </c>
      <c r="H817" s="35" t="str">
        <f>IFERROR(__xludf.DUMMYFUNCTION("""COMPUTED_VALUE"""),"Algorithms")</f>
        <v>Algorithms</v>
      </c>
      <c r="I817" s="35">
        <f>IFERROR(__xludf.DUMMYFUNCTION("""COMPUTED_VALUE"""),0.559)</f>
        <v>0.559</v>
      </c>
      <c r="J817" s="35">
        <f>IFERROR(__xludf.DUMMYFUNCTION("""COMPUTED_VALUE"""),816.0)</f>
        <v>816</v>
      </c>
      <c r="K817" s="35" t="b">
        <f>IFERROR(__xludf.DUMMYFUNCTION("""COMPUTED_VALUE"""),FALSE)</f>
        <v>0</v>
      </c>
      <c r="L817" s="35" t="str">
        <f>IFERROR(__xludf.DUMMYFUNCTION("""COMPUTED_VALUE"""),"String;Backtracking;")</f>
        <v>String;Backtracking;</v>
      </c>
      <c r="M817" s="35" t="b">
        <f>IFERROR(__xludf.DUMMYFUNCTION("""COMPUTED_VALUE"""),TRUE)</f>
        <v>1</v>
      </c>
      <c r="N817" s="35" t="b">
        <f>IFERROR(__xludf.DUMMYFUNCTION("""COMPUTED_VALUE"""),FALSE)</f>
        <v>0</v>
      </c>
      <c r="O817" s="35">
        <f>IFERROR(__xludf.DUMMYFUNCTION("""COMPUTED_VALUE"""),55.9255241426642)</f>
        <v>55.92552414</v>
      </c>
      <c r="P817" s="35">
        <f>IFERROR(__xludf.DUMMYFUNCTION("""COMPUTED_VALUE"""),25260.0)</f>
        <v>25260</v>
      </c>
      <c r="Q817" s="35">
        <f>IFERROR(__xludf.DUMMYFUNCTION("""COMPUTED_VALUE"""),45168.0)</f>
        <v>45168</v>
      </c>
    </row>
    <row r="818">
      <c r="A818" s="35">
        <f>IFERROR(__xludf.DUMMYFUNCTION("""COMPUTED_VALUE"""),835.0)</f>
        <v>835</v>
      </c>
      <c r="B818" s="35" t="str">
        <f>IFERROR(__xludf.DUMMYFUNCTION("""COMPUTED_VALUE"""),"Linked List Components")</f>
        <v>Linked List Components</v>
      </c>
      <c r="C818" s="35" t="str">
        <f>IFERROR(__xludf.DUMMYFUNCTION("""COMPUTED_VALUE"""),"linked-list-components")</f>
        <v>linked-list-components</v>
      </c>
      <c r="D818" s="35" t="b">
        <f>IFERROR(__xludf.DUMMYFUNCTION("""COMPUTED_VALUE"""),FALSE)</f>
        <v>0</v>
      </c>
      <c r="E818" s="35" t="str">
        <f>IFERROR(__xludf.DUMMYFUNCTION("""COMPUTED_VALUE"""),"Medium")</f>
        <v>Medium</v>
      </c>
      <c r="F818" s="35">
        <f>IFERROR(__xludf.DUMMYFUNCTION("""COMPUTED_VALUE"""),675.0)</f>
        <v>675</v>
      </c>
      <c r="G818" s="35">
        <f>IFERROR(__xludf.DUMMYFUNCTION("""COMPUTED_VALUE"""),1709.0)</f>
        <v>1709</v>
      </c>
      <c r="H818" s="35" t="str">
        <f>IFERROR(__xludf.DUMMYFUNCTION("""COMPUTED_VALUE"""),"Algorithms")</f>
        <v>Algorithms</v>
      </c>
      <c r="I818" s="35">
        <f>IFERROR(__xludf.DUMMYFUNCTION("""COMPUTED_VALUE"""),0.58)</f>
        <v>0.58</v>
      </c>
      <c r="J818" s="35">
        <f>IFERROR(__xludf.DUMMYFUNCTION("""COMPUTED_VALUE"""),817.0)</f>
        <v>817</v>
      </c>
      <c r="K818" s="35" t="b">
        <f>IFERROR(__xludf.DUMMYFUNCTION("""COMPUTED_VALUE"""),FALSE)</f>
        <v>0</v>
      </c>
      <c r="L818" s="35" t="str">
        <f>IFERROR(__xludf.DUMMYFUNCTION("""COMPUTED_VALUE"""),"Hash Table;Linked List;")</f>
        <v>Hash Table;Linked List;</v>
      </c>
      <c r="M818" s="35" t="b">
        <f>IFERROR(__xludf.DUMMYFUNCTION("""COMPUTED_VALUE"""),FALSE)</f>
        <v>0</v>
      </c>
      <c r="N818" s="35" t="b">
        <f>IFERROR(__xludf.DUMMYFUNCTION("""COMPUTED_VALUE"""),FALSE)</f>
        <v>0</v>
      </c>
      <c r="O818" s="35">
        <f>IFERROR(__xludf.DUMMYFUNCTION("""COMPUTED_VALUE"""),58.0085224802156)</f>
        <v>58.00852248</v>
      </c>
      <c r="P818" s="35">
        <f>IFERROR(__xludf.DUMMYFUNCTION("""COMPUTED_VALUE"""),66704.0)</f>
        <v>66704</v>
      </c>
      <c r="Q818" s="35">
        <f>IFERROR(__xludf.DUMMYFUNCTION("""COMPUTED_VALUE"""),114990.0)</f>
        <v>114990</v>
      </c>
    </row>
    <row r="819">
      <c r="A819" s="35">
        <f>IFERROR(__xludf.DUMMYFUNCTION("""COMPUTED_VALUE"""),836.0)</f>
        <v>836</v>
      </c>
      <c r="B819" s="35" t="str">
        <f>IFERROR(__xludf.DUMMYFUNCTION("""COMPUTED_VALUE"""),"Race Car")</f>
        <v>Race Car</v>
      </c>
      <c r="C819" s="35" t="str">
        <f>IFERROR(__xludf.DUMMYFUNCTION("""COMPUTED_VALUE"""),"race-car")</f>
        <v>race-car</v>
      </c>
      <c r="D819" s="35" t="b">
        <f>IFERROR(__xludf.DUMMYFUNCTION("""COMPUTED_VALUE"""),FALSE)</f>
        <v>0</v>
      </c>
      <c r="E819" s="35" t="str">
        <f>IFERROR(__xludf.DUMMYFUNCTION("""COMPUTED_VALUE"""),"Hard")</f>
        <v>Hard</v>
      </c>
      <c r="F819" s="35">
        <f>IFERROR(__xludf.DUMMYFUNCTION("""COMPUTED_VALUE"""),851.0)</f>
        <v>851</v>
      </c>
      <c r="G819" s="35">
        <f>IFERROR(__xludf.DUMMYFUNCTION("""COMPUTED_VALUE"""),87.0)</f>
        <v>87</v>
      </c>
      <c r="H819" s="35" t="str">
        <f>IFERROR(__xludf.DUMMYFUNCTION("""COMPUTED_VALUE"""),"Algorithms")</f>
        <v>Algorithms</v>
      </c>
      <c r="I819" s="35">
        <f>IFERROR(__xludf.DUMMYFUNCTION("""COMPUTED_VALUE"""),0.42)</f>
        <v>0.42</v>
      </c>
      <c r="J819" s="35">
        <f>IFERROR(__xludf.DUMMYFUNCTION("""COMPUTED_VALUE"""),818.0)</f>
        <v>818</v>
      </c>
      <c r="K819" s="35" t="b">
        <f>IFERROR(__xludf.DUMMYFUNCTION("""COMPUTED_VALUE"""),FALSE)</f>
        <v>0</v>
      </c>
      <c r="L819" s="35" t="str">
        <f>IFERROR(__xludf.DUMMYFUNCTION("""COMPUTED_VALUE"""),"Dynamic Programming;")</f>
        <v>Dynamic Programming;</v>
      </c>
      <c r="M819" s="35" t="b">
        <f>IFERROR(__xludf.DUMMYFUNCTION("""COMPUTED_VALUE"""),FALSE)</f>
        <v>0</v>
      </c>
      <c r="N819" s="35" t="b">
        <f>IFERROR(__xludf.DUMMYFUNCTION("""COMPUTED_VALUE"""),FALSE)</f>
        <v>0</v>
      </c>
      <c r="O819" s="35">
        <f>IFERROR(__xludf.DUMMYFUNCTION("""COMPUTED_VALUE"""),42.039531268371)</f>
        <v>42.03953127</v>
      </c>
      <c r="P819" s="35">
        <f>IFERROR(__xludf.DUMMYFUNCTION("""COMPUTED_VALUE"""),32180.0)</f>
        <v>32180</v>
      </c>
      <c r="Q819" s="35">
        <f>IFERROR(__xludf.DUMMYFUNCTION("""COMPUTED_VALUE"""),76547.0)</f>
        <v>76547</v>
      </c>
    </row>
    <row r="820">
      <c r="A820" s="35">
        <f>IFERROR(__xludf.DUMMYFUNCTION("""COMPUTED_VALUE"""),837.0)</f>
        <v>837</v>
      </c>
      <c r="B820" s="35" t="str">
        <f>IFERROR(__xludf.DUMMYFUNCTION("""COMPUTED_VALUE"""),"Most Common Word")</f>
        <v>Most Common Word</v>
      </c>
      <c r="C820" s="35" t="str">
        <f>IFERROR(__xludf.DUMMYFUNCTION("""COMPUTED_VALUE"""),"most-common-word")</f>
        <v>most-common-word</v>
      </c>
      <c r="D820" s="35" t="b">
        <f>IFERROR(__xludf.DUMMYFUNCTION("""COMPUTED_VALUE"""),FALSE)</f>
        <v>0</v>
      </c>
      <c r="E820" s="35" t="str">
        <f>IFERROR(__xludf.DUMMYFUNCTION("""COMPUTED_VALUE"""),"Easy")</f>
        <v>Easy</v>
      </c>
      <c r="F820" s="35">
        <f>IFERROR(__xludf.DUMMYFUNCTION("""COMPUTED_VALUE"""),1224.0)</f>
        <v>1224</v>
      </c>
      <c r="G820" s="35">
        <f>IFERROR(__xludf.DUMMYFUNCTION("""COMPUTED_VALUE"""),2498.0)</f>
        <v>2498</v>
      </c>
      <c r="H820" s="35" t="str">
        <f>IFERROR(__xludf.DUMMYFUNCTION("""COMPUTED_VALUE"""),"Algorithms")</f>
        <v>Algorithms</v>
      </c>
      <c r="I820" s="35">
        <f>IFERROR(__xludf.DUMMYFUNCTION("""COMPUTED_VALUE"""),0.453)</f>
        <v>0.453</v>
      </c>
      <c r="J820" s="35">
        <f>IFERROR(__xludf.DUMMYFUNCTION("""COMPUTED_VALUE"""),819.0)</f>
        <v>819</v>
      </c>
      <c r="K820" s="35" t="b">
        <f>IFERROR(__xludf.DUMMYFUNCTION("""COMPUTED_VALUE"""),FALSE)</f>
        <v>0</v>
      </c>
      <c r="L820" s="35" t="str">
        <f>IFERROR(__xludf.DUMMYFUNCTION("""COMPUTED_VALUE"""),"Hash Table;String;")</f>
        <v>Hash Table;String;</v>
      </c>
      <c r="M820" s="35" t="b">
        <f>IFERROR(__xludf.DUMMYFUNCTION("""COMPUTED_VALUE"""),TRUE)</f>
        <v>1</v>
      </c>
      <c r="N820" s="35" t="b">
        <f>IFERROR(__xludf.DUMMYFUNCTION("""COMPUTED_VALUE"""),FALSE)</f>
        <v>0</v>
      </c>
      <c r="O820" s="35">
        <f>IFERROR(__xludf.DUMMYFUNCTION("""COMPUTED_VALUE"""),45.2627263543027)</f>
        <v>45.26272635</v>
      </c>
      <c r="P820" s="35">
        <f>IFERROR(__xludf.DUMMYFUNCTION("""COMPUTED_VALUE"""),278224.0)</f>
        <v>278224</v>
      </c>
      <c r="Q820" s="35">
        <f>IFERROR(__xludf.DUMMYFUNCTION("""COMPUTED_VALUE"""),614683.0)</f>
        <v>614683</v>
      </c>
    </row>
    <row r="821">
      <c r="A821" s="35">
        <f>IFERROR(__xludf.DUMMYFUNCTION("""COMPUTED_VALUE"""),839.0)</f>
        <v>839</v>
      </c>
      <c r="B821" s="35" t="str">
        <f>IFERROR(__xludf.DUMMYFUNCTION("""COMPUTED_VALUE"""),"Short Encoding of Words")</f>
        <v>Short Encoding of Words</v>
      </c>
      <c r="C821" s="35" t="str">
        <f>IFERROR(__xludf.DUMMYFUNCTION("""COMPUTED_VALUE"""),"short-encoding-of-words")</f>
        <v>short-encoding-of-words</v>
      </c>
      <c r="D821" s="35" t="b">
        <f>IFERROR(__xludf.DUMMYFUNCTION("""COMPUTED_VALUE"""),FALSE)</f>
        <v>0</v>
      </c>
      <c r="E821" s="35" t="str">
        <f>IFERROR(__xludf.DUMMYFUNCTION("""COMPUTED_VALUE"""),"Medium")</f>
        <v>Medium</v>
      </c>
      <c r="F821" s="35">
        <f>IFERROR(__xludf.DUMMYFUNCTION("""COMPUTED_VALUE"""),685.0)</f>
        <v>685</v>
      </c>
      <c r="G821" s="35">
        <f>IFERROR(__xludf.DUMMYFUNCTION("""COMPUTED_VALUE"""),257.0)</f>
        <v>257</v>
      </c>
      <c r="H821" s="35" t="str">
        <f>IFERROR(__xludf.DUMMYFUNCTION("""COMPUTED_VALUE"""),"Algorithms")</f>
        <v>Algorithms</v>
      </c>
      <c r="I821" s="35">
        <f>IFERROR(__xludf.DUMMYFUNCTION("""COMPUTED_VALUE"""),0.551)</f>
        <v>0.551</v>
      </c>
      <c r="J821" s="35">
        <f>IFERROR(__xludf.DUMMYFUNCTION("""COMPUTED_VALUE"""),820.0)</f>
        <v>820</v>
      </c>
      <c r="K821" s="35" t="b">
        <f>IFERROR(__xludf.DUMMYFUNCTION("""COMPUTED_VALUE"""),FALSE)</f>
        <v>0</v>
      </c>
      <c r="L821" s="35" t="str">
        <f>IFERROR(__xludf.DUMMYFUNCTION("""COMPUTED_VALUE"""),"Array;Hash Table;String;Trie;")</f>
        <v>Array;Hash Table;String;Trie;</v>
      </c>
      <c r="M821" s="35" t="b">
        <f>IFERROR(__xludf.DUMMYFUNCTION("""COMPUTED_VALUE"""),TRUE)</f>
        <v>1</v>
      </c>
      <c r="N821" s="35" t="b">
        <f>IFERROR(__xludf.DUMMYFUNCTION("""COMPUTED_VALUE"""),FALSE)</f>
        <v>0</v>
      </c>
      <c r="O821" s="35">
        <f>IFERROR(__xludf.DUMMYFUNCTION("""COMPUTED_VALUE"""),55.1426379988618)</f>
        <v>55.142638</v>
      </c>
      <c r="P821" s="35">
        <f>IFERROR(__xludf.DUMMYFUNCTION("""COMPUTED_VALUE"""),44574.0)</f>
        <v>44574</v>
      </c>
      <c r="Q821" s="35">
        <f>IFERROR(__xludf.DUMMYFUNCTION("""COMPUTED_VALUE"""),80834.0)</f>
        <v>80834</v>
      </c>
    </row>
    <row r="822">
      <c r="A822" s="35">
        <f>IFERROR(__xludf.DUMMYFUNCTION("""COMPUTED_VALUE"""),841.0)</f>
        <v>841</v>
      </c>
      <c r="B822" s="35" t="str">
        <f>IFERROR(__xludf.DUMMYFUNCTION("""COMPUTED_VALUE"""),"Shortest Distance to a Character")</f>
        <v>Shortest Distance to a Character</v>
      </c>
      <c r="C822" s="35" t="str">
        <f>IFERROR(__xludf.DUMMYFUNCTION("""COMPUTED_VALUE"""),"shortest-distance-to-a-character")</f>
        <v>shortest-distance-to-a-character</v>
      </c>
      <c r="D822" s="35" t="b">
        <f>IFERROR(__xludf.DUMMYFUNCTION("""COMPUTED_VALUE"""),FALSE)</f>
        <v>0</v>
      </c>
      <c r="E822" s="35" t="str">
        <f>IFERROR(__xludf.DUMMYFUNCTION("""COMPUTED_VALUE"""),"Easy")</f>
        <v>Easy</v>
      </c>
      <c r="F822" s="35">
        <f>IFERROR(__xludf.DUMMYFUNCTION("""COMPUTED_VALUE"""),2107.0)</f>
        <v>2107</v>
      </c>
      <c r="G822" s="35">
        <f>IFERROR(__xludf.DUMMYFUNCTION("""COMPUTED_VALUE"""),120.0)</f>
        <v>120</v>
      </c>
      <c r="H822" s="35" t="str">
        <f>IFERROR(__xludf.DUMMYFUNCTION("""COMPUTED_VALUE"""),"Algorithms")</f>
        <v>Algorithms</v>
      </c>
      <c r="I822" s="35">
        <f>IFERROR(__xludf.DUMMYFUNCTION("""COMPUTED_VALUE"""),0.709)</f>
        <v>0.709</v>
      </c>
      <c r="J822" s="35">
        <f>IFERROR(__xludf.DUMMYFUNCTION("""COMPUTED_VALUE"""),821.0)</f>
        <v>821</v>
      </c>
      <c r="K822" s="35" t="b">
        <f>IFERROR(__xludf.DUMMYFUNCTION("""COMPUTED_VALUE"""),FALSE)</f>
        <v>0</v>
      </c>
      <c r="L822" s="35" t="str">
        <f>IFERROR(__xludf.DUMMYFUNCTION("""COMPUTED_VALUE"""),"Array;Two Pointers;String;")</f>
        <v>Array;Two Pointers;String;</v>
      </c>
      <c r="M822" s="35" t="b">
        <f>IFERROR(__xludf.DUMMYFUNCTION("""COMPUTED_VALUE"""),TRUE)</f>
        <v>1</v>
      </c>
      <c r="N822" s="35" t="b">
        <f>IFERROR(__xludf.DUMMYFUNCTION("""COMPUTED_VALUE"""),FALSE)</f>
        <v>0</v>
      </c>
      <c r="O822" s="35">
        <f>IFERROR(__xludf.DUMMYFUNCTION("""COMPUTED_VALUE"""),70.9075825452132)</f>
        <v>70.90758255</v>
      </c>
      <c r="P822" s="35">
        <f>IFERROR(__xludf.DUMMYFUNCTION("""COMPUTED_VALUE"""),128208.0)</f>
        <v>128208</v>
      </c>
      <c r="Q822" s="35">
        <f>IFERROR(__xludf.DUMMYFUNCTION("""COMPUTED_VALUE"""),180810.0)</f>
        <v>180810</v>
      </c>
    </row>
    <row r="823">
      <c r="A823" s="35">
        <f>IFERROR(__xludf.DUMMYFUNCTION("""COMPUTED_VALUE"""),842.0)</f>
        <v>842</v>
      </c>
      <c r="B823" s="35" t="str">
        <f>IFERROR(__xludf.DUMMYFUNCTION("""COMPUTED_VALUE"""),"Card Flipping Game")</f>
        <v>Card Flipping Game</v>
      </c>
      <c r="C823" s="35" t="str">
        <f>IFERROR(__xludf.DUMMYFUNCTION("""COMPUTED_VALUE"""),"card-flipping-game")</f>
        <v>card-flipping-game</v>
      </c>
      <c r="D823" s="35" t="b">
        <f>IFERROR(__xludf.DUMMYFUNCTION("""COMPUTED_VALUE"""),FALSE)</f>
        <v>0</v>
      </c>
      <c r="E823" s="35" t="str">
        <f>IFERROR(__xludf.DUMMYFUNCTION("""COMPUTED_VALUE"""),"Medium")</f>
        <v>Medium</v>
      </c>
      <c r="F823" s="35">
        <f>IFERROR(__xludf.DUMMYFUNCTION("""COMPUTED_VALUE"""),107.0)</f>
        <v>107</v>
      </c>
      <c r="G823" s="35">
        <f>IFERROR(__xludf.DUMMYFUNCTION("""COMPUTED_VALUE"""),619.0)</f>
        <v>619</v>
      </c>
      <c r="H823" s="35" t="str">
        <f>IFERROR(__xludf.DUMMYFUNCTION("""COMPUTED_VALUE"""),"Algorithms")</f>
        <v>Algorithms</v>
      </c>
      <c r="I823" s="35">
        <f>IFERROR(__xludf.DUMMYFUNCTION("""COMPUTED_VALUE"""),0.446)</f>
        <v>0.446</v>
      </c>
      <c r="J823" s="35">
        <f>IFERROR(__xludf.DUMMYFUNCTION("""COMPUTED_VALUE"""),822.0)</f>
        <v>822</v>
      </c>
      <c r="K823" s="35" t="b">
        <f>IFERROR(__xludf.DUMMYFUNCTION("""COMPUTED_VALUE"""),FALSE)</f>
        <v>0</v>
      </c>
      <c r="L823" s="35" t="str">
        <f>IFERROR(__xludf.DUMMYFUNCTION("""COMPUTED_VALUE"""),"Array;Hash Table;")</f>
        <v>Array;Hash Table;</v>
      </c>
      <c r="M823" s="35" t="b">
        <f>IFERROR(__xludf.DUMMYFUNCTION("""COMPUTED_VALUE"""),FALSE)</f>
        <v>0</v>
      </c>
      <c r="N823" s="35" t="b">
        <f>IFERROR(__xludf.DUMMYFUNCTION("""COMPUTED_VALUE"""),FALSE)</f>
        <v>0</v>
      </c>
      <c r="O823" s="35">
        <f>IFERROR(__xludf.DUMMYFUNCTION("""COMPUTED_VALUE"""),44.621443893519)</f>
        <v>44.62144389</v>
      </c>
      <c r="P823" s="35">
        <f>IFERROR(__xludf.DUMMYFUNCTION("""COMPUTED_VALUE"""),12689.0)</f>
        <v>12689</v>
      </c>
      <c r="Q823" s="35">
        <f>IFERROR(__xludf.DUMMYFUNCTION("""COMPUTED_VALUE"""),28437.0)</f>
        <v>28437</v>
      </c>
    </row>
    <row r="824">
      <c r="A824" s="35">
        <f>IFERROR(__xludf.DUMMYFUNCTION("""COMPUTED_VALUE"""),843.0)</f>
        <v>843</v>
      </c>
      <c r="B824" s="35" t="str">
        <f>IFERROR(__xludf.DUMMYFUNCTION("""COMPUTED_VALUE"""),"Binary Trees With Factors")</f>
        <v>Binary Trees With Factors</v>
      </c>
      <c r="C824" s="35" t="str">
        <f>IFERROR(__xludf.DUMMYFUNCTION("""COMPUTED_VALUE"""),"binary-trees-with-factors")</f>
        <v>binary-trees-with-factors</v>
      </c>
      <c r="D824" s="35" t="b">
        <f>IFERROR(__xludf.DUMMYFUNCTION("""COMPUTED_VALUE"""),FALSE)</f>
        <v>0</v>
      </c>
      <c r="E824" s="35" t="str">
        <f>IFERROR(__xludf.DUMMYFUNCTION("""COMPUTED_VALUE"""),"Medium")</f>
        <v>Medium</v>
      </c>
      <c r="F824" s="35">
        <f>IFERROR(__xludf.DUMMYFUNCTION("""COMPUTED_VALUE"""),814.0)</f>
        <v>814</v>
      </c>
      <c r="G824" s="35">
        <f>IFERROR(__xludf.DUMMYFUNCTION("""COMPUTED_VALUE"""),101.0)</f>
        <v>101</v>
      </c>
      <c r="H824" s="35" t="str">
        <f>IFERROR(__xludf.DUMMYFUNCTION("""COMPUTED_VALUE"""),"Algorithms")</f>
        <v>Algorithms</v>
      </c>
      <c r="I824" s="35">
        <f>IFERROR(__xludf.DUMMYFUNCTION("""COMPUTED_VALUE"""),0.437)</f>
        <v>0.437</v>
      </c>
      <c r="J824" s="35">
        <f>IFERROR(__xludf.DUMMYFUNCTION("""COMPUTED_VALUE"""),823.0)</f>
        <v>823</v>
      </c>
      <c r="K824" s="35" t="b">
        <f>IFERROR(__xludf.DUMMYFUNCTION("""COMPUTED_VALUE"""),FALSE)</f>
        <v>0</v>
      </c>
      <c r="L824" s="35" t="str">
        <f>IFERROR(__xludf.DUMMYFUNCTION("""COMPUTED_VALUE"""),"Array;Hash Table;Dynamic Programming;")</f>
        <v>Array;Hash Table;Dynamic Programming;</v>
      </c>
      <c r="M824" s="35" t="b">
        <f>IFERROR(__xludf.DUMMYFUNCTION("""COMPUTED_VALUE"""),TRUE)</f>
        <v>1</v>
      </c>
      <c r="N824" s="35" t="b">
        <f>IFERROR(__xludf.DUMMYFUNCTION("""COMPUTED_VALUE"""),FALSE)</f>
        <v>0</v>
      </c>
      <c r="O824" s="35">
        <f>IFERROR(__xludf.DUMMYFUNCTION("""COMPUTED_VALUE"""),43.6525182287894)</f>
        <v>43.65251823</v>
      </c>
      <c r="P824" s="35">
        <f>IFERROR(__xludf.DUMMYFUNCTION("""COMPUTED_VALUE"""),36159.0)</f>
        <v>36159</v>
      </c>
      <c r="Q824" s="35">
        <f>IFERROR(__xludf.DUMMYFUNCTION("""COMPUTED_VALUE"""),82835.0)</f>
        <v>82835</v>
      </c>
    </row>
    <row r="825">
      <c r="A825" s="35">
        <f>IFERROR(__xludf.DUMMYFUNCTION("""COMPUTED_VALUE"""),851.0)</f>
        <v>851</v>
      </c>
      <c r="B825" s="35" t="str">
        <f>IFERROR(__xludf.DUMMYFUNCTION("""COMPUTED_VALUE"""),"Goat Latin")</f>
        <v>Goat Latin</v>
      </c>
      <c r="C825" s="35" t="str">
        <f>IFERROR(__xludf.DUMMYFUNCTION("""COMPUTED_VALUE"""),"goat-latin")</f>
        <v>goat-latin</v>
      </c>
      <c r="D825" s="35" t="b">
        <f>IFERROR(__xludf.DUMMYFUNCTION("""COMPUTED_VALUE"""),FALSE)</f>
        <v>0</v>
      </c>
      <c r="E825" s="35" t="str">
        <f>IFERROR(__xludf.DUMMYFUNCTION("""COMPUTED_VALUE"""),"Easy")</f>
        <v>Easy</v>
      </c>
      <c r="F825" s="35">
        <f>IFERROR(__xludf.DUMMYFUNCTION("""COMPUTED_VALUE"""),662.0)</f>
        <v>662</v>
      </c>
      <c r="G825" s="35">
        <f>IFERROR(__xludf.DUMMYFUNCTION("""COMPUTED_VALUE"""),1074.0)</f>
        <v>1074</v>
      </c>
      <c r="H825" s="35" t="str">
        <f>IFERROR(__xludf.DUMMYFUNCTION("""COMPUTED_VALUE"""),"Algorithms")</f>
        <v>Algorithms</v>
      </c>
      <c r="I825" s="35">
        <f>IFERROR(__xludf.DUMMYFUNCTION("""COMPUTED_VALUE"""),0.675)</f>
        <v>0.675</v>
      </c>
      <c r="J825" s="35">
        <f>IFERROR(__xludf.DUMMYFUNCTION("""COMPUTED_VALUE"""),824.0)</f>
        <v>824</v>
      </c>
      <c r="K825" s="35" t="b">
        <f>IFERROR(__xludf.DUMMYFUNCTION("""COMPUTED_VALUE"""),FALSE)</f>
        <v>0</v>
      </c>
      <c r="L825" s="35" t="str">
        <f>IFERROR(__xludf.DUMMYFUNCTION("""COMPUTED_VALUE"""),"String;")</f>
        <v>String;</v>
      </c>
      <c r="M825" s="35" t="b">
        <f>IFERROR(__xludf.DUMMYFUNCTION("""COMPUTED_VALUE"""),FALSE)</f>
        <v>0</v>
      </c>
      <c r="N825" s="35" t="b">
        <f>IFERROR(__xludf.DUMMYFUNCTION("""COMPUTED_VALUE"""),FALSE)</f>
        <v>0</v>
      </c>
      <c r="O825" s="35">
        <f>IFERROR(__xludf.DUMMYFUNCTION("""COMPUTED_VALUE"""),67.5073046196258)</f>
        <v>67.50730462</v>
      </c>
      <c r="P825" s="35">
        <f>IFERROR(__xludf.DUMMYFUNCTION("""COMPUTED_VALUE"""),139087.0)</f>
        <v>139087</v>
      </c>
      <c r="Q825" s="35">
        <f>IFERROR(__xludf.DUMMYFUNCTION("""COMPUTED_VALUE"""),206030.0)</f>
        <v>206030</v>
      </c>
    </row>
    <row r="826">
      <c r="A826" s="35">
        <f>IFERROR(__xludf.DUMMYFUNCTION("""COMPUTED_VALUE"""),852.0)</f>
        <v>852</v>
      </c>
      <c r="B826" s="35" t="str">
        <f>IFERROR(__xludf.DUMMYFUNCTION("""COMPUTED_VALUE"""),"Friends Of Appropriate Ages")</f>
        <v>Friends Of Appropriate Ages</v>
      </c>
      <c r="C826" s="35" t="str">
        <f>IFERROR(__xludf.DUMMYFUNCTION("""COMPUTED_VALUE"""),"friends-of-appropriate-ages")</f>
        <v>friends-of-appropriate-ages</v>
      </c>
      <c r="D826" s="35" t="b">
        <f>IFERROR(__xludf.DUMMYFUNCTION("""COMPUTED_VALUE"""),FALSE)</f>
        <v>0</v>
      </c>
      <c r="E826" s="35" t="str">
        <f>IFERROR(__xludf.DUMMYFUNCTION("""COMPUTED_VALUE"""),"Medium")</f>
        <v>Medium</v>
      </c>
      <c r="F826" s="35">
        <f>IFERROR(__xludf.DUMMYFUNCTION("""COMPUTED_VALUE"""),525.0)</f>
        <v>525</v>
      </c>
      <c r="G826" s="35">
        <f>IFERROR(__xludf.DUMMYFUNCTION("""COMPUTED_VALUE"""),1010.0)</f>
        <v>1010</v>
      </c>
      <c r="H826" s="35" t="str">
        <f>IFERROR(__xludf.DUMMYFUNCTION("""COMPUTED_VALUE"""),"Algorithms")</f>
        <v>Algorithms</v>
      </c>
      <c r="I826" s="35">
        <f>IFERROR(__xludf.DUMMYFUNCTION("""COMPUTED_VALUE"""),0.457)</f>
        <v>0.457</v>
      </c>
      <c r="J826" s="35">
        <f>IFERROR(__xludf.DUMMYFUNCTION("""COMPUTED_VALUE"""),825.0)</f>
        <v>825</v>
      </c>
      <c r="K826" s="35" t="b">
        <f>IFERROR(__xludf.DUMMYFUNCTION("""COMPUTED_VALUE"""),FALSE)</f>
        <v>0</v>
      </c>
      <c r="L826" s="35" t="str">
        <f>IFERROR(__xludf.DUMMYFUNCTION("""COMPUTED_VALUE"""),"Array;Two Pointers;Binary Search;Sorting;")</f>
        <v>Array;Two Pointers;Binary Search;Sorting;</v>
      </c>
      <c r="M826" s="35" t="b">
        <f>IFERROR(__xludf.DUMMYFUNCTION("""COMPUTED_VALUE"""),FALSE)</f>
        <v>0</v>
      </c>
      <c r="N826" s="35" t="b">
        <f>IFERROR(__xludf.DUMMYFUNCTION("""COMPUTED_VALUE"""),FALSE)</f>
        <v>0</v>
      </c>
      <c r="O826" s="35">
        <f>IFERROR(__xludf.DUMMYFUNCTION("""COMPUTED_VALUE"""),45.7146697331282)</f>
        <v>45.71466973</v>
      </c>
      <c r="P826" s="35">
        <f>IFERROR(__xludf.DUMMYFUNCTION("""COMPUTED_VALUE"""),61220.0)</f>
        <v>61220</v>
      </c>
      <c r="Q826" s="35">
        <f>IFERROR(__xludf.DUMMYFUNCTION("""COMPUTED_VALUE"""),133920.0)</f>
        <v>133920</v>
      </c>
    </row>
    <row r="827">
      <c r="A827" s="35">
        <f>IFERROR(__xludf.DUMMYFUNCTION("""COMPUTED_VALUE"""),853.0)</f>
        <v>853</v>
      </c>
      <c r="B827" s="35" t="str">
        <f>IFERROR(__xludf.DUMMYFUNCTION("""COMPUTED_VALUE"""),"Most Profit Assigning Work")</f>
        <v>Most Profit Assigning Work</v>
      </c>
      <c r="C827" s="35" t="str">
        <f>IFERROR(__xludf.DUMMYFUNCTION("""COMPUTED_VALUE"""),"most-profit-assigning-work")</f>
        <v>most-profit-assigning-work</v>
      </c>
      <c r="D827" s="35" t="b">
        <f>IFERROR(__xludf.DUMMYFUNCTION("""COMPUTED_VALUE"""),FALSE)</f>
        <v>0</v>
      </c>
      <c r="E827" s="35" t="str">
        <f>IFERROR(__xludf.DUMMYFUNCTION("""COMPUTED_VALUE"""),"Medium")</f>
        <v>Medium</v>
      </c>
      <c r="F827" s="35">
        <f>IFERROR(__xludf.DUMMYFUNCTION("""COMPUTED_VALUE"""),791.0)</f>
        <v>791</v>
      </c>
      <c r="G827" s="35">
        <f>IFERROR(__xludf.DUMMYFUNCTION("""COMPUTED_VALUE"""),96.0)</f>
        <v>96</v>
      </c>
      <c r="H827" s="35" t="str">
        <f>IFERROR(__xludf.DUMMYFUNCTION("""COMPUTED_VALUE"""),"Algorithms")</f>
        <v>Algorithms</v>
      </c>
      <c r="I827" s="35">
        <f>IFERROR(__xludf.DUMMYFUNCTION("""COMPUTED_VALUE"""),0.413)</f>
        <v>0.413</v>
      </c>
      <c r="J827" s="35">
        <f>IFERROR(__xludf.DUMMYFUNCTION("""COMPUTED_VALUE"""),826.0)</f>
        <v>826</v>
      </c>
      <c r="K827" s="35" t="b">
        <f>IFERROR(__xludf.DUMMYFUNCTION("""COMPUTED_VALUE"""),FALSE)</f>
        <v>0</v>
      </c>
      <c r="L827" s="35" t="str">
        <f>IFERROR(__xludf.DUMMYFUNCTION("""COMPUTED_VALUE"""),"Array;Two Pointers;Binary Search;Greedy;Sorting;")</f>
        <v>Array;Two Pointers;Binary Search;Greedy;Sorting;</v>
      </c>
      <c r="M827" s="35" t="b">
        <f>IFERROR(__xludf.DUMMYFUNCTION("""COMPUTED_VALUE"""),TRUE)</f>
        <v>1</v>
      </c>
      <c r="N827" s="35" t="b">
        <f>IFERROR(__xludf.DUMMYFUNCTION("""COMPUTED_VALUE"""),FALSE)</f>
        <v>0</v>
      </c>
      <c r="O827" s="35">
        <f>IFERROR(__xludf.DUMMYFUNCTION("""COMPUTED_VALUE"""),41.2549257350712)</f>
        <v>41.25492574</v>
      </c>
      <c r="P827" s="35">
        <f>IFERROR(__xludf.DUMMYFUNCTION("""COMPUTED_VALUE"""),34025.0)</f>
        <v>34025</v>
      </c>
      <c r="Q827" s="35">
        <f>IFERROR(__xludf.DUMMYFUNCTION("""COMPUTED_VALUE"""),82475.0)</f>
        <v>82475</v>
      </c>
    </row>
    <row r="828">
      <c r="A828" s="35">
        <f>IFERROR(__xludf.DUMMYFUNCTION("""COMPUTED_VALUE"""),854.0)</f>
        <v>854</v>
      </c>
      <c r="B828" s="35" t="str">
        <f>IFERROR(__xludf.DUMMYFUNCTION("""COMPUTED_VALUE"""),"Making A Large Island")</f>
        <v>Making A Large Island</v>
      </c>
      <c r="C828" s="35" t="str">
        <f>IFERROR(__xludf.DUMMYFUNCTION("""COMPUTED_VALUE"""),"making-a-large-island")</f>
        <v>making-a-large-island</v>
      </c>
      <c r="D828" s="35" t="b">
        <f>IFERROR(__xludf.DUMMYFUNCTION("""COMPUTED_VALUE"""),FALSE)</f>
        <v>0</v>
      </c>
      <c r="E828" s="35" t="str">
        <f>IFERROR(__xludf.DUMMYFUNCTION("""COMPUTED_VALUE"""),"Hard")</f>
        <v>Hard</v>
      </c>
      <c r="F828" s="35">
        <f>IFERROR(__xludf.DUMMYFUNCTION("""COMPUTED_VALUE"""),2131.0)</f>
        <v>2131</v>
      </c>
      <c r="G828" s="35">
        <f>IFERROR(__xludf.DUMMYFUNCTION("""COMPUTED_VALUE"""),47.0)</f>
        <v>47</v>
      </c>
      <c r="H828" s="35" t="str">
        <f>IFERROR(__xludf.DUMMYFUNCTION("""COMPUTED_VALUE"""),"Algorithms")</f>
        <v>Algorithms</v>
      </c>
      <c r="I828" s="35">
        <f>IFERROR(__xludf.DUMMYFUNCTION("""COMPUTED_VALUE"""),0.447)</f>
        <v>0.447</v>
      </c>
      <c r="J828" s="35">
        <f>IFERROR(__xludf.DUMMYFUNCTION("""COMPUTED_VALUE"""),827.0)</f>
        <v>827</v>
      </c>
      <c r="K828" s="35" t="b">
        <f>IFERROR(__xludf.DUMMYFUNCTION("""COMPUTED_VALUE"""),FALSE)</f>
        <v>0</v>
      </c>
      <c r="L828" s="35" t="str">
        <f>IFERROR(__xludf.DUMMYFUNCTION("""COMPUTED_VALUE"""),"Array;Depth-First Search;Breadth-First Search;Union Find;Matrix;")</f>
        <v>Array;Depth-First Search;Breadth-First Search;Union Find;Matrix;</v>
      </c>
      <c r="M828" s="35" t="b">
        <f>IFERROR(__xludf.DUMMYFUNCTION("""COMPUTED_VALUE"""),TRUE)</f>
        <v>1</v>
      </c>
      <c r="N828" s="35" t="b">
        <f>IFERROR(__xludf.DUMMYFUNCTION("""COMPUTED_VALUE"""),FALSE)</f>
        <v>0</v>
      </c>
      <c r="O828" s="35">
        <f>IFERROR(__xludf.DUMMYFUNCTION("""COMPUTED_VALUE"""),44.6902081368688)</f>
        <v>44.69020814</v>
      </c>
      <c r="P828" s="35">
        <f>IFERROR(__xludf.DUMMYFUNCTION("""COMPUTED_VALUE"""),99989.0)</f>
        <v>99989</v>
      </c>
      <c r="Q828" s="35">
        <f>IFERROR(__xludf.DUMMYFUNCTION("""COMPUTED_VALUE"""),223739.0)</f>
        <v>223739</v>
      </c>
    </row>
    <row r="829">
      <c r="A829" s="35">
        <f>IFERROR(__xludf.DUMMYFUNCTION("""COMPUTED_VALUE"""),855.0)</f>
        <v>855</v>
      </c>
      <c r="B829" s="35" t="str">
        <f>IFERROR(__xludf.DUMMYFUNCTION("""COMPUTED_VALUE"""),"Count Unique Characters of All Substrings of a Given String")</f>
        <v>Count Unique Characters of All Substrings of a Given String</v>
      </c>
      <c r="C829" s="35" t="str">
        <f>IFERROR(__xludf.DUMMYFUNCTION("""COMPUTED_VALUE"""),"count-unique-characters-of-all-substrings-of-a-given-string")</f>
        <v>count-unique-characters-of-all-substrings-of-a-given-string</v>
      </c>
      <c r="D829" s="35" t="b">
        <f>IFERROR(__xludf.DUMMYFUNCTION("""COMPUTED_VALUE"""),FALSE)</f>
        <v>0</v>
      </c>
      <c r="E829" s="35" t="str">
        <f>IFERROR(__xludf.DUMMYFUNCTION("""COMPUTED_VALUE"""),"Hard")</f>
        <v>Hard</v>
      </c>
      <c r="F829" s="35">
        <f>IFERROR(__xludf.DUMMYFUNCTION("""COMPUTED_VALUE"""),1147.0)</f>
        <v>1147</v>
      </c>
      <c r="G829" s="35">
        <f>IFERROR(__xludf.DUMMYFUNCTION("""COMPUTED_VALUE"""),147.0)</f>
        <v>147</v>
      </c>
      <c r="H829" s="35" t="str">
        <f>IFERROR(__xludf.DUMMYFUNCTION("""COMPUTED_VALUE"""),"Algorithms")</f>
        <v>Algorithms</v>
      </c>
      <c r="I829" s="35">
        <f>IFERROR(__xludf.DUMMYFUNCTION("""COMPUTED_VALUE"""),0.493)</f>
        <v>0.493</v>
      </c>
      <c r="J829" s="35">
        <f>IFERROR(__xludf.DUMMYFUNCTION("""COMPUTED_VALUE"""),828.0)</f>
        <v>828</v>
      </c>
      <c r="K829" s="35" t="b">
        <f>IFERROR(__xludf.DUMMYFUNCTION("""COMPUTED_VALUE"""),FALSE)</f>
        <v>0</v>
      </c>
      <c r="L829" s="35" t="str">
        <f>IFERROR(__xludf.DUMMYFUNCTION("""COMPUTED_VALUE"""),"String;Dynamic Programming;")</f>
        <v>String;Dynamic Programming;</v>
      </c>
      <c r="M829" s="35" t="b">
        <f>IFERROR(__xludf.DUMMYFUNCTION("""COMPUTED_VALUE"""),FALSE)</f>
        <v>0</v>
      </c>
      <c r="N829" s="35" t="b">
        <f>IFERROR(__xludf.DUMMYFUNCTION("""COMPUTED_VALUE"""),FALSE)</f>
        <v>0</v>
      </c>
      <c r="O829" s="35">
        <f>IFERROR(__xludf.DUMMYFUNCTION("""COMPUTED_VALUE"""),49.3429936259492)</f>
        <v>49.34299363</v>
      </c>
      <c r="P829" s="35">
        <f>IFERROR(__xludf.DUMMYFUNCTION("""COMPUTED_VALUE"""),33979.0)</f>
        <v>33979</v>
      </c>
      <c r="Q829" s="35">
        <f>IFERROR(__xludf.DUMMYFUNCTION("""COMPUTED_VALUE"""),68868.0)</f>
        <v>68868</v>
      </c>
    </row>
    <row r="830">
      <c r="A830" s="35">
        <f>IFERROR(__xludf.DUMMYFUNCTION("""COMPUTED_VALUE"""),856.0)</f>
        <v>856</v>
      </c>
      <c r="B830" s="35" t="str">
        <f>IFERROR(__xludf.DUMMYFUNCTION("""COMPUTED_VALUE"""),"Consecutive Numbers Sum")</f>
        <v>Consecutive Numbers Sum</v>
      </c>
      <c r="C830" s="35" t="str">
        <f>IFERROR(__xludf.DUMMYFUNCTION("""COMPUTED_VALUE"""),"consecutive-numbers-sum")</f>
        <v>consecutive-numbers-sum</v>
      </c>
      <c r="D830" s="35" t="b">
        <f>IFERROR(__xludf.DUMMYFUNCTION("""COMPUTED_VALUE"""),FALSE)</f>
        <v>0</v>
      </c>
      <c r="E830" s="35" t="str">
        <f>IFERROR(__xludf.DUMMYFUNCTION("""COMPUTED_VALUE"""),"Hard")</f>
        <v>Hard</v>
      </c>
      <c r="F830" s="35">
        <f>IFERROR(__xludf.DUMMYFUNCTION("""COMPUTED_VALUE"""),972.0)</f>
        <v>972</v>
      </c>
      <c r="G830" s="35">
        <f>IFERROR(__xludf.DUMMYFUNCTION("""COMPUTED_VALUE"""),1171.0)</f>
        <v>1171</v>
      </c>
      <c r="H830" s="35" t="str">
        <f>IFERROR(__xludf.DUMMYFUNCTION("""COMPUTED_VALUE"""),"Algorithms")</f>
        <v>Algorithms</v>
      </c>
      <c r="I830" s="35">
        <f>IFERROR(__xludf.DUMMYFUNCTION("""COMPUTED_VALUE"""),0.409)</f>
        <v>0.409</v>
      </c>
      <c r="J830" s="35">
        <f>IFERROR(__xludf.DUMMYFUNCTION("""COMPUTED_VALUE"""),829.0)</f>
        <v>829</v>
      </c>
      <c r="K830" s="35" t="b">
        <f>IFERROR(__xludf.DUMMYFUNCTION("""COMPUTED_VALUE"""),FALSE)</f>
        <v>0</v>
      </c>
      <c r="L830" s="35" t="str">
        <f>IFERROR(__xludf.DUMMYFUNCTION("""COMPUTED_VALUE"""),"Math;Enumeration;")</f>
        <v>Math;Enumeration;</v>
      </c>
      <c r="M830" s="35" t="b">
        <f>IFERROR(__xludf.DUMMYFUNCTION("""COMPUTED_VALUE"""),TRUE)</f>
        <v>1</v>
      </c>
      <c r="N830" s="35" t="b">
        <f>IFERROR(__xludf.DUMMYFUNCTION("""COMPUTED_VALUE"""),FALSE)</f>
        <v>0</v>
      </c>
      <c r="O830" s="35">
        <f>IFERROR(__xludf.DUMMYFUNCTION("""COMPUTED_VALUE"""),40.8930008045052)</f>
        <v>40.8930008</v>
      </c>
      <c r="P830" s="35">
        <f>IFERROR(__xludf.DUMMYFUNCTION("""COMPUTED_VALUE"""),66079.0)</f>
        <v>66079</v>
      </c>
      <c r="Q830" s="35">
        <f>IFERROR(__xludf.DUMMYFUNCTION("""COMPUTED_VALUE"""),161586.0)</f>
        <v>161586</v>
      </c>
    </row>
    <row r="831">
      <c r="A831" s="35">
        <f>IFERROR(__xludf.DUMMYFUNCTION("""COMPUTED_VALUE"""),857.0)</f>
        <v>857</v>
      </c>
      <c r="B831" s="35" t="str">
        <f>IFERROR(__xludf.DUMMYFUNCTION("""COMPUTED_VALUE"""),"Positions of Large Groups")</f>
        <v>Positions of Large Groups</v>
      </c>
      <c r="C831" s="35" t="str">
        <f>IFERROR(__xludf.DUMMYFUNCTION("""COMPUTED_VALUE"""),"positions-of-large-groups")</f>
        <v>positions-of-large-groups</v>
      </c>
      <c r="D831" s="35" t="b">
        <f>IFERROR(__xludf.DUMMYFUNCTION("""COMPUTED_VALUE"""),FALSE)</f>
        <v>0</v>
      </c>
      <c r="E831" s="35" t="str">
        <f>IFERROR(__xludf.DUMMYFUNCTION("""COMPUTED_VALUE"""),"Easy")</f>
        <v>Easy</v>
      </c>
      <c r="F831" s="35">
        <f>IFERROR(__xludf.DUMMYFUNCTION("""COMPUTED_VALUE"""),606.0)</f>
        <v>606</v>
      </c>
      <c r="G831" s="35">
        <f>IFERROR(__xludf.DUMMYFUNCTION("""COMPUTED_VALUE"""),111.0)</f>
        <v>111</v>
      </c>
      <c r="H831" s="35" t="str">
        <f>IFERROR(__xludf.DUMMYFUNCTION("""COMPUTED_VALUE"""),"Algorithms")</f>
        <v>Algorithms</v>
      </c>
      <c r="I831" s="35">
        <f>IFERROR(__xludf.DUMMYFUNCTION("""COMPUTED_VALUE"""),0.513)</f>
        <v>0.513</v>
      </c>
      <c r="J831" s="35">
        <f>IFERROR(__xludf.DUMMYFUNCTION("""COMPUTED_VALUE"""),830.0)</f>
        <v>830</v>
      </c>
      <c r="K831" s="35" t="b">
        <f>IFERROR(__xludf.DUMMYFUNCTION("""COMPUTED_VALUE"""),FALSE)</f>
        <v>0</v>
      </c>
      <c r="L831" s="35" t="str">
        <f>IFERROR(__xludf.DUMMYFUNCTION("""COMPUTED_VALUE"""),"String;")</f>
        <v>String;</v>
      </c>
      <c r="M831" s="35" t="b">
        <f>IFERROR(__xludf.DUMMYFUNCTION("""COMPUTED_VALUE"""),TRUE)</f>
        <v>1</v>
      </c>
      <c r="N831" s="35" t="b">
        <f>IFERROR(__xludf.DUMMYFUNCTION("""COMPUTED_VALUE"""),FALSE)</f>
        <v>0</v>
      </c>
      <c r="O831" s="35">
        <f>IFERROR(__xludf.DUMMYFUNCTION("""COMPUTED_VALUE"""),51.3136057849035)</f>
        <v>51.31360578</v>
      </c>
      <c r="P831" s="35">
        <f>IFERROR(__xludf.DUMMYFUNCTION("""COMPUTED_VALUE"""),69258.0)</f>
        <v>69258</v>
      </c>
      <c r="Q831" s="35">
        <f>IFERROR(__xludf.DUMMYFUNCTION("""COMPUTED_VALUE"""),134971.0)</f>
        <v>134971</v>
      </c>
    </row>
    <row r="832">
      <c r="A832" s="35">
        <f>IFERROR(__xludf.DUMMYFUNCTION("""COMPUTED_VALUE"""),858.0)</f>
        <v>858</v>
      </c>
      <c r="B832" s="35" t="str">
        <f>IFERROR(__xludf.DUMMYFUNCTION("""COMPUTED_VALUE"""),"Masking Personal Information")</f>
        <v>Masking Personal Information</v>
      </c>
      <c r="C832" s="35" t="str">
        <f>IFERROR(__xludf.DUMMYFUNCTION("""COMPUTED_VALUE"""),"masking-personal-information")</f>
        <v>masking-personal-information</v>
      </c>
      <c r="D832" s="35" t="b">
        <f>IFERROR(__xludf.DUMMYFUNCTION("""COMPUTED_VALUE"""),FALSE)</f>
        <v>0</v>
      </c>
      <c r="E832" s="35" t="str">
        <f>IFERROR(__xludf.DUMMYFUNCTION("""COMPUTED_VALUE"""),"Medium")</f>
        <v>Medium</v>
      </c>
      <c r="F832" s="35">
        <f>IFERROR(__xludf.DUMMYFUNCTION("""COMPUTED_VALUE"""),115.0)</f>
        <v>115</v>
      </c>
      <c r="G832" s="35">
        <f>IFERROR(__xludf.DUMMYFUNCTION("""COMPUTED_VALUE"""),396.0)</f>
        <v>396</v>
      </c>
      <c r="H832" s="35" t="str">
        <f>IFERROR(__xludf.DUMMYFUNCTION("""COMPUTED_VALUE"""),"Algorithms")</f>
        <v>Algorithms</v>
      </c>
      <c r="I832" s="35">
        <f>IFERROR(__xludf.DUMMYFUNCTION("""COMPUTED_VALUE"""),0.459)</f>
        <v>0.459</v>
      </c>
      <c r="J832" s="35">
        <f>IFERROR(__xludf.DUMMYFUNCTION("""COMPUTED_VALUE"""),831.0)</f>
        <v>831</v>
      </c>
      <c r="K832" s="35" t="b">
        <f>IFERROR(__xludf.DUMMYFUNCTION("""COMPUTED_VALUE"""),FALSE)</f>
        <v>0</v>
      </c>
      <c r="L832" s="35" t="str">
        <f>IFERROR(__xludf.DUMMYFUNCTION("""COMPUTED_VALUE"""),"String;")</f>
        <v>String;</v>
      </c>
      <c r="M832" s="35" t="b">
        <f>IFERROR(__xludf.DUMMYFUNCTION("""COMPUTED_VALUE"""),FALSE)</f>
        <v>0</v>
      </c>
      <c r="N832" s="35" t="b">
        <f>IFERROR(__xludf.DUMMYFUNCTION("""COMPUTED_VALUE"""),FALSE)</f>
        <v>0</v>
      </c>
      <c r="O832" s="35">
        <f>IFERROR(__xludf.DUMMYFUNCTION("""COMPUTED_VALUE"""),45.8523691424096)</f>
        <v>45.85236914</v>
      </c>
      <c r="P832" s="35">
        <f>IFERROR(__xludf.DUMMYFUNCTION("""COMPUTED_VALUE"""),14051.0)</f>
        <v>14051</v>
      </c>
      <c r="Q832" s="35">
        <f>IFERROR(__xludf.DUMMYFUNCTION("""COMPUTED_VALUE"""),30644.0)</f>
        <v>30644</v>
      </c>
    </row>
    <row r="833">
      <c r="A833" s="35">
        <f>IFERROR(__xludf.DUMMYFUNCTION("""COMPUTED_VALUE"""),861.0)</f>
        <v>861</v>
      </c>
      <c r="B833" s="35" t="str">
        <f>IFERROR(__xludf.DUMMYFUNCTION("""COMPUTED_VALUE"""),"Flipping an Image")</f>
        <v>Flipping an Image</v>
      </c>
      <c r="C833" s="35" t="str">
        <f>IFERROR(__xludf.DUMMYFUNCTION("""COMPUTED_VALUE"""),"flipping-an-image")</f>
        <v>flipping-an-image</v>
      </c>
      <c r="D833" s="35" t="b">
        <f>IFERROR(__xludf.DUMMYFUNCTION("""COMPUTED_VALUE"""),FALSE)</f>
        <v>0</v>
      </c>
      <c r="E833" s="35" t="str">
        <f>IFERROR(__xludf.DUMMYFUNCTION("""COMPUTED_VALUE"""),"Easy")</f>
        <v>Easy</v>
      </c>
      <c r="F833" s="35">
        <f>IFERROR(__xludf.DUMMYFUNCTION("""COMPUTED_VALUE"""),1982.0)</f>
        <v>1982</v>
      </c>
      <c r="G833" s="35">
        <f>IFERROR(__xludf.DUMMYFUNCTION("""COMPUTED_VALUE"""),198.0)</f>
        <v>198</v>
      </c>
      <c r="H833" s="35" t="str">
        <f>IFERROR(__xludf.DUMMYFUNCTION("""COMPUTED_VALUE"""),"Algorithms")</f>
        <v>Algorithms</v>
      </c>
      <c r="I833" s="35">
        <f>IFERROR(__xludf.DUMMYFUNCTION("""COMPUTED_VALUE"""),0.795)</f>
        <v>0.795</v>
      </c>
      <c r="J833" s="35">
        <f>IFERROR(__xludf.DUMMYFUNCTION("""COMPUTED_VALUE"""),832.0)</f>
        <v>832</v>
      </c>
      <c r="K833" s="35" t="b">
        <f>IFERROR(__xludf.DUMMYFUNCTION("""COMPUTED_VALUE"""),FALSE)</f>
        <v>0</v>
      </c>
      <c r="L833" s="35" t="str">
        <f>IFERROR(__xludf.DUMMYFUNCTION("""COMPUTED_VALUE"""),"Array;Two Pointers;Matrix;Simulation;")</f>
        <v>Array;Two Pointers;Matrix;Simulation;</v>
      </c>
      <c r="M833" s="35" t="b">
        <f>IFERROR(__xludf.DUMMYFUNCTION("""COMPUTED_VALUE"""),TRUE)</f>
        <v>1</v>
      </c>
      <c r="N833" s="35" t="b">
        <f>IFERROR(__xludf.DUMMYFUNCTION("""COMPUTED_VALUE"""),FALSE)</f>
        <v>0</v>
      </c>
      <c r="O833" s="35">
        <f>IFERROR(__xludf.DUMMYFUNCTION("""COMPUTED_VALUE"""),79.5243858905423)</f>
        <v>79.52438589</v>
      </c>
      <c r="P833" s="35">
        <f>IFERROR(__xludf.DUMMYFUNCTION("""COMPUTED_VALUE"""),285147.0)</f>
        <v>285147</v>
      </c>
      <c r="Q833" s="35">
        <f>IFERROR(__xludf.DUMMYFUNCTION("""COMPUTED_VALUE"""),358566.0)</f>
        <v>358566</v>
      </c>
    </row>
    <row r="834">
      <c r="A834" s="35">
        <f>IFERROR(__xludf.DUMMYFUNCTION("""COMPUTED_VALUE"""),862.0)</f>
        <v>862</v>
      </c>
      <c r="B834" s="35" t="str">
        <f>IFERROR(__xludf.DUMMYFUNCTION("""COMPUTED_VALUE"""),"Find And Replace in String")</f>
        <v>Find And Replace in String</v>
      </c>
      <c r="C834" s="35" t="str">
        <f>IFERROR(__xludf.DUMMYFUNCTION("""COMPUTED_VALUE"""),"find-and-replace-in-string")</f>
        <v>find-and-replace-in-string</v>
      </c>
      <c r="D834" s="35" t="b">
        <f>IFERROR(__xludf.DUMMYFUNCTION("""COMPUTED_VALUE"""),FALSE)</f>
        <v>0</v>
      </c>
      <c r="E834" s="35" t="str">
        <f>IFERROR(__xludf.DUMMYFUNCTION("""COMPUTED_VALUE"""),"Medium")</f>
        <v>Medium</v>
      </c>
      <c r="F834" s="35">
        <f>IFERROR(__xludf.DUMMYFUNCTION("""COMPUTED_VALUE"""),770.0)</f>
        <v>770</v>
      </c>
      <c r="G834" s="35">
        <f>IFERROR(__xludf.DUMMYFUNCTION("""COMPUTED_VALUE"""),747.0)</f>
        <v>747</v>
      </c>
      <c r="H834" s="35" t="str">
        <f>IFERROR(__xludf.DUMMYFUNCTION("""COMPUTED_VALUE"""),"Algorithms")</f>
        <v>Algorithms</v>
      </c>
      <c r="I834" s="35">
        <f>IFERROR(__xludf.DUMMYFUNCTION("""COMPUTED_VALUE"""),0.543)</f>
        <v>0.543</v>
      </c>
      <c r="J834" s="35">
        <f>IFERROR(__xludf.DUMMYFUNCTION("""COMPUTED_VALUE"""),833.0)</f>
        <v>833</v>
      </c>
      <c r="K834" s="35" t="b">
        <f>IFERROR(__xludf.DUMMYFUNCTION("""COMPUTED_VALUE"""),FALSE)</f>
        <v>0</v>
      </c>
      <c r="L834" s="35" t="str">
        <f>IFERROR(__xludf.DUMMYFUNCTION("""COMPUTED_VALUE"""),"Array;String;Sorting;")</f>
        <v>Array;String;Sorting;</v>
      </c>
      <c r="M834" s="35" t="b">
        <f>IFERROR(__xludf.DUMMYFUNCTION("""COMPUTED_VALUE"""),FALSE)</f>
        <v>0</v>
      </c>
      <c r="N834" s="35" t="b">
        <f>IFERROR(__xludf.DUMMYFUNCTION("""COMPUTED_VALUE"""),FALSE)</f>
        <v>0</v>
      </c>
      <c r="O834" s="35">
        <f>IFERROR(__xludf.DUMMYFUNCTION("""COMPUTED_VALUE"""),54.3034249983772)</f>
        <v>54.303425</v>
      </c>
      <c r="P834" s="35">
        <f>IFERROR(__xludf.DUMMYFUNCTION("""COMPUTED_VALUE"""),100391.0)</f>
        <v>100391</v>
      </c>
      <c r="Q834" s="35">
        <f>IFERROR(__xludf.DUMMYFUNCTION("""COMPUTED_VALUE"""),184859.0)</f>
        <v>184859</v>
      </c>
    </row>
    <row r="835">
      <c r="A835" s="35">
        <f>IFERROR(__xludf.DUMMYFUNCTION("""COMPUTED_VALUE"""),863.0)</f>
        <v>863</v>
      </c>
      <c r="B835" s="35" t="str">
        <f>IFERROR(__xludf.DUMMYFUNCTION("""COMPUTED_VALUE"""),"Sum of Distances in Tree")</f>
        <v>Sum of Distances in Tree</v>
      </c>
      <c r="C835" s="35" t="str">
        <f>IFERROR(__xludf.DUMMYFUNCTION("""COMPUTED_VALUE"""),"sum-of-distances-in-tree")</f>
        <v>sum-of-distances-in-tree</v>
      </c>
      <c r="D835" s="35" t="b">
        <f>IFERROR(__xludf.DUMMYFUNCTION("""COMPUTED_VALUE"""),FALSE)</f>
        <v>0</v>
      </c>
      <c r="E835" s="35" t="str">
        <f>IFERROR(__xludf.DUMMYFUNCTION("""COMPUTED_VALUE"""),"Hard")</f>
        <v>Hard</v>
      </c>
      <c r="F835" s="35">
        <f>IFERROR(__xludf.DUMMYFUNCTION("""COMPUTED_VALUE"""),2413.0)</f>
        <v>2413</v>
      </c>
      <c r="G835" s="35">
        <f>IFERROR(__xludf.DUMMYFUNCTION("""COMPUTED_VALUE"""),57.0)</f>
        <v>57</v>
      </c>
      <c r="H835" s="35" t="str">
        <f>IFERROR(__xludf.DUMMYFUNCTION("""COMPUTED_VALUE"""),"Algorithms")</f>
        <v>Algorithms</v>
      </c>
      <c r="I835" s="35">
        <f>IFERROR(__xludf.DUMMYFUNCTION("""COMPUTED_VALUE"""),0.528)</f>
        <v>0.528</v>
      </c>
      <c r="J835" s="35">
        <f>IFERROR(__xludf.DUMMYFUNCTION("""COMPUTED_VALUE"""),834.0)</f>
        <v>834</v>
      </c>
      <c r="K835" s="35" t="b">
        <f>IFERROR(__xludf.DUMMYFUNCTION("""COMPUTED_VALUE"""),FALSE)</f>
        <v>0</v>
      </c>
      <c r="L835" s="35" t="str">
        <f>IFERROR(__xludf.DUMMYFUNCTION("""COMPUTED_VALUE"""),"Dynamic Programming;Tree;Depth-First Search;Graph;")</f>
        <v>Dynamic Programming;Tree;Depth-First Search;Graph;</v>
      </c>
      <c r="M835" s="35" t="b">
        <f>IFERROR(__xludf.DUMMYFUNCTION("""COMPUTED_VALUE"""),TRUE)</f>
        <v>1</v>
      </c>
      <c r="N835" s="35" t="b">
        <f>IFERROR(__xludf.DUMMYFUNCTION("""COMPUTED_VALUE"""),FALSE)</f>
        <v>0</v>
      </c>
      <c r="O835" s="35">
        <f>IFERROR(__xludf.DUMMYFUNCTION("""COMPUTED_VALUE"""),52.7500230983461)</f>
        <v>52.7500231</v>
      </c>
      <c r="P835" s="35">
        <f>IFERROR(__xludf.DUMMYFUNCTION("""COMPUTED_VALUE"""),39965.0)</f>
        <v>39965</v>
      </c>
      <c r="Q835" s="35">
        <f>IFERROR(__xludf.DUMMYFUNCTION("""COMPUTED_VALUE"""),75763.0)</f>
        <v>75763</v>
      </c>
    </row>
    <row r="836">
      <c r="A836" s="35">
        <f>IFERROR(__xludf.DUMMYFUNCTION("""COMPUTED_VALUE"""),864.0)</f>
        <v>864</v>
      </c>
      <c r="B836" s="35" t="str">
        <f>IFERROR(__xludf.DUMMYFUNCTION("""COMPUTED_VALUE"""),"Image Overlap")</f>
        <v>Image Overlap</v>
      </c>
      <c r="C836" s="35" t="str">
        <f>IFERROR(__xludf.DUMMYFUNCTION("""COMPUTED_VALUE"""),"image-overlap")</f>
        <v>image-overlap</v>
      </c>
      <c r="D836" s="35" t="b">
        <f>IFERROR(__xludf.DUMMYFUNCTION("""COMPUTED_VALUE"""),FALSE)</f>
        <v>0</v>
      </c>
      <c r="E836" s="35" t="str">
        <f>IFERROR(__xludf.DUMMYFUNCTION("""COMPUTED_VALUE"""),"Medium")</f>
        <v>Medium</v>
      </c>
      <c r="F836" s="35">
        <f>IFERROR(__xludf.DUMMYFUNCTION("""COMPUTED_VALUE"""),90.0)</f>
        <v>90</v>
      </c>
      <c r="G836" s="35">
        <f>IFERROR(__xludf.DUMMYFUNCTION("""COMPUTED_VALUE"""),25.0)</f>
        <v>25</v>
      </c>
      <c r="H836" s="35" t="str">
        <f>IFERROR(__xludf.DUMMYFUNCTION("""COMPUTED_VALUE"""),"Algorithms")</f>
        <v>Algorithms</v>
      </c>
      <c r="I836" s="35">
        <f>IFERROR(__xludf.DUMMYFUNCTION("""COMPUTED_VALUE"""),0.613)</f>
        <v>0.613</v>
      </c>
      <c r="J836" s="35">
        <f>IFERROR(__xludf.DUMMYFUNCTION("""COMPUTED_VALUE"""),835.0)</f>
        <v>835</v>
      </c>
      <c r="K836" s="35" t="b">
        <f>IFERROR(__xludf.DUMMYFUNCTION("""COMPUTED_VALUE"""),FALSE)</f>
        <v>0</v>
      </c>
      <c r="L836" s="35" t="str">
        <f>IFERROR(__xludf.DUMMYFUNCTION("""COMPUTED_VALUE"""),"Array;Matrix;")</f>
        <v>Array;Matrix;</v>
      </c>
      <c r="M836" s="35" t="b">
        <f>IFERROR(__xludf.DUMMYFUNCTION("""COMPUTED_VALUE"""),TRUE)</f>
        <v>1</v>
      </c>
      <c r="N836" s="35" t="b">
        <f>IFERROR(__xludf.DUMMYFUNCTION("""COMPUTED_VALUE"""),FALSE)</f>
        <v>0</v>
      </c>
      <c r="O836" s="35">
        <f>IFERROR(__xludf.DUMMYFUNCTION("""COMPUTED_VALUE"""),61.2804639134864)</f>
        <v>61.28046391</v>
      </c>
      <c r="P836" s="35">
        <f>IFERROR(__xludf.DUMMYFUNCTION("""COMPUTED_VALUE"""),46920.0)</f>
        <v>46920</v>
      </c>
      <c r="Q836" s="35">
        <f>IFERROR(__xludf.DUMMYFUNCTION("""COMPUTED_VALUE"""),76566.0)</f>
        <v>76566</v>
      </c>
    </row>
    <row r="837">
      <c r="A837" s="35">
        <f>IFERROR(__xludf.DUMMYFUNCTION("""COMPUTED_VALUE"""),866.0)</f>
        <v>866</v>
      </c>
      <c r="B837" s="35" t="str">
        <f>IFERROR(__xludf.DUMMYFUNCTION("""COMPUTED_VALUE"""),"Rectangle Overlap")</f>
        <v>Rectangle Overlap</v>
      </c>
      <c r="C837" s="35" t="str">
        <f>IFERROR(__xludf.DUMMYFUNCTION("""COMPUTED_VALUE"""),"rectangle-overlap")</f>
        <v>rectangle-overlap</v>
      </c>
      <c r="D837" s="35" t="b">
        <f>IFERROR(__xludf.DUMMYFUNCTION("""COMPUTED_VALUE"""),FALSE)</f>
        <v>0</v>
      </c>
      <c r="E837" s="35" t="str">
        <f>IFERROR(__xludf.DUMMYFUNCTION("""COMPUTED_VALUE"""),"Easy")</f>
        <v>Easy</v>
      </c>
      <c r="F837" s="35">
        <f>IFERROR(__xludf.DUMMYFUNCTION("""COMPUTED_VALUE"""),1355.0)</f>
        <v>1355</v>
      </c>
      <c r="G837" s="35">
        <f>IFERROR(__xludf.DUMMYFUNCTION("""COMPUTED_VALUE"""),375.0)</f>
        <v>375</v>
      </c>
      <c r="H837" s="35" t="str">
        <f>IFERROR(__xludf.DUMMYFUNCTION("""COMPUTED_VALUE"""),"Algorithms")</f>
        <v>Algorithms</v>
      </c>
      <c r="I837" s="35">
        <f>IFERROR(__xludf.DUMMYFUNCTION("""COMPUTED_VALUE"""),0.432)</f>
        <v>0.432</v>
      </c>
      <c r="J837" s="35">
        <f>IFERROR(__xludf.DUMMYFUNCTION("""COMPUTED_VALUE"""),836.0)</f>
        <v>836</v>
      </c>
      <c r="K837" s="35" t="b">
        <f>IFERROR(__xludf.DUMMYFUNCTION("""COMPUTED_VALUE"""),FALSE)</f>
        <v>0</v>
      </c>
      <c r="L837" s="35" t="str">
        <f>IFERROR(__xludf.DUMMYFUNCTION("""COMPUTED_VALUE"""),"Math;Geometry;")</f>
        <v>Math;Geometry;</v>
      </c>
      <c r="M837" s="35" t="b">
        <f>IFERROR(__xludf.DUMMYFUNCTION("""COMPUTED_VALUE"""),TRUE)</f>
        <v>1</v>
      </c>
      <c r="N837" s="35" t="b">
        <f>IFERROR(__xludf.DUMMYFUNCTION("""COMPUTED_VALUE"""),FALSE)</f>
        <v>0</v>
      </c>
      <c r="O837" s="35">
        <f>IFERROR(__xludf.DUMMYFUNCTION("""COMPUTED_VALUE"""),43.1500154110342)</f>
        <v>43.15001541</v>
      </c>
      <c r="P837" s="35">
        <f>IFERROR(__xludf.DUMMYFUNCTION("""COMPUTED_VALUE"""),97998.0)</f>
        <v>97998</v>
      </c>
      <c r="Q837" s="35">
        <f>IFERROR(__xludf.DUMMYFUNCTION("""COMPUTED_VALUE"""),227108.0)</f>
        <v>227108</v>
      </c>
    </row>
    <row r="838">
      <c r="A838" s="35">
        <f>IFERROR(__xludf.DUMMYFUNCTION("""COMPUTED_VALUE"""),867.0)</f>
        <v>867</v>
      </c>
      <c r="B838" s="35" t="str">
        <f>IFERROR(__xludf.DUMMYFUNCTION("""COMPUTED_VALUE"""),"New 21 Game")</f>
        <v>New 21 Game</v>
      </c>
      <c r="C838" s="35" t="str">
        <f>IFERROR(__xludf.DUMMYFUNCTION("""COMPUTED_VALUE"""),"new-21-game")</f>
        <v>new-21-game</v>
      </c>
      <c r="D838" s="35" t="b">
        <f>IFERROR(__xludf.DUMMYFUNCTION("""COMPUTED_VALUE"""),FALSE)</f>
        <v>0</v>
      </c>
      <c r="E838" s="35" t="str">
        <f>IFERROR(__xludf.DUMMYFUNCTION("""COMPUTED_VALUE"""),"Medium")</f>
        <v>Medium</v>
      </c>
      <c r="F838" s="35">
        <f>IFERROR(__xludf.DUMMYFUNCTION("""COMPUTED_VALUE"""),926.0)</f>
        <v>926</v>
      </c>
      <c r="G838" s="35">
        <f>IFERROR(__xludf.DUMMYFUNCTION("""COMPUTED_VALUE"""),613.0)</f>
        <v>613</v>
      </c>
      <c r="H838" s="35" t="str">
        <f>IFERROR(__xludf.DUMMYFUNCTION("""COMPUTED_VALUE"""),"Algorithms")</f>
        <v>Algorithms</v>
      </c>
      <c r="I838" s="35">
        <f>IFERROR(__xludf.DUMMYFUNCTION("""COMPUTED_VALUE"""),0.36)</f>
        <v>0.36</v>
      </c>
      <c r="J838" s="35">
        <f>IFERROR(__xludf.DUMMYFUNCTION("""COMPUTED_VALUE"""),837.0)</f>
        <v>837</v>
      </c>
      <c r="K838" s="35" t="b">
        <f>IFERROR(__xludf.DUMMYFUNCTION("""COMPUTED_VALUE"""),FALSE)</f>
        <v>0</v>
      </c>
      <c r="L838" s="35" t="str">
        <f>IFERROR(__xludf.DUMMYFUNCTION("""COMPUTED_VALUE"""),"Math;Dynamic Programming;Sliding Window;Probability and Statistics;")</f>
        <v>Math;Dynamic Programming;Sliding Window;Probability and Statistics;</v>
      </c>
      <c r="M838" s="35" t="b">
        <f>IFERROR(__xludf.DUMMYFUNCTION("""COMPUTED_VALUE"""),FALSE)</f>
        <v>0</v>
      </c>
      <c r="N838" s="35" t="b">
        <f>IFERROR(__xludf.DUMMYFUNCTION("""COMPUTED_VALUE"""),FALSE)</f>
        <v>0</v>
      </c>
      <c r="O838" s="35">
        <f>IFERROR(__xludf.DUMMYFUNCTION("""COMPUTED_VALUE"""),36.029185686242)</f>
        <v>36.02918569</v>
      </c>
      <c r="P838" s="35">
        <f>IFERROR(__xludf.DUMMYFUNCTION("""COMPUTED_VALUE"""),30467.0)</f>
        <v>30467</v>
      </c>
      <c r="Q838" s="35">
        <f>IFERROR(__xludf.DUMMYFUNCTION("""COMPUTED_VALUE"""),84562.0)</f>
        <v>84562</v>
      </c>
    </row>
    <row r="839">
      <c r="A839" s="35">
        <f>IFERROR(__xludf.DUMMYFUNCTION("""COMPUTED_VALUE"""),868.0)</f>
        <v>868</v>
      </c>
      <c r="B839" s="35" t="str">
        <f>IFERROR(__xludf.DUMMYFUNCTION("""COMPUTED_VALUE"""),"Push Dominoes")</f>
        <v>Push Dominoes</v>
      </c>
      <c r="C839" s="35" t="str">
        <f>IFERROR(__xludf.DUMMYFUNCTION("""COMPUTED_VALUE"""),"push-dominoes")</f>
        <v>push-dominoes</v>
      </c>
      <c r="D839" s="35" t="b">
        <f>IFERROR(__xludf.DUMMYFUNCTION("""COMPUTED_VALUE"""),FALSE)</f>
        <v>0</v>
      </c>
      <c r="E839" s="35" t="str">
        <f>IFERROR(__xludf.DUMMYFUNCTION("""COMPUTED_VALUE"""),"Medium")</f>
        <v>Medium</v>
      </c>
      <c r="F839" s="35">
        <f>IFERROR(__xludf.DUMMYFUNCTION("""COMPUTED_VALUE"""),1572.0)</f>
        <v>1572</v>
      </c>
      <c r="G839" s="35">
        <f>IFERROR(__xludf.DUMMYFUNCTION("""COMPUTED_VALUE"""),105.0)</f>
        <v>105</v>
      </c>
      <c r="H839" s="35" t="str">
        <f>IFERROR(__xludf.DUMMYFUNCTION("""COMPUTED_VALUE"""),"Algorithms")</f>
        <v>Algorithms</v>
      </c>
      <c r="I839" s="35">
        <f>IFERROR(__xludf.DUMMYFUNCTION("""COMPUTED_VALUE"""),0.522)</f>
        <v>0.522</v>
      </c>
      <c r="J839" s="35">
        <f>IFERROR(__xludf.DUMMYFUNCTION("""COMPUTED_VALUE"""),838.0)</f>
        <v>838</v>
      </c>
      <c r="K839" s="35" t="b">
        <f>IFERROR(__xludf.DUMMYFUNCTION("""COMPUTED_VALUE"""),FALSE)</f>
        <v>0</v>
      </c>
      <c r="L839" s="35" t="str">
        <f>IFERROR(__xludf.DUMMYFUNCTION("""COMPUTED_VALUE"""),"Two Pointers;String;Dynamic Programming;")</f>
        <v>Two Pointers;String;Dynamic Programming;</v>
      </c>
      <c r="M839" s="35" t="b">
        <f>IFERROR(__xludf.DUMMYFUNCTION("""COMPUTED_VALUE"""),TRUE)</f>
        <v>1</v>
      </c>
      <c r="N839" s="35" t="b">
        <f>IFERROR(__xludf.DUMMYFUNCTION("""COMPUTED_VALUE"""),FALSE)</f>
        <v>0</v>
      </c>
      <c r="O839" s="35">
        <f>IFERROR(__xludf.DUMMYFUNCTION("""COMPUTED_VALUE"""),52.1984866231617)</f>
        <v>52.19848662</v>
      </c>
      <c r="P839" s="35">
        <f>IFERROR(__xludf.DUMMYFUNCTION("""COMPUTED_VALUE"""),56152.0)</f>
        <v>56152</v>
      </c>
      <c r="Q839" s="35">
        <f>IFERROR(__xludf.DUMMYFUNCTION("""COMPUTED_VALUE"""),107574.0)</f>
        <v>107574</v>
      </c>
    </row>
    <row r="840">
      <c r="A840" s="35">
        <f>IFERROR(__xludf.DUMMYFUNCTION("""COMPUTED_VALUE"""),869.0)</f>
        <v>869</v>
      </c>
      <c r="B840" s="35" t="str">
        <f>IFERROR(__xludf.DUMMYFUNCTION("""COMPUTED_VALUE"""),"Similar String Groups")</f>
        <v>Similar String Groups</v>
      </c>
      <c r="C840" s="35" t="str">
        <f>IFERROR(__xludf.DUMMYFUNCTION("""COMPUTED_VALUE"""),"similar-string-groups")</f>
        <v>similar-string-groups</v>
      </c>
      <c r="D840" s="35" t="b">
        <f>IFERROR(__xludf.DUMMYFUNCTION("""COMPUTED_VALUE"""),FALSE)</f>
        <v>0</v>
      </c>
      <c r="E840" s="35" t="str">
        <f>IFERROR(__xludf.DUMMYFUNCTION("""COMPUTED_VALUE"""),"Hard")</f>
        <v>Hard</v>
      </c>
      <c r="F840" s="35">
        <f>IFERROR(__xludf.DUMMYFUNCTION("""COMPUTED_VALUE"""),748.0)</f>
        <v>748</v>
      </c>
      <c r="G840" s="35">
        <f>IFERROR(__xludf.DUMMYFUNCTION("""COMPUTED_VALUE"""),165.0)</f>
        <v>165</v>
      </c>
      <c r="H840" s="35" t="str">
        <f>IFERROR(__xludf.DUMMYFUNCTION("""COMPUTED_VALUE"""),"Algorithms")</f>
        <v>Algorithms</v>
      </c>
      <c r="I840" s="35">
        <f>IFERROR(__xludf.DUMMYFUNCTION("""COMPUTED_VALUE"""),0.45)</f>
        <v>0.45</v>
      </c>
      <c r="J840" s="35">
        <f>IFERROR(__xludf.DUMMYFUNCTION("""COMPUTED_VALUE"""),839.0)</f>
        <v>839</v>
      </c>
      <c r="K840" s="35" t="b">
        <f>IFERROR(__xludf.DUMMYFUNCTION("""COMPUTED_VALUE"""),FALSE)</f>
        <v>0</v>
      </c>
      <c r="L840" s="35" t="str">
        <f>IFERROR(__xludf.DUMMYFUNCTION("""COMPUTED_VALUE"""),"String;Depth-First Search;Breadth-First Search;Union Find;")</f>
        <v>String;Depth-First Search;Breadth-First Search;Union Find;</v>
      </c>
      <c r="M840" s="35" t="b">
        <f>IFERROR(__xludf.DUMMYFUNCTION("""COMPUTED_VALUE"""),FALSE)</f>
        <v>0</v>
      </c>
      <c r="N840" s="35" t="b">
        <f>IFERROR(__xludf.DUMMYFUNCTION("""COMPUTED_VALUE"""),FALSE)</f>
        <v>0</v>
      </c>
      <c r="O840" s="35">
        <f>IFERROR(__xludf.DUMMYFUNCTION("""COMPUTED_VALUE"""),45.0463894115357)</f>
        <v>45.04638941</v>
      </c>
      <c r="P840" s="35">
        <f>IFERROR(__xludf.DUMMYFUNCTION("""COMPUTED_VALUE"""),48601.0)</f>
        <v>48601</v>
      </c>
      <c r="Q840" s="35">
        <f>IFERROR(__xludf.DUMMYFUNCTION("""COMPUTED_VALUE"""),107891.0)</f>
        <v>107891</v>
      </c>
    </row>
    <row r="841">
      <c r="A841" s="35">
        <f>IFERROR(__xludf.DUMMYFUNCTION("""COMPUTED_VALUE"""),870.0)</f>
        <v>870</v>
      </c>
      <c r="B841" s="35" t="str">
        <f>IFERROR(__xludf.DUMMYFUNCTION("""COMPUTED_VALUE"""),"Magic Squares In Grid")</f>
        <v>Magic Squares In Grid</v>
      </c>
      <c r="C841" s="35" t="str">
        <f>IFERROR(__xludf.DUMMYFUNCTION("""COMPUTED_VALUE"""),"magic-squares-in-grid")</f>
        <v>magic-squares-in-grid</v>
      </c>
      <c r="D841" s="35" t="b">
        <f>IFERROR(__xludf.DUMMYFUNCTION("""COMPUTED_VALUE"""),FALSE)</f>
        <v>0</v>
      </c>
      <c r="E841" s="35" t="str">
        <f>IFERROR(__xludf.DUMMYFUNCTION("""COMPUTED_VALUE"""),"Medium")</f>
        <v>Medium</v>
      </c>
      <c r="F841" s="35">
        <f>IFERROR(__xludf.DUMMYFUNCTION("""COMPUTED_VALUE"""),242.0)</f>
        <v>242</v>
      </c>
      <c r="G841" s="35">
        <f>IFERROR(__xludf.DUMMYFUNCTION("""COMPUTED_VALUE"""),1439.0)</f>
        <v>1439</v>
      </c>
      <c r="H841" s="35" t="str">
        <f>IFERROR(__xludf.DUMMYFUNCTION("""COMPUTED_VALUE"""),"Algorithms")</f>
        <v>Algorithms</v>
      </c>
      <c r="I841" s="35">
        <f>IFERROR(__xludf.DUMMYFUNCTION("""COMPUTED_VALUE"""),0.383)</f>
        <v>0.383</v>
      </c>
      <c r="J841" s="35">
        <f>IFERROR(__xludf.DUMMYFUNCTION("""COMPUTED_VALUE"""),840.0)</f>
        <v>840</v>
      </c>
      <c r="K841" s="35" t="b">
        <f>IFERROR(__xludf.DUMMYFUNCTION("""COMPUTED_VALUE"""),FALSE)</f>
        <v>0</v>
      </c>
      <c r="L841" s="35" t="str">
        <f>IFERROR(__xludf.DUMMYFUNCTION("""COMPUTED_VALUE"""),"Array;Math;Matrix;")</f>
        <v>Array;Math;Matrix;</v>
      </c>
      <c r="M841" s="35" t="b">
        <f>IFERROR(__xludf.DUMMYFUNCTION("""COMPUTED_VALUE"""),FALSE)</f>
        <v>0</v>
      </c>
      <c r="N841" s="35" t="b">
        <f>IFERROR(__xludf.DUMMYFUNCTION("""COMPUTED_VALUE"""),FALSE)</f>
        <v>0</v>
      </c>
      <c r="O841" s="35">
        <f>IFERROR(__xludf.DUMMYFUNCTION("""COMPUTED_VALUE"""),38.3196349242855)</f>
        <v>38.31963492</v>
      </c>
      <c r="P841" s="35">
        <f>IFERROR(__xludf.DUMMYFUNCTION("""COMPUTED_VALUE"""),31657.0)</f>
        <v>31657</v>
      </c>
      <c r="Q841" s="35">
        <f>IFERROR(__xludf.DUMMYFUNCTION("""COMPUTED_VALUE"""),82613.0)</f>
        <v>82613</v>
      </c>
    </row>
    <row r="842">
      <c r="A842" s="35">
        <f>IFERROR(__xludf.DUMMYFUNCTION("""COMPUTED_VALUE"""),871.0)</f>
        <v>871</v>
      </c>
      <c r="B842" s="35" t="str">
        <f>IFERROR(__xludf.DUMMYFUNCTION("""COMPUTED_VALUE"""),"Keys and Rooms")</f>
        <v>Keys and Rooms</v>
      </c>
      <c r="C842" s="35" t="str">
        <f>IFERROR(__xludf.DUMMYFUNCTION("""COMPUTED_VALUE"""),"keys-and-rooms")</f>
        <v>keys-and-rooms</v>
      </c>
      <c r="D842" s="35" t="b">
        <f>IFERROR(__xludf.DUMMYFUNCTION("""COMPUTED_VALUE"""),FALSE)</f>
        <v>0</v>
      </c>
      <c r="E842" s="35" t="str">
        <f>IFERROR(__xludf.DUMMYFUNCTION("""COMPUTED_VALUE"""),"Medium")</f>
        <v>Medium</v>
      </c>
      <c r="F842" s="35">
        <f>IFERROR(__xludf.DUMMYFUNCTION("""COMPUTED_VALUE"""),2817.0)</f>
        <v>2817</v>
      </c>
      <c r="G842" s="35">
        <f>IFERROR(__xludf.DUMMYFUNCTION("""COMPUTED_VALUE"""),165.0)</f>
        <v>165</v>
      </c>
      <c r="H842" s="35" t="str">
        <f>IFERROR(__xludf.DUMMYFUNCTION("""COMPUTED_VALUE"""),"Algorithms")</f>
        <v>Algorithms</v>
      </c>
      <c r="I842" s="35">
        <f>IFERROR(__xludf.DUMMYFUNCTION("""COMPUTED_VALUE"""),0.685)</f>
        <v>0.685</v>
      </c>
      <c r="J842" s="35">
        <f>IFERROR(__xludf.DUMMYFUNCTION("""COMPUTED_VALUE"""),841.0)</f>
        <v>841</v>
      </c>
      <c r="K842" s="35" t="b">
        <f>IFERROR(__xludf.DUMMYFUNCTION("""COMPUTED_VALUE"""),FALSE)</f>
        <v>0</v>
      </c>
      <c r="L842" s="35" t="str">
        <f>IFERROR(__xludf.DUMMYFUNCTION("""COMPUTED_VALUE"""),"Depth-First Search;Breadth-First Search;Graph;")</f>
        <v>Depth-First Search;Breadth-First Search;Graph;</v>
      </c>
      <c r="M842" s="35" t="b">
        <f>IFERROR(__xludf.DUMMYFUNCTION("""COMPUTED_VALUE"""),TRUE)</f>
        <v>1</v>
      </c>
      <c r="N842" s="35" t="b">
        <f>IFERROR(__xludf.DUMMYFUNCTION("""COMPUTED_VALUE"""),FALSE)</f>
        <v>0</v>
      </c>
      <c r="O842" s="35">
        <f>IFERROR(__xludf.DUMMYFUNCTION("""COMPUTED_VALUE"""),68.5329290249218)</f>
        <v>68.53292902</v>
      </c>
      <c r="P842" s="35">
        <f>IFERROR(__xludf.DUMMYFUNCTION("""COMPUTED_VALUE"""),180806.0)</f>
        <v>180806</v>
      </c>
      <c r="Q842" s="35">
        <f>IFERROR(__xludf.DUMMYFUNCTION("""COMPUTED_VALUE"""),263823.0)</f>
        <v>263823</v>
      </c>
    </row>
    <row r="843">
      <c r="A843" s="35">
        <f>IFERROR(__xludf.DUMMYFUNCTION("""COMPUTED_VALUE"""),872.0)</f>
        <v>872</v>
      </c>
      <c r="B843" s="35" t="str">
        <f>IFERROR(__xludf.DUMMYFUNCTION("""COMPUTED_VALUE"""),"Split Array into Fibonacci Sequence")</f>
        <v>Split Array into Fibonacci Sequence</v>
      </c>
      <c r="C843" s="35" t="str">
        <f>IFERROR(__xludf.DUMMYFUNCTION("""COMPUTED_VALUE"""),"split-array-into-fibonacci-sequence")</f>
        <v>split-array-into-fibonacci-sequence</v>
      </c>
      <c r="D843" s="35" t="b">
        <f>IFERROR(__xludf.DUMMYFUNCTION("""COMPUTED_VALUE"""),FALSE)</f>
        <v>0</v>
      </c>
      <c r="E843" s="35" t="str">
        <f>IFERROR(__xludf.DUMMYFUNCTION("""COMPUTED_VALUE"""),"Medium")</f>
        <v>Medium</v>
      </c>
      <c r="F843" s="35">
        <f>IFERROR(__xludf.DUMMYFUNCTION("""COMPUTED_VALUE"""),808.0)</f>
        <v>808</v>
      </c>
      <c r="G843" s="35">
        <f>IFERROR(__xludf.DUMMYFUNCTION("""COMPUTED_VALUE"""),246.0)</f>
        <v>246</v>
      </c>
      <c r="H843" s="35" t="str">
        <f>IFERROR(__xludf.DUMMYFUNCTION("""COMPUTED_VALUE"""),"Algorithms")</f>
        <v>Algorithms</v>
      </c>
      <c r="I843" s="35">
        <f>IFERROR(__xludf.DUMMYFUNCTION("""COMPUTED_VALUE"""),0.377)</f>
        <v>0.377</v>
      </c>
      <c r="J843" s="35">
        <f>IFERROR(__xludf.DUMMYFUNCTION("""COMPUTED_VALUE"""),842.0)</f>
        <v>842</v>
      </c>
      <c r="K843" s="35" t="b">
        <f>IFERROR(__xludf.DUMMYFUNCTION("""COMPUTED_VALUE"""),FALSE)</f>
        <v>0</v>
      </c>
      <c r="L843" s="35" t="str">
        <f>IFERROR(__xludf.DUMMYFUNCTION("""COMPUTED_VALUE"""),"String;Backtracking;")</f>
        <v>String;Backtracking;</v>
      </c>
      <c r="M843" s="35" t="b">
        <f>IFERROR(__xludf.DUMMYFUNCTION("""COMPUTED_VALUE"""),TRUE)</f>
        <v>1</v>
      </c>
      <c r="N843" s="35" t="b">
        <f>IFERROR(__xludf.DUMMYFUNCTION("""COMPUTED_VALUE"""),FALSE)</f>
        <v>0</v>
      </c>
      <c r="O843" s="35">
        <f>IFERROR(__xludf.DUMMYFUNCTION("""COMPUTED_VALUE"""),37.6803376803376)</f>
        <v>37.68033768</v>
      </c>
      <c r="P843" s="35">
        <f>IFERROR(__xludf.DUMMYFUNCTION("""COMPUTED_VALUE"""),29904.0)</f>
        <v>29904</v>
      </c>
      <c r="Q843" s="35">
        <f>IFERROR(__xludf.DUMMYFUNCTION("""COMPUTED_VALUE"""),79362.0)</f>
        <v>79362</v>
      </c>
    </row>
    <row r="844">
      <c r="A844" s="35">
        <f>IFERROR(__xludf.DUMMYFUNCTION("""COMPUTED_VALUE"""),873.0)</f>
        <v>873</v>
      </c>
      <c r="B844" s="35" t="str">
        <f>IFERROR(__xludf.DUMMYFUNCTION("""COMPUTED_VALUE"""),"Guess the Word")</f>
        <v>Guess the Word</v>
      </c>
      <c r="C844" s="35" t="str">
        <f>IFERROR(__xludf.DUMMYFUNCTION("""COMPUTED_VALUE"""),"guess-the-word")</f>
        <v>guess-the-word</v>
      </c>
      <c r="D844" s="35" t="b">
        <f>IFERROR(__xludf.DUMMYFUNCTION("""COMPUTED_VALUE"""),FALSE)</f>
        <v>0</v>
      </c>
      <c r="E844" s="35" t="str">
        <f>IFERROR(__xludf.DUMMYFUNCTION("""COMPUTED_VALUE"""),"Hard")</f>
        <v>Hard</v>
      </c>
      <c r="F844" s="35">
        <f>IFERROR(__xludf.DUMMYFUNCTION("""COMPUTED_VALUE"""),1166.0)</f>
        <v>1166</v>
      </c>
      <c r="G844" s="35">
        <f>IFERROR(__xludf.DUMMYFUNCTION("""COMPUTED_VALUE"""),1291.0)</f>
        <v>1291</v>
      </c>
      <c r="H844" s="35" t="str">
        <f>IFERROR(__xludf.DUMMYFUNCTION("""COMPUTED_VALUE"""),"Algorithms")</f>
        <v>Algorithms</v>
      </c>
      <c r="I844" s="35">
        <f>IFERROR(__xludf.DUMMYFUNCTION("""COMPUTED_VALUE"""),0.432)</f>
        <v>0.432</v>
      </c>
      <c r="J844" s="35">
        <f>IFERROR(__xludf.DUMMYFUNCTION("""COMPUTED_VALUE"""),843.0)</f>
        <v>843</v>
      </c>
      <c r="K844" s="35" t="b">
        <f>IFERROR(__xludf.DUMMYFUNCTION("""COMPUTED_VALUE"""),FALSE)</f>
        <v>0</v>
      </c>
      <c r="L844" s="35" t="str">
        <f>IFERROR(__xludf.DUMMYFUNCTION("""COMPUTED_VALUE"""),"Array;Math;String;Interactive;Game Theory;")</f>
        <v>Array;Math;String;Interactive;Game Theory;</v>
      </c>
      <c r="M844" s="35" t="b">
        <f>IFERROR(__xludf.DUMMYFUNCTION("""COMPUTED_VALUE"""),FALSE)</f>
        <v>0</v>
      </c>
      <c r="N844" s="35" t="b">
        <f>IFERROR(__xludf.DUMMYFUNCTION("""COMPUTED_VALUE"""),FALSE)</f>
        <v>0</v>
      </c>
      <c r="O844" s="35">
        <f>IFERROR(__xludf.DUMMYFUNCTION("""COMPUTED_VALUE"""),43.202616680556)</f>
        <v>43.20261668</v>
      </c>
      <c r="P844" s="35">
        <f>IFERROR(__xludf.DUMMYFUNCTION("""COMPUTED_VALUE"""),110422.0)</f>
        <v>110422</v>
      </c>
      <c r="Q844" s="35">
        <f>IFERROR(__xludf.DUMMYFUNCTION("""COMPUTED_VALUE"""),255591.0)</f>
        <v>255591</v>
      </c>
    </row>
    <row r="845">
      <c r="A845" s="35">
        <f>IFERROR(__xludf.DUMMYFUNCTION("""COMPUTED_VALUE"""),874.0)</f>
        <v>874</v>
      </c>
      <c r="B845" s="35" t="str">
        <f>IFERROR(__xludf.DUMMYFUNCTION("""COMPUTED_VALUE"""),"Backspace String Compare")</f>
        <v>Backspace String Compare</v>
      </c>
      <c r="C845" s="35" t="str">
        <f>IFERROR(__xludf.DUMMYFUNCTION("""COMPUTED_VALUE"""),"backspace-string-compare")</f>
        <v>backspace-string-compare</v>
      </c>
      <c r="D845" s="35" t="b">
        <f>IFERROR(__xludf.DUMMYFUNCTION("""COMPUTED_VALUE"""),FALSE)</f>
        <v>0</v>
      </c>
      <c r="E845" s="35" t="str">
        <f>IFERROR(__xludf.DUMMYFUNCTION("""COMPUTED_VALUE"""),"Easy")</f>
        <v>Easy</v>
      </c>
      <c r="F845" s="35">
        <f>IFERROR(__xludf.DUMMYFUNCTION("""COMPUTED_VALUE"""),3662.0)</f>
        <v>3662</v>
      </c>
      <c r="G845" s="35">
        <f>IFERROR(__xludf.DUMMYFUNCTION("""COMPUTED_VALUE"""),172.0)</f>
        <v>172</v>
      </c>
      <c r="H845" s="35" t="str">
        <f>IFERROR(__xludf.DUMMYFUNCTION("""COMPUTED_VALUE"""),"Algorithms")</f>
        <v>Algorithms</v>
      </c>
      <c r="I845" s="35">
        <f>IFERROR(__xludf.DUMMYFUNCTION("""COMPUTED_VALUE"""),0.473)</f>
        <v>0.473</v>
      </c>
      <c r="J845" s="35">
        <f>IFERROR(__xludf.DUMMYFUNCTION("""COMPUTED_VALUE"""),844.0)</f>
        <v>844</v>
      </c>
      <c r="K845" s="35" t="b">
        <f>IFERROR(__xludf.DUMMYFUNCTION("""COMPUTED_VALUE"""),FALSE)</f>
        <v>0</v>
      </c>
      <c r="L845" s="35" t="str">
        <f>IFERROR(__xludf.DUMMYFUNCTION("""COMPUTED_VALUE"""),"Two Pointers;String;Stack;Simulation;")</f>
        <v>Two Pointers;String;Stack;Simulation;</v>
      </c>
      <c r="M845" s="35" t="b">
        <f>IFERROR(__xludf.DUMMYFUNCTION("""COMPUTED_VALUE"""),TRUE)</f>
        <v>1</v>
      </c>
      <c r="N845" s="35" t="b">
        <f>IFERROR(__xludf.DUMMYFUNCTION("""COMPUTED_VALUE"""),FALSE)</f>
        <v>0</v>
      </c>
      <c r="O845" s="35">
        <f>IFERROR(__xludf.DUMMYFUNCTION("""COMPUTED_VALUE"""),47.3416189871247)</f>
        <v>47.34161899</v>
      </c>
      <c r="P845" s="35">
        <f>IFERROR(__xludf.DUMMYFUNCTION("""COMPUTED_VALUE"""),392028.0)</f>
        <v>392028</v>
      </c>
      <c r="Q845" s="35">
        <f>IFERROR(__xludf.DUMMYFUNCTION("""COMPUTED_VALUE"""),828085.0)</f>
        <v>828085</v>
      </c>
    </row>
    <row r="846">
      <c r="A846" s="35">
        <f>IFERROR(__xludf.DUMMYFUNCTION("""COMPUTED_VALUE"""),875.0)</f>
        <v>875</v>
      </c>
      <c r="B846" s="35" t="str">
        <f>IFERROR(__xludf.DUMMYFUNCTION("""COMPUTED_VALUE"""),"Longest Mountain in Array")</f>
        <v>Longest Mountain in Array</v>
      </c>
      <c r="C846" s="35" t="str">
        <f>IFERROR(__xludf.DUMMYFUNCTION("""COMPUTED_VALUE"""),"longest-mountain-in-array")</f>
        <v>longest-mountain-in-array</v>
      </c>
      <c r="D846" s="35" t="b">
        <f>IFERROR(__xludf.DUMMYFUNCTION("""COMPUTED_VALUE"""),FALSE)</f>
        <v>0</v>
      </c>
      <c r="E846" s="35" t="str">
        <f>IFERROR(__xludf.DUMMYFUNCTION("""COMPUTED_VALUE"""),"Medium")</f>
        <v>Medium</v>
      </c>
      <c r="F846" s="35">
        <f>IFERROR(__xludf.DUMMYFUNCTION("""COMPUTED_VALUE"""),1790.0)</f>
        <v>1790</v>
      </c>
      <c r="G846" s="35">
        <f>IFERROR(__xludf.DUMMYFUNCTION("""COMPUTED_VALUE"""),55.0)</f>
        <v>55</v>
      </c>
      <c r="H846" s="35" t="str">
        <f>IFERROR(__xludf.DUMMYFUNCTION("""COMPUTED_VALUE"""),"Algorithms")</f>
        <v>Algorithms</v>
      </c>
      <c r="I846" s="35">
        <f>IFERROR(__xludf.DUMMYFUNCTION("""COMPUTED_VALUE"""),0.397)</f>
        <v>0.397</v>
      </c>
      <c r="J846" s="35">
        <f>IFERROR(__xludf.DUMMYFUNCTION("""COMPUTED_VALUE"""),845.0)</f>
        <v>845</v>
      </c>
      <c r="K846" s="35" t="b">
        <f>IFERROR(__xludf.DUMMYFUNCTION("""COMPUTED_VALUE"""),FALSE)</f>
        <v>0</v>
      </c>
      <c r="L846" s="35" t="str">
        <f>IFERROR(__xludf.DUMMYFUNCTION("""COMPUTED_VALUE"""),"Array;Two Pointers;Dynamic Programming;Enumeration;")</f>
        <v>Array;Two Pointers;Dynamic Programming;Enumeration;</v>
      </c>
      <c r="M846" s="35" t="b">
        <f>IFERROR(__xludf.DUMMYFUNCTION("""COMPUTED_VALUE"""),TRUE)</f>
        <v>1</v>
      </c>
      <c r="N846" s="35" t="b">
        <f>IFERROR(__xludf.DUMMYFUNCTION("""COMPUTED_VALUE"""),FALSE)</f>
        <v>0</v>
      </c>
      <c r="O846" s="35">
        <f>IFERROR(__xludf.DUMMYFUNCTION("""COMPUTED_VALUE"""),39.7137402837021)</f>
        <v>39.71374028</v>
      </c>
      <c r="P846" s="35">
        <f>IFERROR(__xludf.DUMMYFUNCTION("""COMPUTED_VALUE"""),86958.0)</f>
        <v>86958</v>
      </c>
      <c r="Q846" s="35">
        <f>IFERROR(__xludf.DUMMYFUNCTION("""COMPUTED_VALUE"""),218962.0)</f>
        <v>218962</v>
      </c>
    </row>
    <row r="847">
      <c r="A847" s="35">
        <f>IFERROR(__xludf.DUMMYFUNCTION("""COMPUTED_VALUE"""),876.0)</f>
        <v>876</v>
      </c>
      <c r="B847" s="35" t="str">
        <f>IFERROR(__xludf.DUMMYFUNCTION("""COMPUTED_VALUE"""),"Hand of Straights")</f>
        <v>Hand of Straights</v>
      </c>
      <c r="C847" s="35" t="str">
        <f>IFERROR(__xludf.DUMMYFUNCTION("""COMPUTED_VALUE"""),"hand-of-straights")</f>
        <v>hand-of-straights</v>
      </c>
      <c r="D847" s="35" t="b">
        <f>IFERROR(__xludf.DUMMYFUNCTION("""COMPUTED_VALUE"""),FALSE)</f>
        <v>0</v>
      </c>
      <c r="E847" s="35" t="str">
        <f>IFERROR(__xludf.DUMMYFUNCTION("""COMPUTED_VALUE"""),"Medium")</f>
        <v>Medium</v>
      </c>
      <c r="F847" s="35">
        <f>IFERROR(__xludf.DUMMYFUNCTION("""COMPUTED_VALUE"""),1281.0)</f>
        <v>1281</v>
      </c>
      <c r="G847" s="35">
        <f>IFERROR(__xludf.DUMMYFUNCTION("""COMPUTED_VALUE"""),107.0)</f>
        <v>107</v>
      </c>
      <c r="H847" s="35" t="str">
        <f>IFERROR(__xludf.DUMMYFUNCTION("""COMPUTED_VALUE"""),"Algorithms")</f>
        <v>Algorithms</v>
      </c>
      <c r="I847" s="35">
        <f>IFERROR(__xludf.DUMMYFUNCTION("""COMPUTED_VALUE"""),0.561)</f>
        <v>0.561</v>
      </c>
      <c r="J847" s="35">
        <f>IFERROR(__xludf.DUMMYFUNCTION("""COMPUTED_VALUE"""),846.0)</f>
        <v>846</v>
      </c>
      <c r="K847" s="35" t="b">
        <f>IFERROR(__xludf.DUMMYFUNCTION("""COMPUTED_VALUE"""),FALSE)</f>
        <v>0</v>
      </c>
      <c r="L847" s="35" t="str">
        <f>IFERROR(__xludf.DUMMYFUNCTION("""COMPUTED_VALUE"""),"Array;Hash Table;Greedy;Sorting;")</f>
        <v>Array;Hash Table;Greedy;Sorting;</v>
      </c>
      <c r="M847" s="35" t="b">
        <f>IFERROR(__xludf.DUMMYFUNCTION("""COMPUTED_VALUE"""),FALSE)</f>
        <v>0</v>
      </c>
      <c r="N847" s="35" t="b">
        <f>IFERROR(__xludf.DUMMYFUNCTION("""COMPUTED_VALUE"""),FALSE)</f>
        <v>0</v>
      </c>
      <c r="O847" s="35">
        <f>IFERROR(__xludf.DUMMYFUNCTION("""COMPUTED_VALUE"""),56.1258355225965)</f>
        <v>56.12583552</v>
      </c>
      <c r="P847" s="35">
        <f>IFERROR(__xludf.DUMMYFUNCTION("""COMPUTED_VALUE"""),84388.0)</f>
        <v>84388</v>
      </c>
      <c r="Q847" s="35">
        <f>IFERROR(__xludf.DUMMYFUNCTION("""COMPUTED_VALUE"""),150355.0)</f>
        <v>150355</v>
      </c>
    </row>
    <row r="848">
      <c r="A848" s="35">
        <f>IFERROR(__xludf.DUMMYFUNCTION("""COMPUTED_VALUE"""),877.0)</f>
        <v>877</v>
      </c>
      <c r="B848" s="35" t="str">
        <f>IFERROR(__xludf.DUMMYFUNCTION("""COMPUTED_VALUE"""),"Shortest Path Visiting All Nodes")</f>
        <v>Shortest Path Visiting All Nodes</v>
      </c>
      <c r="C848" s="35" t="str">
        <f>IFERROR(__xludf.DUMMYFUNCTION("""COMPUTED_VALUE"""),"shortest-path-visiting-all-nodes")</f>
        <v>shortest-path-visiting-all-nodes</v>
      </c>
      <c r="D848" s="35" t="b">
        <f>IFERROR(__xludf.DUMMYFUNCTION("""COMPUTED_VALUE"""),FALSE)</f>
        <v>0</v>
      </c>
      <c r="E848" s="35" t="str">
        <f>IFERROR(__xludf.DUMMYFUNCTION("""COMPUTED_VALUE"""),"Hard")</f>
        <v>Hard</v>
      </c>
      <c r="F848" s="35">
        <f>IFERROR(__xludf.DUMMYFUNCTION("""COMPUTED_VALUE"""),2273.0)</f>
        <v>2273</v>
      </c>
      <c r="G848" s="35">
        <f>IFERROR(__xludf.DUMMYFUNCTION("""COMPUTED_VALUE"""),117.0)</f>
        <v>117</v>
      </c>
      <c r="H848" s="35" t="str">
        <f>IFERROR(__xludf.DUMMYFUNCTION("""COMPUTED_VALUE"""),"Algorithms")</f>
        <v>Algorithms</v>
      </c>
      <c r="I848" s="35">
        <f>IFERROR(__xludf.DUMMYFUNCTION("""COMPUTED_VALUE"""),0.61)</f>
        <v>0.61</v>
      </c>
      <c r="J848" s="35">
        <f>IFERROR(__xludf.DUMMYFUNCTION("""COMPUTED_VALUE"""),847.0)</f>
        <v>847</v>
      </c>
      <c r="K848" s="35" t="b">
        <f>IFERROR(__xludf.DUMMYFUNCTION("""COMPUTED_VALUE"""),FALSE)</f>
        <v>0</v>
      </c>
      <c r="L848" s="35" t="str">
        <f>IFERROR(__xludf.DUMMYFUNCTION("""COMPUTED_VALUE"""),"Dynamic Programming;Bit Manipulation;Breadth-First Search;Graph;Bitmask;")</f>
        <v>Dynamic Programming;Bit Manipulation;Breadth-First Search;Graph;Bitmask;</v>
      </c>
      <c r="M848" s="35" t="b">
        <f>IFERROR(__xludf.DUMMYFUNCTION("""COMPUTED_VALUE"""),TRUE)</f>
        <v>1</v>
      </c>
      <c r="N848" s="35" t="b">
        <f>IFERROR(__xludf.DUMMYFUNCTION("""COMPUTED_VALUE"""),FALSE)</f>
        <v>0</v>
      </c>
      <c r="O848" s="35">
        <f>IFERROR(__xludf.DUMMYFUNCTION("""COMPUTED_VALUE"""),60.9863196837507)</f>
        <v>60.98631968</v>
      </c>
      <c r="P848" s="35">
        <f>IFERROR(__xludf.DUMMYFUNCTION("""COMPUTED_VALUE"""),52914.0)</f>
        <v>52914</v>
      </c>
      <c r="Q848" s="35">
        <f>IFERROR(__xludf.DUMMYFUNCTION("""COMPUTED_VALUE"""),86765.0)</f>
        <v>86765</v>
      </c>
    </row>
    <row r="849">
      <c r="A849" s="35">
        <f>IFERROR(__xludf.DUMMYFUNCTION("""COMPUTED_VALUE"""),878.0)</f>
        <v>878</v>
      </c>
      <c r="B849" s="35" t="str">
        <f>IFERROR(__xludf.DUMMYFUNCTION("""COMPUTED_VALUE"""),"Shifting Letters")</f>
        <v>Shifting Letters</v>
      </c>
      <c r="C849" s="35" t="str">
        <f>IFERROR(__xludf.DUMMYFUNCTION("""COMPUTED_VALUE"""),"shifting-letters")</f>
        <v>shifting-letters</v>
      </c>
      <c r="D849" s="35" t="b">
        <f>IFERROR(__xludf.DUMMYFUNCTION("""COMPUTED_VALUE"""),FALSE)</f>
        <v>0</v>
      </c>
      <c r="E849" s="35" t="str">
        <f>IFERROR(__xludf.DUMMYFUNCTION("""COMPUTED_VALUE"""),"Medium")</f>
        <v>Medium</v>
      </c>
      <c r="F849" s="35">
        <f>IFERROR(__xludf.DUMMYFUNCTION("""COMPUTED_VALUE"""),833.0)</f>
        <v>833</v>
      </c>
      <c r="G849" s="35">
        <f>IFERROR(__xludf.DUMMYFUNCTION("""COMPUTED_VALUE"""),96.0)</f>
        <v>96</v>
      </c>
      <c r="H849" s="35" t="str">
        <f>IFERROR(__xludf.DUMMYFUNCTION("""COMPUTED_VALUE"""),"Algorithms")</f>
        <v>Algorithms</v>
      </c>
      <c r="I849" s="35">
        <f>IFERROR(__xludf.DUMMYFUNCTION("""COMPUTED_VALUE"""),0.455)</f>
        <v>0.455</v>
      </c>
      <c r="J849" s="35">
        <f>IFERROR(__xludf.DUMMYFUNCTION("""COMPUTED_VALUE"""),848.0)</f>
        <v>848</v>
      </c>
      <c r="K849" s="35" t="b">
        <f>IFERROR(__xludf.DUMMYFUNCTION("""COMPUTED_VALUE"""),FALSE)</f>
        <v>0</v>
      </c>
      <c r="L849" s="35" t="str">
        <f>IFERROR(__xludf.DUMMYFUNCTION("""COMPUTED_VALUE"""),"Array;String;")</f>
        <v>Array;String;</v>
      </c>
      <c r="M849" s="35" t="b">
        <f>IFERROR(__xludf.DUMMYFUNCTION("""COMPUTED_VALUE"""),TRUE)</f>
        <v>1</v>
      </c>
      <c r="N849" s="35" t="b">
        <f>IFERROR(__xludf.DUMMYFUNCTION("""COMPUTED_VALUE"""),FALSE)</f>
        <v>0</v>
      </c>
      <c r="O849" s="35">
        <f>IFERROR(__xludf.DUMMYFUNCTION("""COMPUTED_VALUE"""),45.4738905582996)</f>
        <v>45.47389056</v>
      </c>
      <c r="P849" s="35">
        <f>IFERROR(__xludf.DUMMYFUNCTION("""COMPUTED_VALUE"""),70520.0)</f>
        <v>70520</v>
      </c>
      <c r="Q849" s="35">
        <f>IFERROR(__xludf.DUMMYFUNCTION("""COMPUTED_VALUE"""),155078.0)</f>
        <v>155078</v>
      </c>
    </row>
    <row r="850">
      <c r="A850" s="35">
        <f>IFERROR(__xludf.DUMMYFUNCTION("""COMPUTED_VALUE"""),879.0)</f>
        <v>879</v>
      </c>
      <c r="B850" s="35" t="str">
        <f>IFERROR(__xludf.DUMMYFUNCTION("""COMPUTED_VALUE"""),"Maximize Distance to Closest Person")</f>
        <v>Maximize Distance to Closest Person</v>
      </c>
      <c r="C850" s="35" t="str">
        <f>IFERROR(__xludf.DUMMYFUNCTION("""COMPUTED_VALUE"""),"maximize-distance-to-closest-person")</f>
        <v>maximize-distance-to-closest-person</v>
      </c>
      <c r="D850" s="35" t="b">
        <f>IFERROR(__xludf.DUMMYFUNCTION("""COMPUTED_VALUE"""),FALSE)</f>
        <v>0</v>
      </c>
      <c r="E850" s="35" t="str">
        <f>IFERROR(__xludf.DUMMYFUNCTION("""COMPUTED_VALUE"""),"Medium")</f>
        <v>Medium</v>
      </c>
      <c r="F850" s="35">
        <f>IFERROR(__xludf.DUMMYFUNCTION("""COMPUTED_VALUE"""),2515.0)</f>
        <v>2515</v>
      </c>
      <c r="G850" s="35">
        <f>IFERROR(__xludf.DUMMYFUNCTION("""COMPUTED_VALUE"""),162.0)</f>
        <v>162</v>
      </c>
      <c r="H850" s="35" t="str">
        <f>IFERROR(__xludf.DUMMYFUNCTION("""COMPUTED_VALUE"""),"Algorithms")</f>
        <v>Algorithms</v>
      </c>
      <c r="I850" s="35">
        <f>IFERROR(__xludf.DUMMYFUNCTION("""COMPUTED_VALUE"""),0.474)</f>
        <v>0.474</v>
      </c>
      <c r="J850" s="35">
        <f>IFERROR(__xludf.DUMMYFUNCTION("""COMPUTED_VALUE"""),849.0)</f>
        <v>849</v>
      </c>
      <c r="K850" s="35" t="b">
        <f>IFERROR(__xludf.DUMMYFUNCTION("""COMPUTED_VALUE"""),FALSE)</f>
        <v>0</v>
      </c>
      <c r="L850" s="35" t="str">
        <f>IFERROR(__xludf.DUMMYFUNCTION("""COMPUTED_VALUE"""),"Array;")</f>
        <v>Array;</v>
      </c>
      <c r="M850" s="35" t="b">
        <f>IFERROR(__xludf.DUMMYFUNCTION("""COMPUTED_VALUE"""),TRUE)</f>
        <v>1</v>
      </c>
      <c r="N850" s="35" t="b">
        <f>IFERROR(__xludf.DUMMYFUNCTION("""COMPUTED_VALUE"""),FALSE)</f>
        <v>0</v>
      </c>
      <c r="O850" s="35">
        <f>IFERROR(__xludf.DUMMYFUNCTION("""COMPUTED_VALUE"""),47.4288209062275)</f>
        <v>47.42882091</v>
      </c>
      <c r="P850" s="35">
        <f>IFERROR(__xludf.DUMMYFUNCTION("""COMPUTED_VALUE"""),167297.0)</f>
        <v>167297</v>
      </c>
      <c r="Q850" s="35">
        <f>IFERROR(__xludf.DUMMYFUNCTION("""COMPUTED_VALUE"""),352735.0)</f>
        <v>352735</v>
      </c>
    </row>
    <row r="851">
      <c r="A851" s="35">
        <f>IFERROR(__xludf.DUMMYFUNCTION("""COMPUTED_VALUE"""),880.0)</f>
        <v>880</v>
      </c>
      <c r="B851" s="35" t="str">
        <f>IFERROR(__xludf.DUMMYFUNCTION("""COMPUTED_VALUE"""),"Rectangle Area II")</f>
        <v>Rectangle Area II</v>
      </c>
      <c r="C851" s="35" t="str">
        <f>IFERROR(__xludf.DUMMYFUNCTION("""COMPUTED_VALUE"""),"rectangle-area-ii")</f>
        <v>rectangle-area-ii</v>
      </c>
      <c r="D851" s="35" t="b">
        <f>IFERROR(__xludf.DUMMYFUNCTION("""COMPUTED_VALUE"""),FALSE)</f>
        <v>0</v>
      </c>
      <c r="E851" s="35" t="str">
        <f>IFERROR(__xludf.DUMMYFUNCTION("""COMPUTED_VALUE"""),"Hard")</f>
        <v>Hard</v>
      </c>
      <c r="F851" s="35">
        <f>IFERROR(__xludf.DUMMYFUNCTION("""COMPUTED_VALUE"""),763.0)</f>
        <v>763</v>
      </c>
      <c r="G851" s="35">
        <f>IFERROR(__xludf.DUMMYFUNCTION("""COMPUTED_VALUE"""),50.0)</f>
        <v>50</v>
      </c>
      <c r="H851" s="35" t="str">
        <f>IFERROR(__xludf.DUMMYFUNCTION("""COMPUTED_VALUE"""),"Algorithms")</f>
        <v>Algorithms</v>
      </c>
      <c r="I851" s="35">
        <f>IFERROR(__xludf.DUMMYFUNCTION("""COMPUTED_VALUE"""),0.533)</f>
        <v>0.533</v>
      </c>
      <c r="J851" s="35">
        <f>IFERROR(__xludf.DUMMYFUNCTION("""COMPUTED_VALUE"""),850.0)</f>
        <v>850</v>
      </c>
      <c r="K851" s="35" t="b">
        <f>IFERROR(__xludf.DUMMYFUNCTION("""COMPUTED_VALUE"""),FALSE)</f>
        <v>0</v>
      </c>
      <c r="L851" s="35" t="str">
        <f>IFERROR(__xludf.DUMMYFUNCTION("""COMPUTED_VALUE"""),"Array;Segment Tree;Line Sweep;Ordered Set;")</f>
        <v>Array;Segment Tree;Line Sweep;Ordered Set;</v>
      </c>
      <c r="M851" s="35" t="b">
        <f>IFERROR(__xludf.DUMMYFUNCTION("""COMPUTED_VALUE"""),TRUE)</f>
        <v>1</v>
      </c>
      <c r="N851" s="35" t="b">
        <f>IFERROR(__xludf.DUMMYFUNCTION("""COMPUTED_VALUE"""),FALSE)</f>
        <v>0</v>
      </c>
      <c r="O851" s="35">
        <f>IFERROR(__xludf.DUMMYFUNCTION("""COMPUTED_VALUE"""),53.2558698021539)</f>
        <v>53.2558698</v>
      </c>
      <c r="P851" s="35">
        <f>IFERROR(__xludf.DUMMYFUNCTION("""COMPUTED_VALUE"""),28829.0)</f>
        <v>28829</v>
      </c>
      <c r="Q851" s="35">
        <f>IFERROR(__xludf.DUMMYFUNCTION("""COMPUTED_VALUE"""),54133.0)</f>
        <v>54133</v>
      </c>
    </row>
    <row r="852">
      <c r="A852" s="35">
        <f>IFERROR(__xludf.DUMMYFUNCTION("""COMPUTED_VALUE"""),881.0)</f>
        <v>881</v>
      </c>
      <c r="B852" s="35" t="str">
        <f>IFERROR(__xludf.DUMMYFUNCTION("""COMPUTED_VALUE"""),"Loud and Rich")</f>
        <v>Loud and Rich</v>
      </c>
      <c r="C852" s="35" t="str">
        <f>IFERROR(__xludf.DUMMYFUNCTION("""COMPUTED_VALUE"""),"loud-and-rich")</f>
        <v>loud-and-rich</v>
      </c>
      <c r="D852" s="35" t="b">
        <f>IFERROR(__xludf.DUMMYFUNCTION("""COMPUTED_VALUE"""),FALSE)</f>
        <v>0</v>
      </c>
      <c r="E852" s="35" t="str">
        <f>IFERROR(__xludf.DUMMYFUNCTION("""COMPUTED_VALUE"""),"Medium")</f>
        <v>Medium</v>
      </c>
      <c r="F852" s="35">
        <f>IFERROR(__xludf.DUMMYFUNCTION("""COMPUTED_VALUE"""),580.0)</f>
        <v>580</v>
      </c>
      <c r="G852" s="35">
        <f>IFERROR(__xludf.DUMMYFUNCTION("""COMPUTED_VALUE"""),531.0)</f>
        <v>531</v>
      </c>
      <c r="H852" s="35" t="str">
        <f>IFERROR(__xludf.DUMMYFUNCTION("""COMPUTED_VALUE"""),"Algorithms")</f>
        <v>Algorithms</v>
      </c>
      <c r="I852" s="35">
        <f>IFERROR(__xludf.DUMMYFUNCTION("""COMPUTED_VALUE"""),0.562)</f>
        <v>0.562</v>
      </c>
      <c r="J852" s="35">
        <f>IFERROR(__xludf.DUMMYFUNCTION("""COMPUTED_VALUE"""),851.0)</f>
        <v>851</v>
      </c>
      <c r="K852" s="35" t="b">
        <f>IFERROR(__xludf.DUMMYFUNCTION("""COMPUTED_VALUE"""),FALSE)</f>
        <v>0</v>
      </c>
      <c r="L852" s="35" t="str">
        <f>IFERROR(__xludf.DUMMYFUNCTION("""COMPUTED_VALUE"""),"Array;Depth-First Search;Graph;Topological Sort;")</f>
        <v>Array;Depth-First Search;Graph;Topological Sort;</v>
      </c>
      <c r="M852" s="35" t="b">
        <f>IFERROR(__xludf.DUMMYFUNCTION("""COMPUTED_VALUE"""),TRUE)</f>
        <v>1</v>
      </c>
      <c r="N852" s="35" t="b">
        <f>IFERROR(__xludf.DUMMYFUNCTION("""COMPUTED_VALUE"""),FALSE)</f>
        <v>0</v>
      </c>
      <c r="O852" s="35">
        <f>IFERROR(__xludf.DUMMYFUNCTION("""COMPUTED_VALUE"""),56.233899407248)</f>
        <v>56.23389941</v>
      </c>
      <c r="P852" s="35">
        <f>IFERROR(__xludf.DUMMYFUNCTION("""COMPUTED_VALUE"""),22484.0)</f>
        <v>22484</v>
      </c>
      <c r="Q852" s="35">
        <f>IFERROR(__xludf.DUMMYFUNCTION("""COMPUTED_VALUE"""),39983.0)</f>
        <v>39983</v>
      </c>
    </row>
    <row r="853">
      <c r="A853" s="35">
        <f>IFERROR(__xludf.DUMMYFUNCTION("""COMPUTED_VALUE"""),882.0)</f>
        <v>882</v>
      </c>
      <c r="B853" s="35" t="str">
        <f>IFERROR(__xludf.DUMMYFUNCTION("""COMPUTED_VALUE"""),"Peak Index in a Mountain Array")</f>
        <v>Peak Index in a Mountain Array</v>
      </c>
      <c r="C853" s="35" t="str">
        <f>IFERROR(__xludf.DUMMYFUNCTION("""COMPUTED_VALUE"""),"peak-index-in-a-mountain-array")</f>
        <v>peak-index-in-a-mountain-array</v>
      </c>
      <c r="D853" s="35" t="b">
        <f>IFERROR(__xludf.DUMMYFUNCTION("""COMPUTED_VALUE"""),FALSE)</f>
        <v>0</v>
      </c>
      <c r="E853" s="35" t="str">
        <f>IFERROR(__xludf.DUMMYFUNCTION("""COMPUTED_VALUE"""),"Easy")</f>
        <v>Easy</v>
      </c>
      <c r="F853" s="35">
        <f>IFERROR(__xludf.DUMMYFUNCTION("""COMPUTED_VALUE"""),2240.0)</f>
        <v>2240</v>
      </c>
      <c r="G853" s="35">
        <f>IFERROR(__xludf.DUMMYFUNCTION("""COMPUTED_VALUE"""),1592.0)</f>
        <v>1592</v>
      </c>
      <c r="H853" s="35" t="str">
        <f>IFERROR(__xludf.DUMMYFUNCTION("""COMPUTED_VALUE"""),"Algorithms")</f>
        <v>Algorithms</v>
      </c>
      <c r="I853" s="35">
        <f>IFERROR(__xludf.DUMMYFUNCTION("""COMPUTED_VALUE"""),0.709)</f>
        <v>0.709</v>
      </c>
      <c r="J853" s="35">
        <f>IFERROR(__xludf.DUMMYFUNCTION("""COMPUTED_VALUE"""),852.0)</f>
        <v>852</v>
      </c>
      <c r="K853" s="35" t="b">
        <f>IFERROR(__xludf.DUMMYFUNCTION("""COMPUTED_VALUE"""),FALSE)</f>
        <v>0</v>
      </c>
      <c r="L853" s="35" t="str">
        <f>IFERROR(__xludf.DUMMYFUNCTION("""COMPUTED_VALUE"""),"Array;Binary Search;")</f>
        <v>Array;Binary Search;</v>
      </c>
      <c r="M853" s="35" t="b">
        <f>IFERROR(__xludf.DUMMYFUNCTION("""COMPUTED_VALUE"""),TRUE)</f>
        <v>1</v>
      </c>
      <c r="N853" s="35" t="b">
        <f>IFERROR(__xludf.DUMMYFUNCTION("""COMPUTED_VALUE"""),FALSE)</f>
        <v>0</v>
      </c>
      <c r="O853" s="35">
        <f>IFERROR(__xludf.DUMMYFUNCTION("""COMPUTED_VALUE"""),70.9233687195196)</f>
        <v>70.92336872</v>
      </c>
      <c r="P853" s="35">
        <f>IFERROR(__xludf.DUMMYFUNCTION("""COMPUTED_VALUE"""),333163.0)</f>
        <v>333163</v>
      </c>
      <c r="Q853" s="35">
        <f>IFERROR(__xludf.DUMMYFUNCTION("""COMPUTED_VALUE"""),469752.0)</f>
        <v>469752</v>
      </c>
    </row>
    <row r="854">
      <c r="A854" s="35">
        <f>IFERROR(__xludf.DUMMYFUNCTION("""COMPUTED_VALUE"""),883.0)</f>
        <v>883</v>
      </c>
      <c r="B854" s="35" t="str">
        <f>IFERROR(__xludf.DUMMYFUNCTION("""COMPUTED_VALUE"""),"Car Fleet")</f>
        <v>Car Fleet</v>
      </c>
      <c r="C854" s="35" t="str">
        <f>IFERROR(__xludf.DUMMYFUNCTION("""COMPUTED_VALUE"""),"car-fleet")</f>
        <v>car-fleet</v>
      </c>
      <c r="D854" s="35" t="b">
        <f>IFERROR(__xludf.DUMMYFUNCTION("""COMPUTED_VALUE"""),FALSE)</f>
        <v>0</v>
      </c>
      <c r="E854" s="35" t="str">
        <f>IFERROR(__xludf.DUMMYFUNCTION("""COMPUTED_VALUE"""),"Medium")</f>
        <v>Medium</v>
      </c>
      <c r="F854" s="35">
        <f>IFERROR(__xludf.DUMMYFUNCTION("""COMPUTED_VALUE"""),1253.0)</f>
        <v>1253</v>
      </c>
      <c r="G854" s="35">
        <f>IFERROR(__xludf.DUMMYFUNCTION("""COMPUTED_VALUE"""),388.0)</f>
        <v>388</v>
      </c>
      <c r="H854" s="35" t="str">
        <f>IFERROR(__xludf.DUMMYFUNCTION("""COMPUTED_VALUE"""),"Algorithms")</f>
        <v>Algorithms</v>
      </c>
      <c r="I854" s="35">
        <f>IFERROR(__xludf.DUMMYFUNCTION("""COMPUTED_VALUE"""),0.478)</f>
        <v>0.478</v>
      </c>
      <c r="J854" s="35">
        <f>IFERROR(__xludf.DUMMYFUNCTION("""COMPUTED_VALUE"""),853.0)</f>
        <v>853</v>
      </c>
      <c r="K854" s="35" t="b">
        <f>IFERROR(__xludf.DUMMYFUNCTION("""COMPUTED_VALUE"""),FALSE)</f>
        <v>0</v>
      </c>
      <c r="L854" s="35" t="str">
        <f>IFERROR(__xludf.DUMMYFUNCTION("""COMPUTED_VALUE"""),"Array;Stack;Sorting;Monotonic Stack;")</f>
        <v>Array;Stack;Sorting;Monotonic Stack;</v>
      </c>
      <c r="M854" s="35" t="b">
        <f>IFERROR(__xludf.DUMMYFUNCTION("""COMPUTED_VALUE"""),FALSE)</f>
        <v>0</v>
      </c>
      <c r="N854" s="35" t="b">
        <f>IFERROR(__xludf.DUMMYFUNCTION("""COMPUTED_VALUE"""),FALSE)</f>
        <v>0</v>
      </c>
      <c r="O854" s="35">
        <f>IFERROR(__xludf.DUMMYFUNCTION("""COMPUTED_VALUE"""),47.8007049022749)</f>
        <v>47.8007049</v>
      </c>
      <c r="P854" s="35">
        <f>IFERROR(__xludf.DUMMYFUNCTION("""COMPUTED_VALUE"""),74591.0)</f>
        <v>74591</v>
      </c>
      <c r="Q854" s="35">
        <f>IFERROR(__xludf.DUMMYFUNCTION("""COMPUTED_VALUE"""),156048.0)</f>
        <v>156048</v>
      </c>
    </row>
    <row r="855">
      <c r="A855" s="35">
        <f>IFERROR(__xludf.DUMMYFUNCTION("""COMPUTED_VALUE"""),884.0)</f>
        <v>884</v>
      </c>
      <c r="B855" s="35" t="str">
        <f>IFERROR(__xludf.DUMMYFUNCTION("""COMPUTED_VALUE"""),"K-Similar Strings")</f>
        <v>K-Similar Strings</v>
      </c>
      <c r="C855" s="35" t="str">
        <f>IFERROR(__xludf.DUMMYFUNCTION("""COMPUTED_VALUE"""),"k-similar-strings")</f>
        <v>k-similar-strings</v>
      </c>
      <c r="D855" s="35" t="b">
        <f>IFERROR(__xludf.DUMMYFUNCTION("""COMPUTED_VALUE"""),FALSE)</f>
        <v>0</v>
      </c>
      <c r="E855" s="35" t="str">
        <f>IFERROR(__xludf.DUMMYFUNCTION("""COMPUTED_VALUE"""),"Hard")</f>
        <v>Hard</v>
      </c>
      <c r="F855" s="35">
        <f>IFERROR(__xludf.DUMMYFUNCTION("""COMPUTED_VALUE"""),785.0)</f>
        <v>785</v>
      </c>
      <c r="G855" s="35">
        <f>IFERROR(__xludf.DUMMYFUNCTION("""COMPUTED_VALUE"""),47.0)</f>
        <v>47</v>
      </c>
      <c r="H855" s="35" t="str">
        <f>IFERROR(__xludf.DUMMYFUNCTION("""COMPUTED_VALUE"""),"Algorithms")</f>
        <v>Algorithms</v>
      </c>
      <c r="I855" s="35">
        <f>IFERROR(__xludf.DUMMYFUNCTION("""COMPUTED_VALUE"""),0.392)</f>
        <v>0.392</v>
      </c>
      <c r="J855" s="35">
        <f>IFERROR(__xludf.DUMMYFUNCTION("""COMPUTED_VALUE"""),854.0)</f>
        <v>854</v>
      </c>
      <c r="K855" s="35" t="b">
        <f>IFERROR(__xludf.DUMMYFUNCTION("""COMPUTED_VALUE"""),FALSE)</f>
        <v>0</v>
      </c>
      <c r="L855" s="35" t="str">
        <f>IFERROR(__xludf.DUMMYFUNCTION("""COMPUTED_VALUE"""),"String;Breadth-First Search;")</f>
        <v>String;Breadth-First Search;</v>
      </c>
      <c r="M855" s="35" t="b">
        <f>IFERROR(__xludf.DUMMYFUNCTION("""COMPUTED_VALUE"""),FALSE)</f>
        <v>0</v>
      </c>
      <c r="N855" s="35" t="b">
        <f>IFERROR(__xludf.DUMMYFUNCTION("""COMPUTED_VALUE"""),FALSE)</f>
        <v>0</v>
      </c>
      <c r="O855" s="35">
        <f>IFERROR(__xludf.DUMMYFUNCTION("""COMPUTED_VALUE"""),39.1883699194179)</f>
        <v>39.18836992</v>
      </c>
      <c r="P855" s="35">
        <f>IFERROR(__xludf.DUMMYFUNCTION("""COMPUTED_VALUE"""),31027.0)</f>
        <v>31027</v>
      </c>
      <c r="Q855" s="35">
        <f>IFERROR(__xludf.DUMMYFUNCTION("""COMPUTED_VALUE"""),79174.0)</f>
        <v>79174</v>
      </c>
    </row>
    <row r="856">
      <c r="A856" s="35">
        <f>IFERROR(__xludf.DUMMYFUNCTION("""COMPUTED_VALUE"""),885.0)</f>
        <v>885</v>
      </c>
      <c r="B856" s="35" t="str">
        <f>IFERROR(__xludf.DUMMYFUNCTION("""COMPUTED_VALUE"""),"Exam Room")</f>
        <v>Exam Room</v>
      </c>
      <c r="C856" s="35" t="str">
        <f>IFERROR(__xludf.DUMMYFUNCTION("""COMPUTED_VALUE"""),"exam-room")</f>
        <v>exam-room</v>
      </c>
      <c r="D856" s="35" t="b">
        <f>IFERROR(__xludf.DUMMYFUNCTION("""COMPUTED_VALUE"""),FALSE)</f>
        <v>0</v>
      </c>
      <c r="E856" s="35" t="str">
        <f>IFERROR(__xludf.DUMMYFUNCTION("""COMPUTED_VALUE"""),"Medium")</f>
        <v>Medium</v>
      </c>
      <c r="F856" s="35">
        <f>IFERROR(__xludf.DUMMYFUNCTION("""COMPUTED_VALUE"""),943.0)</f>
        <v>943</v>
      </c>
      <c r="G856" s="35">
        <f>IFERROR(__xludf.DUMMYFUNCTION("""COMPUTED_VALUE"""),368.0)</f>
        <v>368</v>
      </c>
      <c r="H856" s="35" t="str">
        <f>IFERROR(__xludf.DUMMYFUNCTION("""COMPUTED_VALUE"""),"Algorithms")</f>
        <v>Algorithms</v>
      </c>
      <c r="I856" s="35">
        <f>IFERROR(__xludf.DUMMYFUNCTION("""COMPUTED_VALUE"""),0.436)</f>
        <v>0.436</v>
      </c>
      <c r="J856" s="35">
        <f>IFERROR(__xludf.DUMMYFUNCTION("""COMPUTED_VALUE"""),855.0)</f>
        <v>855</v>
      </c>
      <c r="K856" s="35" t="b">
        <f>IFERROR(__xludf.DUMMYFUNCTION("""COMPUTED_VALUE"""),FALSE)</f>
        <v>0</v>
      </c>
      <c r="L856" s="35" t="str">
        <f>IFERROR(__xludf.DUMMYFUNCTION("""COMPUTED_VALUE"""),"Design;Ordered Set;")</f>
        <v>Design;Ordered Set;</v>
      </c>
      <c r="M856" s="35" t="b">
        <f>IFERROR(__xludf.DUMMYFUNCTION("""COMPUTED_VALUE"""),FALSE)</f>
        <v>0</v>
      </c>
      <c r="N856" s="35" t="b">
        <f>IFERROR(__xludf.DUMMYFUNCTION("""COMPUTED_VALUE"""),FALSE)</f>
        <v>0</v>
      </c>
      <c r="O856" s="35">
        <f>IFERROR(__xludf.DUMMYFUNCTION("""COMPUTED_VALUE"""),43.5763839187731)</f>
        <v>43.57638392</v>
      </c>
      <c r="P856" s="35">
        <f>IFERROR(__xludf.DUMMYFUNCTION("""COMPUTED_VALUE"""),45665.0)</f>
        <v>45665</v>
      </c>
      <c r="Q856" s="35">
        <f>IFERROR(__xludf.DUMMYFUNCTION("""COMPUTED_VALUE"""),104793.0)</f>
        <v>104793</v>
      </c>
    </row>
    <row r="857">
      <c r="A857" s="35">
        <f>IFERROR(__xludf.DUMMYFUNCTION("""COMPUTED_VALUE"""),886.0)</f>
        <v>886</v>
      </c>
      <c r="B857" s="35" t="str">
        <f>IFERROR(__xludf.DUMMYFUNCTION("""COMPUTED_VALUE"""),"Score of Parentheses")</f>
        <v>Score of Parentheses</v>
      </c>
      <c r="C857" s="35" t="str">
        <f>IFERROR(__xludf.DUMMYFUNCTION("""COMPUTED_VALUE"""),"score-of-parentheses")</f>
        <v>score-of-parentheses</v>
      </c>
      <c r="D857" s="35" t="b">
        <f>IFERROR(__xludf.DUMMYFUNCTION("""COMPUTED_VALUE"""),FALSE)</f>
        <v>0</v>
      </c>
      <c r="E857" s="35" t="str">
        <f>IFERROR(__xludf.DUMMYFUNCTION("""COMPUTED_VALUE"""),"Medium")</f>
        <v>Medium</v>
      </c>
      <c r="F857" s="35">
        <f>IFERROR(__xludf.DUMMYFUNCTION("""COMPUTED_VALUE"""),3046.0)</f>
        <v>3046</v>
      </c>
      <c r="G857" s="35">
        <f>IFERROR(__xludf.DUMMYFUNCTION("""COMPUTED_VALUE"""),88.0)</f>
        <v>88</v>
      </c>
      <c r="H857" s="35" t="str">
        <f>IFERROR(__xludf.DUMMYFUNCTION("""COMPUTED_VALUE"""),"Algorithms")</f>
        <v>Algorithms</v>
      </c>
      <c r="I857" s="35">
        <f>IFERROR(__xludf.DUMMYFUNCTION("""COMPUTED_VALUE"""),0.654)</f>
        <v>0.654</v>
      </c>
      <c r="J857" s="35">
        <f>IFERROR(__xludf.DUMMYFUNCTION("""COMPUTED_VALUE"""),856.0)</f>
        <v>856</v>
      </c>
      <c r="K857" s="35" t="b">
        <f>IFERROR(__xludf.DUMMYFUNCTION("""COMPUTED_VALUE"""),FALSE)</f>
        <v>0</v>
      </c>
      <c r="L857" s="35" t="str">
        <f>IFERROR(__xludf.DUMMYFUNCTION("""COMPUTED_VALUE"""),"String;Stack;")</f>
        <v>String;Stack;</v>
      </c>
      <c r="M857" s="35" t="b">
        <f>IFERROR(__xludf.DUMMYFUNCTION("""COMPUTED_VALUE"""),TRUE)</f>
        <v>1</v>
      </c>
      <c r="N857" s="35" t="b">
        <f>IFERROR(__xludf.DUMMYFUNCTION("""COMPUTED_VALUE"""),FALSE)</f>
        <v>0</v>
      </c>
      <c r="O857" s="35">
        <f>IFERROR(__xludf.DUMMYFUNCTION("""COMPUTED_VALUE"""),65.392648574373)</f>
        <v>65.39264857</v>
      </c>
      <c r="P857" s="35">
        <f>IFERROR(__xludf.DUMMYFUNCTION("""COMPUTED_VALUE"""),95175.0)</f>
        <v>95175</v>
      </c>
      <c r="Q857" s="35">
        <f>IFERROR(__xludf.DUMMYFUNCTION("""COMPUTED_VALUE"""),145546.0)</f>
        <v>145546</v>
      </c>
    </row>
    <row r="858">
      <c r="A858" s="35">
        <f>IFERROR(__xludf.DUMMYFUNCTION("""COMPUTED_VALUE"""),887.0)</f>
        <v>887</v>
      </c>
      <c r="B858" s="35" t="str">
        <f>IFERROR(__xludf.DUMMYFUNCTION("""COMPUTED_VALUE"""),"Minimum Cost to Hire K Workers")</f>
        <v>Minimum Cost to Hire K Workers</v>
      </c>
      <c r="C858" s="35" t="str">
        <f>IFERROR(__xludf.DUMMYFUNCTION("""COMPUTED_VALUE"""),"minimum-cost-to-hire-k-workers")</f>
        <v>minimum-cost-to-hire-k-workers</v>
      </c>
      <c r="D858" s="35" t="b">
        <f>IFERROR(__xludf.DUMMYFUNCTION("""COMPUTED_VALUE"""),FALSE)</f>
        <v>0</v>
      </c>
      <c r="E858" s="35" t="str">
        <f>IFERROR(__xludf.DUMMYFUNCTION("""COMPUTED_VALUE"""),"Hard")</f>
        <v>Hard</v>
      </c>
      <c r="F858" s="35">
        <f>IFERROR(__xludf.DUMMYFUNCTION("""COMPUTED_VALUE"""),1564.0)</f>
        <v>1564</v>
      </c>
      <c r="G858" s="35">
        <f>IFERROR(__xludf.DUMMYFUNCTION("""COMPUTED_VALUE"""),187.0)</f>
        <v>187</v>
      </c>
      <c r="H858" s="35" t="str">
        <f>IFERROR(__xludf.DUMMYFUNCTION("""COMPUTED_VALUE"""),"Algorithms")</f>
        <v>Algorithms</v>
      </c>
      <c r="I858" s="35">
        <f>IFERROR(__xludf.DUMMYFUNCTION("""COMPUTED_VALUE"""),0.515)</f>
        <v>0.515</v>
      </c>
      <c r="J858" s="35">
        <f>IFERROR(__xludf.DUMMYFUNCTION("""COMPUTED_VALUE"""),857.0)</f>
        <v>857</v>
      </c>
      <c r="K858" s="35" t="b">
        <f>IFERROR(__xludf.DUMMYFUNCTION("""COMPUTED_VALUE"""),FALSE)</f>
        <v>0</v>
      </c>
      <c r="L858" s="35" t="str">
        <f>IFERROR(__xludf.DUMMYFUNCTION("""COMPUTED_VALUE"""),"Array;Greedy;Sorting;Heap (Priority Queue);")</f>
        <v>Array;Greedy;Sorting;Heap (Priority Queue);</v>
      </c>
      <c r="M858" s="35" t="b">
        <f>IFERROR(__xludf.DUMMYFUNCTION("""COMPUTED_VALUE"""),TRUE)</f>
        <v>1</v>
      </c>
      <c r="N858" s="35" t="b">
        <f>IFERROR(__xludf.DUMMYFUNCTION("""COMPUTED_VALUE"""),FALSE)</f>
        <v>0</v>
      </c>
      <c r="O858" s="35">
        <f>IFERROR(__xludf.DUMMYFUNCTION("""COMPUTED_VALUE"""),51.5425807201174)</f>
        <v>51.54258072</v>
      </c>
      <c r="P858" s="35">
        <f>IFERROR(__xludf.DUMMYFUNCTION("""COMPUTED_VALUE"""),48800.0)</f>
        <v>48800</v>
      </c>
      <c r="Q858" s="35">
        <f>IFERROR(__xludf.DUMMYFUNCTION("""COMPUTED_VALUE"""),94679.0)</f>
        <v>94679</v>
      </c>
    </row>
    <row r="859">
      <c r="A859" s="35">
        <f>IFERROR(__xludf.DUMMYFUNCTION("""COMPUTED_VALUE"""),888.0)</f>
        <v>888</v>
      </c>
      <c r="B859" s="35" t="str">
        <f>IFERROR(__xludf.DUMMYFUNCTION("""COMPUTED_VALUE"""),"Mirror Reflection")</f>
        <v>Mirror Reflection</v>
      </c>
      <c r="C859" s="35" t="str">
        <f>IFERROR(__xludf.DUMMYFUNCTION("""COMPUTED_VALUE"""),"mirror-reflection")</f>
        <v>mirror-reflection</v>
      </c>
      <c r="D859" s="35" t="b">
        <f>IFERROR(__xludf.DUMMYFUNCTION("""COMPUTED_VALUE"""),FALSE)</f>
        <v>0</v>
      </c>
      <c r="E859" s="35" t="str">
        <f>IFERROR(__xludf.DUMMYFUNCTION("""COMPUTED_VALUE"""),"Medium")</f>
        <v>Medium</v>
      </c>
      <c r="F859" s="35">
        <f>IFERROR(__xludf.DUMMYFUNCTION("""COMPUTED_VALUE"""),361.0)</f>
        <v>361</v>
      </c>
      <c r="G859" s="35">
        <f>IFERROR(__xludf.DUMMYFUNCTION("""COMPUTED_VALUE"""),706.0)</f>
        <v>706</v>
      </c>
      <c r="H859" s="35" t="str">
        <f>IFERROR(__xludf.DUMMYFUNCTION("""COMPUTED_VALUE"""),"Algorithms")</f>
        <v>Algorithms</v>
      </c>
      <c r="I859" s="35">
        <f>IFERROR(__xludf.DUMMYFUNCTION("""COMPUTED_VALUE"""),0.596)</f>
        <v>0.596</v>
      </c>
      <c r="J859" s="35">
        <f>IFERROR(__xludf.DUMMYFUNCTION("""COMPUTED_VALUE"""),858.0)</f>
        <v>858</v>
      </c>
      <c r="K859" s="35" t="b">
        <f>IFERROR(__xludf.DUMMYFUNCTION("""COMPUTED_VALUE"""),FALSE)</f>
        <v>0</v>
      </c>
      <c r="L859" s="35" t="str">
        <f>IFERROR(__xludf.DUMMYFUNCTION("""COMPUTED_VALUE"""),"Math;Geometry;")</f>
        <v>Math;Geometry;</v>
      </c>
      <c r="M859" s="35" t="b">
        <f>IFERROR(__xludf.DUMMYFUNCTION("""COMPUTED_VALUE"""),FALSE)</f>
        <v>0</v>
      </c>
      <c r="N859" s="35" t="b">
        <f>IFERROR(__xludf.DUMMYFUNCTION("""COMPUTED_VALUE"""),FALSE)</f>
        <v>0</v>
      </c>
      <c r="O859" s="35">
        <f>IFERROR(__xludf.DUMMYFUNCTION("""COMPUTED_VALUE"""),59.5515879357976)</f>
        <v>59.55158794</v>
      </c>
      <c r="P859" s="35">
        <f>IFERROR(__xludf.DUMMYFUNCTION("""COMPUTED_VALUE"""),26083.0)</f>
        <v>26083</v>
      </c>
      <c r="Q859" s="35">
        <f>IFERROR(__xludf.DUMMYFUNCTION("""COMPUTED_VALUE"""),43799.0)</f>
        <v>43799</v>
      </c>
    </row>
    <row r="860">
      <c r="A860" s="35">
        <f>IFERROR(__xludf.DUMMYFUNCTION("""COMPUTED_VALUE"""),889.0)</f>
        <v>889</v>
      </c>
      <c r="B860" s="35" t="str">
        <f>IFERROR(__xludf.DUMMYFUNCTION("""COMPUTED_VALUE"""),"Buddy Strings")</f>
        <v>Buddy Strings</v>
      </c>
      <c r="C860" s="35" t="str">
        <f>IFERROR(__xludf.DUMMYFUNCTION("""COMPUTED_VALUE"""),"buddy-strings")</f>
        <v>buddy-strings</v>
      </c>
      <c r="D860" s="35" t="b">
        <f>IFERROR(__xludf.DUMMYFUNCTION("""COMPUTED_VALUE"""),FALSE)</f>
        <v>0</v>
      </c>
      <c r="E860" s="35" t="str">
        <f>IFERROR(__xludf.DUMMYFUNCTION("""COMPUTED_VALUE"""),"Easy")</f>
        <v>Easy</v>
      </c>
      <c r="F860" s="35">
        <f>IFERROR(__xludf.DUMMYFUNCTION("""COMPUTED_VALUE"""),1338.0)</f>
        <v>1338</v>
      </c>
      <c r="G860" s="35">
        <f>IFERROR(__xludf.DUMMYFUNCTION("""COMPUTED_VALUE"""),861.0)</f>
        <v>861</v>
      </c>
      <c r="H860" s="35" t="str">
        <f>IFERROR(__xludf.DUMMYFUNCTION("""COMPUTED_VALUE"""),"Algorithms")</f>
        <v>Algorithms</v>
      </c>
      <c r="I860" s="35">
        <f>IFERROR(__xludf.DUMMYFUNCTION("""COMPUTED_VALUE"""),0.288)</f>
        <v>0.288</v>
      </c>
      <c r="J860" s="35">
        <f>IFERROR(__xludf.DUMMYFUNCTION("""COMPUTED_VALUE"""),859.0)</f>
        <v>859</v>
      </c>
      <c r="K860" s="35" t="b">
        <f>IFERROR(__xludf.DUMMYFUNCTION("""COMPUTED_VALUE"""),FALSE)</f>
        <v>0</v>
      </c>
      <c r="L860" s="35" t="str">
        <f>IFERROR(__xludf.DUMMYFUNCTION("""COMPUTED_VALUE"""),"Hash Table;String;")</f>
        <v>Hash Table;String;</v>
      </c>
      <c r="M860" s="35" t="b">
        <f>IFERROR(__xludf.DUMMYFUNCTION("""COMPUTED_VALUE"""),TRUE)</f>
        <v>1</v>
      </c>
      <c r="N860" s="35" t="b">
        <f>IFERROR(__xludf.DUMMYFUNCTION("""COMPUTED_VALUE"""),FALSE)</f>
        <v>0</v>
      </c>
      <c r="O860" s="35">
        <f>IFERROR(__xludf.DUMMYFUNCTION("""COMPUTED_VALUE"""),28.757635635977)</f>
        <v>28.75763564</v>
      </c>
      <c r="P860" s="35">
        <f>IFERROR(__xludf.DUMMYFUNCTION("""COMPUTED_VALUE"""),114681.0)</f>
        <v>114681</v>
      </c>
      <c r="Q860" s="35">
        <f>IFERROR(__xludf.DUMMYFUNCTION("""COMPUTED_VALUE"""),398786.0)</f>
        <v>398786</v>
      </c>
    </row>
    <row r="861">
      <c r="A861" s="35">
        <f>IFERROR(__xludf.DUMMYFUNCTION("""COMPUTED_VALUE"""),890.0)</f>
        <v>890</v>
      </c>
      <c r="B861" s="35" t="str">
        <f>IFERROR(__xludf.DUMMYFUNCTION("""COMPUTED_VALUE"""),"Lemonade Change")</f>
        <v>Lemonade Change</v>
      </c>
      <c r="C861" s="35" t="str">
        <f>IFERROR(__xludf.DUMMYFUNCTION("""COMPUTED_VALUE"""),"lemonade-change")</f>
        <v>lemonade-change</v>
      </c>
      <c r="D861" s="35" t="b">
        <f>IFERROR(__xludf.DUMMYFUNCTION("""COMPUTED_VALUE"""),FALSE)</f>
        <v>0</v>
      </c>
      <c r="E861" s="35" t="str">
        <f>IFERROR(__xludf.DUMMYFUNCTION("""COMPUTED_VALUE"""),"Easy")</f>
        <v>Easy</v>
      </c>
      <c r="F861" s="35">
        <f>IFERROR(__xludf.DUMMYFUNCTION("""COMPUTED_VALUE"""),1147.0)</f>
        <v>1147</v>
      </c>
      <c r="G861" s="35">
        <f>IFERROR(__xludf.DUMMYFUNCTION("""COMPUTED_VALUE"""),119.0)</f>
        <v>119</v>
      </c>
      <c r="H861" s="35" t="str">
        <f>IFERROR(__xludf.DUMMYFUNCTION("""COMPUTED_VALUE"""),"Algorithms")</f>
        <v>Algorithms</v>
      </c>
      <c r="I861" s="35">
        <f>IFERROR(__xludf.DUMMYFUNCTION("""COMPUTED_VALUE"""),0.523)</f>
        <v>0.523</v>
      </c>
      <c r="J861" s="35">
        <f>IFERROR(__xludf.DUMMYFUNCTION("""COMPUTED_VALUE"""),860.0)</f>
        <v>860</v>
      </c>
      <c r="K861" s="35" t="b">
        <f>IFERROR(__xludf.DUMMYFUNCTION("""COMPUTED_VALUE"""),FALSE)</f>
        <v>0</v>
      </c>
      <c r="L861" s="35" t="str">
        <f>IFERROR(__xludf.DUMMYFUNCTION("""COMPUTED_VALUE"""),"Array;Greedy;")</f>
        <v>Array;Greedy;</v>
      </c>
      <c r="M861" s="35" t="b">
        <f>IFERROR(__xludf.DUMMYFUNCTION("""COMPUTED_VALUE"""),TRUE)</f>
        <v>1</v>
      </c>
      <c r="N861" s="35" t="b">
        <f>IFERROR(__xludf.DUMMYFUNCTION("""COMPUTED_VALUE"""),FALSE)</f>
        <v>0</v>
      </c>
      <c r="O861" s="35">
        <f>IFERROR(__xludf.DUMMYFUNCTION("""COMPUTED_VALUE"""),52.3232058071585)</f>
        <v>52.32320581</v>
      </c>
      <c r="P861" s="35">
        <f>IFERROR(__xludf.DUMMYFUNCTION("""COMPUTED_VALUE"""),91687.0)</f>
        <v>91687</v>
      </c>
      <c r="Q861" s="35">
        <f>IFERROR(__xludf.DUMMYFUNCTION("""COMPUTED_VALUE"""),175232.0)</f>
        <v>175232</v>
      </c>
    </row>
    <row r="862">
      <c r="A862" s="35">
        <f>IFERROR(__xludf.DUMMYFUNCTION("""COMPUTED_VALUE"""),891.0)</f>
        <v>891</v>
      </c>
      <c r="B862" s="35" t="str">
        <f>IFERROR(__xludf.DUMMYFUNCTION("""COMPUTED_VALUE"""),"Score After Flipping Matrix")</f>
        <v>Score After Flipping Matrix</v>
      </c>
      <c r="C862" s="35" t="str">
        <f>IFERROR(__xludf.DUMMYFUNCTION("""COMPUTED_VALUE"""),"score-after-flipping-matrix")</f>
        <v>score-after-flipping-matrix</v>
      </c>
      <c r="D862" s="35" t="b">
        <f>IFERROR(__xludf.DUMMYFUNCTION("""COMPUTED_VALUE"""),FALSE)</f>
        <v>0</v>
      </c>
      <c r="E862" s="35" t="str">
        <f>IFERROR(__xludf.DUMMYFUNCTION("""COMPUTED_VALUE"""),"Medium")</f>
        <v>Medium</v>
      </c>
      <c r="F862" s="35">
        <f>IFERROR(__xludf.DUMMYFUNCTION("""COMPUTED_VALUE"""),989.0)</f>
        <v>989</v>
      </c>
      <c r="G862" s="35">
        <f>IFERROR(__xludf.DUMMYFUNCTION("""COMPUTED_VALUE"""),161.0)</f>
        <v>161</v>
      </c>
      <c r="H862" s="35" t="str">
        <f>IFERROR(__xludf.DUMMYFUNCTION("""COMPUTED_VALUE"""),"Algorithms")</f>
        <v>Algorithms</v>
      </c>
      <c r="I862" s="35">
        <f>IFERROR(__xludf.DUMMYFUNCTION("""COMPUTED_VALUE"""),0.747)</f>
        <v>0.747</v>
      </c>
      <c r="J862" s="35">
        <f>IFERROR(__xludf.DUMMYFUNCTION("""COMPUTED_VALUE"""),861.0)</f>
        <v>861</v>
      </c>
      <c r="K862" s="35" t="b">
        <f>IFERROR(__xludf.DUMMYFUNCTION("""COMPUTED_VALUE"""),FALSE)</f>
        <v>0</v>
      </c>
      <c r="L862" s="35" t="str">
        <f>IFERROR(__xludf.DUMMYFUNCTION("""COMPUTED_VALUE"""),"Array;Greedy;Bit Manipulation;Matrix;")</f>
        <v>Array;Greedy;Bit Manipulation;Matrix;</v>
      </c>
      <c r="M862" s="35" t="b">
        <f>IFERROR(__xludf.DUMMYFUNCTION("""COMPUTED_VALUE"""),FALSE)</f>
        <v>0</v>
      </c>
      <c r="N862" s="35" t="b">
        <f>IFERROR(__xludf.DUMMYFUNCTION("""COMPUTED_VALUE"""),FALSE)</f>
        <v>0</v>
      </c>
      <c r="O862" s="35">
        <f>IFERROR(__xludf.DUMMYFUNCTION("""COMPUTED_VALUE"""),74.7085181799942)</f>
        <v>74.70851818</v>
      </c>
      <c r="P862" s="35">
        <f>IFERROR(__xludf.DUMMYFUNCTION("""COMPUTED_VALUE"""),33512.0)</f>
        <v>33512</v>
      </c>
      <c r="Q862" s="35">
        <f>IFERROR(__xludf.DUMMYFUNCTION("""COMPUTED_VALUE"""),44857.0)</f>
        <v>44857</v>
      </c>
    </row>
    <row r="863">
      <c r="A863" s="35">
        <f>IFERROR(__xludf.DUMMYFUNCTION("""COMPUTED_VALUE"""),892.0)</f>
        <v>892</v>
      </c>
      <c r="B863" s="35" t="str">
        <f>IFERROR(__xludf.DUMMYFUNCTION("""COMPUTED_VALUE"""),"Shortest Subarray with Sum at Least K")</f>
        <v>Shortest Subarray with Sum at Least K</v>
      </c>
      <c r="C863" s="35" t="str">
        <f>IFERROR(__xludf.DUMMYFUNCTION("""COMPUTED_VALUE"""),"shortest-subarray-with-sum-at-least-k")</f>
        <v>shortest-subarray-with-sum-at-least-k</v>
      </c>
      <c r="D863" s="35" t="b">
        <f>IFERROR(__xludf.DUMMYFUNCTION("""COMPUTED_VALUE"""),FALSE)</f>
        <v>0</v>
      </c>
      <c r="E863" s="35" t="str">
        <f>IFERROR(__xludf.DUMMYFUNCTION("""COMPUTED_VALUE"""),"Hard")</f>
        <v>Hard</v>
      </c>
      <c r="F863" s="35">
        <f>IFERROR(__xludf.DUMMYFUNCTION("""COMPUTED_VALUE"""),2716.0)</f>
        <v>2716</v>
      </c>
      <c r="G863" s="35">
        <f>IFERROR(__xludf.DUMMYFUNCTION("""COMPUTED_VALUE"""),69.0)</f>
        <v>69</v>
      </c>
      <c r="H863" s="35" t="str">
        <f>IFERROR(__xludf.DUMMYFUNCTION("""COMPUTED_VALUE"""),"Algorithms")</f>
        <v>Algorithms</v>
      </c>
      <c r="I863" s="35">
        <f>IFERROR(__xludf.DUMMYFUNCTION("""COMPUTED_VALUE"""),0.261)</f>
        <v>0.261</v>
      </c>
      <c r="J863" s="35">
        <f>IFERROR(__xludf.DUMMYFUNCTION("""COMPUTED_VALUE"""),862.0)</f>
        <v>862</v>
      </c>
      <c r="K863" s="35" t="b">
        <f>IFERROR(__xludf.DUMMYFUNCTION("""COMPUTED_VALUE"""),FALSE)</f>
        <v>0</v>
      </c>
      <c r="L863" s="35" t="str">
        <f>IFERROR(__xludf.DUMMYFUNCTION("""COMPUTED_VALUE"""),"Array;Binary Search;Queue;Sliding Window;Heap (Priority Queue);Prefix Sum;Monotonic Queue;")</f>
        <v>Array;Binary Search;Queue;Sliding Window;Heap (Priority Queue);Prefix Sum;Monotonic Queue;</v>
      </c>
      <c r="M863" s="35" t="b">
        <f>IFERROR(__xludf.DUMMYFUNCTION("""COMPUTED_VALUE"""),TRUE)</f>
        <v>1</v>
      </c>
      <c r="N863" s="35" t="b">
        <f>IFERROR(__xludf.DUMMYFUNCTION("""COMPUTED_VALUE"""),FALSE)</f>
        <v>0</v>
      </c>
      <c r="O863" s="35">
        <f>IFERROR(__xludf.DUMMYFUNCTION("""COMPUTED_VALUE"""),26.1353858669294)</f>
        <v>26.13538587</v>
      </c>
      <c r="P863" s="35">
        <f>IFERROR(__xludf.DUMMYFUNCTION("""COMPUTED_VALUE"""),66823.0)</f>
        <v>66823</v>
      </c>
      <c r="Q863" s="35">
        <f>IFERROR(__xludf.DUMMYFUNCTION("""COMPUTED_VALUE"""),255677.0)</f>
        <v>255677</v>
      </c>
    </row>
    <row r="864">
      <c r="A864" s="35">
        <f>IFERROR(__xludf.DUMMYFUNCTION("""COMPUTED_VALUE"""),893.0)</f>
        <v>893</v>
      </c>
      <c r="B864" s="35" t="str">
        <f>IFERROR(__xludf.DUMMYFUNCTION("""COMPUTED_VALUE"""),"All Nodes Distance K in Binary Tree")</f>
        <v>All Nodes Distance K in Binary Tree</v>
      </c>
      <c r="C864" s="35" t="str">
        <f>IFERROR(__xludf.DUMMYFUNCTION("""COMPUTED_VALUE"""),"all-nodes-distance-k-in-binary-tree")</f>
        <v>all-nodes-distance-k-in-binary-tree</v>
      </c>
      <c r="D864" s="35" t="b">
        <f>IFERROR(__xludf.DUMMYFUNCTION("""COMPUTED_VALUE"""),FALSE)</f>
        <v>0</v>
      </c>
      <c r="E864" s="35" t="str">
        <f>IFERROR(__xludf.DUMMYFUNCTION("""COMPUTED_VALUE"""),"Medium")</f>
        <v>Medium</v>
      </c>
      <c r="F864" s="35">
        <f>IFERROR(__xludf.DUMMYFUNCTION("""COMPUTED_VALUE"""),5808.0)</f>
        <v>5808</v>
      </c>
      <c r="G864" s="35">
        <f>IFERROR(__xludf.DUMMYFUNCTION("""COMPUTED_VALUE"""),122.0)</f>
        <v>122</v>
      </c>
      <c r="H864" s="35" t="str">
        <f>IFERROR(__xludf.DUMMYFUNCTION("""COMPUTED_VALUE"""),"Algorithms")</f>
        <v>Algorithms</v>
      </c>
      <c r="I864" s="35">
        <f>IFERROR(__xludf.DUMMYFUNCTION("""COMPUTED_VALUE"""),0.608)</f>
        <v>0.608</v>
      </c>
      <c r="J864" s="35">
        <f>IFERROR(__xludf.DUMMYFUNCTION("""COMPUTED_VALUE"""),863.0)</f>
        <v>863</v>
      </c>
      <c r="K864" s="35" t="b">
        <f>IFERROR(__xludf.DUMMYFUNCTION("""COMPUTED_VALUE"""),FALSE)</f>
        <v>0</v>
      </c>
      <c r="L864" s="35" t="str">
        <f>IFERROR(__xludf.DUMMYFUNCTION("""COMPUTED_VALUE"""),"Tree;Depth-First Search;Breadth-First Search;Binary Tree;")</f>
        <v>Tree;Depth-First Search;Breadth-First Search;Binary Tree;</v>
      </c>
      <c r="M864" s="35" t="b">
        <f>IFERROR(__xludf.DUMMYFUNCTION("""COMPUTED_VALUE"""),TRUE)</f>
        <v>1</v>
      </c>
      <c r="N864" s="35" t="b">
        <f>IFERROR(__xludf.DUMMYFUNCTION("""COMPUTED_VALUE"""),FALSE)</f>
        <v>0</v>
      </c>
      <c r="O864" s="35">
        <f>IFERROR(__xludf.DUMMYFUNCTION("""COMPUTED_VALUE"""),60.774041231608)</f>
        <v>60.77404123</v>
      </c>
      <c r="P864" s="35">
        <f>IFERROR(__xludf.DUMMYFUNCTION("""COMPUTED_VALUE"""),216230.0)</f>
        <v>216230</v>
      </c>
      <c r="Q864" s="35">
        <f>IFERROR(__xludf.DUMMYFUNCTION("""COMPUTED_VALUE"""),355794.0)</f>
        <v>355794</v>
      </c>
    </row>
    <row r="865">
      <c r="A865" s="35">
        <f>IFERROR(__xludf.DUMMYFUNCTION("""COMPUTED_VALUE"""),895.0)</f>
        <v>895</v>
      </c>
      <c r="B865" s="35" t="str">
        <f>IFERROR(__xludf.DUMMYFUNCTION("""COMPUTED_VALUE"""),"Shortest Path to Get All Keys")</f>
        <v>Shortest Path to Get All Keys</v>
      </c>
      <c r="C865" s="35" t="str">
        <f>IFERROR(__xludf.DUMMYFUNCTION("""COMPUTED_VALUE"""),"shortest-path-to-get-all-keys")</f>
        <v>shortest-path-to-get-all-keys</v>
      </c>
      <c r="D865" s="35" t="b">
        <f>IFERROR(__xludf.DUMMYFUNCTION("""COMPUTED_VALUE"""),FALSE)</f>
        <v>0</v>
      </c>
      <c r="E865" s="35" t="str">
        <f>IFERROR(__xludf.DUMMYFUNCTION("""COMPUTED_VALUE"""),"Hard")</f>
        <v>Hard</v>
      </c>
      <c r="F865" s="35">
        <f>IFERROR(__xludf.DUMMYFUNCTION("""COMPUTED_VALUE"""),742.0)</f>
        <v>742</v>
      </c>
      <c r="G865" s="35">
        <f>IFERROR(__xludf.DUMMYFUNCTION("""COMPUTED_VALUE"""),25.0)</f>
        <v>25</v>
      </c>
      <c r="H865" s="35" t="str">
        <f>IFERROR(__xludf.DUMMYFUNCTION("""COMPUTED_VALUE"""),"Algorithms")</f>
        <v>Algorithms</v>
      </c>
      <c r="I865" s="35">
        <f>IFERROR(__xludf.DUMMYFUNCTION("""COMPUTED_VALUE"""),0.443)</f>
        <v>0.443</v>
      </c>
      <c r="J865" s="35">
        <f>IFERROR(__xludf.DUMMYFUNCTION("""COMPUTED_VALUE"""),864.0)</f>
        <v>864</v>
      </c>
      <c r="K865" s="35" t="b">
        <f>IFERROR(__xludf.DUMMYFUNCTION("""COMPUTED_VALUE"""),FALSE)</f>
        <v>0</v>
      </c>
      <c r="L865" s="35" t="str">
        <f>IFERROR(__xludf.DUMMYFUNCTION("""COMPUTED_VALUE"""),"Bit Manipulation;Breadth-First Search;")</f>
        <v>Bit Manipulation;Breadth-First Search;</v>
      </c>
      <c r="M865" s="35" t="b">
        <f>IFERROR(__xludf.DUMMYFUNCTION("""COMPUTED_VALUE"""),FALSE)</f>
        <v>0</v>
      </c>
      <c r="N865" s="35" t="b">
        <f>IFERROR(__xludf.DUMMYFUNCTION("""COMPUTED_VALUE"""),FALSE)</f>
        <v>0</v>
      </c>
      <c r="O865" s="35">
        <f>IFERROR(__xludf.DUMMYFUNCTION("""COMPUTED_VALUE"""),44.2821468209925)</f>
        <v>44.28214682</v>
      </c>
      <c r="P865" s="35">
        <f>IFERROR(__xludf.DUMMYFUNCTION("""COMPUTED_VALUE"""),22343.0)</f>
        <v>22343</v>
      </c>
      <c r="Q865" s="35">
        <f>IFERROR(__xludf.DUMMYFUNCTION("""COMPUTED_VALUE"""),50456.0)</f>
        <v>50456</v>
      </c>
    </row>
    <row r="866">
      <c r="A866" s="35">
        <f>IFERROR(__xludf.DUMMYFUNCTION("""COMPUTED_VALUE"""),896.0)</f>
        <v>896</v>
      </c>
      <c r="B866" s="35" t="str">
        <f>IFERROR(__xludf.DUMMYFUNCTION("""COMPUTED_VALUE"""),"Smallest Subtree with all the Deepest Nodes")</f>
        <v>Smallest Subtree with all the Deepest Nodes</v>
      </c>
      <c r="C866" s="35" t="str">
        <f>IFERROR(__xludf.DUMMYFUNCTION("""COMPUTED_VALUE"""),"smallest-subtree-with-all-the-deepest-nodes")</f>
        <v>smallest-subtree-with-all-the-deepest-nodes</v>
      </c>
      <c r="D866" s="35" t="b">
        <f>IFERROR(__xludf.DUMMYFUNCTION("""COMPUTED_VALUE"""),FALSE)</f>
        <v>0</v>
      </c>
      <c r="E866" s="35" t="str">
        <f>IFERROR(__xludf.DUMMYFUNCTION("""COMPUTED_VALUE"""),"Medium")</f>
        <v>Medium</v>
      </c>
      <c r="F866" s="35">
        <f>IFERROR(__xludf.DUMMYFUNCTION("""COMPUTED_VALUE"""),1851.0)</f>
        <v>1851</v>
      </c>
      <c r="G866" s="35">
        <f>IFERROR(__xludf.DUMMYFUNCTION("""COMPUTED_VALUE"""),321.0)</f>
        <v>321</v>
      </c>
      <c r="H866" s="35" t="str">
        <f>IFERROR(__xludf.DUMMYFUNCTION("""COMPUTED_VALUE"""),"Algorithms")</f>
        <v>Algorithms</v>
      </c>
      <c r="I866" s="35">
        <f>IFERROR(__xludf.DUMMYFUNCTION("""COMPUTED_VALUE"""),0.676)</f>
        <v>0.676</v>
      </c>
      <c r="J866" s="35">
        <f>IFERROR(__xludf.DUMMYFUNCTION("""COMPUTED_VALUE"""),865.0)</f>
        <v>865</v>
      </c>
      <c r="K866" s="35" t="b">
        <f>IFERROR(__xludf.DUMMYFUNCTION("""COMPUTED_VALUE"""),FALSE)</f>
        <v>0</v>
      </c>
      <c r="L866" s="35" t="str">
        <f>IFERROR(__xludf.DUMMYFUNCTION("""COMPUTED_VALUE"""),"Hash Table;Tree;Depth-First Search;Breadth-First Search;Binary Tree;")</f>
        <v>Hash Table;Tree;Depth-First Search;Breadth-First Search;Binary Tree;</v>
      </c>
      <c r="M866" s="35" t="b">
        <f>IFERROR(__xludf.DUMMYFUNCTION("""COMPUTED_VALUE"""),TRUE)</f>
        <v>1</v>
      </c>
      <c r="N866" s="35" t="b">
        <f>IFERROR(__xludf.DUMMYFUNCTION("""COMPUTED_VALUE"""),FALSE)</f>
        <v>0</v>
      </c>
      <c r="O866" s="35">
        <f>IFERROR(__xludf.DUMMYFUNCTION("""COMPUTED_VALUE"""),67.6061926621195)</f>
        <v>67.60619266</v>
      </c>
      <c r="P866" s="35">
        <f>IFERROR(__xludf.DUMMYFUNCTION("""COMPUTED_VALUE"""),98819.0)</f>
        <v>98819</v>
      </c>
      <c r="Q866" s="35">
        <f>IFERROR(__xludf.DUMMYFUNCTION("""COMPUTED_VALUE"""),146170.0)</f>
        <v>146170</v>
      </c>
    </row>
    <row r="867">
      <c r="A867" s="35">
        <f>IFERROR(__xludf.DUMMYFUNCTION("""COMPUTED_VALUE"""),897.0)</f>
        <v>897</v>
      </c>
      <c r="B867" s="35" t="str">
        <f>IFERROR(__xludf.DUMMYFUNCTION("""COMPUTED_VALUE"""),"Prime Palindrome")</f>
        <v>Prime Palindrome</v>
      </c>
      <c r="C867" s="35" t="str">
        <f>IFERROR(__xludf.DUMMYFUNCTION("""COMPUTED_VALUE"""),"prime-palindrome")</f>
        <v>prime-palindrome</v>
      </c>
      <c r="D867" s="35" t="b">
        <f>IFERROR(__xludf.DUMMYFUNCTION("""COMPUTED_VALUE"""),FALSE)</f>
        <v>0</v>
      </c>
      <c r="E867" s="35" t="str">
        <f>IFERROR(__xludf.DUMMYFUNCTION("""COMPUTED_VALUE"""),"Medium")</f>
        <v>Medium</v>
      </c>
      <c r="F867" s="35">
        <f>IFERROR(__xludf.DUMMYFUNCTION("""COMPUTED_VALUE"""),307.0)</f>
        <v>307</v>
      </c>
      <c r="G867" s="35">
        <f>IFERROR(__xludf.DUMMYFUNCTION("""COMPUTED_VALUE"""),701.0)</f>
        <v>701</v>
      </c>
      <c r="H867" s="35" t="str">
        <f>IFERROR(__xludf.DUMMYFUNCTION("""COMPUTED_VALUE"""),"Algorithms")</f>
        <v>Algorithms</v>
      </c>
      <c r="I867" s="35">
        <f>IFERROR(__xludf.DUMMYFUNCTION("""COMPUTED_VALUE"""),0.255)</f>
        <v>0.255</v>
      </c>
      <c r="J867" s="35">
        <f>IFERROR(__xludf.DUMMYFUNCTION("""COMPUTED_VALUE"""),866.0)</f>
        <v>866</v>
      </c>
      <c r="K867" s="35" t="b">
        <f>IFERROR(__xludf.DUMMYFUNCTION("""COMPUTED_VALUE"""),FALSE)</f>
        <v>0</v>
      </c>
      <c r="L867" s="35" t="str">
        <f>IFERROR(__xludf.DUMMYFUNCTION("""COMPUTED_VALUE"""),"Math;")</f>
        <v>Math;</v>
      </c>
      <c r="M867" s="35" t="b">
        <f>IFERROR(__xludf.DUMMYFUNCTION("""COMPUTED_VALUE"""),TRUE)</f>
        <v>1</v>
      </c>
      <c r="N867" s="35" t="b">
        <f>IFERROR(__xludf.DUMMYFUNCTION("""COMPUTED_VALUE"""),FALSE)</f>
        <v>0</v>
      </c>
      <c r="O867" s="35">
        <f>IFERROR(__xludf.DUMMYFUNCTION("""COMPUTED_VALUE"""),25.5329923009352)</f>
        <v>25.5329923</v>
      </c>
      <c r="P867" s="35">
        <f>IFERROR(__xludf.DUMMYFUNCTION("""COMPUTED_VALUE"""),24707.0)</f>
        <v>24707</v>
      </c>
      <c r="Q867" s="35">
        <f>IFERROR(__xludf.DUMMYFUNCTION("""COMPUTED_VALUE"""),96765.0)</f>
        <v>96765</v>
      </c>
    </row>
    <row r="868">
      <c r="A868" s="35">
        <f>IFERROR(__xludf.DUMMYFUNCTION("""COMPUTED_VALUE"""),898.0)</f>
        <v>898</v>
      </c>
      <c r="B868" s="35" t="str">
        <f>IFERROR(__xludf.DUMMYFUNCTION("""COMPUTED_VALUE"""),"Transpose Matrix")</f>
        <v>Transpose Matrix</v>
      </c>
      <c r="C868" s="35" t="str">
        <f>IFERROR(__xludf.DUMMYFUNCTION("""COMPUTED_VALUE"""),"transpose-matrix")</f>
        <v>transpose-matrix</v>
      </c>
      <c r="D868" s="35" t="b">
        <f>IFERROR(__xludf.DUMMYFUNCTION("""COMPUTED_VALUE"""),FALSE)</f>
        <v>0</v>
      </c>
      <c r="E868" s="35" t="str">
        <f>IFERROR(__xludf.DUMMYFUNCTION("""COMPUTED_VALUE"""),"Easy")</f>
        <v>Easy</v>
      </c>
      <c r="F868" s="35">
        <f>IFERROR(__xludf.DUMMYFUNCTION("""COMPUTED_VALUE"""),1083.0)</f>
        <v>1083</v>
      </c>
      <c r="G868" s="35">
        <f>IFERROR(__xludf.DUMMYFUNCTION("""COMPUTED_VALUE"""),367.0)</f>
        <v>367</v>
      </c>
      <c r="H868" s="35" t="str">
        <f>IFERROR(__xludf.DUMMYFUNCTION("""COMPUTED_VALUE"""),"Algorithms")</f>
        <v>Algorithms</v>
      </c>
      <c r="I868" s="35">
        <f>IFERROR(__xludf.DUMMYFUNCTION("""COMPUTED_VALUE"""),0.612)</f>
        <v>0.612</v>
      </c>
      <c r="J868" s="35">
        <f>IFERROR(__xludf.DUMMYFUNCTION("""COMPUTED_VALUE"""),867.0)</f>
        <v>867</v>
      </c>
      <c r="K868" s="35" t="b">
        <f>IFERROR(__xludf.DUMMYFUNCTION("""COMPUTED_VALUE"""),FALSE)</f>
        <v>0</v>
      </c>
      <c r="L868" s="35" t="str">
        <f>IFERROR(__xludf.DUMMYFUNCTION("""COMPUTED_VALUE"""),"Array;Matrix;Simulation;")</f>
        <v>Array;Matrix;Simulation;</v>
      </c>
      <c r="M868" s="35" t="b">
        <f>IFERROR(__xludf.DUMMYFUNCTION("""COMPUTED_VALUE"""),TRUE)</f>
        <v>1</v>
      </c>
      <c r="N868" s="35" t="b">
        <f>IFERROR(__xludf.DUMMYFUNCTION("""COMPUTED_VALUE"""),FALSE)</f>
        <v>0</v>
      </c>
      <c r="O868" s="35">
        <f>IFERROR(__xludf.DUMMYFUNCTION("""COMPUTED_VALUE"""),61.155431170867)</f>
        <v>61.15543117</v>
      </c>
      <c r="P868" s="35">
        <f>IFERROR(__xludf.DUMMYFUNCTION("""COMPUTED_VALUE"""),127177.0)</f>
        <v>127177</v>
      </c>
      <c r="Q868" s="35">
        <f>IFERROR(__xludf.DUMMYFUNCTION("""COMPUTED_VALUE"""),207957.0)</f>
        <v>207957</v>
      </c>
    </row>
    <row r="869">
      <c r="A869" s="35">
        <f>IFERROR(__xludf.DUMMYFUNCTION("""COMPUTED_VALUE"""),899.0)</f>
        <v>899</v>
      </c>
      <c r="B869" s="35" t="str">
        <f>IFERROR(__xludf.DUMMYFUNCTION("""COMPUTED_VALUE"""),"Binary Gap")</f>
        <v>Binary Gap</v>
      </c>
      <c r="C869" s="35" t="str">
        <f>IFERROR(__xludf.DUMMYFUNCTION("""COMPUTED_VALUE"""),"binary-gap")</f>
        <v>binary-gap</v>
      </c>
      <c r="D869" s="35" t="b">
        <f>IFERROR(__xludf.DUMMYFUNCTION("""COMPUTED_VALUE"""),FALSE)</f>
        <v>0</v>
      </c>
      <c r="E869" s="35" t="str">
        <f>IFERROR(__xludf.DUMMYFUNCTION("""COMPUTED_VALUE"""),"Easy")</f>
        <v>Easy</v>
      </c>
      <c r="F869" s="35">
        <f>IFERROR(__xludf.DUMMYFUNCTION("""COMPUTED_VALUE"""),412.0)</f>
        <v>412</v>
      </c>
      <c r="G869" s="35">
        <f>IFERROR(__xludf.DUMMYFUNCTION("""COMPUTED_VALUE"""),588.0)</f>
        <v>588</v>
      </c>
      <c r="H869" s="35" t="str">
        <f>IFERROR(__xludf.DUMMYFUNCTION("""COMPUTED_VALUE"""),"Algorithms")</f>
        <v>Algorithms</v>
      </c>
      <c r="I869" s="35">
        <f>IFERROR(__xludf.DUMMYFUNCTION("""COMPUTED_VALUE"""),0.617)</f>
        <v>0.617</v>
      </c>
      <c r="J869" s="35">
        <f>IFERROR(__xludf.DUMMYFUNCTION("""COMPUTED_VALUE"""),868.0)</f>
        <v>868</v>
      </c>
      <c r="K869" s="35" t="b">
        <f>IFERROR(__xludf.DUMMYFUNCTION("""COMPUTED_VALUE"""),FALSE)</f>
        <v>0</v>
      </c>
      <c r="L869" s="35" t="str">
        <f>IFERROR(__xludf.DUMMYFUNCTION("""COMPUTED_VALUE"""),"Math;Bit Manipulation;")</f>
        <v>Math;Bit Manipulation;</v>
      </c>
      <c r="M869" s="35" t="b">
        <f>IFERROR(__xludf.DUMMYFUNCTION("""COMPUTED_VALUE"""),TRUE)</f>
        <v>1</v>
      </c>
      <c r="N869" s="35" t="b">
        <f>IFERROR(__xludf.DUMMYFUNCTION("""COMPUTED_VALUE"""),FALSE)</f>
        <v>0</v>
      </c>
      <c r="O869" s="35">
        <f>IFERROR(__xludf.DUMMYFUNCTION("""COMPUTED_VALUE"""),61.6941610592576)</f>
        <v>61.69416106</v>
      </c>
      <c r="P869" s="35">
        <f>IFERROR(__xludf.DUMMYFUNCTION("""COMPUTED_VALUE"""),56845.0)</f>
        <v>56845</v>
      </c>
      <c r="Q869" s="35">
        <f>IFERROR(__xludf.DUMMYFUNCTION("""COMPUTED_VALUE"""),92140.0)</f>
        <v>92140</v>
      </c>
    </row>
    <row r="870">
      <c r="A870" s="35">
        <f>IFERROR(__xludf.DUMMYFUNCTION("""COMPUTED_VALUE"""),900.0)</f>
        <v>900</v>
      </c>
      <c r="B870" s="35" t="str">
        <f>IFERROR(__xludf.DUMMYFUNCTION("""COMPUTED_VALUE"""),"Reordered Power of 2")</f>
        <v>Reordered Power of 2</v>
      </c>
      <c r="C870" s="35" t="str">
        <f>IFERROR(__xludf.DUMMYFUNCTION("""COMPUTED_VALUE"""),"reordered-power-of-2")</f>
        <v>reordered-power-of-2</v>
      </c>
      <c r="D870" s="35" t="b">
        <f>IFERROR(__xludf.DUMMYFUNCTION("""COMPUTED_VALUE"""),FALSE)</f>
        <v>0</v>
      </c>
      <c r="E870" s="35" t="str">
        <f>IFERROR(__xludf.DUMMYFUNCTION("""COMPUTED_VALUE"""),"Medium")</f>
        <v>Medium</v>
      </c>
      <c r="F870" s="35">
        <f>IFERROR(__xludf.DUMMYFUNCTION("""COMPUTED_VALUE"""),561.0)</f>
        <v>561</v>
      </c>
      <c r="G870" s="35">
        <f>IFERROR(__xludf.DUMMYFUNCTION("""COMPUTED_VALUE"""),166.0)</f>
        <v>166</v>
      </c>
      <c r="H870" s="35" t="str">
        <f>IFERROR(__xludf.DUMMYFUNCTION("""COMPUTED_VALUE"""),"Algorithms")</f>
        <v>Algorithms</v>
      </c>
      <c r="I870" s="35">
        <f>IFERROR(__xludf.DUMMYFUNCTION("""COMPUTED_VALUE"""),0.613)</f>
        <v>0.613</v>
      </c>
      <c r="J870" s="35">
        <f>IFERROR(__xludf.DUMMYFUNCTION("""COMPUTED_VALUE"""),869.0)</f>
        <v>869</v>
      </c>
      <c r="K870" s="35" t="b">
        <f>IFERROR(__xludf.DUMMYFUNCTION("""COMPUTED_VALUE"""),FALSE)</f>
        <v>0</v>
      </c>
      <c r="L870" s="35" t="str">
        <f>IFERROR(__xludf.DUMMYFUNCTION("""COMPUTED_VALUE"""),"Math;Sorting;Counting;Enumeration;")</f>
        <v>Math;Sorting;Counting;Enumeration;</v>
      </c>
      <c r="M870" s="35" t="b">
        <f>IFERROR(__xludf.DUMMYFUNCTION("""COMPUTED_VALUE"""),TRUE)</f>
        <v>1</v>
      </c>
      <c r="N870" s="35" t="b">
        <f>IFERROR(__xludf.DUMMYFUNCTION("""COMPUTED_VALUE"""),FALSE)</f>
        <v>0</v>
      </c>
      <c r="O870" s="35">
        <f>IFERROR(__xludf.DUMMYFUNCTION("""COMPUTED_VALUE"""),61.3059984813971)</f>
        <v>61.30599848</v>
      </c>
      <c r="P870" s="35">
        <f>IFERROR(__xludf.DUMMYFUNCTION("""COMPUTED_VALUE"""),40370.0)</f>
        <v>40370</v>
      </c>
      <c r="Q870" s="35">
        <f>IFERROR(__xludf.DUMMYFUNCTION("""COMPUTED_VALUE"""),65850.0)</f>
        <v>65850</v>
      </c>
    </row>
    <row r="871">
      <c r="A871" s="35">
        <f>IFERROR(__xludf.DUMMYFUNCTION("""COMPUTED_VALUE"""),901.0)</f>
        <v>901</v>
      </c>
      <c r="B871" s="35" t="str">
        <f>IFERROR(__xludf.DUMMYFUNCTION("""COMPUTED_VALUE"""),"Advantage Shuffle")</f>
        <v>Advantage Shuffle</v>
      </c>
      <c r="C871" s="35" t="str">
        <f>IFERROR(__xludf.DUMMYFUNCTION("""COMPUTED_VALUE"""),"advantage-shuffle")</f>
        <v>advantage-shuffle</v>
      </c>
      <c r="D871" s="35" t="b">
        <f>IFERROR(__xludf.DUMMYFUNCTION("""COMPUTED_VALUE"""),FALSE)</f>
        <v>0</v>
      </c>
      <c r="E871" s="35" t="str">
        <f>IFERROR(__xludf.DUMMYFUNCTION("""COMPUTED_VALUE"""),"Medium")</f>
        <v>Medium</v>
      </c>
      <c r="F871" s="35">
        <f>IFERROR(__xludf.DUMMYFUNCTION("""COMPUTED_VALUE"""),1199.0)</f>
        <v>1199</v>
      </c>
      <c r="G871" s="35">
        <f>IFERROR(__xludf.DUMMYFUNCTION("""COMPUTED_VALUE"""),75.0)</f>
        <v>75</v>
      </c>
      <c r="H871" s="35" t="str">
        <f>IFERROR(__xludf.DUMMYFUNCTION("""COMPUTED_VALUE"""),"Algorithms")</f>
        <v>Algorithms</v>
      </c>
      <c r="I871" s="35">
        <f>IFERROR(__xludf.DUMMYFUNCTION("""COMPUTED_VALUE"""),0.512)</f>
        <v>0.512</v>
      </c>
      <c r="J871" s="35">
        <f>IFERROR(__xludf.DUMMYFUNCTION("""COMPUTED_VALUE"""),870.0)</f>
        <v>870</v>
      </c>
      <c r="K871" s="35" t="b">
        <f>IFERROR(__xludf.DUMMYFUNCTION("""COMPUTED_VALUE"""),FALSE)</f>
        <v>0</v>
      </c>
      <c r="L871" s="35" t="str">
        <f>IFERROR(__xludf.DUMMYFUNCTION("""COMPUTED_VALUE"""),"Array;Greedy;Sorting;")</f>
        <v>Array;Greedy;Sorting;</v>
      </c>
      <c r="M871" s="35" t="b">
        <f>IFERROR(__xludf.DUMMYFUNCTION("""COMPUTED_VALUE"""),TRUE)</f>
        <v>1</v>
      </c>
      <c r="N871" s="35" t="b">
        <f>IFERROR(__xludf.DUMMYFUNCTION("""COMPUTED_VALUE"""),FALSE)</f>
        <v>0</v>
      </c>
      <c r="O871" s="35">
        <f>IFERROR(__xludf.DUMMYFUNCTION("""COMPUTED_VALUE"""),51.1732317650773)</f>
        <v>51.17323177</v>
      </c>
      <c r="P871" s="35">
        <f>IFERROR(__xludf.DUMMYFUNCTION("""COMPUTED_VALUE"""),51861.0)</f>
        <v>51861</v>
      </c>
      <c r="Q871" s="35">
        <f>IFERROR(__xludf.DUMMYFUNCTION("""COMPUTED_VALUE"""),101344.0)</f>
        <v>101344</v>
      </c>
    </row>
    <row r="872">
      <c r="A872" s="35">
        <f>IFERROR(__xludf.DUMMYFUNCTION("""COMPUTED_VALUE"""),902.0)</f>
        <v>902</v>
      </c>
      <c r="B872" s="35" t="str">
        <f>IFERROR(__xludf.DUMMYFUNCTION("""COMPUTED_VALUE"""),"Minimum Number of Refueling Stops")</f>
        <v>Minimum Number of Refueling Stops</v>
      </c>
      <c r="C872" s="35" t="str">
        <f>IFERROR(__xludf.DUMMYFUNCTION("""COMPUTED_VALUE"""),"minimum-number-of-refueling-stops")</f>
        <v>minimum-number-of-refueling-stops</v>
      </c>
      <c r="D872" s="35" t="b">
        <f>IFERROR(__xludf.DUMMYFUNCTION("""COMPUTED_VALUE"""),FALSE)</f>
        <v>0</v>
      </c>
      <c r="E872" s="35" t="str">
        <f>IFERROR(__xludf.DUMMYFUNCTION("""COMPUTED_VALUE"""),"Hard")</f>
        <v>Hard</v>
      </c>
      <c r="F872" s="35">
        <f>IFERROR(__xludf.DUMMYFUNCTION("""COMPUTED_VALUE"""),2357.0)</f>
        <v>2357</v>
      </c>
      <c r="G872" s="35">
        <f>IFERROR(__xludf.DUMMYFUNCTION("""COMPUTED_VALUE"""),47.0)</f>
        <v>47</v>
      </c>
      <c r="H872" s="35" t="str">
        <f>IFERROR(__xludf.DUMMYFUNCTION("""COMPUTED_VALUE"""),"Algorithms")</f>
        <v>Algorithms</v>
      </c>
      <c r="I872" s="35">
        <f>IFERROR(__xludf.DUMMYFUNCTION("""COMPUTED_VALUE"""),0.356)</f>
        <v>0.356</v>
      </c>
      <c r="J872" s="35">
        <f>IFERROR(__xludf.DUMMYFUNCTION("""COMPUTED_VALUE"""),871.0)</f>
        <v>871</v>
      </c>
      <c r="K872" s="35" t="b">
        <f>IFERROR(__xludf.DUMMYFUNCTION("""COMPUTED_VALUE"""),FALSE)</f>
        <v>0</v>
      </c>
      <c r="L872" s="35" t="str">
        <f>IFERROR(__xludf.DUMMYFUNCTION("""COMPUTED_VALUE"""),"Array;Dynamic Programming;Greedy;Heap (Priority Queue);")</f>
        <v>Array;Dynamic Programming;Greedy;Heap (Priority Queue);</v>
      </c>
      <c r="M872" s="35" t="b">
        <f>IFERROR(__xludf.DUMMYFUNCTION("""COMPUTED_VALUE"""),TRUE)</f>
        <v>1</v>
      </c>
      <c r="N872" s="35" t="b">
        <f>IFERROR(__xludf.DUMMYFUNCTION("""COMPUTED_VALUE"""),FALSE)</f>
        <v>0</v>
      </c>
      <c r="O872" s="35">
        <f>IFERROR(__xludf.DUMMYFUNCTION("""COMPUTED_VALUE"""),35.5766267011467)</f>
        <v>35.5766267</v>
      </c>
      <c r="P872" s="35">
        <f>IFERROR(__xludf.DUMMYFUNCTION("""COMPUTED_VALUE"""),68098.0)</f>
        <v>68098</v>
      </c>
      <c r="Q872" s="35">
        <f>IFERROR(__xludf.DUMMYFUNCTION("""COMPUTED_VALUE"""),191414.0)</f>
        <v>191414</v>
      </c>
    </row>
    <row r="873">
      <c r="A873" s="35">
        <f>IFERROR(__xludf.DUMMYFUNCTION("""COMPUTED_VALUE"""),904.0)</f>
        <v>904</v>
      </c>
      <c r="B873" s="35" t="str">
        <f>IFERROR(__xludf.DUMMYFUNCTION("""COMPUTED_VALUE"""),"Leaf-Similar Trees")</f>
        <v>Leaf-Similar Trees</v>
      </c>
      <c r="C873" s="35" t="str">
        <f>IFERROR(__xludf.DUMMYFUNCTION("""COMPUTED_VALUE"""),"leaf-similar-trees")</f>
        <v>leaf-similar-trees</v>
      </c>
      <c r="D873" s="35" t="b">
        <f>IFERROR(__xludf.DUMMYFUNCTION("""COMPUTED_VALUE"""),FALSE)</f>
        <v>0</v>
      </c>
      <c r="E873" s="35" t="str">
        <f>IFERROR(__xludf.DUMMYFUNCTION("""COMPUTED_VALUE"""),"Easy")</f>
        <v>Easy</v>
      </c>
      <c r="F873" s="35">
        <f>IFERROR(__xludf.DUMMYFUNCTION("""COMPUTED_VALUE"""),1598.0)</f>
        <v>1598</v>
      </c>
      <c r="G873" s="35">
        <f>IFERROR(__xludf.DUMMYFUNCTION("""COMPUTED_VALUE"""),55.0)</f>
        <v>55</v>
      </c>
      <c r="H873" s="35" t="str">
        <f>IFERROR(__xludf.DUMMYFUNCTION("""COMPUTED_VALUE"""),"Algorithms")</f>
        <v>Algorithms</v>
      </c>
      <c r="I873" s="35">
        <f>IFERROR(__xludf.DUMMYFUNCTION("""COMPUTED_VALUE"""),0.649)</f>
        <v>0.649</v>
      </c>
      <c r="J873" s="35">
        <f>IFERROR(__xludf.DUMMYFUNCTION("""COMPUTED_VALUE"""),872.0)</f>
        <v>872</v>
      </c>
      <c r="K873" s="35" t="b">
        <f>IFERROR(__xludf.DUMMYFUNCTION("""COMPUTED_VALUE"""),FALSE)</f>
        <v>0</v>
      </c>
      <c r="L873" s="35" t="str">
        <f>IFERROR(__xludf.DUMMYFUNCTION("""COMPUTED_VALUE"""),"Tree;Depth-First Search;Binary Tree;")</f>
        <v>Tree;Depth-First Search;Binary Tree;</v>
      </c>
      <c r="M873" s="35" t="b">
        <f>IFERROR(__xludf.DUMMYFUNCTION("""COMPUTED_VALUE"""),TRUE)</f>
        <v>1</v>
      </c>
      <c r="N873" s="35" t="b">
        <f>IFERROR(__xludf.DUMMYFUNCTION("""COMPUTED_VALUE"""),FALSE)</f>
        <v>0</v>
      </c>
      <c r="O873" s="35">
        <f>IFERROR(__xludf.DUMMYFUNCTION("""COMPUTED_VALUE"""),64.9211297105362)</f>
        <v>64.92112971</v>
      </c>
      <c r="P873" s="35">
        <f>IFERROR(__xludf.DUMMYFUNCTION("""COMPUTED_VALUE"""),158698.0)</f>
        <v>158698</v>
      </c>
      <c r="Q873" s="35">
        <f>IFERROR(__xludf.DUMMYFUNCTION("""COMPUTED_VALUE"""),244449.0)</f>
        <v>244449</v>
      </c>
    </row>
    <row r="874">
      <c r="A874" s="35">
        <f>IFERROR(__xludf.DUMMYFUNCTION("""COMPUTED_VALUE"""),905.0)</f>
        <v>905</v>
      </c>
      <c r="B874" s="35" t="str">
        <f>IFERROR(__xludf.DUMMYFUNCTION("""COMPUTED_VALUE"""),"Length of Longest Fibonacci Subsequence")</f>
        <v>Length of Longest Fibonacci Subsequence</v>
      </c>
      <c r="C874" s="35" t="str">
        <f>IFERROR(__xludf.DUMMYFUNCTION("""COMPUTED_VALUE"""),"length-of-longest-fibonacci-subsequence")</f>
        <v>length-of-longest-fibonacci-subsequence</v>
      </c>
      <c r="D874" s="35" t="b">
        <f>IFERROR(__xludf.DUMMYFUNCTION("""COMPUTED_VALUE"""),FALSE)</f>
        <v>0</v>
      </c>
      <c r="E874" s="35" t="str">
        <f>IFERROR(__xludf.DUMMYFUNCTION("""COMPUTED_VALUE"""),"Medium")</f>
        <v>Medium</v>
      </c>
      <c r="F874" s="35">
        <f>IFERROR(__xludf.DUMMYFUNCTION("""COMPUTED_VALUE"""),1367.0)</f>
        <v>1367</v>
      </c>
      <c r="G874" s="35">
        <f>IFERROR(__xludf.DUMMYFUNCTION("""COMPUTED_VALUE"""),50.0)</f>
        <v>50</v>
      </c>
      <c r="H874" s="35" t="str">
        <f>IFERROR(__xludf.DUMMYFUNCTION("""COMPUTED_VALUE"""),"Algorithms")</f>
        <v>Algorithms</v>
      </c>
      <c r="I874" s="35">
        <f>IFERROR(__xludf.DUMMYFUNCTION("""COMPUTED_VALUE"""),0.486)</f>
        <v>0.486</v>
      </c>
      <c r="J874" s="35">
        <f>IFERROR(__xludf.DUMMYFUNCTION("""COMPUTED_VALUE"""),873.0)</f>
        <v>873</v>
      </c>
      <c r="K874" s="35" t="b">
        <f>IFERROR(__xludf.DUMMYFUNCTION("""COMPUTED_VALUE"""),FALSE)</f>
        <v>0</v>
      </c>
      <c r="L874" s="35" t="str">
        <f>IFERROR(__xludf.DUMMYFUNCTION("""COMPUTED_VALUE"""),"Array;Hash Table;Dynamic Programming;")</f>
        <v>Array;Hash Table;Dynamic Programming;</v>
      </c>
      <c r="M874" s="35" t="b">
        <f>IFERROR(__xludf.DUMMYFUNCTION("""COMPUTED_VALUE"""),TRUE)</f>
        <v>1</v>
      </c>
      <c r="N874" s="35" t="b">
        <f>IFERROR(__xludf.DUMMYFUNCTION("""COMPUTED_VALUE"""),FALSE)</f>
        <v>0</v>
      </c>
      <c r="O874" s="35">
        <f>IFERROR(__xludf.DUMMYFUNCTION("""COMPUTED_VALUE"""),48.5712795911982)</f>
        <v>48.57127959</v>
      </c>
      <c r="P874" s="35">
        <f>IFERROR(__xludf.DUMMYFUNCTION("""COMPUTED_VALUE"""),46575.0)</f>
        <v>46575</v>
      </c>
      <c r="Q874" s="35">
        <f>IFERROR(__xludf.DUMMYFUNCTION("""COMPUTED_VALUE"""),95890.0)</f>
        <v>95890</v>
      </c>
    </row>
    <row r="875">
      <c r="A875" s="35">
        <f>IFERROR(__xludf.DUMMYFUNCTION("""COMPUTED_VALUE"""),906.0)</f>
        <v>906</v>
      </c>
      <c r="B875" s="35" t="str">
        <f>IFERROR(__xludf.DUMMYFUNCTION("""COMPUTED_VALUE"""),"Walking Robot Simulation")</f>
        <v>Walking Robot Simulation</v>
      </c>
      <c r="C875" s="35" t="str">
        <f>IFERROR(__xludf.DUMMYFUNCTION("""COMPUTED_VALUE"""),"walking-robot-simulation")</f>
        <v>walking-robot-simulation</v>
      </c>
      <c r="D875" s="35" t="b">
        <f>IFERROR(__xludf.DUMMYFUNCTION("""COMPUTED_VALUE"""),FALSE)</f>
        <v>0</v>
      </c>
      <c r="E875" s="35" t="str">
        <f>IFERROR(__xludf.DUMMYFUNCTION("""COMPUTED_VALUE"""),"Medium")</f>
        <v>Medium</v>
      </c>
      <c r="F875" s="35">
        <f>IFERROR(__xludf.DUMMYFUNCTION("""COMPUTED_VALUE"""),58.0)</f>
        <v>58</v>
      </c>
      <c r="G875" s="35">
        <f>IFERROR(__xludf.DUMMYFUNCTION("""COMPUTED_VALUE"""),10.0)</f>
        <v>10</v>
      </c>
      <c r="H875" s="35" t="str">
        <f>IFERROR(__xludf.DUMMYFUNCTION("""COMPUTED_VALUE"""),"Algorithms")</f>
        <v>Algorithms</v>
      </c>
      <c r="I875" s="35">
        <f>IFERROR(__xludf.DUMMYFUNCTION("""COMPUTED_VALUE"""),0.376)</f>
        <v>0.376</v>
      </c>
      <c r="J875" s="35">
        <f>IFERROR(__xludf.DUMMYFUNCTION("""COMPUTED_VALUE"""),874.0)</f>
        <v>874</v>
      </c>
      <c r="K875" s="35" t="b">
        <f>IFERROR(__xludf.DUMMYFUNCTION("""COMPUTED_VALUE"""),FALSE)</f>
        <v>0</v>
      </c>
      <c r="L875" s="35" t="str">
        <f>IFERROR(__xludf.DUMMYFUNCTION("""COMPUTED_VALUE"""),"Array;Simulation;")</f>
        <v>Array;Simulation;</v>
      </c>
      <c r="M875" s="35" t="b">
        <f>IFERROR(__xludf.DUMMYFUNCTION("""COMPUTED_VALUE"""),FALSE)</f>
        <v>0</v>
      </c>
      <c r="N875" s="35" t="b">
        <f>IFERROR(__xludf.DUMMYFUNCTION("""COMPUTED_VALUE"""),FALSE)</f>
        <v>0</v>
      </c>
      <c r="O875" s="35">
        <f>IFERROR(__xludf.DUMMYFUNCTION("""COMPUTED_VALUE"""),37.6485007341609)</f>
        <v>37.64850073</v>
      </c>
      <c r="P875" s="35">
        <f>IFERROR(__xludf.DUMMYFUNCTION("""COMPUTED_VALUE"""),31025.0)</f>
        <v>31025</v>
      </c>
      <c r="Q875" s="35">
        <f>IFERROR(__xludf.DUMMYFUNCTION("""COMPUTED_VALUE"""),82407.0)</f>
        <v>82407</v>
      </c>
    </row>
    <row r="876">
      <c r="A876" s="35">
        <f>IFERROR(__xludf.DUMMYFUNCTION("""COMPUTED_VALUE"""),907.0)</f>
        <v>907</v>
      </c>
      <c r="B876" s="35" t="str">
        <f>IFERROR(__xludf.DUMMYFUNCTION("""COMPUTED_VALUE"""),"Koko Eating Bananas")</f>
        <v>Koko Eating Bananas</v>
      </c>
      <c r="C876" s="35" t="str">
        <f>IFERROR(__xludf.DUMMYFUNCTION("""COMPUTED_VALUE"""),"koko-eating-bananas")</f>
        <v>koko-eating-bananas</v>
      </c>
      <c r="D876" s="35" t="b">
        <f>IFERROR(__xludf.DUMMYFUNCTION("""COMPUTED_VALUE"""),FALSE)</f>
        <v>0</v>
      </c>
      <c r="E876" s="35" t="str">
        <f>IFERROR(__xludf.DUMMYFUNCTION("""COMPUTED_VALUE"""),"Medium")</f>
        <v>Medium</v>
      </c>
      <c r="F876" s="35">
        <f>IFERROR(__xludf.DUMMYFUNCTION("""COMPUTED_VALUE"""),3803.0)</f>
        <v>3803</v>
      </c>
      <c r="G876" s="35">
        <f>IFERROR(__xludf.DUMMYFUNCTION("""COMPUTED_VALUE"""),170.0)</f>
        <v>170</v>
      </c>
      <c r="H876" s="35" t="str">
        <f>IFERROR(__xludf.DUMMYFUNCTION("""COMPUTED_VALUE"""),"Algorithms")</f>
        <v>Algorithms</v>
      </c>
      <c r="I876" s="35">
        <f>IFERROR(__xludf.DUMMYFUNCTION("""COMPUTED_VALUE"""),0.546)</f>
        <v>0.546</v>
      </c>
      <c r="J876" s="35">
        <f>IFERROR(__xludf.DUMMYFUNCTION("""COMPUTED_VALUE"""),875.0)</f>
        <v>875</v>
      </c>
      <c r="K876" s="35" t="b">
        <f>IFERROR(__xludf.DUMMYFUNCTION("""COMPUTED_VALUE"""),FALSE)</f>
        <v>0</v>
      </c>
      <c r="L876" s="35" t="str">
        <f>IFERROR(__xludf.DUMMYFUNCTION("""COMPUTED_VALUE"""),"Array;Binary Search;")</f>
        <v>Array;Binary Search;</v>
      </c>
      <c r="M876" s="35" t="b">
        <f>IFERROR(__xludf.DUMMYFUNCTION("""COMPUTED_VALUE"""),TRUE)</f>
        <v>1</v>
      </c>
      <c r="N876" s="35" t="b">
        <f>IFERROR(__xludf.DUMMYFUNCTION("""COMPUTED_VALUE"""),FALSE)</f>
        <v>0</v>
      </c>
      <c r="O876" s="35">
        <f>IFERROR(__xludf.DUMMYFUNCTION("""COMPUTED_VALUE"""),54.5924609548545)</f>
        <v>54.59246095</v>
      </c>
      <c r="P876" s="35">
        <f>IFERROR(__xludf.DUMMYFUNCTION("""COMPUTED_VALUE"""),159741.0)</f>
        <v>159741</v>
      </c>
      <c r="Q876" s="35">
        <f>IFERROR(__xludf.DUMMYFUNCTION("""COMPUTED_VALUE"""),292608.0)</f>
        <v>292608</v>
      </c>
    </row>
    <row r="877">
      <c r="A877" s="35">
        <f>IFERROR(__xludf.DUMMYFUNCTION("""COMPUTED_VALUE"""),908.0)</f>
        <v>908</v>
      </c>
      <c r="B877" s="35" t="str">
        <f>IFERROR(__xludf.DUMMYFUNCTION("""COMPUTED_VALUE"""),"Middle of the Linked List")</f>
        <v>Middle of the Linked List</v>
      </c>
      <c r="C877" s="35" t="str">
        <f>IFERROR(__xludf.DUMMYFUNCTION("""COMPUTED_VALUE"""),"middle-of-the-linked-list")</f>
        <v>middle-of-the-linked-list</v>
      </c>
      <c r="D877" s="35" t="b">
        <f>IFERROR(__xludf.DUMMYFUNCTION("""COMPUTED_VALUE"""),FALSE)</f>
        <v>0</v>
      </c>
      <c r="E877" s="35" t="str">
        <f>IFERROR(__xludf.DUMMYFUNCTION("""COMPUTED_VALUE"""),"Easy")</f>
        <v>Easy</v>
      </c>
      <c r="F877" s="35">
        <f>IFERROR(__xludf.DUMMYFUNCTION("""COMPUTED_VALUE"""),4844.0)</f>
        <v>4844</v>
      </c>
      <c r="G877" s="35">
        <f>IFERROR(__xludf.DUMMYFUNCTION("""COMPUTED_VALUE"""),120.0)</f>
        <v>120</v>
      </c>
      <c r="H877" s="35" t="str">
        <f>IFERROR(__xludf.DUMMYFUNCTION("""COMPUTED_VALUE"""),"Algorithms")</f>
        <v>Algorithms</v>
      </c>
      <c r="I877" s="35">
        <f>IFERROR(__xludf.DUMMYFUNCTION("""COMPUTED_VALUE"""),0.723)</f>
        <v>0.723</v>
      </c>
      <c r="J877" s="35">
        <f>IFERROR(__xludf.DUMMYFUNCTION("""COMPUTED_VALUE"""),876.0)</f>
        <v>876</v>
      </c>
      <c r="K877" s="35" t="b">
        <f>IFERROR(__xludf.DUMMYFUNCTION("""COMPUTED_VALUE"""),FALSE)</f>
        <v>0</v>
      </c>
      <c r="L877" s="35" t="str">
        <f>IFERROR(__xludf.DUMMYFUNCTION("""COMPUTED_VALUE"""),"Linked List;Two Pointers;")</f>
        <v>Linked List;Two Pointers;</v>
      </c>
      <c r="M877" s="35" t="b">
        <f>IFERROR(__xludf.DUMMYFUNCTION("""COMPUTED_VALUE"""),TRUE)</f>
        <v>1</v>
      </c>
      <c r="N877" s="35" t="b">
        <f>IFERROR(__xludf.DUMMYFUNCTION("""COMPUTED_VALUE"""),FALSE)</f>
        <v>0</v>
      </c>
      <c r="O877" s="35">
        <f>IFERROR(__xludf.DUMMYFUNCTION("""COMPUTED_VALUE"""),72.3241786923897)</f>
        <v>72.32417869</v>
      </c>
      <c r="P877" s="35">
        <f>IFERROR(__xludf.DUMMYFUNCTION("""COMPUTED_VALUE"""),584640.0)</f>
        <v>584640</v>
      </c>
      <c r="Q877" s="35">
        <f>IFERROR(__xludf.DUMMYFUNCTION("""COMPUTED_VALUE"""),808361.0)</f>
        <v>808361</v>
      </c>
    </row>
    <row r="878">
      <c r="A878" s="35">
        <f>IFERROR(__xludf.DUMMYFUNCTION("""COMPUTED_VALUE"""),909.0)</f>
        <v>909</v>
      </c>
      <c r="B878" s="35" t="str">
        <f>IFERROR(__xludf.DUMMYFUNCTION("""COMPUTED_VALUE"""),"Stone Game")</f>
        <v>Stone Game</v>
      </c>
      <c r="C878" s="35" t="str">
        <f>IFERROR(__xludf.DUMMYFUNCTION("""COMPUTED_VALUE"""),"stone-game")</f>
        <v>stone-game</v>
      </c>
      <c r="D878" s="35" t="b">
        <f>IFERROR(__xludf.DUMMYFUNCTION("""COMPUTED_VALUE"""),FALSE)</f>
        <v>0</v>
      </c>
      <c r="E878" s="35" t="str">
        <f>IFERROR(__xludf.DUMMYFUNCTION("""COMPUTED_VALUE"""),"Medium")</f>
        <v>Medium</v>
      </c>
      <c r="F878" s="35">
        <f>IFERROR(__xludf.DUMMYFUNCTION("""COMPUTED_VALUE"""),1899.0)</f>
        <v>1899</v>
      </c>
      <c r="G878" s="35">
        <f>IFERROR(__xludf.DUMMYFUNCTION("""COMPUTED_VALUE"""),1958.0)</f>
        <v>1958</v>
      </c>
      <c r="H878" s="35" t="str">
        <f>IFERROR(__xludf.DUMMYFUNCTION("""COMPUTED_VALUE"""),"Algorithms")</f>
        <v>Algorithms</v>
      </c>
      <c r="I878" s="35">
        <f>IFERROR(__xludf.DUMMYFUNCTION("""COMPUTED_VALUE"""),0.69)</f>
        <v>0.69</v>
      </c>
      <c r="J878" s="35">
        <f>IFERROR(__xludf.DUMMYFUNCTION("""COMPUTED_VALUE"""),877.0)</f>
        <v>877</v>
      </c>
      <c r="K878" s="35" t="b">
        <f>IFERROR(__xludf.DUMMYFUNCTION("""COMPUTED_VALUE"""),FALSE)</f>
        <v>0</v>
      </c>
      <c r="L878" s="35" t="str">
        <f>IFERROR(__xludf.DUMMYFUNCTION("""COMPUTED_VALUE"""),"Array;Math;Dynamic Programming;Game Theory;")</f>
        <v>Array;Math;Dynamic Programming;Game Theory;</v>
      </c>
      <c r="M878" s="35" t="b">
        <f>IFERROR(__xludf.DUMMYFUNCTION("""COMPUTED_VALUE"""),TRUE)</f>
        <v>1</v>
      </c>
      <c r="N878" s="35" t="b">
        <f>IFERROR(__xludf.DUMMYFUNCTION("""COMPUTED_VALUE"""),FALSE)</f>
        <v>0</v>
      </c>
      <c r="O878" s="35">
        <f>IFERROR(__xludf.DUMMYFUNCTION("""COMPUTED_VALUE"""),69.0478601012425)</f>
        <v>69.0478601</v>
      </c>
      <c r="P878" s="35">
        <f>IFERROR(__xludf.DUMMYFUNCTION("""COMPUTED_VALUE"""),150039.0)</f>
        <v>150039</v>
      </c>
      <c r="Q878" s="35">
        <f>IFERROR(__xludf.DUMMYFUNCTION("""COMPUTED_VALUE"""),217298.0)</f>
        <v>217298</v>
      </c>
    </row>
    <row r="879">
      <c r="A879" s="35">
        <f>IFERROR(__xludf.DUMMYFUNCTION("""COMPUTED_VALUE"""),910.0)</f>
        <v>910</v>
      </c>
      <c r="B879" s="35" t="str">
        <f>IFERROR(__xludf.DUMMYFUNCTION("""COMPUTED_VALUE"""),"Nth Magical Number")</f>
        <v>Nth Magical Number</v>
      </c>
      <c r="C879" s="35" t="str">
        <f>IFERROR(__xludf.DUMMYFUNCTION("""COMPUTED_VALUE"""),"nth-magical-number")</f>
        <v>nth-magical-number</v>
      </c>
      <c r="D879" s="35" t="b">
        <f>IFERROR(__xludf.DUMMYFUNCTION("""COMPUTED_VALUE"""),FALSE)</f>
        <v>0</v>
      </c>
      <c r="E879" s="35" t="str">
        <f>IFERROR(__xludf.DUMMYFUNCTION("""COMPUTED_VALUE"""),"Hard")</f>
        <v>Hard</v>
      </c>
      <c r="F879" s="35">
        <f>IFERROR(__xludf.DUMMYFUNCTION("""COMPUTED_VALUE"""),937.0)</f>
        <v>937</v>
      </c>
      <c r="G879" s="35">
        <f>IFERROR(__xludf.DUMMYFUNCTION("""COMPUTED_VALUE"""),131.0)</f>
        <v>131</v>
      </c>
      <c r="H879" s="35" t="str">
        <f>IFERROR(__xludf.DUMMYFUNCTION("""COMPUTED_VALUE"""),"Algorithms")</f>
        <v>Algorithms</v>
      </c>
      <c r="I879" s="35">
        <f>IFERROR(__xludf.DUMMYFUNCTION("""COMPUTED_VALUE"""),0.358)</f>
        <v>0.358</v>
      </c>
      <c r="J879" s="35">
        <f>IFERROR(__xludf.DUMMYFUNCTION("""COMPUTED_VALUE"""),878.0)</f>
        <v>878</v>
      </c>
      <c r="K879" s="35" t="b">
        <f>IFERROR(__xludf.DUMMYFUNCTION("""COMPUTED_VALUE"""),FALSE)</f>
        <v>0</v>
      </c>
      <c r="L879" s="35" t="str">
        <f>IFERROR(__xludf.DUMMYFUNCTION("""COMPUTED_VALUE"""),"Math;Binary Search;")</f>
        <v>Math;Binary Search;</v>
      </c>
      <c r="M879" s="35" t="b">
        <f>IFERROR(__xludf.DUMMYFUNCTION("""COMPUTED_VALUE"""),TRUE)</f>
        <v>1</v>
      </c>
      <c r="N879" s="35" t="b">
        <f>IFERROR(__xludf.DUMMYFUNCTION("""COMPUTED_VALUE"""),FALSE)</f>
        <v>0</v>
      </c>
      <c r="O879" s="35">
        <f>IFERROR(__xludf.DUMMYFUNCTION("""COMPUTED_VALUE"""),35.8047175261875)</f>
        <v>35.80471753</v>
      </c>
      <c r="P879" s="35">
        <f>IFERROR(__xludf.DUMMYFUNCTION("""COMPUTED_VALUE"""),28507.0)</f>
        <v>28507</v>
      </c>
      <c r="Q879" s="35">
        <f>IFERROR(__xludf.DUMMYFUNCTION("""COMPUTED_VALUE"""),79618.0)</f>
        <v>79618</v>
      </c>
    </row>
    <row r="880">
      <c r="A880" s="35">
        <f>IFERROR(__xludf.DUMMYFUNCTION("""COMPUTED_VALUE"""),911.0)</f>
        <v>911</v>
      </c>
      <c r="B880" s="35" t="str">
        <f>IFERROR(__xludf.DUMMYFUNCTION("""COMPUTED_VALUE"""),"Profitable Schemes")</f>
        <v>Profitable Schemes</v>
      </c>
      <c r="C880" s="35" t="str">
        <f>IFERROR(__xludf.DUMMYFUNCTION("""COMPUTED_VALUE"""),"profitable-schemes")</f>
        <v>profitable-schemes</v>
      </c>
      <c r="D880" s="35" t="b">
        <f>IFERROR(__xludf.DUMMYFUNCTION("""COMPUTED_VALUE"""),FALSE)</f>
        <v>0</v>
      </c>
      <c r="E880" s="35" t="str">
        <f>IFERROR(__xludf.DUMMYFUNCTION("""COMPUTED_VALUE"""),"Hard")</f>
        <v>Hard</v>
      </c>
      <c r="F880" s="35">
        <f>IFERROR(__xludf.DUMMYFUNCTION("""COMPUTED_VALUE"""),424.0)</f>
        <v>424</v>
      </c>
      <c r="G880" s="35">
        <f>IFERROR(__xludf.DUMMYFUNCTION("""COMPUTED_VALUE"""),37.0)</f>
        <v>37</v>
      </c>
      <c r="H880" s="35" t="str">
        <f>IFERROR(__xludf.DUMMYFUNCTION("""COMPUTED_VALUE"""),"Algorithms")</f>
        <v>Algorithms</v>
      </c>
      <c r="I880" s="35">
        <f>IFERROR(__xludf.DUMMYFUNCTION("""COMPUTED_VALUE"""),0.407)</f>
        <v>0.407</v>
      </c>
      <c r="J880" s="35">
        <f>IFERROR(__xludf.DUMMYFUNCTION("""COMPUTED_VALUE"""),879.0)</f>
        <v>879</v>
      </c>
      <c r="K880" s="35" t="b">
        <f>IFERROR(__xludf.DUMMYFUNCTION("""COMPUTED_VALUE"""),FALSE)</f>
        <v>0</v>
      </c>
      <c r="L880" s="35" t="str">
        <f>IFERROR(__xludf.DUMMYFUNCTION("""COMPUTED_VALUE"""),"Array;Dynamic Programming;")</f>
        <v>Array;Dynamic Programming;</v>
      </c>
      <c r="M880" s="35" t="b">
        <f>IFERROR(__xludf.DUMMYFUNCTION("""COMPUTED_VALUE"""),TRUE)</f>
        <v>1</v>
      </c>
      <c r="N880" s="35" t="b">
        <f>IFERROR(__xludf.DUMMYFUNCTION("""COMPUTED_VALUE"""),FALSE)</f>
        <v>0</v>
      </c>
      <c r="O880" s="35">
        <f>IFERROR(__xludf.DUMMYFUNCTION("""COMPUTED_VALUE"""),40.6693969778279)</f>
        <v>40.66939698</v>
      </c>
      <c r="P880" s="35">
        <f>IFERROR(__xludf.DUMMYFUNCTION("""COMPUTED_VALUE"""),14399.0)</f>
        <v>14399</v>
      </c>
      <c r="Q880" s="35">
        <f>IFERROR(__xludf.DUMMYFUNCTION("""COMPUTED_VALUE"""),35405.0)</f>
        <v>35405</v>
      </c>
    </row>
    <row r="881">
      <c r="A881" s="35">
        <f>IFERROR(__xludf.DUMMYFUNCTION("""COMPUTED_VALUE"""),916.0)</f>
        <v>916</v>
      </c>
      <c r="B881" s="35" t="str">
        <f>IFERROR(__xludf.DUMMYFUNCTION("""COMPUTED_VALUE"""),"Decoded String at Index")</f>
        <v>Decoded String at Index</v>
      </c>
      <c r="C881" s="35" t="str">
        <f>IFERROR(__xludf.DUMMYFUNCTION("""COMPUTED_VALUE"""),"decoded-string-at-index")</f>
        <v>decoded-string-at-index</v>
      </c>
      <c r="D881" s="35" t="b">
        <f>IFERROR(__xludf.DUMMYFUNCTION("""COMPUTED_VALUE"""),FALSE)</f>
        <v>0</v>
      </c>
      <c r="E881" s="35" t="str">
        <f>IFERROR(__xludf.DUMMYFUNCTION("""COMPUTED_VALUE"""),"Medium")</f>
        <v>Medium</v>
      </c>
      <c r="F881" s="35">
        <f>IFERROR(__xludf.DUMMYFUNCTION("""COMPUTED_VALUE"""),1122.0)</f>
        <v>1122</v>
      </c>
      <c r="G881" s="35">
        <f>IFERROR(__xludf.DUMMYFUNCTION("""COMPUTED_VALUE"""),183.0)</f>
        <v>183</v>
      </c>
      <c r="H881" s="35" t="str">
        <f>IFERROR(__xludf.DUMMYFUNCTION("""COMPUTED_VALUE"""),"Algorithms")</f>
        <v>Algorithms</v>
      </c>
      <c r="I881" s="35">
        <f>IFERROR(__xludf.DUMMYFUNCTION("""COMPUTED_VALUE"""),0.283)</f>
        <v>0.283</v>
      </c>
      <c r="J881" s="35">
        <f>IFERROR(__xludf.DUMMYFUNCTION("""COMPUTED_VALUE"""),880.0)</f>
        <v>880</v>
      </c>
      <c r="K881" s="35" t="b">
        <f>IFERROR(__xludf.DUMMYFUNCTION("""COMPUTED_VALUE"""),FALSE)</f>
        <v>0</v>
      </c>
      <c r="L881" s="35" t="str">
        <f>IFERROR(__xludf.DUMMYFUNCTION("""COMPUTED_VALUE"""),"String;Stack;")</f>
        <v>String;Stack;</v>
      </c>
      <c r="M881" s="35" t="b">
        <f>IFERROR(__xludf.DUMMYFUNCTION("""COMPUTED_VALUE"""),TRUE)</f>
        <v>1</v>
      </c>
      <c r="N881" s="35" t="b">
        <f>IFERROR(__xludf.DUMMYFUNCTION("""COMPUTED_VALUE"""),FALSE)</f>
        <v>0</v>
      </c>
      <c r="O881" s="35">
        <f>IFERROR(__xludf.DUMMYFUNCTION("""COMPUTED_VALUE"""),28.2900464619124)</f>
        <v>28.29004646</v>
      </c>
      <c r="P881" s="35">
        <f>IFERROR(__xludf.DUMMYFUNCTION("""COMPUTED_VALUE"""),32819.0)</f>
        <v>32819</v>
      </c>
      <c r="Q881" s="35">
        <f>IFERROR(__xludf.DUMMYFUNCTION("""COMPUTED_VALUE"""),116009.0)</f>
        <v>116009</v>
      </c>
    </row>
    <row r="882">
      <c r="A882" s="35">
        <f>IFERROR(__xludf.DUMMYFUNCTION("""COMPUTED_VALUE"""),917.0)</f>
        <v>917</v>
      </c>
      <c r="B882" s="35" t="str">
        <f>IFERROR(__xludf.DUMMYFUNCTION("""COMPUTED_VALUE"""),"Boats to Save People")</f>
        <v>Boats to Save People</v>
      </c>
      <c r="C882" s="35" t="str">
        <f>IFERROR(__xludf.DUMMYFUNCTION("""COMPUTED_VALUE"""),"boats-to-save-people")</f>
        <v>boats-to-save-people</v>
      </c>
      <c r="D882" s="35" t="b">
        <f>IFERROR(__xludf.DUMMYFUNCTION("""COMPUTED_VALUE"""),FALSE)</f>
        <v>0</v>
      </c>
      <c r="E882" s="35" t="str">
        <f>IFERROR(__xludf.DUMMYFUNCTION("""COMPUTED_VALUE"""),"Medium")</f>
        <v>Medium</v>
      </c>
      <c r="F882" s="35">
        <f>IFERROR(__xludf.DUMMYFUNCTION("""COMPUTED_VALUE"""),1794.0)</f>
        <v>1794</v>
      </c>
      <c r="G882" s="35">
        <f>IFERROR(__xludf.DUMMYFUNCTION("""COMPUTED_VALUE"""),53.0)</f>
        <v>53</v>
      </c>
      <c r="H882" s="35" t="str">
        <f>IFERROR(__xludf.DUMMYFUNCTION("""COMPUTED_VALUE"""),"Algorithms")</f>
        <v>Algorithms</v>
      </c>
      <c r="I882" s="35">
        <f>IFERROR(__xludf.DUMMYFUNCTION("""COMPUTED_VALUE"""),0.499)</f>
        <v>0.499</v>
      </c>
      <c r="J882" s="35">
        <f>IFERROR(__xludf.DUMMYFUNCTION("""COMPUTED_VALUE"""),881.0)</f>
        <v>881</v>
      </c>
      <c r="K882" s="35" t="b">
        <f>IFERROR(__xludf.DUMMYFUNCTION("""COMPUTED_VALUE"""),FALSE)</f>
        <v>0</v>
      </c>
      <c r="L882" s="35" t="str">
        <f>IFERROR(__xludf.DUMMYFUNCTION("""COMPUTED_VALUE"""),"Array;Two Pointers;Greedy;Sorting;")</f>
        <v>Array;Two Pointers;Greedy;Sorting;</v>
      </c>
      <c r="M882" s="35" t="b">
        <f>IFERROR(__xludf.DUMMYFUNCTION("""COMPUTED_VALUE"""),TRUE)</f>
        <v>1</v>
      </c>
      <c r="N882" s="35" t="b">
        <f>IFERROR(__xludf.DUMMYFUNCTION("""COMPUTED_VALUE"""),FALSE)</f>
        <v>0</v>
      </c>
      <c r="O882" s="35">
        <f>IFERROR(__xludf.DUMMYFUNCTION("""COMPUTED_VALUE"""),49.9190197123068)</f>
        <v>49.91901971</v>
      </c>
      <c r="P882" s="35">
        <f>IFERROR(__xludf.DUMMYFUNCTION("""COMPUTED_VALUE"""),93698.0)</f>
        <v>93698</v>
      </c>
      <c r="Q882" s="35">
        <f>IFERROR(__xludf.DUMMYFUNCTION("""COMPUTED_VALUE"""),187700.0)</f>
        <v>187700</v>
      </c>
    </row>
    <row r="883">
      <c r="A883" s="35">
        <f>IFERROR(__xludf.DUMMYFUNCTION("""COMPUTED_VALUE"""),918.0)</f>
        <v>918</v>
      </c>
      <c r="B883" s="35" t="str">
        <f>IFERROR(__xludf.DUMMYFUNCTION("""COMPUTED_VALUE"""),"Reachable Nodes In Subdivided Graph")</f>
        <v>Reachable Nodes In Subdivided Graph</v>
      </c>
      <c r="C883" s="35" t="str">
        <f>IFERROR(__xludf.DUMMYFUNCTION("""COMPUTED_VALUE"""),"reachable-nodes-in-subdivided-graph")</f>
        <v>reachable-nodes-in-subdivided-graph</v>
      </c>
      <c r="D883" s="35" t="b">
        <f>IFERROR(__xludf.DUMMYFUNCTION("""COMPUTED_VALUE"""),FALSE)</f>
        <v>0</v>
      </c>
      <c r="E883" s="35" t="str">
        <f>IFERROR(__xludf.DUMMYFUNCTION("""COMPUTED_VALUE"""),"Hard")</f>
        <v>Hard</v>
      </c>
      <c r="F883" s="35">
        <f>IFERROR(__xludf.DUMMYFUNCTION("""COMPUTED_VALUE"""),502.0)</f>
        <v>502</v>
      </c>
      <c r="G883" s="35">
        <f>IFERROR(__xludf.DUMMYFUNCTION("""COMPUTED_VALUE"""),197.0)</f>
        <v>197</v>
      </c>
      <c r="H883" s="35" t="str">
        <f>IFERROR(__xludf.DUMMYFUNCTION("""COMPUTED_VALUE"""),"Algorithms")</f>
        <v>Algorithms</v>
      </c>
      <c r="I883" s="35">
        <f>IFERROR(__xludf.DUMMYFUNCTION("""COMPUTED_VALUE"""),0.497)</f>
        <v>0.497</v>
      </c>
      <c r="J883" s="35">
        <f>IFERROR(__xludf.DUMMYFUNCTION("""COMPUTED_VALUE"""),882.0)</f>
        <v>882</v>
      </c>
      <c r="K883" s="35" t="b">
        <f>IFERROR(__xludf.DUMMYFUNCTION("""COMPUTED_VALUE"""),FALSE)</f>
        <v>0</v>
      </c>
      <c r="L883" s="35" t="str">
        <f>IFERROR(__xludf.DUMMYFUNCTION("""COMPUTED_VALUE"""),"Graph;Heap (Priority Queue);Shortest Path;")</f>
        <v>Graph;Heap (Priority Queue);Shortest Path;</v>
      </c>
      <c r="M883" s="35" t="b">
        <f>IFERROR(__xludf.DUMMYFUNCTION("""COMPUTED_VALUE"""),TRUE)</f>
        <v>1</v>
      </c>
      <c r="N883" s="35" t="b">
        <f>IFERROR(__xludf.DUMMYFUNCTION("""COMPUTED_VALUE"""),FALSE)</f>
        <v>0</v>
      </c>
      <c r="O883" s="35">
        <f>IFERROR(__xludf.DUMMYFUNCTION("""COMPUTED_VALUE"""),49.6794219417871)</f>
        <v>49.67942194</v>
      </c>
      <c r="P883" s="35">
        <f>IFERROR(__xludf.DUMMYFUNCTION("""COMPUTED_VALUE"""),19526.0)</f>
        <v>19526</v>
      </c>
      <c r="Q883" s="35">
        <f>IFERROR(__xludf.DUMMYFUNCTION("""COMPUTED_VALUE"""),39304.0)</f>
        <v>39304</v>
      </c>
    </row>
    <row r="884">
      <c r="A884" s="35">
        <f>IFERROR(__xludf.DUMMYFUNCTION("""COMPUTED_VALUE"""),919.0)</f>
        <v>919</v>
      </c>
      <c r="B884" s="35" t="str">
        <f>IFERROR(__xludf.DUMMYFUNCTION("""COMPUTED_VALUE"""),"Projection Area of 3D Shapes")</f>
        <v>Projection Area of 3D Shapes</v>
      </c>
      <c r="C884" s="35" t="str">
        <f>IFERROR(__xludf.DUMMYFUNCTION("""COMPUTED_VALUE"""),"projection-area-of-3d-shapes")</f>
        <v>projection-area-of-3d-shapes</v>
      </c>
      <c r="D884" s="35" t="b">
        <f>IFERROR(__xludf.DUMMYFUNCTION("""COMPUTED_VALUE"""),FALSE)</f>
        <v>0</v>
      </c>
      <c r="E884" s="35" t="str">
        <f>IFERROR(__xludf.DUMMYFUNCTION("""COMPUTED_VALUE"""),"Easy")</f>
        <v>Easy</v>
      </c>
      <c r="F884" s="35">
        <f>IFERROR(__xludf.DUMMYFUNCTION("""COMPUTED_VALUE"""),383.0)</f>
        <v>383</v>
      </c>
      <c r="G884" s="35">
        <f>IFERROR(__xludf.DUMMYFUNCTION("""COMPUTED_VALUE"""),1122.0)</f>
        <v>1122</v>
      </c>
      <c r="H884" s="35" t="str">
        <f>IFERROR(__xludf.DUMMYFUNCTION("""COMPUTED_VALUE"""),"Algorithms")</f>
        <v>Algorithms</v>
      </c>
      <c r="I884" s="35">
        <f>IFERROR(__xludf.DUMMYFUNCTION("""COMPUTED_VALUE"""),0.699)</f>
        <v>0.699</v>
      </c>
      <c r="J884" s="35">
        <f>IFERROR(__xludf.DUMMYFUNCTION("""COMPUTED_VALUE"""),883.0)</f>
        <v>883</v>
      </c>
      <c r="K884" s="35" t="b">
        <f>IFERROR(__xludf.DUMMYFUNCTION("""COMPUTED_VALUE"""),FALSE)</f>
        <v>0</v>
      </c>
      <c r="L884" s="35" t="str">
        <f>IFERROR(__xludf.DUMMYFUNCTION("""COMPUTED_VALUE"""),"Array;Math;Geometry;Matrix;")</f>
        <v>Array;Math;Geometry;Matrix;</v>
      </c>
      <c r="M884" s="35" t="b">
        <f>IFERROR(__xludf.DUMMYFUNCTION("""COMPUTED_VALUE"""),TRUE)</f>
        <v>1</v>
      </c>
      <c r="N884" s="35" t="b">
        <f>IFERROR(__xludf.DUMMYFUNCTION("""COMPUTED_VALUE"""),FALSE)</f>
        <v>0</v>
      </c>
      <c r="O884" s="35">
        <f>IFERROR(__xludf.DUMMYFUNCTION("""COMPUTED_VALUE"""),69.8727366054834)</f>
        <v>69.87273661</v>
      </c>
      <c r="P884" s="35">
        <f>IFERROR(__xludf.DUMMYFUNCTION("""COMPUTED_VALUE"""),39476.0)</f>
        <v>39476</v>
      </c>
      <c r="Q884" s="35">
        <f>IFERROR(__xludf.DUMMYFUNCTION("""COMPUTED_VALUE"""),56497.0)</f>
        <v>56497</v>
      </c>
    </row>
    <row r="885">
      <c r="A885" s="35">
        <f>IFERROR(__xludf.DUMMYFUNCTION("""COMPUTED_VALUE"""),920.0)</f>
        <v>920</v>
      </c>
      <c r="B885" s="35" t="str">
        <f>IFERROR(__xludf.DUMMYFUNCTION("""COMPUTED_VALUE"""),"Uncommon Words from Two Sentences")</f>
        <v>Uncommon Words from Two Sentences</v>
      </c>
      <c r="C885" s="35" t="str">
        <f>IFERROR(__xludf.DUMMYFUNCTION("""COMPUTED_VALUE"""),"uncommon-words-from-two-sentences")</f>
        <v>uncommon-words-from-two-sentences</v>
      </c>
      <c r="D885" s="35" t="b">
        <f>IFERROR(__xludf.DUMMYFUNCTION("""COMPUTED_VALUE"""),FALSE)</f>
        <v>0</v>
      </c>
      <c r="E885" s="35" t="str">
        <f>IFERROR(__xludf.DUMMYFUNCTION("""COMPUTED_VALUE"""),"Easy")</f>
        <v>Easy</v>
      </c>
      <c r="F885" s="35">
        <f>IFERROR(__xludf.DUMMYFUNCTION("""COMPUTED_VALUE"""),865.0)</f>
        <v>865</v>
      </c>
      <c r="G885" s="35">
        <f>IFERROR(__xludf.DUMMYFUNCTION("""COMPUTED_VALUE"""),133.0)</f>
        <v>133</v>
      </c>
      <c r="H885" s="35" t="str">
        <f>IFERROR(__xludf.DUMMYFUNCTION("""COMPUTED_VALUE"""),"Algorithms")</f>
        <v>Algorithms</v>
      </c>
      <c r="I885" s="35">
        <f>IFERROR(__xludf.DUMMYFUNCTION("""COMPUTED_VALUE"""),0.654)</f>
        <v>0.654</v>
      </c>
      <c r="J885" s="35">
        <f>IFERROR(__xludf.DUMMYFUNCTION("""COMPUTED_VALUE"""),884.0)</f>
        <v>884</v>
      </c>
      <c r="K885" s="35" t="b">
        <f>IFERROR(__xludf.DUMMYFUNCTION("""COMPUTED_VALUE"""),FALSE)</f>
        <v>0</v>
      </c>
      <c r="L885" s="35" t="str">
        <f>IFERROR(__xludf.DUMMYFUNCTION("""COMPUTED_VALUE"""),"Hash Table;String;")</f>
        <v>Hash Table;String;</v>
      </c>
      <c r="M885" s="35" t="b">
        <f>IFERROR(__xludf.DUMMYFUNCTION("""COMPUTED_VALUE"""),TRUE)</f>
        <v>1</v>
      </c>
      <c r="N885" s="35" t="b">
        <f>IFERROR(__xludf.DUMMYFUNCTION("""COMPUTED_VALUE"""),FALSE)</f>
        <v>0</v>
      </c>
      <c r="O885" s="35">
        <f>IFERROR(__xludf.DUMMYFUNCTION("""COMPUTED_VALUE"""),65.4200477990217)</f>
        <v>65.4200478</v>
      </c>
      <c r="P885" s="35">
        <f>IFERROR(__xludf.DUMMYFUNCTION("""COMPUTED_VALUE"""),94161.0)</f>
        <v>94161</v>
      </c>
      <c r="Q885" s="35">
        <f>IFERROR(__xludf.DUMMYFUNCTION("""COMPUTED_VALUE"""),143933.0)</f>
        <v>143933</v>
      </c>
    </row>
    <row r="886">
      <c r="A886" s="35">
        <f>IFERROR(__xludf.DUMMYFUNCTION("""COMPUTED_VALUE"""),921.0)</f>
        <v>921</v>
      </c>
      <c r="B886" s="35" t="str">
        <f>IFERROR(__xludf.DUMMYFUNCTION("""COMPUTED_VALUE"""),"Spiral Matrix III")</f>
        <v>Spiral Matrix III</v>
      </c>
      <c r="C886" s="35" t="str">
        <f>IFERROR(__xludf.DUMMYFUNCTION("""COMPUTED_VALUE"""),"spiral-matrix-iii")</f>
        <v>spiral-matrix-iii</v>
      </c>
      <c r="D886" s="35" t="b">
        <f>IFERROR(__xludf.DUMMYFUNCTION("""COMPUTED_VALUE"""),FALSE)</f>
        <v>0</v>
      </c>
      <c r="E886" s="35" t="str">
        <f>IFERROR(__xludf.DUMMYFUNCTION("""COMPUTED_VALUE"""),"Medium")</f>
        <v>Medium</v>
      </c>
      <c r="F886" s="35">
        <f>IFERROR(__xludf.DUMMYFUNCTION("""COMPUTED_VALUE"""),480.0)</f>
        <v>480</v>
      </c>
      <c r="G886" s="35">
        <f>IFERROR(__xludf.DUMMYFUNCTION("""COMPUTED_VALUE"""),515.0)</f>
        <v>515</v>
      </c>
      <c r="H886" s="35" t="str">
        <f>IFERROR(__xludf.DUMMYFUNCTION("""COMPUTED_VALUE"""),"Algorithms")</f>
        <v>Algorithms</v>
      </c>
      <c r="I886" s="35">
        <f>IFERROR(__xludf.DUMMYFUNCTION("""COMPUTED_VALUE"""),0.722)</f>
        <v>0.722</v>
      </c>
      <c r="J886" s="35">
        <f>IFERROR(__xludf.DUMMYFUNCTION("""COMPUTED_VALUE"""),885.0)</f>
        <v>885</v>
      </c>
      <c r="K886" s="35" t="b">
        <f>IFERROR(__xludf.DUMMYFUNCTION("""COMPUTED_VALUE"""),FALSE)</f>
        <v>0</v>
      </c>
      <c r="L886" s="35" t="str">
        <f>IFERROR(__xludf.DUMMYFUNCTION("""COMPUTED_VALUE"""),"Array;Matrix;Simulation;")</f>
        <v>Array;Matrix;Simulation;</v>
      </c>
      <c r="M886" s="35" t="b">
        <f>IFERROR(__xludf.DUMMYFUNCTION("""COMPUTED_VALUE"""),TRUE)</f>
        <v>1</v>
      </c>
      <c r="N886" s="35" t="b">
        <f>IFERROR(__xludf.DUMMYFUNCTION("""COMPUTED_VALUE"""),FALSE)</f>
        <v>0</v>
      </c>
      <c r="O886" s="35">
        <f>IFERROR(__xludf.DUMMYFUNCTION("""COMPUTED_VALUE"""),72.2133004817739)</f>
        <v>72.21330048</v>
      </c>
      <c r="P886" s="35">
        <f>IFERROR(__xludf.DUMMYFUNCTION("""COMPUTED_VALUE"""),32825.0)</f>
        <v>32825</v>
      </c>
      <c r="Q886" s="35">
        <f>IFERROR(__xludf.DUMMYFUNCTION("""COMPUTED_VALUE"""),45456.0)</f>
        <v>45456</v>
      </c>
    </row>
    <row r="887">
      <c r="A887" s="35">
        <f>IFERROR(__xludf.DUMMYFUNCTION("""COMPUTED_VALUE"""),922.0)</f>
        <v>922</v>
      </c>
      <c r="B887" s="35" t="str">
        <f>IFERROR(__xludf.DUMMYFUNCTION("""COMPUTED_VALUE"""),"Possible Bipartition")</f>
        <v>Possible Bipartition</v>
      </c>
      <c r="C887" s="35" t="str">
        <f>IFERROR(__xludf.DUMMYFUNCTION("""COMPUTED_VALUE"""),"possible-bipartition")</f>
        <v>possible-bipartition</v>
      </c>
      <c r="D887" s="35" t="b">
        <f>IFERROR(__xludf.DUMMYFUNCTION("""COMPUTED_VALUE"""),FALSE)</f>
        <v>0</v>
      </c>
      <c r="E887" s="35" t="str">
        <f>IFERROR(__xludf.DUMMYFUNCTION("""COMPUTED_VALUE"""),"Medium")</f>
        <v>Medium</v>
      </c>
      <c r="F887" s="35">
        <f>IFERROR(__xludf.DUMMYFUNCTION("""COMPUTED_VALUE"""),2128.0)</f>
        <v>2128</v>
      </c>
      <c r="G887" s="35">
        <f>IFERROR(__xludf.DUMMYFUNCTION("""COMPUTED_VALUE"""),51.0)</f>
        <v>51</v>
      </c>
      <c r="H887" s="35" t="str">
        <f>IFERROR(__xludf.DUMMYFUNCTION("""COMPUTED_VALUE"""),"Algorithms")</f>
        <v>Algorithms</v>
      </c>
      <c r="I887" s="35">
        <f>IFERROR(__xludf.DUMMYFUNCTION("""COMPUTED_VALUE"""),0.469)</f>
        <v>0.469</v>
      </c>
      <c r="J887" s="35">
        <f>IFERROR(__xludf.DUMMYFUNCTION("""COMPUTED_VALUE"""),886.0)</f>
        <v>886</v>
      </c>
      <c r="K887" s="35" t="b">
        <f>IFERROR(__xludf.DUMMYFUNCTION("""COMPUTED_VALUE"""),FALSE)</f>
        <v>0</v>
      </c>
      <c r="L887" s="35" t="str">
        <f>IFERROR(__xludf.DUMMYFUNCTION("""COMPUTED_VALUE"""),"Depth-First Search;Breadth-First Search;Union Find;Graph;")</f>
        <v>Depth-First Search;Breadth-First Search;Union Find;Graph;</v>
      </c>
      <c r="M887" s="35" t="b">
        <f>IFERROR(__xludf.DUMMYFUNCTION("""COMPUTED_VALUE"""),FALSE)</f>
        <v>0</v>
      </c>
      <c r="N887" s="35" t="b">
        <f>IFERROR(__xludf.DUMMYFUNCTION("""COMPUTED_VALUE"""),FALSE)</f>
        <v>0</v>
      </c>
      <c r="O887" s="35">
        <f>IFERROR(__xludf.DUMMYFUNCTION("""COMPUTED_VALUE"""),46.9219334666051)</f>
        <v>46.92193347</v>
      </c>
      <c r="P887" s="35">
        <f>IFERROR(__xludf.DUMMYFUNCTION("""COMPUTED_VALUE"""),100693.0)</f>
        <v>100693</v>
      </c>
      <c r="Q887" s="35">
        <f>IFERROR(__xludf.DUMMYFUNCTION("""COMPUTED_VALUE"""),214598.0)</f>
        <v>214598</v>
      </c>
    </row>
    <row r="888">
      <c r="A888" s="35">
        <f>IFERROR(__xludf.DUMMYFUNCTION("""COMPUTED_VALUE"""),923.0)</f>
        <v>923</v>
      </c>
      <c r="B888" s="35" t="str">
        <f>IFERROR(__xludf.DUMMYFUNCTION("""COMPUTED_VALUE"""),"Super Egg Drop")</f>
        <v>Super Egg Drop</v>
      </c>
      <c r="C888" s="35" t="str">
        <f>IFERROR(__xludf.DUMMYFUNCTION("""COMPUTED_VALUE"""),"super-egg-drop")</f>
        <v>super-egg-drop</v>
      </c>
      <c r="D888" s="35" t="b">
        <f>IFERROR(__xludf.DUMMYFUNCTION("""COMPUTED_VALUE"""),FALSE)</f>
        <v>0</v>
      </c>
      <c r="E888" s="35" t="str">
        <f>IFERROR(__xludf.DUMMYFUNCTION("""COMPUTED_VALUE"""),"Hard")</f>
        <v>Hard</v>
      </c>
      <c r="F888" s="35">
        <f>IFERROR(__xludf.DUMMYFUNCTION("""COMPUTED_VALUE"""),2256.0)</f>
        <v>2256</v>
      </c>
      <c r="G888" s="35">
        <f>IFERROR(__xludf.DUMMYFUNCTION("""COMPUTED_VALUE"""),121.0)</f>
        <v>121</v>
      </c>
      <c r="H888" s="35" t="str">
        <f>IFERROR(__xludf.DUMMYFUNCTION("""COMPUTED_VALUE"""),"Algorithms")</f>
        <v>Algorithms</v>
      </c>
      <c r="I888" s="35">
        <f>IFERROR(__xludf.DUMMYFUNCTION("""COMPUTED_VALUE"""),0.271)</f>
        <v>0.271</v>
      </c>
      <c r="J888" s="35">
        <f>IFERROR(__xludf.DUMMYFUNCTION("""COMPUTED_VALUE"""),887.0)</f>
        <v>887</v>
      </c>
      <c r="K888" s="35" t="b">
        <f>IFERROR(__xludf.DUMMYFUNCTION("""COMPUTED_VALUE"""),FALSE)</f>
        <v>0</v>
      </c>
      <c r="L888" s="35" t="str">
        <f>IFERROR(__xludf.DUMMYFUNCTION("""COMPUTED_VALUE"""),"Math;Binary Search;Dynamic Programming;")</f>
        <v>Math;Binary Search;Dynamic Programming;</v>
      </c>
      <c r="M888" s="35" t="b">
        <f>IFERROR(__xludf.DUMMYFUNCTION("""COMPUTED_VALUE"""),TRUE)</f>
        <v>1</v>
      </c>
      <c r="N888" s="35" t="b">
        <f>IFERROR(__xludf.DUMMYFUNCTION("""COMPUTED_VALUE"""),FALSE)</f>
        <v>0</v>
      </c>
      <c r="O888" s="35">
        <f>IFERROR(__xludf.DUMMYFUNCTION("""COMPUTED_VALUE"""),27.1476159822003)</f>
        <v>27.14761598</v>
      </c>
      <c r="P888" s="35">
        <f>IFERROR(__xludf.DUMMYFUNCTION("""COMPUTED_VALUE"""),43437.0)</f>
        <v>43437</v>
      </c>
      <c r="Q888" s="35">
        <f>IFERROR(__xludf.DUMMYFUNCTION("""COMPUTED_VALUE"""),159997.0)</f>
        <v>159997</v>
      </c>
    </row>
    <row r="889">
      <c r="A889" s="35">
        <f>IFERROR(__xludf.DUMMYFUNCTION("""COMPUTED_VALUE"""),924.0)</f>
        <v>924</v>
      </c>
      <c r="B889" s="35" t="str">
        <f>IFERROR(__xludf.DUMMYFUNCTION("""COMPUTED_VALUE"""),"Fair Candy Swap")</f>
        <v>Fair Candy Swap</v>
      </c>
      <c r="C889" s="35" t="str">
        <f>IFERROR(__xludf.DUMMYFUNCTION("""COMPUTED_VALUE"""),"fair-candy-swap")</f>
        <v>fair-candy-swap</v>
      </c>
      <c r="D889" s="35" t="b">
        <f>IFERROR(__xludf.DUMMYFUNCTION("""COMPUTED_VALUE"""),FALSE)</f>
        <v>0</v>
      </c>
      <c r="E889" s="35" t="str">
        <f>IFERROR(__xludf.DUMMYFUNCTION("""COMPUTED_VALUE"""),"Easy")</f>
        <v>Easy</v>
      </c>
      <c r="F889" s="35">
        <f>IFERROR(__xludf.DUMMYFUNCTION("""COMPUTED_VALUE"""),1191.0)</f>
        <v>1191</v>
      </c>
      <c r="G889" s="35">
        <f>IFERROR(__xludf.DUMMYFUNCTION("""COMPUTED_VALUE"""),220.0)</f>
        <v>220</v>
      </c>
      <c r="H889" s="35" t="str">
        <f>IFERROR(__xludf.DUMMYFUNCTION("""COMPUTED_VALUE"""),"Algorithms")</f>
        <v>Algorithms</v>
      </c>
      <c r="I889" s="35">
        <f>IFERROR(__xludf.DUMMYFUNCTION("""COMPUTED_VALUE"""),0.604)</f>
        <v>0.604</v>
      </c>
      <c r="J889" s="35">
        <f>IFERROR(__xludf.DUMMYFUNCTION("""COMPUTED_VALUE"""),888.0)</f>
        <v>888</v>
      </c>
      <c r="K889" s="35" t="b">
        <f>IFERROR(__xludf.DUMMYFUNCTION("""COMPUTED_VALUE"""),FALSE)</f>
        <v>0</v>
      </c>
      <c r="L889" s="35" t="str">
        <f>IFERROR(__xludf.DUMMYFUNCTION("""COMPUTED_VALUE"""),"Array;Hash Table;Binary Search;Sorting;")</f>
        <v>Array;Hash Table;Binary Search;Sorting;</v>
      </c>
      <c r="M889" s="35" t="b">
        <f>IFERROR(__xludf.DUMMYFUNCTION("""COMPUTED_VALUE"""),TRUE)</f>
        <v>1</v>
      </c>
      <c r="N889" s="35" t="b">
        <f>IFERROR(__xludf.DUMMYFUNCTION("""COMPUTED_VALUE"""),FALSE)</f>
        <v>0</v>
      </c>
      <c r="O889" s="35">
        <f>IFERROR(__xludf.DUMMYFUNCTION("""COMPUTED_VALUE"""),60.375852728347)</f>
        <v>60.37585273</v>
      </c>
      <c r="P889" s="35">
        <f>IFERROR(__xludf.DUMMYFUNCTION("""COMPUTED_VALUE"""),78680.0)</f>
        <v>78680</v>
      </c>
      <c r="Q889" s="35">
        <f>IFERROR(__xludf.DUMMYFUNCTION("""COMPUTED_VALUE"""),130317.0)</f>
        <v>130317</v>
      </c>
    </row>
    <row r="890">
      <c r="A890" s="35">
        <f>IFERROR(__xludf.DUMMYFUNCTION("""COMPUTED_VALUE"""),925.0)</f>
        <v>925</v>
      </c>
      <c r="B890" s="35" t="str">
        <f>IFERROR(__xludf.DUMMYFUNCTION("""COMPUTED_VALUE"""),"Construct Binary Tree from Preorder and Postorder Traversal")</f>
        <v>Construct Binary Tree from Preorder and Postorder Traversal</v>
      </c>
      <c r="C890" s="35" t="str">
        <f>IFERROR(__xludf.DUMMYFUNCTION("""COMPUTED_VALUE"""),"construct-binary-tree-from-preorder-and-postorder-traversal")</f>
        <v>construct-binary-tree-from-preorder-and-postorder-traversal</v>
      </c>
      <c r="D890" s="35" t="b">
        <f>IFERROR(__xludf.DUMMYFUNCTION("""COMPUTED_VALUE"""),FALSE)</f>
        <v>0</v>
      </c>
      <c r="E890" s="35" t="str">
        <f>IFERROR(__xludf.DUMMYFUNCTION("""COMPUTED_VALUE"""),"Medium")</f>
        <v>Medium</v>
      </c>
      <c r="F890" s="35">
        <f>IFERROR(__xludf.DUMMYFUNCTION("""COMPUTED_VALUE"""),1780.0)</f>
        <v>1780</v>
      </c>
      <c r="G890" s="35">
        <f>IFERROR(__xludf.DUMMYFUNCTION("""COMPUTED_VALUE"""),82.0)</f>
        <v>82</v>
      </c>
      <c r="H890" s="35" t="str">
        <f>IFERROR(__xludf.DUMMYFUNCTION("""COMPUTED_VALUE"""),"Algorithms")</f>
        <v>Algorithms</v>
      </c>
      <c r="I890" s="35">
        <f>IFERROR(__xludf.DUMMYFUNCTION("""COMPUTED_VALUE"""),0.698)</f>
        <v>0.698</v>
      </c>
      <c r="J890" s="35">
        <f>IFERROR(__xludf.DUMMYFUNCTION("""COMPUTED_VALUE"""),889.0)</f>
        <v>889</v>
      </c>
      <c r="K890" s="35" t="b">
        <f>IFERROR(__xludf.DUMMYFUNCTION("""COMPUTED_VALUE"""),FALSE)</f>
        <v>0</v>
      </c>
      <c r="L890" s="35" t="str">
        <f>IFERROR(__xludf.DUMMYFUNCTION("""COMPUTED_VALUE"""),"Array;Hash Table;Divide and Conquer;Tree;Binary Tree;")</f>
        <v>Array;Hash Table;Divide and Conquer;Tree;Binary Tree;</v>
      </c>
      <c r="M890" s="35" t="b">
        <f>IFERROR(__xludf.DUMMYFUNCTION("""COMPUTED_VALUE"""),FALSE)</f>
        <v>0</v>
      </c>
      <c r="N890" s="35" t="b">
        <f>IFERROR(__xludf.DUMMYFUNCTION("""COMPUTED_VALUE"""),FALSE)</f>
        <v>0</v>
      </c>
      <c r="O890" s="35">
        <f>IFERROR(__xludf.DUMMYFUNCTION("""COMPUTED_VALUE"""),69.7527752343131)</f>
        <v>69.75277523</v>
      </c>
      <c r="P890" s="35">
        <f>IFERROR(__xludf.DUMMYFUNCTION("""COMPUTED_VALUE"""),67799.0)</f>
        <v>67799</v>
      </c>
      <c r="Q890" s="35">
        <f>IFERROR(__xludf.DUMMYFUNCTION("""COMPUTED_VALUE"""),97199.0)</f>
        <v>97199</v>
      </c>
    </row>
    <row r="891">
      <c r="A891" s="35">
        <f>IFERROR(__xludf.DUMMYFUNCTION("""COMPUTED_VALUE"""),926.0)</f>
        <v>926</v>
      </c>
      <c r="B891" s="35" t="str">
        <f>IFERROR(__xludf.DUMMYFUNCTION("""COMPUTED_VALUE"""),"Find and Replace Pattern")</f>
        <v>Find and Replace Pattern</v>
      </c>
      <c r="C891" s="35" t="str">
        <f>IFERROR(__xludf.DUMMYFUNCTION("""COMPUTED_VALUE"""),"find-and-replace-pattern")</f>
        <v>find-and-replace-pattern</v>
      </c>
      <c r="D891" s="35" t="b">
        <f>IFERROR(__xludf.DUMMYFUNCTION("""COMPUTED_VALUE"""),FALSE)</f>
        <v>0</v>
      </c>
      <c r="E891" s="35" t="str">
        <f>IFERROR(__xludf.DUMMYFUNCTION("""COMPUTED_VALUE"""),"Medium")</f>
        <v>Medium</v>
      </c>
      <c r="F891" s="35">
        <f>IFERROR(__xludf.DUMMYFUNCTION("""COMPUTED_VALUE"""),1739.0)</f>
        <v>1739</v>
      </c>
      <c r="G891" s="35">
        <f>IFERROR(__xludf.DUMMYFUNCTION("""COMPUTED_VALUE"""),115.0)</f>
        <v>115</v>
      </c>
      <c r="H891" s="35" t="str">
        <f>IFERROR(__xludf.DUMMYFUNCTION("""COMPUTED_VALUE"""),"Algorithms")</f>
        <v>Algorithms</v>
      </c>
      <c r="I891" s="35">
        <f>IFERROR(__xludf.DUMMYFUNCTION("""COMPUTED_VALUE"""),0.756)</f>
        <v>0.756</v>
      </c>
      <c r="J891" s="35">
        <f>IFERROR(__xludf.DUMMYFUNCTION("""COMPUTED_VALUE"""),890.0)</f>
        <v>890</v>
      </c>
      <c r="K891" s="35" t="b">
        <f>IFERROR(__xludf.DUMMYFUNCTION("""COMPUTED_VALUE"""),FALSE)</f>
        <v>0</v>
      </c>
      <c r="L891" s="35" t="str">
        <f>IFERROR(__xludf.DUMMYFUNCTION("""COMPUTED_VALUE"""),"Array;Hash Table;String;")</f>
        <v>Array;Hash Table;String;</v>
      </c>
      <c r="M891" s="35" t="b">
        <f>IFERROR(__xludf.DUMMYFUNCTION("""COMPUTED_VALUE"""),TRUE)</f>
        <v>1</v>
      </c>
      <c r="N891" s="35" t="b">
        <f>IFERROR(__xludf.DUMMYFUNCTION("""COMPUTED_VALUE"""),FALSE)</f>
        <v>0</v>
      </c>
      <c r="O891" s="35">
        <f>IFERROR(__xludf.DUMMYFUNCTION("""COMPUTED_VALUE"""),75.5857910645652)</f>
        <v>75.58579106</v>
      </c>
      <c r="P891" s="35">
        <f>IFERROR(__xludf.DUMMYFUNCTION("""COMPUTED_VALUE"""),95771.0)</f>
        <v>95771</v>
      </c>
      <c r="Q891" s="35">
        <f>IFERROR(__xludf.DUMMYFUNCTION("""COMPUTED_VALUE"""),126706.0)</f>
        <v>126706</v>
      </c>
    </row>
    <row r="892">
      <c r="A892" s="35">
        <f>IFERROR(__xludf.DUMMYFUNCTION("""COMPUTED_VALUE"""),927.0)</f>
        <v>927</v>
      </c>
      <c r="B892" s="35" t="str">
        <f>IFERROR(__xludf.DUMMYFUNCTION("""COMPUTED_VALUE"""),"Sum of Subsequence Widths")</f>
        <v>Sum of Subsequence Widths</v>
      </c>
      <c r="C892" s="35" t="str">
        <f>IFERROR(__xludf.DUMMYFUNCTION("""COMPUTED_VALUE"""),"sum-of-subsequence-widths")</f>
        <v>sum-of-subsequence-widths</v>
      </c>
      <c r="D892" s="35" t="b">
        <f>IFERROR(__xludf.DUMMYFUNCTION("""COMPUTED_VALUE"""),FALSE)</f>
        <v>0</v>
      </c>
      <c r="E892" s="35" t="str">
        <f>IFERROR(__xludf.DUMMYFUNCTION("""COMPUTED_VALUE"""),"Hard")</f>
        <v>Hard</v>
      </c>
      <c r="F892" s="35">
        <f>IFERROR(__xludf.DUMMYFUNCTION("""COMPUTED_VALUE"""),475.0)</f>
        <v>475</v>
      </c>
      <c r="G892" s="35">
        <f>IFERROR(__xludf.DUMMYFUNCTION("""COMPUTED_VALUE"""),137.0)</f>
        <v>137</v>
      </c>
      <c r="H892" s="35" t="str">
        <f>IFERROR(__xludf.DUMMYFUNCTION("""COMPUTED_VALUE"""),"Algorithms")</f>
        <v>Algorithms</v>
      </c>
      <c r="I892" s="35">
        <f>IFERROR(__xludf.DUMMYFUNCTION("""COMPUTED_VALUE"""),0.351)</f>
        <v>0.351</v>
      </c>
      <c r="J892" s="35">
        <f>IFERROR(__xludf.DUMMYFUNCTION("""COMPUTED_VALUE"""),891.0)</f>
        <v>891</v>
      </c>
      <c r="K892" s="35" t="b">
        <f>IFERROR(__xludf.DUMMYFUNCTION("""COMPUTED_VALUE"""),FALSE)</f>
        <v>0</v>
      </c>
      <c r="L892" s="35" t="str">
        <f>IFERROR(__xludf.DUMMYFUNCTION("""COMPUTED_VALUE"""),"Array;Math;Sorting;")</f>
        <v>Array;Math;Sorting;</v>
      </c>
      <c r="M892" s="35" t="b">
        <f>IFERROR(__xludf.DUMMYFUNCTION("""COMPUTED_VALUE"""),TRUE)</f>
        <v>1</v>
      </c>
      <c r="N892" s="35" t="b">
        <f>IFERROR(__xludf.DUMMYFUNCTION("""COMPUTED_VALUE"""),FALSE)</f>
        <v>0</v>
      </c>
      <c r="O892" s="35">
        <f>IFERROR(__xludf.DUMMYFUNCTION("""COMPUTED_VALUE"""),35.1427393339639)</f>
        <v>35.14273933</v>
      </c>
      <c r="P892" s="35">
        <f>IFERROR(__xludf.DUMMYFUNCTION("""COMPUTED_VALUE"""),14489.0)</f>
        <v>14489</v>
      </c>
      <c r="Q892" s="35">
        <f>IFERROR(__xludf.DUMMYFUNCTION("""COMPUTED_VALUE"""),41229.0)</f>
        <v>41229</v>
      </c>
    </row>
    <row r="893">
      <c r="A893" s="35">
        <f>IFERROR(__xludf.DUMMYFUNCTION("""COMPUTED_VALUE"""),928.0)</f>
        <v>928</v>
      </c>
      <c r="B893" s="35" t="str">
        <f>IFERROR(__xludf.DUMMYFUNCTION("""COMPUTED_VALUE"""),"Surface Area of 3D Shapes")</f>
        <v>Surface Area of 3D Shapes</v>
      </c>
      <c r="C893" s="35" t="str">
        <f>IFERROR(__xludf.DUMMYFUNCTION("""COMPUTED_VALUE"""),"surface-area-of-3d-shapes")</f>
        <v>surface-area-of-3d-shapes</v>
      </c>
      <c r="D893" s="35" t="b">
        <f>IFERROR(__xludf.DUMMYFUNCTION("""COMPUTED_VALUE"""),FALSE)</f>
        <v>0</v>
      </c>
      <c r="E893" s="35" t="str">
        <f>IFERROR(__xludf.DUMMYFUNCTION("""COMPUTED_VALUE"""),"Easy")</f>
        <v>Easy</v>
      </c>
      <c r="F893" s="35">
        <f>IFERROR(__xludf.DUMMYFUNCTION("""COMPUTED_VALUE"""),393.0)</f>
        <v>393</v>
      </c>
      <c r="G893" s="35">
        <f>IFERROR(__xludf.DUMMYFUNCTION("""COMPUTED_VALUE"""),555.0)</f>
        <v>555</v>
      </c>
      <c r="H893" s="35" t="str">
        <f>IFERROR(__xludf.DUMMYFUNCTION("""COMPUTED_VALUE"""),"Algorithms")</f>
        <v>Algorithms</v>
      </c>
      <c r="I893" s="35">
        <f>IFERROR(__xludf.DUMMYFUNCTION("""COMPUTED_VALUE"""),0.616)</f>
        <v>0.616</v>
      </c>
      <c r="J893" s="35">
        <f>IFERROR(__xludf.DUMMYFUNCTION("""COMPUTED_VALUE"""),892.0)</f>
        <v>892</v>
      </c>
      <c r="K893" s="35" t="b">
        <f>IFERROR(__xludf.DUMMYFUNCTION("""COMPUTED_VALUE"""),FALSE)</f>
        <v>0</v>
      </c>
      <c r="L893" s="35" t="str">
        <f>IFERROR(__xludf.DUMMYFUNCTION("""COMPUTED_VALUE"""),"Array;Math;Geometry;Matrix;")</f>
        <v>Array;Math;Geometry;Matrix;</v>
      </c>
      <c r="M893" s="35" t="b">
        <f>IFERROR(__xludf.DUMMYFUNCTION("""COMPUTED_VALUE"""),FALSE)</f>
        <v>0</v>
      </c>
      <c r="N893" s="35" t="b">
        <f>IFERROR(__xludf.DUMMYFUNCTION("""COMPUTED_VALUE"""),FALSE)</f>
        <v>0</v>
      </c>
      <c r="O893" s="35">
        <f>IFERROR(__xludf.DUMMYFUNCTION("""COMPUTED_VALUE"""),61.5739815739815)</f>
        <v>61.57398157</v>
      </c>
      <c r="P893" s="35">
        <f>IFERROR(__xludf.DUMMYFUNCTION("""COMPUTED_VALUE"""),27736.0)</f>
        <v>27736</v>
      </c>
      <c r="Q893" s="35">
        <f>IFERROR(__xludf.DUMMYFUNCTION("""COMPUTED_VALUE"""),45044.0)</f>
        <v>45044</v>
      </c>
    </row>
    <row r="894">
      <c r="A894" s="35">
        <f>IFERROR(__xludf.DUMMYFUNCTION("""COMPUTED_VALUE"""),929.0)</f>
        <v>929</v>
      </c>
      <c r="B894" s="35" t="str">
        <f>IFERROR(__xludf.DUMMYFUNCTION("""COMPUTED_VALUE"""),"Groups of Special-Equivalent Strings")</f>
        <v>Groups of Special-Equivalent Strings</v>
      </c>
      <c r="C894" s="35" t="str">
        <f>IFERROR(__xludf.DUMMYFUNCTION("""COMPUTED_VALUE"""),"groups-of-special-equivalent-strings")</f>
        <v>groups-of-special-equivalent-strings</v>
      </c>
      <c r="D894" s="35" t="b">
        <f>IFERROR(__xludf.DUMMYFUNCTION("""COMPUTED_VALUE"""),FALSE)</f>
        <v>0</v>
      </c>
      <c r="E894" s="35" t="str">
        <f>IFERROR(__xludf.DUMMYFUNCTION("""COMPUTED_VALUE"""),"Medium")</f>
        <v>Medium</v>
      </c>
      <c r="F894" s="35">
        <f>IFERROR(__xludf.DUMMYFUNCTION("""COMPUTED_VALUE"""),423.0)</f>
        <v>423</v>
      </c>
      <c r="G894" s="35">
        <f>IFERROR(__xludf.DUMMYFUNCTION("""COMPUTED_VALUE"""),1379.0)</f>
        <v>1379</v>
      </c>
      <c r="H894" s="35" t="str">
        <f>IFERROR(__xludf.DUMMYFUNCTION("""COMPUTED_VALUE"""),"Algorithms")</f>
        <v>Algorithms</v>
      </c>
      <c r="I894" s="35">
        <f>IFERROR(__xludf.DUMMYFUNCTION("""COMPUTED_VALUE"""),0.704)</f>
        <v>0.704</v>
      </c>
      <c r="J894" s="35">
        <f>IFERROR(__xludf.DUMMYFUNCTION("""COMPUTED_VALUE"""),893.0)</f>
        <v>893</v>
      </c>
      <c r="K894" s="35" t="b">
        <f>IFERROR(__xludf.DUMMYFUNCTION("""COMPUTED_VALUE"""),FALSE)</f>
        <v>0</v>
      </c>
      <c r="L894" s="35" t="str">
        <f>IFERROR(__xludf.DUMMYFUNCTION("""COMPUTED_VALUE"""),"Array;Hash Table;String;")</f>
        <v>Array;Hash Table;String;</v>
      </c>
      <c r="M894" s="35" t="b">
        <f>IFERROR(__xludf.DUMMYFUNCTION("""COMPUTED_VALUE"""),FALSE)</f>
        <v>0</v>
      </c>
      <c r="N894" s="35" t="b">
        <f>IFERROR(__xludf.DUMMYFUNCTION("""COMPUTED_VALUE"""),FALSE)</f>
        <v>0</v>
      </c>
      <c r="O894" s="35">
        <f>IFERROR(__xludf.DUMMYFUNCTION("""COMPUTED_VALUE"""),70.4383176108823)</f>
        <v>70.43831761</v>
      </c>
      <c r="P894" s="35">
        <f>IFERROR(__xludf.DUMMYFUNCTION("""COMPUTED_VALUE"""),40545.0)</f>
        <v>40545</v>
      </c>
      <c r="Q894" s="35">
        <f>IFERROR(__xludf.DUMMYFUNCTION("""COMPUTED_VALUE"""),57561.0)</f>
        <v>57561</v>
      </c>
    </row>
    <row r="895">
      <c r="A895" s="35">
        <f>IFERROR(__xludf.DUMMYFUNCTION("""COMPUTED_VALUE"""),930.0)</f>
        <v>930</v>
      </c>
      <c r="B895" s="35" t="str">
        <f>IFERROR(__xludf.DUMMYFUNCTION("""COMPUTED_VALUE"""),"All Possible Full Binary Trees")</f>
        <v>All Possible Full Binary Trees</v>
      </c>
      <c r="C895" s="35" t="str">
        <f>IFERROR(__xludf.DUMMYFUNCTION("""COMPUTED_VALUE"""),"all-possible-full-binary-trees")</f>
        <v>all-possible-full-binary-trees</v>
      </c>
      <c r="D895" s="35" t="b">
        <f>IFERROR(__xludf.DUMMYFUNCTION("""COMPUTED_VALUE"""),FALSE)</f>
        <v>0</v>
      </c>
      <c r="E895" s="35" t="str">
        <f>IFERROR(__xludf.DUMMYFUNCTION("""COMPUTED_VALUE"""),"Medium")</f>
        <v>Medium</v>
      </c>
      <c r="F895" s="35">
        <f>IFERROR(__xludf.DUMMYFUNCTION("""COMPUTED_VALUE"""),2434.0)</f>
        <v>2434</v>
      </c>
      <c r="G895" s="35">
        <f>IFERROR(__xludf.DUMMYFUNCTION("""COMPUTED_VALUE"""),182.0)</f>
        <v>182</v>
      </c>
      <c r="H895" s="35" t="str">
        <f>IFERROR(__xludf.DUMMYFUNCTION("""COMPUTED_VALUE"""),"Algorithms")</f>
        <v>Algorithms</v>
      </c>
      <c r="I895" s="35">
        <f>IFERROR(__xludf.DUMMYFUNCTION("""COMPUTED_VALUE"""),0.793)</f>
        <v>0.793</v>
      </c>
      <c r="J895" s="35">
        <f>IFERROR(__xludf.DUMMYFUNCTION("""COMPUTED_VALUE"""),894.0)</f>
        <v>894</v>
      </c>
      <c r="K895" s="35" t="b">
        <f>IFERROR(__xludf.DUMMYFUNCTION("""COMPUTED_VALUE"""),FALSE)</f>
        <v>0</v>
      </c>
      <c r="L895" s="35" t="str">
        <f>IFERROR(__xludf.DUMMYFUNCTION("""COMPUTED_VALUE"""),"Dynamic Programming;Tree;Recursion;Memoization;Binary Tree;")</f>
        <v>Dynamic Programming;Tree;Recursion;Memoization;Binary Tree;</v>
      </c>
      <c r="M895" s="35" t="b">
        <f>IFERROR(__xludf.DUMMYFUNCTION("""COMPUTED_VALUE"""),TRUE)</f>
        <v>1</v>
      </c>
      <c r="N895" s="35" t="b">
        <f>IFERROR(__xludf.DUMMYFUNCTION("""COMPUTED_VALUE"""),FALSE)</f>
        <v>0</v>
      </c>
      <c r="O895" s="35">
        <f>IFERROR(__xludf.DUMMYFUNCTION("""COMPUTED_VALUE"""),79.2904306888228)</f>
        <v>79.29043069</v>
      </c>
      <c r="P895" s="35">
        <f>IFERROR(__xludf.DUMMYFUNCTION("""COMPUTED_VALUE"""),79495.0)</f>
        <v>79495</v>
      </c>
      <c r="Q895" s="35">
        <f>IFERROR(__xludf.DUMMYFUNCTION("""COMPUTED_VALUE"""),100258.0)</f>
        <v>100258</v>
      </c>
    </row>
    <row r="896">
      <c r="A896" s="35">
        <f>IFERROR(__xludf.DUMMYFUNCTION("""COMPUTED_VALUE"""),931.0)</f>
        <v>931</v>
      </c>
      <c r="B896" s="35" t="str">
        <f>IFERROR(__xludf.DUMMYFUNCTION("""COMPUTED_VALUE"""),"Maximum Frequency Stack")</f>
        <v>Maximum Frequency Stack</v>
      </c>
      <c r="C896" s="35" t="str">
        <f>IFERROR(__xludf.DUMMYFUNCTION("""COMPUTED_VALUE"""),"maximum-frequency-stack")</f>
        <v>maximum-frequency-stack</v>
      </c>
      <c r="D896" s="35" t="b">
        <f>IFERROR(__xludf.DUMMYFUNCTION("""COMPUTED_VALUE"""),FALSE)</f>
        <v>0</v>
      </c>
      <c r="E896" s="35" t="str">
        <f>IFERROR(__xludf.DUMMYFUNCTION("""COMPUTED_VALUE"""),"Hard")</f>
        <v>Hard</v>
      </c>
      <c r="F896" s="35">
        <f>IFERROR(__xludf.DUMMYFUNCTION("""COMPUTED_VALUE"""),2490.0)</f>
        <v>2490</v>
      </c>
      <c r="G896" s="35">
        <f>IFERROR(__xludf.DUMMYFUNCTION("""COMPUTED_VALUE"""),42.0)</f>
        <v>42</v>
      </c>
      <c r="H896" s="35" t="str">
        <f>IFERROR(__xludf.DUMMYFUNCTION("""COMPUTED_VALUE"""),"Algorithms")</f>
        <v>Algorithms</v>
      </c>
      <c r="I896" s="35">
        <f>IFERROR(__xludf.DUMMYFUNCTION("""COMPUTED_VALUE"""),0.648)</f>
        <v>0.648</v>
      </c>
      <c r="J896" s="35">
        <f>IFERROR(__xludf.DUMMYFUNCTION("""COMPUTED_VALUE"""),895.0)</f>
        <v>895</v>
      </c>
      <c r="K896" s="35" t="b">
        <f>IFERROR(__xludf.DUMMYFUNCTION("""COMPUTED_VALUE"""),FALSE)</f>
        <v>0</v>
      </c>
      <c r="L896" s="35" t="str">
        <f>IFERROR(__xludf.DUMMYFUNCTION("""COMPUTED_VALUE"""),"Hash Table;Stack;Design;Ordered Set;")</f>
        <v>Hash Table;Stack;Design;Ordered Set;</v>
      </c>
      <c r="M896" s="35" t="b">
        <f>IFERROR(__xludf.DUMMYFUNCTION("""COMPUTED_VALUE"""),TRUE)</f>
        <v>1</v>
      </c>
      <c r="N896" s="35" t="b">
        <f>IFERROR(__xludf.DUMMYFUNCTION("""COMPUTED_VALUE"""),FALSE)</f>
        <v>0</v>
      </c>
      <c r="O896" s="35">
        <f>IFERROR(__xludf.DUMMYFUNCTION("""COMPUTED_VALUE"""),64.8098085026787)</f>
        <v>64.8098085</v>
      </c>
      <c r="P896" s="35">
        <f>IFERROR(__xludf.DUMMYFUNCTION("""COMPUTED_VALUE"""),91817.0)</f>
        <v>91817</v>
      </c>
      <c r="Q896" s="35">
        <f>IFERROR(__xludf.DUMMYFUNCTION("""COMPUTED_VALUE"""),141672.0)</f>
        <v>141672</v>
      </c>
    </row>
    <row r="897">
      <c r="A897" s="35">
        <f>IFERROR(__xludf.DUMMYFUNCTION("""COMPUTED_VALUE"""),932.0)</f>
        <v>932</v>
      </c>
      <c r="B897" s="35" t="str">
        <f>IFERROR(__xludf.DUMMYFUNCTION("""COMPUTED_VALUE"""),"Monotonic Array")</f>
        <v>Monotonic Array</v>
      </c>
      <c r="C897" s="35" t="str">
        <f>IFERROR(__xludf.DUMMYFUNCTION("""COMPUTED_VALUE"""),"monotonic-array")</f>
        <v>monotonic-array</v>
      </c>
      <c r="D897" s="35" t="b">
        <f>IFERROR(__xludf.DUMMYFUNCTION("""COMPUTED_VALUE"""),FALSE)</f>
        <v>0</v>
      </c>
      <c r="E897" s="35" t="str">
        <f>IFERROR(__xludf.DUMMYFUNCTION("""COMPUTED_VALUE"""),"Easy")</f>
        <v>Easy</v>
      </c>
      <c r="F897" s="35">
        <f>IFERROR(__xludf.DUMMYFUNCTION("""COMPUTED_VALUE"""),1390.0)</f>
        <v>1390</v>
      </c>
      <c r="G897" s="35">
        <f>IFERROR(__xludf.DUMMYFUNCTION("""COMPUTED_VALUE"""),53.0)</f>
        <v>53</v>
      </c>
      <c r="H897" s="35" t="str">
        <f>IFERROR(__xludf.DUMMYFUNCTION("""COMPUTED_VALUE"""),"Algorithms")</f>
        <v>Algorithms</v>
      </c>
      <c r="I897" s="35">
        <f>IFERROR(__xludf.DUMMYFUNCTION("""COMPUTED_VALUE"""),0.585)</f>
        <v>0.585</v>
      </c>
      <c r="J897" s="35">
        <f>IFERROR(__xludf.DUMMYFUNCTION("""COMPUTED_VALUE"""),896.0)</f>
        <v>896</v>
      </c>
      <c r="K897" s="35" t="b">
        <f>IFERROR(__xludf.DUMMYFUNCTION("""COMPUTED_VALUE"""),FALSE)</f>
        <v>0</v>
      </c>
      <c r="L897" s="35" t="str">
        <f>IFERROR(__xludf.DUMMYFUNCTION("""COMPUTED_VALUE"""),"Array;")</f>
        <v>Array;</v>
      </c>
      <c r="M897" s="35" t="b">
        <f>IFERROR(__xludf.DUMMYFUNCTION("""COMPUTED_VALUE"""),TRUE)</f>
        <v>1</v>
      </c>
      <c r="N897" s="35" t="b">
        <f>IFERROR(__xludf.DUMMYFUNCTION("""COMPUTED_VALUE"""),FALSE)</f>
        <v>0</v>
      </c>
      <c r="O897" s="35">
        <f>IFERROR(__xludf.DUMMYFUNCTION("""COMPUTED_VALUE"""),58.4557380341607)</f>
        <v>58.45573803</v>
      </c>
      <c r="P897" s="35">
        <f>IFERROR(__xludf.DUMMYFUNCTION("""COMPUTED_VALUE"""),192095.0)</f>
        <v>192095</v>
      </c>
      <c r="Q897" s="35">
        <f>IFERROR(__xludf.DUMMYFUNCTION("""COMPUTED_VALUE"""),328617.0)</f>
        <v>328617</v>
      </c>
    </row>
    <row r="898">
      <c r="A898" s="35">
        <f>IFERROR(__xludf.DUMMYFUNCTION("""COMPUTED_VALUE"""),933.0)</f>
        <v>933</v>
      </c>
      <c r="B898" s="35" t="str">
        <f>IFERROR(__xludf.DUMMYFUNCTION("""COMPUTED_VALUE"""),"Increasing Order Search Tree")</f>
        <v>Increasing Order Search Tree</v>
      </c>
      <c r="C898" s="35" t="str">
        <f>IFERROR(__xludf.DUMMYFUNCTION("""COMPUTED_VALUE"""),"increasing-order-search-tree")</f>
        <v>increasing-order-search-tree</v>
      </c>
      <c r="D898" s="35" t="b">
        <f>IFERROR(__xludf.DUMMYFUNCTION("""COMPUTED_VALUE"""),FALSE)</f>
        <v>0</v>
      </c>
      <c r="E898" s="35" t="str">
        <f>IFERROR(__xludf.DUMMYFUNCTION("""COMPUTED_VALUE"""),"Easy")</f>
        <v>Easy</v>
      </c>
      <c r="F898" s="35">
        <f>IFERROR(__xludf.DUMMYFUNCTION("""COMPUTED_VALUE"""),2199.0)</f>
        <v>2199</v>
      </c>
      <c r="G898" s="35">
        <f>IFERROR(__xludf.DUMMYFUNCTION("""COMPUTED_VALUE"""),593.0)</f>
        <v>593</v>
      </c>
      <c r="H898" s="35" t="str">
        <f>IFERROR(__xludf.DUMMYFUNCTION("""COMPUTED_VALUE"""),"Algorithms")</f>
        <v>Algorithms</v>
      </c>
      <c r="I898" s="35">
        <f>IFERROR(__xludf.DUMMYFUNCTION("""COMPUTED_VALUE"""),0.761)</f>
        <v>0.761</v>
      </c>
      <c r="J898" s="35">
        <f>IFERROR(__xludf.DUMMYFUNCTION("""COMPUTED_VALUE"""),897.0)</f>
        <v>897</v>
      </c>
      <c r="K898" s="35" t="b">
        <f>IFERROR(__xludf.DUMMYFUNCTION("""COMPUTED_VALUE"""),FALSE)</f>
        <v>0</v>
      </c>
      <c r="L898" s="35" t="str">
        <f>IFERROR(__xludf.DUMMYFUNCTION("""COMPUTED_VALUE"""),"Stack;Tree;Depth-First Search;Binary Search Tree;Binary Tree;")</f>
        <v>Stack;Tree;Depth-First Search;Binary Search Tree;Binary Tree;</v>
      </c>
      <c r="M898" s="35" t="b">
        <f>IFERROR(__xludf.DUMMYFUNCTION("""COMPUTED_VALUE"""),TRUE)</f>
        <v>1</v>
      </c>
      <c r="N898" s="35" t="b">
        <f>IFERROR(__xludf.DUMMYFUNCTION("""COMPUTED_VALUE"""),FALSE)</f>
        <v>0</v>
      </c>
      <c r="O898" s="35">
        <f>IFERROR(__xludf.DUMMYFUNCTION("""COMPUTED_VALUE"""),76.0555040075348)</f>
        <v>76.05550401</v>
      </c>
      <c r="P898" s="35">
        <f>IFERROR(__xludf.DUMMYFUNCTION("""COMPUTED_VALUE"""),163113.0)</f>
        <v>163113</v>
      </c>
      <c r="Q898" s="35">
        <f>IFERROR(__xludf.DUMMYFUNCTION("""COMPUTED_VALUE"""),214467.0)</f>
        <v>214467</v>
      </c>
    </row>
    <row r="899">
      <c r="A899" s="35">
        <f>IFERROR(__xludf.DUMMYFUNCTION("""COMPUTED_VALUE"""),934.0)</f>
        <v>934</v>
      </c>
      <c r="B899" s="35" t="str">
        <f>IFERROR(__xludf.DUMMYFUNCTION("""COMPUTED_VALUE"""),"Bitwise ORs of Subarrays")</f>
        <v>Bitwise ORs of Subarrays</v>
      </c>
      <c r="C899" s="35" t="str">
        <f>IFERROR(__xludf.DUMMYFUNCTION("""COMPUTED_VALUE"""),"bitwise-ors-of-subarrays")</f>
        <v>bitwise-ors-of-subarrays</v>
      </c>
      <c r="D899" s="35" t="b">
        <f>IFERROR(__xludf.DUMMYFUNCTION("""COMPUTED_VALUE"""),FALSE)</f>
        <v>0</v>
      </c>
      <c r="E899" s="35" t="str">
        <f>IFERROR(__xludf.DUMMYFUNCTION("""COMPUTED_VALUE"""),"Medium")</f>
        <v>Medium</v>
      </c>
      <c r="F899" s="35">
        <f>IFERROR(__xludf.DUMMYFUNCTION("""COMPUTED_VALUE"""),921.0)</f>
        <v>921</v>
      </c>
      <c r="G899" s="35">
        <f>IFERROR(__xludf.DUMMYFUNCTION("""COMPUTED_VALUE"""),174.0)</f>
        <v>174</v>
      </c>
      <c r="H899" s="35" t="str">
        <f>IFERROR(__xludf.DUMMYFUNCTION("""COMPUTED_VALUE"""),"Algorithms")</f>
        <v>Algorithms</v>
      </c>
      <c r="I899" s="35">
        <f>IFERROR(__xludf.DUMMYFUNCTION("""COMPUTED_VALUE"""),0.362)</f>
        <v>0.362</v>
      </c>
      <c r="J899" s="35">
        <f>IFERROR(__xludf.DUMMYFUNCTION("""COMPUTED_VALUE"""),898.0)</f>
        <v>898</v>
      </c>
      <c r="K899" s="35" t="b">
        <f>IFERROR(__xludf.DUMMYFUNCTION("""COMPUTED_VALUE"""),FALSE)</f>
        <v>0</v>
      </c>
      <c r="L899" s="35" t="str">
        <f>IFERROR(__xludf.DUMMYFUNCTION("""COMPUTED_VALUE"""),"Array;Dynamic Programming;Bit Manipulation;")</f>
        <v>Array;Dynamic Programming;Bit Manipulation;</v>
      </c>
      <c r="M899" s="35" t="b">
        <f>IFERROR(__xludf.DUMMYFUNCTION("""COMPUTED_VALUE"""),FALSE)</f>
        <v>0</v>
      </c>
      <c r="N899" s="35" t="b">
        <f>IFERROR(__xludf.DUMMYFUNCTION("""COMPUTED_VALUE"""),FALSE)</f>
        <v>0</v>
      </c>
      <c r="O899" s="35">
        <f>IFERROR(__xludf.DUMMYFUNCTION("""COMPUTED_VALUE"""),36.1514419661883)</f>
        <v>36.15144197</v>
      </c>
      <c r="P899" s="35">
        <f>IFERROR(__xludf.DUMMYFUNCTION("""COMPUTED_VALUE"""),25447.0)</f>
        <v>25447</v>
      </c>
      <c r="Q899" s="35">
        <f>IFERROR(__xludf.DUMMYFUNCTION("""COMPUTED_VALUE"""),70390.0)</f>
        <v>70390</v>
      </c>
    </row>
    <row r="900">
      <c r="A900" s="35">
        <f>IFERROR(__xludf.DUMMYFUNCTION("""COMPUTED_VALUE"""),935.0)</f>
        <v>935</v>
      </c>
      <c r="B900" s="35" t="str">
        <f>IFERROR(__xludf.DUMMYFUNCTION("""COMPUTED_VALUE"""),"Orderly Queue")</f>
        <v>Orderly Queue</v>
      </c>
      <c r="C900" s="35" t="str">
        <f>IFERROR(__xludf.DUMMYFUNCTION("""COMPUTED_VALUE"""),"orderly-queue")</f>
        <v>orderly-queue</v>
      </c>
      <c r="D900" s="35" t="b">
        <f>IFERROR(__xludf.DUMMYFUNCTION("""COMPUTED_VALUE"""),FALSE)</f>
        <v>0</v>
      </c>
      <c r="E900" s="35" t="str">
        <f>IFERROR(__xludf.DUMMYFUNCTION("""COMPUTED_VALUE"""),"Hard")</f>
        <v>Hard</v>
      </c>
      <c r="F900" s="35">
        <f>IFERROR(__xludf.DUMMYFUNCTION("""COMPUTED_VALUE"""),548.0)</f>
        <v>548</v>
      </c>
      <c r="G900" s="35">
        <f>IFERROR(__xludf.DUMMYFUNCTION("""COMPUTED_VALUE"""),354.0)</f>
        <v>354</v>
      </c>
      <c r="H900" s="35" t="str">
        <f>IFERROR(__xludf.DUMMYFUNCTION("""COMPUTED_VALUE"""),"Algorithms")</f>
        <v>Algorithms</v>
      </c>
      <c r="I900" s="35">
        <f>IFERROR(__xludf.DUMMYFUNCTION("""COMPUTED_VALUE"""),0.585)</f>
        <v>0.585</v>
      </c>
      <c r="J900" s="35">
        <f>IFERROR(__xludf.DUMMYFUNCTION("""COMPUTED_VALUE"""),899.0)</f>
        <v>899</v>
      </c>
      <c r="K900" s="35" t="b">
        <f>IFERROR(__xludf.DUMMYFUNCTION("""COMPUTED_VALUE"""),FALSE)</f>
        <v>0</v>
      </c>
      <c r="L900" s="35" t="str">
        <f>IFERROR(__xludf.DUMMYFUNCTION("""COMPUTED_VALUE"""),"Math;String;Sorting;")</f>
        <v>Math;String;Sorting;</v>
      </c>
      <c r="M900" s="35" t="b">
        <f>IFERROR(__xludf.DUMMYFUNCTION("""COMPUTED_VALUE"""),TRUE)</f>
        <v>1</v>
      </c>
      <c r="N900" s="35" t="b">
        <f>IFERROR(__xludf.DUMMYFUNCTION("""COMPUTED_VALUE"""),FALSE)</f>
        <v>0</v>
      </c>
      <c r="O900" s="35">
        <f>IFERROR(__xludf.DUMMYFUNCTION("""COMPUTED_VALUE"""),58.5033387059636)</f>
        <v>58.50333871</v>
      </c>
      <c r="P900" s="35">
        <f>IFERROR(__xludf.DUMMYFUNCTION("""COMPUTED_VALUE"""),25408.0)</f>
        <v>25408</v>
      </c>
      <c r="Q900" s="35">
        <f>IFERROR(__xludf.DUMMYFUNCTION("""COMPUTED_VALUE"""),43430.0)</f>
        <v>43430</v>
      </c>
    </row>
    <row r="901">
      <c r="A901" s="35">
        <f>IFERROR(__xludf.DUMMYFUNCTION("""COMPUTED_VALUE"""),936.0)</f>
        <v>936</v>
      </c>
      <c r="B901" s="35" t="str">
        <f>IFERROR(__xludf.DUMMYFUNCTION("""COMPUTED_VALUE"""),"RLE Iterator")</f>
        <v>RLE Iterator</v>
      </c>
      <c r="C901" s="35" t="str">
        <f>IFERROR(__xludf.DUMMYFUNCTION("""COMPUTED_VALUE"""),"rle-iterator")</f>
        <v>rle-iterator</v>
      </c>
      <c r="D901" s="35" t="b">
        <f>IFERROR(__xludf.DUMMYFUNCTION("""COMPUTED_VALUE"""),FALSE)</f>
        <v>0</v>
      </c>
      <c r="E901" s="35" t="str">
        <f>IFERROR(__xludf.DUMMYFUNCTION("""COMPUTED_VALUE"""),"Medium")</f>
        <v>Medium</v>
      </c>
      <c r="F901" s="35">
        <f>IFERROR(__xludf.DUMMYFUNCTION("""COMPUTED_VALUE"""),508.0)</f>
        <v>508</v>
      </c>
      <c r="G901" s="35">
        <f>IFERROR(__xludf.DUMMYFUNCTION("""COMPUTED_VALUE"""),141.0)</f>
        <v>141</v>
      </c>
      <c r="H901" s="35" t="str">
        <f>IFERROR(__xludf.DUMMYFUNCTION("""COMPUTED_VALUE"""),"Algorithms")</f>
        <v>Algorithms</v>
      </c>
      <c r="I901" s="35">
        <f>IFERROR(__xludf.DUMMYFUNCTION("""COMPUTED_VALUE"""),0.585)</f>
        <v>0.585</v>
      </c>
      <c r="J901" s="35">
        <f>IFERROR(__xludf.DUMMYFUNCTION("""COMPUTED_VALUE"""),900.0)</f>
        <v>900</v>
      </c>
      <c r="K901" s="35" t="b">
        <f>IFERROR(__xludf.DUMMYFUNCTION("""COMPUTED_VALUE"""),FALSE)</f>
        <v>0</v>
      </c>
      <c r="L901" s="35" t="str">
        <f>IFERROR(__xludf.DUMMYFUNCTION("""COMPUTED_VALUE"""),"Array;Design;Counting;Iterator;")</f>
        <v>Array;Design;Counting;Iterator;</v>
      </c>
      <c r="M901" s="35" t="b">
        <f>IFERROR(__xludf.DUMMYFUNCTION("""COMPUTED_VALUE"""),FALSE)</f>
        <v>0</v>
      </c>
      <c r="N901" s="35" t="b">
        <f>IFERROR(__xludf.DUMMYFUNCTION("""COMPUTED_VALUE"""),FALSE)</f>
        <v>0</v>
      </c>
      <c r="O901" s="35">
        <f>IFERROR(__xludf.DUMMYFUNCTION("""COMPUTED_VALUE"""),58.4895667831797)</f>
        <v>58.48956678</v>
      </c>
      <c r="P901" s="35">
        <f>IFERROR(__xludf.DUMMYFUNCTION("""COMPUTED_VALUE"""),49698.0)</f>
        <v>49698</v>
      </c>
      <c r="Q901" s="35">
        <f>IFERROR(__xludf.DUMMYFUNCTION("""COMPUTED_VALUE"""),84969.0)</f>
        <v>84969</v>
      </c>
    </row>
    <row r="902">
      <c r="A902" s="35">
        <f>IFERROR(__xludf.DUMMYFUNCTION("""COMPUTED_VALUE"""),937.0)</f>
        <v>937</v>
      </c>
      <c r="B902" s="35" t="str">
        <f>IFERROR(__xludf.DUMMYFUNCTION("""COMPUTED_VALUE"""),"Online Stock Span")</f>
        <v>Online Stock Span</v>
      </c>
      <c r="C902" s="35" t="str">
        <f>IFERROR(__xludf.DUMMYFUNCTION("""COMPUTED_VALUE"""),"online-stock-span")</f>
        <v>online-stock-span</v>
      </c>
      <c r="D902" s="35" t="b">
        <f>IFERROR(__xludf.DUMMYFUNCTION("""COMPUTED_VALUE"""),FALSE)</f>
        <v>0</v>
      </c>
      <c r="E902" s="35" t="str">
        <f>IFERROR(__xludf.DUMMYFUNCTION("""COMPUTED_VALUE"""),"Medium")</f>
        <v>Medium</v>
      </c>
      <c r="F902" s="35">
        <f>IFERROR(__xludf.DUMMYFUNCTION("""COMPUTED_VALUE"""),2440.0)</f>
        <v>2440</v>
      </c>
      <c r="G902" s="35">
        <f>IFERROR(__xludf.DUMMYFUNCTION("""COMPUTED_VALUE"""),200.0)</f>
        <v>200</v>
      </c>
      <c r="H902" s="35" t="str">
        <f>IFERROR(__xludf.DUMMYFUNCTION("""COMPUTED_VALUE"""),"Algorithms")</f>
        <v>Algorithms</v>
      </c>
      <c r="I902" s="35">
        <f>IFERROR(__xludf.DUMMYFUNCTION("""COMPUTED_VALUE"""),0.629)</f>
        <v>0.629</v>
      </c>
      <c r="J902" s="35">
        <f>IFERROR(__xludf.DUMMYFUNCTION("""COMPUTED_VALUE"""),901.0)</f>
        <v>901</v>
      </c>
      <c r="K902" s="35" t="b">
        <f>IFERROR(__xludf.DUMMYFUNCTION("""COMPUTED_VALUE"""),FALSE)</f>
        <v>0</v>
      </c>
      <c r="L902" s="35" t="str">
        <f>IFERROR(__xludf.DUMMYFUNCTION("""COMPUTED_VALUE"""),"Stack;Design;Monotonic Stack;Data Stream;")</f>
        <v>Stack;Design;Monotonic Stack;Data Stream;</v>
      </c>
      <c r="M902" s="35" t="b">
        <f>IFERROR(__xludf.DUMMYFUNCTION("""COMPUTED_VALUE"""),FALSE)</f>
        <v>0</v>
      </c>
      <c r="N902" s="35" t="b">
        <f>IFERROR(__xludf.DUMMYFUNCTION("""COMPUTED_VALUE"""),FALSE)</f>
        <v>0</v>
      </c>
      <c r="O902" s="35">
        <f>IFERROR(__xludf.DUMMYFUNCTION("""COMPUTED_VALUE"""),62.9467673546065)</f>
        <v>62.94676735</v>
      </c>
      <c r="P902" s="35">
        <f>IFERROR(__xludf.DUMMYFUNCTION("""COMPUTED_VALUE"""),118614.0)</f>
        <v>118614</v>
      </c>
      <c r="Q902" s="35">
        <f>IFERROR(__xludf.DUMMYFUNCTION("""COMPUTED_VALUE"""),188436.0)</f>
        <v>188436</v>
      </c>
    </row>
    <row r="903">
      <c r="A903" s="35">
        <f>IFERROR(__xludf.DUMMYFUNCTION("""COMPUTED_VALUE"""),938.0)</f>
        <v>938</v>
      </c>
      <c r="B903" s="35" t="str">
        <f>IFERROR(__xludf.DUMMYFUNCTION("""COMPUTED_VALUE"""),"Numbers At Most N Given Digit Set")</f>
        <v>Numbers At Most N Given Digit Set</v>
      </c>
      <c r="C903" s="35" t="str">
        <f>IFERROR(__xludf.DUMMYFUNCTION("""COMPUTED_VALUE"""),"numbers-at-most-n-given-digit-set")</f>
        <v>numbers-at-most-n-given-digit-set</v>
      </c>
      <c r="D903" s="35" t="b">
        <f>IFERROR(__xludf.DUMMYFUNCTION("""COMPUTED_VALUE"""),FALSE)</f>
        <v>0</v>
      </c>
      <c r="E903" s="35" t="str">
        <f>IFERROR(__xludf.DUMMYFUNCTION("""COMPUTED_VALUE"""),"Hard")</f>
        <v>Hard</v>
      </c>
      <c r="F903" s="35">
        <f>IFERROR(__xludf.DUMMYFUNCTION("""COMPUTED_VALUE"""),1032.0)</f>
        <v>1032</v>
      </c>
      <c r="G903" s="35">
        <f>IFERROR(__xludf.DUMMYFUNCTION("""COMPUTED_VALUE"""),88.0)</f>
        <v>88</v>
      </c>
      <c r="H903" s="35" t="str">
        <f>IFERROR(__xludf.DUMMYFUNCTION("""COMPUTED_VALUE"""),"Algorithms")</f>
        <v>Algorithms</v>
      </c>
      <c r="I903" s="35">
        <f>IFERROR(__xludf.DUMMYFUNCTION("""COMPUTED_VALUE"""),0.408)</f>
        <v>0.408</v>
      </c>
      <c r="J903" s="35">
        <f>IFERROR(__xludf.DUMMYFUNCTION("""COMPUTED_VALUE"""),902.0)</f>
        <v>902</v>
      </c>
      <c r="K903" s="35" t="b">
        <f>IFERROR(__xludf.DUMMYFUNCTION("""COMPUTED_VALUE"""),FALSE)</f>
        <v>0</v>
      </c>
      <c r="L903" s="35" t="str">
        <f>IFERROR(__xludf.DUMMYFUNCTION("""COMPUTED_VALUE"""),"Array;Math;Binary Search;Dynamic Programming;")</f>
        <v>Array;Math;Binary Search;Dynamic Programming;</v>
      </c>
      <c r="M903" s="35" t="b">
        <f>IFERROR(__xludf.DUMMYFUNCTION("""COMPUTED_VALUE"""),TRUE)</f>
        <v>1</v>
      </c>
      <c r="N903" s="35" t="b">
        <f>IFERROR(__xludf.DUMMYFUNCTION("""COMPUTED_VALUE"""),FALSE)</f>
        <v>0</v>
      </c>
      <c r="O903" s="35">
        <f>IFERROR(__xludf.DUMMYFUNCTION("""COMPUTED_VALUE"""),40.8034248182031)</f>
        <v>40.80342482</v>
      </c>
      <c r="P903" s="35">
        <f>IFERROR(__xludf.DUMMYFUNCTION("""COMPUTED_VALUE"""),34789.0)</f>
        <v>34789</v>
      </c>
      <c r="Q903" s="35">
        <f>IFERROR(__xludf.DUMMYFUNCTION("""COMPUTED_VALUE"""),85260.0)</f>
        <v>85260</v>
      </c>
    </row>
    <row r="904">
      <c r="A904" s="35">
        <f>IFERROR(__xludf.DUMMYFUNCTION("""COMPUTED_VALUE"""),939.0)</f>
        <v>939</v>
      </c>
      <c r="B904" s="35" t="str">
        <f>IFERROR(__xludf.DUMMYFUNCTION("""COMPUTED_VALUE"""),"Valid Permutations for DI Sequence")</f>
        <v>Valid Permutations for DI Sequence</v>
      </c>
      <c r="C904" s="35" t="str">
        <f>IFERROR(__xludf.DUMMYFUNCTION("""COMPUTED_VALUE"""),"valid-permutations-for-di-sequence")</f>
        <v>valid-permutations-for-di-sequence</v>
      </c>
      <c r="D904" s="35" t="b">
        <f>IFERROR(__xludf.DUMMYFUNCTION("""COMPUTED_VALUE"""),FALSE)</f>
        <v>0</v>
      </c>
      <c r="E904" s="35" t="str">
        <f>IFERROR(__xludf.DUMMYFUNCTION("""COMPUTED_VALUE"""),"Hard")</f>
        <v>Hard</v>
      </c>
      <c r="F904" s="35">
        <f>IFERROR(__xludf.DUMMYFUNCTION("""COMPUTED_VALUE"""),437.0)</f>
        <v>437</v>
      </c>
      <c r="G904" s="35">
        <f>IFERROR(__xludf.DUMMYFUNCTION("""COMPUTED_VALUE"""),35.0)</f>
        <v>35</v>
      </c>
      <c r="H904" s="35" t="str">
        <f>IFERROR(__xludf.DUMMYFUNCTION("""COMPUTED_VALUE"""),"Algorithms")</f>
        <v>Algorithms</v>
      </c>
      <c r="I904" s="35">
        <f>IFERROR(__xludf.DUMMYFUNCTION("""COMPUTED_VALUE"""),0.57)</f>
        <v>0.57</v>
      </c>
      <c r="J904" s="35">
        <f>IFERROR(__xludf.DUMMYFUNCTION("""COMPUTED_VALUE"""),903.0)</f>
        <v>903</v>
      </c>
      <c r="K904" s="35" t="b">
        <f>IFERROR(__xludf.DUMMYFUNCTION("""COMPUTED_VALUE"""),FALSE)</f>
        <v>0</v>
      </c>
      <c r="L904" s="35" t="str">
        <f>IFERROR(__xludf.DUMMYFUNCTION("""COMPUTED_VALUE"""),"Dynamic Programming;")</f>
        <v>Dynamic Programming;</v>
      </c>
      <c r="M904" s="35" t="b">
        <f>IFERROR(__xludf.DUMMYFUNCTION("""COMPUTED_VALUE"""),FALSE)</f>
        <v>0</v>
      </c>
      <c r="N904" s="35" t="b">
        <f>IFERROR(__xludf.DUMMYFUNCTION("""COMPUTED_VALUE"""),FALSE)</f>
        <v>0</v>
      </c>
      <c r="O904" s="35">
        <f>IFERROR(__xludf.DUMMYFUNCTION("""COMPUTED_VALUE"""),57.005120383484)</f>
        <v>57.00512038</v>
      </c>
      <c r="P904" s="35">
        <f>IFERROR(__xludf.DUMMYFUNCTION("""COMPUTED_VALUE"""),10465.0)</f>
        <v>10465</v>
      </c>
      <c r="Q904" s="35">
        <f>IFERROR(__xludf.DUMMYFUNCTION("""COMPUTED_VALUE"""),18358.0)</f>
        <v>18358</v>
      </c>
    </row>
    <row r="905">
      <c r="A905" s="35">
        <f>IFERROR(__xludf.DUMMYFUNCTION("""COMPUTED_VALUE"""),940.0)</f>
        <v>940</v>
      </c>
      <c r="B905" s="35" t="str">
        <f>IFERROR(__xludf.DUMMYFUNCTION("""COMPUTED_VALUE"""),"Fruit Into Baskets")</f>
        <v>Fruit Into Baskets</v>
      </c>
      <c r="C905" s="35" t="str">
        <f>IFERROR(__xludf.DUMMYFUNCTION("""COMPUTED_VALUE"""),"fruit-into-baskets")</f>
        <v>fruit-into-baskets</v>
      </c>
      <c r="D905" s="35" t="b">
        <f>IFERROR(__xludf.DUMMYFUNCTION("""COMPUTED_VALUE"""),FALSE)</f>
        <v>0</v>
      </c>
      <c r="E905" s="35" t="str">
        <f>IFERROR(__xludf.DUMMYFUNCTION("""COMPUTED_VALUE"""),"Medium")</f>
        <v>Medium</v>
      </c>
      <c r="F905" s="35">
        <f>IFERROR(__xludf.DUMMYFUNCTION("""COMPUTED_VALUE"""),830.0)</f>
        <v>830</v>
      </c>
      <c r="G905" s="35">
        <f>IFERROR(__xludf.DUMMYFUNCTION("""COMPUTED_VALUE"""),56.0)</f>
        <v>56</v>
      </c>
      <c r="H905" s="35" t="str">
        <f>IFERROR(__xludf.DUMMYFUNCTION("""COMPUTED_VALUE"""),"Algorithms")</f>
        <v>Algorithms</v>
      </c>
      <c r="I905" s="35">
        <f>IFERROR(__xludf.DUMMYFUNCTION("""COMPUTED_VALUE"""),0.429)</f>
        <v>0.429</v>
      </c>
      <c r="J905" s="35">
        <f>IFERROR(__xludf.DUMMYFUNCTION("""COMPUTED_VALUE"""),904.0)</f>
        <v>904</v>
      </c>
      <c r="K905" s="35" t="b">
        <f>IFERROR(__xludf.DUMMYFUNCTION("""COMPUTED_VALUE"""),FALSE)</f>
        <v>0</v>
      </c>
      <c r="L905" s="35" t="str">
        <f>IFERROR(__xludf.DUMMYFUNCTION("""COMPUTED_VALUE"""),"Array;Hash Table;Sliding Window;")</f>
        <v>Array;Hash Table;Sliding Window;</v>
      </c>
      <c r="M905" s="35" t="b">
        <f>IFERROR(__xludf.DUMMYFUNCTION("""COMPUTED_VALUE"""),FALSE)</f>
        <v>0</v>
      </c>
      <c r="N905" s="35" t="b">
        <f>IFERROR(__xludf.DUMMYFUNCTION("""COMPUTED_VALUE"""),FALSE)</f>
        <v>0</v>
      </c>
      <c r="O905" s="35">
        <f>IFERROR(__xludf.DUMMYFUNCTION("""COMPUTED_VALUE"""),42.9026834993338)</f>
        <v>42.9026835</v>
      </c>
      <c r="P905" s="35">
        <f>IFERROR(__xludf.DUMMYFUNCTION("""COMPUTED_VALUE"""),189355.0)</f>
        <v>189355</v>
      </c>
      <c r="Q905" s="35">
        <f>IFERROR(__xludf.DUMMYFUNCTION("""COMPUTED_VALUE"""),441359.0)</f>
        <v>441359</v>
      </c>
    </row>
    <row r="906">
      <c r="A906" s="35">
        <f>IFERROR(__xludf.DUMMYFUNCTION("""COMPUTED_VALUE"""),941.0)</f>
        <v>941</v>
      </c>
      <c r="B906" s="35" t="str">
        <f>IFERROR(__xludf.DUMMYFUNCTION("""COMPUTED_VALUE"""),"Sort Array By Parity")</f>
        <v>Sort Array By Parity</v>
      </c>
      <c r="C906" s="35" t="str">
        <f>IFERROR(__xludf.DUMMYFUNCTION("""COMPUTED_VALUE"""),"sort-array-by-parity")</f>
        <v>sort-array-by-parity</v>
      </c>
      <c r="D906" s="35" t="b">
        <f>IFERROR(__xludf.DUMMYFUNCTION("""COMPUTED_VALUE"""),FALSE)</f>
        <v>0</v>
      </c>
      <c r="E906" s="35" t="str">
        <f>IFERROR(__xludf.DUMMYFUNCTION("""COMPUTED_VALUE"""),"Easy")</f>
        <v>Easy</v>
      </c>
      <c r="F906" s="35">
        <f>IFERROR(__xludf.DUMMYFUNCTION("""COMPUTED_VALUE"""),2536.0)</f>
        <v>2536</v>
      </c>
      <c r="G906" s="35">
        <f>IFERROR(__xludf.DUMMYFUNCTION("""COMPUTED_VALUE"""),111.0)</f>
        <v>111</v>
      </c>
      <c r="H906" s="35" t="str">
        <f>IFERROR(__xludf.DUMMYFUNCTION("""COMPUTED_VALUE"""),"Algorithms")</f>
        <v>Algorithms</v>
      </c>
      <c r="I906" s="35">
        <f>IFERROR(__xludf.DUMMYFUNCTION("""COMPUTED_VALUE"""),0.748)</f>
        <v>0.748</v>
      </c>
      <c r="J906" s="35">
        <f>IFERROR(__xludf.DUMMYFUNCTION("""COMPUTED_VALUE"""),905.0)</f>
        <v>905</v>
      </c>
      <c r="K906" s="35" t="b">
        <f>IFERROR(__xludf.DUMMYFUNCTION("""COMPUTED_VALUE"""),FALSE)</f>
        <v>0</v>
      </c>
      <c r="L906" s="35" t="str">
        <f>IFERROR(__xludf.DUMMYFUNCTION("""COMPUTED_VALUE"""),"Array;Two Pointers;Sorting;")</f>
        <v>Array;Two Pointers;Sorting;</v>
      </c>
      <c r="M906" s="35" t="b">
        <f>IFERROR(__xludf.DUMMYFUNCTION("""COMPUTED_VALUE"""),TRUE)</f>
        <v>1</v>
      </c>
      <c r="N906" s="35" t="b">
        <f>IFERROR(__xludf.DUMMYFUNCTION("""COMPUTED_VALUE"""),FALSE)</f>
        <v>0</v>
      </c>
      <c r="O906" s="35">
        <f>IFERROR(__xludf.DUMMYFUNCTION("""COMPUTED_VALUE"""),74.780409102784)</f>
        <v>74.7804091</v>
      </c>
      <c r="P906" s="35">
        <f>IFERROR(__xludf.DUMMYFUNCTION("""COMPUTED_VALUE"""),423633.0)</f>
        <v>423633</v>
      </c>
      <c r="Q906" s="35">
        <f>IFERROR(__xludf.DUMMYFUNCTION("""COMPUTED_VALUE"""),566503.0)</f>
        <v>566503</v>
      </c>
    </row>
    <row r="907">
      <c r="A907" s="35">
        <f>IFERROR(__xludf.DUMMYFUNCTION("""COMPUTED_VALUE"""),942.0)</f>
        <v>942</v>
      </c>
      <c r="B907" s="35" t="str">
        <f>IFERROR(__xludf.DUMMYFUNCTION("""COMPUTED_VALUE"""),"Super Palindromes")</f>
        <v>Super Palindromes</v>
      </c>
      <c r="C907" s="35" t="str">
        <f>IFERROR(__xludf.DUMMYFUNCTION("""COMPUTED_VALUE"""),"super-palindromes")</f>
        <v>super-palindromes</v>
      </c>
      <c r="D907" s="35" t="b">
        <f>IFERROR(__xludf.DUMMYFUNCTION("""COMPUTED_VALUE"""),FALSE)</f>
        <v>0</v>
      </c>
      <c r="E907" s="35" t="str">
        <f>IFERROR(__xludf.DUMMYFUNCTION("""COMPUTED_VALUE"""),"Hard")</f>
        <v>Hard</v>
      </c>
      <c r="F907" s="35">
        <f>IFERROR(__xludf.DUMMYFUNCTION("""COMPUTED_VALUE"""),297.0)</f>
        <v>297</v>
      </c>
      <c r="G907" s="35">
        <f>IFERROR(__xludf.DUMMYFUNCTION("""COMPUTED_VALUE"""),374.0)</f>
        <v>374</v>
      </c>
      <c r="H907" s="35" t="str">
        <f>IFERROR(__xludf.DUMMYFUNCTION("""COMPUTED_VALUE"""),"Algorithms")</f>
        <v>Algorithms</v>
      </c>
      <c r="I907" s="35">
        <f>IFERROR(__xludf.DUMMYFUNCTION("""COMPUTED_VALUE"""),0.392)</f>
        <v>0.392</v>
      </c>
      <c r="J907" s="35">
        <f>IFERROR(__xludf.DUMMYFUNCTION("""COMPUTED_VALUE"""),906.0)</f>
        <v>906</v>
      </c>
      <c r="K907" s="35" t="b">
        <f>IFERROR(__xludf.DUMMYFUNCTION("""COMPUTED_VALUE"""),FALSE)</f>
        <v>0</v>
      </c>
      <c r="L907" s="35" t="str">
        <f>IFERROR(__xludf.DUMMYFUNCTION("""COMPUTED_VALUE"""),"Math;Enumeration;")</f>
        <v>Math;Enumeration;</v>
      </c>
      <c r="M907" s="35" t="b">
        <f>IFERROR(__xludf.DUMMYFUNCTION("""COMPUTED_VALUE"""),TRUE)</f>
        <v>1</v>
      </c>
      <c r="N907" s="35" t="b">
        <f>IFERROR(__xludf.DUMMYFUNCTION("""COMPUTED_VALUE"""),FALSE)</f>
        <v>0</v>
      </c>
      <c r="O907" s="35">
        <f>IFERROR(__xludf.DUMMYFUNCTION("""COMPUTED_VALUE"""),39.2039949318029)</f>
        <v>39.20399493</v>
      </c>
      <c r="P907" s="35">
        <f>IFERROR(__xludf.DUMMYFUNCTION("""COMPUTED_VALUE"""),21040.0)</f>
        <v>21040</v>
      </c>
      <c r="Q907" s="35">
        <f>IFERROR(__xludf.DUMMYFUNCTION("""COMPUTED_VALUE"""),53664.0)</f>
        <v>53664</v>
      </c>
    </row>
    <row r="908">
      <c r="A908" s="35">
        <f>IFERROR(__xludf.DUMMYFUNCTION("""COMPUTED_VALUE"""),943.0)</f>
        <v>943</v>
      </c>
      <c r="B908" s="35" t="str">
        <f>IFERROR(__xludf.DUMMYFUNCTION("""COMPUTED_VALUE"""),"Sum of Subarray Minimums")</f>
        <v>Sum of Subarray Minimums</v>
      </c>
      <c r="C908" s="35" t="str">
        <f>IFERROR(__xludf.DUMMYFUNCTION("""COMPUTED_VALUE"""),"sum-of-subarray-minimums")</f>
        <v>sum-of-subarray-minimums</v>
      </c>
      <c r="D908" s="35" t="b">
        <f>IFERROR(__xludf.DUMMYFUNCTION("""COMPUTED_VALUE"""),FALSE)</f>
        <v>0</v>
      </c>
      <c r="E908" s="35" t="str">
        <f>IFERROR(__xludf.DUMMYFUNCTION("""COMPUTED_VALUE"""),"Medium")</f>
        <v>Medium</v>
      </c>
      <c r="F908" s="35">
        <f>IFERROR(__xludf.DUMMYFUNCTION("""COMPUTED_VALUE"""),3215.0)</f>
        <v>3215</v>
      </c>
      <c r="G908" s="35">
        <f>IFERROR(__xludf.DUMMYFUNCTION("""COMPUTED_VALUE"""),207.0)</f>
        <v>207</v>
      </c>
      <c r="H908" s="35" t="str">
        <f>IFERROR(__xludf.DUMMYFUNCTION("""COMPUTED_VALUE"""),"Algorithms")</f>
        <v>Algorithms</v>
      </c>
      <c r="I908" s="35">
        <f>IFERROR(__xludf.DUMMYFUNCTION("""COMPUTED_VALUE"""),0.338)</f>
        <v>0.338</v>
      </c>
      <c r="J908" s="35">
        <f>IFERROR(__xludf.DUMMYFUNCTION("""COMPUTED_VALUE"""),907.0)</f>
        <v>907</v>
      </c>
      <c r="K908" s="35" t="b">
        <f>IFERROR(__xludf.DUMMYFUNCTION("""COMPUTED_VALUE"""),FALSE)</f>
        <v>0</v>
      </c>
      <c r="L908" s="35" t="str">
        <f>IFERROR(__xludf.DUMMYFUNCTION("""COMPUTED_VALUE"""),"Array;Dynamic Programming;Stack;Monotonic Stack;")</f>
        <v>Array;Dynamic Programming;Stack;Monotonic Stack;</v>
      </c>
      <c r="M908" s="35" t="b">
        <f>IFERROR(__xludf.DUMMYFUNCTION("""COMPUTED_VALUE"""),FALSE)</f>
        <v>0</v>
      </c>
      <c r="N908" s="35" t="b">
        <f>IFERROR(__xludf.DUMMYFUNCTION("""COMPUTED_VALUE"""),FALSE)</f>
        <v>0</v>
      </c>
      <c r="O908" s="35">
        <f>IFERROR(__xludf.DUMMYFUNCTION("""COMPUTED_VALUE"""),33.753416039164)</f>
        <v>33.75341604</v>
      </c>
      <c r="P908" s="35">
        <f>IFERROR(__xludf.DUMMYFUNCTION("""COMPUTED_VALUE"""),68671.0)</f>
        <v>68671</v>
      </c>
      <c r="Q908" s="35">
        <f>IFERROR(__xludf.DUMMYFUNCTION("""COMPUTED_VALUE"""),203446.0)</f>
        <v>203446</v>
      </c>
    </row>
    <row r="909">
      <c r="A909" s="35">
        <f>IFERROR(__xludf.DUMMYFUNCTION("""COMPUTED_VALUE"""),944.0)</f>
        <v>944</v>
      </c>
      <c r="B909" s="35" t="str">
        <f>IFERROR(__xludf.DUMMYFUNCTION("""COMPUTED_VALUE"""),"Smallest Range I")</f>
        <v>Smallest Range I</v>
      </c>
      <c r="C909" s="35" t="str">
        <f>IFERROR(__xludf.DUMMYFUNCTION("""COMPUTED_VALUE"""),"smallest-range-i")</f>
        <v>smallest-range-i</v>
      </c>
      <c r="D909" s="35" t="b">
        <f>IFERROR(__xludf.DUMMYFUNCTION("""COMPUTED_VALUE"""),FALSE)</f>
        <v>0</v>
      </c>
      <c r="E909" s="35" t="str">
        <f>IFERROR(__xludf.DUMMYFUNCTION("""COMPUTED_VALUE"""),"Easy")</f>
        <v>Easy</v>
      </c>
      <c r="F909" s="35">
        <f>IFERROR(__xludf.DUMMYFUNCTION("""COMPUTED_VALUE"""),401.0)</f>
        <v>401</v>
      </c>
      <c r="G909" s="35">
        <f>IFERROR(__xludf.DUMMYFUNCTION("""COMPUTED_VALUE"""),1579.0)</f>
        <v>1579</v>
      </c>
      <c r="H909" s="35" t="str">
        <f>IFERROR(__xludf.DUMMYFUNCTION("""COMPUTED_VALUE"""),"Algorithms")</f>
        <v>Algorithms</v>
      </c>
      <c r="I909" s="35">
        <f>IFERROR(__xludf.DUMMYFUNCTION("""COMPUTED_VALUE"""),0.671)</f>
        <v>0.671</v>
      </c>
      <c r="J909" s="35">
        <f>IFERROR(__xludf.DUMMYFUNCTION("""COMPUTED_VALUE"""),908.0)</f>
        <v>908</v>
      </c>
      <c r="K909" s="35" t="b">
        <f>IFERROR(__xludf.DUMMYFUNCTION("""COMPUTED_VALUE"""),FALSE)</f>
        <v>0</v>
      </c>
      <c r="L909" s="35" t="str">
        <f>IFERROR(__xludf.DUMMYFUNCTION("""COMPUTED_VALUE"""),"Array;Math;")</f>
        <v>Array;Math;</v>
      </c>
      <c r="M909" s="35" t="b">
        <f>IFERROR(__xludf.DUMMYFUNCTION("""COMPUTED_VALUE"""),FALSE)</f>
        <v>0</v>
      </c>
      <c r="N909" s="35" t="b">
        <f>IFERROR(__xludf.DUMMYFUNCTION("""COMPUTED_VALUE"""),FALSE)</f>
        <v>0</v>
      </c>
      <c r="O909" s="35">
        <f>IFERROR(__xludf.DUMMYFUNCTION("""COMPUTED_VALUE"""),67.1415942411683)</f>
        <v>67.14159424</v>
      </c>
      <c r="P909" s="35">
        <f>IFERROR(__xludf.DUMMYFUNCTION("""COMPUTED_VALUE"""),58481.0)</f>
        <v>58481</v>
      </c>
      <c r="Q909" s="35">
        <f>IFERROR(__xludf.DUMMYFUNCTION("""COMPUTED_VALUE"""),87101.0)</f>
        <v>87101</v>
      </c>
    </row>
    <row r="910">
      <c r="A910" s="35">
        <f>IFERROR(__xludf.DUMMYFUNCTION("""COMPUTED_VALUE"""),945.0)</f>
        <v>945</v>
      </c>
      <c r="B910" s="35" t="str">
        <f>IFERROR(__xludf.DUMMYFUNCTION("""COMPUTED_VALUE"""),"Snakes and Ladders")</f>
        <v>Snakes and Ladders</v>
      </c>
      <c r="C910" s="35" t="str">
        <f>IFERROR(__xludf.DUMMYFUNCTION("""COMPUTED_VALUE"""),"snakes-and-ladders")</f>
        <v>snakes-and-ladders</v>
      </c>
      <c r="D910" s="35" t="b">
        <f>IFERROR(__xludf.DUMMYFUNCTION("""COMPUTED_VALUE"""),FALSE)</f>
        <v>0</v>
      </c>
      <c r="E910" s="35" t="str">
        <f>IFERROR(__xludf.DUMMYFUNCTION("""COMPUTED_VALUE"""),"Medium")</f>
        <v>Medium</v>
      </c>
      <c r="F910" s="35">
        <f>IFERROR(__xludf.DUMMYFUNCTION("""COMPUTED_VALUE"""),554.0)</f>
        <v>554</v>
      </c>
      <c r="G910" s="35">
        <f>IFERROR(__xludf.DUMMYFUNCTION("""COMPUTED_VALUE"""),128.0)</f>
        <v>128</v>
      </c>
      <c r="H910" s="35" t="str">
        <f>IFERROR(__xludf.DUMMYFUNCTION("""COMPUTED_VALUE"""),"Algorithms")</f>
        <v>Algorithms</v>
      </c>
      <c r="I910" s="35">
        <f>IFERROR(__xludf.DUMMYFUNCTION("""COMPUTED_VALUE"""),0.403)</f>
        <v>0.403</v>
      </c>
      <c r="J910" s="35">
        <f>IFERROR(__xludf.DUMMYFUNCTION("""COMPUTED_VALUE"""),909.0)</f>
        <v>909</v>
      </c>
      <c r="K910" s="35" t="b">
        <f>IFERROR(__xludf.DUMMYFUNCTION("""COMPUTED_VALUE"""),FALSE)</f>
        <v>0</v>
      </c>
      <c r="L910" s="35" t="str">
        <f>IFERROR(__xludf.DUMMYFUNCTION("""COMPUTED_VALUE"""),"Array;Breadth-First Search;Matrix;")</f>
        <v>Array;Breadth-First Search;Matrix;</v>
      </c>
      <c r="M910" s="35" t="b">
        <f>IFERROR(__xludf.DUMMYFUNCTION("""COMPUTED_VALUE"""),FALSE)</f>
        <v>0</v>
      </c>
      <c r="N910" s="35" t="b">
        <f>IFERROR(__xludf.DUMMYFUNCTION("""COMPUTED_VALUE"""),FALSE)</f>
        <v>0</v>
      </c>
      <c r="O910" s="35">
        <f>IFERROR(__xludf.DUMMYFUNCTION("""COMPUTED_VALUE"""),40.3438093712088)</f>
        <v>40.34380937</v>
      </c>
      <c r="P910" s="35">
        <f>IFERROR(__xludf.DUMMYFUNCTION("""COMPUTED_VALUE"""),70499.0)</f>
        <v>70499</v>
      </c>
      <c r="Q910" s="35">
        <f>IFERROR(__xludf.DUMMYFUNCTION("""COMPUTED_VALUE"""),174743.0)</f>
        <v>174743</v>
      </c>
    </row>
    <row r="911">
      <c r="A911" s="35">
        <f>IFERROR(__xludf.DUMMYFUNCTION("""COMPUTED_VALUE"""),946.0)</f>
        <v>946</v>
      </c>
      <c r="B911" s="35" t="str">
        <f>IFERROR(__xludf.DUMMYFUNCTION("""COMPUTED_VALUE"""),"Smallest Range II")</f>
        <v>Smallest Range II</v>
      </c>
      <c r="C911" s="35" t="str">
        <f>IFERROR(__xludf.DUMMYFUNCTION("""COMPUTED_VALUE"""),"smallest-range-ii")</f>
        <v>smallest-range-ii</v>
      </c>
      <c r="D911" s="35" t="b">
        <f>IFERROR(__xludf.DUMMYFUNCTION("""COMPUTED_VALUE"""),FALSE)</f>
        <v>0</v>
      </c>
      <c r="E911" s="35" t="str">
        <f>IFERROR(__xludf.DUMMYFUNCTION("""COMPUTED_VALUE"""),"Medium")</f>
        <v>Medium</v>
      </c>
      <c r="F911" s="35">
        <f>IFERROR(__xludf.DUMMYFUNCTION("""COMPUTED_VALUE"""),1011.0)</f>
        <v>1011</v>
      </c>
      <c r="G911" s="35">
        <f>IFERROR(__xludf.DUMMYFUNCTION("""COMPUTED_VALUE"""),343.0)</f>
        <v>343</v>
      </c>
      <c r="H911" s="35" t="str">
        <f>IFERROR(__xludf.DUMMYFUNCTION("""COMPUTED_VALUE"""),"Algorithms")</f>
        <v>Algorithms</v>
      </c>
      <c r="I911" s="35">
        <f>IFERROR(__xludf.DUMMYFUNCTION("""COMPUTED_VALUE"""),0.323)</f>
        <v>0.323</v>
      </c>
      <c r="J911" s="35">
        <f>IFERROR(__xludf.DUMMYFUNCTION("""COMPUTED_VALUE"""),910.0)</f>
        <v>910</v>
      </c>
      <c r="K911" s="35" t="b">
        <f>IFERROR(__xludf.DUMMYFUNCTION("""COMPUTED_VALUE"""),FALSE)</f>
        <v>0</v>
      </c>
      <c r="L911" s="35" t="str">
        <f>IFERROR(__xludf.DUMMYFUNCTION("""COMPUTED_VALUE"""),"Array;Math;Greedy;Sorting;")</f>
        <v>Array;Math;Greedy;Sorting;</v>
      </c>
      <c r="M911" s="35" t="b">
        <f>IFERROR(__xludf.DUMMYFUNCTION("""COMPUTED_VALUE"""),TRUE)</f>
        <v>1</v>
      </c>
      <c r="N911" s="35" t="b">
        <f>IFERROR(__xludf.DUMMYFUNCTION("""COMPUTED_VALUE"""),FALSE)</f>
        <v>0</v>
      </c>
      <c r="O911" s="35">
        <f>IFERROR(__xludf.DUMMYFUNCTION("""COMPUTED_VALUE"""),32.3153111757798)</f>
        <v>32.31531118</v>
      </c>
      <c r="P911" s="35">
        <f>IFERROR(__xludf.DUMMYFUNCTION("""COMPUTED_VALUE"""),31648.0)</f>
        <v>31648</v>
      </c>
      <c r="Q911" s="35">
        <f>IFERROR(__xludf.DUMMYFUNCTION("""COMPUTED_VALUE"""),97935.0)</f>
        <v>97935</v>
      </c>
    </row>
    <row r="912">
      <c r="A912" s="35">
        <f>IFERROR(__xludf.DUMMYFUNCTION("""COMPUTED_VALUE"""),947.0)</f>
        <v>947</v>
      </c>
      <c r="B912" s="35" t="str">
        <f>IFERROR(__xludf.DUMMYFUNCTION("""COMPUTED_VALUE"""),"Online Election")</f>
        <v>Online Election</v>
      </c>
      <c r="C912" s="35" t="str">
        <f>IFERROR(__xludf.DUMMYFUNCTION("""COMPUTED_VALUE"""),"online-election")</f>
        <v>online-election</v>
      </c>
      <c r="D912" s="35" t="b">
        <f>IFERROR(__xludf.DUMMYFUNCTION("""COMPUTED_VALUE"""),FALSE)</f>
        <v>0</v>
      </c>
      <c r="E912" s="35" t="str">
        <f>IFERROR(__xludf.DUMMYFUNCTION("""COMPUTED_VALUE"""),"Medium")</f>
        <v>Medium</v>
      </c>
      <c r="F912" s="35">
        <f>IFERROR(__xludf.DUMMYFUNCTION("""COMPUTED_VALUE"""),647.0)</f>
        <v>647</v>
      </c>
      <c r="G912" s="35">
        <f>IFERROR(__xludf.DUMMYFUNCTION("""COMPUTED_VALUE"""),493.0)</f>
        <v>493</v>
      </c>
      <c r="H912" s="35" t="str">
        <f>IFERROR(__xludf.DUMMYFUNCTION("""COMPUTED_VALUE"""),"Algorithms")</f>
        <v>Algorithms</v>
      </c>
      <c r="I912" s="35">
        <f>IFERROR(__xludf.DUMMYFUNCTION("""COMPUTED_VALUE"""),0.516)</f>
        <v>0.516</v>
      </c>
      <c r="J912" s="35">
        <f>IFERROR(__xludf.DUMMYFUNCTION("""COMPUTED_VALUE"""),911.0)</f>
        <v>911</v>
      </c>
      <c r="K912" s="35" t="b">
        <f>IFERROR(__xludf.DUMMYFUNCTION("""COMPUTED_VALUE"""),FALSE)</f>
        <v>0</v>
      </c>
      <c r="L912" s="35" t="str">
        <f>IFERROR(__xludf.DUMMYFUNCTION("""COMPUTED_VALUE"""),"Array;Hash Table;Binary Search;Design;")</f>
        <v>Array;Hash Table;Binary Search;Design;</v>
      </c>
      <c r="M912" s="35" t="b">
        <f>IFERROR(__xludf.DUMMYFUNCTION("""COMPUTED_VALUE"""),TRUE)</f>
        <v>1</v>
      </c>
      <c r="N912" s="35" t="b">
        <f>IFERROR(__xludf.DUMMYFUNCTION("""COMPUTED_VALUE"""),FALSE)</f>
        <v>0</v>
      </c>
      <c r="O912" s="35">
        <f>IFERROR(__xludf.DUMMYFUNCTION("""COMPUTED_VALUE"""),51.5664185882576)</f>
        <v>51.56641859</v>
      </c>
      <c r="P912" s="35">
        <f>IFERROR(__xludf.DUMMYFUNCTION("""COMPUTED_VALUE"""),38039.0)</f>
        <v>38039</v>
      </c>
      <c r="Q912" s="35">
        <f>IFERROR(__xludf.DUMMYFUNCTION("""COMPUTED_VALUE"""),73767.0)</f>
        <v>73767</v>
      </c>
    </row>
    <row r="913">
      <c r="A913" s="35">
        <f>IFERROR(__xludf.DUMMYFUNCTION("""COMPUTED_VALUE"""),948.0)</f>
        <v>948</v>
      </c>
      <c r="B913" s="35" t="str">
        <f>IFERROR(__xludf.DUMMYFUNCTION("""COMPUTED_VALUE"""),"Sort an Array")</f>
        <v>Sort an Array</v>
      </c>
      <c r="C913" s="35" t="str">
        <f>IFERROR(__xludf.DUMMYFUNCTION("""COMPUTED_VALUE"""),"sort-an-array")</f>
        <v>sort-an-array</v>
      </c>
      <c r="D913" s="35" t="b">
        <f>IFERROR(__xludf.DUMMYFUNCTION("""COMPUTED_VALUE"""),FALSE)</f>
        <v>0</v>
      </c>
      <c r="E913" s="35" t="str">
        <f>IFERROR(__xludf.DUMMYFUNCTION("""COMPUTED_VALUE"""),"Medium")</f>
        <v>Medium</v>
      </c>
      <c r="F913" s="35">
        <f>IFERROR(__xludf.DUMMYFUNCTION("""COMPUTED_VALUE"""),1889.0)</f>
        <v>1889</v>
      </c>
      <c r="G913" s="35">
        <f>IFERROR(__xludf.DUMMYFUNCTION("""COMPUTED_VALUE"""),504.0)</f>
        <v>504</v>
      </c>
      <c r="H913" s="35" t="str">
        <f>IFERROR(__xludf.DUMMYFUNCTION("""COMPUTED_VALUE"""),"Algorithms")</f>
        <v>Algorithms</v>
      </c>
      <c r="I913" s="35">
        <f>IFERROR(__xludf.DUMMYFUNCTION("""COMPUTED_VALUE"""),0.617)</f>
        <v>0.617</v>
      </c>
      <c r="J913" s="35">
        <f>IFERROR(__xludf.DUMMYFUNCTION("""COMPUTED_VALUE"""),912.0)</f>
        <v>912</v>
      </c>
      <c r="K913" s="35" t="b">
        <f>IFERROR(__xludf.DUMMYFUNCTION("""COMPUTED_VALUE"""),FALSE)</f>
        <v>0</v>
      </c>
      <c r="L913" s="35" t="str">
        <f>IFERROR(__xludf.DUMMYFUNCTION("""COMPUTED_VALUE"""),"Array;Divide and Conquer;Sorting;Heap (Priority Queue);Merge Sort;Bucket Sort;Radix Sort;Counting Sort;")</f>
        <v>Array;Divide and Conquer;Sorting;Heap (Priority Queue);Merge Sort;Bucket Sort;Radix Sort;Counting Sort;</v>
      </c>
      <c r="M913" s="35" t="b">
        <f>IFERROR(__xludf.DUMMYFUNCTION("""COMPUTED_VALUE"""),FALSE)</f>
        <v>0</v>
      </c>
      <c r="N913" s="35" t="b">
        <f>IFERROR(__xludf.DUMMYFUNCTION("""COMPUTED_VALUE"""),FALSE)</f>
        <v>0</v>
      </c>
      <c r="O913" s="35">
        <f>IFERROR(__xludf.DUMMYFUNCTION("""COMPUTED_VALUE"""),61.6584311303273)</f>
        <v>61.65843113</v>
      </c>
      <c r="P913" s="35">
        <f>IFERROR(__xludf.DUMMYFUNCTION("""COMPUTED_VALUE"""),243568.0)</f>
        <v>243568</v>
      </c>
      <c r="Q913" s="35">
        <f>IFERROR(__xludf.DUMMYFUNCTION("""COMPUTED_VALUE"""),395025.0)</f>
        <v>395025</v>
      </c>
    </row>
    <row r="914">
      <c r="A914" s="35">
        <f>IFERROR(__xludf.DUMMYFUNCTION("""COMPUTED_VALUE"""),949.0)</f>
        <v>949</v>
      </c>
      <c r="B914" s="35" t="str">
        <f>IFERROR(__xludf.DUMMYFUNCTION("""COMPUTED_VALUE"""),"Cat and Mouse")</f>
        <v>Cat and Mouse</v>
      </c>
      <c r="C914" s="35" t="str">
        <f>IFERROR(__xludf.DUMMYFUNCTION("""COMPUTED_VALUE"""),"cat-and-mouse")</f>
        <v>cat-and-mouse</v>
      </c>
      <c r="D914" s="35" t="b">
        <f>IFERROR(__xludf.DUMMYFUNCTION("""COMPUTED_VALUE"""),FALSE)</f>
        <v>0</v>
      </c>
      <c r="E914" s="35" t="str">
        <f>IFERROR(__xludf.DUMMYFUNCTION("""COMPUTED_VALUE"""),"Hard")</f>
        <v>Hard</v>
      </c>
      <c r="F914" s="35">
        <f>IFERROR(__xludf.DUMMYFUNCTION("""COMPUTED_VALUE"""),604.0)</f>
        <v>604</v>
      </c>
      <c r="G914" s="35">
        <f>IFERROR(__xludf.DUMMYFUNCTION("""COMPUTED_VALUE"""),107.0)</f>
        <v>107</v>
      </c>
      <c r="H914" s="35" t="str">
        <f>IFERROR(__xludf.DUMMYFUNCTION("""COMPUTED_VALUE"""),"Algorithms")</f>
        <v>Algorithms</v>
      </c>
      <c r="I914" s="35">
        <f>IFERROR(__xludf.DUMMYFUNCTION("""COMPUTED_VALUE"""),0.351)</f>
        <v>0.351</v>
      </c>
      <c r="J914" s="35">
        <f>IFERROR(__xludf.DUMMYFUNCTION("""COMPUTED_VALUE"""),913.0)</f>
        <v>913</v>
      </c>
      <c r="K914" s="35" t="b">
        <f>IFERROR(__xludf.DUMMYFUNCTION("""COMPUTED_VALUE"""),FALSE)</f>
        <v>0</v>
      </c>
      <c r="L914" s="35" t="str">
        <f>IFERROR(__xludf.DUMMYFUNCTION("""COMPUTED_VALUE"""),"Math;Dynamic Programming;Breadth-First Search;Graph;Memoization;Game Theory;")</f>
        <v>Math;Dynamic Programming;Breadth-First Search;Graph;Memoization;Game Theory;</v>
      </c>
      <c r="M914" s="35" t="b">
        <f>IFERROR(__xludf.DUMMYFUNCTION("""COMPUTED_VALUE"""),TRUE)</f>
        <v>1</v>
      </c>
      <c r="N914" s="35" t="b">
        <f>IFERROR(__xludf.DUMMYFUNCTION("""COMPUTED_VALUE"""),FALSE)</f>
        <v>0</v>
      </c>
      <c r="O914" s="35">
        <f>IFERROR(__xludf.DUMMYFUNCTION("""COMPUTED_VALUE"""),35.0694531347766)</f>
        <v>35.06945313</v>
      </c>
      <c r="P914" s="35">
        <f>IFERROR(__xludf.DUMMYFUNCTION("""COMPUTED_VALUE"""),14012.0)</f>
        <v>14012</v>
      </c>
      <c r="Q914" s="35">
        <f>IFERROR(__xludf.DUMMYFUNCTION("""COMPUTED_VALUE"""),39955.0)</f>
        <v>39955</v>
      </c>
    </row>
    <row r="915">
      <c r="A915" s="35">
        <f>IFERROR(__xludf.DUMMYFUNCTION("""COMPUTED_VALUE"""),950.0)</f>
        <v>950</v>
      </c>
      <c r="B915" s="35" t="str">
        <f>IFERROR(__xludf.DUMMYFUNCTION("""COMPUTED_VALUE"""),"X of a Kind in a Deck of Cards")</f>
        <v>X of a Kind in a Deck of Cards</v>
      </c>
      <c r="C915" s="35" t="str">
        <f>IFERROR(__xludf.DUMMYFUNCTION("""COMPUTED_VALUE"""),"x-of-a-kind-in-a-deck-of-cards")</f>
        <v>x-of-a-kind-in-a-deck-of-cards</v>
      </c>
      <c r="D915" s="35" t="b">
        <f>IFERROR(__xludf.DUMMYFUNCTION("""COMPUTED_VALUE"""),FALSE)</f>
        <v>0</v>
      </c>
      <c r="E915" s="35" t="str">
        <f>IFERROR(__xludf.DUMMYFUNCTION("""COMPUTED_VALUE"""),"Easy")</f>
        <v>Easy</v>
      </c>
      <c r="F915" s="35">
        <f>IFERROR(__xludf.DUMMYFUNCTION("""COMPUTED_VALUE"""),1176.0)</f>
        <v>1176</v>
      </c>
      <c r="G915" s="35">
        <f>IFERROR(__xludf.DUMMYFUNCTION("""COMPUTED_VALUE"""),287.0)</f>
        <v>287</v>
      </c>
      <c r="H915" s="35" t="str">
        <f>IFERROR(__xludf.DUMMYFUNCTION("""COMPUTED_VALUE"""),"Algorithms")</f>
        <v>Algorithms</v>
      </c>
      <c r="I915" s="35">
        <f>IFERROR(__xludf.DUMMYFUNCTION("""COMPUTED_VALUE"""),0.331)</f>
        <v>0.331</v>
      </c>
      <c r="J915" s="35">
        <f>IFERROR(__xludf.DUMMYFUNCTION("""COMPUTED_VALUE"""),914.0)</f>
        <v>914</v>
      </c>
      <c r="K915" s="35" t="b">
        <f>IFERROR(__xludf.DUMMYFUNCTION("""COMPUTED_VALUE"""),FALSE)</f>
        <v>0</v>
      </c>
      <c r="L915" s="35" t="str">
        <f>IFERROR(__xludf.DUMMYFUNCTION("""COMPUTED_VALUE"""),"Array;Hash Table;Math;Counting;Number Theory;")</f>
        <v>Array;Hash Table;Math;Counting;Number Theory;</v>
      </c>
      <c r="M915" s="35" t="b">
        <f>IFERROR(__xludf.DUMMYFUNCTION("""COMPUTED_VALUE"""),TRUE)</f>
        <v>1</v>
      </c>
      <c r="N915" s="35" t="b">
        <f>IFERROR(__xludf.DUMMYFUNCTION("""COMPUTED_VALUE"""),FALSE)</f>
        <v>0</v>
      </c>
      <c r="O915" s="35">
        <f>IFERROR(__xludf.DUMMYFUNCTION("""COMPUTED_VALUE"""),33.1501860947435)</f>
        <v>33.15018609</v>
      </c>
      <c r="P915" s="35">
        <f>IFERROR(__xludf.DUMMYFUNCTION("""COMPUTED_VALUE"""),82476.0)</f>
        <v>82476</v>
      </c>
      <c r="Q915" s="35">
        <f>IFERROR(__xludf.DUMMYFUNCTION("""COMPUTED_VALUE"""),248797.0)</f>
        <v>248797</v>
      </c>
    </row>
    <row r="916">
      <c r="A916" s="35">
        <f>IFERROR(__xludf.DUMMYFUNCTION("""COMPUTED_VALUE"""),951.0)</f>
        <v>951</v>
      </c>
      <c r="B916" s="35" t="str">
        <f>IFERROR(__xludf.DUMMYFUNCTION("""COMPUTED_VALUE"""),"Partition Array into Disjoint Intervals")</f>
        <v>Partition Array into Disjoint Intervals</v>
      </c>
      <c r="C916" s="35" t="str">
        <f>IFERROR(__xludf.DUMMYFUNCTION("""COMPUTED_VALUE"""),"partition-array-into-disjoint-intervals")</f>
        <v>partition-array-into-disjoint-intervals</v>
      </c>
      <c r="D916" s="35" t="b">
        <f>IFERROR(__xludf.DUMMYFUNCTION("""COMPUTED_VALUE"""),FALSE)</f>
        <v>0</v>
      </c>
      <c r="E916" s="35" t="str">
        <f>IFERROR(__xludf.DUMMYFUNCTION("""COMPUTED_VALUE"""),"Medium")</f>
        <v>Medium</v>
      </c>
      <c r="F916" s="35">
        <f>IFERROR(__xludf.DUMMYFUNCTION("""COMPUTED_VALUE"""),1140.0)</f>
        <v>1140</v>
      </c>
      <c r="G916" s="35">
        <f>IFERROR(__xludf.DUMMYFUNCTION("""COMPUTED_VALUE"""),58.0)</f>
        <v>58</v>
      </c>
      <c r="H916" s="35" t="str">
        <f>IFERROR(__xludf.DUMMYFUNCTION("""COMPUTED_VALUE"""),"Algorithms")</f>
        <v>Algorithms</v>
      </c>
      <c r="I916" s="35">
        <f>IFERROR(__xludf.DUMMYFUNCTION("""COMPUTED_VALUE"""),0.484)</f>
        <v>0.484</v>
      </c>
      <c r="J916" s="35">
        <f>IFERROR(__xludf.DUMMYFUNCTION("""COMPUTED_VALUE"""),915.0)</f>
        <v>915</v>
      </c>
      <c r="K916" s="35" t="b">
        <f>IFERROR(__xludf.DUMMYFUNCTION("""COMPUTED_VALUE"""),FALSE)</f>
        <v>0</v>
      </c>
      <c r="L916" s="35" t="str">
        <f>IFERROR(__xludf.DUMMYFUNCTION("""COMPUTED_VALUE"""),"Array;")</f>
        <v>Array;</v>
      </c>
      <c r="M916" s="35" t="b">
        <f>IFERROR(__xludf.DUMMYFUNCTION("""COMPUTED_VALUE"""),TRUE)</f>
        <v>1</v>
      </c>
      <c r="N916" s="35" t="b">
        <f>IFERROR(__xludf.DUMMYFUNCTION("""COMPUTED_VALUE"""),FALSE)</f>
        <v>0</v>
      </c>
      <c r="O916" s="35">
        <f>IFERROR(__xludf.DUMMYFUNCTION("""COMPUTED_VALUE"""),48.3827573837139)</f>
        <v>48.38275738</v>
      </c>
      <c r="P916" s="35">
        <f>IFERROR(__xludf.DUMMYFUNCTION("""COMPUTED_VALUE"""),64740.0)</f>
        <v>64740</v>
      </c>
      <c r="Q916" s="35">
        <f>IFERROR(__xludf.DUMMYFUNCTION("""COMPUTED_VALUE"""),133808.0)</f>
        <v>133808</v>
      </c>
    </row>
    <row r="917">
      <c r="A917" s="35">
        <f>IFERROR(__xludf.DUMMYFUNCTION("""COMPUTED_VALUE"""),952.0)</f>
        <v>952</v>
      </c>
      <c r="B917" s="35" t="str">
        <f>IFERROR(__xludf.DUMMYFUNCTION("""COMPUTED_VALUE"""),"Word Subsets")</f>
        <v>Word Subsets</v>
      </c>
      <c r="C917" s="35" t="str">
        <f>IFERROR(__xludf.DUMMYFUNCTION("""COMPUTED_VALUE"""),"word-subsets")</f>
        <v>word-subsets</v>
      </c>
      <c r="D917" s="35" t="b">
        <f>IFERROR(__xludf.DUMMYFUNCTION("""COMPUTED_VALUE"""),FALSE)</f>
        <v>0</v>
      </c>
      <c r="E917" s="35" t="str">
        <f>IFERROR(__xludf.DUMMYFUNCTION("""COMPUTED_VALUE"""),"Medium")</f>
        <v>Medium</v>
      </c>
      <c r="F917" s="35">
        <f>IFERROR(__xludf.DUMMYFUNCTION("""COMPUTED_VALUE"""),930.0)</f>
        <v>930</v>
      </c>
      <c r="G917" s="35">
        <f>IFERROR(__xludf.DUMMYFUNCTION("""COMPUTED_VALUE"""),124.0)</f>
        <v>124</v>
      </c>
      <c r="H917" s="35" t="str">
        <f>IFERROR(__xludf.DUMMYFUNCTION("""COMPUTED_VALUE"""),"Algorithms")</f>
        <v>Algorithms</v>
      </c>
      <c r="I917" s="35">
        <f>IFERROR(__xludf.DUMMYFUNCTION("""COMPUTED_VALUE"""),0.527)</f>
        <v>0.527</v>
      </c>
      <c r="J917" s="35">
        <f>IFERROR(__xludf.DUMMYFUNCTION("""COMPUTED_VALUE"""),916.0)</f>
        <v>916</v>
      </c>
      <c r="K917" s="35" t="b">
        <f>IFERROR(__xludf.DUMMYFUNCTION("""COMPUTED_VALUE"""),FALSE)</f>
        <v>0</v>
      </c>
      <c r="L917" s="35" t="str">
        <f>IFERROR(__xludf.DUMMYFUNCTION("""COMPUTED_VALUE"""),"Array;Hash Table;String;")</f>
        <v>Array;Hash Table;String;</v>
      </c>
      <c r="M917" s="35" t="b">
        <f>IFERROR(__xludf.DUMMYFUNCTION("""COMPUTED_VALUE"""),TRUE)</f>
        <v>1</v>
      </c>
      <c r="N917" s="35" t="b">
        <f>IFERROR(__xludf.DUMMYFUNCTION("""COMPUTED_VALUE"""),FALSE)</f>
        <v>0</v>
      </c>
      <c r="O917" s="35">
        <f>IFERROR(__xludf.DUMMYFUNCTION("""COMPUTED_VALUE"""),52.7176888640779)</f>
        <v>52.71768886</v>
      </c>
      <c r="P917" s="35">
        <f>IFERROR(__xludf.DUMMYFUNCTION("""COMPUTED_VALUE"""),49106.0)</f>
        <v>49106</v>
      </c>
      <c r="Q917" s="35">
        <f>IFERROR(__xludf.DUMMYFUNCTION("""COMPUTED_VALUE"""),93149.0)</f>
        <v>93149</v>
      </c>
    </row>
    <row r="918">
      <c r="A918" s="35">
        <f>IFERROR(__xludf.DUMMYFUNCTION("""COMPUTED_VALUE"""),953.0)</f>
        <v>953</v>
      </c>
      <c r="B918" s="35" t="str">
        <f>IFERROR(__xludf.DUMMYFUNCTION("""COMPUTED_VALUE"""),"Reverse Only Letters")</f>
        <v>Reverse Only Letters</v>
      </c>
      <c r="C918" s="35" t="str">
        <f>IFERROR(__xludf.DUMMYFUNCTION("""COMPUTED_VALUE"""),"reverse-only-letters")</f>
        <v>reverse-only-letters</v>
      </c>
      <c r="D918" s="35" t="b">
        <f>IFERROR(__xludf.DUMMYFUNCTION("""COMPUTED_VALUE"""),FALSE)</f>
        <v>0</v>
      </c>
      <c r="E918" s="35" t="str">
        <f>IFERROR(__xludf.DUMMYFUNCTION("""COMPUTED_VALUE"""),"Easy")</f>
        <v>Easy</v>
      </c>
      <c r="F918" s="35">
        <f>IFERROR(__xludf.DUMMYFUNCTION("""COMPUTED_VALUE"""),1383.0)</f>
        <v>1383</v>
      </c>
      <c r="G918" s="35">
        <f>IFERROR(__xludf.DUMMYFUNCTION("""COMPUTED_VALUE"""),51.0)</f>
        <v>51</v>
      </c>
      <c r="H918" s="35" t="str">
        <f>IFERROR(__xludf.DUMMYFUNCTION("""COMPUTED_VALUE"""),"Algorithms")</f>
        <v>Algorithms</v>
      </c>
      <c r="I918" s="35">
        <f>IFERROR(__xludf.DUMMYFUNCTION("""COMPUTED_VALUE"""),0.609)</f>
        <v>0.609</v>
      </c>
      <c r="J918" s="35">
        <f>IFERROR(__xludf.DUMMYFUNCTION("""COMPUTED_VALUE"""),917.0)</f>
        <v>917</v>
      </c>
      <c r="K918" s="35" t="b">
        <f>IFERROR(__xludf.DUMMYFUNCTION("""COMPUTED_VALUE"""),FALSE)</f>
        <v>0</v>
      </c>
      <c r="L918" s="35" t="str">
        <f>IFERROR(__xludf.DUMMYFUNCTION("""COMPUTED_VALUE"""),"Two Pointers;String;")</f>
        <v>Two Pointers;String;</v>
      </c>
      <c r="M918" s="35" t="b">
        <f>IFERROR(__xludf.DUMMYFUNCTION("""COMPUTED_VALUE"""),TRUE)</f>
        <v>1</v>
      </c>
      <c r="N918" s="35" t="b">
        <f>IFERROR(__xludf.DUMMYFUNCTION("""COMPUTED_VALUE"""),FALSE)</f>
        <v>0</v>
      </c>
      <c r="O918" s="35">
        <f>IFERROR(__xludf.DUMMYFUNCTION("""COMPUTED_VALUE"""),60.9191614370253)</f>
        <v>60.91916144</v>
      </c>
      <c r="P918" s="35">
        <f>IFERROR(__xludf.DUMMYFUNCTION("""COMPUTED_VALUE"""),129397.0)</f>
        <v>129397</v>
      </c>
      <c r="Q918" s="35">
        <f>IFERROR(__xludf.DUMMYFUNCTION("""COMPUTED_VALUE"""),212408.0)</f>
        <v>212408</v>
      </c>
    </row>
    <row r="919">
      <c r="A919" s="35">
        <f>IFERROR(__xludf.DUMMYFUNCTION("""COMPUTED_VALUE"""),954.0)</f>
        <v>954</v>
      </c>
      <c r="B919" s="35" t="str">
        <f>IFERROR(__xludf.DUMMYFUNCTION("""COMPUTED_VALUE"""),"Maximum Sum Circular Subarray")</f>
        <v>Maximum Sum Circular Subarray</v>
      </c>
      <c r="C919" s="35" t="str">
        <f>IFERROR(__xludf.DUMMYFUNCTION("""COMPUTED_VALUE"""),"maximum-sum-circular-subarray")</f>
        <v>maximum-sum-circular-subarray</v>
      </c>
      <c r="D919" s="35" t="b">
        <f>IFERROR(__xludf.DUMMYFUNCTION("""COMPUTED_VALUE"""),FALSE)</f>
        <v>0</v>
      </c>
      <c r="E919" s="35" t="str">
        <f>IFERROR(__xludf.DUMMYFUNCTION("""COMPUTED_VALUE"""),"Medium")</f>
        <v>Medium</v>
      </c>
      <c r="F919" s="35">
        <f>IFERROR(__xludf.DUMMYFUNCTION("""COMPUTED_VALUE"""),2874.0)</f>
        <v>2874</v>
      </c>
      <c r="G919" s="35">
        <f>IFERROR(__xludf.DUMMYFUNCTION("""COMPUTED_VALUE"""),132.0)</f>
        <v>132</v>
      </c>
      <c r="H919" s="35" t="str">
        <f>IFERROR(__xludf.DUMMYFUNCTION("""COMPUTED_VALUE"""),"Algorithms")</f>
        <v>Algorithms</v>
      </c>
      <c r="I919" s="35">
        <f>IFERROR(__xludf.DUMMYFUNCTION("""COMPUTED_VALUE"""),0.368)</f>
        <v>0.368</v>
      </c>
      <c r="J919" s="35">
        <f>IFERROR(__xludf.DUMMYFUNCTION("""COMPUTED_VALUE"""),918.0)</f>
        <v>918</v>
      </c>
      <c r="K919" s="35" t="b">
        <f>IFERROR(__xludf.DUMMYFUNCTION("""COMPUTED_VALUE"""),FALSE)</f>
        <v>0</v>
      </c>
      <c r="L919" s="35" t="str">
        <f>IFERROR(__xludf.DUMMYFUNCTION("""COMPUTED_VALUE"""),"Array;Divide and Conquer;Dynamic Programming;Queue;Monotonic Queue;")</f>
        <v>Array;Divide and Conquer;Dynamic Programming;Queue;Monotonic Queue;</v>
      </c>
      <c r="M919" s="35" t="b">
        <f>IFERROR(__xludf.DUMMYFUNCTION("""COMPUTED_VALUE"""),TRUE)</f>
        <v>1</v>
      </c>
      <c r="N919" s="35" t="b">
        <f>IFERROR(__xludf.DUMMYFUNCTION("""COMPUTED_VALUE"""),FALSE)</f>
        <v>0</v>
      </c>
      <c r="O919" s="35">
        <f>IFERROR(__xludf.DUMMYFUNCTION("""COMPUTED_VALUE"""),36.821957752687)</f>
        <v>36.82195775</v>
      </c>
      <c r="P919" s="35">
        <f>IFERROR(__xludf.DUMMYFUNCTION("""COMPUTED_VALUE"""),108598.0)</f>
        <v>108598</v>
      </c>
      <c r="Q919" s="35">
        <f>IFERROR(__xludf.DUMMYFUNCTION("""COMPUTED_VALUE"""),294928.0)</f>
        <v>294928</v>
      </c>
    </row>
    <row r="920">
      <c r="A920" s="35">
        <f>IFERROR(__xludf.DUMMYFUNCTION("""COMPUTED_VALUE"""),955.0)</f>
        <v>955</v>
      </c>
      <c r="B920" s="35" t="str">
        <f>IFERROR(__xludf.DUMMYFUNCTION("""COMPUTED_VALUE"""),"Complete Binary Tree Inserter")</f>
        <v>Complete Binary Tree Inserter</v>
      </c>
      <c r="C920" s="35" t="str">
        <f>IFERROR(__xludf.DUMMYFUNCTION("""COMPUTED_VALUE"""),"complete-binary-tree-inserter")</f>
        <v>complete-binary-tree-inserter</v>
      </c>
      <c r="D920" s="35" t="b">
        <f>IFERROR(__xludf.DUMMYFUNCTION("""COMPUTED_VALUE"""),FALSE)</f>
        <v>0</v>
      </c>
      <c r="E920" s="35" t="str">
        <f>IFERROR(__xludf.DUMMYFUNCTION("""COMPUTED_VALUE"""),"Medium")</f>
        <v>Medium</v>
      </c>
      <c r="F920" s="35">
        <f>IFERROR(__xludf.DUMMYFUNCTION("""COMPUTED_VALUE"""),728.0)</f>
        <v>728</v>
      </c>
      <c r="G920" s="35">
        <f>IFERROR(__xludf.DUMMYFUNCTION("""COMPUTED_VALUE"""),82.0)</f>
        <v>82</v>
      </c>
      <c r="H920" s="35" t="str">
        <f>IFERROR(__xludf.DUMMYFUNCTION("""COMPUTED_VALUE"""),"Algorithms")</f>
        <v>Algorithms</v>
      </c>
      <c r="I920" s="35">
        <f>IFERROR(__xludf.DUMMYFUNCTION("""COMPUTED_VALUE"""),0.637)</f>
        <v>0.637</v>
      </c>
      <c r="J920" s="35">
        <f>IFERROR(__xludf.DUMMYFUNCTION("""COMPUTED_VALUE"""),919.0)</f>
        <v>919</v>
      </c>
      <c r="K920" s="35" t="b">
        <f>IFERROR(__xludf.DUMMYFUNCTION("""COMPUTED_VALUE"""),FALSE)</f>
        <v>0</v>
      </c>
      <c r="L920" s="35" t="str">
        <f>IFERROR(__xludf.DUMMYFUNCTION("""COMPUTED_VALUE"""),"Tree;Breadth-First Search;Design;Binary Tree;")</f>
        <v>Tree;Breadth-First Search;Design;Binary Tree;</v>
      </c>
      <c r="M920" s="35" t="b">
        <f>IFERROR(__xludf.DUMMYFUNCTION("""COMPUTED_VALUE"""),TRUE)</f>
        <v>1</v>
      </c>
      <c r="N920" s="35" t="b">
        <f>IFERROR(__xludf.DUMMYFUNCTION("""COMPUTED_VALUE"""),FALSE)</f>
        <v>0</v>
      </c>
      <c r="O920" s="35">
        <f>IFERROR(__xludf.DUMMYFUNCTION("""COMPUTED_VALUE"""),63.7060144318941)</f>
        <v>63.70601443</v>
      </c>
      <c r="P920" s="35">
        <f>IFERROR(__xludf.DUMMYFUNCTION("""COMPUTED_VALUE"""),37168.0)</f>
        <v>37168</v>
      </c>
      <c r="Q920" s="35">
        <f>IFERROR(__xludf.DUMMYFUNCTION("""COMPUTED_VALUE"""),58343.0)</f>
        <v>58343</v>
      </c>
    </row>
    <row r="921">
      <c r="A921" s="35">
        <f>IFERROR(__xludf.DUMMYFUNCTION("""COMPUTED_VALUE"""),956.0)</f>
        <v>956</v>
      </c>
      <c r="B921" s="35" t="str">
        <f>IFERROR(__xludf.DUMMYFUNCTION("""COMPUTED_VALUE"""),"Number of Music Playlists")</f>
        <v>Number of Music Playlists</v>
      </c>
      <c r="C921" s="35" t="str">
        <f>IFERROR(__xludf.DUMMYFUNCTION("""COMPUTED_VALUE"""),"number-of-music-playlists")</f>
        <v>number-of-music-playlists</v>
      </c>
      <c r="D921" s="35" t="b">
        <f>IFERROR(__xludf.DUMMYFUNCTION("""COMPUTED_VALUE"""),FALSE)</f>
        <v>0</v>
      </c>
      <c r="E921" s="35" t="str">
        <f>IFERROR(__xludf.DUMMYFUNCTION("""COMPUTED_VALUE"""),"Hard")</f>
        <v>Hard</v>
      </c>
      <c r="F921" s="35">
        <f>IFERROR(__xludf.DUMMYFUNCTION("""COMPUTED_VALUE"""),687.0)</f>
        <v>687</v>
      </c>
      <c r="G921" s="35">
        <f>IFERROR(__xludf.DUMMYFUNCTION("""COMPUTED_VALUE"""),64.0)</f>
        <v>64</v>
      </c>
      <c r="H921" s="35" t="str">
        <f>IFERROR(__xludf.DUMMYFUNCTION("""COMPUTED_VALUE"""),"Algorithms")</f>
        <v>Algorithms</v>
      </c>
      <c r="I921" s="35">
        <f>IFERROR(__xludf.DUMMYFUNCTION("""COMPUTED_VALUE"""),0.493)</f>
        <v>0.493</v>
      </c>
      <c r="J921" s="35">
        <f>IFERROR(__xludf.DUMMYFUNCTION("""COMPUTED_VALUE"""),920.0)</f>
        <v>920</v>
      </c>
      <c r="K921" s="35" t="b">
        <f>IFERROR(__xludf.DUMMYFUNCTION("""COMPUTED_VALUE"""),FALSE)</f>
        <v>0</v>
      </c>
      <c r="L921" s="35" t="str">
        <f>IFERROR(__xludf.DUMMYFUNCTION("""COMPUTED_VALUE"""),"Math;Dynamic Programming;Combinatorics;")</f>
        <v>Math;Dynamic Programming;Combinatorics;</v>
      </c>
      <c r="M921" s="35" t="b">
        <f>IFERROR(__xludf.DUMMYFUNCTION("""COMPUTED_VALUE"""),TRUE)</f>
        <v>1</v>
      </c>
      <c r="N921" s="35" t="b">
        <f>IFERROR(__xludf.DUMMYFUNCTION("""COMPUTED_VALUE"""),FALSE)</f>
        <v>0</v>
      </c>
      <c r="O921" s="35">
        <f>IFERROR(__xludf.DUMMYFUNCTION("""COMPUTED_VALUE"""),49.326514643416)</f>
        <v>49.32651464</v>
      </c>
      <c r="P921" s="35">
        <f>IFERROR(__xludf.DUMMYFUNCTION("""COMPUTED_VALUE"""),17651.0)</f>
        <v>17651</v>
      </c>
      <c r="Q921" s="35">
        <f>IFERROR(__xludf.DUMMYFUNCTION("""COMPUTED_VALUE"""),35784.0)</f>
        <v>35784</v>
      </c>
    </row>
    <row r="922">
      <c r="A922" s="35">
        <f>IFERROR(__xludf.DUMMYFUNCTION("""COMPUTED_VALUE"""),957.0)</f>
        <v>957</v>
      </c>
      <c r="B922" s="35" t="str">
        <f>IFERROR(__xludf.DUMMYFUNCTION("""COMPUTED_VALUE"""),"Minimum Add to Make Parentheses Valid")</f>
        <v>Minimum Add to Make Parentheses Valid</v>
      </c>
      <c r="C922" s="35" t="str">
        <f>IFERROR(__xludf.DUMMYFUNCTION("""COMPUTED_VALUE"""),"minimum-add-to-make-parentheses-valid")</f>
        <v>minimum-add-to-make-parentheses-valid</v>
      </c>
      <c r="D922" s="35" t="b">
        <f>IFERROR(__xludf.DUMMYFUNCTION("""COMPUTED_VALUE"""),FALSE)</f>
        <v>0</v>
      </c>
      <c r="E922" s="35" t="str">
        <f>IFERROR(__xludf.DUMMYFUNCTION("""COMPUTED_VALUE"""),"Medium")</f>
        <v>Medium</v>
      </c>
      <c r="F922" s="35">
        <f>IFERROR(__xludf.DUMMYFUNCTION("""COMPUTED_VALUE"""),2296.0)</f>
        <v>2296</v>
      </c>
      <c r="G922" s="35">
        <f>IFERROR(__xludf.DUMMYFUNCTION("""COMPUTED_VALUE"""),133.0)</f>
        <v>133</v>
      </c>
      <c r="H922" s="35" t="str">
        <f>IFERROR(__xludf.DUMMYFUNCTION("""COMPUTED_VALUE"""),"Algorithms")</f>
        <v>Algorithms</v>
      </c>
      <c r="I922" s="35">
        <f>IFERROR(__xludf.DUMMYFUNCTION("""COMPUTED_VALUE"""),0.773)</f>
        <v>0.773</v>
      </c>
      <c r="J922" s="35">
        <f>IFERROR(__xludf.DUMMYFUNCTION("""COMPUTED_VALUE"""),921.0)</f>
        <v>921</v>
      </c>
      <c r="K922" s="35" t="b">
        <f>IFERROR(__xludf.DUMMYFUNCTION("""COMPUTED_VALUE"""),FALSE)</f>
        <v>0</v>
      </c>
      <c r="L922" s="35" t="str">
        <f>IFERROR(__xludf.DUMMYFUNCTION("""COMPUTED_VALUE"""),"String;Stack;Greedy;")</f>
        <v>String;Stack;Greedy;</v>
      </c>
      <c r="M922" s="35" t="b">
        <f>IFERROR(__xludf.DUMMYFUNCTION("""COMPUTED_VALUE"""),TRUE)</f>
        <v>1</v>
      </c>
      <c r="N922" s="35" t="b">
        <f>IFERROR(__xludf.DUMMYFUNCTION("""COMPUTED_VALUE"""),FALSE)</f>
        <v>0</v>
      </c>
      <c r="O922" s="35">
        <f>IFERROR(__xludf.DUMMYFUNCTION("""COMPUTED_VALUE"""),77.2676927620891)</f>
        <v>77.26769276</v>
      </c>
      <c r="P922" s="35">
        <f>IFERROR(__xludf.DUMMYFUNCTION("""COMPUTED_VALUE"""),188352.0)</f>
        <v>188352</v>
      </c>
      <c r="Q922" s="35">
        <f>IFERROR(__xludf.DUMMYFUNCTION("""COMPUTED_VALUE"""),243766.0)</f>
        <v>243766</v>
      </c>
    </row>
    <row r="923">
      <c r="A923" s="35">
        <f>IFERROR(__xludf.DUMMYFUNCTION("""COMPUTED_VALUE"""),958.0)</f>
        <v>958</v>
      </c>
      <c r="B923" s="35" t="str">
        <f>IFERROR(__xludf.DUMMYFUNCTION("""COMPUTED_VALUE"""),"Sort Array By Parity II")</f>
        <v>Sort Array By Parity II</v>
      </c>
      <c r="C923" s="35" t="str">
        <f>IFERROR(__xludf.DUMMYFUNCTION("""COMPUTED_VALUE"""),"sort-array-by-parity-ii")</f>
        <v>sort-array-by-parity-ii</v>
      </c>
      <c r="D923" s="35" t="b">
        <f>IFERROR(__xludf.DUMMYFUNCTION("""COMPUTED_VALUE"""),FALSE)</f>
        <v>0</v>
      </c>
      <c r="E923" s="35" t="str">
        <f>IFERROR(__xludf.DUMMYFUNCTION("""COMPUTED_VALUE"""),"Easy")</f>
        <v>Easy</v>
      </c>
      <c r="F923" s="35">
        <f>IFERROR(__xludf.DUMMYFUNCTION("""COMPUTED_VALUE"""),1661.0)</f>
        <v>1661</v>
      </c>
      <c r="G923" s="35">
        <f>IFERROR(__xludf.DUMMYFUNCTION("""COMPUTED_VALUE"""),70.0)</f>
        <v>70</v>
      </c>
      <c r="H923" s="35" t="str">
        <f>IFERROR(__xludf.DUMMYFUNCTION("""COMPUTED_VALUE"""),"Algorithms")</f>
        <v>Algorithms</v>
      </c>
      <c r="I923" s="35">
        <f>IFERROR(__xludf.DUMMYFUNCTION("""COMPUTED_VALUE"""),0.706)</f>
        <v>0.706</v>
      </c>
      <c r="J923" s="35">
        <f>IFERROR(__xludf.DUMMYFUNCTION("""COMPUTED_VALUE"""),922.0)</f>
        <v>922</v>
      </c>
      <c r="K923" s="35" t="b">
        <f>IFERROR(__xludf.DUMMYFUNCTION("""COMPUTED_VALUE"""),FALSE)</f>
        <v>0</v>
      </c>
      <c r="L923" s="35" t="str">
        <f>IFERROR(__xludf.DUMMYFUNCTION("""COMPUTED_VALUE"""),"Array;Two Pointers;Sorting;")</f>
        <v>Array;Two Pointers;Sorting;</v>
      </c>
      <c r="M923" s="35" t="b">
        <f>IFERROR(__xludf.DUMMYFUNCTION("""COMPUTED_VALUE"""),TRUE)</f>
        <v>1</v>
      </c>
      <c r="N923" s="35" t="b">
        <f>IFERROR(__xludf.DUMMYFUNCTION("""COMPUTED_VALUE"""),TRUE)</f>
        <v>1</v>
      </c>
      <c r="O923" s="35">
        <f>IFERROR(__xludf.DUMMYFUNCTION("""COMPUTED_VALUE"""),70.6252375221687)</f>
        <v>70.62523752</v>
      </c>
      <c r="P923" s="35">
        <f>IFERROR(__xludf.DUMMYFUNCTION("""COMPUTED_VALUE"""),178400.0)</f>
        <v>178400</v>
      </c>
      <c r="Q923" s="35">
        <f>IFERROR(__xludf.DUMMYFUNCTION("""COMPUTED_VALUE"""),252603.0)</f>
        <v>252603</v>
      </c>
    </row>
    <row r="924">
      <c r="A924" s="35">
        <f>IFERROR(__xludf.DUMMYFUNCTION("""COMPUTED_VALUE"""),959.0)</f>
        <v>959</v>
      </c>
      <c r="B924" s="35" t="str">
        <f>IFERROR(__xludf.DUMMYFUNCTION("""COMPUTED_VALUE"""),"3Sum With Multiplicity")</f>
        <v>3Sum With Multiplicity</v>
      </c>
      <c r="C924" s="35" t="str">
        <f>IFERROR(__xludf.DUMMYFUNCTION("""COMPUTED_VALUE"""),"3sum-with-multiplicity")</f>
        <v>3sum-with-multiplicity</v>
      </c>
      <c r="D924" s="35" t="b">
        <f>IFERROR(__xludf.DUMMYFUNCTION("""COMPUTED_VALUE"""),FALSE)</f>
        <v>0</v>
      </c>
      <c r="E924" s="35" t="str">
        <f>IFERROR(__xludf.DUMMYFUNCTION("""COMPUTED_VALUE"""),"Medium")</f>
        <v>Medium</v>
      </c>
      <c r="F924" s="35">
        <f>IFERROR(__xludf.DUMMYFUNCTION("""COMPUTED_VALUE"""),887.0)</f>
        <v>887</v>
      </c>
      <c r="G924" s="35">
        <f>IFERROR(__xludf.DUMMYFUNCTION("""COMPUTED_VALUE"""),142.0)</f>
        <v>142</v>
      </c>
      <c r="H924" s="35" t="str">
        <f>IFERROR(__xludf.DUMMYFUNCTION("""COMPUTED_VALUE"""),"Algorithms")</f>
        <v>Algorithms</v>
      </c>
      <c r="I924" s="35">
        <f>IFERROR(__xludf.DUMMYFUNCTION("""COMPUTED_VALUE"""),0.414)</f>
        <v>0.414</v>
      </c>
      <c r="J924" s="35">
        <f>IFERROR(__xludf.DUMMYFUNCTION("""COMPUTED_VALUE"""),923.0)</f>
        <v>923</v>
      </c>
      <c r="K924" s="35" t="b">
        <f>IFERROR(__xludf.DUMMYFUNCTION("""COMPUTED_VALUE"""),FALSE)</f>
        <v>0</v>
      </c>
      <c r="L924" s="35" t="str">
        <f>IFERROR(__xludf.DUMMYFUNCTION("""COMPUTED_VALUE"""),"Array;Hash Table;Two Pointers;Sorting;Counting;")</f>
        <v>Array;Hash Table;Two Pointers;Sorting;Counting;</v>
      </c>
      <c r="M924" s="35" t="b">
        <f>IFERROR(__xludf.DUMMYFUNCTION("""COMPUTED_VALUE"""),TRUE)</f>
        <v>1</v>
      </c>
      <c r="N924" s="35" t="b">
        <f>IFERROR(__xludf.DUMMYFUNCTION("""COMPUTED_VALUE"""),FALSE)</f>
        <v>0</v>
      </c>
      <c r="O924" s="35">
        <f>IFERROR(__xludf.DUMMYFUNCTION("""COMPUTED_VALUE"""),41.3756207303355)</f>
        <v>41.37562073</v>
      </c>
      <c r="P924" s="35">
        <f>IFERROR(__xludf.DUMMYFUNCTION("""COMPUTED_VALUE"""),45243.0)</f>
        <v>45243</v>
      </c>
      <c r="Q924" s="35">
        <f>IFERROR(__xludf.DUMMYFUNCTION("""COMPUTED_VALUE"""),109347.0)</f>
        <v>109347</v>
      </c>
    </row>
    <row r="925">
      <c r="A925" s="35">
        <f>IFERROR(__xludf.DUMMYFUNCTION("""COMPUTED_VALUE"""),960.0)</f>
        <v>960</v>
      </c>
      <c r="B925" s="35" t="str">
        <f>IFERROR(__xludf.DUMMYFUNCTION("""COMPUTED_VALUE"""),"Minimize Malware Spread")</f>
        <v>Minimize Malware Spread</v>
      </c>
      <c r="C925" s="35" t="str">
        <f>IFERROR(__xludf.DUMMYFUNCTION("""COMPUTED_VALUE"""),"minimize-malware-spread")</f>
        <v>minimize-malware-spread</v>
      </c>
      <c r="D925" s="35" t="b">
        <f>IFERROR(__xludf.DUMMYFUNCTION("""COMPUTED_VALUE"""),FALSE)</f>
        <v>0</v>
      </c>
      <c r="E925" s="35" t="str">
        <f>IFERROR(__xludf.DUMMYFUNCTION("""COMPUTED_VALUE"""),"Hard")</f>
        <v>Hard</v>
      </c>
      <c r="F925" s="35">
        <f>IFERROR(__xludf.DUMMYFUNCTION("""COMPUTED_VALUE"""),581.0)</f>
        <v>581</v>
      </c>
      <c r="G925" s="35">
        <f>IFERROR(__xludf.DUMMYFUNCTION("""COMPUTED_VALUE"""),397.0)</f>
        <v>397</v>
      </c>
      <c r="H925" s="35" t="str">
        <f>IFERROR(__xludf.DUMMYFUNCTION("""COMPUTED_VALUE"""),"Algorithms")</f>
        <v>Algorithms</v>
      </c>
      <c r="I925" s="35">
        <f>IFERROR(__xludf.DUMMYFUNCTION("""COMPUTED_VALUE"""),0.419)</f>
        <v>0.419</v>
      </c>
      <c r="J925" s="35">
        <f>IFERROR(__xludf.DUMMYFUNCTION("""COMPUTED_VALUE"""),924.0)</f>
        <v>924</v>
      </c>
      <c r="K925" s="35" t="b">
        <f>IFERROR(__xludf.DUMMYFUNCTION("""COMPUTED_VALUE"""),FALSE)</f>
        <v>0</v>
      </c>
      <c r="L925" s="35" t="str">
        <f>IFERROR(__xludf.DUMMYFUNCTION("""COMPUTED_VALUE"""),"Array;Depth-First Search;Breadth-First Search;Union Find;Matrix;")</f>
        <v>Array;Depth-First Search;Breadth-First Search;Union Find;Matrix;</v>
      </c>
      <c r="M925" s="35" t="b">
        <f>IFERROR(__xludf.DUMMYFUNCTION("""COMPUTED_VALUE"""),TRUE)</f>
        <v>1</v>
      </c>
      <c r="N925" s="35" t="b">
        <f>IFERROR(__xludf.DUMMYFUNCTION("""COMPUTED_VALUE"""),FALSE)</f>
        <v>0</v>
      </c>
      <c r="O925" s="35">
        <f>IFERROR(__xludf.DUMMYFUNCTION("""COMPUTED_VALUE"""),41.8805696869966)</f>
        <v>41.88056969</v>
      </c>
      <c r="P925" s="35">
        <f>IFERROR(__xludf.DUMMYFUNCTION("""COMPUTED_VALUE"""),36140.0)</f>
        <v>36140</v>
      </c>
      <c r="Q925" s="35">
        <f>IFERROR(__xludf.DUMMYFUNCTION("""COMPUTED_VALUE"""),86293.0)</f>
        <v>86293</v>
      </c>
    </row>
    <row r="926">
      <c r="A926" s="35">
        <f>IFERROR(__xludf.DUMMYFUNCTION("""COMPUTED_VALUE"""),961.0)</f>
        <v>961</v>
      </c>
      <c r="B926" s="35" t="str">
        <f>IFERROR(__xludf.DUMMYFUNCTION("""COMPUTED_VALUE"""),"Long Pressed Name")</f>
        <v>Long Pressed Name</v>
      </c>
      <c r="C926" s="35" t="str">
        <f>IFERROR(__xludf.DUMMYFUNCTION("""COMPUTED_VALUE"""),"long-pressed-name")</f>
        <v>long-pressed-name</v>
      </c>
      <c r="D926" s="35" t="b">
        <f>IFERROR(__xludf.DUMMYFUNCTION("""COMPUTED_VALUE"""),FALSE)</f>
        <v>0</v>
      </c>
      <c r="E926" s="35" t="str">
        <f>IFERROR(__xludf.DUMMYFUNCTION("""COMPUTED_VALUE"""),"Easy")</f>
        <v>Easy</v>
      </c>
      <c r="F926" s="35">
        <f>IFERROR(__xludf.DUMMYFUNCTION("""COMPUTED_VALUE"""),1525.0)</f>
        <v>1525</v>
      </c>
      <c r="G926" s="35">
        <f>IFERROR(__xludf.DUMMYFUNCTION("""COMPUTED_VALUE"""),234.0)</f>
        <v>234</v>
      </c>
      <c r="H926" s="35" t="str">
        <f>IFERROR(__xludf.DUMMYFUNCTION("""COMPUTED_VALUE"""),"Algorithms")</f>
        <v>Algorithms</v>
      </c>
      <c r="I926" s="35">
        <f>IFERROR(__xludf.DUMMYFUNCTION("""COMPUTED_VALUE"""),0.349)</f>
        <v>0.349</v>
      </c>
      <c r="J926" s="35">
        <f>IFERROR(__xludf.DUMMYFUNCTION("""COMPUTED_VALUE"""),925.0)</f>
        <v>925</v>
      </c>
      <c r="K926" s="35" t="b">
        <f>IFERROR(__xludf.DUMMYFUNCTION("""COMPUTED_VALUE"""),FALSE)</f>
        <v>0</v>
      </c>
      <c r="L926" s="35" t="str">
        <f>IFERROR(__xludf.DUMMYFUNCTION("""COMPUTED_VALUE"""),"Two Pointers;String;")</f>
        <v>Two Pointers;String;</v>
      </c>
      <c r="M926" s="35" t="b">
        <f>IFERROR(__xludf.DUMMYFUNCTION("""COMPUTED_VALUE"""),FALSE)</f>
        <v>0</v>
      </c>
      <c r="N926" s="35" t="b">
        <f>IFERROR(__xludf.DUMMYFUNCTION("""COMPUTED_VALUE"""),FALSE)</f>
        <v>0</v>
      </c>
      <c r="O926" s="35">
        <f>IFERROR(__xludf.DUMMYFUNCTION("""COMPUTED_VALUE"""),34.8865405223594)</f>
        <v>34.88654052</v>
      </c>
      <c r="P926" s="35">
        <f>IFERROR(__xludf.DUMMYFUNCTION("""COMPUTED_VALUE"""),89200.0)</f>
        <v>89200</v>
      </c>
      <c r="Q926" s="35">
        <f>IFERROR(__xludf.DUMMYFUNCTION("""COMPUTED_VALUE"""),255686.0)</f>
        <v>255686</v>
      </c>
    </row>
    <row r="927">
      <c r="A927" s="35">
        <f>IFERROR(__xludf.DUMMYFUNCTION("""COMPUTED_VALUE"""),962.0)</f>
        <v>962</v>
      </c>
      <c r="B927" s="35" t="str">
        <f>IFERROR(__xludf.DUMMYFUNCTION("""COMPUTED_VALUE"""),"Flip String to Monotone Increasing")</f>
        <v>Flip String to Monotone Increasing</v>
      </c>
      <c r="C927" s="35" t="str">
        <f>IFERROR(__xludf.DUMMYFUNCTION("""COMPUTED_VALUE"""),"flip-string-to-monotone-increasing")</f>
        <v>flip-string-to-monotone-increasing</v>
      </c>
      <c r="D927" s="35" t="b">
        <f>IFERROR(__xludf.DUMMYFUNCTION("""COMPUTED_VALUE"""),FALSE)</f>
        <v>0</v>
      </c>
      <c r="E927" s="35" t="str">
        <f>IFERROR(__xludf.DUMMYFUNCTION("""COMPUTED_VALUE"""),"Medium")</f>
        <v>Medium</v>
      </c>
      <c r="F927" s="35">
        <f>IFERROR(__xludf.DUMMYFUNCTION("""COMPUTED_VALUE"""),1827.0)</f>
        <v>1827</v>
      </c>
      <c r="G927" s="35">
        <f>IFERROR(__xludf.DUMMYFUNCTION("""COMPUTED_VALUE"""),74.0)</f>
        <v>74</v>
      </c>
      <c r="H927" s="35" t="str">
        <f>IFERROR(__xludf.DUMMYFUNCTION("""COMPUTED_VALUE"""),"Algorithms")</f>
        <v>Algorithms</v>
      </c>
      <c r="I927" s="35">
        <f>IFERROR(__xludf.DUMMYFUNCTION("""COMPUTED_VALUE"""),0.584)</f>
        <v>0.584</v>
      </c>
      <c r="J927" s="35">
        <f>IFERROR(__xludf.DUMMYFUNCTION("""COMPUTED_VALUE"""),926.0)</f>
        <v>926</v>
      </c>
      <c r="K927" s="35" t="b">
        <f>IFERROR(__xludf.DUMMYFUNCTION("""COMPUTED_VALUE"""),FALSE)</f>
        <v>0</v>
      </c>
      <c r="L927" s="35" t="str">
        <f>IFERROR(__xludf.DUMMYFUNCTION("""COMPUTED_VALUE"""),"String;Dynamic Programming;")</f>
        <v>String;Dynamic Programming;</v>
      </c>
      <c r="M927" s="35" t="b">
        <f>IFERROR(__xludf.DUMMYFUNCTION("""COMPUTED_VALUE"""),TRUE)</f>
        <v>1</v>
      </c>
      <c r="N927" s="35" t="b">
        <f>IFERROR(__xludf.DUMMYFUNCTION("""COMPUTED_VALUE"""),FALSE)</f>
        <v>0</v>
      </c>
      <c r="O927" s="35">
        <f>IFERROR(__xludf.DUMMYFUNCTION("""COMPUTED_VALUE"""),58.352769470717)</f>
        <v>58.35276947</v>
      </c>
      <c r="P927" s="35">
        <f>IFERROR(__xludf.DUMMYFUNCTION("""COMPUTED_VALUE"""),81557.0)</f>
        <v>81557</v>
      </c>
      <c r="Q927" s="35">
        <f>IFERROR(__xludf.DUMMYFUNCTION("""COMPUTED_VALUE"""),139769.0)</f>
        <v>139769</v>
      </c>
    </row>
    <row r="928">
      <c r="A928" s="35">
        <f>IFERROR(__xludf.DUMMYFUNCTION("""COMPUTED_VALUE"""),963.0)</f>
        <v>963</v>
      </c>
      <c r="B928" s="35" t="str">
        <f>IFERROR(__xludf.DUMMYFUNCTION("""COMPUTED_VALUE"""),"Three Equal Parts")</f>
        <v>Three Equal Parts</v>
      </c>
      <c r="C928" s="35" t="str">
        <f>IFERROR(__xludf.DUMMYFUNCTION("""COMPUTED_VALUE"""),"three-equal-parts")</f>
        <v>three-equal-parts</v>
      </c>
      <c r="D928" s="35" t="b">
        <f>IFERROR(__xludf.DUMMYFUNCTION("""COMPUTED_VALUE"""),FALSE)</f>
        <v>0</v>
      </c>
      <c r="E928" s="35" t="str">
        <f>IFERROR(__xludf.DUMMYFUNCTION("""COMPUTED_VALUE"""),"Hard")</f>
        <v>Hard</v>
      </c>
      <c r="F928" s="35">
        <f>IFERROR(__xludf.DUMMYFUNCTION("""COMPUTED_VALUE"""),672.0)</f>
        <v>672</v>
      </c>
      <c r="G928" s="35">
        <f>IFERROR(__xludf.DUMMYFUNCTION("""COMPUTED_VALUE"""),103.0)</f>
        <v>103</v>
      </c>
      <c r="H928" s="35" t="str">
        <f>IFERROR(__xludf.DUMMYFUNCTION("""COMPUTED_VALUE"""),"Algorithms")</f>
        <v>Algorithms</v>
      </c>
      <c r="I928" s="35">
        <f>IFERROR(__xludf.DUMMYFUNCTION("""COMPUTED_VALUE"""),0.393)</f>
        <v>0.393</v>
      </c>
      <c r="J928" s="35">
        <f>IFERROR(__xludf.DUMMYFUNCTION("""COMPUTED_VALUE"""),927.0)</f>
        <v>927</v>
      </c>
      <c r="K928" s="35" t="b">
        <f>IFERROR(__xludf.DUMMYFUNCTION("""COMPUTED_VALUE"""),FALSE)</f>
        <v>0</v>
      </c>
      <c r="L928" s="35" t="str">
        <f>IFERROR(__xludf.DUMMYFUNCTION("""COMPUTED_VALUE"""),"Array;Math;")</f>
        <v>Array;Math;</v>
      </c>
      <c r="M928" s="35" t="b">
        <f>IFERROR(__xludf.DUMMYFUNCTION("""COMPUTED_VALUE"""),TRUE)</f>
        <v>1</v>
      </c>
      <c r="N928" s="35" t="b">
        <f>IFERROR(__xludf.DUMMYFUNCTION("""COMPUTED_VALUE"""),FALSE)</f>
        <v>0</v>
      </c>
      <c r="O928" s="35">
        <f>IFERROR(__xludf.DUMMYFUNCTION("""COMPUTED_VALUE"""),39.2992992992993)</f>
        <v>39.2992993</v>
      </c>
      <c r="P928" s="35">
        <f>IFERROR(__xludf.DUMMYFUNCTION("""COMPUTED_VALUE"""),25519.0)</f>
        <v>25519</v>
      </c>
      <c r="Q928" s="35">
        <f>IFERROR(__xludf.DUMMYFUNCTION("""COMPUTED_VALUE"""),64935.0)</f>
        <v>64935</v>
      </c>
    </row>
    <row r="929">
      <c r="A929" s="35">
        <f>IFERROR(__xludf.DUMMYFUNCTION("""COMPUTED_VALUE"""),964.0)</f>
        <v>964</v>
      </c>
      <c r="B929" s="35" t="str">
        <f>IFERROR(__xludf.DUMMYFUNCTION("""COMPUTED_VALUE"""),"Minimize Malware Spread II")</f>
        <v>Minimize Malware Spread II</v>
      </c>
      <c r="C929" s="35" t="str">
        <f>IFERROR(__xludf.DUMMYFUNCTION("""COMPUTED_VALUE"""),"minimize-malware-spread-ii")</f>
        <v>minimize-malware-spread-ii</v>
      </c>
      <c r="D929" s="35" t="b">
        <f>IFERROR(__xludf.DUMMYFUNCTION("""COMPUTED_VALUE"""),FALSE)</f>
        <v>0</v>
      </c>
      <c r="E929" s="35" t="str">
        <f>IFERROR(__xludf.DUMMYFUNCTION("""COMPUTED_VALUE"""),"Hard")</f>
        <v>Hard</v>
      </c>
      <c r="F929" s="35">
        <f>IFERROR(__xludf.DUMMYFUNCTION("""COMPUTED_VALUE"""),397.0)</f>
        <v>397</v>
      </c>
      <c r="G929" s="35">
        <f>IFERROR(__xludf.DUMMYFUNCTION("""COMPUTED_VALUE"""),67.0)</f>
        <v>67</v>
      </c>
      <c r="H929" s="35" t="str">
        <f>IFERROR(__xludf.DUMMYFUNCTION("""COMPUTED_VALUE"""),"Algorithms")</f>
        <v>Algorithms</v>
      </c>
      <c r="I929" s="35">
        <f>IFERROR(__xludf.DUMMYFUNCTION("""COMPUTED_VALUE"""),0.42)</f>
        <v>0.42</v>
      </c>
      <c r="J929" s="35">
        <f>IFERROR(__xludf.DUMMYFUNCTION("""COMPUTED_VALUE"""),928.0)</f>
        <v>928</v>
      </c>
      <c r="K929" s="35" t="b">
        <f>IFERROR(__xludf.DUMMYFUNCTION("""COMPUTED_VALUE"""),FALSE)</f>
        <v>0</v>
      </c>
      <c r="L929" s="35" t="str">
        <f>IFERROR(__xludf.DUMMYFUNCTION("""COMPUTED_VALUE"""),"Array;Depth-First Search;Breadth-First Search;Union Find;Matrix;")</f>
        <v>Array;Depth-First Search;Breadth-First Search;Union Find;Matrix;</v>
      </c>
      <c r="M929" s="35" t="b">
        <f>IFERROR(__xludf.DUMMYFUNCTION("""COMPUTED_VALUE"""),TRUE)</f>
        <v>1</v>
      </c>
      <c r="N929" s="35" t="b">
        <f>IFERROR(__xludf.DUMMYFUNCTION("""COMPUTED_VALUE"""),FALSE)</f>
        <v>0</v>
      </c>
      <c r="O929" s="35">
        <f>IFERROR(__xludf.DUMMYFUNCTION("""COMPUTED_VALUE"""),42.0226950354609)</f>
        <v>42.02269504</v>
      </c>
      <c r="P929" s="35">
        <f>IFERROR(__xludf.DUMMYFUNCTION("""COMPUTED_VALUE"""),14813.0)</f>
        <v>14813</v>
      </c>
      <c r="Q929" s="35">
        <f>IFERROR(__xludf.DUMMYFUNCTION("""COMPUTED_VALUE"""),35250.0)</f>
        <v>35250</v>
      </c>
    </row>
    <row r="930">
      <c r="A930" s="35">
        <f>IFERROR(__xludf.DUMMYFUNCTION("""COMPUTED_VALUE"""),965.0)</f>
        <v>965</v>
      </c>
      <c r="B930" s="35" t="str">
        <f>IFERROR(__xludf.DUMMYFUNCTION("""COMPUTED_VALUE"""),"Unique Email Addresses")</f>
        <v>Unique Email Addresses</v>
      </c>
      <c r="C930" s="35" t="str">
        <f>IFERROR(__xludf.DUMMYFUNCTION("""COMPUTED_VALUE"""),"unique-email-addresses")</f>
        <v>unique-email-addresses</v>
      </c>
      <c r="D930" s="35" t="b">
        <f>IFERROR(__xludf.DUMMYFUNCTION("""COMPUTED_VALUE"""),FALSE)</f>
        <v>0</v>
      </c>
      <c r="E930" s="35" t="str">
        <f>IFERROR(__xludf.DUMMYFUNCTION("""COMPUTED_VALUE"""),"Easy")</f>
        <v>Easy</v>
      </c>
      <c r="F930" s="35">
        <f>IFERROR(__xludf.DUMMYFUNCTION("""COMPUTED_VALUE"""),1689.0)</f>
        <v>1689</v>
      </c>
      <c r="G930" s="35">
        <f>IFERROR(__xludf.DUMMYFUNCTION("""COMPUTED_VALUE"""),241.0)</f>
        <v>241</v>
      </c>
      <c r="H930" s="35" t="str">
        <f>IFERROR(__xludf.DUMMYFUNCTION("""COMPUTED_VALUE"""),"Algorithms")</f>
        <v>Algorithms</v>
      </c>
      <c r="I930" s="35">
        <f>IFERROR(__xludf.DUMMYFUNCTION("""COMPUTED_VALUE"""),0.674)</f>
        <v>0.674</v>
      </c>
      <c r="J930" s="35">
        <f>IFERROR(__xludf.DUMMYFUNCTION("""COMPUTED_VALUE"""),929.0)</f>
        <v>929</v>
      </c>
      <c r="K930" s="35" t="b">
        <f>IFERROR(__xludf.DUMMYFUNCTION("""COMPUTED_VALUE"""),FALSE)</f>
        <v>0</v>
      </c>
      <c r="L930" s="35" t="str">
        <f>IFERROR(__xludf.DUMMYFUNCTION("""COMPUTED_VALUE"""),"Array;Hash Table;String;")</f>
        <v>Array;Hash Table;String;</v>
      </c>
      <c r="M930" s="35" t="b">
        <f>IFERROR(__xludf.DUMMYFUNCTION("""COMPUTED_VALUE"""),TRUE)</f>
        <v>1</v>
      </c>
      <c r="N930" s="35" t="b">
        <f>IFERROR(__xludf.DUMMYFUNCTION("""COMPUTED_VALUE"""),FALSE)</f>
        <v>0</v>
      </c>
      <c r="O930" s="35">
        <f>IFERROR(__xludf.DUMMYFUNCTION("""COMPUTED_VALUE"""),67.383412620265)</f>
        <v>67.38341262</v>
      </c>
      <c r="P930" s="35">
        <f>IFERROR(__xludf.DUMMYFUNCTION("""COMPUTED_VALUE"""),340795.0)</f>
        <v>340795</v>
      </c>
      <c r="Q930" s="35">
        <f>IFERROR(__xludf.DUMMYFUNCTION("""COMPUTED_VALUE"""),505754.0)</f>
        <v>505754</v>
      </c>
    </row>
    <row r="931">
      <c r="A931" s="35">
        <f>IFERROR(__xludf.DUMMYFUNCTION("""COMPUTED_VALUE"""),966.0)</f>
        <v>966</v>
      </c>
      <c r="B931" s="35" t="str">
        <f>IFERROR(__xludf.DUMMYFUNCTION("""COMPUTED_VALUE"""),"Binary Subarrays With Sum")</f>
        <v>Binary Subarrays With Sum</v>
      </c>
      <c r="C931" s="35" t="str">
        <f>IFERROR(__xludf.DUMMYFUNCTION("""COMPUTED_VALUE"""),"binary-subarrays-with-sum")</f>
        <v>binary-subarrays-with-sum</v>
      </c>
      <c r="D931" s="35" t="b">
        <f>IFERROR(__xludf.DUMMYFUNCTION("""COMPUTED_VALUE"""),FALSE)</f>
        <v>0</v>
      </c>
      <c r="E931" s="35" t="str">
        <f>IFERROR(__xludf.DUMMYFUNCTION("""COMPUTED_VALUE"""),"Medium")</f>
        <v>Medium</v>
      </c>
      <c r="F931" s="35">
        <f>IFERROR(__xludf.DUMMYFUNCTION("""COMPUTED_VALUE"""),1257.0)</f>
        <v>1257</v>
      </c>
      <c r="G931" s="35">
        <f>IFERROR(__xludf.DUMMYFUNCTION("""COMPUTED_VALUE"""),44.0)</f>
        <v>44</v>
      </c>
      <c r="H931" s="35" t="str">
        <f>IFERROR(__xludf.DUMMYFUNCTION("""COMPUTED_VALUE"""),"Algorithms")</f>
        <v>Algorithms</v>
      </c>
      <c r="I931" s="35">
        <f>IFERROR(__xludf.DUMMYFUNCTION("""COMPUTED_VALUE"""),0.484)</f>
        <v>0.484</v>
      </c>
      <c r="J931" s="35">
        <f>IFERROR(__xludf.DUMMYFUNCTION("""COMPUTED_VALUE"""),930.0)</f>
        <v>930</v>
      </c>
      <c r="K931" s="35" t="b">
        <f>IFERROR(__xludf.DUMMYFUNCTION("""COMPUTED_VALUE"""),FALSE)</f>
        <v>0</v>
      </c>
      <c r="L931" s="35" t="str">
        <f>IFERROR(__xludf.DUMMYFUNCTION("""COMPUTED_VALUE"""),"Array;Hash Table;Sliding Window;Prefix Sum;")</f>
        <v>Array;Hash Table;Sliding Window;Prefix Sum;</v>
      </c>
      <c r="M931" s="35" t="b">
        <f>IFERROR(__xludf.DUMMYFUNCTION("""COMPUTED_VALUE"""),TRUE)</f>
        <v>1</v>
      </c>
      <c r="N931" s="35" t="b">
        <f>IFERROR(__xludf.DUMMYFUNCTION("""COMPUTED_VALUE"""),FALSE)</f>
        <v>0</v>
      </c>
      <c r="O931" s="35">
        <f>IFERROR(__xludf.DUMMYFUNCTION("""COMPUTED_VALUE"""),48.4097883041065)</f>
        <v>48.4097883</v>
      </c>
      <c r="P931" s="35">
        <f>IFERROR(__xludf.DUMMYFUNCTION("""COMPUTED_VALUE"""),43700.0)</f>
        <v>43700</v>
      </c>
      <c r="Q931" s="35">
        <f>IFERROR(__xludf.DUMMYFUNCTION("""COMPUTED_VALUE"""),90270.0)</f>
        <v>90270</v>
      </c>
    </row>
    <row r="932">
      <c r="A932" s="35">
        <f>IFERROR(__xludf.DUMMYFUNCTION("""COMPUTED_VALUE"""),967.0)</f>
        <v>967</v>
      </c>
      <c r="B932" s="35" t="str">
        <f>IFERROR(__xludf.DUMMYFUNCTION("""COMPUTED_VALUE"""),"Minimum Falling Path Sum")</f>
        <v>Minimum Falling Path Sum</v>
      </c>
      <c r="C932" s="35" t="str">
        <f>IFERROR(__xludf.DUMMYFUNCTION("""COMPUTED_VALUE"""),"minimum-falling-path-sum")</f>
        <v>minimum-falling-path-sum</v>
      </c>
      <c r="D932" s="35" t="b">
        <f>IFERROR(__xludf.DUMMYFUNCTION("""COMPUTED_VALUE"""),FALSE)</f>
        <v>0</v>
      </c>
      <c r="E932" s="35" t="str">
        <f>IFERROR(__xludf.DUMMYFUNCTION("""COMPUTED_VALUE"""),"Medium")</f>
        <v>Medium</v>
      </c>
      <c r="F932" s="35">
        <f>IFERROR(__xludf.DUMMYFUNCTION("""COMPUTED_VALUE"""),2080.0)</f>
        <v>2080</v>
      </c>
      <c r="G932" s="35">
        <f>IFERROR(__xludf.DUMMYFUNCTION("""COMPUTED_VALUE"""),90.0)</f>
        <v>90</v>
      </c>
      <c r="H932" s="35" t="str">
        <f>IFERROR(__xludf.DUMMYFUNCTION("""COMPUTED_VALUE"""),"Algorithms")</f>
        <v>Algorithms</v>
      </c>
      <c r="I932" s="35">
        <f>IFERROR(__xludf.DUMMYFUNCTION("""COMPUTED_VALUE"""),0.671)</f>
        <v>0.671</v>
      </c>
      <c r="J932" s="35">
        <f>IFERROR(__xludf.DUMMYFUNCTION("""COMPUTED_VALUE"""),931.0)</f>
        <v>931</v>
      </c>
      <c r="K932" s="35" t="b">
        <f>IFERROR(__xludf.DUMMYFUNCTION("""COMPUTED_VALUE"""),FALSE)</f>
        <v>0</v>
      </c>
      <c r="L932" s="35" t="str">
        <f>IFERROR(__xludf.DUMMYFUNCTION("""COMPUTED_VALUE"""),"Array;Dynamic Programming;Matrix;")</f>
        <v>Array;Dynamic Programming;Matrix;</v>
      </c>
      <c r="M932" s="35" t="b">
        <f>IFERROR(__xludf.DUMMYFUNCTION("""COMPUTED_VALUE"""),FALSE)</f>
        <v>0</v>
      </c>
      <c r="N932" s="35" t="b">
        <f>IFERROR(__xludf.DUMMYFUNCTION("""COMPUTED_VALUE"""),FALSE)</f>
        <v>0</v>
      </c>
      <c r="O932" s="35">
        <f>IFERROR(__xludf.DUMMYFUNCTION("""COMPUTED_VALUE"""),67.0834281845191)</f>
        <v>67.08342818</v>
      </c>
      <c r="P932" s="35">
        <f>IFERROR(__xludf.DUMMYFUNCTION("""COMPUTED_VALUE"""),114928.0)</f>
        <v>114928</v>
      </c>
      <c r="Q932" s="35">
        <f>IFERROR(__xludf.DUMMYFUNCTION("""COMPUTED_VALUE"""),171321.0)</f>
        <v>171321</v>
      </c>
    </row>
    <row r="933">
      <c r="A933" s="35">
        <f>IFERROR(__xludf.DUMMYFUNCTION("""COMPUTED_VALUE"""),968.0)</f>
        <v>968</v>
      </c>
      <c r="B933" s="35" t="str">
        <f>IFERROR(__xludf.DUMMYFUNCTION("""COMPUTED_VALUE"""),"Beautiful Array")</f>
        <v>Beautiful Array</v>
      </c>
      <c r="C933" s="35" t="str">
        <f>IFERROR(__xludf.DUMMYFUNCTION("""COMPUTED_VALUE"""),"beautiful-array")</f>
        <v>beautiful-array</v>
      </c>
      <c r="D933" s="35" t="b">
        <f>IFERROR(__xludf.DUMMYFUNCTION("""COMPUTED_VALUE"""),FALSE)</f>
        <v>0</v>
      </c>
      <c r="E933" s="35" t="str">
        <f>IFERROR(__xludf.DUMMYFUNCTION("""COMPUTED_VALUE"""),"Medium")</f>
        <v>Medium</v>
      </c>
      <c r="F933" s="35">
        <f>IFERROR(__xludf.DUMMYFUNCTION("""COMPUTED_VALUE"""),790.0)</f>
        <v>790</v>
      </c>
      <c r="G933" s="35">
        <f>IFERROR(__xludf.DUMMYFUNCTION("""COMPUTED_VALUE"""),1178.0)</f>
        <v>1178</v>
      </c>
      <c r="H933" s="35" t="str">
        <f>IFERROR(__xludf.DUMMYFUNCTION("""COMPUTED_VALUE"""),"Algorithms")</f>
        <v>Algorithms</v>
      </c>
      <c r="I933" s="35">
        <f>IFERROR(__xludf.DUMMYFUNCTION("""COMPUTED_VALUE"""),0.646)</f>
        <v>0.646</v>
      </c>
      <c r="J933" s="35">
        <f>IFERROR(__xludf.DUMMYFUNCTION("""COMPUTED_VALUE"""),932.0)</f>
        <v>932</v>
      </c>
      <c r="K933" s="35" t="b">
        <f>IFERROR(__xludf.DUMMYFUNCTION("""COMPUTED_VALUE"""),FALSE)</f>
        <v>0</v>
      </c>
      <c r="L933" s="35" t="str">
        <f>IFERROR(__xludf.DUMMYFUNCTION("""COMPUTED_VALUE"""),"Array;Math;Divide and Conquer;")</f>
        <v>Array;Math;Divide and Conquer;</v>
      </c>
      <c r="M933" s="35" t="b">
        <f>IFERROR(__xludf.DUMMYFUNCTION("""COMPUTED_VALUE"""),TRUE)</f>
        <v>1</v>
      </c>
      <c r="N933" s="35" t="b">
        <f>IFERROR(__xludf.DUMMYFUNCTION("""COMPUTED_VALUE"""),FALSE)</f>
        <v>0</v>
      </c>
      <c r="O933" s="35">
        <f>IFERROR(__xludf.DUMMYFUNCTION("""COMPUTED_VALUE"""),64.5638714877092)</f>
        <v>64.56387149</v>
      </c>
      <c r="P933" s="35">
        <f>IFERROR(__xludf.DUMMYFUNCTION("""COMPUTED_VALUE"""),35248.0)</f>
        <v>35248</v>
      </c>
      <c r="Q933" s="35">
        <f>IFERROR(__xludf.DUMMYFUNCTION("""COMPUTED_VALUE"""),54594.0)</f>
        <v>54594</v>
      </c>
    </row>
    <row r="934">
      <c r="A934" s="35">
        <f>IFERROR(__xludf.DUMMYFUNCTION("""COMPUTED_VALUE"""),969.0)</f>
        <v>969</v>
      </c>
      <c r="B934" s="35" t="str">
        <f>IFERROR(__xludf.DUMMYFUNCTION("""COMPUTED_VALUE"""),"Number of Recent Calls")</f>
        <v>Number of Recent Calls</v>
      </c>
      <c r="C934" s="35" t="str">
        <f>IFERROR(__xludf.DUMMYFUNCTION("""COMPUTED_VALUE"""),"number-of-recent-calls")</f>
        <v>number-of-recent-calls</v>
      </c>
      <c r="D934" s="35" t="b">
        <f>IFERROR(__xludf.DUMMYFUNCTION("""COMPUTED_VALUE"""),FALSE)</f>
        <v>0</v>
      </c>
      <c r="E934" s="35" t="str">
        <f>IFERROR(__xludf.DUMMYFUNCTION("""COMPUTED_VALUE"""),"Easy")</f>
        <v>Easy</v>
      </c>
      <c r="F934" s="35">
        <f>IFERROR(__xludf.DUMMYFUNCTION("""COMPUTED_VALUE"""),722.0)</f>
        <v>722</v>
      </c>
      <c r="G934" s="35">
        <f>IFERROR(__xludf.DUMMYFUNCTION("""COMPUTED_VALUE"""),2409.0)</f>
        <v>2409</v>
      </c>
      <c r="H934" s="35" t="str">
        <f>IFERROR(__xludf.DUMMYFUNCTION("""COMPUTED_VALUE"""),"Algorithms")</f>
        <v>Algorithms</v>
      </c>
      <c r="I934" s="35">
        <f>IFERROR(__xludf.DUMMYFUNCTION("""COMPUTED_VALUE"""),0.731)</f>
        <v>0.731</v>
      </c>
      <c r="J934" s="35">
        <f>IFERROR(__xludf.DUMMYFUNCTION("""COMPUTED_VALUE"""),933.0)</f>
        <v>933</v>
      </c>
      <c r="K934" s="35" t="b">
        <f>IFERROR(__xludf.DUMMYFUNCTION("""COMPUTED_VALUE"""),FALSE)</f>
        <v>0</v>
      </c>
      <c r="L934" s="35" t="str">
        <f>IFERROR(__xludf.DUMMYFUNCTION("""COMPUTED_VALUE"""),"Design;Queue;Data Stream;")</f>
        <v>Design;Queue;Data Stream;</v>
      </c>
      <c r="M934" s="35" t="b">
        <f>IFERROR(__xludf.DUMMYFUNCTION("""COMPUTED_VALUE"""),TRUE)</f>
        <v>1</v>
      </c>
      <c r="N934" s="35" t="b">
        <f>IFERROR(__xludf.DUMMYFUNCTION("""COMPUTED_VALUE"""),FALSE)</f>
        <v>0</v>
      </c>
      <c r="O934" s="35">
        <f>IFERROR(__xludf.DUMMYFUNCTION("""COMPUTED_VALUE"""),73.0911360490409)</f>
        <v>73.09113605</v>
      </c>
      <c r="P934" s="35">
        <f>IFERROR(__xludf.DUMMYFUNCTION("""COMPUTED_VALUE"""),118279.0)</f>
        <v>118279</v>
      </c>
      <c r="Q934" s="35">
        <f>IFERROR(__xludf.DUMMYFUNCTION("""COMPUTED_VALUE"""),161824.0)</f>
        <v>161824</v>
      </c>
    </row>
    <row r="935">
      <c r="A935" s="35">
        <f>IFERROR(__xludf.DUMMYFUNCTION("""COMPUTED_VALUE"""),971.0)</f>
        <v>971</v>
      </c>
      <c r="B935" s="35" t="str">
        <f>IFERROR(__xludf.DUMMYFUNCTION("""COMPUTED_VALUE"""),"Shortest Bridge")</f>
        <v>Shortest Bridge</v>
      </c>
      <c r="C935" s="35" t="str">
        <f>IFERROR(__xludf.DUMMYFUNCTION("""COMPUTED_VALUE"""),"shortest-bridge")</f>
        <v>shortest-bridge</v>
      </c>
      <c r="D935" s="35" t="b">
        <f>IFERROR(__xludf.DUMMYFUNCTION("""COMPUTED_VALUE"""),FALSE)</f>
        <v>0</v>
      </c>
      <c r="E935" s="35" t="str">
        <f>IFERROR(__xludf.DUMMYFUNCTION("""COMPUTED_VALUE"""),"Medium")</f>
        <v>Medium</v>
      </c>
      <c r="F935" s="35">
        <f>IFERROR(__xludf.DUMMYFUNCTION("""COMPUTED_VALUE"""),2286.0)</f>
        <v>2286</v>
      </c>
      <c r="G935" s="35">
        <f>IFERROR(__xludf.DUMMYFUNCTION("""COMPUTED_VALUE"""),118.0)</f>
        <v>118</v>
      </c>
      <c r="H935" s="35" t="str">
        <f>IFERROR(__xludf.DUMMYFUNCTION("""COMPUTED_VALUE"""),"Algorithms")</f>
        <v>Algorithms</v>
      </c>
      <c r="I935" s="35">
        <f>IFERROR(__xludf.DUMMYFUNCTION("""COMPUTED_VALUE"""),0.524)</f>
        <v>0.524</v>
      </c>
      <c r="J935" s="35">
        <f>IFERROR(__xludf.DUMMYFUNCTION("""COMPUTED_VALUE"""),934.0)</f>
        <v>934</v>
      </c>
      <c r="K935" s="35" t="b">
        <f>IFERROR(__xludf.DUMMYFUNCTION("""COMPUTED_VALUE"""),FALSE)</f>
        <v>0</v>
      </c>
      <c r="L935" s="35" t="str">
        <f>IFERROR(__xludf.DUMMYFUNCTION("""COMPUTED_VALUE"""),"Array;Depth-First Search;Breadth-First Search;Matrix;")</f>
        <v>Array;Depth-First Search;Breadth-First Search;Matrix;</v>
      </c>
      <c r="M935" s="35" t="b">
        <f>IFERROR(__xludf.DUMMYFUNCTION("""COMPUTED_VALUE"""),FALSE)</f>
        <v>0</v>
      </c>
      <c r="N935" s="35" t="b">
        <f>IFERROR(__xludf.DUMMYFUNCTION("""COMPUTED_VALUE"""),FALSE)</f>
        <v>0</v>
      </c>
      <c r="O935" s="35">
        <f>IFERROR(__xludf.DUMMYFUNCTION("""COMPUTED_VALUE"""),52.4294606979645)</f>
        <v>52.4294607</v>
      </c>
      <c r="P935" s="35">
        <f>IFERROR(__xludf.DUMMYFUNCTION("""COMPUTED_VALUE"""),83629.0)</f>
        <v>83629</v>
      </c>
      <c r="Q935" s="35">
        <f>IFERROR(__xludf.DUMMYFUNCTION("""COMPUTED_VALUE"""),159509.0)</f>
        <v>159509</v>
      </c>
    </row>
    <row r="936">
      <c r="A936" s="35">
        <f>IFERROR(__xludf.DUMMYFUNCTION("""COMPUTED_VALUE"""),972.0)</f>
        <v>972</v>
      </c>
      <c r="B936" s="35" t="str">
        <f>IFERROR(__xludf.DUMMYFUNCTION("""COMPUTED_VALUE"""),"Knight Dialer")</f>
        <v>Knight Dialer</v>
      </c>
      <c r="C936" s="35" t="str">
        <f>IFERROR(__xludf.DUMMYFUNCTION("""COMPUTED_VALUE"""),"knight-dialer")</f>
        <v>knight-dialer</v>
      </c>
      <c r="D936" s="35" t="b">
        <f>IFERROR(__xludf.DUMMYFUNCTION("""COMPUTED_VALUE"""),FALSE)</f>
        <v>0</v>
      </c>
      <c r="E936" s="35" t="str">
        <f>IFERROR(__xludf.DUMMYFUNCTION("""COMPUTED_VALUE"""),"Medium")</f>
        <v>Medium</v>
      </c>
      <c r="F936" s="35">
        <f>IFERROR(__xludf.DUMMYFUNCTION("""COMPUTED_VALUE"""),1364.0)</f>
        <v>1364</v>
      </c>
      <c r="G936" s="35">
        <f>IFERROR(__xludf.DUMMYFUNCTION("""COMPUTED_VALUE"""),344.0)</f>
        <v>344</v>
      </c>
      <c r="H936" s="35" t="str">
        <f>IFERROR(__xludf.DUMMYFUNCTION("""COMPUTED_VALUE"""),"Algorithms")</f>
        <v>Algorithms</v>
      </c>
      <c r="I936" s="35">
        <f>IFERROR(__xludf.DUMMYFUNCTION("""COMPUTED_VALUE"""),0.488)</f>
        <v>0.488</v>
      </c>
      <c r="J936" s="35">
        <f>IFERROR(__xludf.DUMMYFUNCTION("""COMPUTED_VALUE"""),935.0)</f>
        <v>935</v>
      </c>
      <c r="K936" s="35" t="b">
        <f>IFERROR(__xludf.DUMMYFUNCTION("""COMPUTED_VALUE"""),FALSE)</f>
        <v>0</v>
      </c>
      <c r="L936" s="35" t="str">
        <f>IFERROR(__xludf.DUMMYFUNCTION("""COMPUTED_VALUE"""),"Dynamic Programming;")</f>
        <v>Dynamic Programming;</v>
      </c>
      <c r="M936" s="35" t="b">
        <f>IFERROR(__xludf.DUMMYFUNCTION("""COMPUTED_VALUE"""),FALSE)</f>
        <v>0</v>
      </c>
      <c r="N936" s="35" t="b">
        <f>IFERROR(__xludf.DUMMYFUNCTION("""COMPUTED_VALUE"""),FALSE)</f>
        <v>0</v>
      </c>
      <c r="O936" s="35">
        <f>IFERROR(__xludf.DUMMYFUNCTION("""COMPUTED_VALUE"""),48.8001001014185)</f>
        <v>48.8001001</v>
      </c>
      <c r="P936" s="35">
        <f>IFERROR(__xludf.DUMMYFUNCTION("""COMPUTED_VALUE"""),74101.0)</f>
        <v>74101</v>
      </c>
      <c r="Q936" s="35">
        <f>IFERROR(__xludf.DUMMYFUNCTION("""COMPUTED_VALUE"""),151846.0)</f>
        <v>151846</v>
      </c>
    </row>
    <row r="937">
      <c r="A937" s="35">
        <f>IFERROR(__xludf.DUMMYFUNCTION("""COMPUTED_VALUE"""),973.0)</f>
        <v>973</v>
      </c>
      <c r="B937" s="35" t="str">
        <f>IFERROR(__xludf.DUMMYFUNCTION("""COMPUTED_VALUE"""),"Stamping The Sequence")</f>
        <v>Stamping The Sequence</v>
      </c>
      <c r="C937" s="35" t="str">
        <f>IFERROR(__xludf.DUMMYFUNCTION("""COMPUTED_VALUE"""),"stamping-the-sequence")</f>
        <v>stamping-the-sequence</v>
      </c>
      <c r="D937" s="35" t="b">
        <f>IFERROR(__xludf.DUMMYFUNCTION("""COMPUTED_VALUE"""),FALSE)</f>
        <v>0</v>
      </c>
      <c r="E937" s="35" t="str">
        <f>IFERROR(__xludf.DUMMYFUNCTION("""COMPUTED_VALUE"""),"Hard")</f>
        <v>Hard</v>
      </c>
      <c r="F937" s="35">
        <f>IFERROR(__xludf.DUMMYFUNCTION("""COMPUTED_VALUE"""),519.0)</f>
        <v>519</v>
      </c>
      <c r="G937" s="35">
        <f>IFERROR(__xludf.DUMMYFUNCTION("""COMPUTED_VALUE"""),123.0)</f>
        <v>123</v>
      </c>
      <c r="H937" s="35" t="str">
        <f>IFERROR(__xludf.DUMMYFUNCTION("""COMPUTED_VALUE"""),"Algorithms")</f>
        <v>Algorithms</v>
      </c>
      <c r="I937" s="35">
        <f>IFERROR(__xludf.DUMMYFUNCTION("""COMPUTED_VALUE"""),0.535)</f>
        <v>0.535</v>
      </c>
      <c r="J937" s="35">
        <f>IFERROR(__xludf.DUMMYFUNCTION("""COMPUTED_VALUE"""),936.0)</f>
        <v>936</v>
      </c>
      <c r="K937" s="35" t="b">
        <f>IFERROR(__xludf.DUMMYFUNCTION("""COMPUTED_VALUE"""),FALSE)</f>
        <v>0</v>
      </c>
      <c r="L937" s="35" t="str">
        <f>IFERROR(__xludf.DUMMYFUNCTION("""COMPUTED_VALUE"""),"String;Stack;Greedy;Queue;")</f>
        <v>String;Stack;Greedy;Queue;</v>
      </c>
      <c r="M937" s="35" t="b">
        <f>IFERROR(__xludf.DUMMYFUNCTION("""COMPUTED_VALUE"""),TRUE)</f>
        <v>1</v>
      </c>
      <c r="N937" s="35" t="b">
        <f>IFERROR(__xludf.DUMMYFUNCTION("""COMPUTED_VALUE"""),FALSE)</f>
        <v>0</v>
      </c>
      <c r="O937" s="35">
        <f>IFERROR(__xludf.DUMMYFUNCTION("""COMPUTED_VALUE"""),53.4959202993283)</f>
        <v>53.4959203</v>
      </c>
      <c r="P937" s="35">
        <f>IFERROR(__xludf.DUMMYFUNCTION("""COMPUTED_VALUE"""),23734.0)</f>
        <v>23734</v>
      </c>
      <c r="Q937" s="35">
        <f>IFERROR(__xludf.DUMMYFUNCTION("""COMPUTED_VALUE"""),44366.0)</f>
        <v>44366</v>
      </c>
    </row>
    <row r="938">
      <c r="A938" s="35">
        <f>IFERROR(__xludf.DUMMYFUNCTION("""COMPUTED_VALUE"""),974.0)</f>
        <v>974</v>
      </c>
      <c r="B938" s="35" t="str">
        <f>IFERROR(__xludf.DUMMYFUNCTION("""COMPUTED_VALUE"""),"Reorder Data in Log Files")</f>
        <v>Reorder Data in Log Files</v>
      </c>
      <c r="C938" s="35" t="str">
        <f>IFERROR(__xludf.DUMMYFUNCTION("""COMPUTED_VALUE"""),"reorder-data-in-log-files")</f>
        <v>reorder-data-in-log-files</v>
      </c>
      <c r="D938" s="35" t="b">
        <f>IFERROR(__xludf.DUMMYFUNCTION("""COMPUTED_VALUE"""),FALSE)</f>
        <v>0</v>
      </c>
      <c r="E938" s="35" t="str">
        <f>IFERROR(__xludf.DUMMYFUNCTION("""COMPUTED_VALUE"""),"Easy")</f>
        <v>Easy</v>
      </c>
      <c r="F938" s="35">
        <f>IFERROR(__xludf.DUMMYFUNCTION("""COMPUTED_VALUE"""),1599.0)</f>
        <v>1599</v>
      </c>
      <c r="G938" s="35">
        <f>IFERROR(__xludf.DUMMYFUNCTION("""COMPUTED_VALUE"""),3747.0)</f>
        <v>3747</v>
      </c>
      <c r="H938" s="35" t="str">
        <f>IFERROR(__xludf.DUMMYFUNCTION("""COMPUTED_VALUE"""),"Algorithms")</f>
        <v>Algorithms</v>
      </c>
      <c r="I938" s="35">
        <f>IFERROR(__xludf.DUMMYFUNCTION("""COMPUTED_VALUE"""),0.559)</f>
        <v>0.559</v>
      </c>
      <c r="J938" s="35">
        <f>IFERROR(__xludf.DUMMYFUNCTION("""COMPUTED_VALUE"""),937.0)</f>
        <v>937</v>
      </c>
      <c r="K938" s="35" t="b">
        <f>IFERROR(__xludf.DUMMYFUNCTION("""COMPUTED_VALUE"""),FALSE)</f>
        <v>0</v>
      </c>
      <c r="L938" s="35" t="str">
        <f>IFERROR(__xludf.DUMMYFUNCTION("""COMPUTED_VALUE"""),"Array;String;Sorting;")</f>
        <v>Array;String;Sorting;</v>
      </c>
      <c r="M938" s="35" t="b">
        <f>IFERROR(__xludf.DUMMYFUNCTION("""COMPUTED_VALUE"""),TRUE)</f>
        <v>1</v>
      </c>
      <c r="N938" s="35" t="b">
        <f>IFERROR(__xludf.DUMMYFUNCTION("""COMPUTED_VALUE"""),FALSE)</f>
        <v>0</v>
      </c>
      <c r="O938" s="35">
        <f>IFERROR(__xludf.DUMMYFUNCTION("""COMPUTED_VALUE"""),55.913456414386)</f>
        <v>55.91345641</v>
      </c>
      <c r="P938" s="35">
        <f>IFERROR(__xludf.DUMMYFUNCTION("""COMPUTED_VALUE"""),283285.0)</f>
        <v>283285</v>
      </c>
      <c r="Q938" s="35">
        <f>IFERROR(__xludf.DUMMYFUNCTION("""COMPUTED_VALUE"""),506651.0)</f>
        <v>506651</v>
      </c>
    </row>
    <row r="939">
      <c r="A939" s="35">
        <f>IFERROR(__xludf.DUMMYFUNCTION("""COMPUTED_VALUE"""),975.0)</f>
        <v>975</v>
      </c>
      <c r="B939" s="35" t="str">
        <f>IFERROR(__xludf.DUMMYFUNCTION("""COMPUTED_VALUE"""),"Range Sum of BST")</f>
        <v>Range Sum of BST</v>
      </c>
      <c r="C939" s="35" t="str">
        <f>IFERROR(__xludf.DUMMYFUNCTION("""COMPUTED_VALUE"""),"range-sum-of-bst")</f>
        <v>range-sum-of-bst</v>
      </c>
      <c r="D939" s="35" t="b">
        <f>IFERROR(__xludf.DUMMYFUNCTION("""COMPUTED_VALUE"""),FALSE)</f>
        <v>0</v>
      </c>
      <c r="E939" s="35" t="str">
        <f>IFERROR(__xludf.DUMMYFUNCTION("""COMPUTED_VALUE"""),"Easy")</f>
        <v>Easy</v>
      </c>
      <c r="F939" s="35">
        <f>IFERROR(__xludf.DUMMYFUNCTION("""COMPUTED_VALUE"""),3878.0)</f>
        <v>3878</v>
      </c>
      <c r="G939" s="35">
        <f>IFERROR(__xludf.DUMMYFUNCTION("""COMPUTED_VALUE"""),326.0)</f>
        <v>326</v>
      </c>
      <c r="H939" s="35" t="str">
        <f>IFERROR(__xludf.DUMMYFUNCTION("""COMPUTED_VALUE"""),"Algorithms")</f>
        <v>Algorithms</v>
      </c>
      <c r="I939" s="35">
        <f>IFERROR(__xludf.DUMMYFUNCTION("""COMPUTED_VALUE"""),0.849)</f>
        <v>0.849</v>
      </c>
      <c r="J939" s="35">
        <f>IFERROR(__xludf.DUMMYFUNCTION("""COMPUTED_VALUE"""),938.0)</f>
        <v>938</v>
      </c>
      <c r="K939" s="35" t="b">
        <f>IFERROR(__xludf.DUMMYFUNCTION("""COMPUTED_VALUE"""),FALSE)</f>
        <v>0</v>
      </c>
      <c r="L939" s="35" t="str">
        <f>IFERROR(__xludf.DUMMYFUNCTION("""COMPUTED_VALUE"""),"Tree;Depth-First Search;Binary Search Tree;Binary Tree;")</f>
        <v>Tree;Depth-First Search;Binary Search Tree;Binary Tree;</v>
      </c>
      <c r="M939" s="35" t="b">
        <f>IFERROR(__xludf.DUMMYFUNCTION("""COMPUTED_VALUE"""),TRUE)</f>
        <v>1</v>
      </c>
      <c r="N939" s="35" t="b">
        <f>IFERROR(__xludf.DUMMYFUNCTION("""COMPUTED_VALUE"""),TRUE)</f>
        <v>1</v>
      </c>
      <c r="O939" s="35">
        <f>IFERROR(__xludf.DUMMYFUNCTION("""COMPUTED_VALUE"""),84.9297687971748)</f>
        <v>84.9297688</v>
      </c>
      <c r="P939" s="35">
        <f>IFERROR(__xludf.DUMMYFUNCTION("""COMPUTED_VALUE"""),577669.0)</f>
        <v>577669</v>
      </c>
      <c r="Q939" s="35">
        <f>IFERROR(__xludf.DUMMYFUNCTION("""COMPUTED_VALUE"""),680174.0)</f>
        <v>680174</v>
      </c>
    </row>
    <row r="940">
      <c r="A940" s="35">
        <f>IFERROR(__xludf.DUMMYFUNCTION("""COMPUTED_VALUE"""),976.0)</f>
        <v>976</v>
      </c>
      <c r="B940" s="35" t="str">
        <f>IFERROR(__xludf.DUMMYFUNCTION("""COMPUTED_VALUE"""),"Minimum Area Rectangle")</f>
        <v>Minimum Area Rectangle</v>
      </c>
      <c r="C940" s="35" t="str">
        <f>IFERROR(__xludf.DUMMYFUNCTION("""COMPUTED_VALUE"""),"minimum-area-rectangle")</f>
        <v>minimum-area-rectangle</v>
      </c>
      <c r="D940" s="35" t="b">
        <f>IFERROR(__xludf.DUMMYFUNCTION("""COMPUTED_VALUE"""),FALSE)</f>
        <v>0</v>
      </c>
      <c r="E940" s="35" t="str">
        <f>IFERROR(__xludf.DUMMYFUNCTION("""COMPUTED_VALUE"""),"Medium")</f>
        <v>Medium</v>
      </c>
      <c r="F940" s="35">
        <f>IFERROR(__xludf.DUMMYFUNCTION("""COMPUTED_VALUE"""),1373.0)</f>
        <v>1373</v>
      </c>
      <c r="G940" s="35">
        <f>IFERROR(__xludf.DUMMYFUNCTION("""COMPUTED_VALUE"""),217.0)</f>
        <v>217</v>
      </c>
      <c r="H940" s="35" t="str">
        <f>IFERROR(__xludf.DUMMYFUNCTION("""COMPUTED_VALUE"""),"Algorithms")</f>
        <v>Algorithms</v>
      </c>
      <c r="I940" s="35">
        <f>IFERROR(__xludf.DUMMYFUNCTION("""COMPUTED_VALUE"""),0.534)</f>
        <v>0.534</v>
      </c>
      <c r="J940" s="35">
        <f>IFERROR(__xludf.DUMMYFUNCTION("""COMPUTED_VALUE"""),939.0)</f>
        <v>939</v>
      </c>
      <c r="K940" s="35" t="b">
        <f>IFERROR(__xludf.DUMMYFUNCTION("""COMPUTED_VALUE"""),FALSE)</f>
        <v>0</v>
      </c>
      <c r="L940" s="35" t="str">
        <f>IFERROR(__xludf.DUMMYFUNCTION("""COMPUTED_VALUE"""),"Array;Hash Table;Math;Geometry;Sorting;")</f>
        <v>Array;Hash Table;Math;Geometry;Sorting;</v>
      </c>
      <c r="M940" s="35" t="b">
        <f>IFERROR(__xludf.DUMMYFUNCTION("""COMPUTED_VALUE"""),FALSE)</f>
        <v>0</v>
      </c>
      <c r="N940" s="35" t="b">
        <f>IFERROR(__xludf.DUMMYFUNCTION("""COMPUTED_VALUE"""),FALSE)</f>
        <v>0</v>
      </c>
      <c r="O940" s="35">
        <f>IFERROR(__xludf.DUMMYFUNCTION("""COMPUTED_VALUE"""),53.4298970615136)</f>
        <v>53.42989706</v>
      </c>
      <c r="P940" s="35">
        <f>IFERROR(__xludf.DUMMYFUNCTION("""COMPUTED_VALUE"""),96383.0)</f>
        <v>96383</v>
      </c>
      <c r="Q940" s="35">
        <f>IFERROR(__xludf.DUMMYFUNCTION("""COMPUTED_VALUE"""),180389.0)</f>
        <v>180389</v>
      </c>
    </row>
    <row r="941">
      <c r="A941" s="35">
        <f>IFERROR(__xludf.DUMMYFUNCTION("""COMPUTED_VALUE"""),977.0)</f>
        <v>977</v>
      </c>
      <c r="B941" s="35" t="str">
        <f>IFERROR(__xludf.DUMMYFUNCTION("""COMPUTED_VALUE"""),"Distinct Subsequences II")</f>
        <v>Distinct Subsequences II</v>
      </c>
      <c r="C941" s="35" t="str">
        <f>IFERROR(__xludf.DUMMYFUNCTION("""COMPUTED_VALUE"""),"distinct-subsequences-ii")</f>
        <v>distinct-subsequences-ii</v>
      </c>
      <c r="D941" s="35" t="b">
        <f>IFERROR(__xludf.DUMMYFUNCTION("""COMPUTED_VALUE"""),FALSE)</f>
        <v>0</v>
      </c>
      <c r="E941" s="35" t="str">
        <f>IFERROR(__xludf.DUMMYFUNCTION("""COMPUTED_VALUE"""),"Hard")</f>
        <v>Hard</v>
      </c>
      <c r="F941" s="35">
        <f>IFERROR(__xludf.DUMMYFUNCTION("""COMPUTED_VALUE"""),1031.0)</f>
        <v>1031</v>
      </c>
      <c r="G941" s="35">
        <f>IFERROR(__xludf.DUMMYFUNCTION("""COMPUTED_VALUE"""),27.0)</f>
        <v>27</v>
      </c>
      <c r="H941" s="35" t="str">
        <f>IFERROR(__xludf.DUMMYFUNCTION("""COMPUTED_VALUE"""),"Algorithms")</f>
        <v>Algorithms</v>
      </c>
      <c r="I941" s="35">
        <f>IFERROR(__xludf.DUMMYFUNCTION("""COMPUTED_VALUE"""),0.442)</f>
        <v>0.442</v>
      </c>
      <c r="J941" s="35">
        <f>IFERROR(__xludf.DUMMYFUNCTION("""COMPUTED_VALUE"""),940.0)</f>
        <v>940</v>
      </c>
      <c r="K941" s="35" t="b">
        <f>IFERROR(__xludf.DUMMYFUNCTION("""COMPUTED_VALUE"""),FALSE)</f>
        <v>0</v>
      </c>
      <c r="L941" s="35" t="str">
        <f>IFERROR(__xludf.DUMMYFUNCTION("""COMPUTED_VALUE"""),"String;Dynamic Programming;")</f>
        <v>String;Dynamic Programming;</v>
      </c>
      <c r="M941" s="35" t="b">
        <f>IFERROR(__xludf.DUMMYFUNCTION("""COMPUTED_VALUE"""),TRUE)</f>
        <v>1</v>
      </c>
      <c r="N941" s="35" t="b">
        <f>IFERROR(__xludf.DUMMYFUNCTION("""COMPUTED_VALUE"""),FALSE)</f>
        <v>0</v>
      </c>
      <c r="O941" s="35">
        <f>IFERROR(__xludf.DUMMYFUNCTION("""COMPUTED_VALUE"""),44.1955331950912)</f>
        <v>44.1955332</v>
      </c>
      <c r="P941" s="35">
        <f>IFERROR(__xludf.DUMMYFUNCTION("""COMPUTED_VALUE"""),26002.0)</f>
        <v>26002</v>
      </c>
      <c r="Q941" s="35">
        <f>IFERROR(__xludf.DUMMYFUNCTION("""COMPUTED_VALUE"""),58834.0)</f>
        <v>58834</v>
      </c>
    </row>
    <row r="942">
      <c r="A942" s="35">
        <f>IFERROR(__xludf.DUMMYFUNCTION("""COMPUTED_VALUE"""),978.0)</f>
        <v>978</v>
      </c>
      <c r="B942" s="35" t="str">
        <f>IFERROR(__xludf.DUMMYFUNCTION("""COMPUTED_VALUE"""),"Valid Mountain Array")</f>
        <v>Valid Mountain Array</v>
      </c>
      <c r="C942" s="35" t="str">
        <f>IFERROR(__xludf.DUMMYFUNCTION("""COMPUTED_VALUE"""),"valid-mountain-array")</f>
        <v>valid-mountain-array</v>
      </c>
      <c r="D942" s="35" t="b">
        <f>IFERROR(__xludf.DUMMYFUNCTION("""COMPUTED_VALUE"""),FALSE)</f>
        <v>0</v>
      </c>
      <c r="E942" s="35" t="str">
        <f>IFERROR(__xludf.DUMMYFUNCTION("""COMPUTED_VALUE"""),"Easy")</f>
        <v>Easy</v>
      </c>
      <c r="F942" s="35">
        <f>IFERROR(__xludf.DUMMYFUNCTION("""COMPUTED_VALUE"""),2054.0)</f>
        <v>2054</v>
      </c>
      <c r="G942" s="35">
        <f>IFERROR(__xludf.DUMMYFUNCTION("""COMPUTED_VALUE"""),142.0)</f>
        <v>142</v>
      </c>
      <c r="H942" s="35" t="str">
        <f>IFERROR(__xludf.DUMMYFUNCTION("""COMPUTED_VALUE"""),"Algorithms")</f>
        <v>Algorithms</v>
      </c>
      <c r="I942" s="35">
        <f>IFERROR(__xludf.DUMMYFUNCTION("""COMPUTED_VALUE"""),0.338)</f>
        <v>0.338</v>
      </c>
      <c r="J942" s="35">
        <f>IFERROR(__xludf.DUMMYFUNCTION("""COMPUTED_VALUE"""),941.0)</f>
        <v>941</v>
      </c>
      <c r="K942" s="35" t="b">
        <f>IFERROR(__xludf.DUMMYFUNCTION("""COMPUTED_VALUE"""),FALSE)</f>
        <v>0</v>
      </c>
      <c r="L942" s="35" t="str">
        <f>IFERROR(__xludf.DUMMYFUNCTION("""COMPUTED_VALUE"""),"Array;")</f>
        <v>Array;</v>
      </c>
      <c r="M942" s="35" t="b">
        <f>IFERROR(__xludf.DUMMYFUNCTION("""COMPUTED_VALUE"""),TRUE)</f>
        <v>1</v>
      </c>
      <c r="N942" s="35" t="b">
        <f>IFERROR(__xludf.DUMMYFUNCTION("""COMPUTED_VALUE"""),FALSE)</f>
        <v>0</v>
      </c>
      <c r="O942" s="35">
        <f>IFERROR(__xludf.DUMMYFUNCTION("""COMPUTED_VALUE"""),33.8367108575915)</f>
        <v>33.83671086</v>
      </c>
      <c r="P942" s="35">
        <f>IFERROR(__xludf.DUMMYFUNCTION("""COMPUTED_VALUE"""),279267.0)</f>
        <v>279267</v>
      </c>
      <c r="Q942" s="35">
        <f>IFERROR(__xludf.DUMMYFUNCTION("""COMPUTED_VALUE"""),825341.0)</f>
        <v>825341</v>
      </c>
    </row>
    <row r="943">
      <c r="A943" s="35">
        <f>IFERROR(__xludf.DUMMYFUNCTION("""COMPUTED_VALUE"""),979.0)</f>
        <v>979</v>
      </c>
      <c r="B943" s="35" t="str">
        <f>IFERROR(__xludf.DUMMYFUNCTION("""COMPUTED_VALUE"""),"DI String Match")</f>
        <v>DI String Match</v>
      </c>
      <c r="C943" s="35" t="str">
        <f>IFERROR(__xludf.DUMMYFUNCTION("""COMPUTED_VALUE"""),"di-string-match")</f>
        <v>di-string-match</v>
      </c>
      <c r="D943" s="35" t="b">
        <f>IFERROR(__xludf.DUMMYFUNCTION("""COMPUTED_VALUE"""),FALSE)</f>
        <v>0</v>
      </c>
      <c r="E943" s="35" t="str">
        <f>IFERROR(__xludf.DUMMYFUNCTION("""COMPUTED_VALUE"""),"Easy")</f>
        <v>Easy</v>
      </c>
      <c r="F943" s="35">
        <f>IFERROR(__xludf.DUMMYFUNCTION("""COMPUTED_VALUE"""),1604.0)</f>
        <v>1604</v>
      </c>
      <c r="G943" s="35">
        <f>IFERROR(__xludf.DUMMYFUNCTION("""COMPUTED_VALUE"""),632.0)</f>
        <v>632</v>
      </c>
      <c r="H943" s="35" t="str">
        <f>IFERROR(__xludf.DUMMYFUNCTION("""COMPUTED_VALUE"""),"Algorithms")</f>
        <v>Algorithms</v>
      </c>
      <c r="I943" s="35">
        <f>IFERROR(__xludf.DUMMYFUNCTION("""COMPUTED_VALUE"""),0.756)</f>
        <v>0.756</v>
      </c>
      <c r="J943" s="35">
        <f>IFERROR(__xludf.DUMMYFUNCTION("""COMPUTED_VALUE"""),942.0)</f>
        <v>942</v>
      </c>
      <c r="K943" s="35" t="b">
        <f>IFERROR(__xludf.DUMMYFUNCTION("""COMPUTED_VALUE"""),FALSE)</f>
        <v>0</v>
      </c>
      <c r="L943" s="35" t="str">
        <f>IFERROR(__xludf.DUMMYFUNCTION("""COMPUTED_VALUE"""),"Array;Math;Two Pointers;String;Greedy;")</f>
        <v>Array;Math;Two Pointers;String;Greedy;</v>
      </c>
      <c r="M943" s="35" t="b">
        <f>IFERROR(__xludf.DUMMYFUNCTION("""COMPUTED_VALUE"""),TRUE)</f>
        <v>1</v>
      </c>
      <c r="N943" s="35" t="b">
        <f>IFERROR(__xludf.DUMMYFUNCTION("""COMPUTED_VALUE"""),FALSE)</f>
        <v>0</v>
      </c>
      <c r="O943" s="35">
        <f>IFERROR(__xludf.DUMMYFUNCTION("""COMPUTED_VALUE"""),75.6249494377477)</f>
        <v>75.62494944</v>
      </c>
      <c r="P943" s="35">
        <f>IFERROR(__xludf.DUMMYFUNCTION("""COMPUTED_VALUE"""),102825.0)</f>
        <v>102825</v>
      </c>
      <c r="Q943" s="35">
        <f>IFERROR(__xludf.DUMMYFUNCTION("""COMPUTED_VALUE"""),135967.0)</f>
        <v>135967</v>
      </c>
    </row>
    <row r="944">
      <c r="A944" s="35">
        <f>IFERROR(__xludf.DUMMYFUNCTION("""COMPUTED_VALUE"""),980.0)</f>
        <v>980</v>
      </c>
      <c r="B944" s="35" t="str">
        <f>IFERROR(__xludf.DUMMYFUNCTION("""COMPUTED_VALUE"""),"Find the Shortest Superstring")</f>
        <v>Find the Shortest Superstring</v>
      </c>
      <c r="C944" s="35" t="str">
        <f>IFERROR(__xludf.DUMMYFUNCTION("""COMPUTED_VALUE"""),"find-the-shortest-superstring")</f>
        <v>find-the-shortest-superstring</v>
      </c>
      <c r="D944" s="35" t="b">
        <f>IFERROR(__xludf.DUMMYFUNCTION("""COMPUTED_VALUE"""),FALSE)</f>
        <v>0</v>
      </c>
      <c r="E944" s="35" t="str">
        <f>IFERROR(__xludf.DUMMYFUNCTION("""COMPUTED_VALUE"""),"Hard")</f>
        <v>Hard</v>
      </c>
      <c r="F944" s="35">
        <f>IFERROR(__xludf.DUMMYFUNCTION("""COMPUTED_VALUE"""),980.0)</f>
        <v>980</v>
      </c>
      <c r="G944" s="35">
        <f>IFERROR(__xludf.DUMMYFUNCTION("""COMPUTED_VALUE"""),125.0)</f>
        <v>125</v>
      </c>
      <c r="H944" s="35" t="str">
        <f>IFERROR(__xludf.DUMMYFUNCTION("""COMPUTED_VALUE"""),"Algorithms")</f>
        <v>Algorithms</v>
      </c>
      <c r="I944" s="35">
        <f>IFERROR(__xludf.DUMMYFUNCTION("""COMPUTED_VALUE"""),0.454)</f>
        <v>0.454</v>
      </c>
      <c r="J944" s="35">
        <f>IFERROR(__xludf.DUMMYFUNCTION("""COMPUTED_VALUE"""),943.0)</f>
        <v>943</v>
      </c>
      <c r="K944" s="35" t="b">
        <f>IFERROR(__xludf.DUMMYFUNCTION("""COMPUTED_VALUE"""),FALSE)</f>
        <v>0</v>
      </c>
      <c r="L944" s="35" t="str">
        <f>IFERROR(__xludf.DUMMYFUNCTION("""COMPUTED_VALUE"""),"Array;String;Dynamic Programming;Bit Manipulation;Bitmask;")</f>
        <v>Array;String;Dynamic Programming;Bit Manipulation;Bitmask;</v>
      </c>
      <c r="M944" s="35" t="b">
        <f>IFERROR(__xludf.DUMMYFUNCTION("""COMPUTED_VALUE"""),TRUE)</f>
        <v>1</v>
      </c>
      <c r="N944" s="35" t="b">
        <f>IFERROR(__xludf.DUMMYFUNCTION("""COMPUTED_VALUE"""),FALSE)</f>
        <v>0</v>
      </c>
      <c r="O944" s="35">
        <f>IFERROR(__xludf.DUMMYFUNCTION("""COMPUTED_VALUE"""),45.3807286239506)</f>
        <v>45.38072862</v>
      </c>
      <c r="P944" s="35">
        <f>IFERROR(__xludf.DUMMYFUNCTION("""COMPUTED_VALUE"""),23082.0)</f>
        <v>23082</v>
      </c>
      <c r="Q944" s="35">
        <f>IFERROR(__xludf.DUMMYFUNCTION("""COMPUTED_VALUE"""),50863.0)</f>
        <v>50863</v>
      </c>
    </row>
    <row r="945">
      <c r="A945" s="35">
        <f>IFERROR(__xludf.DUMMYFUNCTION("""COMPUTED_VALUE"""),981.0)</f>
        <v>981</v>
      </c>
      <c r="B945" s="35" t="str">
        <f>IFERROR(__xludf.DUMMYFUNCTION("""COMPUTED_VALUE"""),"Delete Columns to Make Sorted")</f>
        <v>Delete Columns to Make Sorted</v>
      </c>
      <c r="C945" s="35" t="str">
        <f>IFERROR(__xludf.DUMMYFUNCTION("""COMPUTED_VALUE"""),"delete-columns-to-make-sorted")</f>
        <v>delete-columns-to-make-sorted</v>
      </c>
      <c r="D945" s="35" t="b">
        <f>IFERROR(__xludf.DUMMYFUNCTION("""COMPUTED_VALUE"""),FALSE)</f>
        <v>0</v>
      </c>
      <c r="E945" s="35" t="str">
        <f>IFERROR(__xludf.DUMMYFUNCTION("""COMPUTED_VALUE"""),"Easy")</f>
        <v>Easy</v>
      </c>
      <c r="F945" s="35">
        <f>IFERROR(__xludf.DUMMYFUNCTION("""COMPUTED_VALUE"""),338.0)</f>
        <v>338</v>
      </c>
      <c r="G945" s="35">
        <f>IFERROR(__xludf.DUMMYFUNCTION("""COMPUTED_VALUE"""),1991.0)</f>
        <v>1991</v>
      </c>
      <c r="H945" s="35" t="str">
        <f>IFERROR(__xludf.DUMMYFUNCTION("""COMPUTED_VALUE"""),"Algorithms")</f>
        <v>Algorithms</v>
      </c>
      <c r="I945" s="35">
        <f>IFERROR(__xludf.DUMMYFUNCTION("""COMPUTED_VALUE"""),0.7)</f>
        <v>0.7</v>
      </c>
      <c r="J945" s="35">
        <f>IFERROR(__xludf.DUMMYFUNCTION("""COMPUTED_VALUE"""),944.0)</f>
        <v>944</v>
      </c>
      <c r="K945" s="35" t="b">
        <f>IFERROR(__xludf.DUMMYFUNCTION("""COMPUTED_VALUE"""),FALSE)</f>
        <v>0</v>
      </c>
      <c r="L945" s="35" t="str">
        <f>IFERROR(__xludf.DUMMYFUNCTION("""COMPUTED_VALUE"""),"Array;String;")</f>
        <v>Array;String;</v>
      </c>
      <c r="M945" s="35" t="b">
        <f>IFERROR(__xludf.DUMMYFUNCTION("""COMPUTED_VALUE"""),FALSE)</f>
        <v>0</v>
      </c>
      <c r="N945" s="35" t="b">
        <f>IFERROR(__xludf.DUMMYFUNCTION("""COMPUTED_VALUE"""),FALSE)</f>
        <v>0</v>
      </c>
      <c r="O945" s="35">
        <f>IFERROR(__xludf.DUMMYFUNCTION("""COMPUTED_VALUE"""),70.0476499891704)</f>
        <v>70.04764999</v>
      </c>
      <c r="P945" s="35">
        <f>IFERROR(__xludf.DUMMYFUNCTION("""COMPUTED_VALUE"""),64682.0)</f>
        <v>64682</v>
      </c>
      <c r="Q945" s="35">
        <f>IFERROR(__xludf.DUMMYFUNCTION("""COMPUTED_VALUE"""),92340.0)</f>
        <v>92340</v>
      </c>
    </row>
    <row r="946">
      <c r="A946" s="35">
        <f>IFERROR(__xludf.DUMMYFUNCTION("""COMPUTED_VALUE"""),982.0)</f>
        <v>982</v>
      </c>
      <c r="B946" s="35" t="str">
        <f>IFERROR(__xludf.DUMMYFUNCTION("""COMPUTED_VALUE"""),"Minimum Increment to Make Array Unique")</f>
        <v>Minimum Increment to Make Array Unique</v>
      </c>
      <c r="C946" s="35" t="str">
        <f>IFERROR(__xludf.DUMMYFUNCTION("""COMPUTED_VALUE"""),"minimum-increment-to-make-array-unique")</f>
        <v>minimum-increment-to-make-array-unique</v>
      </c>
      <c r="D946" s="35" t="b">
        <f>IFERROR(__xludf.DUMMYFUNCTION("""COMPUTED_VALUE"""),FALSE)</f>
        <v>0</v>
      </c>
      <c r="E946" s="35" t="str">
        <f>IFERROR(__xludf.DUMMYFUNCTION("""COMPUTED_VALUE"""),"Medium")</f>
        <v>Medium</v>
      </c>
      <c r="F946" s="35">
        <f>IFERROR(__xludf.DUMMYFUNCTION("""COMPUTED_VALUE"""),974.0)</f>
        <v>974</v>
      </c>
      <c r="G946" s="35">
        <f>IFERROR(__xludf.DUMMYFUNCTION("""COMPUTED_VALUE"""),42.0)</f>
        <v>42</v>
      </c>
      <c r="H946" s="35" t="str">
        <f>IFERROR(__xludf.DUMMYFUNCTION("""COMPUTED_VALUE"""),"Algorithms")</f>
        <v>Algorithms</v>
      </c>
      <c r="I946" s="35">
        <f>IFERROR(__xludf.DUMMYFUNCTION("""COMPUTED_VALUE"""),0.488)</f>
        <v>0.488</v>
      </c>
      <c r="J946" s="35">
        <f>IFERROR(__xludf.DUMMYFUNCTION("""COMPUTED_VALUE"""),945.0)</f>
        <v>945</v>
      </c>
      <c r="K946" s="35" t="b">
        <f>IFERROR(__xludf.DUMMYFUNCTION("""COMPUTED_VALUE"""),FALSE)</f>
        <v>0</v>
      </c>
      <c r="L946" s="35" t="str">
        <f>IFERROR(__xludf.DUMMYFUNCTION("""COMPUTED_VALUE"""),"Array;Greedy;Sorting;Counting;")</f>
        <v>Array;Greedy;Sorting;Counting;</v>
      </c>
      <c r="M946" s="35" t="b">
        <f>IFERROR(__xludf.DUMMYFUNCTION("""COMPUTED_VALUE"""),TRUE)</f>
        <v>1</v>
      </c>
      <c r="N946" s="35" t="b">
        <f>IFERROR(__xludf.DUMMYFUNCTION("""COMPUTED_VALUE"""),FALSE)</f>
        <v>0</v>
      </c>
      <c r="O946" s="35">
        <f>IFERROR(__xludf.DUMMYFUNCTION("""COMPUTED_VALUE"""),48.831923585937)</f>
        <v>48.83192359</v>
      </c>
      <c r="P946" s="35">
        <f>IFERROR(__xludf.DUMMYFUNCTION("""COMPUTED_VALUE"""),50918.0)</f>
        <v>50918</v>
      </c>
      <c r="Q946" s="35">
        <f>IFERROR(__xludf.DUMMYFUNCTION("""COMPUTED_VALUE"""),104273.0)</f>
        <v>104273</v>
      </c>
    </row>
    <row r="947">
      <c r="A947" s="35">
        <f>IFERROR(__xludf.DUMMYFUNCTION("""COMPUTED_VALUE"""),983.0)</f>
        <v>983</v>
      </c>
      <c r="B947" s="35" t="str">
        <f>IFERROR(__xludf.DUMMYFUNCTION("""COMPUTED_VALUE"""),"Validate Stack Sequences")</f>
        <v>Validate Stack Sequences</v>
      </c>
      <c r="C947" s="35" t="str">
        <f>IFERROR(__xludf.DUMMYFUNCTION("""COMPUTED_VALUE"""),"validate-stack-sequences")</f>
        <v>validate-stack-sequences</v>
      </c>
      <c r="D947" s="35" t="b">
        <f>IFERROR(__xludf.DUMMYFUNCTION("""COMPUTED_VALUE"""),FALSE)</f>
        <v>0</v>
      </c>
      <c r="E947" s="35" t="str">
        <f>IFERROR(__xludf.DUMMYFUNCTION("""COMPUTED_VALUE"""),"Medium")</f>
        <v>Medium</v>
      </c>
      <c r="F947" s="35">
        <f>IFERROR(__xludf.DUMMYFUNCTION("""COMPUTED_VALUE"""),2391.0)</f>
        <v>2391</v>
      </c>
      <c r="G947" s="35">
        <f>IFERROR(__xludf.DUMMYFUNCTION("""COMPUTED_VALUE"""),43.0)</f>
        <v>43</v>
      </c>
      <c r="H947" s="35" t="str">
        <f>IFERROR(__xludf.DUMMYFUNCTION("""COMPUTED_VALUE"""),"Algorithms")</f>
        <v>Algorithms</v>
      </c>
      <c r="I947" s="35">
        <f>IFERROR(__xludf.DUMMYFUNCTION("""COMPUTED_VALUE"""),0.653)</f>
        <v>0.653</v>
      </c>
      <c r="J947" s="35">
        <f>IFERROR(__xludf.DUMMYFUNCTION("""COMPUTED_VALUE"""),946.0)</f>
        <v>946</v>
      </c>
      <c r="K947" s="35" t="b">
        <f>IFERROR(__xludf.DUMMYFUNCTION("""COMPUTED_VALUE"""),FALSE)</f>
        <v>0</v>
      </c>
      <c r="L947" s="35" t="str">
        <f>IFERROR(__xludf.DUMMYFUNCTION("""COMPUTED_VALUE"""),"Array;Stack;Simulation;")</f>
        <v>Array;Stack;Simulation;</v>
      </c>
      <c r="M947" s="35" t="b">
        <f>IFERROR(__xludf.DUMMYFUNCTION("""COMPUTED_VALUE"""),TRUE)</f>
        <v>1</v>
      </c>
      <c r="N947" s="35" t="b">
        <f>IFERROR(__xludf.DUMMYFUNCTION("""COMPUTED_VALUE"""),FALSE)</f>
        <v>0</v>
      </c>
      <c r="O947" s="35">
        <f>IFERROR(__xludf.DUMMYFUNCTION("""COMPUTED_VALUE"""),65.3416155296193)</f>
        <v>65.34161553</v>
      </c>
      <c r="P947" s="35">
        <f>IFERROR(__xludf.DUMMYFUNCTION("""COMPUTED_VALUE"""),130326.0)</f>
        <v>130326</v>
      </c>
      <c r="Q947" s="35">
        <f>IFERROR(__xludf.DUMMYFUNCTION("""COMPUTED_VALUE"""),199456.0)</f>
        <v>199456</v>
      </c>
    </row>
    <row r="948">
      <c r="A948" s="35">
        <f>IFERROR(__xludf.DUMMYFUNCTION("""COMPUTED_VALUE"""),984.0)</f>
        <v>984</v>
      </c>
      <c r="B948" s="35" t="str">
        <f>IFERROR(__xludf.DUMMYFUNCTION("""COMPUTED_VALUE"""),"Most Stones Removed with Same Row or Column")</f>
        <v>Most Stones Removed with Same Row or Column</v>
      </c>
      <c r="C948" s="35" t="str">
        <f>IFERROR(__xludf.DUMMYFUNCTION("""COMPUTED_VALUE"""),"most-stones-removed-with-same-row-or-column")</f>
        <v>most-stones-removed-with-same-row-or-column</v>
      </c>
      <c r="D948" s="35" t="b">
        <f>IFERROR(__xludf.DUMMYFUNCTION("""COMPUTED_VALUE"""),FALSE)</f>
        <v>0</v>
      </c>
      <c r="E948" s="35" t="str">
        <f>IFERROR(__xludf.DUMMYFUNCTION("""COMPUTED_VALUE"""),"Medium")</f>
        <v>Medium</v>
      </c>
      <c r="F948" s="35">
        <f>IFERROR(__xludf.DUMMYFUNCTION("""COMPUTED_VALUE"""),2288.0)</f>
        <v>2288</v>
      </c>
      <c r="G948" s="35">
        <f>IFERROR(__xludf.DUMMYFUNCTION("""COMPUTED_VALUE"""),501.0)</f>
        <v>501</v>
      </c>
      <c r="H948" s="35" t="str">
        <f>IFERROR(__xludf.DUMMYFUNCTION("""COMPUTED_VALUE"""),"Algorithms")</f>
        <v>Algorithms</v>
      </c>
      <c r="I948" s="35">
        <f>IFERROR(__xludf.DUMMYFUNCTION("""COMPUTED_VALUE"""),0.562)</f>
        <v>0.562</v>
      </c>
      <c r="J948" s="35">
        <f>IFERROR(__xludf.DUMMYFUNCTION("""COMPUTED_VALUE"""),947.0)</f>
        <v>947</v>
      </c>
      <c r="K948" s="35" t="b">
        <f>IFERROR(__xludf.DUMMYFUNCTION("""COMPUTED_VALUE"""),FALSE)</f>
        <v>0</v>
      </c>
      <c r="L948" s="35" t="str">
        <f>IFERROR(__xludf.DUMMYFUNCTION("""COMPUTED_VALUE"""),"Depth-First Search;Union Find;Graph;")</f>
        <v>Depth-First Search;Union Find;Graph;</v>
      </c>
      <c r="M948" s="35" t="b">
        <f>IFERROR(__xludf.DUMMYFUNCTION("""COMPUTED_VALUE"""),FALSE)</f>
        <v>0</v>
      </c>
      <c r="N948" s="35" t="b">
        <f>IFERROR(__xludf.DUMMYFUNCTION("""COMPUTED_VALUE"""),FALSE)</f>
        <v>0</v>
      </c>
      <c r="O948" s="35">
        <f>IFERROR(__xludf.DUMMYFUNCTION("""COMPUTED_VALUE"""),56.2470758798352)</f>
        <v>56.24707588</v>
      </c>
      <c r="P948" s="35">
        <f>IFERROR(__xludf.DUMMYFUNCTION("""COMPUTED_VALUE"""),97380.0)</f>
        <v>97380</v>
      </c>
      <c r="Q948" s="35">
        <f>IFERROR(__xludf.DUMMYFUNCTION("""COMPUTED_VALUE"""),173129.0)</f>
        <v>173129</v>
      </c>
    </row>
    <row r="949">
      <c r="A949" s="35">
        <f>IFERROR(__xludf.DUMMYFUNCTION("""COMPUTED_VALUE"""),985.0)</f>
        <v>985</v>
      </c>
      <c r="B949" s="35" t="str">
        <f>IFERROR(__xludf.DUMMYFUNCTION("""COMPUTED_VALUE"""),"Bag of Tokens")</f>
        <v>Bag of Tokens</v>
      </c>
      <c r="C949" s="35" t="str">
        <f>IFERROR(__xludf.DUMMYFUNCTION("""COMPUTED_VALUE"""),"bag-of-tokens")</f>
        <v>bag-of-tokens</v>
      </c>
      <c r="D949" s="35" t="b">
        <f>IFERROR(__xludf.DUMMYFUNCTION("""COMPUTED_VALUE"""),FALSE)</f>
        <v>0</v>
      </c>
      <c r="E949" s="35" t="str">
        <f>IFERROR(__xludf.DUMMYFUNCTION("""COMPUTED_VALUE"""),"Medium")</f>
        <v>Medium</v>
      </c>
      <c r="F949" s="35">
        <f>IFERROR(__xludf.DUMMYFUNCTION("""COMPUTED_VALUE"""),646.0)</f>
        <v>646</v>
      </c>
      <c r="G949" s="35">
        <f>IFERROR(__xludf.DUMMYFUNCTION("""COMPUTED_VALUE"""),292.0)</f>
        <v>292</v>
      </c>
      <c r="H949" s="35" t="str">
        <f>IFERROR(__xludf.DUMMYFUNCTION("""COMPUTED_VALUE"""),"Algorithms")</f>
        <v>Algorithms</v>
      </c>
      <c r="I949" s="35">
        <f>IFERROR(__xludf.DUMMYFUNCTION("""COMPUTED_VALUE"""),0.462)</f>
        <v>0.462</v>
      </c>
      <c r="J949" s="35">
        <f>IFERROR(__xludf.DUMMYFUNCTION("""COMPUTED_VALUE"""),948.0)</f>
        <v>948</v>
      </c>
      <c r="K949" s="35" t="b">
        <f>IFERROR(__xludf.DUMMYFUNCTION("""COMPUTED_VALUE"""),FALSE)</f>
        <v>0</v>
      </c>
      <c r="L949" s="35" t="str">
        <f>IFERROR(__xludf.DUMMYFUNCTION("""COMPUTED_VALUE"""),"Array;Two Pointers;Greedy;Sorting;")</f>
        <v>Array;Two Pointers;Greedy;Sorting;</v>
      </c>
      <c r="M949" s="35" t="b">
        <f>IFERROR(__xludf.DUMMYFUNCTION("""COMPUTED_VALUE"""),TRUE)</f>
        <v>1</v>
      </c>
      <c r="N949" s="35" t="b">
        <f>IFERROR(__xludf.DUMMYFUNCTION("""COMPUTED_VALUE"""),FALSE)</f>
        <v>0</v>
      </c>
      <c r="O949" s="35">
        <f>IFERROR(__xludf.DUMMYFUNCTION("""COMPUTED_VALUE"""),46.1619955696812)</f>
        <v>46.16199557</v>
      </c>
      <c r="P949" s="35">
        <f>IFERROR(__xludf.DUMMYFUNCTION("""COMPUTED_VALUE"""),38344.0)</f>
        <v>38344</v>
      </c>
      <c r="Q949" s="35">
        <f>IFERROR(__xludf.DUMMYFUNCTION("""COMPUTED_VALUE"""),83064.0)</f>
        <v>83064</v>
      </c>
    </row>
    <row r="950">
      <c r="A950" s="35">
        <f>IFERROR(__xludf.DUMMYFUNCTION("""COMPUTED_VALUE"""),986.0)</f>
        <v>986</v>
      </c>
      <c r="B950" s="35" t="str">
        <f>IFERROR(__xludf.DUMMYFUNCTION("""COMPUTED_VALUE"""),"Largest Time for Given Digits")</f>
        <v>Largest Time for Given Digits</v>
      </c>
      <c r="C950" s="35" t="str">
        <f>IFERROR(__xludf.DUMMYFUNCTION("""COMPUTED_VALUE"""),"largest-time-for-given-digits")</f>
        <v>largest-time-for-given-digits</v>
      </c>
      <c r="D950" s="35" t="b">
        <f>IFERROR(__xludf.DUMMYFUNCTION("""COMPUTED_VALUE"""),FALSE)</f>
        <v>0</v>
      </c>
      <c r="E950" s="35" t="str">
        <f>IFERROR(__xludf.DUMMYFUNCTION("""COMPUTED_VALUE"""),"Medium")</f>
        <v>Medium</v>
      </c>
      <c r="F950" s="35">
        <f>IFERROR(__xludf.DUMMYFUNCTION("""COMPUTED_VALUE"""),533.0)</f>
        <v>533</v>
      </c>
      <c r="G950" s="35">
        <f>IFERROR(__xludf.DUMMYFUNCTION("""COMPUTED_VALUE"""),892.0)</f>
        <v>892</v>
      </c>
      <c r="H950" s="35" t="str">
        <f>IFERROR(__xludf.DUMMYFUNCTION("""COMPUTED_VALUE"""),"Algorithms")</f>
        <v>Algorithms</v>
      </c>
      <c r="I950" s="35">
        <f>IFERROR(__xludf.DUMMYFUNCTION("""COMPUTED_VALUE"""),0.355)</f>
        <v>0.355</v>
      </c>
      <c r="J950" s="35">
        <f>IFERROR(__xludf.DUMMYFUNCTION("""COMPUTED_VALUE"""),949.0)</f>
        <v>949</v>
      </c>
      <c r="K950" s="35" t="b">
        <f>IFERROR(__xludf.DUMMYFUNCTION("""COMPUTED_VALUE"""),FALSE)</f>
        <v>0</v>
      </c>
      <c r="L950" s="35" t="str">
        <f>IFERROR(__xludf.DUMMYFUNCTION("""COMPUTED_VALUE"""),"String;Enumeration;")</f>
        <v>String;Enumeration;</v>
      </c>
      <c r="M950" s="35" t="b">
        <f>IFERROR(__xludf.DUMMYFUNCTION("""COMPUTED_VALUE"""),TRUE)</f>
        <v>1</v>
      </c>
      <c r="N950" s="35" t="b">
        <f>IFERROR(__xludf.DUMMYFUNCTION("""COMPUTED_VALUE"""),FALSE)</f>
        <v>0</v>
      </c>
      <c r="O950" s="35">
        <f>IFERROR(__xludf.DUMMYFUNCTION("""COMPUTED_VALUE"""),35.4992294424429)</f>
        <v>35.49922944</v>
      </c>
      <c r="P950" s="35">
        <f>IFERROR(__xludf.DUMMYFUNCTION("""COMPUTED_VALUE"""),69565.0)</f>
        <v>69565</v>
      </c>
      <c r="Q950" s="35">
        <f>IFERROR(__xludf.DUMMYFUNCTION("""COMPUTED_VALUE"""),195962.0)</f>
        <v>195962</v>
      </c>
    </row>
    <row r="951">
      <c r="A951" s="35">
        <f>IFERROR(__xludf.DUMMYFUNCTION("""COMPUTED_VALUE"""),987.0)</f>
        <v>987</v>
      </c>
      <c r="B951" s="35" t="str">
        <f>IFERROR(__xludf.DUMMYFUNCTION("""COMPUTED_VALUE"""),"Reveal Cards In Increasing Order")</f>
        <v>Reveal Cards In Increasing Order</v>
      </c>
      <c r="C951" s="35" t="str">
        <f>IFERROR(__xludf.DUMMYFUNCTION("""COMPUTED_VALUE"""),"reveal-cards-in-increasing-order")</f>
        <v>reveal-cards-in-increasing-order</v>
      </c>
      <c r="D951" s="35" t="b">
        <f>IFERROR(__xludf.DUMMYFUNCTION("""COMPUTED_VALUE"""),FALSE)</f>
        <v>0</v>
      </c>
      <c r="E951" s="35" t="str">
        <f>IFERROR(__xludf.DUMMYFUNCTION("""COMPUTED_VALUE"""),"Medium")</f>
        <v>Medium</v>
      </c>
      <c r="F951" s="35">
        <f>IFERROR(__xludf.DUMMYFUNCTION("""COMPUTED_VALUE"""),1762.0)</f>
        <v>1762</v>
      </c>
      <c r="G951" s="35">
        <f>IFERROR(__xludf.DUMMYFUNCTION("""COMPUTED_VALUE"""),271.0)</f>
        <v>271</v>
      </c>
      <c r="H951" s="35" t="str">
        <f>IFERROR(__xludf.DUMMYFUNCTION("""COMPUTED_VALUE"""),"Algorithms")</f>
        <v>Algorithms</v>
      </c>
      <c r="I951" s="35">
        <f>IFERROR(__xludf.DUMMYFUNCTION("""COMPUTED_VALUE"""),0.769)</f>
        <v>0.769</v>
      </c>
      <c r="J951" s="35">
        <f>IFERROR(__xludf.DUMMYFUNCTION("""COMPUTED_VALUE"""),950.0)</f>
        <v>950</v>
      </c>
      <c r="K951" s="35" t="b">
        <f>IFERROR(__xludf.DUMMYFUNCTION("""COMPUTED_VALUE"""),FALSE)</f>
        <v>0</v>
      </c>
      <c r="L951" s="35" t="str">
        <f>IFERROR(__xludf.DUMMYFUNCTION("""COMPUTED_VALUE"""),"Array;Queue;Sorting;Simulation;")</f>
        <v>Array;Queue;Sorting;Simulation;</v>
      </c>
      <c r="M951" s="35" t="b">
        <f>IFERROR(__xludf.DUMMYFUNCTION("""COMPUTED_VALUE"""),TRUE)</f>
        <v>1</v>
      </c>
      <c r="N951" s="35" t="b">
        <f>IFERROR(__xludf.DUMMYFUNCTION("""COMPUTED_VALUE"""),FALSE)</f>
        <v>0</v>
      </c>
      <c r="O951" s="35">
        <f>IFERROR(__xludf.DUMMYFUNCTION("""COMPUTED_VALUE"""),76.9254156244385)</f>
        <v>76.92541562</v>
      </c>
      <c r="P951" s="35">
        <f>IFERROR(__xludf.DUMMYFUNCTION("""COMPUTED_VALUE"""),55664.0)</f>
        <v>55664</v>
      </c>
      <c r="Q951" s="35">
        <f>IFERROR(__xludf.DUMMYFUNCTION("""COMPUTED_VALUE"""),72361.0)</f>
        <v>72361</v>
      </c>
    </row>
    <row r="952">
      <c r="A952" s="35">
        <f>IFERROR(__xludf.DUMMYFUNCTION("""COMPUTED_VALUE"""),988.0)</f>
        <v>988</v>
      </c>
      <c r="B952" s="35" t="str">
        <f>IFERROR(__xludf.DUMMYFUNCTION("""COMPUTED_VALUE"""),"Flip Equivalent Binary Trees")</f>
        <v>Flip Equivalent Binary Trees</v>
      </c>
      <c r="C952" s="35" t="str">
        <f>IFERROR(__xludf.DUMMYFUNCTION("""COMPUTED_VALUE"""),"flip-equivalent-binary-trees")</f>
        <v>flip-equivalent-binary-trees</v>
      </c>
      <c r="D952" s="35" t="b">
        <f>IFERROR(__xludf.DUMMYFUNCTION("""COMPUTED_VALUE"""),FALSE)</f>
        <v>0</v>
      </c>
      <c r="E952" s="35" t="str">
        <f>IFERROR(__xludf.DUMMYFUNCTION("""COMPUTED_VALUE"""),"Medium")</f>
        <v>Medium</v>
      </c>
      <c r="F952" s="35">
        <f>IFERROR(__xludf.DUMMYFUNCTION("""COMPUTED_VALUE"""),1541.0)</f>
        <v>1541</v>
      </c>
      <c r="G952" s="35">
        <f>IFERROR(__xludf.DUMMYFUNCTION("""COMPUTED_VALUE"""),69.0)</f>
        <v>69</v>
      </c>
      <c r="H952" s="35" t="str">
        <f>IFERROR(__xludf.DUMMYFUNCTION("""COMPUTED_VALUE"""),"Algorithms")</f>
        <v>Algorithms</v>
      </c>
      <c r="I952" s="35">
        <f>IFERROR(__xludf.DUMMYFUNCTION("""COMPUTED_VALUE"""),0.666)</f>
        <v>0.666</v>
      </c>
      <c r="J952" s="35">
        <f>IFERROR(__xludf.DUMMYFUNCTION("""COMPUTED_VALUE"""),951.0)</f>
        <v>951</v>
      </c>
      <c r="K952" s="35" t="b">
        <f>IFERROR(__xludf.DUMMYFUNCTION("""COMPUTED_VALUE"""),FALSE)</f>
        <v>0</v>
      </c>
      <c r="L952" s="35" t="str">
        <f>IFERROR(__xludf.DUMMYFUNCTION("""COMPUTED_VALUE"""),"Tree;Depth-First Search;Binary Tree;")</f>
        <v>Tree;Depth-First Search;Binary Tree;</v>
      </c>
      <c r="M952" s="35" t="b">
        <f>IFERROR(__xludf.DUMMYFUNCTION("""COMPUTED_VALUE"""),TRUE)</f>
        <v>1</v>
      </c>
      <c r="N952" s="35" t="b">
        <f>IFERROR(__xludf.DUMMYFUNCTION("""COMPUTED_VALUE"""),FALSE)</f>
        <v>0</v>
      </c>
      <c r="O952" s="35">
        <f>IFERROR(__xludf.DUMMYFUNCTION("""COMPUTED_VALUE"""),66.6133447985887)</f>
        <v>66.6133448</v>
      </c>
      <c r="P952" s="35">
        <f>IFERROR(__xludf.DUMMYFUNCTION("""COMPUTED_VALUE"""),105354.0)</f>
        <v>105354</v>
      </c>
      <c r="Q952" s="35">
        <f>IFERROR(__xludf.DUMMYFUNCTION("""COMPUTED_VALUE"""),158158.0)</f>
        <v>158158</v>
      </c>
    </row>
    <row r="953">
      <c r="A953" s="35">
        <f>IFERROR(__xludf.DUMMYFUNCTION("""COMPUTED_VALUE"""),989.0)</f>
        <v>989</v>
      </c>
      <c r="B953" s="35" t="str">
        <f>IFERROR(__xludf.DUMMYFUNCTION("""COMPUTED_VALUE"""),"Largest Component Size by Common Factor")</f>
        <v>Largest Component Size by Common Factor</v>
      </c>
      <c r="C953" s="35" t="str">
        <f>IFERROR(__xludf.DUMMYFUNCTION("""COMPUTED_VALUE"""),"largest-component-size-by-common-factor")</f>
        <v>largest-component-size-by-common-factor</v>
      </c>
      <c r="D953" s="35" t="b">
        <f>IFERROR(__xludf.DUMMYFUNCTION("""COMPUTED_VALUE"""),FALSE)</f>
        <v>0</v>
      </c>
      <c r="E953" s="35" t="str">
        <f>IFERROR(__xludf.DUMMYFUNCTION("""COMPUTED_VALUE"""),"Hard")</f>
        <v>Hard</v>
      </c>
      <c r="F953" s="35">
        <f>IFERROR(__xludf.DUMMYFUNCTION("""COMPUTED_VALUE"""),1218.0)</f>
        <v>1218</v>
      </c>
      <c r="G953" s="35">
        <f>IFERROR(__xludf.DUMMYFUNCTION("""COMPUTED_VALUE"""),85.0)</f>
        <v>85</v>
      </c>
      <c r="H953" s="35" t="str">
        <f>IFERROR(__xludf.DUMMYFUNCTION("""COMPUTED_VALUE"""),"Algorithms")</f>
        <v>Algorithms</v>
      </c>
      <c r="I953" s="35">
        <f>IFERROR(__xludf.DUMMYFUNCTION("""COMPUTED_VALUE"""),0.404)</f>
        <v>0.404</v>
      </c>
      <c r="J953" s="35">
        <f>IFERROR(__xludf.DUMMYFUNCTION("""COMPUTED_VALUE"""),952.0)</f>
        <v>952</v>
      </c>
      <c r="K953" s="35" t="b">
        <f>IFERROR(__xludf.DUMMYFUNCTION("""COMPUTED_VALUE"""),FALSE)</f>
        <v>0</v>
      </c>
      <c r="L953" s="35" t="str">
        <f>IFERROR(__xludf.DUMMYFUNCTION("""COMPUTED_VALUE"""),"Array;Math;Union Find;")</f>
        <v>Array;Math;Union Find;</v>
      </c>
      <c r="M953" s="35" t="b">
        <f>IFERROR(__xludf.DUMMYFUNCTION("""COMPUTED_VALUE"""),TRUE)</f>
        <v>1</v>
      </c>
      <c r="N953" s="35" t="b">
        <f>IFERROR(__xludf.DUMMYFUNCTION("""COMPUTED_VALUE"""),FALSE)</f>
        <v>0</v>
      </c>
      <c r="O953" s="35">
        <f>IFERROR(__xludf.DUMMYFUNCTION("""COMPUTED_VALUE"""),40.4116858451569)</f>
        <v>40.41168585</v>
      </c>
      <c r="P953" s="35">
        <f>IFERROR(__xludf.DUMMYFUNCTION("""COMPUTED_VALUE"""),43407.0)</f>
        <v>43407</v>
      </c>
      <c r="Q953" s="35">
        <f>IFERROR(__xludf.DUMMYFUNCTION("""COMPUTED_VALUE"""),107412.0)</f>
        <v>107412</v>
      </c>
    </row>
    <row r="954">
      <c r="A954" s="35">
        <f>IFERROR(__xludf.DUMMYFUNCTION("""COMPUTED_VALUE"""),990.0)</f>
        <v>990</v>
      </c>
      <c r="B954" s="35" t="str">
        <f>IFERROR(__xludf.DUMMYFUNCTION("""COMPUTED_VALUE"""),"Verifying an Alien Dictionary")</f>
        <v>Verifying an Alien Dictionary</v>
      </c>
      <c r="C954" s="35" t="str">
        <f>IFERROR(__xludf.DUMMYFUNCTION("""COMPUTED_VALUE"""),"verifying-an-alien-dictionary")</f>
        <v>verifying-an-alien-dictionary</v>
      </c>
      <c r="D954" s="35" t="b">
        <f>IFERROR(__xludf.DUMMYFUNCTION("""COMPUTED_VALUE"""),FALSE)</f>
        <v>0</v>
      </c>
      <c r="E954" s="35" t="str">
        <f>IFERROR(__xludf.DUMMYFUNCTION("""COMPUTED_VALUE"""),"Easy")</f>
        <v>Easy</v>
      </c>
      <c r="F954" s="35">
        <f>IFERROR(__xludf.DUMMYFUNCTION("""COMPUTED_VALUE"""),2621.0)</f>
        <v>2621</v>
      </c>
      <c r="G954" s="35">
        <f>IFERROR(__xludf.DUMMYFUNCTION("""COMPUTED_VALUE"""),888.0)</f>
        <v>888</v>
      </c>
      <c r="H954" s="35" t="str">
        <f>IFERROR(__xludf.DUMMYFUNCTION("""COMPUTED_VALUE"""),"Algorithms")</f>
        <v>Algorithms</v>
      </c>
      <c r="I954" s="35">
        <f>IFERROR(__xludf.DUMMYFUNCTION("""COMPUTED_VALUE"""),0.524)</f>
        <v>0.524</v>
      </c>
      <c r="J954" s="35">
        <f>IFERROR(__xludf.DUMMYFUNCTION("""COMPUTED_VALUE"""),953.0)</f>
        <v>953</v>
      </c>
      <c r="K954" s="35" t="b">
        <f>IFERROR(__xludf.DUMMYFUNCTION("""COMPUTED_VALUE"""),FALSE)</f>
        <v>0</v>
      </c>
      <c r="L954" s="35" t="str">
        <f>IFERROR(__xludf.DUMMYFUNCTION("""COMPUTED_VALUE"""),"Array;Hash Table;String;")</f>
        <v>Array;Hash Table;String;</v>
      </c>
      <c r="M954" s="35" t="b">
        <f>IFERROR(__xludf.DUMMYFUNCTION("""COMPUTED_VALUE"""),TRUE)</f>
        <v>1</v>
      </c>
      <c r="N954" s="35" t="b">
        <f>IFERROR(__xludf.DUMMYFUNCTION("""COMPUTED_VALUE"""),FALSE)</f>
        <v>0</v>
      </c>
      <c r="O954" s="35">
        <f>IFERROR(__xludf.DUMMYFUNCTION("""COMPUTED_VALUE"""),52.4213528485351)</f>
        <v>52.42135285</v>
      </c>
      <c r="P954" s="35">
        <f>IFERROR(__xludf.DUMMYFUNCTION("""COMPUTED_VALUE"""),334506.0)</f>
        <v>334506</v>
      </c>
      <c r="Q954" s="35">
        <f>IFERROR(__xludf.DUMMYFUNCTION("""COMPUTED_VALUE"""),638116.0)</f>
        <v>638116</v>
      </c>
    </row>
    <row r="955">
      <c r="A955" s="35">
        <f>IFERROR(__xludf.DUMMYFUNCTION("""COMPUTED_VALUE"""),991.0)</f>
        <v>991</v>
      </c>
      <c r="B955" s="35" t="str">
        <f>IFERROR(__xludf.DUMMYFUNCTION("""COMPUTED_VALUE"""),"Array of Doubled Pairs")</f>
        <v>Array of Doubled Pairs</v>
      </c>
      <c r="C955" s="35" t="str">
        <f>IFERROR(__xludf.DUMMYFUNCTION("""COMPUTED_VALUE"""),"array-of-doubled-pairs")</f>
        <v>array-of-doubled-pairs</v>
      </c>
      <c r="D955" s="35" t="b">
        <f>IFERROR(__xludf.DUMMYFUNCTION("""COMPUTED_VALUE"""),FALSE)</f>
        <v>0</v>
      </c>
      <c r="E955" s="35" t="str">
        <f>IFERROR(__xludf.DUMMYFUNCTION("""COMPUTED_VALUE"""),"Medium")</f>
        <v>Medium</v>
      </c>
      <c r="F955" s="35">
        <f>IFERROR(__xludf.DUMMYFUNCTION("""COMPUTED_VALUE"""),1039.0)</f>
        <v>1039</v>
      </c>
      <c r="G955" s="35">
        <f>IFERROR(__xludf.DUMMYFUNCTION("""COMPUTED_VALUE"""),123.0)</f>
        <v>123</v>
      </c>
      <c r="H955" s="35" t="str">
        <f>IFERROR(__xludf.DUMMYFUNCTION("""COMPUTED_VALUE"""),"Algorithms")</f>
        <v>Algorithms</v>
      </c>
      <c r="I955" s="35">
        <f>IFERROR(__xludf.DUMMYFUNCTION("""COMPUTED_VALUE"""),0.385)</f>
        <v>0.385</v>
      </c>
      <c r="J955" s="35">
        <f>IFERROR(__xludf.DUMMYFUNCTION("""COMPUTED_VALUE"""),954.0)</f>
        <v>954</v>
      </c>
      <c r="K955" s="35" t="b">
        <f>IFERROR(__xludf.DUMMYFUNCTION("""COMPUTED_VALUE"""),FALSE)</f>
        <v>0</v>
      </c>
      <c r="L955" s="35" t="str">
        <f>IFERROR(__xludf.DUMMYFUNCTION("""COMPUTED_VALUE"""),"Array;Hash Table;Greedy;Sorting;")</f>
        <v>Array;Hash Table;Greedy;Sorting;</v>
      </c>
      <c r="M955" s="35" t="b">
        <f>IFERROR(__xludf.DUMMYFUNCTION("""COMPUTED_VALUE"""),TRUE)</f>
        <v>1</v>
      </c>
      <c r="N955" s="35" t="b">
        <f>IFERROR(__xludf.DUMMYFUNCTION("""COMPUTED_VALUE"""),FALSE)</f>
        <v>0</v>
      </c>
      <c r="O955" s="35">
        <f>IFERROR(__xludf.DUMMYFUNCTION("""COMPUTED_VALUE"""),38.4970830841448)</f>
        <v>38.49708308</v>
      </c>
      <c r="P955" s="35">
        <f>IFERROR(__xludf.DUMMYFUNCTION("""COMPUTED_VALUE"""),68233.0)</f>
        <v>68233</v>
      </c>
      <c r="Q955" s="35">
        <f>IFERROR(__xludf.DUMMYFUNCTION("""COMPUTED_VALUE"""),177242.0)</f>
        <v>177242</v>
      </c>
    </row>
    <row r="956">
      <c r="A956" s="35">
        <f>IFERROR(__xludf.DUMMYFUNCTION("""COMPUTED_VALUE"""),992.0)</f>
        <v>992</v>
      </c>
      <c r="B956" s="35" t="str">
        <f>IFERROR(__xludf.DUMMYFUNCTION("""COMPUTED_VALUE"""),"Delete Columns to Make Sorted II")</f>
        <v>Delete Columns to Make Sorted II</v>
      </c>
      <c r="C956" s="35" t="str">
        <f>IFERROR(__xludf.DUMMYFUNCTION("""COMPUTED_VALUE"""),"delete-columns-to-make-sorted-ii")</f>
        <v>delete-columns-to-make-sorted-ii</v>
      </c>
      <c r="D956" s="35" t="b">
        <f>IFERROR(__xludf.DUMMYFUNCTION("""COMPUTED_VALUE"""),FALSE)</f>
        <v>0</v>
      </c>
      <c r="E956" s="35" t="str">
        <f>IFERROR(__xludf.DUMMYFUNCTION("""COMPUTED_VALUE"""),"Medium")</f>
        <v>Medium</v>
      </c>
      <c r="F956" s="35">
        <f>IFERROR(__xludf.DUMMYFUNCTION("""COMPUTED_VALUE"""),434.0)</f>
        <v>434</v>
      </c>
      <c r="G956" s="35">
        <f>IFERROR(__xludf.DUMMYFUNCTION("""COMPUTED_VALUE"""),69.0)</f>
        <v>69</v>
      </c>
      <c r="H956" s="35" t="str">
        <f>IFERROR(__xludf.DUMMYFUNCTION("""COMPUTED_VALUE"""),"Algorithms")</f>
        <v>Algorithms</v>
      </c>
      <c r="I956" s="35">
        <f>IFERROR(__xludf.DUMMYFUNCTION("""COMPUTED_VALUE"""),0.341)</f>
        <v>0.341</v>
      </c>
      <c r="J956" s="35">
        <f>IFERROR(__xludf.DUMMYFUNCTION("""COMPUTED_VALUE"""),955.0)</f>
        <v>955</v>
      </c>
      <c r="K956" s="35" t="b">
        <f>IFERROR(__xludf.DUMMYFUNCTION("""COMPUTED_VALUE"""),FALSE)</f>
        <v>0</v>
      </c>
      <c r="L956" s="35" t="str">
        <f>IFERROR(__xludf.DUMMYFUNCTION("""COMPUTED_VALUE"""),"Array;String;Greedy;")</f>
        <v>Array;String;Greedy;</v>
      </c>
      <c r="M956" s="35" t="b">
        <f>IFERROR(__xludf.DUMMYFUNCTION("""COMPUTED_VALUE"""),FALSE)</f>
        <v>0</v>
      </c>
      <c r="N956" s="35" t="b">
        <f>IFERROR(__xludf.DUMMYFUNCTION("""COMPUTED_VALUE"""),FALSE)</f>
        <v>0</v>
      </c>
      <c r="O956" s="35">
        <f>IFERROR(__xludf.DUMMYFUNCTION("""COMPUTED_VALUE"""),34.1346592464191)</f>
        <v>34.13465925</v>
      </c>
      <c r="P956" s="35">
        <f>IFERROR(__xludf.DUMMYFUNCTION("""COMPUTED_VALUE"""),14966.0)</f>
        <v>14966</v>
      </c>
      <c r="Q956" s="35">
        <f>IFERROR(__xludf.DUMMYFUNCTION("""COMPUTED_VALUE"""),43844.0)</f>
        <v>43844</v>
      </c>
    </row>
    <row r="957">
      <c r="A957" s="35">
        <f>IFERROR(__xludf.DUMMYFUNCTION("""COMPUTED_VALUE"""),993.0)</f>
        <v>993</v>
      </c>
      <c r="B957" s="35" t="str">
        <f>IFERROR(__xludf.DUMMYFUNCTION("""COMPUTED_VALUE"""),"Tallest Billboard")</f>
        <v>Tallest Billboard</v>
      </c>
      <c r="C957" s="35" t="str">
        <f>IFERROR(__xludf.DUMMYFUNCTION("""COMPUTED_VALUE"""),"tallest-billboard")</f>
        <v>tallest-billboard</v>
      </c>
      <c r="D957" s="35" t="b">
        <f>IFERROR(__xludf.DUMMYFUNCTION("""COMPUTED_VALUE"""),FALSE)</f>
        <v>0</v>
      </c>
      <c r="E957" s="35" t="str">
        <f>IFERROR(__xludf.DUMMYFUNCTION("""COMPUTED_VALUE"""),"Hard")</f>
        <v>Hard</v>
      </c>
      <c r="F957" s="35">
        <f>IFERROR(__xludf.DUMMYFUNCTION("""COMPUTED_VALUE"""),628.0)</f>
        <v>628</v>
      </c>
      <c r="G957" s="35">
        <f>IFERROR(__xludf.DUMMYFUNCTION("""COMPUTED_VALUE"""),22.0)</f>
        <v>22</v>
      </c>
      <c r="H957" s="35" t="str">
        <f>IFERROR(__xludf.DUMMYFUNCTION("""COMPUTED_VALUE"""),"Algorithms")</f>
        <v>Algorithms</v>
      </c>
      <c r="I957" s="35">
        <f>IFERROR(__xludf.DUMMYFUNCTION("""COMPUTED_VALUE"""),0.399)</f>
        <v>0.399</v>
      </c>
      <c r="J957" s="35">
        <f>IFERROR(__xludf.DUMMYFUNCTION("""COMPUTED_VALUE"""),956.0)</f>
        <v>956</v>
      </c>
      <c r="K957" s="35" t="b">
        <f>IFERROR(__xludf.DUMMYFUNCTION("""COMPUTED_VALUE"""),FALSE)</f>
        <v>0</v>
      </c>
      <c r="L957" s="35" t="str">
        <f>IFERROR(__xludf.DUMMYFUNCTION("""COMPUTED_VALUE"""),"Array;Dynamic Programming;")</f>
        <v>Array;Dynamic Programming;</v>
      </c>
      <c r="M957" s="35" t="b">
        <f>IFERROR(__xludf.DUMMYFUNCTION("""COMPUTED_VALUE"""),FALSE)</f>
        <v>0</v>
      </c>
      <c r="N957" s="35" t="b">
        <f>IFERROR(__xludf.DUMMYFUNCTION("""COMPUTED_VALUE"""),FALSE)</f>
        <v>0</v>
      </c>
      <c r="O957" s="35">
        <f>IFERROR(__xludf.DUMMYFUNCTION("""COMPUTED_VALUE"""),39.9055976177653)</f>
        <v>39.90559762</v>
      </c>
      <c r="P957" s="35">
        <f>IFERROR(__xludf.DUMMYFUNCTION("""COMPUTED_VALUE"""),12597.0)</f>
        <v>12597</v>
      </c>
      <c r="Q957" s="35">
        <f>IFERROR(__xludf.DUMMYFUNCTION("""COMPUTED_VALUE"""),31567.0)</f>
        <v>31567</v>
      </c>
    </row>
    <row r="958">
      <c r="A958" s="35">
        <f>IFERROR(__xludf.DUMMYFUNCTION("""COMPUTED_VALUE"""),994.0)</f>
        <v>994</v>
      </c>
      <c r="B958" s="35" t="str">
        <f>IFERROR(__xludf.DUMMYFUNCTION("""COMPUTED_VALUE"""),"Prison Cells After N Days")</f>
        <v>Prison Cells After N Days</v>
      </c>
      <c r="C958" s="35" t="str">
        <f>IFERROR(__xludf.DUMMYFUNCTION("""COMPUTED_VALUE"""),"prison-cells-after-n-days")</f>
        <v>prison-cells-after-n-days</v>
      </c>
      <c r="D958" s="35" t="b">
        <f>IFERROR(__xludf.DUMMYFUNCTION("""COMPUTED_VALUE"""),FALSE)</f>
        <v>0</v>
      </c>
      <c r="E958" s="35" t="str">
        <f>IFERROR(__xludf.DUMMYFUNCTION("""COMPUTED_VALUE"""),"Medium")</f>
        <v>Medium</v>
      </c>
      <c r="F958" s="35">
        <f>IFERROR(__xludf.DUMMYFUNCTION("""COMPUTED_VALUE"""),1206.0)</f>
        <v>1206</v>
      </c>
      <c r="G958" s="35">
        <f>IFERROR(__xludf.DUMMYFUNCTION("""COMPUTED_VALUE"""),1500.0)</f>
        <v>1500</v>
      </c>
      <c r="H958" s="35" t="str">
        <f>IFERROR(__xludf.DUMMYFUNCTION("""COMPUTED_VALUE"""),"Algorithms")</f>
        <v>Algorithms</v>
      </c>
      <c r="I958" s="35">
        <f>IFERROR(__xludf.DUMMYFUNCTION("""COMPUTED_VALUE"""),0.395)</f>
        <v>0.395</v>
      </c>
      <c r="J958" s="35">
        <f>IFERROR(__xludf.DUMMYFUNCTION("""COMPUTED_VALUE"""),957.0)</f>
        <v>957</v>
      </c>
      <c r="K958" s="35" t="b">
        <f>IFERROR(__xludf.DUMMYFUNCTION("""COMPUTED_VALUE"""),FALSE)</f>
        <v>0</v>
      </c>
      <c r="L958" s="35" t="str">
        <f>IFERROR(__xludf.DUMMYFUNCTION("""COMPUTED_VALUE"""),"Array;Hash Table;Math;Bit Manipulation;")</f>
        <v>Array;Hash Table;Math;Bit Manipulation;</v>
      </c>
      <c r="M958" s="35" t="b">
        <f>IFERROR(__xludf.DUMMYFUNCTION("""COMPUTED_VALUE"""),TRUE)</f>
        <v>1</v>
      </c>
      <c r="N958" s="35" t="b">
        <f>IFERROR(__xludf.DUMMYFUNCTION("""COMPUTED_VALUE"""),FALSE)</f>
        <v>0</v>
      </c>
      <c r="O958" s="35">
        <f>IFERROR(__xludf.DUMMYFUNCTION("""COMPUTED_VALUE"""),39.5080812373262)</f>
        <v>39.50808124</v>
      </c>
      <c r="P958" s="35">
        <f>IFERROR(__xludf.DUMMYFUNCTION("""COMPUTED_VALUE"""),138525.0)</f>
        <v>138525</v>
      </c>
      <c r="Q958" s="35">
        <f>IFERROR(__xludf.DUMMYFUNCTION("""COMPUTED_VALUE"""),350626.0)</f>
        <v>350626</v>
      </c>
    </row>
    <row r="959">
      <c r="A959" s="35">
        <f>IFERROR(__xludf.DUMMYFUNCTION("""COMPUTED_VALUE"""),998.0)</f>
        <v>998</v>
      </c>
      <c r="B959" s="35" t="str">
        <f>IFERROR(__xludf.DUMMYFUNCTION("""COMPUTED_VALUE"""),"Check Completeness of a Binary Tree")</f>
        <v>Check Completeness of a Binary Tree</v>
      </c>
      <c r="C959" s="35" t="str">
        <f>IFERROR(__xludf.DUMMYFUNCTION("""COMPUTED_VALUE"""),"check-completeness-of-a-binary-tree")</f>
        <v>check-completeness-of-a-binary-tree</v>
      </c>
      <c r="D959" s="35" t="b">
        <f>IFERROR(__xludf.DUMMYFUNCTION("""COMPUTED_VALUE"""),FALSE)</f>
        <v>0</v>
      </c>
      <c r="E959" s="35" t="str">
        <f>IFERROR(__xludf.DUMMYFUNCTION("""COMPUTED_VALUE"""),"Medium")</f>
        <v>Medium</v>
      </c>
      <c r="F959" s="35">
        <f>IFERROR(__xludf.DUMMYFUNCTION("""COMPUTED_VALUE"""),1828.0)</f>
        <v>1828</v>
      </c>
      <c r="G959" s="35">
        <f>IFERROR(__xludf.DUMMYFUNCTION("""COMPUTED_VALUE"""),27.0)</f>
        <v>27</v>
      </c>
      <c r="H959" s="35" t="str">
        <f>IFERROR(__xludf.DUMMYFUNCTION("""COMPUTED_VALUE"""),"Algorithms")</f>
        <v>Algorithms</v>
      </c>
      <c r="I959" s="35">
        <f>IFERROR(__xludf.DUMMYFUNCTION("""COMPUTED_VALUE"""),0.535)</f>
        <v>0.535</v>
      </c>
      <c r="J959" s="35">
        <f>IFERROR(__xludf.DUMMYFUNCTION("""COMPUTED_VALUE"""),958.0)</f>
        <v>958</v>
      </c>
      <c r="K959" s="35" t="b">
        <f>IFERROR(__xludf.DUMMYFUNCTION("""COMPUTED_VALUE"""),FALSE)</f>
        <v>0</v>
      </c>
      <c r="L959" s="35" t="str">
        <f>IFERROR(__xludf.DUMMYFUNCTION("""COMPUTED_VALUE"""),"Tree;Breadth-First Search;Binary Tree;")</f>
        <v>Tree;Breadth-First Search;Binary Tree;</v>
      </c>
      <c r="M959" s="35" t="b">
        <f>IFERROR(__xludf.DUMMYFUNCTION("""COMPUTED_VALUE"""),FALSE)</f>
        <v>0</v>
      </c>
      <c r="N959" s="35" t="b">
        <f>IFERROR(__xludf.DUMMYFUNCTION("""COMPUTED_VALUE"""),FALSE)</f>
        <v>0</v>
      </c>
      <c r="O959" s="35">
        <f>IFERROR(__xludf.DUMMYFUNCTION("""COMPUTED_VALUE"""),53.5130221177744)</f>
        <v>53.51302212</v>
      </c>
      <c r="P959" s="35">
        <f>IFERROR(__xludf.DUMMYFUNCTION("""COMPUTED_VALUE"""),110665.0)</f>
        <v>110665</v>
      </c>
      <c r="Q959" s="35">
        <f>IFERROR(__xludf.DUMMYFUNCTION("""COMPUTED_VALUE"""),206800.0)</f>
        <v>206800</v>
      </c>
    </row>
    <row r="960">
      <c r="A960" s="35">
        <f>IFERROR(__xludf.DUMMYFUNCTION("""COMPUTED_VALUE"""),999.0)</f>
        <v>999</v>
      </c>
      <c r="B960" s="35" t="str">
        <f>IFERROR(__xludf.DUMMYFUNCTION("""COMPUTED_VALUE"""),"Regions Cut By Slashes")</f>
        <v>Regions Cut By Slashes</v>
      </c>
      <c r="C960" s="35" t="str">
        <f>IFERROR(__xludf.DUMMYFUNCTION("""COMPUTED_VALUE"""),"regions-cut-by-slashes")</f>
        <v>regions-cut-by-slashes</v>
      </c>
      <c r="D960" s="35" t="b">
        <f>IFERROR(__xludf.DUMMYFUNCTION("""COMPUTED_VALUE"""),FALSE)</f>
        <v>0</v>
      </c>
      <c r="E960" s="35" t="str">
        <f>IFERROR(__xludf.DUMMYFUNCTION("""COMPUTED_VALUE"""),"Medium")</f>
        <v>Medium</v>
      </c>
      <c r="F960" s="35">
        <f>IFERROR(__xludf.DUMMYFUNCTION("""COMPUTED_VALUE"""),1965.0)</f>
        <v>1965</v>
      </c>
      <c r="G960" s="35">
        <f>IFERROR(__xludf.DUMMYFUNCTION("""COMPUTED_VALUE"""),389.0)</f>
        <v>389</v>
      </c>
      <c r="H960" s="35" t="str">
        <f>IFERROR(__xludf.DUMMYFUNCTION("""COMPUTED_VALUE"""),"Algorithms")</f>
        <v>Algorithms</v>
      </c>
      <c r="I960" s="35">
        <f>IFERROR(__xludf.DUMMYFUNCTION("""COMPUTED_VALUE"""),0.684)</f>
        <v>0.684</v>
      </c>
      <c r="J960" s="35">
        <f>IFERROR(__xludf.DUMMYFUNCTION("""COMPUTED_VALUE"""),959.0)</f>
        <v>959</v>
      </c>
      <c r="K960" s="35" t="b">
        <f>IFERROR(__xludf.DUMMYFUNCTION("""COMPUTED_VALUE"""),FALSE)</f>
        <v>0</v>
      </c>
      <c r="L960" s="35" t="str">
        <f>IFERROR(__xludf.DUMMYFUNCTION("""COMPUTED_VALUE"""),"Depth-First Search;Breadth-First Search;Union Find;Graph;")</f>
        <v>Depth-First Search;Breadth-First Search;Union Find;Graph;</v>
      </c>
      <c r="M960" s="35" t="b">
        <f>IFERROR(__xludf.DUMMYFUNCTION("""COMPUTED_VALUE"""),TRUE)</f>
        <v>1</v>
      </c>
      <c r="N960" s="35" t="b">
        <f>IFERROR(__xludf.DUMMYFUNCTION("""COMPUTED_VALUE"""),FALSE)</f>
        <v>0</v>
      </c>
      <c r="O960" s="35">
        <f>IFERROR(__xludf.DUMMYFUNCTION("""COMPUTED_VALUE"""),68.4407403818199)</f>
        <v>68.44074038</v>
      </c>
      <c r="P960" s="35">
        <f>IFERROR(__xludf.DUMMYFUNCTION("""COMPUTED_VALUE"""),35312.0)</f>
        <v>35312</v>
      </c>
      <c r="Q960" s="35">
        <f>IFERROR(__xludf.DUMMYFUNCTION("""COMPUTED_VALUE"""),51595.0)</f>
        <v>51595</v>
      </c>
    </row>
    <row r="961">
      <c r="A961" s="35">
        <f>IFERROR(__xludf.DUMMYFUNCTION("""COMPUTED_VALUE"""),1000.0)</f>
        <v>1000</v>
      </c>
      <c r="B961" s="35" t="str">
        <f>IFERROR(__xludf.DUMMYFUNCTION("""COMPUTED_VALUE"""),"Delete Columns to Make Sorted III")</f>
        <v>Delete Columns to Make Sorted III</v>
      </c>
      <c r="C961" s="35" t="str">
        <f>IFERROR(__xludf.DUMMYFUNCTION("""COMPUTED_VALUE"""),"delete-columns-to-make-sorted-iii")</f>
        <v>delete-columns-to-make-sorted-iii</v>
      </c>
      <c r="D961" s="35" t="b">
        <f>IFERROR(__xludf.DUMMYFUNCTION("""COMPUTED_VALUE"""),FALSE)</f>
        <v>0</v>
      </c>
      <c r="E961" s="35" t="str">
        <f>IFERROR(__xludf.DUMMYFUNCTION("""COMPUTED_VALUE"""),"Hard")</f>
        <v>Hard</v>
      </c>
      <c r="F961" s="35">
        <f>IFERROR(__xludf.DUMMYFUNCTION("""COMPUTED_VALUE"""),413.0)</f>
        <v>413</v>
      </c>
      <c r="G961" s="35">
        <f>IFERROR(__xludf.DUMMYFUNCTION("""COMPUTED_VALUE"""),11.0)</f>
        <v>11</v>
      </c>
      <c r="H961" s="35" t="str">
        <f>IFERROR(__xludf.DUMMYFUNCTION("""COMPUTED_VALUE"""),"Algorithms")</f>
        <v>Algorithms</v>
      </c>
      <c r="I961" s="35">
        <f>IFERROR(__xludf.DUMMYFUNCTION("""COMPUTED_VALUE"""),0.564)</f>
        <v>0.564</v>
      </c>
      <c r="J961" s="35">
        <f>IFERROR(__xludf.DUMMYFUNCTION("""COMPUTED_VALUE"""),960.0)</f>
        <v>960</v>
      </c>
      <c r="K961" s="35" t="b">
        <f>IFERROR(__xludf.DUMMYFUNCTION("""COMPUTED_VALUE"""),FALSE)</f>
        <v>0</v>
      </c>
      <c r="L961" s="35" t="str">
        <f>IFERROR(__xludf.DUMMYFUNCTION("""COMPUTED_VALUE"""),"Array;String;Dynamic Programming;")</f>
        <v>Array;String;Dynamic Programming;</v>
      </c>
      <c r="M961" s="35" t="b">
        <f>IFERROR(__xludf.DUMMYFUNCTION("""COMPUTED_VALUE"""),TRUE)</f>
        <v>1</v>
      </c>
      <c r="N961" s="35" t="b">
        <f>IFERROR(__xludf.DUMMYFUNCTION("""COMPUTED_VALUE"""),FALSE)</f>
        <v>0</v>
      </c>
      <c r="O961" s="35">
        <f>IFERROR(__xludf.DUMMYFUNCTION("""COMPUTED_VALUE"""),56.4477848101265)</f>
        <v>56.44778481</v>
      </c>
      <c r="P961" s="35">
        <f>IFERROR(__xludf.DUMMYFUNCTION("""COMPUTED_VALUE"""),9989.0)</f>
        <v>9989</v>
      </c>
      <c r="Q961" s="35">
        <f>IFERROR(__xludf.DUMMYFUNCTION("""COMPUTED_VALUE"""),17696.0)</f>
        <v>17696</v>
      </c>
    </row>
    <row r="962">
      <c r="A962" s="35">
        <f>IFERROR(__xludf.DUMMYFUNCTION("""COMPUTED_VALUE"""),1001.0)</f>
        <v>1001</v>
      </c>
      <c r="B962" s="35" t="str">
        <f>IFERROR(__xludf.DUMMYFUNCTION("""COMPUTED_VALUE"""),"N-Repeated Element in Size 2N Array")</f>
        <v>N-Repeated Element in Size 2N Array</v>
      </c>
      <c r="C962" s="35" t="str">
        <f>IFERROR(__xludf.DUMMYFUNCTION("""COMPUTED_VALUE"""),"n-repeated-element-in-size-2n-array")</f>
        <v>n-repeated-element-in-size-2n-array</v>
      </c>
      <c r="D962" s="35" t="b">
        <f>IFERROR(__xludf.DUMMYFUNCTION("""COMPUTED_VALUE"""),FALSE)</f>
        <v>0</v>
      </c>
      <c r="E962" s="35" t="str">
        <f>IFERROR(__xludf.DUMMYFUNCTION("""COMPUTED_VALUE"""),"Easy")</f>
        <v>Easy</v>
      </c>
      <c r="F962" s="35">
        <f>IFERROR(__xludf.DUMMYFUNCTION("""COMPUTED_VALUE"""),857.0)</f>
        <v>857</v>
      </c>
      <c r="G962" s="35">
        <f>IFERROR(__xludf.DUMMYFUNCTION("""COMPUTED_VALUE"""),291.0)</f>
        <v>291</v>
      </c>
      <c r="H962" s="35" t="str">
        <f>IFERROR(__xludf.DUMMYFUNCTION("""COMPUTED_VALUE"""),"Algorithms")</f>
        <v>Algorithms</v>
      </c>
      <c r="I962" s="35">
        <f>IFERROR(__xludf.DUMMYFUNCTION("""COMPUTED_VALUE"""),0.754)</f>
        <v>0.754</v>
      </c>
      <c r="J962" s="35">
        <f>IFERROR(__xludf.DUMMYFUNCTION("""COMPUTED_VALUE"""),961.0)</f>
        <v>961</v>
      </c>
      <c r="K962" s="35" t="b">
        <f>IFERROR(__xludf.DUMMYFUNCTION("""COMPUTED_VALUE"""),FALSE)</f>
        <v>0</v>
      </c>
      <c r="L962" s="35" t="str">
        <f>IFERROR(__xludf.DUMMYFUNCTION("""COMPUTED_VALUE"""),"Array;Hash Table;")</f>
        <v>Array;Hash Table;</v>
      </c>
      <c r="M962" s="35" t="b">
        <f>IFERROR(__xludf.DUMMYFUNCTION("""COMPUTED_VALUE"""),TRUE)</f>
        <v>1</v>
      </c>
      <c r="N962" s="35" t="b">
        <f>IFERROR(__xludf.DUMMYFUNCTION("""COMPUTED_VALUE"""),FALSE)</f>
        <v>0</v>
      </c>
      <c r="O962" s="35">
        <f>IFERROR(__xludf.DUMMYFUNCTION("""COMPUTED_VALUE"""),75.3585801709312)</f>
        <v>75.35858017</v>
      </c>
      <c r="P962" s="35">
        <f>IFERROR(__xludf.DUMMYFUNCTION("""COMPUTED_VALUE"""),172644.0)</f>
        <v>172644</v>
      </c>
      <c r="Q962" s="35">
        <f>IFERROR(__xludf.DUMMYFUNCTION("""COMPUTED_VALUE"""),229096.0)</f>
        <v>229096</v>
      </c>
    </row>
    <row r="963">
      <c r="A963" s="35">
        <f>IFERROR(__xludf.DUMMYFUNCTION("""COMPUTED_VALUE"""),1002.0)</f>
        <v>1002</v>
      </c>
      <c r="B963" s="35" t="str">
        <f>IFERROR(__xludf.DUMMYFUNCTION("""COMPUTED_VALUE"""),"Maximum Width Ramp")</f>
        <v>Maximum Width Ramp</v>
      </c>
      <c r="C963" s="35" t="str">
        <f>IFERROR(__xludf.DUMMYFUNCTION("""COMPUTED_VALUE"""),"maximum-width-ramp")</f>
        <v>maximum-width-ramp</v>
      </c>
      <c r="D963" s="35" t="b">
        <f>IFERROR(__xludf.DUMMYFUNCTION("""COMPUTED_VALUE"""),FALSE)</f>
        <v>0</v>
      </c>
      <c r="E963" s="35" t="str">
        <f>IFERROR(__xludf.DUMMYFUNCTION("""COMPUTED_VALUE"""),"Medium")</f>
        <v>Medium</v>
      </c>
      <c r="F963" s="35">
        <f>IFERROR(__xludf.DUMMYFUNCTION("""COMPUTED_VALUE"""),1084.0)</f>
        <v>1084</v>
      </c>
      <c r="G963" s="35">
        <f>IFERROR(__xludf.DUMMYFUNCTION("""COMPUTED_VALUE"""),32.0)</f>
        <v>32</v>
      </c>
      <c r="H963" s="35" t="str">
        <f>IFERROR(__xludf.DUMMYFUNCTION("""COMPUTED_VALUE"""),"Algorithms")</f>
        <v>Algorithms</v>
      </c>
      <c r="I963" s="35">
        <f>IFERROR(__xludf.DUMMYFUNCTION("""COMPUTED_VALUE"""),0.48)</f>
        <v>0.48</v>
      </c>
      <c r="J963" s="35">
        <f>IFERROR(__xludf.DUMMYFUNCTION("""COMPUTED_VALUE"""),962.0)</f>
        <v>962</v>
      </c>
      <c r="K963" s="35" t="b">
        <f>IFERROR(__xludf.DUMMYFUNCTION("""COMPUTED_VALUE"""),FALSE)</f>
        <v>0</v>
      </c>
      <c r="L963" s="35" t="str">
        <f>IFERROR(__xludf.DUMMYFUNCTION("""COMPUTED_VALUE"""),"Array;Stack;Monotonic Stack;")</f>
        <v>Array;Stack;Monotonic Stack;</v>
      </c>
      <c r="M963" s="35" t="b">
        <f>IFERROR(__xludf.DUMMYFUNCTION("""COMPUTED_VALUE"""),FALSE)</f>
        <v>0</v>
      </c>
      <c r="N963" s="35" t="b">
        <f>IFERROR(__xludf.DUMMYFUNCTION("""COMPUTED_VALUE"""),FALSE)</f>
        <v>0</v>
      </c>
      <c r="O963" s="35">
        <f>IFERROR(__xludf.DUMMYFUNCTION("""COMPUTED_VALUE"""),47.9847714975193)</f>
        <v>47.9847715</v>
      </c>
      <c r="P963" s="35">
        <f>IFERROR(__xludf.DUMMYFUNCTION("""COMPUTED_VALUE"""),32014.0)</f>
        <v>32014</v>
      </c>
      <c r="Q963" s="35">
        <f>IFERROR(__xludf.DUMMYFUNCTION("""COMPUTED_VALUE"""),66717.0)</f>
        <v>66717</v>
      </c>
    </row>
    <row r="964">
      <c r="A964" s="35">
        <f>IFERROR(__xludf.DUMMYFUNCTION("""COMPUTED_VALUE"""),1003.0)</f>
        <v>1003</v>
      </c>
      <c r="B964" s="35" t="str">
        <f>IFERROR(__xludf.DUMMYFUNCTION("""COMPUTED_VALUE"""),"Minimum Area Rectangle II")</f>
        <v>Minimum Area Rectangle II</v>
      </c>
      <c r="C964" s="35" t="str">
        <f>IFERROR(__xludf.DUMMYFUNCTION("""COMPUTED_VALUE"""),"minimum-area-rectangle-ii")</f>
        <v>minimum-area-rectangle-ii</v>
      </c>
      <c r="D964" s="35" t="b">
        <f>IFERROR(__xludf.DUMMYFUNCTION("""COMPUTED_VALUE"""),FALSE)</f>
        <v>0</v>
      </c>
      <c r="E964" s="35" t="str">
        <f>IFERROR(__xludf.DUMMYFUNCTION("""COMPUTED_VALUE"""),"Medium")</f>
        <v>Medium</v>
      </c>
      <c r="F964" s="35">
        <f>IFERROR(__xludf.DUMMYFUNCTION("""COMPUTED_VALUE"""),290.0)</f>
        <v>290</v>
      </c>
      <c r="G964" s="35">
        <f>IFERROR(__xludf.DUMMYFUNCTION("""COMPUTED_VALUE"""),388.0)</f>
        <v>388</v>
      </c>
      <c r="H964" s="35" t="str">
        <f>IFERROR(__xludf.DUMMYFUNCTION("""COMPUTED_VALUE"""),"Algorithms")</f>
        <v>Algorithms</v>
      </c>
      <c r="I964" s="35">
        <f>IFERROR(__xludf.DUMMYFUNCTION("""COMPUTED_VALUE"""),0.545)</f>
        <v>0.545</v>
      </c>
      <c r="J964" s="35">
        <f>IFERROR(__xludf.DUMMYFUNCTION("""COMPUTED_VALUE"""),963.0)</f>
        <v>963</v>
      </c>
      <c r="K964" s="35" t="b">
        <f>IFERROR(__xludf.DUMMYFUNCTION("""COMPUTED_VALUE"""),FALSE)</f>
        <v>0</v>
      </c>
      <c r="L964" s="35" t="str">
        <f>IFERROR(__xludf.DUMMYFUNCTION("""COMPUTED_VALUE"""),"Array;Math;Geometry;")</f>
        <v>Array;Math;Geometry;</v>
      </c>
      <c r="M964" s="35" t="b">
        <f>IFERROR(__xludf.DUMMYFUNCTION("""COMPUTED_VALUE"""),FALSE)</f>
        <v>0</v>
      </c>
      <c r="N964" s="35" t="b">
        <f>IFERROR(__xludf.DUMMYFUNCTION("""COMPUTED_VALUE"""),FALSE)</f>
        <v>0</v>
      </c>
      <c r="O964" s="35">
        <f>IFERROR(__xludf.DUMMYFUNCTION("""COMPUTED_VALUE"""),54.4561231972622)</f>
        <v>54.4561232</v>
      </c>
      <c r="P964" s="35">
        <f>IFERROR(__xludf.DUMMYFUNCTION("""COMPUTED_VALUE"""),22278.0)</f>
        <v>22278</v>
      </c>
      <c r="Q964" s="35">
        <f>IFERROR(__xludf.DUMMYFUNCTION("""COMPUTED_VALUE"""),40910.0)</f>
        <v>40910</v>
      </c>
    </row>
    <row r="965">
      <c r="A965" s="35">
        <f>IFERROR(__xludf.DUMMYFUNCTION("""COMPUTED_VALUE"""),1004.0)</f>
        <v>1004</v>
      </c>
      <c r="B965" s="35" t="str">
        <f>IFERROR(__xludf.DUMMYFUNCTION("""COMPUTED_VALUE"""),"Least Operators to Express Number")</f>
        <v>Least Operators to Express Number</v>
      </c>
      <c r="C965" s="35" t="str">
        <f>IFERROR(__xludf.DUMMYFUNCTION("""COMPUTED_VALUE"""),"least-operators-to-express-number")</f>
        <v>least-operators-to-express-number</v>
      </c>
      <c r="D965" s="35" t="b">
        <f>IFERROR(__xludf.DUMMYFUNCTION("""COMPUTED_VALUE"""),FALSE)</f>
        <v>0</v>
      </c>
      <c r="E965" s="35" t="str">
        <f>IFERROR(__xludf.DUMMYFUNCTION("""COMPUTED_VALUE"""),"Hard")</f>
        <v>Hard</v>
      </c>
      <c r="F965" s="35">
        <f>IFERROR(__xludf.DUMMYFUNCTION("""COMPUTED_VALUE"""),252.0)</f>
        <v>252</v>
      </c>
      <c r="G965" s="35">
        <f>IFERROR(__xludf.DUMMYFUNCTION("""COMPUTED_VALUE"""),64.0)</f>
        <v>64</v>
      </c>
      <c r="H965" s="35" t="str">
        <f>IFERROR(__xludf.DUMMYFUNCTION("""COMPUTED_VALUE"""),"Algorithms")</f>
        <v>Algorithms</v>
      </c>
      <c r="I965" s="35">
        <f>IFERROR(__xludf.DUMMYFUNCTION("""COMPUTED_VALUE"""),0.47)</f>
        <v>0.47</v>
      </c>
      <c r="J965" s="35">
        <f>IFERROR(__xludf.DUMMYFUNCTION("""COMPUTED_VALUE"""),964.0)</f>
        <v>964</v>
      </c>
      <c r="K965" s="35" t="b">
        <f>IFERROR(__xludf.DUMMYFUNCTION("""COMPUTED_VALUE"""),FALSE)</f>
        <v>0</v>
      </c>
      <c r="L965" s="35" t="str">
        <f>IFERROR(__xludf.DUMMYFUNCTION("""COMPUTED_VALUE"""),"Math;Dynamic Programming;")</f>
        <v>Math;Dynamic Programming;</v>
      </c>
      <c r="M965" s="35" t="b">
        <f>IFERROR(__xludf.DUMMYFUNCTION("""COMPUTED_VALUE"""),FALSE)</f>
        <v>0</v>
      </c>
      <c r="N965" s="35" t="b">
        <f>IFERROR(__xludf.DUMMYFUNCTION("""COMPUTED_VALUE"""),FALSE)</f>
        <v>0</v>
      </c>
      <c r="O965" s="35">
        <f>IFERROR(__xludf.DUMMYFUNCTION("""COMPUTED_VALUE"""),47.0018170805572)</f>
        <v>47.00181708</v>
      </c>
      <c r="P965" s="35">
        <f>IFERROR(__xludf.DUMMYFUNCTION("""COMPUTED_VALUE"""),7760.0)</f>
        <v>7760</v>
      </c>
      <c r="Q965" s="35">
        <f>IFERROR(__xludf.DUMMYFUNCTION("""COMPUTED_VALUE"""),16510.0)</f>
        <v>16510</v>
      </c>
    </row>
    <row r="966">
      <c r="A966" s="35">
        <f>IFERROR(__xludf.DUMMYFUNCTION("""COMPUTED_VALUE"""),1005.0)</f>
        <v>1005</v>
      </c>
      <c r="B966" s="35" t="str">
        <f>IFERROR(__xludf.DUMMYFUNCTION("""COMPUTED_VALUE"""),"Univalued Binary Tree")</f>
        <v>Univalued Binary Tree</v>
      </c>
      <c r="C966" s="35" t="str">
        <f>IFERROR(__xludf.DUMMYFUNCTION("""COMPUTED_VALUE"""),"univalued-binary-tree")</f>
        <v>univalued-binary-tree</v>
      </c>
      <c r="D966" s="35" t="b">
        <f>IFERROR(__xludf.DUMMYFUNCTION("""COMPUTED_VALUE"""),FALSE)</f>
        <v>0</v>
      </c>
      <c r="E966" s="35" t="str">
        <f>IFERROR(__xludf.DUMMYFUNCTION("""COMPUTED_VALUE"""),"Easy")</f>
        <v>Easy</v>
      </c>
      <c r="F966" s="35">
        <f>IFERROR(__xludf.DUMMYFUNCTION("""COMPUTED_VALUE"""),1217.0)</f>
        <v>1217</v>
      </c>
      <c r="G966" s="35">
        <f>IFERROR(__xludf.DUMMYFUNCTION("""COMPUTED_VALUE"""),56.0)</f>
        <v>56</v>
      </c>
      <c r="H966" s="35" t="str">
        <f>IFERROR(__xludf.DUMMYFUNCTION("""COMPUTED_VALUE"""),"Algorithms")</f>
        <v>Algorithms</v>
      </c>
      <c r="I966" s="35">
        <f>IFERROR(__xludf.DUMMYFUNCTION("""COMPUTED_VALUE"""),0.688)</f>
        <v>0.688</v>
      </c>
      <c r="J966" s="35">
        <f>IFERROR(__xludf.DUMMYFUNCTION("""COMPUTED_VALUE"""),965.0)</f>
        <v>965</v>
      </c>
      <c r="K966" s="35" t="b">
        <f>IFERROR(__xludf.DUMMYFUNCTION("""COMPUTED_VALUE"""),FALSE)</f>
        <v>0</v>
      </c>
      <c r="L966" s="35" t="str">
        <f>IFERROR(__xludf.DUMMYFUNCTION("""COMPUTED_VALUE"""),"Tree;Depth-First Search;Breadth-First Search;Binary Tree;")</f>
        <v>Tree;Depth-First Search;Breadth-First Search;Binary Tree;</v>
      </c>
      <c r="M966" s="35" t="b">
        <f>IFERROR(__xludf.DUMMYFUNCTION("""COMPUTED_VALUE"""),TRUE)</f>
        <v>1</v>
      </c>
      <c r="N966" s="35" t="b">
        <f>IFERROR(__xludf.DUMMYFUNCTION("""COMPUTED_VALUE"""),FALSE)</f>
        <v>0</v>
      </c>
      <c r="O966" s="35">
        <f>IFERROR(__xludf.DUMMYFUNCTION("""COMPUTED_VALUE"""),68.8366937564789)</f>
        <v>68.83669376</v>
      </c>
      <c r="P966" s="35">
        <f>IFERROR(__xludf.DUMMYFUNCTION("""COMPUTED_VALUE"""),153392.0)</f>
        <v>153392</v>
      </c>
      <c r="Q966" s="35">
        <f>IFERROR(__xludf.DUMMYFUNCTION("""COMPUTED_VALUE"""),222835.0)</f>
        <v>222835</v>
      </c>
    </row>
    <row r="967">
      <c r="A967" s="35">
        <f>IFERROR(__xludf.DUMMYFUNCTION("""COMPUTED_VALUE"""),1006.0)</f>
        <v>1006</v>
      </c>
      <c r="B967" s="35" t="str">
        <f>IFERROR(__xludf.DUMMYFUNCTION("""COMPUTED_VALUE"""),"Vowel Spellchecker")</f>
        <v>Vowel Spellchecker</v>
      </c>
      <c r="C967" s="35" t="str">
        <f>IFERROR(__xludf.DUMMYFUNCTION("""COMPUTED_VALUE"""),"vowel-spellchecker")</f>
        <v>vowel-spellchecker</v>
      </c>
      <c r="D967" s="35" t="b">
        <f>IFERROR(__xludf.DUMMYFUNCTION("""COMPUTED_VALUE"""),FALSE)</f>
        <v>0</v>
      </c>
      <c r="E967" s="35" t="str">
        <f>IFERROR(__xludf.DUMMYFUNCTION("""COMPUTED_VALUE"""),"Medium")</f>
        <v>Medium</v>
      </c>
      <c r="F967" s="35">
        <f>IFERROR(__xludf.DUMMYFUNCTION("""COMPUTED_VALUE"""),338.0)</f>
        <v>338</v>
      </c>
      <c r="G967" s="35">
        <f>IFERROR(__xludf.DUMMYFUNCTION("""COMPUTED_VALUE"""),709.0)</f>
        <v>709</v>
      </c>
      <c r="H967" s="35" t="str">
        <f>IFERROR(__xludf.DUMMYFUNCTION("""COMPUTED_VALUE"""),"Algorithms")</f>
        <v>Algorithms</v>
      </c>
      <c r="I967" s="35">
        <f>IFERROR(__xludf.DUMMYFUNCTION("""COMPUTED_VALUE"""),0.516)</f>
        <v>0.516</v>
      </c>
      <c r="J967" s="35">
        <f>IFERROR(__xludf.DUMMYFUNCTION("""COMPUTED_VALUE"""),966.0)</f>
        <v>966</v>
      </c>
      <c r="K967" s="35" t="b">
        <f>IFERROR(__xludf.DUMMYFUNCTION("""COMPUTED_VALUE"""),FALSE)</f>
        <v>0</v>
      </c>
      <c r="L967" s="35" t="str">
        <f>IFERROR(__xludf.DUMMYFUNCTION("""COMPUTED_VALUE"""),"Array;Hash Table;String;")</f>
        <v>Array;Hash Table;String;</v>
      </c>
      <c r="M967" s="35" t="b">
        <f>IFERROR(__xludf.DUMMYFUNCTION("""COMPUTED_VALUE"""),TRUE)</f>
        <v>1</v>
      </c>
      <c r="N967" s="35" t="b">
        <f>IFERROR(__xludf.DUMMYFUNCTION("""COMPUTED_VALUE"""),FALSE)</f>
        <v>0</v>
      </c>
      <c r="O967" s="35">
        <f>IFERROR(__xludf.DUMMYFUNCTION("""COMPUTED_VALUE"""),51.5881918819188)</f>
        <v>51.58819188</v>
      </c>
      <c r="P967" s="35">
        <f>IFERROR(__xludf.DUMMYFUNCTION("""COMPUTED_VALUE"""),34951.0)</f>
        <v>34951</v>
      </c>
      <c r="Q967" s="35">
        <f>IFERROR(__xludf.DUMMYFUNCTION("""COMPUTED_VALUE"""),67750.0)</f>
        <v>67750</v>
      </c>
    </row>
    <row r="968">
      <c r="A968" s="35">
        <f>IFERROR(__xludf.DUMMYFUNCTION("""COMPUTED_VALUE"""),1007.0)</f>
        <v>1007</v>
      </c>
      <c r="B968" s="35" t="str">
        <f>IFERROR(__xludf.DUMMYFUNCTION("""COMPUTED_VALUE"""),"Numbers With Same Consecutive Differences")</f>
        <v>Numbers With Same Consecutive Differences</v>
      </c>
      <c r="C968" s="35" t="str">
        <f>IFERROR(__xludf.DUMMYFUNCTION("""COMPUTED_VALUE"""),"numbers-with-same-consecutive-differences")</f>
        <v>numbers-with-same-consecutive-differences</v>
      </c>
      <c r="D968" s="35" t="b">
        <f>IFERROR(__xludf.DUMMYFUNCTION("""COMPUTED_VALUE"""),FALSE)</f>
        <v>0</v>
      </c>
      <c r="E968" s="35" t="str">
        <f>IFERROR(__xludf.DUMMYFUNCTION("""COMPUTED_VALUE"""),"Medium")</f>
        <v>Medium</v>
      </c>
      <c r="F968" s="35">
        <f>IFERROR(__xludf.DUMMYFUNCTION("""COMPUTED_VALUE"""),846.0)</f>
        <v>846</v>
      </c>
      <c r="G968" s="35">
        <f>IFERROR(__xludf.DUMMYFUNCTION("""COMPUTED_VALUE"""),130.0)</f>
        <v>130</v>
      </c>
      <c r="H968" s="35" t="str">
        <f>IFERROR(__xludf.DUMMYFUNCTION("""COMPUTED_VALUE"""),"Algorithms")</f>
        <v>Algorithms</v>
      </c>
      <c r="I968" s="35">
        <f>IFERROR(__xludf.DUMMYFUNCTION("""COMPUTED_VALUE"""),0.47)</f>
        <v>0.47</v>
      </c>
      <c r="J968" s="35">
        <f>IFERROR(__xludf.DUMMYFUNCTION("""COMPUTED_VALUE"""),967.0)</f>
        <v>967</v>
      </c>
      <c r="K968" s="35" t="b">
        <f>IFERROR(__xludf.DUMMYFUNCTION("""COMPUTED_VALUE"""),FALSE)</f>
        <v>0</v>
      </c>
      <c r="L968" s="35" t="str">
        <f>IFERROR(__xludf.DUMMYFUNCTION("""COMPUTED_VALUE"""),"Backtracking;Breadth-First Search;")</f>
        <v>Backtracking;Breadth-First Search;</v>
      </c>
      <c r="M968" s="35" t="b">
        <f>IFERROR(__xludf.DUMMYFUNCTION("""COMPUTED_VALUE"""),TRUE)</f>
        <v>1</v>
      </c>
      <c r="N968" s="35" t="b">
        <f>IFERROR(__xludf.DUMMYFUNCTION("""COMPUTED_VALUE"""),FALSE)</f>
        <v>0</v>
      </c>
      <c r="O968" s="35">
        <f>IFERROR(__xludf.DUMMYFUNCTION("""COMPUTED_VALUE"""),47.0251606201669)</f>
        <v>47.02516062</v>
      </c>
      <c r="P968" s="35">
        <f>IFERROR(__xludf.DUMMYFUNCTION("""COMPUTED_VALUE"""),48893.0)</f>
        <v>48893</v>
      </c>
      <c r="Q968" s="35">
        <f>IFERROR(__xludf.DUMMYFUNCTION("""COMPUTED_VALUE"""),103972.0)</f>
        <v>103972</v>
      </c>
    </row>
    <row r="969">
      <c r="A969" s="35">
        <f>IFERROR(__xludf.DUMMYFUNCTION("""COMPUTED_VALUE"""),1008.0)</f>
        <v>1008</v>
      </c>
      <c r="B969" s="35" t="str">
        <f>IFERROR(__xludf.DUMMYFUNCTION("""COMPUTED_VALUE"""),"Binary Tree Cameras")</f>
        <v>Binary Tree Cameras</v>
      </c>
      <c r="C969" s="35" t="str">
        <f>IFERROR(__xludf.DUMMYFUNCTION("""COMPUTED_VALUE"""),"binary-tree-cameras")</f>
        <v>binary-tree-cameras</v>
      </c>
      <c r="D969" s="35" t="b">
        <f>IFERROR(__xludf.DUMMYFUNCTION("""COMPUTED_VALUE"""),FALSE)</f>
        <v>0</v>
      </c>
      <c r="E969" s="35" t="str">
        <f>IFERROR(__xludf.DUMMYFUNCTION("""COMPUTED_VALUE"""),"Hard")</f>
        <v>Hard</v>
      </c>
      <c r="F969" s="35">
        <f>IFERROR(__xludf.DUMMYFUNCTION("""COMPUTED_VALUE"""),2527.0)</f>
        <v>2527</v>
      </c>
      <c r="G969" s="35">
        <f>IFERROR(__xludf.DUMMYFUNCTION("""COMPUTED_VALUE"""),33.0)</f>
        <v>33</v>
      </c>
      <c r="H969" s="35" t="str">
        <f>IFERROR(__xludf.DUMMYFUNCTION("""COMPUTED_VALUE"""),"Algorithms")</f>
        <v>Algorithms</v>
      </c>
      <c r="I969" s="35">
        <f>IFERROR(__xludf.DUMMYFUNCTION("""COMPUTED_VALUE"""),0.417)</f>
        <v>0.417</v>
      </c>
      <c r="J969" s="35">
        <f>IFERROR(__xludf.DUMMYFUNCTION("""COMPUTED_VALUE"""),968.0)</f>
        <v>968</v>
      </c>
      <c r="K969" s="35" t="b">
        <f>IFERROR(__xludf.DUMMYFUNCTION("""COMPUTED_VALUE"""),FALSE)</f>
        <v>0</v>
      </c>
      <c r="L969" s="35" t="str">
        <f>IFERROR(__xludf.DUMMYFUNCTION("""COMPUTED_VALUE"""),"Dynamic Programming;Tree;Depth-First Search;Binary Tree;")</f>
        <v>Dynamic Programming;Tree;Depth-First Search;Binary Tree;</v>
      </c>
      <c r="M969" s="35" t="b">
        <f>IFERROR(__xludf.DUMMYFUNCTION("""COMPUTED_VALUE"""),TRUE)</f>
        <v>1</v>
      </c>
      <c r="N969" s="35" t="b">
        <f>IFERROR(__xludf.DUMMYFUNCTION("""COMPUTED_VALUE"""),FALSE)</f>
        <v>0</v>
      </c>
      <c r="O969" s="35">
        <f>IFERROR(__xludf.DUMMYFUNCTION("""COMPUTED_VALUE"""),41.7200966818098)</f>
        <v>41.72009668</v>
      </c>
      <c r="P969" s="35">
        <f>IFERROR(__xludf.DUMMYFUNCTION("""COMPUTED_VALUE"""),61621.0)</f>
        <v>61621</v>
      </c>
      <c r="Q969" s="35">
        <f>IFERROR(__xludf.DUMMYFUNCTION("""COMPUTED_VALUE"""),147701.0)</f>
        <v>147701</v>
      </c>
    </row>
    <row r="970">
      <c r="A970" s="35">
        <f>IFERROR(__xludf.DUMMYFUNCTION("""COMPUTED_VALUE"""),1009.0)</f>
        <v>1009</v>
      </c>
      <c r="B970" s="35" t="str">
        <f>IFERROR(__xludf.DUMMYFUNCTION("""COMPUTED_VALUE"""),"Pancake Sorting")</f>
        <v>Pancake Sorting</v>
      </c>
      <c r="C970" s="35" t="str">
        <f>IFERROR(__xludf.DUMMYFUNCTION("""COMPUTED_VALUE"""),"pancake-sorting")</f>
        <v>pancake-sorting</v>
      </c>
      <c r="D970" s="35" t="b">
        <f>IFERROR(__xludf.DUMMYFUNCTION("""COMPUTED_VALUE"""),FALSE)</f>
        <v>0</v>
      </c>
      <c r="E970" s="35" t="str">
        <f>IFERROR(__xludf.DUMMYFUNCTION("""COMPUTED_VALUE"""),"Medium")</f>
        <v>Medium</v>
      </c>
      <c r="F970" s="35">
        <f>IFERROR(__xludf.DUMMYFUNCTION("""COMPUTED_VALUE"""),1043.0)</f>
        <v>1043</v>
      </c>
      <c r="G970" s="35">
        <f>IFERROR(__xludf.DUMMYFUNCTION("""COMPUTED_VALUE"""),1217.0)</f>
        <v>1217</v>
      </c>
      <c r="H970" s="35" t="str">
        <f>IFERROR(__xludf.DUMMYFUNCTION("""COMPUTED_VALUE"""),"Algorithms")</f>
        <v>Algorithms</v>
      </c>
      <c r="I970" s="35">
        <f>IFERROR(__xludf.DUMMYFUNCTION("""COMPUTED_VALUE"""),0.697)</f>
        <v>0.697</v>
      </c>
      <c r="J970" s="35">
        <f>IFERROR(__xludf.DUMMYFUNCTION("""COMPUTED_VALUE"""),969.0)</f>
        <v>969</v>
      </c>
      <c r="K970" s="35" t="b">
        <f>IFERROR(__xludf.DUMMYFUNCTION("""COMPUTED_VALUE"""),FALSE)</f>
        <v>0</v>
      </c>
      <c r="L970" s="35" t="str">
        <f>IFERROR(__xludf.DUMMYFUNCTION("""COMPUTED_VALUE"""),"Array;Two Pointers;Greedy;Sorting;")</f>
        <v>Array;Two Pointers;Greedy;Sorting;</v>
      </c>
      <c r="M970" s="35" t="b">
        <f>IFERROR(__xludf.DUMMYFUNCTION("""COMPUTED_VALUE"""),TRUE)</f>
        <v>1</v>
      </c>
      <c r="N970" s="35" t="b">
        <f>IFERROR(__xludf.DUMMYFUNCTION("""COMPUTED_VALUE"""),FALSE)</f>
        <v>0</v>
      </c>
      <c r="O970" s="35">
        <f>IFERROR(__xludf.DUMMYFUNCTION("""COMPUTED_VALUE"""),69.6510715772959)</f>
        <v>69.65107158</v>
      </c>
      <c r="P970" s="35">
        <f>IFERROR(__xludf.DUMMYFUNCTION("""COMPUTED_VALUE"""),71920.0)</f>
        <v>71920</v>
      </c>
      <c r="Q970" s="35">
        <f>IFERROR(__xludf.DUMMYFUNCTION("""COMPUTED_VALUE"""),103258.0)</f>
        <v>103258</v>
      </c>
    </row>
    <row r="971">
      <c r="A971" s="35">
        <f>IFERROR(__xludf.DUMMYFUNCTION("""COMPUTED_VALUE"""),1010.0)</f>
        <v>1010</v>
      </c>
      <c r="B971" s="35" t="str">
        <f>IFERROR(__xludf.DUMMYFUNCTION("""COMPUTED_VALUE"""),"Powerful Integers")</f>
        <v>Powerful Integers</v>
      </c>
      <c r="C971" s="35" t="str">
        <f>IFERROR(__xludf.DUMMYFUNCTION("""COMPUTED_VALUE"""),"powerful-integers")</f>
        <v>powerful-integers</v>
      </c>
      <c r="D971" s="35" t="b">
        <f>IFERROR(__xludf.DUMMYFUNCTION("""COMPUTED_VALUE"""),FALSE)</f>
        <v>0</v>
      </c>
      <c r="E971" s="35" t="str">
        <f>IFERROR(__xludf.DUMMYFUNCTION("""COMPUTED_VALUE"""),"Medium")</f>
        <v>Medium</v>
      </c>
      <c r="F971" s="35">
        <f>IFERROR(__xludf.DUMMYFUNCTION("""COMPUTED_VALUE"""),225.0)</f>
        <v>225</v>
      </c>
      <c r="G971" s="35">
        <f>IFERROR(__xludf.DUMMYFUNCTION("""COMPUTED_VALUE"""),60.0)</f>
        <v>60</v>
      </c>
      <c r="H971" s="35" t="str">
        <f>IFERROR(__xludf.DUMMYFUNCTION("""COMPUTED_VALUE"""),"Algorithms")</f>
        <v>Algorithms</v>
      </c>
      <c r="I971" s="35">
        <f>IFERROR(__xludf.DUMMYFUNCTION("""COMPUTED_VALUE"""),0.435)</f>
        <v>0.435</v>
      </c>
      <c r="J971" s="35">
        <f>IFERROR(__xludf.DUMMYFUNCTION("""COMPUTED_VALUE"""),970.0)</f>
        <v>970</v>
      </c>
      <c r="K971" s="35" t="b">
        <f>IFERROR(__xludf.DUMMYFUNCTION("""COMPUTED_VALUE"""),FALSE)</f>
        <v>0</v>
      </c>
      <c r="L971" s="35" t="str">
        <f>IFERROR(__xludf.DUMMYFUNCTION("""COMPUTED_VALUE"""),"Hash Table;Math;")</f>
        <v>Hash Table;Math;</v>
      </c>
      <c r="M971" s="35" t="b">
        <f>IFERROR(__xludf.DUMMYFUNCTION("""COMPUTED_VALUE"""),TRUE)</f>
        <v>1</v>
      </c>
      <c r="N971" s="35" t="b">
        <f>IFERROR(__xludf.DUMMYFUNCTION("""COMPUTED_VALUE"""),FALSE)</f>
        <v>0</v>
      </c>
      <c r="O971" s="35">
        <f>IFERROR(__xludf.DUMMYFUNCTION("""COMPUTED_VALUE"""),43.4855546977019)</f>
        <v>43.4855547</v>
      </c>
      <c r="P971" s="35">
        <f>IFERROR(__xludf.DUMMYFUNCTION("""COMPUTED_VALUE"""),45622.0)</f>
        <v>45622</v>
      </c>
      <c r="Q971" s="35">
        <f>IFERROR(__xludf.DUMMYFUNCTION("""COMPUTED_VALUE"""),104913.0)</f>
        <v>104913</v>
      </c>
    </row>
    <row r="972">
      <c r="A972" s="35">
        <f>IFERROR(__xludf.DUMMYFUNCTION("""COMPUTED_VALUE"""),1011.0)</f>
        <v>1011</v>
      </c>
      <c r="B972" s="35" t="str">
        <f>IFERROR(__xludf.DUMMYFUNCTION("""COMPUTED_VALUE"""),"Flip Binary Tree To Match Preorder Traversal")</f>
        <v>Flip Binary Tree To Match Preorder Traversal</v>
      </c>
      <c r="C972" s="35" t="str">
        <f>IFERROR(__xludf.DUMMYFUNCTION("""COMPUTED_VALUE"""),"flip-binary-tree-to-match-preorder-traversal")</f>
        <v>flip-binary-tree-to-match-preorder-traversal</v>
      </c>
      <c r="D972" s="35" t="b">
        <f>IFERROR(__xludf.DUMMYFUNCTION("""COMPUTED_VALUE"""),FALSE)</f>
        <v>0</v>
      </c>
      <c r="E972" s="35" t="str">
        <f>IFERROR(__xludf.DUMMYFUNCTION("""COMPUTED_VALUE"""),"Medium")</f>
        <v>Medium</v>
      </c>
      <c r="F972" s="35">
        <f>IFERROR(__xludf.DUMMYFUNCTION("""COMPUTED_VALUE"""),684.0)</f>
        <v>684</v>
      </c>
      <c r="G972" s="35">
        <f>IFERROR(__xludf.DUMMYFUNCTION("""COMPUTED_VALUE"""),236.0)</f>
        <v>236</v>
      </c>
      <c r="H972" s="35" t="str">
        <f>IFERROR(__xludf.DUMMYFUNCTION("""COMPUTED_VALUE"""),"Algorithms")</f>
        <v>Algorithms</v>
      </c>
      <c r="I972" s="35">
        <f>IFERROR(__xludf.DUMMYFUNCTION("""COMPUTED_VALUE"""),0.499)</f>
        <v>0.499</v>
      </c>
      <c r="J972" s="35">
        <f>IFERROR(__xludf.DUMMYFUNCTION("""COMPUTED_VALUE"""),971.0)</f>
        <v>971</v>
      </c>
      <c r="K972" s="35" t="b">
        <f>IFERROR(__xludf.DUMMYFUNCTION("""COMPUTED_VALUE"""),FALSE)</f>
        <v>0</v>
      </c>
      <c r="L972" s="35" t="str">
        <f>IFERROR(__xludf.DUMMYFUNCTION("""COMPUTED_VALUE"""),"Tree;Depth-First Search;Binary Tree;")</f>
        <v>Tree;Depth-First Search;Binary Tree;</v>
      </c>
      <c r="M972" s="35" t="b">
        <f>IFERROR(__xludf.DUMMYFUNCTION("""COMPUTED_VALUE"""),TRUE)</f>
        <v>1</v>
      </c>
      <c r="N972" s="35" t="b">
        <f>IFERROR(__xludf.DUMMYFUNCTION("""COMPUTED_VALUE"""),FALSE)</f>
        <v>0</v>
      </c>
      <c r="O972" s="35">
        <f>IFERROR(__xludf.DUMMYFUNCTION("""COMPUTED_VALUE"""),49.867820933678)</f>
        <v>49.86782093</v>
      </c>
      <c r="P972" s="35">
        <f>IFERROR(__xludf.DUMMYFUNCTION("""COMPUTED_VALUE"""),34332.0)</f>
        <v>34332</v>
      </c>
      <c r="Q972" s="35">
        <f>IFERROR(__xludf.DUMMYFUNCTION("""COMPUTED_VALUE"""),68846.0)</f>
        <v>68846</v>
      </c>
    </row>
    <row r="973">
      <c r="A973" s="35">
        <f>IFERROR(__xludf.DUMMYFUNCTION("""COMPUTED_VALUE"""),1012.0)</f>
        <v>1012</v>
      </c>
      <c r="B973" s="35" t="str">
        <f>IFERROR(__xludf.DUMMYFUNCTION("""COMPUTED_VALUE"""),"Equal Rational Numbers")</f>
        <v>Equal Rational Numbers</v>
      </c>
      <c r="C973" s="35" t="str">
        <f>IFERROR(__xludf.DUMMYFUNCTION("""COMPUTED_VALUE"""),"equal-rational-numbers")</f>
        <v>equal-rational-numbers</v>
      </c>
      <c r="D973" s="35" t="b">
        <f>IFERROR(__xludf.DUMMYFUNCTION("""COMPUTED_VALUE"""),FALSE)</f>
        <v>0</v>
      </c>
      <c r="E973" s="35" t="str">
        <f>IFERROR(__xludf.DUMMYFUNCTION("""COMPUTED_VALUE"""),"Hard")</f>
        <v>Hard</v>
      </c>
      <c r="F973" s="35">
        <f>IFERROR(__xludf.DUMMYFUNCTION("""COMPUTED_VALUE"""),66.0)</f>
        <v>66</v>
      </c>
      <c r="G973" s="35">
        <f>IFERROR(__xludf.DUMMYFUNCTION("""COMPUTED_VALUE"""),182.0)</f>
        <v>182</v>
      </c>
      <c r="H973" s="35" t="str">
        <f>IFERROR(__xludf.DUMMYFUNCTION("""COMPUTED_VALUE"""),"Algorithms")</f>
        <v>Algorithms</v>
      </c>
      <c r="I973" s="35">
        <f>IFERROR(__xludf.DUMMYFUNCTION("""COMPUTED_VALUE"""),0.425)</f>
        <v>0.425</v>
      </c>
      <c r="J973" s="35">
        <f>IFERROR(__xludf.DUMMYFUNCTION("""COMPUTED_VALUE"""),972.0)</f>
        <v>972</v>
      </c>
      <c r="K973" s="35" t="b">
        <f>IFERROR(__xludf.DUMMYFUNCTION("""COMPUTED_VALUE"""),FALSE)</f>
        <v>0</v>
      </c>
      <c r="L973" s="35" t="str">
        <f>IFERROR(__xludf.DUMMYFUNCTION("""COMPUTED_VALUE"""),"Math;String;")</f>
        <v>Math;String;</v>
      </c>
      <c r="M973" s="35" t="b">
        <f>IFERROR(__xludf.DUMMYFUNCTION("""COMPUTED_VALUE"""),TRUE)</f>
        <v>1</v>
      </c>
      <c r="N973" s="35" t="b">
        <f>IFERROR(__xludf.DUMMYFUNCTION("""COMPUTED_VALUE"""),FALSE)</f>
        <v>0</v>
      </c>
      <c r="O973" s="35">
        <f>IFERROR(__xludf.DUMMYFUNCTION("""COMPUTED_VALUE"""),42.4893050286544)</f>
        <v>42.48930503</v>
      </c>
      <c r="P973" s="35">
        <f>IFERROR(__xludf.DUMMYFUNCTION("""COMPUTED_VALUE"""),5264.0)</f>
        <v>5264</v>
      </c>
      <c r="Q973" s="35">
        <f>IFERROR(__xludf.DUMMYFUNCTION("""COMPUTED_VALUE"""),12389.0)</f>
        <v>12389</v>
      </c>
    </row>
    <row r="974">
      <c r="A974" s="35">
        <f>IFERROR(__xludf.DUMMYFUNCTION("""COMPUTED_VALUE"""),1014.0)</f>
        <v>1014</v>
      </c>
      <c r="B974" s="35" t="str">
        <f>IFERROR(__xludf.DUMMYFUNCTION("""COMPUTED_VALUE"""),"K Closest Points to Origin")</f>
        <v>K Closest Points to Origin</v>
      </c>
      <c r="C974" s="35" t="str">
        <f>IFERROR(__xludf.DUMMYFUNCTION("""COMPUTED_VALUE"""),"k-closest-points-to-origin")</f>
        <v>k-closest-points-to-origin</v>
      </c>
      <c r="D974" s="35" t="b">
        <f>IFERROR(__xludf.DUMMYFUNCTION("""COMPUTED_VALUE"""),FALSE)</f>
        <v>0</v>
      </c>
      <c r="E974" s="35" t="str">
        <f>IFERROR(__xludf.DUMMYFUNCTION("""COMPUTED_VALUE"""),"Medium")</f>
        <v>Medium</v>
      </c>
      <c r="F974" s="35">
        <f>IFERROR(__xludf.DUMMYFUNCTION("""COMPUTED_VALUE"""),5097.0)</f>
        <v>5097</v>
      </c>
      <c r="G974" s="35">
        <f>IFERROR(__xludf.DUMMYFUNCTION("""COMPUTED_VALUE"""),201.0)</f>
        <v>201</v>
      </c>
      <c r="H974" s="35" t="str">
        <f>IFERROR(__xludf.DUMMYFUNCTION("""COMPUTED_VALUE"""),"Algorithms")</f>
        <v>Algorithms</v>
      </c>
      <c r="I974" s="35">
        <f>IFERROR(__xludf.DUMMYFUNCTION("""COMPUTED_VALUE"""),0.66)</f>
        <v>0.66</v>
      </c>
      <c r="J974" s="35">
        <f>IFERROR(__xludf.DUMMYFUNCTION("""COMPUTED_VALUE"""),973.0)</f>
        <v>973</v>
      </c>
      <c r="K974" s="35" t="b">
        <f>IFERROR(__xludf.DUMMYFUNCTION("""COMPUTED_VALUE"""),FALSE)</f>
        <v>0</v>
      </c>
      <c r="L974" s="35" t="str">
        <f>IFERROR(__xludf.DUMMYFUNCTION("""COMPUTED_VALUE"""),"Array;Math;Divide and Conquer;Geometry;Sorting;Heap (Priority Queue);Quickselect;")</f>
        <v>Array;Math;Divide and Conquer;Geometry;Sorting;Heap (Priority Queue);Quickselect;</v>
      </c>
      <c r="M974" s="35" t="b">
        <f>IFERROR(__xludf.DUMMYFUNCTION("""COMPUTED_VALUE"""),TRUE)</f>
        <v>1</v>
      </c>
      <c r="N974" s="35" t="b">
        <f>IFERROR(__xludf.DUMMYFUNCTION("""COMPUTED_VALUE"""),FALSE)</f>
        <v>0</v>
      </c>
      <c r="O974" s="35">
        <f>IFERROR(__xludf.DUMMYFUNCTION("""COMPUTED_VALUE"""),66.0032002570667)</f>
        <v>66.00320026</v>
      </c>
      <c r="P974" s="35">
        <f>IFERROR(__xludf.DUMMYFUNCTION("""COMPUTED_VALUE"""),706578.0)</f>
        <v>706578</v>
      </c>
      <c r="Q974" s="35">
        <f>IFERROR(__xludf.DUMMYFUNCTION("""COMPUTED_VALUE"""),1070524.0)</f>
        <v>1070524</v>
      </c>
    </row>
    <row r="975">
      <c r="A975" s="35">
        <f>IFERROR(__xludf.DUMMYFUNCTION("""COMPUTED_VALUE"""),1016.0)</f>
        <v>1016</v>
      </c>
      <c r="B975" s="35" t="str">
        <f>IFERROR(__xludf.DUMMYFUNCTION("""COMPUTED_VALUE"""),"Subarray Sums Divisible by K")</f>
        <v>Subarray Sums Divisible by K</v>
      </c>
      <c r="C975" s="35" t="str">
        <f>IFERROR(__xludf.DUMMYFUNCTION("""COMPUTED_VALUE"""),"subarray-sums-divisible-by-k")</f>
        <v>subarray-sums-divisible-by-k</v>
      </c>
      <c r="D975" s="35" t="b">
        <f>IFERROR(__xludf.DUMMYFUNCTION("""COMPUTED_VALUE"""),FALSE)</f>
        <v>0</v>
      </c>
      <c r="E975" s="35" t="str">
        <f>IFERROR(__xludf.DUMMYFUNCTION("""COMPUTED_VALUE"""),"Medium")</f>
        <v>Medium</v>
      </c>
      <c r="F975" s="35">
        <f>IFERROR(__xludf.DUMMYFUNCTION("""COMPUTED_VALUE"""),2618.0)</f>
        <v>2618</v>
      </c>
      <c r="G975" s="35">
        <f>IFERROR(__xludf.DUMMYFUNCTION("""COMPUTED_VALUE"""),131.0)</f>
        <v>131</v>
      </c>
      <c r="H975" s="35" t="str">
        <f>IFERROR(__xludf.DUMMYFUNCTION("""COMPUTED_VALUE"""),"Algorithms")</f>
        <v>Algorithms</v>
      </c>
      <c r="I975" s="35">
        <f>IFERROR(__xludf.DUMMYFUNCTION("""COMPUTED_VALUE"""),0.53)</f>
        <v>0.53</v>
      </c>
      <c r="J975" s="35">
        <f>IFERROR(__xludf.DUMMYFUNCTION("""COMPUTED_VALUE"""),974.0)</f>
        <v>974</v>
      </c>
      <c r="K975" s="35" t="b">
        <f>IFERROR(__xludf.DUMMYFUNCTION("""COMPUTED_VALUE"""),FALSE)</f>
        <v>0</v>
      </c>
      <c r="L975" s="35" t="str">
        <f>IFERROR(__xludf.DUMMYFUNCTION("""COMPUTED_VALUE"""),"Array;Hash Table;Prefix Sum;")</f>
        <v>Array;Hash Table;Prefix Sum;</v>
      </c>
      <c r="M975" s="35" t="b">
        <f>IFERROR(__xludf.DUMMYFUNCTION("""COMPUTED_VALUE"""),FALSE)</f>
        <v>0</v>
      </c>
      <c r="N975" s="35" t="b">
        <f>IFERROR(__xludf.DUMMYFUNCTION("""COMPUTED_VALUE"""),FALSE)</f>
        <v>0</v>
      </c>
      <c r="O975" s="35">
        <f>IFERROR(__xludf.DUMMYFUNCTION("""COMPUTED_VALUE"""),53.045378491512)</f>
        <v>53.04537849</v>
      </c>
      <c r="P975" s="35">
        <f>IFERROR(__xludf.DUMMYFUNCTION("""COMPUTED_VALUE"""),89084.0)</f>
        <v>89084</v>
      </c>
      <c r="Q975" s="35">
        <f>IFERROR(__xludf.DUMMYFUNCTION("""COMPUTED_VALUE"""),167941.0)</f>
        <v>167941</v>
      </c>
    </row>
    <row r="976">
      <c r="A976" s="35">
        <f>IFERROR(__xludf.DUMMYFUNCTION("""COMPUTED_VALUE"""),1017.0)</f>
        <v>1017</v>
      </c>
      <c r="B976" s="35" t="str">
        <f>IFERROR(__xludf.DUMMYFUNCTION("""COMPUTED_VALUE"""),"Odd Even Jump")</f>
        <v>Odd Even Jump</v>
      </c>
      <c r="C976" s="35" t="str">
        <f>IFERROR(__xludf.DUMMYFUNCTION("""COMPUTED_VALUE"""),"odd-even-jump")</f>
        <v>odd-even-jump</v>
      </c>
      <c r="D976" s="35" t="b">
        <f>IFERROR(__xludf.DUMMYFUNCTION("""COMPUTED_VALUE"""),FALSE)</f>
        <v>0</v>
      </c>
      <c r="E976" s="35" t="str">
        <f>IFERROR(__xludf.DUMMYFUNCTION("""COMPUTED_VALUE"""),"Hard")</f>
        <v>Hard</v>
      </c>
      <c r="F976" s="35">
        <f>IFERROR(__xludf.DUMMYFUNCTION("""COMPUTED_VALUE"""),1277.0)</f>
        <v>1277</v>
      </c>
      <c r="G976" s="35">
        <f>IFERROR(__xludf.DUMMYFUNCTION("""COMPUTED_VALUE"""),359.0)</f>
        <v>359</v>
      </c>
      <c r="H976" s="35" t="str">
        <f>IFERROR(__xludf.DUMMYFUNCTION("""COMPUTED_VALUE"""),"Algorithms")</f>
        <v>Algorithms</v>
      </c>
      <c r="I976" s="35">
        <f>IFERROR(__xludf.DUMMYFUNCTION("""COMPUTED_VALUE"""),0.39)</f>
        <v>0.39</v>
      </c>
      <c r="J976" s="35">
        <f>IFERROR(__xludf.DUMMYFUNCTION("""COMPUTED_VALUE"""),975.0)</f>
        <v>975</v>
      </c>
      <c r="K976" s="35" t="b">
        <f>IFERROR(__xludf.DUMMYFUNCTION("""COMPUTED_VALUE"""),FALSE)</f>
        <v>0</v>
      </c>
      <c r="L976" s="35" t="str">
        <f>IFERROR(__xludf.DUMMYFUNCTION("""COMPUTED_VALUE"""),"Array;Dynamic Programming;Stack;Monotonic Stack;Ordered Set;")</f>
        <v>Array;Dynamic Programming;Stack;Monotonic Stack;Ordered Set;</v>
      </c>
      <c r="M976" s="35" t="b">
        <f>IFERROR(__xludf.DUMMYFUNCTION("""COMPUTED_VALUE"""),FALSE)</f>
        <v>0</v>
      </c>
      <c r="N976" s="35" t="b">
        <f>IFERROR(__xludf.DUMMYFUNCTION("""COMPUTED_VALUE"""),FALSE)</f>
        <v>0</v>
      </c>
      <c r="O976" s="35">
        <f>IFERROR(__xludf.DUMMYFUNCTION("""COMPUTED_VALUE"""),39.0390157627345)</f>
        <v>39.03901576</v>
      </c>
      <c r="P976" s="35">
        <f>IFERROR(__xludf.DUMMYFUNCTION("""COMPUTED_VALUE"""),55403.0)</f>
        <v>55403</v>
      </c>
      <c r="Q976" s="35">
        <f>IFERROR(__xludf.DUMMYFUNCTION("""COMPUTED_VALUE"""),141917.0)</f>
        <v>141917</v>
      </c>
    </row>
    <row r="977">
      <c r="A977" s="35">
        <f>IFERROR(__xludf.DUMMYFUNCTION("""COMPUTED_VALUE"""),1018.0)</f>
        <v>1018</v>
      </c>
      <c r="B977" s="35" t="str">
        <f>IFERROR(__xludf.DUMMYFUNCTION("""COMPUTED_VALUE"""),"Largest Perimeter Triangle")</f>
        <v>Largest Perimeter Triangle</v>
      </c>
      <c r="C977" s="35" t="str">
        <f>IFERROR(__xludf.DUMMYFUNCTION("""COMPUTED_VALUE"""),"largest-perimeter-triangle")</f>
        <v>largest-perimeter-triangle</v>
      </c>
      <c r="D977" s="35" t="b">
        <f>IFERROR(__xludf.DUMMYFUNCTION("""COMPUTED_VALUE"""),FALSE)</f>
        <v>0</v>
      </c>
      <c r="E977" s="35" t="str">
        <f>IFERROR(__xludf.DUMMYFUNCTION("""COMPUTED_VALUE"""),"Easy")</f>
        <v>Easy</v>
      </c>
      <c r="F977" s="35">
        <f>IFERROR(__xludf.DUMMYFUNCTION("""COMPUTED_VALUE"""),959.0)</f>
        <v>959</v>
      </c>
      <c r="G977" s="35">
        <f>IFERROR(__xludf.DUMMYFUNCTION("""COMPUTED_VALUE"""),91.0)</f>
        <v>91</v>
      </c>
      <c r="H977" s="35" t="str">
        <f>IFERROR(__xludf.DUMMYFUNCTION("""COMPUTED_VALUE"""),"Algorithms")</f>
        <v>Algorithms</v>
      </c>
      <c r="I977" s="35">
        <f>IFERROR(__xludf.DUMMYFUNCTION("""COMPUTED_VALUE"""),0.583)</f>
        <v>0.583</v>
      </c>
      <c r="J977" s="35">
        <f>IFERROR(__xludf.DUMMYFUNCTION("""COMPUTED_VALUE"""),976.0)</f>
        <v>976</v>
      </c>
      <c r="K977" s="35" t="b">
        <f>IFERROR(__xludf.DUMMYFUNCTION("""COMPUTED_VALUE"""),FALSE)</f>
        <v>0</v>
      </c>
      <c r="L977" s="35" t="str">
        <f>IFERROR(__xludf.DUMMYFUNCTION("""COMPUTED_VALUE"""),"Array;Math;Greedy;Sorting;")</f>
        <v>Array;Math;Greedy;Sorting;</v>
      </c>
      <c r="M977" s="35" t="b">
        <f>IFERROR(__xludf.DUMMYFUNCTION("""COMPUTED_VALUE"""),TRUE)</f>
        <v>1</v>
      </c>
      <c r="N977" s="35" t="b">
        <f>IFERROR(__xludf.DUMMYFUNCTION("""COMPUTED_VALUE"""),FALSE)</f>
        <v>0</v>
      </c>
      <c r="O977" s="35">
        <f>IFERROR(__xludf.DUMMYFUNCTION("""COMPUTED_VALUE"""),58.3489730412362)</f>
        <v>58.34897304</v>
      </c>
      <c r="P977" s="35">
        <f>IFERROR(__xludf.DUMMYFUNCTION("""COMPUTED_VALUE"""),66526.0)</f>
        <v>66526</v>
      </c>
      <c r="Q977" s="35">
        <f>IFERROR(__xludf.DUMMYFUNCTION("""COMPUTED_VALUE"""),114017.0)</f>
        <v>114017</v>
      </c>
    </row>
    <row r="978">
      <c r="A978" s="35">
        <f>IFERROR(__xludf.DUMMYFUNCTION("""COMPUTED_VALUE"""),1019.0)</f>
        <v>1019</v>
      </c>
      <c r="B978" s="35" t="str">
        <f>IFERROR(__xludf.DUMMYFUNCTION("""COMPUTED_VALUE"""),"Squares of a Sorted Array")</f>
        <v>Squares of a Sorted Array</v>
      </c>
      <c r="C978" s="35" t="str">
        <f>IFERROR(__xludf.DUMMYFUNCTION("""COMPUTED_VALUE"""),"squares-of-a-sorted-array")</f>
        <v>squares-of-a-sorted-array</v>
      </c>
      <c r="D978" s="35" t="b">
        <f>IFERROR(__xludf.DUMMYFUNCTION("""COMPUTED_VALUE"""),FALSE)</f>
        <v>0</v>
      </c>
      <c r="E978" s="35" t="str">
        <f>IFERROR(__xludf.DUMMYFUNCTION("""COMPUTED_VALUE"""),"Easy")</f>
        <v>Easy</v>
      </c>
      <c r="F978" s="35">
        <f>IFERROR(__xludf.DUMMYFUNCTION("""COMPUTED_VALUE"""),4819.0)</f>
        <v>4819</v>
      </c>
      <c r="G978" s="35">
        <f>IFERROR(__xludf.DUMMYFUNCTION("""COMPUTED_VALUE"""),147.0)</f>
        <v>147</v>
      </c>
      <c r="H978" s="35" t="str">
        <f>IFERROR(__xludf.DUMMYFUNCTION("""COMPUTED_VALUE"""),"Algorithms")</f>
        <v>Algorithms</v>
      </c>
      <c r="I978" s="35">
        <f>IFERROR(__xludf.DUMMYFUNCTION("""COMPUTED_VALUE"""),0.716)</f>
        <v>0.716</v>
      </c>
      <c r="J978" s="35">
        <f>IFERROR(__xludf.DUMMYFUNCTION("""COMPUTED_VALUE"""),977.0)</f>
        <v>977</v>
      </c>
      <c r="K978" s="35" t="b">
        <f>IFERROR(__xludf.DUMMYFUNCTION("""COMPUTED_VALUE"""),FALSE)</f>
        <v>0</v>
      </c>
      <c r="L978" s="35" t="str">
        <f>IFERROR(__xludf.DUMMYFUNCTION("""COMPUTED_VALUE"""),"Array;Two Pointers;Sorting;")</f>
        <v>Array;Two Pointers;Sorting;</v>
      </c>
      <c r="M978" s="35" t="b">
        <f>IFERROR(__xludf.DUMMYFUNCTION("""COMPUTED_VALUE"""),TRUE)</f>
        <v>1</v>
      </c>
      <c r="N978" s="35" t="b">
        <f>IFERROR(__xludf.DUMMYFUNCTION("""COMPUTED_VALUE"""),TRUE)</f>
        <v>1</v>
      </c>
      <c r="O978" s="35">
        <f>IFERROR(__xludf.DUMMYFUNCTION("""COMPUTED_VALUE"""),71.5571533368143)</f>
        <v>71.55715334</v>
      </c>
      <c r="P978" s="35">
        <f>IFERROR(__xludf.DUMMYFUNCTION("""COMPUTED_VALUE"""),893484.0)</f>
        <v>893484</v>
      </c>
      <c r="Q978" s="35">
        <f>IFERROR(__xludf.DUMMYFUNCTION("""COMPUTED_VALUE"""),1248623.0)</f>
        <v>1248623</v>
      </c>
    </row>
    <row r="979">
      <c r="A979" s="35">
        <f>IFERROR(__xludf.DUMMYFUNCTION("""COMPUTED_VALUE"""),1020.0)</f>
        <v>1020</v>
      </c>
      <c r="B979" s="35" t="str">
        <f>IFERROR(__xludf.DUMMYFUNCTION("""COMPUTED_VALUE"""),"Longest Turbulent Subarray")</f>
        <v>Longest Turbulent Subarray</v>
      </c>
      <c r="C979" s="35" t="str">
        <f>IFERROR(__xludf.DUMMYFUNCTION("""COMPUTED_VALUE"""),"longest-turbulent-subarray")</f>
        <v>longest-turbulent-subarray</v>
      </c>
      <c r="D979" s="35" t="b">
        <f>IFERROR(__xludf.DUMMYFUNCTION("""COMPUTED_VALUE"""),FALSE)</f>
        <v>0</v>
      </c>
      <c r="E979" s="35" t="str">
        <f>IFERROR(__xludf.DUMMYFUNCTION("""COMPUTED_VALUE"""),"Medium")</f>
        <v>Medium</v>
      </c>
      <c r="F979" s="35">
        <f>IFERROR(__xludf.DUMMYFUNCTION("""COMPUTED_VALUE"""),1225.0)</f>
        <v>1225</v>
      </c>
      <c r="G979" s="35">
        <f>IFERROR(__xludf.DUMMYFUNCTION("""COMPUTED_VALUE"""),163.0)</f>
        <v>163</v>
      </c>
      <c r="H979" s="35" t="str">
        <f>IFERROR(__xludf.DUMMYFUNCTION("""COMPUTED_VALUE"""),"Algorithms")</f>
        <v>Algorithms</v>
      </c>
      <c r="I979" s="35">
        <f>IFERROR(__xludf.DUMMYFUNCTION("""COMPUTED_VALUE"""),0.475)</f>
        <v>0.475</v>
      </c>
      <c r="J979" s="35">
        <f>IFERROR(__xludf.DUMMYFUNCTION("""COMPUTED_VALUE"""),978.0)</f>
        <v>978</v>
      </c>
      <c r="K979" s="35" t="b">
        <f>IFERROR(__xludf.DUMMYFUNCTION("""COMPUTED_VALUE"""),FALSE)</f>
        <v>0</v>
      </c>
      <c r="L979" s="35" t="str">
        <f>IFERROR(__xludf.DUMMYFUNCTION("""COMPUTED_VALUE"""),"Array;Dynamic Programming;Sliding Window;")</f>
        <v>Array;Dynamic Programming;Sliding Window;</v>
      </c>
      <c r="M979" s="35" t="b">
        <f>IFERROR(__xludf.DUMMYFUNCTION("""COMPUTED_VALUE"""),TRUE)</f>
        <v>1</v>
      </c>
      <c r="N979" s="35" t="b">
        <f>IFERROR(__xludf.DUMMYFUNCTION("""COMPUTED_VALUE"""),FALSE)</f>
        <v>0</v>
      </c>
      <c r="O979" s="35">
        <f>IFERROR(__xludf.DUMMYFUNCTION("""COMPUTED_VALUE"""),47.5017435994664)</f>
        <v>47.5017436</v>
      </c>
      <c r="P979" s="35">
        <f>IFERROR(__xludf.DUMMYFUNCTION("""COMPUTED_VALUE"""),70152.0)</f>
        <v>70152</v>
      </c>
      <c r="Q979" s="35">
        <f>IFERROR(__xludf.DUMMYFUNCTION("""COMPUTED_VALUE"""),147683.0)</f>
        <v>147683</v>
      </c>
    </row>
    <row r="980">
      <c r="A980" s="35">
        <f>IFERROR(__xludf.DUMMYFUNCTION("""COMPUTED_VALUE"""),1021.0)</f>
        <v>1021</v>
      </c>
      <c r="B980" s="35" t="str">
        <f>IFERROR(__xludf.DUMMYFUNCTION("""COMPUTED_VALUE"""),"Distribute Coins in Binary Tree")</f>
        <v>Distribute Coins in Binary Tree</v>
      </c>
      <c r="C980" s="35" t="str">
        <f>IFERROR(__xludf.DUMMYFUNCTION("""COMPUTED_VALUE"""),"distribute-coins-in-binary-tree")</f>
        <v>distribute-coins-in-binary-tree</v>
      </c>
      <c r="D980" s="35" t="b">
        <f>IFERROR(__xludf.DUMMYFUNCTION("""COMPUTED_VALUE"""),FALSE)</f>
        <v>0</v>
      </c>
      <c r="E980" s="35" t="str">
        <f>IFERROR(__xludf.DUMMYFUNCTION("""COMPUTED_VALUE"""),"Medium")</f>
        <v>Medium</v>
      </c>
      <c r="F980" s="35">
        <f>IFERROR(__xludf.DUMMYFUNCTION("""COMPUTED_VALUE"""),3469.0)</f>
        <v>3469</v>
      </c>
      <c r="G980" s="35">
        <f>IFERROR(__xludf.DUMMYFUNCTION("""COMPUTED_VALUE"""),116.0)</f>
        <v>116</v>
      </c>
      <c r="H980" s="35" t="str">
        <f>IFERROR(__xludf.DUMMYFUNCTION("""COMPUTED_VALUE"""),"Algorithms")</f>
        <v>Algorithms</v>
      </c>
      <c r="I980" s="35">
        <f>IFERROR(__xludf.DUMMYFUNCTION("""COMPUTED_VALUE"""),0.714)</f>
        <v>0.714</v>
      </c>
      <c r="J980" s="35">
        <f>IFERROR(__xludf.DUMMYFUNCTION("""COMPUTED_VALUE"""),979.0)</f>
        <v>979</v>
      </c>
      <c r="K980" s="35" t="b">
        <f>IFERROR(__xludf.DUMMYFUNCTION("""COMPUTED_VALUE"""),FALSE)</f>
        <v>0</v>
      </c>
      <c r="L980" s="35" t="str">
        <f>IFERROR(__xludf.DUMMYFUNCTION("""COMPUTED_VALUE"""),"Tree;Depth-First Search;Binary Tree;")</f>
        <v>Tree;Depth-First Search;Binary Tree;</v>
      </c>
      <c r="M980" s="35" t="b">
        <f>IFERROR(__xludf.DUMMYFUNCTION("""COMPUTED_VALUE"""),TRUE)</f>
        <v>1</v>
      </c>
      <c r="N980" s="35" t="b">
        <f>IFERROR(__xludf.DUMMYFUNCTION("""COMPUTED_VALUE"""),FALSE)</f>
        <v>0</v>
      </c>
      <c r="O980" s="35">
        <f>IFERROR(__xludf.DUMMYFUNCTION("""COMPUTED_VALUE"""),71.3755441023312)</f>
        <v>71.3755441</v>
      </c>
      <c r="P980" s="35">
        <f>IFERROR(__xludf.DUMMYFUNCTION("""COMPUTED_VALUE"""),80183.0)</f>
        <v>80183</v>
      </c>
      <c r="Q980" s="35">
        <f>IFERROR(__xludf.DUMMYFUNCTION("""COMPUTED_VALUE"""),112340.0)</f>
        <v>112340</v>
      </c>
    </row>
    <row r="981">
      <c r="A981" s="35">
        <f>IFERROR(__xludf.DUMMYFUNCTION("""COMPUTED_VALUE"""),1022.0)</f>
        <v>1022</v>
      </c>
      <c r="B981" s="35" t="str">
        <f>IFERROR(__xludf.DUMMYFUNCTION("""COMPUTED_VALUE"""),"Unique Paths III")</f>
        <v>Unique Paths III</v>
      </c>
      <c r="C981" s="35" t="str">
        <f>IFERROR(__xludf.DUMMYFUNCTION("""COMPUTED_VALUE"""),"unique-paths-iii")</f>
        <v>unique-paths-iii</v>
      </c>
      <c r="D981" s="35" t="b">
        <f>IFERROR(__xludf.DUMMYFUNCTION("""COMPUTED_VALUE"""),FALSE)</f>
        <v>0</v>
      </c>
      <c r="E981" s="35" t="str">
        <f>IFERROR(__xludf.DUMMYFUNCTION("""COMPUTED_VALUE"""),"Hard")</f>
        <v>Hard</v>
      </c>
      <c r="F981" s="35">
        <f>IFERROR(__xludf.DUMMYFUNCTION("""COMPUTED_VALUE"""),2658.0)</f>
        <v>2658</v>
      </c>
      <c r="G981" s="35">
        <f>IFERROR(__xludf.DUMMYFUNCTION("""COMPUTED_VALUE"""),130.0)</f>
        <v>130</v>
      </c>
      <c r="H981" s="35" t="str">
        <f>IFERROR(__xludf.DUMMYFUNCTION("""COMPUTED_VALUE"""),"Algorithms")</f>
        <v>Algorithms</v>
      </c>
      <c r="I981" s="35">
        <f>IFERROR(__xludf.DUMMYFUNCTION("""COMPUTED_VALUE"""),0.794)</f>
        <v>0.794</v>
      </c>
      <c r="J981" s="35">
        <f>IFERROR(__xludf.DUMMYFUNCTION("""COMPUTED_VALUE"""),980.0)</f>
        <v>980</v>
      </c>
      <c r="K981" s="35" t="b">
        <f>IFERROR(__xludf.DUMMYFUNCTION("""COMPUTED_VALUE"""),FALSE)</f>
        <v>0</v>
      </c>
      <c r="L981" s="35" t="str">
        <f>IFERROR(__xludf.DUMMYFUNCTION("""COMPUTED_VALUE"""),"Array;Backtracking;Bit Manipulation;Matrix;")</f>
        <v>Array;Backtracking;Bit Manipulation;Matrix;</v>
      </c>
      <c r="M981" s="35" t="b">
        <f>IFERROR(__xludf.DUMMYFUNCTION("""COMPUTED_VALUE"""),TRUE)</f>
        <v>1</v>
      </c>
      <c r="N981" s="35" t="b">
        <f>IFERROR(__xludf.DUMMYFUNCTION("""COMPUTED_VALUE"""),FALSE)</f>
        <v>0</v>
      </c>
      <c r="O981" s="35">
        <f>IFERROR(__xludf.DUMMYFUNCTION("""COMPUTED_VALUE"""),79.4256205182793)</f>
        <v>79.42562052</v>
      </c>
      <c r="P981" s="35">
        <f>IFERROR(__xludf.DUMMYFUNCTION("""COMPUTED_VALUE"""),110430.0)</f>
        <v>110430</v>
      </c>
      <c r="Q981" s="35">
        <f>IFERROR(__xludf.DUMMYFUNCTION("""COMPUTED_VALUE"""),139036.0)</f>
        <v>139036</v>
      </c>
    </row>
    <row r="982">
      <c r="A982" s="35">
        <f>IFERROR(__xludf.DUMMYFUNCTION("""COMPUTED_VALUE"""),1023.0)</f>
        <v>1023</v>
      </c>
      <c r="B982" s="35" t="str">
        <f>IFERROR(__xludf.DUMMYFUNCTION("""COMPUTED_VALUE"""),"Time Based Key-Value Store")</f>
        <v>Time Based Key-Value Store</v>
      </c>
      <c r="C982" s="35" t="str">
        <f>IFERROR(__xludf.DUMMYFUNCTION("""COMPUTED_VALUE"""),"time-based-key-value-store")</f>
        <v>time-based-key-value-store</v>
      </c>
      <c r="D982" s="35" t="b">
        <f>IFERROR(__xludf.DUMMYFUNCTION("""COMPUTED_VALUE"""),FALSE)</f>
        <v>0</v>
      </c>
      <c r="E982" s="35" t="str">
        <f>IFERROR(__xludf.DUMMYFUNCTION("""COMPUTED_VALUE"""),"Medium")</f>
        <v>Medium</v>
      </c>
      <c r="F982" s="35">
        <f>IFERROR(__xludf.DUMMYFUNCTION("""COMPUTED_VALUE"""),1947.0)</f>
        <v>1947</v>
      </c>
      <c r="G982" s="35">
        <f>IFERROR(__xludf.DUMMYFUNCTION("""COMPUTED_VALUE"""),202.0)</f>
        <v>202</v>
      </c>
      <c r="H982" s="35" t="str">
        <f>IFERROR(__xludf.DUMMYFUNCTION("""COMPUTED_VALUE"""),"Algorithms")</f>
        <v>Algorithms</v>
      </c>
      <c r="I982" s="35">
        <f>IFERROR(__xludf.DUMMYFUNCTION("""COMPUTED_VALUE"""),0.528)</f>
        <v>0.528</v>
      </c>
      <c r="J982" s="35">
        <f>IFERROR(__xludf.DUMMYFUNCTION("""COMPUTED_VALUE"""),981.0)</f>
        <v>981</v>
      </c>
      <c r="K982" s="35" t="b">
        <f>IFERROR(__xludf.DUMMYFUNCTION("""COMPUTED_VALUE"""),FALSE)</f>
        <v>0</v>
      </c>
      <c r="L982" s="35" t="str">
        <f>IFERROR(__xludf.DUMMYFUNCTION("""COMPUTED_VALUE"""),"Hash Table;String;Binary Search;Design;")</f>
        <v>Hash Table;String;Binary Search;Design;</v>
      </c>
      <c r="M982" s="35" t="b">
        <f>IFERROR(__xludf.DUMMYFUNCTION("""COMPUTED_VALUE"""),FALSE)</f>
        <v>0</v>
      </c>
      <c r="N982" s="35" t="b">
        <f>IFERROR(__xludf.DUMMYFUNCTION("""COMPUTED_VALUE"""),FALSE)</f>
        <v>0</v>
      </c>
      <c r="O982" s="35">
        <f>IFERROR(__xludf.DUMMYFUNCTION("""COMPUTED_VALUE"""),52.7954798881185)</f>
        <v>52.79547989</v>
      </c>
      <c r="P982" s="35">
        <f>IFERROR(__xludf.DUMMYFUNCTION("""COMPUTED_VALUE"""),169501.0)</f>
        <v>169501</v>
      </c>
      <c r="Q982" s="35">
        <f>IFERROR(__xludf.DUMMYFUNCTION("""COMPUTED_VALUE"""),321051.0)</f>
        <v>321051</v>
      </c>
    </row>
    <row r="983">
      <c r="A983" s="35">
        <f>IFERROR(__xludf.DUMMYFUNCTION("""COMPUTED_VALUE"""),1024.0)</f>
        <v>1024</v>
      </c>
      <c r="B983" s="35" t="str">
        <f>IFERROR(__xludf.DUMMYFUNCTION("""COMPUTED_VALUE"""),"Triples with Bitwise AND Equal To Zero")</f>
        <v>Triples with Bitwise AND Equal To Zero</v>
      </c>
      <c r="C983" s="35" t="str">
        <f>IFERROR(__xludf.DUMMYFUNCTION("""COMPUTED_VALUE"""),"triples-with-bitwise-and-equal-to-zero")</f>
        <v>triples-with-bitwise-and-equal-to-zero</v>
      </c>
      <c r="D983" s="35" t="b">
        <f>IFERROR(__xludf.DUMMYFUNCTION("""COMPUTED_VALUE"""),FALSE)</f>
        <v>0</v>
      </c>
      <c r="E983" s="35" t="str">
        <f>IFERROR(__xludf.DUMMYFUNCTION("""COMPUTED_VALUE"""),"Hard")</f>
        <v>Hard</v>
      </c>
      <c r="F983" s="35">
        <f>IFERROR(__xludf.DUMMYFUNCTION("""COMPUTED_VALUE"""),228.0)</f>
        <v>228</v>
      </c>
      <c r="G983" s="35">
        <f>IFERROR(__xludf.DUMMYFUNCTION("""COMPUTED_VALUE"""),180.0)</f>
        <v>180</v>
      </c>
      <c r="H983" s="35" t="str">
        <f>IFERROR(__xludf.DUMMYFUNCTION("""COMPUTED_VALUE"""),"Algorithms")</f>
        <v>Algorithms</v>
      </c>
      <c r="I983" s="35">
        <f>IFERROR(__xludf.DUMMYFUNCTION("""COMPUTED_VALUE"""),0.574)</f>
        <v>0.574</v>
      </c>
      <c r="J983" s="35">
        <f>IFERROR(__xludf.DUMMYFUNCTION("""COMPUTED_VALUE"""),982.0)</f>
        <v>982</v>
      </c>
      <c r="K983" s="35" t="b">
        <f>IFERROR(__xludf.DUMMYFUNCTION("""COMPUTED_VALUE"""),FALSE)</f>
        <v>0</v>
      </c>
      <c r="L983" s="35" t="str">
        <f>IFERROR(__xludf.DUMMYFUNCTION("""COMPUTED_VALUE"""),"Array;Hash Table;Bit Manipulation;")</f>
        <v>Array;Hash Table;Bit Manipulation;</v>
      </c>
      <c r="M983" s="35" t="b">
        <f>IFERROR(__xludf.DUMMYFUNCTION("""COMPUTED_VALUE"""),FALSE)</f>
        <v>0</v>
      </c>
      <c r="N983" s="35" t="b">
        <f>IFERROR(__xludf.DUMMYFUNCTION("""COMPUTED_VALUE"""),FALSE)</f>
        <v>0</v>
      </c>
      <c r="O983" s="35">
        <f>IFERROR(__xludf.DUMMYFUNCTION("""COMPUTED_VALUE"""),57.4212531956972)</f>
        <v>57.4212532</v>
      </c>
      <c r="P983" s="35">
        <f>IFERROR(__xludf.DUMMYFUNCTION("""COMPUTED_VALUE"""),11904.0)</f>
        <v>11904</v>
      </c>
      <c r="Q983" s="35">
        <f>IFERROR(__xludf.DUMMYFUNCTION("""COMPUTED_VALUE"""),20731.0)</f>
        <v>20731</v>
      </c>
    </row>
    <row r="984">
      <c r="A984" s="35">
        <f>IFERROR(__xludf.DUMMYFUNCTION("""COMPUTED_VALUE"""),1025.0)</f>
        <v>1025</v>
      </c>
      <c r="B984" s="35" t="str">
        <f>IFERROR(__xludf.DUMMYFUNCTION("""COMPUTED_VALUE"""),"Minimum Cost For Tickets")</f>
        <v>Minimum Cost For Tickets</v>
      </c>
      <c r="C984" s="35" t="str">
        <f>IFERROR(__xludf.DUMMYFUNCTION("""COMPUTED_VALUE"""),"minimum-cost-for-tickets")</f>
        <v>minimum-cost-for-tickets</v>
      </c>
      <c r="D984" s="35" t="b">
        <f>IFERROR(__xludf.DUMMYFUNCTION("""COMPUTED_VALUE"""),FALSE)</f>
        <v>0</v>
      </c>
      <c r="E984" s="35" t="str">
        <f>IFERROR(__xludf.DUMMYFUNCTION("""COMPUTED_VALUE"""),"Medium")</f>
        <v>Medium</v>
      </c>
      <c r="F984" s="35">
        <f>IFERROR(__xludf.DUMMYFUNCTION("""COMPUTED_VALUE"""),4221.0)</f>
        <v>4221</v>
      </c>
      <c r="G984" s="35">
        <f>IFERROR(__xludf.DUMMYFUNCTION("""COMPUTED_VALUE"""),72.0)</f>
        <v>72</v>
      </c>
      <c r="H984" s="35" t="str">
        <f>IFERROR(__xludf.DUMMYFUNCTION("""COMPUTED_VALUE"""),"Algorithms")</f>
        <v>Algorithms</v>
      </c>
      <c r="I984" s="35">
        <f>IFERROR(__xludf.DUMMYFUNCTION("""COMPUTED_VALUE"""),0.639)</f>
        <v>0.639</v>
      </c>
      <c r="J984" s="35">
        <f>IFERROR(__xludf.DUMMYFUNCTION("""COMPUTED_VALUE"""),983.0)</f>
        <v>983</v>
      </c>
      <c r="K984" s="35" t="b">
        <f>IFERROR(__xludf.DUMMYFUNCTION("""COMPUTED_VALUE"""),FALSE)</f>
        <v>0</v>
      </c>
      <c r="L984" s="35" t="str">
        <f>IFERROR(__xludf.DUMMYFUNCTION("""COMPUTED_VALUE"""),"Array;Dynamic Programming;")</f>
        <v>Array;Dynamic Programming;</v>
      </c>
      <c r="M984" s="35" t="b">
        <f>IFERROR(__xludf.DUMMYFUNCTION("""COMPUTED_VALUE"""),TRUE)</f>
        <v>1</v>
      </c>
      <c r="N984" s="35" t="b">
        <f>IFERROR(__xludf.DUMMYFUNCTION("""COMPUTED_VALUE"""),FALSE)</f>
        <v>0</v>
      </c>
      <c r="O984" s="35">
        <f>IFERROR(__xludf.DUMMYFUNCTION("""COMPUTED_VALUE"""),63.8821616234033)</f>
        <v>63.88216162</v>
      </c>
      <c r="P984" s="35">
        <f>IFERROR(__xludf.DUMMYFUNCTION("""COMPUTED_VALUE"""),146130.0)</f>
        <v>146130</v>
      </c>
      <c r="Q984" s="35">
        <f>IFERROR(__xludf.DUMMYFUNCTION("""COMPUTED_VALUE"""),228750.0)</f>
        <v>228750</v>
      </c>
    </row>
    <row r="985">
      <c r="A985" s="35">
        <f>IFERROR(__xludf.DUMMYFUNCTION("""COMPUTED_VALUE"""),1026.0)</f>
        <v>1026</v>
      </c>
      <c r="B985" s="35" t="str">
        <f>IFERROR(__xludf.DUMMYFUNCTION("""COMPUTED_VALUE"""),"String Without AAA or BBB")</f>
        <v>String Without AAA or BBB</v>
      </c>
      <c r="C985" s="35" t="str">
        <f>IFERROR(__xludf.DUMMYFUNCTION("""COMPUTED_VALUE"""),"string-without-aaa-or-bbb")</f>
        <v>string-without-aaa-or-bbb</v>
      </c>
      <c r="D985" s="35" t="b">
        <f>IFERROR(__xludf.DUMMYFUNCTION("""COMPUTED_VALUE"""),FALSE)</f>
        <v>0</v>
      </c>
      <c r="E985" s="35" t="str">
        <f>IFERROR(__xludf.DUMMYFUNCTION("""COMPUTED_VALUE"""),"Medium")</f>
        <v>Medium</v>
      </c>
      <c r="F985" s="35">
        <f>IFERROR(__xludf.DUMMYFUNCTION("""COMPUTED_VALUE"""),467.0)</f>
        <v>467</v>
      </c>
      <c r="G985" s="35">
        <f>IFERROR(__xludf.DUMMYFUNCTION("""COMPUTED_VALUE"""),327.0)</f>
        <v>327</v>
      </c>
      <c r="H985" s="35" t="str">
        <f>IFERROR(__xludf.DUMMYFUNCTION("""COMPUTED_VALUE"""),"Algorithms")</f>
        <v>Algorithms</v>
      </c>
      <c r="I985" s="35">
        <f>IFERROR(__xludf.DUMMYFUNCTION("""COMPUTED_VALUE"""),0.418)</f>
        <v>0.418</v>
      </c>
      <c r="J985" s="35">
        <f>IFERROR(__xludf.DUMMYFUNCTION("""COMPUTED_VALUE"""),984.0)</f>
        <v>984</v>
      </c>
      <c r="K985" s="35" t="b">
        <f>IFERROR(__xludf.DUMMYFUNCTION("""COMPUTED_VALUE"""),FALSE)</f>
        <v>0</v>
      </c>
      <c r="L985" s="35" t="str">
        <f>IFERROR(__xludf.DUMMYFUNCTION("""COMPUTED_VALUE"""),"String;Greedy;")</f>
        <v>String;Greedy;</v>
      </c>
      <c r="M985" s="35" t="b">
        <f>IFERROR(__xludf.DUMMYFUNCTION("""COMPUTED_VALUE"""),TRUE)</f>
        <v>1</v>
      </c>
      <c r="N985" s="35" t="b">
        <f>IFERROR(__xludf.DUMMYFUNCTION("""COMPUTED_VALUE"""),FALSE)</f>
        <v>0</v>
      </c>
      <c r="O985" s="35">
        <f>IFERROR(__xludf.DUMMYFUNCTION("""COMPUTED_VALUE"""),41.81537495421)</f>
        <v>41.81537495</v>
      </c>
      <c r="P985" s="35">
        <f>IFERROR(__xludf.DUMMYFUNCTION("""COMPUTED_VALUE"""),31962.0)</f>
        <v>31962</v>
      </c>
      <c r="Q985" s="35">
        <f>IFERROR(__xludf.DUMMYFUNCTION("""COMPUTED_VALUE"""),76436.0)</f>
        <v>76436</v>
      </c>
    </row>
    <row r="986">
      <c r="A986" s="35">
        <f>IFERROR(__xludf.DUMMYFUNCTION("""COMPUTED_VALUE"""),1027.0)</f>
        <v>1027</v>
      </c>
      <c r="B986" s="35" t="str">
        <f>IFERROR(__xludf.DUMMYFUNCTION("""COMPUTED_VALUE"""),"Sum of Even Numbers After Queries")</f>
        <v>Sum of Even Numbers After Queries</v>
      </c>
      <c r="C986" s="35" t="str">
        <f>IFERROR(__xludf.DUMMYFUNCTION("""COMPUTED_VALUE"""),"sum-of-even-numbers-after-queries")</f>
        <v>sum-of-even-numbers-after-queries</v>
      </c>
      <c r="D986" s="35" t="b">
        <f>IFERROR(__xludf.DUMMYFUNCTION("""COMPUTED_VALUE"""),FALSE)</f>
        <v>0</v>
      </c>
      <c r="E986" s="35" t="str">
        <f>IFERROR(__xludf.DUMMYFUNCTION("""COMPUTED_VALUE"""),"Medium")</f>
        <v>Medium</v>
      </c>
      <c r="F986" s="35">
        <f>IFERROR(__xludf.DUMMYFUNCTION("""COMPUTED_VALUE"""),653.0)</f>
        <v>653</v>
      </c>
      <c r="G986" s="35">
        <f>IFERROR(__xludf.DUMMYFUNCTION("""COMPUTED_VALUE"""),211.0)</f>
        <v>211</v>
      </c>
      <c r="H986" s="35" t="str">
        <f>IFERROR(__xludf.DUMMYFUNCTION("""COMPUTED_VALUE"""),"Algorithms")</f>
        <v>Algorithms</v>
      </c>
      <c r="I986" s="35">
        <f>IFERROR(__xludf.DUMMYFUNCTION("""COMPUTED_VALUE"""),0.609)</f>
        <v>0.609</v>
      </c>
      <c r="J986" s="35">
        <f>IFERROR(__xludf.DUMMYFUNCTION("""COMPUTED_VALUE"""),985.0)</f>
        <v>985</v>
      </c>
      <c r="K986" s="35" t="b">
        <f>IFERROR(__xludf.DUMMYFUNCTION("""COMPUTED_VALUE"""),FALSE)</f>
        <v>0</v>
      </c>
      <c r="L986" s="35" t="str">
        <f>IFERROR(__xludf.DUMMYFUNCTION("""COMPUTED_VALUE"""),"Array;Simulation;")</f>
        <v>Array;Simulation;</v>
      </c>
      <c r="M986" s="35" t="b">
        <f>IFERROR(__xludf.DUMMYFUNCTION("""COMPUTED_VALUE"""),TRUE)</f>
        <v>1</v>
      </c>
      <c r="N986" s="35" t="b">
        <f>IFERROR(__xludf.DUMMYFUNCTION("""COMPUTED_VALUE"""),FALSE)</f>
        <v>0</v>
      </c>
      <c r="O986" s="35">
        <f>IFERROR(__xludf.DUMMYFUNCTION("""COMPUTED_VALUE"""),60.865501908472)</f>
        <v>60.86550191</v>
      </c>
      <c r="P986" s="35">
        <f>IFERROR(__xludf.DUMMYFUNCTION("""COMPUTED_VALUE"""),61871.0)</f>
        <v>61871</v>
      </c>
      <c r="Q986" s="35">
        <f>IFERROR(__xludf.DUMMYFUNCTION("""COMPUTED_VALUE"""),101652.0)</f>
        <v>101652</v>
      </c>
    </row>
    <row r="987">
      <c r="A987" s="35">
        <f>IFERROR(__xludf.DUMMYFUNCTION("""COMPUTED_VALUE"""),1028.0)</f>
        <v>1028</v>
      </c>
      <c r="B987" s="35" t="str">
        <f>IFERROR(__xludf.DUMMYFUNCTION("""COMPUTED_VALUE"""),"Interval List Intersections")</f>
        <v>Interval List Intersections</v>
      </c>
      <c r="C987" s="35" t="str">
        <f>IFERROR(__xludf.DUMMYFUNCTION("""COMPUTED_VALUE"""),"interval-list-intersections")</f>
        <v>interval-list-intersections</v>
      </c>
      <c r="D987" s="35" t="b">
        <f>IFERROR(__xludf.DUMMYFUNCTION("""COMPUTED_VALUE"""),FALSE)</f>
        <v>0</v>
      </c>
      <c r="E987" s="35" t="str">
        <f>IFERROR(__xludf.DUMMYFUNCTION("""COMPUTED_VALUE"""),"Medium")</f>
        <v>Medium</v>
      </c>
      <c r="F987" s="35">
        <f>IFERROR(__xludf.DUMMYFUNCTION("""COMPUTED_VALUE"""),3970.0)</f>
        <v>3970</v>
      </c>
      <c r="G987" s="35">
        <f>IFERROR(__xludf.DUMMYFUNCTION("""COMPUTED_VALUE"""),82.0)</f>
        <v>82</v>
      </c>
      <c r="H987" s="35" t="str">
        <f>IFERROR(__xludf.DUMMYFUNCTION("""COMPUTED_VALUE"""),"Algorithms")</f>
        <v>Algorithms</v>
      </c>
      <c r="I987" s="35">
        <f>IFERROR(__xludf.DUMMYFUNCTION("""COMPUTED_VALUE"""),0.709)</f>
        <v>0.709</v>
      </c>
      <c r="J987" s="35">
        <f>IFERROR(__xludf.DUMMYFUNCTION("""COMPUTED_VALUE"""),986.0)</f>
        <v>986</v>
      </c>
      <c r="K987" s="35" t="b">
        <f>IFERROR(__xludf.DUMMYFUNCTION("""COMPUTED_VALUE"""),FALSE)</f>
        <v>0</v>
      </c>
      <c r="L987" s="35" t="str">
        <f>IFERROR(__xludf.DUMMYFUNCTION("""COMPUTED_VALUE"""),"Array;Two Pointers;")</f>
        <v>Array;Two Pointers;</v>
      </c>
      <c r="M987" s="35" t="b">
        <f>IFERROR(__xludf.DUMMYFUNCTION("""COMPUTED_VALUE"""),TRUE)</f>
        <v>1</v>
      </c>
      <c r="N987" s="35" t="b">
        <f>IFERROR(__xludf.DUMMYFUNCTION("""COMPUTED_VALUE"""),FALSE)</f>
        <v>0</v>
      </c>
      <c r="O987" s="35">
        <f>IFERROR(__xludf.DUMMYFUNCTION("""COMPUTED_VALUE"""),70.9396911634247)</f>
        <v>70.93969116</v>
      </c>
      <c r="P987" s="35">
        <f>IFERROR(__xludf.DUMMYFUNCTION("""COMPUTED_VALUE"""),283078.0)</f>
        <v>283078</v>
      </c>
      <c r="Q987" s="35">
        <f>IFERROR(__xludf.DUMMYFUNCTION("""COMPUTED_VALUE"""),399040.0)</f>
        <v>399040</v>
      </c>
    </row>
    <row r="988">
      <c r="A988" s="35">
        <f>IFERROR(__xludf.DUMMYFUNCTION("""COMPUTED_VALUE"""),1029.0)</f>
        <v>1029</v>
      </c>
      <c r="B988" s="35" t="str">
        <f>IFERROR(__xludf.DUMMYFUNCTION("""COMPUTED_VALUE"""),"Vertical Order Traversal of a Binary Tree")</f>
        <v>Vertical Order Traversal of a Binary Tree</v>
      </c>
      <c r="C988" s="35" t="str">
        <f>IFERROR(__xludf.DUMMYFUNCTION("""COMPUTED_VALUE"""),"vertical-order-traversal-of-a-binary-tree")</f>
        <v>vertical-order-traversal-of-a-binary-tree</v>
      </c>
      <c r="D988" s="35" t="b">
        <f>IFERROR(__xludf.DUMMYFUNCTION("""COMPUTED_VALUE"""),FALSE)</f>
        <v>0</v>
      </c>
      <c r="E988" s="35" t="str">
        <f>IFERROR(__xludf.DUMMYFUNCTION("""COMPUTED_VALUE"""),"Hard")</f>
        <v>Hard</v>
      </c>
      <c r="F988" s="35">
        <f>IFERROR(__xludf.DUMMYFUNCTION("""COMPUTED_VALUE"""),2894.0)</f>
        <v>2894</v>
      </c>
      <c r="G988" s="35">
        <f>IFERROR(__xludf.DUMMYFUNCTION("""COMPUTED_VALUE"""),3194.0)</f>
        <v>3194</v>
      </c>
      <c r="H988" s="35" t="str">
        <f>IFERROR(__xludf.DUMMYFUNCTION("""COMPUTED_VALUE"""),"Algorithms")</f>
        <v>Algorithms</v>
      </c>
      <c r="I988" s="35">
        <f>IFERROR(__xludf.DUMMYFUNCTION("""COMPUTED_VALUE"""),0.412)</f>
        <v>0.412</v>
      </c>
      <c r="J988" s="35">
        <f>IFERROR(__xludf.DUMMYFUNCTION("""COMPUTED_VALUE"""),987.0)</f>
        <v>987</v>
      </c>
      <c r="K988" s="35" t="b">
        <f>IFERROR(__xludf.DUMMYFUNCTION("""COMPUTED_VALUE"""),FALSE)</f>
        <v>0</v>
      </c>
      <c r="L988" s="35" t="str">
        <f>IFERROR(__xludf.DUMMYFUNCTION("""COMPUTED_VALUE"""),"Hash Table;Tree;Depth-First Search;Breadth-First Search;Binary Tree;")</f>
        <v>Hash Table;Tree;Depth-First Search;Breadth-First Search;Binary Tree;</v>
      </c>
      <c r="M988" s="35" t="b">
        <f>IFERROR(__xludf.DUMMYFUNCTION("""COMPUTED_VALUE"""),TRUE)</f>
        <v>1</v>
      </c>
      <c r="N988" s="35" t="b">
        <f>IFERROR(__xludf.DUMMYFUNCTION("""COMPUTED_VALUE"""),TRUE)</f>
        <v>1</v>
      </c>
      <c r="O988" s="35">
        <f>IFERROR(__xludf.DUMMYFUNCTION("""COMPUTED_VALUE"""),41.1521667589716)</f>
        <v>41.15216676</v>
      </c>
      <c r="P988" s="35">
        <f>IFERROR(__xludf.DUMMYFUNCTION("""COMPUTED_VALUE"""),205073.0)</f>
        <v>205073</v>
      </c>
      <c r="Q988" s="35">
        <f>IFERROR(__xludf.DUMMYFUNCTION("""COMPUTED_VALUE"""),498329.0)</f>
        <v>498329</v>
      </c>
    </row>
    <row r="989">
      <c r="A989" s="35">
        <f>IFERROR(__xludf.DUMMYFUNCTION("""COMPUTED_VALUE"""),1030.0)</f>
        <v>1030</v>
      </c>
      <c r="B989" s="35" t="str">
        <f>IFERROR(__xludf.DUMMYFUNCTION("""COMPUTED_VALUE"""),"Smallest String Starting From Leaf")</f>
        <v>Smallest String Starting From Leaf</v>
      </c>
      <c r="C989" s="35" t="str">
        <f>IFERROR(__xludf.DUMMYFUNCTION("""COMPUTED_VALUE"""),"smallest-string-starting-from-leaf")</f>
        <v>smallest-string-starting-from-leaf</v>
      </c>
      <c r="D989" s="35" t="b">
        <f>IFERROR(__xludf.DUMMYFUNCTION("""COMPUTED_VALUE"""),FALSE)</f>
        <v>0</v>
      </c>
      <c r="E989" s="35" t="str">
        <f>IFERROR(__xludf.DUMMYFUNCTION("""COMPUTED_VALUE"""),"Medium")</f>
        <v>Medium</v>
      </c>
      <c r="F989" s="35">
        <f>IFERROR(__xludf.DUMMYFUNCTION("""COMPUTED_VALUE"""),1017.0)</f>
        <v>1017</v>
      </c>
      <c r="G989" s="35">
        <f>IFERROR(__xludf.DUMMYFUNCTION("""COMPUTED_VALUE"""),166.0)</f>
        <v>166</v>
      </c>
      <c r="H989" s="35" t="str">
        <f>IFERROR(__xludf.DUMMYFUNCTION("""COMPUTED_VALUE"""),"Algorithms")</f>
        <v>Algorithms</v>
      </c>
      <c r="I989" s="35">
        <f>IFERROR(__xludf.DUMMYFUNCTION("""COMPUTED_VALUE"""),0.486)</f>
        <v>0.486</v>
      </c>
      <c r="J989" s="35">
        <f>IFERROR(__xludf.DUMMYFUNCTION("""COMPUTED_VALUE"""),988.0)</f>
        <v>988</v>
      </c>
      <c r="K989" s="35" t="b">
        <f>IFERROR(__xludf.DUMMYFUNCTION("""COMPUTED_VALUE"""),FALSE)</f>
        <v>0</v>
      </c>
      <c r="L989" s="35" t="str">
        <f>IFERROR(__xludf.DUMMYFUNCTION("""COMPUTED_VALUE"""),"String;Tree;Depth-First Search;Binary Tree;")</f>
        <v>String;Tree;Depth-First Search;Binary Tree;</v>
      </c>
      <c r="M989" s="35" t="b">
        <f>IFERROR(__xludf.DUMMYFUNCTION("""COMPUTED_VALUE"""),TRUE)</f>
        <v>1</v>
      </c>
      <c r="N989" s="35" t="b">
        <f>IFERROR(__xludf.DUMMYFUNCTION("""COMPUTED_VALUE"""),FALSE)</f>
        <v>0</v>
      </c>
      <c r="O989" s="35">
        <f>IFERROR(__xludf.DUMMYFUNCTION("""COMPUTED_VALUE"""),48.5943967499616)</f>
        <v>48.59439675</v>
      </c>
      <c r="P989" s="35">
        <f>IFERROR(__xludf.DUMMYFUNCTION("""COMPUTED_VALUE"""),50717.0)</f>
        <v>50717</v>
      </c>
      <c r="Q989" s="35">
        <f>IFERROR(__xludf.DUMMYFUNCTION("""COMPUTED_VALUE"""),104368.0)</f>
        <v>104368</v>
      </c>
    </row>
    <row r="990">
      <c r="A990" s="35">
        <f>IFERROR(__xludf.DUMMYFUNCTION("""COMPUTED_VALUE"""),1031.0)</f>
        <v>1031</v>
      </c>
      <c r="B990" s="35" t="str">
        <f>IFERROR(__xludf.DUMMYFUNCTION("""COMPUTED_VALUE"""),"Add to Array-Form of Integer")</f>
        <v>Add to Array-Form of Integer</v>
      </c>
      <c r="C990" s="35" t="str">
        <f>IFERROR(__xludf.DUMMYFUNCTION("""COMPUTED_VALUE"""),"add-to-array-form-of-integer")</f>
        <v>add-to-array-form-of-integer</v>
      </c>
      <c r="D990" s="35" t="b">
        <f>IFERROR(__xludf.DUMMYFUNCTION("""COMPUTED_VALUE"""),FALSE)</f>
        <v>0</v>
      </c>
      <c r="E990" s="35" t="str">
        <f>IFERROR(__xludf.DUMMYFUNCTION("""COMPUTED_VALUE"""),"Easy")</f>
        <v>Easy</v>
      </c>
      <c r="F990" s="35">
        <f>IFERROR(__xludf.DUMMYFUNCTION("""COMPUTED_VALUE"""),1111.0)</f>
        <v>1111</v>
      </c>
      <c r="G990" s="35">
        <f>IFERROR(__xludf.DUMMYFUNCTION("""COMPUTED_VALUE"""),140.0)</f>
        <v>140</v>
      </c>
      <c r="H990" s="35" t="str">
        <f>IFERROR(__xludf.DUMMYFUNCTION("""COMPUTED_VALUE"""),"Algorithms")</f>
        <v>Algorithms</v>
      </c>
      <c r="I990" s="35">
        <f>IFERROR(__xludf.DUMMYFUNCTION("""COMPUTED_VALUE"""),0.453)</f>
        <v>0.453</v>
      </c>
      <c r="J990" s="35">
        <f>IFERROR(__xludf.DUMMYFUNCTION("""COMPUTED_VALUE"""),989.0)</f>
        <v>989</v>
      </c>
      <c r="K990" s="35" t="b">
        <f>IFERROR(__xludf.DUMMYFUNCTION("""COMPUTED_VALUE"""),FALSE)</f>
        <v>0</v>
      </c>
      <c r="L990" s="35" t="str">
        <f>IFERROR(__xludf.DUMMYFUNCTION("""COMPUTED_VALUE"""),"Array;Math;")</f>
        <v>Array;Math;</v>
      </c>
      <c r="M990" s="35" t="b">
        <f>IFERROR(__xludf.DUMMYFUNCTION("""COMPUTED_VALUE"""),TRUE)</f>
        <v>1</v>
      </c>
      <c r="N990" s="35" t="b">
        <f>IFERROR(__xludf.DUMMYFUNCTION("""COMPUTED_VALUE"""),FALSE)</f>
        <v>0</v>
      </c>
      <c r="O990" s="35">
        <f>IFERROR(__xludf.DUMMYFUNCTION("""COMPUTED_VALUE"""),45.2770160538856)</f>
        <v>45.27701605</v>
      </c>
      <c r="P990" s="35">
        <f>IFERROR(__xludf.DUMMYFUNCTION("""COMPUTED_VALUE"""),102039.0)</f>
        <v>102039</v>
      </c>
      <c r="Q990" s="35">
        <f>IFERROR(__xludf.DUMMYFUNCTION("""COMPUTED_VALUE"""),225366.0)</f>
        <v>225366</v>
      </c>
    </row>
    <row r="991">
      <c r="A991" s="35">
        <f>IFERROR(__xludf.DUMMYFUNCTION("""COMPUTED_VALUE"""),1032.0)</f>
        <v>1032</v>
      </c>
      <c r="B991" s="35" t="str">
        <f>IFERROR(__xludf.DUMMYFUNCTION("""COMPUTED_VALUE"""),"Satisfiability of Equality Equations")</f>
        <v>Satisfiability of Equality Equations</v>
      </c>
      <c r="C991" s="35" t="str">
        <f>IFERROR(__xludf.DUMMYFUNCTION("""COMPUTED_VALUE"""),"satisfiability-of-equality-equations")</f>
        <v>satisfiability-of-equality-equations</v>
      </c>
      <c r="D991" s="35" t="b">
        <f>IFERROR(__xludf.DUMMYFUNCTION("""COMPUTED_VALUE"""),FALSE)</f>
        <v>0</v>
      </c>
      <c r="E991" s="35" t="str">
        <f>IFERROR(__xludf.DUMMYFUNCTION("""COMPUTED_VALUE"""),"Medium")</f>
        <v>Medium</v>
      </c>
      <c r="F991" s="35">
        <f>IFERROR(__xludf.DUMMYFUNCTION("""COMPUTED_VALUE"""),1410.0)</f>
        <v>1410</v>
      </c>
      <c r="G991" s="35">
        <f>IFERROR(__xludf.DUMMYFUNCTION("""COMPUTED_VALUE"""),15.0)</f>
        <v>15</v>
      </c>
      <c r="H991" s="35" t="str">
        <f>IFERROR(__xludf.DUMMYFUNCTION("""COMPUTED_VALUE"""),"Algorithms")</f>
        <v>Algorithms</v>
      </c>
      <c r="I991" s="35">
        <f>IFERROR(__xludf.DUMMYFUNCTION("""COMPUTED_VALUE"""),0.497)</f>
        <v>0.497</v>
      </c>
      <c r="J991" s="35">
        <f>IFERROR(__xludf.DUMMYFUNCTION("""COMPUTED_VALUE"""),990.0)</f>
        <v>990</v>
      </c>
      <c r="K991" s="35" t="b">
        <f>IFERROR(__xludf.DUMMYFUNCTION("""COMPUTED_VALUE"""),FALSE)</f>
        <v>0</v>
      </c>
      <c r="L991" s="35" t="str">
        <f>IFERROR(__xludf.DUMMYFUNCTION("""COMPUTED_VALUE"""),"Array;String;Union Find;Graph;")</f>
        <v>Array;String;Union Find;Graph;</v>
      </c>
      <c r="M991" s="35" t="b">
        <f>IFERROR(__xludf.DUMMYFUNCTION("""COMPUTED_VALUE"""),TRUE)</f>
        <v>1</v>
      </c>
      <c r="N991" s="35" t="b">
        <f>IFERROR(__xludf.DUMMYFUNCTION("""COMPUTED_VALUE"""),FALSE)</f>
        <v>0</v>
      </c>
      <c r="O991" s="35">
        <f>IFERROR(__xludf.DUMMYFUNCTION("""COMPUTED_VALUE"""),49.7216572101488)</f>
        <v>49.72165721</v>
      </c>
      <c r="P991" s="35">
        <f>IFERROR(__xludf.DUMMYFUNCTION("""COMPUTED_VALUE"""),46445.0)</f>
        <v>46445</v>
      </c>
      <c r="Q991" s="35">
        <f>IFERROR(__xludf.DUMMYFUNCTION("""COMPUTED_VALUE"""),93410.0)</f>
        <v>93410</v>
      </c>
    </row>
    <row r="992">
      <c r="A992" s="35">
        <f>IFERROR(__xludf.DUMMYFUNCTION("""COMPUTED_VALUE"""),1033.0)</f>
        <v>1033</v>
      </c>
      <c r="B992" s="35" t="str">
        <f>IFERROR(__xludf.DUMMYFUNCTION("""COMPUTED_VALUE"""),"Broken Calculator")</f>
        <v>Broken Calculator</v>
      </c>
      <c r="C992" s="35" t="str">
        <f>IFERROR(__xludf.DUMMYFUNCTION("""COMPUTED_VALUE"""),"broken-calculator")</f>
        <v>broken-calculator</v>
      </c>
      <c r="D992" s="35" t="b">
        <f>IFERROR(__xludf.DUMMYFUNCTION("""COMPUTED_VALUE"""),FALSE)</f>
        <v>0</v>
      </c>
      <c r="E992" s="35" t="str">
        <f>IFERROR(__xludf.DUMMYFUNCTION("""COMPUTED_VALUE"""),"Medium")</f>
        <v>Medium</v>
      </c>
      <c r="F992" s="35">
        <f>IFERROR(__xludf.DUMMYFUNCTION("""COMPUTED_VALUE"""),1072.0)</f>
        <v>1072</v>
      </c>
      <c r="G992" s="35">
        <f>IFERROR(__xludf.DUMMYFUNCTION("""COMPUTED_VALUE"""),146.0)</f>
        <v>146</v>
      </c>
      <c r="H992" s="35" t="str">
        <f>IFERROR(__xludf.DUMMYFUNCTION("""COMPUTED_VALUE"""),"Algorithms")</f>
        <v>Algorithms</v>
      </c>
      <c r="I992" s="35">
        <f>IFERROR(__xludf.DUMMYFUNCTION("""COMPUTED_VALUE"""),0.501)</f>
        <v>0.501</v>
      </c>
      <c r="J992" s="35">
        <f>IFERROR(__xludf.DUMMYFUNCTION("""COMPUTED_VALUE"""),991.0)</f>
        <v>991</v>
      </c>
      <c r="K992" s="35" t="b">
        <f>IFERROR(__xludf.DUMMYFUNCTION("""COMPUTED_VALUE"""),FALSE)</f>
        <v>0</v>
      </c>
      <c r="L992" s="35" t="str">
        <f>IFERROR(__xludf.DUMMYFUNCTION("""COMPUTED_VALUE"""),"Math;Greedy;")</f>
        <v>Math;Greedy;</v>
      </c>
      <c r="M992" s="35" t="b">
        <f>IFERROR(__xludf.DUMMYFUNCTION("""COMPUTED_VALUE"""),TRUE)</f>
        <v>1</v>
      </c>
      <c r="N992" s="35" t="b">
        <f>IFERROR(__xludf.DUMMYFUNCTION("""COMPUTED_VALUE"""),FALSE)</f>
        <v>0</v>
      </c>
      <c r="O992" s="35">
        <f>IFERROR(__xludf.DUMMYFUNCTION("""COMPUTED_VALUE"""),50.0705768339443)</f>
        <v>50.07057683</v>
      </c>
      <c r="P992" s="35">
        <f>IFERROR(__xludf.DUMMYFUNCTION("""COMPUTED_VALUE"""),47533.0)</f>
        <v>47533</v>
      </c>
      <c r="Q992" s="35">
        <f>IFERROR(__xludf.DUMMYFUNCTION("""COMPUTED_VALUE"""),94932.0)</f>
        <v>94932</v>
      </c>
    </row>
    <row r="993">
      <c r="A993" s="35">
        <f>IFERROR(__xludf.DUMMYFUNCTION("""COMPUTED_VALUE"""),1034.0)</f>
        <v>1034</v>
      </c>
      <c r="B993" s="35" t="str">
        <f>IFERROR(__xludf.DUMMYFUNCTION("""COMPUTED_VALUE"""),"Subarrays with K Different Integers")</f>
        <v>Subarrays with K Different Integers</v>
      </c>
      <c r="C993" s="35" t="str">
        <f>IFERROR(__xludf.DUMMYFUNCTION("""COMPUTED_VALUE"""),"subarrays-with-k-different-integers")</f>
        <v>subarrays-with-k-different-integers</v>
      </c>
      <c r="D993" s="35" t="b">
        <f>IFERROR(__xludf.DUMMYFUNCTION("""COMPUTED_VALUE"""),FALSE)</f>
        <v>0</v>
      </c>
      <c r="E993" s="35" t="str">
        <f>IFERROR(__xludf.DUMMYFUNCTION("""COMPUTED_VALUE"""),"Hard")</f>
        <v>Hard</v>
      </c>
      <c r="F993" s="35">
        <f>IFERROR(__xludf.DUMMYFUNCTION("""COMPUTED_VALUE"""),2794.0)</f>
        <v>2794</v>
      </c>
      <c r="G993" s="35">
        <f>IFERROR(__xludf.DUMMYFUNCTION("""COMPUTED_VALUE"""),40.0)</f>
        <v>40</v>
      </c>
      <c r="H993" s="35" t="str">
        <f>IFERROR(__xludf.DUMMYFUNCTION("""COMPUTED_VALUE"""),"Algorithms")</f>
        <v>Algorithms</v>
      </c>
      <c r="I993" s="35">
        <f>IFERROR(__xludf.DUMMYFUNCTION("""COMPUTED_VALUE"""),0.533)</f>
        <v>0.533</v>
      </c>
      <c r="J993" s="35">
        <f>IFERROR(__xludf.DUMMYFUNCTION("""COMPUTED_VALUE"""),992.0)</f>
        <v>992</v>
      </c>
      <c r="K993" s="35" t="b">
        <f>IFERROR(__xludf.DUMMYFUNCTION("""COMPUTED_VALUE"""),FALSE)</f>
        <v>0</v>
      </c>
      <c r="L993" s="35" t="str">
        <f>IFERROR(__xludf.DUMMYFUNCTION("""COMPUTED_VALUE"""),"Array;Hash Table;Sliding Window;Counting;")</f>
        <v>Array;Hash Table;Sliding Window;Counting;</v>
      </c>
      <c r="M993" s="35" t="b">
        <f>IFERROR(__xludf.DUMMYFUNCTION("""COMPUTED_VALUE"""),FALSE)</f>
        <v>0</v>
      </c>
      <c r="N993" s="35" t="b">
        <f>IFERROR(__xludf.DUMMYFUNCTION("""COMPUTED_VALUE"""),FALSE)</f>
        <v>0</v>
      </c>
      <c r="O993" s="35">
        <f>IFERROR(__xludf.DUMMYFUNCTION("""COMPUTED_VALUE"""),53.2631783762748)</f>
        <v>53.26317838</v>
      </c>
      <c r="P993" s="35">
        <f>IFERROR(__xludf.DUMMYFUNCTION("""COMPUTED_VALUE"""),65698.0)</f>
        <v>65698</v>
      </c>
      <c r="Q993" s="35">
        <f>IFERROR(__xludf.DUMMYFUNCTION("""COMPUTED_VALUE"""),123346.0)</f>
        <v>123346</v>
      </c>
    </row>
    <row r="994">
      <c r="A994" s="35">
        <f>IFERROR(__xludf.DUMMYFUNCTION("""COMPUTED_VALUE"""),1035.0)</f>
        <v>1035</v>
      </c>
      <c r="B994" s="35" t="str">
        <f>IFERROR(__xludf.DUMMYFUNCTION("""COMPUTED_VALUE"""),"Cousins in Binary Tree")</f>
        <v>Cousins in Binary Tree</v>
      </c>
      <c r="C994" s="35" t="str">
        <f>IFERROR(__xludf.DUMMYFUNCTION("""COMPUTED_VALUE"""),"cousins-in-binary-tree")</f>
        <v>cousins-in-binary-tree</v>
      </c>
      <c r="D994" s="35" t="b">
        <f>IFERROR(__xludf.DUMMYFUNCTION("""COMPUTED_VALUE"""),FALSE)</f>
        <v>0</v>
      </c>
      <c r="E994" s="35" t="str">
        <f>IFERROR(__xludf.DUMMYFUNCTION("""COMPUTED_VALUE"""),"Easy")</f>
        <v>Easy</v>
      </c>
      <c r="F994" s="35">
        <f>IFERROR(__xludf.DUMMYFUNCTION("""COMPUTED_VALUE"""),2605.0)</f>
        <v>2605</v>
      </c>
      <c r="G994" s="35">
        <f>IFERROR(__xludf.DUMMYFUNCTION("""COMPUTED_VALUE"""),136.0)</f>
        <v>136</v>
      </c>
      <c r="H994" s="35" t="str">
        <f>IFERROR(__xludf.DUMMYFUNCTION("""COMPUTED_VALUE"""),"Algorithms")</f>
        <v>Algorithms</v>
      </c>
      <c r="I994" s="35">
        <f>IFERROR(__xludf.DUMMYFUNCTION("""COMPUTED_VALUE"""),0.538)</f>
        <v>0.538</v>
      </c>
      <c r="J994" s="35">
        <f>IFERROR(__xludf.DUMMYFUNCTION("""COMPUTED_VALUE"""),993.0)</f>
        <v>993</v>
      </c>
      <c r="K994" s="35" t="b">
        <f>IFERROR(__xludf.DUMMYFUNCTION("""COMPUTED_VALUE"""),FALSE)</f>
        <v>0</v>
      </c>
      <c r="L994" s="35" t="str">
        <f>IFERROR(__xludf.DUMMYFUNCTION("""COMPUTED_VALUE"""),"Tree;Depth-First Search;Breadth-First Search;Binary Tree;")</f>
        <v>Tree;Depth-First Search;Breadth-First Search;Binary Tree;</v>
      </c>
      <c r="M994" s="35" t="b">
        <f>IFERROR(__xludf.DUMMYFUNCTION("""COMPUTED_VALUE"""),TRUE)</f>
        <v>1</v>
      </c>
      <c r="N994" s="35" t="b">
        <f>IFERROR(__xludf.DUMMYFUNCTION("""COMPUTED_VALUE"""),FALSE)</f>
        <v>0</v>
      </c>
      <c r="O994" s="35">
        <f>IFERROR(__xludf.DUMMYFUNCTION("""COMPUTED_VALUE"""),53.7609033017605)</f>
        <v>53.7609033</v>
      </c>
      <c r="P994" s="35">
        <f>IFERROR(__xludf.DUMMYFUNCTION("""COMPUTED_VALUE"""),200926.0)</f>
        <v>200926</v>
      </c>
      <c r="Q994" s="35">
        <f>IFERROR(__xludf.DUMMYFUNCTION("""COMPUTED_VALUE"""),373739.0)</f>
        <v>373739</v>
      </c>
    </row>
    <row r="995">
      <c r="A995" s="35">
        <f>IFERROR(__xludf.DUMMYFUNCTION("""COMPUTED_VALUE"""),1036.0)</f>
        <v>1036</v>
      </c>
      <c r="B995" s="35" t="str">
        <f>IFERROR(__xludf.DUMMYFUNCTION("""COMPUTED_VALUE"""),"Rotting Oranges")</f>
        <v>Rotting Oranges</v>
      </c>
      <c r="C995" s="35" t="str">
        <f>IFERROR(__xludf.DUMMYFUNCTION("""COMPUTED_VALUE"""),"rotting-oranges")</f>
        <v>rotting-oranges</v>
      </c>
      <c r="D995" s="35" t="b">
        <f>IFERROR(__xludf.DUMMYFUNCTION("""COMPUTED_VALUE"""),FALSE)</f>
        <v>0</v>
      </c>
      <c r="E995" s="35" t="str">
        <f>IFERROR(__xludf.DUMMYFUNCTION("""COMPUTED_VALUE"""),"Medium")</f>
        <v>Medium</v>
      </c>
      <c r="F995" s="35">
        <f>IFERROR(__xludf.DUMMYFUNCTION("""COMPUTED_VALUE"""),6079.0)</f>
        <v>6079</v>
      </c>
      <c r="G995" s="35">
        <f>IFERROR(__xludf.DUMMYFUNCTION("""COMPUTED_VALUE"""),265.0)</f>
        <v>265</v>
      </c>
      <c r="H995" s="35" t="str">
        <f>IFERROR(__xludf.DUMMYFUNCTION("""COMPUTED_VALUE"""),"Algorithms")</f>
        <v>Algorithms</v>
      </c>
      <c r="I995" s="35">
        <f>IFERROR(__xludf.DUMMYFUNCTION("""COMPUTED_VALUE"""),0.516)</f>
        <v>0.516</v>
      </c>
      <c r="J995" s="35">
        <f>IFERROR(__xludf.DUMMYFUNCTION("""COMPUTED_VALUE"""),994.0)</f>
        <v>994</v>
      </c>
      <c r="K995" s="35" t="b">
        <f>IFERROR(__xludf.DUMMYFUNCTION("""COMPUTED_VALUE"""),FALSE)</f>
        <v>0</v>
      </c>
      <c r="L995" s="35" t="str">
        <f>IFERROR(__xludf.DUMMYFUNCTION("""COMPUTED_VALUE"""),"Array;Breadth-First Search;Matrix;")</f>
        <v>Array;Breadth-First Search;Matrix;</v>
      </c>
      <c r="M995" s="35" t="b">
        <f>IFERROR(__xludf.DUMMYFUNCTION("""COMPUTED_VALUE"""),TRUE)</f>
        <v>1</v>
      </c>
      <c r="N995" s="35" t="b">
        <f>IFERROR(__xludf.DUMMYFUNCTION("""COMPUTED_VALUE"""),FALSE)</f>
        <v>0</v>
      </c>
      <c r="O995" s="35">
        <f>IFERROR(__xludf.DUMMYFUNCTION("""COMPUTED_VALUE"""),51.5705639948405)</f>
        <v>51.57056399</v>
      </c>
      <c r="P995" s="35">
        <f>IFERROR(__xludf.DUMMYFUNCTION("""COMPUTED_VALUE"""),353029.0)</f>
        <v>353029</v>
      </c>
      <c r="Q995" s="35">
        <f>IFERROR(__xludf.DUMMYFUNCTION("""COMPUTED_VALUE"""),684550.0)</f>
        <v>684550</v>
      </c>
    </row>
    <row r="996">
      <c r="A996" s="35">
        <f>IFERROR(__xludf.DUMMYFUNCTION("""COMPUTED_VALUE"""),1037.0)</f>
        <v>1037</v>
      </c>
      <c r="B996" s="35" t="str">
        <f>IFERROR(__xludf.DUMMYFUNCTION("""COMPUTED_VALUE"""),"Minimum Number of K Consecutive Bit Flips")</f>
        <v>Minimum Number of K Consecutive Bit Flips</v>
      </c>
      <c r="C996" s="35" t="str">
        <f>IFERROR(__xludf.DUMMYFUNCTION("""COMPUTED_VALUE"""),"minimum-number-of-k-consecutive-bit-flips")</f>
        <v>minimum-number-of-k-consecutive-bit-flips</v>
      </c>
      <c r="D996" s="35" t="b">
        <f>IFERROR(__xludf.DUMMYFUNCTION("""COMPUTED_VALUE"""),FALSE)</f>
        <v>0</v>
      </c>
      <c r="E996" s="35" t="str">
        <f>IFERROR(__xludf.DUMMYFUNCTION("""COMPUTED_VALUE"""),"Hard")</f>
        <v>Hard</v>
      </c>
      <c r="F996" s="35">
        <f>IFERROR(__xludf.DUMMYFUNCTION("""COMPUTED_VALUE"""),763.0)</f>
        <v>763</v>
      </c>
      <c r="G996" s="35">
        <f>IFERROR(__xludf.DUMMYFUNCTION("""COMPUTED_VALUE"""),48.0)</f>
        <v>48</v>
      </c>
      <c r="H996" s="35" t="str">
        <f>IFERROR(__xludf.DUMMYFUNCTION("""COMPUTED_VALUE"""),"Algorithms")</f>
        <v>Algorithms</v>
      </c>
      <c r="I996" s="35">
        <f>IFERROR(__xludf.DUMMYFUNCTION("""COMPUTED_VALUE"""),0.507)</f>
        <v>0.507</v>
      </c>
      <c r="J996" s="35">
        <f>IFERROR(__xludf.DUMMYFUNCTION("""COMPUTED_VALUE"""),995.0)</f>
        <v>995</v>
      </c>
      <c r="K996" s="35" t="b">
        <f>IFERROR(__xludf.DUMMYFUNCTION("""COMPUTED_VALUE"""),FALSE)</f>
        <v>0</v>
      </c>
      <c r="L996" s="35" t="str">
        <f>IFERROR(__xludf.DUMMYFUNCTION("""COMPUTED_VALUE"""),"Array;Bit Manipulation;Sliding Window;Prefix Sum;")</f>
        <v>Array;Bit Manipulation;Sliding Window;Prefix Sum;</v>
      </c>
      <c r="M996" s="35" t="b">
        <f>IFERROR(__xludf.DUMMYFUNCTION("""COMPUTED_VALUE"""),FALSE)</f>
        <v>0</v>
      </c>
      <c r="N996" s="35" t="b">
        <f>IFERROR(__xludf.DUMMYFUNCTION("""COMPUTED_VALUE"""),FALSE)</f>
        <v>0</v>
      </c>
      <c r="O996" s="35">
        <f>IFERROR(__xludf.DUMMYFUNCTION("""COMPUTED_VALUE"""),50.6548156663108)</f>
        <v>50.65481567</v>
      </c>
      <c r="P996" s="35">
        <f>IFERROR(__xludf.DUMMYFUNCTION("""COMPUTED_VALUE"""),24676.0)</f>
        <v>24676</v>
      </c>
      <c r="Q996" s="35">
        <f>IFERROR(__xludf.DUMMYFUNCTION("""COMPUTED_VALUE"""),48714.0)</f>
        <v>48714</v>
      </c>
    </row>
    <row r="997">
      <c r="A997" s="35">
        <f>IFERROR(__xludf.DUMMYFUNCTION("""COMPUTED_VALUE"""),1038.0)</f>
        <v>1038</v>
      </c>
      <c r="B997" s="35" t="str">
        <f>IFERROR(__xludf.DUMMYFUNCTION("""COMPUTED_VALUE"""),"Number of Squareful Arrays")</f>
        <v>Number of Squareful Arrays</v>
      </c>
      <c r="C997" s="35" t="str">
        <f>IFERROR(__xludf.DUMMYFUNCTION("""COMPUTED_VALUE"""),"number-of-squareful-arrays")</f>
        <v>number-of-squareful-arrays</v>
      </c>
      <c r="D997" s="35" t="b">
        <f>IFERROR(__xludf.DUMMYFUNCTION("""COMPUTED_VALUE"""),FALSE)</f>
        <v>0</v>
      </c>
      <c r="E997" s="35" t="str">
        <f>IFERROR(__xludf.DUMMYFUNCTION("""COMPUTED_VALUE"""),"Hard")</f>
        <v>Hard</v>
      </c>
      <c r="F997" s="35">
        <f>IFERROR(__xludf.DUMMYFUNCTION("""COMPUTED_VALUE"""),632.0)</f>
        <v>632</v>
      </c>
      <c r="G997" s="35">
        <f>IFERROR(__xludf.DUMMYFUNCTION("""COMPUTED_VALUE"""),26.0)</f>
        <v>26</v>
      </c>
      <c r="H997" s="35" t="str">
        <f>IFERROR(__xludf.DUMMYFUNCTION("""COMPUTED_VALUE"""),"Algorithms")</f>
        <v>Algorithms</v>
      </c>
      <c r="I997" s="35">
        <f>IFERROR(__xludf.DUMMYFUNCTION("""COMPUTED_VALUE"""),0.491)</f>
        <v>0.491</v>
      </c>
      <c r="J997" s="35">
        <f>IFERROR(__xludf.DUMMYFUNCTION("""COMPUTED_VALUE"""),996.0)</f>
        <v>996</v>
      </c>
      <c r="K997" s="35" t="b">
        <f>IFERROR(__xludf.DUMMYFUNCTION("""COMPUTED_VALUE"""),FALSE)</f>
        <v>0</v>
      </c>
      <c r="L997" s="35" t="str">
        <f>IFERROR(__xludf.DUMMYFUNCTION("""COMPUTED_VALUE"""),"Array;Math;Dynamic Programming;Backtracking;Bit Manipulation;Bitmask;")</f>
        <v>Array;Math;Dynamic Programming;Backtracking;Bit Manipulation;Bitmask;</v>
      </c>
      <c r="M997" s="35" t="b">
        <f>IFERROR(__xludf.DUMMYFUNCTION("""COMPUTED_VALUE"""),FALSE)</f>
        <v>0</v>
      </c>
      <c r="N997" s="35" t="b">
        <f>IFERROR(__xludf.DUMMYFUNCTION("""COMPUTED_VALUE"""),FALSE)</f>
        <v>0</v>
      </c>
      <c r="O997" s="35">
        <f>IFERROR(__xludf.DUMMYFUNCTION("""COMPUTED_VALUE"""),49.0831989488144)</f>
        <v>49.08319895</v>
      </c>
      <c r="P997" s="35">
        <f>IFERROR(__xludf.DUMMYFUNCTION("""COMPUTED_VALUE"""),24654.0)</f>
        <v>24654</v>
      </c>
      <c r="Q997" s="35">
        <f>IFERROR(__xludf.DUMMYFUNCTION("""COMPUTED_VALUE"""),50229.0)</f>
        <v>50229</v>
      </c>
    </row>
    <row r="998">
      <c r="A998" s="35">
        <f>IFERROR(__xludf.DUMMYFUNCTION("""COMPUTED_VALUE"""),1039.0)</f>
        <v>1039</v>
      </c>
      <c r="B998" s="35" t="str">
        <f>IFERROR(__xludf.DUMMYFUNCTION("""COMPUTED_VALUE"""),"Find the Town Judge")</f>
        <v>Find the Town Judge</v>
      </c>
      <c r="C998" s="35" t="str">
        <f>IFERROR(__xludf.DUMMYFUNCTION("""COMPUTED_VALUE"""),"find-the-town-judge")</f>
        <v>find-the-town-judge</v>
      </c>
      <c r="D998" s="35" t="b">
        <f>IFERROR(__xludf.DUMMYFUNCTION("""COMPUTED_VALUE"""),FALSE)</f>
        <v>0</v>
      </c>
      <c r="E998" s="35" t="str">
        <f>IFERROR(__xludf.DUMMYFUNCTION("""COMPUTED_VALUE"""),"Easy")</f>
        <v>Easy</v>
      </c>
      <c r="F998" s="35">
        <f>IFERROR(__xludf.DUMMYFUNCTION("""COMPUTED_VALUE"""),3191.0)</f>
        <v>3191</v>
      </c>
      <c r="G998" s="35">
        <f>IFERROR(__xludf.DUMMYFUNCTION("""COMPUTED_VALUE"""),241.0)</f>
        <v>241</v>
      </c>
      <c r="H998" s="35" t="str">
        <f>IFERROR(__xludf.DUMMYFUNCTION("""COMPUTED_VALUE"""),"Algorithms")</f>
        <v>Algorithms</v>
      </c>
      <c r="I998" s="35">
        <f>IFERROR(__xludf.DUMMYFUNCTION("""COMPUTED_VALUE"""),0.499)</f>
        <v>0.499</v>
      </c>
      <c r="J998" s="35">
        <f>IFERROR(__xludf.DUMMYFUNCTION("""COMPUTED_VALUE"""),997.0)</f>
        <v>997</v>
      </c>
      <c r="K998" s="35" t="b">
        <f>IFERROR(__xludf.DUMMYFUNCTION("""COMPUTED_VALUE"""),FALSE)</f>
        <v>0</v>
      </c>
      <c r="L998" s="35" t="str">
        <f>IFERROR(__xludf.DUMMYFUNCTION("""COMPUTED_VALUE"""),"Array;Hash Table;Graph;")</f>
        <v>Array;Hash Table;Graph;</v>
      </c>
      <c r="M998" s="35" t="b">
        <f>IFERROR(__xludf.DUMMYFUNCTION("""COMPUTED_VALUE"""),TRUE)</f>
        <v>1</v>
      </c>
      <c r="N998" s="35" t="b">
        <f>IFERROR(__xludf.DUMMYFUNCTION("""COMPUTED_VALUE"""),FALSE)</f>
        <v>0</v>
      </c>
      <c r="O998" s="35">
        <f>IFERROR(__xludf.DUMMYFUNCTION("""COMPUTED_VALUE"""),49.9297627159939)</f>
        <v>49.92976272</v>
      </c>
      <c r="P998" s="35">
        <f>IFERROR(__xludf.DUMMYFUNCTION("""COMPUTED_VALUE"""),262311.0)</f>
        <v>262311</v>
      </c>
      <c r="Q998" s="35">
        <f>IFERROR(__xludf.DUMMYFUNCTION("""COMPUTED_VALUE"""),525360.0)</f>
        <v>525360</v>
      </c>
    </row>
    <row r="999">
      <c r="A999" s="35">
        <f>IFERROR(__xludf.DUMMYFUNCTION("""COMPUTED_VALUE"""),1040.0)</f>
        <v>1040</v>
      </c>
      <c r="B999" s="35" t="str">
        <f>IFERROR(__xludf.DUMMYFUNCTION("""COMPUTED_VALUE"""),"Maximum Binary Tree II")</f>
        <v>Maximum Binary Tree II</v>
      </c>
      <c r="C999" s="35" t="str">
        <f>IFERROR(__xludf.DUMMYFUNCTION("""COMPUTED_VALUE"""),"maximum-binary-tree-ii")</f>
        <v>maximum-binary-tree-ii</v>
      </c>
      <c r="D999" s="35" t="b">
        <f>IFERROR(__xludf.DUMMYFUNCTION("""COMPUTED_VALUE"""),FALSE)</f>
        <v>0</v>
      </c>
      <c r="E999" s="35" t="str">
        <f>IFERROR(__xludf.DUMMYFUNCTION("""COMPUTED_VALUE"""),"Medium")</f>
        <v>Medium</v>
      </c>
      <c r="F999" s="35">
        <f>IFERROR(__xludf.DUMMYFUNCTION("""COMPUTED_VALUE"""),340.0)</f>
        <v>340</v>
      </c>
      <c r="G999" s="35">
        <f>IFERROR(__xludf.DUMMYFUNCTION("""COMPUTED_VALUE"""),635.0)</f>
        <v>635</v>
      </c>
      <c r="H999" s="35" t="str">
        <f>IFERROR(__xludf.DUMMYFUNCTION("""COMPUTED_VALUE"""),"Algorithms")</f>
        <v>Algorithms</v>
      </c>
      <c r="I999" s="35">
        <f>IFERROR(__xludf.DUMMYFUNCTION("""COMPUTED_VALUE"""),0.654)</f>
        <v>0.654</v>
      </c>
      <c r="J999" s="35">
        <f>IFERROR(__xludf.DUMMYFUNCTION("""COMPUTED_VALUE"""),998.0)</f>
        <v>998</v>
      </c>
      <c r="K999" s="35" t="b">
        <f>IFERROR(__xludf.DUMMYFUNCTION("""COMPUTED_VALUE"""),FALSE)</f>
        <v>0</v>
      </c>
      <c r="L999" s="35" t="str">
        <f>IFERROR(__xludf.DUMMYFUNCTION("""COMPUTED_VALUE"""),"Tree;Binary Tree;")</f>
        <v>Tree;Binary Tree;</v>
      </c>
      <c r="M999" s="35" t="b">
        <f>IFERROR(__xludf.DUMMYFUNCTION("""COMPUTED_VALUE"""),FALSE)</f>
        <v>0</v>
      </c>
      <c r="N999" s="35" t="b">
        <f>IFERROR(__xludf.DUMMYFUNCTION("""COMPUTED_VALUE"""),FALSE)</f>
        <v>0</v>
      </c>
      <c r="O999" s="35">
        <f>IFERROR(__xludf.DUMMYFUNCTION("""COMPUTED_VALUE"""),65.4262740024858)</f>
        <v>65.426274</v>
      </c>
      <c r="P999" s="35">
        <f>IFERROR(__xludf.DUMMYFUNCTION("""COMPUTED_VALUE"""),25793.0)</f>
        <v>25793</v>
      </c>
      <c r="Q999" s="35">
        <f>IFERROR(__xludf.DUMMYFUNCTION("""COMPUTED_VALUE"""),39423.0)</f>
        <v>39423</v>
      </c>
    </row>
    <row r="1000">
      <c r="A1000" s="35">
        <f>IFERROR(__xludf.DUMMYFUNCTION("""COMPUTED_VALUE"""),1041.0)</f>
        <v>1041</v>
      </c>
      <c r="B1000" s="35" t="str">
        <f>IFERROR(__xludf.DUMMYFUNCTION("""COMPUTED_VALUE"""),"Available Captures for Rook")</f>
        <v>Available Captures for Rook</v>
      </c>
      <c r="C1000" s="35" t="str">
        <f>IFERROR(__xludf.DUMMYFUNCTION("""COMPUTED_VALUE"""),"available-captures-for-rook")</f>
        <v>available-captures-for-rook</v>
      </c>
      <c r="D1000" s="35" t="b">
        <f>IFERROR(__xludf.DUMMYFUNCTION("""COMPUTED_VALUE"""),FALSE)</f>
        <v>0</v>
      </c>
      <c r="E1000" s="35" t="str">
        <f>IFERROR(__xludf.DUMMYFUNCTION("""COMPUTED_VALUE"""),"Easy")</f>
        <v>Easy</v>
      </c>
      <c r="F1000" s="35">
        <f>IFERROR(__xludf.DUMMYFUNCTION("""COMPUTED_VALUE"""),432.0)</f>
        <v>432</v>
      </c>
      <c r="G1000" s="35">
        <f>IFERROR(__xludf.DUMMYFUNCTION("""COMPUTED_VALUE"""),557.0)</f>
        <v>557</v>
      </c>
      <c r="H1000" s="35" t="str">
        <f>IFERROR(__xludf.DUMMYFUNCTION("""COMPUTED_VALUE"""),"Algorithms")</f>
        <v>Algorithms</v>
      </c>
      <c r="I1000" s="35">
        <f>IFERROR(__xludf.DUMMYFUNCTION("""COMPUTED_VALUE"""),0.679)</f>
        <v>0.679</v>
      </c>
      <c r="J1000" s="35">
        <f>IFERROR(__xludf.DUMMYFUNCTION("""COMPUTED_VALUE"""),999.0)</f>
        <v>999</v>
      </c>
      <c r="K1000" s="35" t="b">
        <f>IFERROR(__xludf.DUMMYFUNCTION("""COMPUTED_VALUE"""),FALSE)</f>
        <v>0</v>
      </c>
      <c r="L1000" s="35" t="str">
        <f>IFERROR(__xludf.DUMMYFUNCTION("""COMPUTED_VALUE"""),"Array;Matrix;Simulation;")</f>
        <v>Array;Matrix;Simulation;</v>
      </c>
      <c r="M1000" s="35" t="b">
        <f>IFERROR(__xludf.DUMMYFUNCTION("""COMPUTED_VALUE"""),FALSE)</f>
        <v>0</v>
      </c>
      <c r="N1000" s="35" t="b">
        <f>IFERROR(__xludf.DUMMYFUNCTION("""COMPUTED_VALUE"""),FALSE)</f>
        <v>0</v>
      </c>
      <c r="O1000" s="35">
        <f>IFERROR(__xludf.DUMMYFUNCTION("""COMPUTED_VALUE"""),67.8505245851388)</f>
        <v>67.85052459</v>
      </c>
      <c r="P1000" s="35">
        <f>IFERROR(__xludf.DUMMYFUNCTION("""COMPUTED_VALUE"""),48697.0)</f>
        <v>48697</v>
      </c>
      <c r="Q1000" s="35">
        <f>IFERROR(__xludf.DUMMYFUNCTION("""COMPUTED_VALUE"""),71771.0)</f>
        <v>71771</v>
      </c>
    </row>
    <row r="1001">
      <c r="A1001" s="35">
        <f>IFERROR(__xludf.DUMMYFUNCTION("""COMPUTED_VALUE"""),1042.0)</f>
        <v>1042</v>
      </c>
      <c r="B1001" s="35" t="str">
        <f>IFERROR(__xludf.DUMMYFUNCTION("""COMPUTED_VALUE"""),"Minimum Cost to Merge Stones")</f>
        <v>Minimum Cost to Merge Stones</v>
      </c>
      <c r="C1001" s="35" t="str">
        <f>IFERROR(__xludf.DUMMYFUNCTION("""COMPUTED_VALUE"""),"minimum-cost-to-merge-stones")</f>
        <v>minimum-cost-to-merge-stones</v>
      </c>
      <c r="D1001" s="35" t="b">
        <f>IFERROR(__xludf.DUMMYFUNCTION("""COMPUTED_VALUE"""),FALSE)</f>
        <v>0</v>
      </c>
      <c r="E1001" s="35" t="str">
        <f>IFERROR(__xludf.DUMMYFUNCTION("""COMPUTED_VALUE"""),"Hard")</f>
        <v>Hard</v>
      </c>
      <c r="F1001" s="35">
        <f>IFERROR(__xludf.DUMMYFUNCTION("""COMPUTED_VALUE"""),1471.0)</f>
        <v>1471</v>
      </c>
      <c r="G1001" s="35">
        <f>IFERROR(__xludf.DUMMYFUNCTION("""COMPUTED_VALUE"""),77.0)</f>
        <v>77</v>
      </c>
      <c r="H1001" s="35" t="str">
        <f>IFERROR(__xludf.DUMMYFUNCTION("""COMPUTED_VALUE"""),"Algorithms")</f>
        <v>Algorithms</v>
      </c>
      <c r="I1001" s="35">
        <f>IFERROR(__xludf.DUMMYFUNCTION("""COMPUTED_VALUE"""),0.42)</f>
        <v>0.42</v>
      </c>
      <c r="J1001" s="35">
        <f>IFERROR(__xludf.DUMMYFUNCTION("""COMPUTED_VALUE"""),1000.0)</f>
        <v>1000</v>
      </c>
      <c r="K1001" s="35" t="b">
        <f>IFERROR(__xludf.DUMMYFUNCTION("""COMPUTED_VALUE"""),FALSE)</f>
        <v>0</v>
      </c>
      <c r="L1001" s="35" t="str">
        <f>IFERROR(__xludf.DUMMYFUNCTION("""COMPUTED_VALUE"""),"Array;Dynamic Programming;")</f>
        <v>Array;Dynamic Programming;</v>
      </c>
      <c r="M1001" s="35" t="b">
        <f>IFERROR(__xludf.DUMMYFUNCTION("""COMPUTED_VALUE"""),FALSE)</f>
        <v>0</v>
      </c>
      <c r="N1001" s="35" t="b">
        <f>IFERROR(__xludf.DUMMYFUNCTION("""COMPUTED_VALUE"""),FALSE)</f>
        <v>0</v>
      </c>
      <c r="O1001" s="35">
        <f>IFERROR(__xludf.DUMMYFUNCTION("""COMPUTED_VALUE"""),42.0072718154463)</f>
        <v>42.00727182</v>
      </c>
      <c r="P1001" s="35">
        <f>IFERROR(__xludf.DUMMYFUNCTION("""COMPUTED_VALUE"""),26803.0)</f>
        <v>26803</v>
      </c>
      <c r="Q1001" s="35">
        <f>IFERROR(__xludf.DUMMYFUNCTION("""COMPUTED_VALUE"""),63806.0)</f>
        <v>63806</v>
      </c>
    </row>
    <row r="1002">
      <c r="A1002" s="35">
        <f>IFERROR(__xludf.DUMMYFUNCTION("""COMPUTED_VALUE"""),1043.0)</f>
        <v>1043</v>
      </c>
      <c r="B1002" s="35" t="str">
        <f>IFERROR(__xludf.DUMMYFUNCTION("""COMPUTED_VALUE"""),"Grid Illumination")</f>
        <v>Grid Illumination</v>
      </c>
      <c r="C1002" s="35" t="str">
        <f>IFERROR(__xludf.DUMMYFUNCTION("""COMPUTED_VALUE"""),"grid-illumination")</f>
        <v>grid-illumination</v>
      </c>
      <c r="D1002" s="35" t="b">
        <f>IFERROR(__xludf.DUMMYFUNCTION("""COMPUTED_VALUE"""),FALSE)</f>
        <v>0</v>
      </c>
      <c r="E1002" s="35" t="str">
        <f>IFERROR(__xludf.DUMMYFUNCTION("""COMPUTED_VALUE"""),"Hard")</f>
        <v>Hard</v>
      </c>
      <c r="F1002" s="35">
        <f>IFERROR(__xludf.DUMMYFUNCTION("""COMPUTED_VALUE"""),384.0)</f>
        <v>384</v>
      </c>
      <c r="G1002" s="35">
        <f>IFERROR(__xludf.DUMMYFUNCTION("""COMPUTED_VALUE"""),102.0)</f>
        <v>102</v>
      </c>
      <c r="H1002" s="35" t="str">
        <f>IFERROR(__xludf.DUMMYFUNCTION("""COMPUTED_VALUE"""),"Algorithms")</f>
        <v>Algorithms</v>
      </c>
      <c r="I1002" s="35">
        <f>IFERROR(__xludf.DUMMYFUNCTION("""COMPUTED_VALUE"""),0.361)</f>
        <v>0.361</v>
      </c>
      <c r="J1002" s="35">
        <f>IFERROR(__xludf.DUMMYFUNCTION("""COMPUTED_VALUE"""),1001.0)</f>
        <v>1001</v>
      </c>
      <c r="K1002" s="35" t="b">
        <f>IFERROR(__xludf.DUMMYFUNCTION("""COMPUTED_VALUE"""),FALSE)</f>
        <v>0</v>
      </c>
      <c r="L1002" s="35" t="str">
        <f>IFERROR(__xludf.DUMMYFUNCTION("""COMPUTED_VALUE"""),"Array;Hash Table;")</f>
        <v>Array;Hash Table;</v>
      </c>
      <c r="M1002" s="35" t="b">
        <f>IFERROR(__xludf.DUMMYFUNCTION("""COMPUTED_VALUE"""),FALSE)</f>
        <v>0</v>
      </c>
      <c r="N1002" s="35" t="b">
        <f>IFERROR(__xludf.DUMMYFUNCTION("""COMPUTED_VALUE"""),FALSE)</f>
        <v>0</v>
      </c>
      <c r="O1002" s="35">
        <f>IFERROR(__xludf.DUMMYFUNCTION("""COMPUTED_VALUE"""),36.1392575872813)</f>
        <v>36.13925759</v>
      </c>
      <c r="P1002" s="35">
        <f>IFERROR(__xludf.DUMMYFUNCTION("""COMPUTED_VALUE"""),14730.0)</f>
        <v>14730</v>
      </c>
      <c r="Q1002" s="35">
        <f>IFERROR(__xludf.DUMMYFUNCTION("""COMPUTED_VALUE"""),40759.0)</f>
        <v>40759</v>
      </c>
    </row>
    <row r="1003">
      <c r="A1003" s="35">
        <f>IFERROR(__xludf.DUMMYFUNCTION("""COMPUTED_VALUE"""),1044.0)</f>
        <v>1044</v>
      </c>
      <c r="B1003" s="35" t="str">
        <f>IFERROR(__xludf.DUMMYFUNCTION("""COMPUTED_VALUE"""),"Find Common Characters")</f>
        <v>Find Common Characters</v>
      </c>
      <c r="C1003" s="35" t="str">
        <f>IFERROR(__xludf.DUMMYFUNCTION("""COMPUTED_VALUE"""),"find-common-characters")</f>
        <v>find-common-characters</v>
      </c>
      <c r="D1003" s="35" t="b">
        <f>IFERROR(__xludf.DUMMYFUNCTION("""COMPUTED_VALUE"""),FALSE)</f>
        <v>0</v>
      </c>
      <c r="E1003" s="35" t="str">
        <f>IFERROR(__xludf.DUMMYFUNCTION("""COMPUTED_VALUE"""),"Easy")</f>
        <v>Easy</v>
      </c>
      <c r="F1003" s="35">
        <f>IFERROR(__xludf.DUMMYFUNCTION("""COMPUTED_VALUE"""),2181.0)</f>
        <v>2181</v>
      </c>
      <c r="G1003" s="35">
        <f>IFERROR(__xludf.DUMMYFUNCTION("""COMPUTED_VALUE"""),180.0)</f>
        <v>180</v>
      </c>
      <c r="H1003" s="35" t="str">
        <f>IFERROR(__xludf.DUMMYFUNCTION("""COMPUTED_VALUE"""),"Algorithms")</f>
        <v>Algorithms</v>
      </c>
      <c r="I1003" s="35">
        <f>IFERROR(__xludf.DUMMYFUNCTION("""COMPUTED_VALUE"""),0.684)</f>
        <v>0.684</v>
      </c>
      <c r="J1003" s="35">
        <f>IFERROR(__xludf.DUMMYFUNCTION("""COMPUTED_VALUE"""),1002.0)</f>
        <v>1002</v>
      </c>
      <c r="K1003" s="35" t="b">
        <f>IFERROR(__xludf.DUMMYFUNCTION("""COMPUTED_VALUE"""),FALSE)</f>
        <v>0</v>
      </c>
      <c r="L1003" s="35" t="str">
        <f>IFERROR(__xludf.DUMMYFUNCTION("""COMPUTED_VALUE"""),"Array;Hash Table;String;")</f>
        <v>Array;Hash Table;String;</v>
      </c>
      <c r="M1003" s="35" t="b">
        <f>IFERROR(__xludf.DUMMYFUNCTION("""COMPUTED_VALUE"""),FALSE)</f>
        <v>0</v>
      </c>
      <c r="N1003" s="35" t="b">
        <f>IFERROR(__xludf.DUMMYFUNCTION("""COMPUTED_VALUE"""),FALSE)</f>
        <v>0</v>
      </c>
      <c r="O1003" s="35">
        <f>IFERROR(__xludf.DUMMYFUNCTION("""COMPUTED_VALUE"""),68.3850654502181)</f>
        <v>68.38506545</v>
      </c>
      <c r="P1003" s="35">
        <f>IFERROR(__xludf.DUMMYFUNCTION("""COMPUTED_VALUE"""),137919.0)</f>
        <v>137919</v>
      </c>
      <c r="Q1003" s="35">
        <f>IFERROR(__xludf.DUMMYFUNCTION("""COMPUTED_VALUE"""),201680.0)</f>
        <v>201680</v>
      </c>
    </row>
    <row r="1004">
      <c r="A1004" s="35">
        <f>IFERROR(__xludf.DUMMYFUNCTION("""COMPUTED_VALUE"""),1045.0)</f>
        <v>1045</v>
      </c>
      <c r="B1004" s="35" t="str">
        <f>IFERROR(__xludf.DUMMYFUNCTION("""COMPUTED_VALUE"""),"Check If Word Is Valid After Substitutions")</f>
        <v>Check If Word Is Valid After Substitutions</v>
      </c>
      <c r="C1004" s="35" t="str">
        <f>IFERROR(__xludf.DUMMYFUNCTION("""COMPUTED_VALUE"""),"check-if-word-is-valid-after-substitutions")</f>
        <v>check-if-word-is-valid-after-substitutions</v>
      </c>
      <c r="D1004" s="35" t="b">
        <f>IFERROR(__xludf.DUMMYFUNCTION("""COMPUTED_VALUE"""),FALSE)</f>
        <v>0</v>
      </c>
      <c r="E1004" s="35" t="str">
        <f>IFERROR(__xludf.DUMMYFUNCTION("""COMPUTED_VALUE"""),"Medium")</f>
        <v>Medium</v>
      </c>
      <c r="F1004" s="35">
        <f>IFERROR(__xludf.DUMMYFUNCTION("""COMPUTED_VALUE"""),553.0)</f>
        <v>553</v>
      </c>
      <c r="G1004" s="35">
        <f>IFERROR(__xludf.DUMMYFUNCTION("""COMPUTED_VALUE"""),430.0)</f>
        <v>430</v>
      </c>
      <c r="H1004" s="35" t="str">
        <f>IFERROR(__xludf.DUMMYFUNCTION("""COMPUTED_VALUE"""),"Algorithms")</f>
        <v>Algorithms</v>
      </c>
      <c r="I1004" s="35">
        <f>IFERROR(__xludf.DUMMYFUNCTION("""COMPUTED_VALUE"""),0.577)</f>
        <v>0.577</v>
      </c>
      <c r="J1004" s="35">
        <f>IFERROR(__xludf.DUMMYFUNCTION("""COMPUTED_VALUE"""),1003.0)</f>
        <v>1003</v>
      </c>
      <c r="K1004" s="35" t="b">
        <f>IFERROR(__xludf.DUMMYFUNCTION("""COMPUTED_VALUE"""),FALSE)</f>
        <v>0</v>
      </c>
      <c r="L1004" s="35" t="str">
        <f>IFERROR(__xludf.DUMMYFUNCTION("""COMPUTED_VALUE"""),"String;Stack;")</f>
        <v>String;Stack;</v>
      </c>
      <c r="M1004" s="35" t="b">
        <f>IFERROR(__xludf.DUMMYFUNCTION("""COMPUTED_VALUE"""),FALSE)</f>
        <v>0</v>
      </c>
      <c r="N1004" s="35" t="b">
        <f>IFERROR(__xludf.DUMMYFUNCTION("""COMPUTED_VALUE"""),FALSE)</f>
        <v>0</v>
      </c>
      <c r="O1004" s="35">
        <f>IFERROR(__xludf.DUMMYFUNCTION("""COMPUTED_VALUE"""),57.6785792333804)</f>
        <v>57.67857923</v>
      </c>
      <c r="P1004" s="35">
        <f>IFERROR(__xludf.DUMMYFUNCTION("""COMPUTED_VALUE"""),39589.0)</f>
        <v>39589</v>
      </c>
      <c r="Q1004" s="35">
        <f>IFERROR(__xludf.DUMMYFUNCTION("""COMPUTED_VALUE"""),68634.0)</f>
        <v>68634</v>
      </c>
    </row>
    <row r="1005">
      <c r="A1005" s="35">
        <f>IFERROR(__xludf.DUMMYFUNCTION("""COMPUTED_VALUE"""),1046.0)</f>
        <v>1046</v>
      </c>
      <c r="B1005" s="35" t="str">
        <f>IFERROR(__xludf.DUMMYFUNCTION("""COMPUTED_VALUE"""),"Max Consecutive Ones III")</f>
        <v>Max Consecutive Ones III</v>
      </c>
      <c r="C1005" s="35" t="str">
        <f>IFERROR(__xludf.DUMMYFUNCTION("""COMPUTED_VALUE"""),"max-consecutive-ones-iii")</f>
        <v>max-consecutive-ones-iii</v>
      </c>
      <c r="D1005" s="35" t="b">
        <f>IFERROR(__xludf.DUMMYFUNCTION("""COMPUTED_VALUE"""),FALSE)</f>
        <v>0</v>
      </c>
      <c r="E1005" s="35" t="str">
        <f>IFERROR(__xludf.DUMMYFUNCTION("""COMPUTED_VALUE"""),"Medium")</f>
        <v>Medium</v>
      </c>
      <c r="F1005" s="35">
        <f>IFERROR(__xludf.DUMMYFUNCTION("""COMPUTED_VALUE"""),4042.0)</f>
        <v>4042</v>
      </c>
      <c r="G1005" s="35">
        <f>IFERROR(__xludf.DUMMYFUNCTION("""COMPUTED_VALUE"""),55.0)</f>
        <v>55</v>
      </c>
      <c r="H1005" s="35" t="str">
        <f>IFERROR(__xludf.DUMMYFUNCTION("""COMPUTED_VALUE"""),"Algorithms")</f>
        <v>Algorithms</v>
      </c>
      <c r="I1005" s="35">
        <f>IFERROR(__xludf.DUMMYFUNCTION("""COMPUTED_VALUE"""),0.627)</f>
        <v>0.627</v>
      </c>
      <c r="J1005" s="35">
        <f>IFERROR(__xludf.DUMMYFUNCTION("""COMPUTED_VALUE"""),1004.0)</f>
        <v>1004</v>
      </c>
      <c r="K1005" s="35" t="b">
        <f>IFERROR(__xludf.DUMMYFUNCTION("""COMPUTED_VALUE"""),FALSE)</f>
        <v>0</v>
      </c>
      <c r="L1005" s="35" t="str">
        <f>IFERROR(__xludf.DUMMYFUNCTION("""COMPUTED_VALUE"""),"Array;Binary Search;Sliding Window;Prefix Sum;")</f>
        <v>Array;Binary Search;Sliding Window;Prefix Sum;</v>
      </c>
      <c r="M1005" s="35" t="b">
        <f>IFERROR(__xludf.DUMMYFUNCTION("""COMPUTED_VALUE"""),TRUE)</f>
        <v>1</v>
      </c>
      <c r="N1005" s="35" t="b">
        <f>IFERROR(__xludf.DUMMYFUNCTION("""COMPUTED_VALUE"""),FALSE)</f>
        <v>0</v>
      </c>
      <c r="O1005" s="35">
        <f>IFERROR(__xludf.DUMMYFUNCTION("""COMPUTED_VALUE"""),62.6534759567947)</f>
        <v>62.65347596</v>
      </c>
      <c r="P1005" s="35">
        <f>IFERROR(__xludf.DUMMYFUNCTION("""COMPUTED_VALUE"""),191761.0)</f>
        <v>191761</v>
      </c>
      <c r="Q1005" s="35">
        <f>IFERROR(__xludf.DUMMYFUNCTION("""COMPUTED_VALUE"""),306068.0)</f>
        <v>306068</v>
      </c>
    </row>
    <row r="1006">
      <c r="A1006" s="35">
        <f>IFERROR(__xludf.DUMMYFUNCTION("""COMPUTED_VALUE"""),1047.0)</f>
        <v>1047</v>
      </c>
      <c r="B1006" s="35" t="str">
        <f>IFERROR(__xludf.DUMMYFUNCTION("""COMPUTED_VALUE"""),"Maximize Sum Of Array After K Negations")</f>
        <v>Maximize Sum Of Array After K Negations</v>
      </c>
      <c r="C1006" s="35" t="str">
        <f>IFERROR(__xludf.DUMMYFUNCTION("""COMPUTED_VALUE"""),"maximize-sum-of-array-after-k-negations")</f>
        <v>maximize-sum-of-array-after-k-negations</v>
      </c>
      <c r="D1006" s="35" t="b">
        <f>IFERROR(__xludf.DUMMYFUNCTION("""COMPUTED_VALUE"""),FALSE)</f>
        <v>0</v>
      </c>
      <c r="E1006" s="35" t="str">
        <f>IFERROR(__xludf.DUMMYFUNCTION("""COMPUTED_VALUE"""),"Easy")</f>
        <v>Easy</v>
      </c>
      <c r="F1006" s="35">
        <f>IFERROR(__xludf.DUMMYFUNCTION("""COMPUTED_VALUE"""),910.0)</f>
        <v>910</v>
      </c>
      <c r="G1006" s="35">
        <f>IFERROR(__xludf.DUMMYFUNCTION("""COMPUTED_VALUE"""),75.0)</f>
        <v>75</v>
      </c>
      <c r="H1006" s="35" t="str">
        <f>IFERROR(__xludf.DUMMYFUNCTION("""COMPUTED_VALUE"""),"Algorithms")</f>
        <v>Algorithms</v>
      </c>
      <c r="I1006" s="35">
        <f>IFERROR(__xludf.DUMMYFUNCTION("""COMPUTED_VALUE"""),0.515)</f>
        <v>0.515</v>
      </c>
      <c r="J1006" s="35">
        <f>IFERROR(__xludf.DUMMYFUNCTION("""COMPUTED_VALUE"""),1005.0)</f>
        <v>1005</v>
      </c>
      <c r="K1006" s="35" t="b">
        <f>IFERROR(__xludf.DUMMYFUNCTION("""COMPUTED_VALUE"""),FALSE)</f>
        <v>0</v>
      </c>
      <c r="L1006" s="35" t="str">
        <f>IFERROR(__xludf.DUMMYFUNCTION("""COMPUTED_VALUE"""),"Array;Greedy;Sorting;")</f>
        <v>Array;Greedy;Sorting;</v>
      </c>
      <c r="M1006" s="35" t="b">
        <f>IFERROR(__xludf.DUMMYFUNCTION("""COMPUTED_VALUE"""),FALSE)</f>
        <v>0</v>
      </c>
      <c r="N1006" s="35" t="b">
        <f>IFERROR(__xludf.DUMMYFUNCTION("""COMPUTED_VALUE"""),FALSE)</f>
        <v>0</v>
      </c>
      <c r="O1006" s="35">
        <f>IFERROR(__xludf.DUMMYFUNCTION("""COMPUTED_VALUE"""),51.524775738991)</f>
        <v>51.52477574</v>
      </c>
      <c r="P1006" s="35">
        <f>IFERROR(__xludf.DUMMYFUNCTION("""COMPUTED_VALUE"""),51752.0)</f>
        <v>51752</v>
      </c>
      <c r="Q1006" s="35">
        <f>IFERROR(__xludf.DUMMYFUNCTION("""COMPUTED_VALUE"""),100441.0)</f>
        <v>100441</v>
      </c>
    </row>
    <row r="1007">
      <c r="A1007" s="35">
        <f>IFERROR(__xludf.DUMMYFUNCTION("""COMPUTED_VALUE"""),1048.0)</f>
        <v>1048</v>
      </c>
      <c r="B1007" s="35" t="str">
        <f>IFERROR(__xludf.DUMMYFUNCTION("""COMPUTED_VALUE"""),"Clumsy Factorial")</f>
        <v>Clumsy Factorial</v>
      </c>
      <c r="C1007" s="35" t="str">
        <f>IFERROR(__xludf.DUMMYFUNCTION("""COMPUTED_VALUE"""),"clumsy-factorial")</f>
        <v>clumsy-factorial</v>
      </c>
      <c r="D1007" s="35" t="b">
        <f>IFERROR(__xludf.DUMMYFUNCTION("""COMPUTED_VALUE"""),FALSE)</f>
        <v>0</v>
      </c>
      <c r="E1007" s="35" t="str">
        <f>IFERROR(__xludf.DUMMYFUNCTION("""COMPUTED_VALUE"""),"Medium")</f>
        <v>Medium</v>
      </c>
      <c r="F1007" s="35">
        <f>IFERROR(__xludf.DUMMYFUNCTION("""COMPUTED_VALUE"""),178.0)</f>
        <v>178</v>
      </c>
      <c r="G1007" s="35">
        <f>IFERROR(__xludf.DUMMYFUNCTION("""COMPUTED_VALUE"""),222.0)</f>
        <v>222</v>
      </c>
      <c r="H1007" s="35" t="str">
        <f>IFERROR(__xludf.DUMMYFUNCTION("""COMPUTED_VALUE"""),"Algorithms")</f>
        <v>Algorithms</v>
      </c>
      <c r="I1007" s="35">
        <f>IFERROR(__xludf.DUMMYFUNCTION("""COMPUTED_VALUE"""),0.545)</f>
        <v>0.545</v>
      </c>
      <c r="J1007" s="35">
        <f>IFERROR(__xludf.DUMMYFUNCTION("""COMPUTED_VALUE"""),1006.0)</f>
        <v>1006</v>
      </c>
      <c r="K1007" s="35" t="b">
        <f>IFERROR(__xludf.DUMMYFUNCTION("""COMPUTED_VALUE"""),FALSE)</f>
        <v>0</v>
      </c>
      <c r="L1007" s="35" t="str">
        <f>IFERROR(__xludf.DUMMYFUNCTION("""COMPUTED_VALUE"""),"Math;Stack;Simulation;")</f>
        <v>Math;Stack;Simulation;</v>
      </c>
      <c r="M1007" s="35" t="b">
        <f>IFERROR(__xludf.DUMMYFUNCTION("""COMPUTED_VALUE"""),FALSE)</f>
        <v>0</v>
      </c>
      <c r="N1007" s="35" t="b">
        <f>IFERROR(__xludf.DUMMYFUNCTION("""COMPUTED_VALUE"""),FALSE)</f>
        <v>0</v>
      </c>
      <c r="O1007" s="35">
        <f>IFERROR(__xludf.DUMMYFUNCTION("""COMPUTED_VALUE"""),54.5375438596491)</f>
        <v>54.53754386</v>
      </c>
      <c r="P1007" s="35">
        <f>IFERROR(__xludf.DUMMYFUNCTION("""COMPUTED_VALUE"""),19429.0)</f>
        <v>19429</v>
      </c>
      <c r="Q1007" s="35">
        <f>IFERROR(__xludf.DUMMYFUNCTION("""COMPUTED_VALUE"""),35625.0)</f>
        <v>35625</v>
      </c>
    </row>
    <row r="1008">
      <c r="A1008" s="35">
        <f>IFERROR(__xludf.DUMMYFUNCTION("""COMPUTED_VALUE"""),1049.0)</f>
        <v>1049</v>
      </c>
      <c r="B1008" s="35" t="str">
        <f>IFERROR(__xludf.DUMMYFUNCTION("""COMPUTED_VALUE"""),"Minimum Domino Rotations For Equal Row")</f>
        <v>Minimum Domino Rotations For Equal Row</v>
      </c>
      <c r="C1008" s="35" t="str">
        <f>IFERROR(__xludf.DUMMYFUNCTION("""COMPUTED_VALUE"""),"minimum-domino-rotations-for-equal-row")</f>
        <v>minimum-domino-rotations-for-equal-row</v>
      </c>
      <c r="D1008" s="35" t="b">
        <f>IFERROR(__xludf.DUMMYFUNCTION("""COMPUTED_VALUE"""),FALSE)</f>
        <v>0</v>
      </c>
      <c r="E1008" s="35" t="str">
        <f>IFERROR(__xludf.DUMMYFUNCTION("""COMPUTED_VALUE"""),"Medium")</f>
        <v>Medium</v>
      </c>
      <c r="F1008" s="35">
        <f>IFERROR(__xludf.DUMMYFUNCTION("""COMPUTED_VALUE"""),1614.0)</f>
        <v>1614</v>
      </c>
      <c r="G1008" s="35">
        <f>IFERROR(__xludf.DUMMYFUNCTION("""COMPUTED_VALUE"""),208.0)</f>
        <v>208</v>
      </c>
      <c r="H1008" s="35" t="str">
        <f>IFERROR(__xludf.DUMMYFUNCTION("""COMPUTED_VALUE"""),"Algorithms")</f>
        <v>Algorithms</v>
      </c>
      <c r="I1008" s="35">
        <f>IFERROR(__xludf.DUMMYFUNCTION("""COMPUTED_VALUE"""),0.507)</f>
        <v>0.507</v>
      </c>
      <c r="J1008" s="35">
        <f>IFERROR(__xludf.DUMMYFUNCTION("""COMPUTED_VALUE"""),1007.0)</f>
        <v>1007</v>
      </c>
      <c r="K1008" s="35" t="b">
        <f>IFERROR(__xludf.DUMMYFUNCTION("""COMPUTED_VALUE"""),FALSE)</f>
        <v>0</v>
      </c>
      <c r="L1008" s="35" t="str">
        <f>IFERROR(__xludf.DUMMYFUNCTION("""COMPUTED_VALUE"""),"Array;Greedy;")</f>
        <v>Array;Greedy;</v>
      </c>
      <c r="M1008" s="35" t="b">
        <f>IFERROR(__xludf.DUMMYFUNCTION("""COMPUTED_VALUE"""),TRUE)</f>
        <v>1</v>
      </c>
      <c r="N1008" s="35" t="b">
        <f>IFERROR(__xludf.DUMMYFUNCTION("""COMPUTED_VALUE"""),FALSE)</f>
        <v>0</v>
      </c>
      <c r="O1008" s="35">
        <f>IFERROR(__xludf.DUMMYFUNCTION("""COMPUTED_VALUE"""),50.7400278276416)</f>
        <v>50.74002783</v>
      </c>
      <c r="P1008" s="35">
        <f>IFERROR(__xludf.DUMMYFUNCTION("""COMPUTED_VALUE"""),140761.0)</f>
        <v>140761</v>
      </c>
      <c r="Q1008" s="35">
        <f>IFERROR(__xludf.DUMMYFUNCTION("""COMPUTED_VALUE"""),277417.0)</f>
        <v>277417</v>
      </c>
    </row>
    <row r="1009">
      <c r="A1009" s="35">
        <f>IFERROR(__xludf.DUMMYFUNCTION("""COMPUTED_VALUE"""),1050.0)</f>
        <v>1050</v>
      </c>
      <c r="B1009" s="35" t="str">
        <f>IFERROR(__xludf.DUMMYFUNCTION("""COMPUTED_VALUE"""),"Construct Binary Search Tree from Preorder Traversal")</f>
        <v>Construct Binary Search Tree from Preorder Traversal</v>
      </c>
      <c r="C1009" s="35" t="str">
        <f>IFERROR(__xludf.DUMMYFUNCTION("""COMPUTED_VALUE"""),"construct-binary-search-tree-from-preorder-traversal")</f>
        <v>construct-binary-search-tree-from-preorder-traversal</v>
      </c>
      <c r="D1009" s="35" t="b">
        <f>IFERROR(__xludf.DUMMYFUNCTION("""COMPUTED_VALUE"""),FALSE)</f>
        <v>0</v>
      </c>
      <c r="E1009" s="35" t="str">
        <f>IFERROR(__xludf.DUMMYFUNCTION("""COMPUTED_VALUE"""),"Medium")</f>
        <v>Medium</v>
      </c>
      <c r="F1009" s="35">
        <f>IFERROR(__xludf.DUMMYFUNCTION("""COMPUTED_VALUE"""),3408.0)</f>
        <v>3408</v>
      </c>
      <c r="G1009" s="35">
        <f>IFERROR(__xludf.DUMMYFUNCTION("""COMPUTED_VALUE"""),58.0)</f>
        <v>58</v>
      </c>
      <c r="H1009" s="35" t="str">
        <f>IFERROR(__xludf.DUMMYFUNCTION("""COMPUTED_VALUE"""),"Algorithms")</f>
        <v>Algorithms</v>
      </c>
      <c r="I1009" s="35">
        <f>IFERROR(__xludf.DUMMYFUNCTION("""COMPUTED_VALUE"""),0.801)</f>
        <v>0.801</v>
      </c>
      <c r="J1009" s="35">
        <f>IFERROR(__xludf.DUMMYFUNCTION("""COMPUTED_VALUE"""),1008.0)</f>
        <v>1008</v>
      </c>
      <c r="K1009" s="35" t="b">
        <f>IFERROR(__xludf.DUMMYFUNCTION("""COMPUTED_VALUE"""),FALSE)</f>
        <v>0</v>
      </c>
      <c r="L1009" s="35" t="str">
        <f>IFERROR(__xludf.DUMMYFUNCTION("""COMPUTED_VALUE"""),"Array;Stack;Tree;Binary Search Tree;Monotonic Stack;Binary Tree;")</f>
        <v>Array;Stack;Tree;Binary Search Tree;Monotonic Stack;Binary Tree;</v>
      </c>
      <c r="M1009" s="35" t="b">
        <f>IFERROR(__xludf.DUMMYFUNCTION("""COMPUTED_VALUE"""),TRUE)</f>
        <v>1</v>
      </c>
      <c r="N1009" s="35" t="b">
        <f>IFERROR(__xludf.DUMMYFUNCTION("""COMPUTED_VALUE"""),FALSE)</f>
        <v>0</v>
      </c>
      <c r="O1009" s="35">
        <f>IFERROR(__xludf.DUMMYFUNCTION("""COMPUTED_VALUE"""),80.0969712549494)</f>
        <v>80.09697125</v>
      </c>
      <c r="P1009" s="35">
        <f>IFERROR(__xludf.DUMMYFUNCTION("""COMPUTED_VALUE"""),224337.0)</f>
        <v>224337</v>
      </c>
      <c r="Q1009" s="35">
        <f>IFERROR(__xludf.DUMMYFUNCTION("""COMPUTED_VALUE"""),280082.0)</f>
        <v>280082</v>
      </c>
    </row>
    <row r="1010">
      <c r="A1010" s="35">
        <f>IFERROR(__xludf.DUMMYFUNCTION("""COMPUTED_VALUE"""),1054.0)</f>
        <v>1054</v>
      </c>
      <c r="B1010" s="35" t="str">
        <f>IFERROR(__xludf.DUMMYFUNCTION("""COMPUTED_VALUE"""),"Complement of Base 10 Integer")</f>
        <v>Complement of Base 10 Integer</v>
      </c>
      <c r="C1010" s="35" t="str">
        <f>IFERROR(__xludf.DUMMYFUNCTION("""COMPUTED_VALUE"""),"complement-of-base-10-integer")</f>
        <v>complement-of-base-10-integer</v>
      </c>
      <c r="D1010" s="35" t="b">
        <f>IFERROR(__xludf.DUMMYFUNCTION("""COMPUTED_VALUE"""),FALSE)</f>
        <v>0</v>
      </c>
      <c r="E1010" s="35" t="str">
        <f>IFERROR(__xludf.DUMMYFUNCTION("""COMPUTED_VALUE"""),"Easy")</f>
        <v>Easy</v>
      </c>
      <c r="F1010" s="35">
        <f>IFERROR(__xludf.DUMMYFUNCTION("""COMPUTED_VALUE"""),1265.0)</f>
        <v>1265</v>
      </c>
      <c r="G1010" s="35">
        <f>IFERROR(__xludf.DUMMYFUNCTION("""COMPUTED_VALUE"""),69.0)</f>
        <v>69</v>
      </c>
      <c r="H1010" s="35" t="str">
        <f>IFERROR(__xludf.DUMMYFUNCTION("""COMPUTED_VALUE"""),"Algorithms")</f>
        <v>Algorithms</v>
      </c>
      <c r="I1010" s="35">
        <f>IFERROR(__xludf.DUMMYFUNCTION("""COMPUTED_VALUE"""),0.623)</f>
        <v>0.623</v>
      </c>
      <c r="J1010" s="35">
        <f>IFERROR(__xludf.DUMMYFUNCTION("""COMPUTED_VALUE"""),1009.0)</f>
        <v>1009</v>
      </c>
      <c r="K1010" s="35" t="b">
        <f>IFERROR(__xludf.DUMMYFUNCTION("""COMPUTED_VALUE"""),FALSE)</f>
        <v>0</v>
      </c>
      <c r="L1010" s="35" t="str">
        <f>IFERROR(__xludf.DUMMYFUNCTION("""COMPUTED_VALUE"""),"Bit Manipulation;")</f>
        <v>Bit Manipulation;</v>
      </c>
      <c r="M1010" s="35" t="b">
        <f>IFERROR(__xludf.DUMMYFUNCTION("""COMPUTED_VALUE"""),TRUE)</f>
        <v>1</v>
      </c>
      <c r="N1010" s="35" t="b">
        <f>IFERROR(__xludf.DUMMYFUNCTION("""COMPUTED_VALUE"""),FALSE)</f>
        <v>0</v>
      </c>
      <c r="O1010" s="35">
        <f>IFERROR(__xludf.DUMMYFUNCTION("""COMPUTED_VALUE"""),62.337184148755)</f>
        <v>62.33718415</v>
      </c>
      <c r="P1010" s="35">
        <f>IFERROR(__xludf.DUMMYFUNCTION("""COMPUTED_VALUE"""),121894.0)</f>
        <v>121894</v>
      </c>
      <c r="Q1010" s="35">
        <f>IFERROR(__xludf.DUMMYFUNCTION("""COMPUTED_VALUE"""),195540.0)</f>
        <v>195540</v>
      </c>
    </row>
    <row r="1011">
      <c r="A1011" s="35">
        <f>IFERROR(__xludf.DUMMYFUNCTION("""COMPUTED_VALUE"""),1055.0)</f>
        <v>1055</v>
      </c>
      <c r="B1011" s="35" t="str">
        <f>IFERROR(__xludf.DUMMYFUNCTION("""COMPUTED_VALUE"""),"Pairs of Songs With Total Durations Divisible by 60")</f>
        <v>Pairs of Songs With Total Durations Divisible by 60</v>
      </c>
      <c r="C1011" s="35" t="str">
        <f>IFERROR(__xludf.DUMMYFUNCTION("""COMPUTED_VALUE"""),"pairs-of-songs-with-total-durations-divisible-by-60")</f>
        <v>pairs-of-songs-with-total-durations-divisible-by-60</v>
      </c>
      <c r="D1011" s="35" t="b">
        <f>IFERROR(__xludf.DUMMYFUNCTION("""COMPUTED_VALUE"""),FALSE)</f>
        <v>0</v>
      </c>
      <c r="E1011" s="35" t="str">
        <f>IFERROR(__xludf.DUMMYFUNCTION("""COMPUTED_VALUE"""),"Medium")</f>
        <v>Medium</v>
      </c>
      <c r="F1011" s="35">
        <f>IFERROR(__xludf.DUMMYFUNCTION("""COMPUTED_VALUE"""),3011.0)</f>
        <v>3011</v>
      </c>
      <c r="G1011" s="35">
        <f>IFERROR(__xludf.DUMMYFUNCTION("""COMPUTED_VALUE"""),116.0)</f>
        <v>116</v>
      </c>
      <c r="H1011" s="35" t="str">
        <f>IFERROR(__xludf.DUMMYFUNCTION("""COMPUTED_VALUE"""),"Algorithms")</f>
        <v>Algorithms</v>
      </c>
      <c r="I1011" s="35">
        <f>IFERROR(__xludf.DUMMYFUNCTION("""COMPUTED_VALUE"""),0.538)</f>
        <v>0.538</v>
      </c>
      <c r="J1011" s="35">
        <f>IFERROR(__xludf.DUMMYFUNCTION("""COMPUTED_VALUE"""),1010.0)</f>
        <v>1010</v>
      </c>
      <c r="K1011" s="35" t="b">
        <f>IFERROR(__xludf.DUMMYFUNCTION("""COMPUTED_VALUE"""),FALSE)</f>
        <v>0</v>
      </c>
      <c r="L1011" s="35" t="str">
        <f>IFERROR(__xludf.DUMMYFUNCTION("""COMPUTED_VALUE"""),"Array;Hash Table;Counting;")</f>
        <v>Array;Hash Table;Counting;</v>
      </c>
      <c r="M1011" s="35" t="b">
        <f>IFERROR(__xludf.DUMMYFUNCTION("""COMPUTED_VALUE"""),TRUE)</f>
        <v>1</v>
      </c>
      <c r="N1011" s="35" t="b">
        <f>IFERROR(__xludf.DUMMYFUNCTION("""COMPUTED_VALUE"""),FALSE)</f>
        <v>0</v>
      </c>
      <c r="O1011" s="35">
        <f>IFERROR(__xludf.DUMMYFUNCTION("""COMPUTED_VALUE"""),53.7717765453238)</f>
        <v>53.77177655</v>
      </c>
      <c r="P1011" s="35">
        <f>IFERROR(__xludf.DUMMYFUNCTION("""COMPUTED_VALUE"""),184020.0)</f>
        <v>184020</v>
      </c>
      <c r="Q1011" s="35">
        <f>IFERROR(__xludf.DUMMYFUNCTION("""COMPUTED_VALUE"""),342224.0)</f>
        <v>342224</v>
      </c>
    </row>
    <row r="1012">
      <c r="A1012" s="35">
        <f>IFERROR(__xludf.DUMMYFUNCTION("""COMPUTED_VALUE"""),1056.0)</f>
        <v>1056</v>
      </c>
      <c r="B1012" s="35" t="str">
        <f>IFERROR(__xludf.DUMMYFUNCTION("""COMPUTED_VALUE"""),"Capacity To Ship Packages Within D Days")</f>
        <v>Capacity To Ship Packages Within D Days</v>
      </c>
      <c r="C1012" s="35" t="str">
        <f>IFERROR(__xludf.DUMMYFUNCTION("""COMPUTED_VALUE"""),"capacity-to-ship-packages-within-d-days")</f>
        <v>capacity-to-ship-packages-within-d-days</v>
      </c>
      <c r="D1012" s="35" t="b">
        <f>IFERROR(__xludf.DUMMYFUNCTION("""COMPUTED_VALUE"""),FALSE)</f>
        <v>0</v>
      </c>
      <c r="E1012" s="35" t="str">
        <f>IFERROR(__xludf.DUMMYFUNCTION("""COMPUTED_VALUE"""),"Medium")</f>
        <v>Medium</v>
      </c>
      <c r="F1012" s="35">
        <f>IFERROR(__xludf.DUMMYFUNCTION("""COMPUTED_VALUE"""),3853.0)</f>
        <v>3853</v>
      </c>
      <c r="G1012" s="35">
        <f>IFERROR(__xludf.DUMMYFUNCTION("""COMPUTED_VALUE"""),92.0)</f>
        <v>92</v>
      </c>
      <c r="H1012" s="35" t="str">
        <f>IFERROR(__xludf.DUMMYFUNCTION("""COMPUTED_VALUE"""),"Algorithms")</f>
        <v>Algorithms</v>
      </c>
      <c r="I1012" s="35">
        <f>IFERROR(__xludf.DUMMYFUNCTION("""COMPUTED_VALUE"""),0.632)</f>
        <v>0.632</v>
      </c>
      <c r="J1012" s="35">
        <f>IFERROR(__xludf.DUMMYFUNCTION("""COMPUTED_VALUE"""),1011.0)</f>
        <v>1011</v>
      </c>
      <c r="K1012" s="35" t="b">
        <f>IFERROR(__xludf.DUMMYFUNCTION("""COMPUTED_VALUE"""),FALSE)</f>
        <v>0</v>
      </c>
      <c r="L1012" s="35" t="str">
        <f>IFERROR(__xludf.DUMMYFUNCTION("""COMPUTED_VALUE"""),"Array;Binary Search;Greedy;")</f>
        <v>Array;Binary Search;Greedy;</v>
      </c>
      <c r="M1012" s="35" t="b">
        <f>IFERROR(__xludf.DUMMYFUNCTION("""COMPUTED_VALUE"""),FALSE)</f>
        <v>0</v>
      </c>
      <c r="N1012" s="35" t="b">
        <f>IFERROR(__xludf.DUMMYFUNCTION("""COMPUTED_VALUE"""),FALSE)</f>
        <v>0</v>
      </c>
      <c r="O1012" s="35">
        <f>IFERROR(__xludf.DUMMYFUNCTION("""COMPUTED_VALUE"""),63.2129596783729)</f>
        <v>63.21295968</v>
      </c>
      <c r="P1012" s="35">
        <f>IFERROR(__xludf.DUMMYFUNCTION("""COMPUTED_VALUE"""),133641.0)</f>
        <v>133641</v>
      </c>
      <c r="Q1012" s="35">
        <f>IFERROR(__xludf.DUMMYFUNCTION("""COMPUTED_VALUE"""),211417.0)</f>
        <v>211417</v>
      </c>
    </row>
    <row r="1013">
      <c r="A1013" s="35">
        <f>IFERROR(__xludf.DUMMYFUNCTION("""COMPUTED_VALUE"""),1057.0)</f>
        <v>1057</v>
      </c>
      <c r="B1013" s="35" t="str">
        <f>IFERROR(__xludf.DUMMYFUNCTION("""COMPUTED_VALUE"""),"Numbers With Repeated Digits")</f>
        <v>Numbers With Repeated Digits</v>
      </c>
      <c r="C1013" s="35" t="str">
        <f>IFERROR(__xludf.DUMMYFUNCTION("""COMPUTED_VALUE"""),"numbers-with-repeated-digits")</f>
        <v>numbers-with-repeated-digits</v>
      </c>
      <c r="D1013" s="35" t="b">
        <f>IFERROR(__xludf.DUMMYFUNCTION("""COMPUTED_VALUE"""),FALSE)</f>
        <v>0</v>
      </c>
      <c r="E1013" s="35" t="str">
        <f>IFERROR(__xludf.DUMMYFUNCTION("""COMPUTED_VALUE"""),"Hard")</f>
        <v>Hard</v>
      </c>
      <c r="F1013" s="35">
        <f>IFERROR(__xludf.DUMMYFUNCTION("""COMPUTED_VALUE"""),381.0)</f>
        <v>381</v>
      </c>
      <c r="G1013" s="35">
        <f>IFERROR(__xludf.DUMMYFUNCTION("""COMPUTED_VALUE"""),59.0)</f>
        <v>59</v>
      </c>
      <c r="H1013" s="35" t="str">
        <f>IFERROR(__xludf.DUMMYFUNCTION("""COMPUTED_VALUE"""),"Algorithms")</f>
        <v>Algorithms</v>
      </c>
      <c r="I1013" s="35">
        <f>IFERROR(__xludf.DUMMYFUNCTION("""COMPUTED_VALUE"""),0.385)</f>
        <v>0.385</v>
      </c>
      <c r="J1013" s="35">
        <f>IFERROR(__xludf.DUMMYFUNCTION("""COMPUTED_VALUE"""),1012.0)</f>
        <v>1012</v>
      </c>
      <c r="K1013" s="35" t="b">
        <f>IFERROR(__xludf.DUMMYFUNCTION("""COMPUTED_VALUE"""),FALSE)</f>
        <v>0</v>
      </c>
      <c r="L1013" s="35" t="str">
        <f>IFERROR(__xludf.DUMMYFUNCTION("""COMPUTED_VALUE"""),"Math;Dynamic Programming;")</f>
        <v>Math;Dynamic Programming;</v>
      </c>
      <c r="M1013" s="35" t="b">
        <f>IFERROR(__xludf.DUMMYFUNCTION("""COMPUTED_VALUE"""),FALSE)</f>
        <v>0</v>
      </c>
      <c r="N1013" s="35" t="b">
        <f>IFERROR(__xludf.DUMMYFUNCTION("""COMPUTED_VALUE"""),FALSE)</f>
        <v>0</v>
      </c>
      <c r="O1013" s="35">
        <f>IFERROR(__xludf.DUMMYFUNCTION("""COMPUTED_VALUE"""),38.4554870853546)</f>
        <v>38.45548709</v>
      </c>
      <c r="P1013" s="35">
        <f>IFERROR(__xludf.DUMMYFUNCTION("""COMPUTED_VALUE"""),8799.0)</f>
        <v>8799</v>
      </c>
      <c r="Q1013" s="35">
        <f>IFERROR(__xludf.DUMMYFUNCTION("""COMPUTED_VALUE"""),22881.0)</f>
        <v>22881</v>
      </c>
    </row>
    <row r="1014">
      <c r="A1014" s="35">
        <f>IFERROR(__xludf.DUMMYFUNCTION("""COMPUTED_VALUE"""),1062.0)</f>
        <v>1062</v>
      </c>
      <c r="B1014" s="35" t="str">
        <f>IFERROR(__xludf.DUMMYFUNCTION("""COMPUTED_VALUE"""),"Partition Array Into Three Parts With Equal Sum")</f>
        <v>Partition Array Into Three Parts With Equal Sum</v>
      </c>
      <c r="C1014" s="35" t="str">
        <f>IFERROR(__xludf.DUMMYFUNCTION("""COMPUTED_VALUE"""),"partition-array-into-three-parts-with-equal-sum")</f>
        <v>partition-array-into-three-parts-with-equal-sum</v>
      </c>
      <c r="D1014" s="35" t="b">
        <f>IFERROR(__xludf.DUMMYFUNCTION("""COMPUTED_VALUE"""),FALSE)</f>
        <v>0</v>
      </c>
      <c r="E1014" s="35" t="str">
        <f>IFERROR(__xludf.DUMMYFUNCTION("""COMPUTED_VALUE"""),"Easy")</f>
        <v>Easy</v>
      </c>
      <c r="F1014" s="35">
        <f>IFERROR(__xludf.DUMMYFUNCTION("""COMPUTED_VALUE"""),1052.0)</f>
        <v>1052</v>
      </c>
      <c r="G1014" s="35">
        <f>IFERROR(__xludf.DUMMYFUNCTION("""COMPUTED_VALUE"""),115.0)</f>
        <v>115</v>
      </c>
      <c r="H1014" s="35" t="str">
        <f>IFERROR(__xludf.DUMMYFUNCTION("""COMPUTED_VALUE"""),"Algorithms")</f>
        <v>Algorithms</v>
      </c>
      <c r="I1014" s="35">
        <f>IFERROR(__xludf.DUMMYFUNCTION("""COMPUTED_VALUE"""),0.447)</f>
        <v>0.447</v>
      </c>
      <c r="J1014" s="35">
        <f>IFERROR(__xludf.DUMMYFUNCTION("""COMPUTED_VALUE"""),1013.0)</f>
        <v>1013</v>
      </c>
      <c r="K1014" s="35" t="b">
        <f>IFERROR(__xludf.DUMMYFUNCTION("""COMPUTED_VALUE"""),FALSE)</f>
        <v>0</v>
      </c>
      <c r="L1014" s="35" t="str">
        <f>IFERROR(__xludf.DUMMYFUNCTION("""COMPUTED_VALUE"""),"Array;Greedy;")</f>
        <v>Array;Greedy;</v>
      </c>
      <c r="M1014" s="35" t="b">
        <f>IFERROR(__xludf.DUMMYFUNCTION("""COMPUTED_VALUE"""),FALSE)</f>
        <v>0</v>
      </c>
      <c r="N1014" s="35" t="b">
        <f>IFERROR(__xludf.DUMMYFUNCTION("""COMPUTED_VALUE"""),FALSE)</f>
        <v>0</v>
      </c>
      <c r="O1014" s="35">
        <f>IFERROR(__xludf.DUMMYFUNCTION("""COMPUTED_VALUE"""),44.7041077323306)</f>
        <v>44.70410773</v>
      </c>
      <c r="P1014" s="35">
        <f>IFERROR(__xludf.DUMMYFUNCTION("""COMPUTED_VALUE"""),61346.0)</f>
        <v>61346</v>
      </c>
      <c r="Q1014" s="35">
        <f>IFERROR(__xludf.DUMMYFUNCTION("""COMPUTED_VALUE"""),137227.0)</f>
        <v>137227</v>
      </c>
    </row>
    <row r="1015">
      <c r="A1015" s="35">
        <f>IFERROR(__xludf.DUMMYFUNCTION("""COMPUTED_VALUE"""),1063.0)</f>
        <v>1063</v>
      </c>
      <c r="B1015" s="35" t="str">
        <f>IFERROR(__xludf.DUMMYFUNCTION("""COMPUTED_VALUE"""),"Best Sightseeing Pair")</f>
        <v>Best Sightseeing Pair</v>
      </c>
      <c r="C1015" s="35" t="str">
        <f>IFERROR(__xludf.DUMMYFUNCTION("""COMPUTED_VALUE"""),"best-sightseeing-pair")</f>
        <v>best-sightseeing-pair</v>
      </c>
      <c r="D1015" s="35" t="b">
        <f>IFERROR(__xludf.DUMMYFUNCTION("""COMPUTED_VALUE"""),FALSE)</f>
        <v>0</v>
      </c>
      <c r="E1015" s="35" t="str">
        <f>IFERROR(__xludf.DUMMYFUNCTION("""COMPUTED_VALUE"""),"Medium")</f>
        <v>Medium</v>
      </c>
      <c r="F1015" s="35">
        <f>IFERROR(__xludf.DUMMYFUNCTION("""COMPUTED_VALUE"""),1461.0)</f>
        <v>1461</v>
      </c>
      <c r="G1015" s="35">
        <f>IFERROR(__xludf.DUMMYFUNCTION("""COMPUTED_VALUE"""),38.0)</f>
        <v>38</v>
      </c>
      <c r="H1015" s="35" t="str">
        <f>IFERROR(__xludf.DUMMYFUNCTION("""COMPUTED_VALUE"""),"Algorithms")</f>
        <v>Algorithms</v>
      </c>
      <c r="I1015" s="35">
        <f>IFERROR(__xludf.DUMMYFUNCTION("""COMPUTED_VALUE"""),0.582)</f>
        <v>0.582</v>
      </c>
      <c r="J1015" s="35">
        <f>IFERROR(__xludf.DUMMYFUNCTION("""COMPUTED_VALUE"""),1014.0)</f>
        <v>1014</v>
      </c>
      <c r="K1015" s="35" t="b">
        <f>IFERROR(__xludf.DUMMYFUNCTION("""COMPUTED_VALUE"""),FALSE)</f>
        <v>0</v>
      </c>
      <c r="L1015" s="35" t="str">
        <f>IFERROR(__xludf.DUMMYFUNCTION("""COMPUTED_VALUE"""),"Array;Dynamic Programming;")</f>
        <v>Array;Dynamic Programming;</v>
      </c>
      <c r="M1015" s="35" t="b">
        <f>IFERROR(__xludf.DUMMYFUNCTION("""COMPUTED_VALUE"""),FALSE)</f>
        <v>0</v>
      </c>
      <c r="N1015" s="35" t="b">
        <f>IFERROR(__xludf.DUMMYFUNCTION("""COMPUTED_VALUE"""),FALSE)</f>
        <v>0</v>
      </c>
      <c r="O1015" s="35">
        <f>IFERROR(__xludf.DUMMYFUNCTION("""COMPUTED_VALUE"""),58.2281386274959)</f>
        <v>58.22813863</v>
      </c>
      <c r="P1015" s="35">
        <f>IFERROR(__xludf.DUMMYFUNCTION("""COMPUTED_VALUE"""),50737.0)</f>
        <v>50737</v>
      </c>
      <c r="Q1015" s="35">
        <f>IFERROR(__xludf.DUMMYFUNCTION("""COMPUTED_VALUE"""),87137.0)</f>
        <v>87137</v>
      </c>
    </row>
    <row r="1016">
      <c r="A1016" s="35">
        <f>IFERROR(__xludf.DUMMYFUNCTION("""COMPUTED_VALUE"""),1064.0)</f>
        <v>1064</v>
      </c>
      <c r="B1016" s="35" t="str">
        <f>IFERROR(__xludf.DUMMYFUNCTION("""COMPUTED_VALUE"""),"Smallest Integer Divisible by K")</f>
        <v>Smallest Integer Divisible by K</v>
      </c>
      <c r="C1016" s="35" t="str">
        <f>IFERROR(__xludf.DUMMYFUNCTION("""COMPUTED_VALUE"""),"smallest-integer-divisible-by-k")</f>
        <v>smallest-integer-divisible-by-k</v>
      </c>
      <c r="D1016" s="35" t="b">
        <f>IFERROR(__xludf.DUMMYFUNCTION("""COMPUTED_VALUE"""),FALSE)</f>
        <v>0</v>
      </c>
      <c r="E1016" s="35" t="str">
        <f>IFERROR(__xludf.DUMMYFUNCTION("""COMPUTED_VALUE"""),"Medium")</f>
        <v>Medium</v>
      </c>
      <c r="F1016" s="35">
        <f>IFERROR(__xludf.DUMMYFUNCTION("""COMPUTED_VALUE"""),959.0)</f>
        <v>959</v>
      </c>
      <c r="G1016" s="35">
        <f>IFERROR(__xludf.DUMMYFUNCTION("""COMPUTED_VALUE"""),789.0)</f>
        <v>789</v>
      </c>
      <c r="H1016" s="35" t="str">
        <f>IFERROR(__xludf.DUMMYFUNCTION("""COMPUTED_VALUE"""),"Algorithms")</f>
        <v>Algorithms</v>
      </c>
      <c r="I1016" s="35">
        <f>IFERROR(__xludf.DUMMYFUNCTION("""COMPUTED_VALUE"""),0.47)</f>
        <v>0.47</v>
      </c>
      <c r="J1016" s="35">
        <f>IFERROR(__xludf.DUMMYFUNCTION("""COMPUTED_VALUE"""),1015.0)</f>
        <v>1015</v>
      </c>
      <c r="K1016" s="35" t="b">
        <f>IFERROR(__xludf.DUMMYFUNCTION("""COMPUTED_VALUE"""),FALSE)</f>
        <v>0</v>
      </c>
      <c r="L1016" s="35" t="str">
        <f>IFERROR(__xludf.DUMMYFUNCTION("""COMPUTED_VALUE"""),"Hash Table;Math;")</f>
        <v>Hash Table;Math;</v>
      </c>
      <c r="M1016" s="35" t="b">
        <f>IFERROR(__xludf.DUMMYFUNCTION("""COMPUTED_VALUE"""),TRUE)</f>
        <v>1</v>
      </c>
      <c r="N1016" s="35" t="b">
        <f>IFERROR(__xludf.DUMMYFUNCTION("""COMPUTED_VALUE"""),FALSE)</f>
        <v>0</v>
      </c>
      <c r="O1016" s="35">
        <f>IFERROR(__xludf.DUMMYFUNCTION("""COMPUTED_VALUE"""),46.9538695490638)</f>
        <v>46.95386955</v>
      </c>
      <c r="P1016" s="35">
        <f>IFERROR(__xludf.DUMMYFUNCTION("""COMPUTED_VALUE"""),54343.0)</f>
        <v>54343</v>
      </c>
      <c r="Q1016" s="35">
        <f>IFERROR(__xludf.DUMMYFUNCTION("""COMPUTED_VALUE"""),115737.0)</f>
        <v>115737</v>
      </c>
    </row>
    <row r="1017">
      <c r="A1017" s="35">
        <f>IFERROR(__xludf.DUMMYFUNCTION("""COMPUTED_VALUE"""),1065.0)</f>
        <v>1065</v>
      </c>
      <c r="B1017" s="35" t="str">
        <f>IFERROR(__xludf.DUMMYFUNCTION("""COMPUTED_VALUE"""),"Binary String With Substrings Representing 1 To N")</f>
        <v>Binary String With Substrings Representing 1 To N</v>
      </c>
      <c r="C1017" s="35" t="str">
        <f>IFERROR(__xludf.DUMMYFUNCTION("""COMPUTED_VALUE"""),"binary-string-with-substrings-representing-1-to-n")</f>
        <v>binary-string-with-substrings-representing-1-to-n</v>
      </c>
      <c r="D1017" s="35" t="b">
        <f>IFERROR(__xludf.DUMMYFUNCTION("""COMPUTED_VALUE"""),FALSE)</f>
        <v>0</v>
      </c>
      <c r="E1017" s="35" t="str">
        <f>IFERROR(__xludf.DUMMYFUNCTION("""COMPUTED_VALUE"""),"Medium")</f>
        <v>Medium</v>
      </c>
      <c r="F1017" s="35">
        <f>IFERROR(__xludf.DUMMYFUNCTION("""COMPUTED_VALUE"""),237.0)</f>
        <v>237</v>
      </c>
      <c r="G1017" s="35">
        <f>IFERROR(__xludf.DUMMYFUNCTION("""COMPUTED_VALUE"""),448.0)</f>
        <v>448</v>
      </c>
      <c r="H1017" s="35" t="str">
        <f>IFERROR(__xludf.DUMMYFUNCTION("""COMPUTED_VALUE"""),"Algorithms")</f>
        <v>Algorithms</v>
      </c>
      <c r="I1017" s="35">
        <f>IFERROR(__xludf.DUMMYFUNCTION("""COMPUTED_VALUE"""),0.58)</f>
        <v>0.58</v>
      </c>
      <c r="J1017" s="35">
        <f>IFERROR(__xludf.DUMMYFUNCTION("""COMPUTED_VALUE"""),1016.0)</f>
        <v>1016</v>
      </c>
      <c r="K1017" s="35" t="b">
        <f>IFERROR(__xludf.DUMMYFUNCTION("""COMPUTED_VALUE"""),FALSE)</f>
        <v>0</v>
      </c>
      <c r="L1017" s="35" t="str">
        <f>IFERROR(__xludf.DUMMYFUNCTION("""COMPUTED_VALUE"""),"String;")</f>
        <v>String;</v>
      </c>
      <c r="M1017" s="35" t="b">
        <f>IFERROR(__xludf.DUMMYFUNCTION("""COMPUTED_VALUE"""),FALSE)</f>
        <v>0</v>
      </c>
      <c r="N1017" s="35" t="b">
        <f>IFERROR(__xludf.DUMMYFUNCTION("""COMPUTED_VALUE"""),FALSE)</f>
        <v>0</v>
      </c>
      <c r="O1017" s="35">
        <f>IFERROR(__xludf.DUMMYFUNCTION("""COMPUTED_VALUE"""),57.9518650719101)</f>
        <v>57.95186507</v>
      </c>
      <c r="P1017" s="35">
        <f>IFERROR(__xludf.DUMMYFUNCTION("""COMPUTED_VALUE"""),27763.0)</f>
        <v>27763</v>
      </c>
      <c r="Q1017" s="35">
        <f>IFERROR(__xludf.DUMMYFUNCTION("""COMPUTED_VALUE"""),47907.0)</f>
        <v>47907</v>
      </c>
    </row>
    <row r="1018">
      <c r="A1018" s="35">
        <f>IFERROR(__xludf.DUMMYFUNCTION("""COMPUTED_VALUE"""),1070.0)</f>
        <v>1070</v>
      </c>
      <c r="B1018" s="35" t="str">
        <f>IFERROR(__xludf.DUMMYFUNCTION("""COMPUTED_VALUE"""),"Convert to Base -2")</f>
        <v>Convert to Base -2</v>
      </c>
      <c r="C1018" s="35" t="str">
        <f>IFERROR(__xludf.DUMMYFUNCTION("""COMPUTED_VALUE"""),"convert-to-base-2")</f>
        <v>convert-to-base-2</v>
      </c>
      <c r="D1018" s="35" t="b">
        <f>IFERROR(__xludf.DUMMYFUNCTION("""COMPUTED_VALUE"""),FALSE)</f>
        <v>0</v>
      </c>
      <c r="E1018" s="35" t="str">
        <f>IFERROR(__xludf.DUMMYFUNCTION("""COMPUTED_VALUE"""),"Medium")</f>
        <v>Medium</v>
      </c>
      <c r="F1018" s="35">
        <f>IFERROR(__xludf.DUMMYFUNCTION("""COMPUTED_VALUE"""),336.0)</f>
        <v>336</v>
      </c>
      <c r="G1018" s="35">
        <f>IFERROR(__xludf.DUMMYFUNCTION("""COMPUTED_VALUE"""),219.0)</f>
        <v>219</v>
      </c>
      <c r="H1018" s="35" t="str">
        <f>IFERROR(__xludf.DUMMYFUNCTION("""COMPUTED_VALUE"""),"Algorithms")</f>
        <v>Algorithms</v>
      </c>
      <c r="I1018" s="35">
        <f>IFERROR(__xludf.DUMMYFUNCTION("""COMPUTED_VALUE"""),0.6)</f>
        <v>0.6</v>
      </c>
      <c r="J1018" s="35">
        <f>IFERROR(__xludf.DUMMYFUNCTION("""COMPUTED_VALUE"""),1017.0)</f>
        <v>1017</v>
      </c>
      <c r="K1018" s="35" t="b">
        <f>IFERROR(__xludf.DUMMYFUNCTION("""COMPUTED_VALUE"""),FALSE)</f>
        <v>0</v>
      </c>
      <c r="L1018" s="35" t="str">
        <f>IFERROR(__xludf.DUMMYFUNCTION("""COMPUTED_VALUE"""),"Math;")</f>
        <v>Math;</v>
      </c>
      <c r="M1018" s="35" t="b">
        <f>IFERROR(__xludf.DUMMYFUNCTION("""COMPUTED_VALUE"""),FALSE)</f>
        <v>0</v>
      </c>
      <c r="N1018" s="35" t="b">
        <f>IFERROR(__xludf.DUMMYFUNCTION("""COMPUTED_VALUE"""),FALSE)</f>
        <v>0</v>
      </c>
      <c r="O1018" s="35">
        <f>IFERROR(__xludf.DUMMYFUNCTION("""COMPUTED_VALUE"""),60.0027176682406)</f>
        <v>60.00271767</v>
      </c>
      <c r="P1018" s="35">
        <f>IFERROR(__xludf.DUMMYFUNCTION("""COMPUTED_VALUE"""),17663.0)</f>
        <v>17663</v>
      </c>
      <c r="Q1018" s="35">
        <f>IFERROR(__xludf.DUMMYFUNCTION("""COMPUTED_VALUE"""),29437.0)</f>
        <v>29437</v>
      </c>
    </row>
    <row r="1019">
      <c r="A1019" s="35">
        <f>IFERROR(__xludf.DUMMYFUNCTION("""COMPUTED_VALUE"""),1071.0)</f>
        <v>1071</v>
      </c>
      <c r="B1019" s="35" t="str">
        <f>IFERROR(__xludf.DUMMYFUNCTION("""COMPUTED_VALUE"""),"Binary Prefix Divisible By 5")</f>
        <v>Binary Prefix Divisible By 5</v>
      </c>
      <c r="C1019" s="35" t="str">
        <f>IFERROR(__xludf.DUMMYFUNCTION("""COMPUTED_VALUE"""),"binary-prefix-divisible-by-5")</f>
        <v>binary-prefix-divisible-by-5</v>
      </c>
      <c r="D1019" s="35" t="b">
        <f>IFERROR(__xludf.DUMMYFUNCTION("""COMPUTED_VALUE"""),FALSE)</f>
        <v>0</v>
      </c>
      <c r="E1019" s="35" t="str">
        <f>IFERROR(__xludf.DUMMYFUNCTION("""COMPUTED_VALUE"""),"Easy")</f>
        <v>Easy</v>
      </c>
      <c r="F1019" s="35">
        <f>IFERROR(__xludf.DUMMYFUNCTION("""COMPUTED_VALUE"""),497.0)</f>
        <v>497</v>
      </c>
      <c r="G1019" s="35">
        <f>IFERROR(__xludf.DUMMYFUNCTION("""COMPUTED_VALUE"""),135.0)</f>
        <v>135</v>
      </c>
      <c r="H1019" s="35" t="str">
        <f>IFERROR(__xludf.DUMMYFUNCTION("""COMPUTED_VALUE"""),"Algorithms")</f>
        <v>Algorithms</v>
      </c>
      <c r="I1019" s="35">
        <f>IFERROR(__xludf.DUMMYFUNCTION("""COMPUTED_VALUE"""),0.475)</f>
        <v>0.475</v>
      </c>
      <c r="J1019" s="35">
        <f>IFERROR(__xludf.DUMMYFUNCTION("""COMPUTED_VALUE"""),1018.0)</f>
        <v>1018</v>
      </c>
      <c r="K1019" s="35" t="b">
        <f>IFERROR(__xludf.DUMMYFUNCTION("""COMPUTED_VALUE"""),FALSE)</f>
        <v>0</v>
      </c>
      <c r="L1019" s="35" t="str">
        <f>IFERROR(__xludf.DUMMYFUNCTION("""COMPUTED_VALUE"""),"Array;")</f>
        <v>Array;</v>
      </c>
      <c r="M1019" s="35" t="b">
        <f>IFERROR(__xludf.DUMMYFUNCTION("""COMPUTED_VALUE"""),FALSE)</f>
        <v>0</v>
      </c>
      <c r="N1019" s="35" t="b">
        <f>IFERROR(__xludf.DUMMYFUNCTION("""COMPUTED_VALUE"""),FALSE)</f>
        <v>0</v>
      </c>
      <c r="O1019" s="35">
        <f>IFERROR(__xludf.DUMMYFUNCTION("""COMPUTED_VALUE"""),47.5434998678962)</f>
        <v>47.54349987</v>
      </c>
      <c r="P1019" s="35">
        <f>IFERROR(__xludf.DUMMYFUNCTION("""COMPUTED_VALUE"""),37789.0)</f>
        <v>37789</v>
      </c>
      <c r="Q1019" s="35">
        <f>IFERROR(__xludf.DUMMYFUNCTION("""COMPUTED_VALUE"""),79483.0)</f>
        <v>79483</v>
      </c>
    </row>
    <row r="1020">
      <c r="A1020" s="35">
        <f>IFERROR(__xludf.DUMMYFUNCTION("""COMPUTED_VALUE"""),1072.0)</f>
        <v>1072</v>
      </c>
      <c r="B1020" s="35" t="str">
        <f>IFERROR(__xludf.DUMMYFUNCTION("""COMPUTED_VALUE"""),"Next Greater Node In Linked List")</f>
        <v>Next Greater Node In Linked List</v>
      </c>
      <c r="C1020" s="35" t="str">
        <f>IFERROR(__xludf.DUMMYFUNCTION("""COMPUTED_VALUE"""),"next-greater-node-in-linked-list")</f>
        <v>next-greater-node-in-linked-list</v>
      </c>
      <c r="D1020" s="35" t="b">
        <f>IFERROR(__xludf.DUMMYFUNCTION("""COMPUTED_VALUE"""),FALSE)</f>
        <v>0</v>
      </c>
      <c r="E1020" s="35" t="str">
        <f>IFERROR(__xludf.DUMMYFUNCTION("""COMPUTED_VALUE"""),"Medium")</f>
        <v>Medium</v>
      </c>
      <c r="F1020" s="35">
        <f>IFERROR(__xludf.DUMMYFUNCTION("""COMPUTED_VALUE"""),2042.0)</f>
        <v>2042</v>
      </c>
      <c r="G1020" s="35">
        <f>IFERROR(__xludf.DUMMYFUNCTION("""COMPUTED_VALUE"""),97.0)</f>
        <v>97</v>
      </c>
      <c r="H1020" s="35" t="str">
        <f>IFERROR(__xludf.DUMMYFUNCTION("""COMPUTED_VALUE"""),"Algorithms")</f>
        <v>Algorithms</v>
      </c>
      <c r="I1020" s="35">
        <f>IFERROR(__xludf.DUMMYFUNCTION("""COMPUTED_VALUE"""),0.596)</f>
        <v>0.596</v>
      </c>
      <c r="J1020" s="35">
        <f>IFERROR(__xludf.DUMMYFUNCTION("""COMPUTED_VALUE"""),1019.0)</f>
        <v>1019</v>
      </c>
      <c r="K1020" s="35" t="b">
        <f>IFERROR(__xludf.DUMMYFUNCTION("""COMPUTED_VALUE"""),FALSE)</f>
        <v>0</v>
      </c>
      <c r="L1020" s="35" t="str">
        <f>IFERROR(__xludf.DUMMYFUNCTION("""COMPUTED_VALUE"""),"Array;Linked List;Stack;Monotonic Stack;")</f>
        <v>Array;Linked List;Stack;Monotonic Stack;</v>
      </c>
      <c r="M1020" s="35" t="b">
        <f>IFERROR(__xludf.DUMMYFUNCTION("""COMPUTED_VALUE"""),FALSE)</f>
        <v>0</v>
      </c>
      <c r="N1020" s="35" t="b">
        <f>IFERROR(__xludf.DUMMYFUNCTION("""COMPUTED_VALUE"""),FALSE)</f>
        <v>0</v>
      </c>
      <c r="O1020" s="35">
        <f>IFERROR(__xludf.DUMMYFUNCTION("""COMPUTED_VALUE"""),59.5661941565022)</f>
        <v>59.56619416</v>
      </c>
      <c r="P1020" s="35">
        <f>IFERROR(__xludf.DUMMYFUNCTION("""COMPUTED_VALUE"""),97571.0)</f>
        <v>97571</v>
      </c>
      <c r="Q1020" s="35">
        <f>IFERROR(__xludf.DUMMYFUNCTION("""COMPUTED_VALUE"""),163804.0)</f>
        <v>163804</v>
      </c>
    </row>
    <row r="1021">
      <c r="A1021" s="35">
        <f>IFERROR(__xludf.DUMMYFUNCTION("""COMPUTED_VALUE"""),1073.0)</f>
        <v>1073</v>
      </c>
      <c r="B1021" s="35" t="str">
        <f>IFERROR(__xludf.DUMMYFUNCTION("""COMPUTED_VALUE"""),"Number of Enclaves")</f>
        <v>Number of Enclaves</v>
      </c>
      <c r="C1021" s="35" t="str">
        <f>IFERROR(__xludf.DUMMYFUNCTION("""COMPUTED_VALUE"""),"number-of-enclaves")</f>
        <v>number-of-enclaves</v>
      </c>
      <c r="D1021" s="35" t="b">
        <f>IFERROR(__xludf.DUMMYFUNCTION("""COMPUTED_VALUE"""),FALSE)</f>
        <v>0</v>
      </c>
      <c r="E1021" s="35" t="str">
        <f>IFERROR(__xludf.DUMMYFUNCTION("""COMPUTED_VALUE"""),"Medium")</f>
        <v>Medium</v>
      </c>
      <c r="F1021" s="35">
        <f>IFERROR(__xludf.DUMMYFUNCTION("""COMPUTED_VALUE"""),1047.0)</f>
        <v>1047</v>
      </c>
      <c r="G1021" s="35">
        <f>IFERROR(__xludf.DUMMYFUNCTION("""COMPUTED_VALUE"""),30.0)</f>
        <v>30</v>
      </c>
      <c r="H1021" s="35" t="str">
        <f>IFERROR(__xludf.DUMMYFUNCTION("""COMPUTED_VALUE"""),"Algorithms")</f>
        <v>Algorithms</v>
      </c>
      <c r="I1021" s="35">
        <f>IFERROR(__xludf.DUMMYFUNCTION("""COMPUTED_VALUE"""),0.62)</f>
        <v>0.62</v>
      </c>
      <c r="J1021" s="35">
        <f>IFERROR(__xludf.DUMMYFUNCTION("""COMPUTED_VALUE"""),1020.0)</f>
        <v>1020</v>
      </c>
      <c r="K1021" s="35" t="b">
        <f>IFERROR(__xludf.DUMMYFUNCTION("""COMPUTED_VALUE"""),FALSE)</f>
        <v>0</v>
      </c>
      <c r="L1021" s="35" t="str">
        <f>IFERROR(__xludf.DUMMYFUNCTION("""COMPUTED_VALUE"""),"Array;Depth-First Search;Breadth-First Search;Union Find;Matrix;")</f>
        <v>Array;Depth-First Search;Breadth-First Search;Union Find;Matrix;</v>
      </c>
      <c r="M1021" s="35" t="b">
        <f>IFERROR(__xludf.DUMMYFUNCTION("""COMPUTED_VALUE"""),FALSE)</f>
        <v>0</v>
      </c>
      <c r="N1021" s="35" t="b">
        <f>IFERROR(__xludf.DUMMYFUNCTION("""COMPUTED_VALUE"""),FALSE)</f>
        <v>0</v>
      </c>
      <c r="O1021" s="35">
        <f>IFERROR(__xludf.DUMMYFUNCTION("""COMPUTED_VALUE"""),61.9904290474296)</f>
        <v>61.99042905</v>
      </c>
      <c r="P1021" s="35">
        <f>IFERROR(__xludf.DUMMYFUNCTION("""COMPUTED_VALUE"""),45201.0)</f>
        <v>45201</v>
      </c>
      <c r="Q1021" s="35">
        <f>IFERROR(__xludf.DUMMYFUNCTION("""COMPUTED_VALUE"""),72918.0)</f>
        <v>72918</v>
      </c>
    </row>
    <row r="1022">
      <c r="A1022" s="35">
        <f>IFERROR(__xludf.DUMMYFUNCTION("""COMPUTED_VALUE"""),1078.0)</f>
        <v>1078</v>
      </c>
      <c r="B1022" s="35" t="str">
        <f>IFERROR(__xludf.DUMMYFUNCTION("""COMPUTED_VALUE"""),"Remove Outermost Parentheses")</f>
        <v>Remove Outermost Parentheses</v>
      </c>
      <c r="C1022" s="35" t="str">
        <f>IFERROR(__xludf.DUMMYFUNCTION("""COMPUTED_VALUE"""),"remove-outermost-parentheses")</f>
        <v>remove-outermost-parentheses</v>
      </c>
      <c r="D1022" s="35" t="b">
        <f>IFERROR(__xludf.DUMMYFUNCTION("""COMPUTED_VALUE"""),FALSE)</f>
        <v>0</v>
      </c>
      <c r="E1022" s="35" t="str">
        <f>IFERROR(__xludf.DUMMYFUNCTION("""COMPUTED_VALUE"""),"Easy")</f>
        <v>Easy</v>
      </c>
      <c r="F1022" s="35">
        <f>IFERROR(__xludf.DUMMYFUNCTION("""COMPUTED_VALUE"""),1188.0)</f>
        <v>1188</v>
      </c>
      <c r="G1022" s="35">
        <f>IFERROR(__xludf.DUMMYFUNCTION("""COMPUTED_VALUE"""),1146.0)</f>
        <v>1146</v>
      </c>
      <c r="H1022" s="35" t="str">
        <f>IFERROR(__xludf.DUMMYFUNCTION("""COMPUTED_VALUE"""),"Algorithms")</f>
        <v>Algorithms</v>
      </c>
      <c r="I1022" s="35">
        <f>IFERROR(__xludf.DUMMYFUNCTION("""COMPUTED_VALUE"""),0.798)</f>
        <v>0.798</v>
      </c>
      <c r="J1022" s="35">
        <f>IFERROR(__xludf.DUMMYFUNCTION("""COMPUTED_VALUE"""),1021.0)</f>
        <v>1021</v>
      </c>
      <c r="K1022" s="35" t="b">
        <f>IFERROR(__xludf.DUMMYFUNCTION("""COMPUTED_VALUE"""),FALSE)</f>
        <v>0</v>
      </c>
      <c r="L1022" s="35" t="str">
        <f>IFERROR(__xludf.DUMMYFUNCTION("""COMPUTED_VALUE"""),"String;Stack;")</f>
        <v>String;Stack;</v>
      </c>
      <c r="M1022" s="35" t="b">
        <f>IFERROR(__xludf.DUMMYFUNCTION("""COMPUTED_VALUE"""),FALSE)</f>
        <v>0</v>
      </c>
      <c r="N1022" s="35" t="b">
        <f>IFERROR(__xludf.DUMMYFUNCTION("""COMPUTED_VALUE"""),FALSE)</f>
        <v>0</v>
      </c>
      <c r="O1022" s="35">
        <f>IFERROR(__xludf.DUMMYFUNCTION("""COMPUTED_VALUE"""),79.7511834661124)</f>
        <v>79.75118347</v>
      </c>
      <c r="P1022" s="35">
        <f>IFERROR(__xludf.DUMMYFUNCTION("""COMPUTED_VALUE"""),165774.0)</f>
        <v>165774</v>
      </c>
      <c r="Q1022" s="35">
        <f>IFERROR(__xludf.DUMMYFUNCTION("""COMPUTED_VALUE"""),207864.0)</f>
        <v>207864</v>
      </c>
    </row>
    <row r="1023">
      <c r="A1023" s="35">
        <f>IFERROR(__xludf.DUMMYFUNCTION("""COMPUTED_VALUE"""),1079.0)</f>
        <v>1079</v>
      </c>
      <c r="B1023" s="35" t="str">
        <f>IFERROR(__xludf.DUMMYFUNCTION("""COMPUTED_VALUE"""),"Sum of Root To Leaf Binary Numbers")</f>
        <v>Sum of Root To Leaf Binary Numbers</v>
      </c>
      <c r="C1023" s="35" t="str">
        <f>IFERROR(__xludf.DUMMYFUNCTION("""COMPUTED_VALUE"""),"sum-of-root-to-leaf-binary-numbers")</f>
        <v>sum-of-root-to-leaf-binary-numbers</v>
      </c>
      <c r="D1023" s="35" t="b">
        <f>IFERROR(__xludf.DUMMYFUNCTION("""COMPUTED_VALUE"""),FALSE)</f>
        <v>0</v>
      </c>
      <c r="E1023" s="35" t="str">
        <f>IFERROR(__xludf.DUMMYFUNCTION("""COMPUTED_VALUE"""),"Easy")</f>
        <v>Easy</v>
      </c>
      <c r="F1023" s="35">
        <f>IFERROR(__xludf.DUMMYFUNCTION("""COMPUTED_VALUE"""),2414.0)</f>
        <v>2414</v>
      </c>
      <c r="G1023" s="35">
        <f>IFERROR(__xludf.DUMMYFUNCTION("""COMPUTED_VALUE"""),146.0)</f>
        <v>146</v>
      </c>
      <c r="H1023" s="35" t="str">
        <f>IFERROR(__xludf.DUMMYFUNCTION("""COMPUTED_VALUE"""),"Algorithms")</f>
        <v>Algorithms</v>
      </c>
      <c r="I1023" s="35">
        <f>IFERROR(__xludf.DUMMYFUNCTION("""COMPUTED_VALUE"""),0.739)</f>
        <v>0.739</v>
      </c>
      <c r="J1023" s="35">
        <f>IFERROR(__xludf.DUMMYFUNCTION("""COMPUTED_VALUE"""),1022.0)</f>
        <v>1022</v>
      </c>
      <c r="K1023" s="35" t="b">
        <f>IFERROR(__xludf.DUMMYFUNCTION("""COMPUTED_VALUE"""),FALSE)</f>
        <v>0</v>
      </c>
      <c r="L1023" s="35" t="str">
        <f>IFERROR(__xludf.DUMMYFUNCTION("""COMPUTED_VALUE"""),"Tree;Depth-First Search;Binary Tree;")</f>
        <v>Tree;Depth-First Search;Binary Tree;</v>
      </c>
      <c r="M1023" s="35" t="b">
        <f>IFERROR(__xludf.DUMMYFUNCTION("""COMPUTED_VALUE"""),TRUE)</f>
        <v>1</v>
      </c>
      <c r="N1023" s="35" t="b">
        <f>IFERROR(__xludf.DUMMYFUNCTION("""COMPUTED_VALUE"""),FALSE)</f>
        <v>0</v>
      </c>
      <c r="O1023" s="35">
        <f>IFERROR(__xludf.DUMMYFUNCTION("""COMPUTED_VALUE"""),73.8955804293729)</f>
        <v>73.89558043</v>
      </c>
      <c r="P1023" s="35">
        <f>IFERROR(__xludf.DUMMYFUNCTION("""COMPUTED_VALUE"""),156198.0)</f>
        <v>156198</v>
      </c>
      <c r="Q1023" s="35">
        <f>IFERROR(__xludf.DUMMYFUNCTION("""COMPUTED_VALUE"""),211377.0)</f>
        <v>211377</v>
      </c>
    </row>
    <row r="1024">
      <c r="A1024" s="35">
        <f>IFERROR(__xludf.DUMMYFUNCTION("""COMPUTED_VALUE"""),1080.0)</f>
        <v>1080</v>
      </c>
      <c r="B1024" s="35" t="str">
        <f>IFERROR(__xludf.DUMMYFUNCTION("""COMPUTED_VALUE"""),"Camelcase Matching")</f>
        <v>Camelcase Matching</v>
      </c>
      <c r="C1024" s="35" t="str">
        <f>IFERROR(__xludf.DUMMYFUNCTION("""COMPUTED_VALUE"""),"camelcase-matching")</f>
        <v>camelcase-matching</v>
      </c>
      <c r="D1024" s="35" t="b">
        <f>IFERROR(__xludf.DUMMYFUNCTION("""COMPUTED_VALUE"""),FALSE)</f>
        <v>0</v>
      </c>
      <c r="E1024" s="35" t="str">
        <f>IFERROR(__xludf.DUMMYFUNCTION("""COMPUTED_VALUE"""),"Medium")</f>
        <v>Medium</v>
      </c>
      <c r="F1024" s="35">
        <f>IFERROR(__xludf.DUMMYFUNCTION("""COMPUTED_VALUE"""),522.0)</f>
        <v>522</v>
      </c>
      <c r="G1024" s="35">
        <f>IFERROR(__xludf.DUMMYFUNCTION("""COMPUTED_VALUE"""),217.0)</f>
        <v>217</v>
      </c>
      <c r="H1024" s="35" t="str">
        <f>IFERROR(__xludf.DUMMYFUNCTION("""COMPUTED_VALUE"""),"Algorithms")</f>
        <v>Algorithms</v>
      </c>
      <c r="I1024" s="35">
        <f>IFERROR(__xludf.DUMMYFUNCTION("""COMPUTED_VALUE"""),0.589)</f>
        <v>0.589</v>
      </c>
      <c r="J1024" s="35">
        <f>IFERROR(__xludf.DUMMYFUNCTION("""COMPUTED_VALUE"""),1023.0)</f>
        <v>1023</v>
      </c>
      <c r="K1024" s="35" t="b">
        <f>IFERROR(__xludf.DUMMYFUNCTION("""COMPUTED_VALUE"""),FALSE)</f>
        <v>0</v>
      </c>
      <c r="L1024" s="35" t="str">
        <f>IFERROR(__xludf.DUMMYFUNCTION("""COMPUTED_VALUE"""),"Two Pointers;String;Trie;String Matching;")</f>
        <v>Two Pointers;String;Trie;String Matching;</v>
      </c>
      <c r="M1024" s="35" t="b">
        <f>IFERROR(__xludf.DUMMYFUNCTION("""COMPUTED_VALUE"""),FALSE)</f>
        <v>0</v>
      </c>
      <c r="N1024" s="35" t="b">
        <f>IFERROR(__xludf.DUMMYFUNCTION("""COMPUTED_VALUE"""),FALSE)</f>
        <v>0</v>
      </c>
      <c r="O1024" s="35">
        <f>IFERROR(__xludf.DUMMYFUNCTION("""COMPUTED_VALUE"""),58.9323580335778)</f>
        <v>58.93235803</v>
      </c>
      <c r="P1024" s="35">
        <f>IFERROR(__xludf.DUMMYFUNCTION("""COMPUTED_VALUE"""),30293.0)</f>
        <v>30293</v>
      </c>
      <c r="Q1024" s="35">
        <f>IFERROR(__xludf.DUMMYFUNCTION("""COMPUTED_VALUE"""),51403.0)</f>
        <v>51403</v>
      </c>
    </row>
    <row r="1025">
      <c r="A1025" s="35">
        <f>IFERROR(__xludf.DUMMYFUNCTION("""COMPUTED_VALUE"""),1081.0)</f>
        <v>1081</v>
      </c>
      <c r="B1025" s="35" t="str">
        <f>IFERROR(__xludf.DUMMYFUNCTION("""COMPUTED_VALUE"""),"Video Stitching")</f>
        <v>Video Stitching</v>
      </c>
      <c r="C1025" s="35" t="str">
        <f>IFERROR(__xludf.DUMMYFUNCTION("""COMPUTED_VALUE"""),"video-stitching")</f>
        <v>video-stitching</v>
      </c>
      <c r="D1025" s="35" t="b">
        <f>IFERROR(__xludf.DUMMYFUNCTION("""COMPUTED_VALUE"""),FALSE)</f>
        <v>0</v>
      </c>
      <c r="E1025" s="35" t="str">
        <f>IFERROR(__xludf.DUMMYFUNCTION("""COMPUTED_VALUE"""),"Medium")</f>
        <v>Medium</v>
      </c>
      <c r="F1025" s="35">
        <f>IFERROR(__xludf.DUMMYFUNCTION("""COMPUTED_VALUE"""),1145.0)</f>
        <v>1145</v>
      </c>
      <c r="G1025" s="35">
        <f>IFERROR(__xludf.DUMMYFUNCTION("""COMPUTED_VALUE"""),47.0)</f>
        <v>47</v>
      </c>
      <c r="H1025" s="35" t="str">
        <f>IFERROR(__xludf.DUMMYFUNCTION("""COMPUTED_VALUE"""),"Algorithms")</f>
        <v>Algorithms</v>
      </c>
      <c r="I1025" s="35">
        <f>IFERROR(__xludf.DUMMYFUNCTION("""COMPUTED_VALUE"""),0.5)</f>
        <v>0.5</v>
      </c>
      <c r="J1025" s="35">
        <f>IFERROR(__xludf.DUMMYFUNCTION("""COMPUTED_VALUE"""),1024.0)</f>
        <v>1024</v>
      </c>
      <c r="K1025" s="35" t="b">
        <f>IFERROR(__xludf.DUMMYFUNCTION("""COMPUTED_VALUE"""),FALSE)</f>
        <v>0</v>
      </c>
      <c r="L1025" s="35" t="str">
        <f>IFERROR(__xludf.DUMMYFUNCTION("""COMPUTED_VALUE"""),"Array;Dynamic Programming;Greedy;")</f>
        <v>Array;Dynamic Programming;Greedy;</v>
      </c>
      <c r="M1025" s="35" t="b">
        <f>IFERROR(__xludf.DUMMYFUNCTION("""COMPUTED_VALUE"""),FALSE)</f>
        <v>0</v>
      </c>
      <c r="N1025" s="35" t="b">
        <f>IFERROR(__xludf.DUMMYFUNCTION("""COMPUTED_VALUE"""),FALSE)</f>
        <v>0</v>
      </c>
      <c r="O1025" s="35">
        <f>IFERROR(__xludf.DUMMYFUNCTION("""COMPUTED_VALUE"""),49.9917098674684)</f>
        <v>49.99170987</v>
      </c>
      <c r="P1025" s="35">
        <f>IFERROR(__xludf.DUMMYFUNCTION("""COMPUTED_VALUE"""),45227.0)</f>
        <v>45227</v>
      </c>
      <c r="Q1025" s="35">
        <f>IFERROR(__xludf.DUMMYFUNCTION("""COMPUTED_VALUE"""),90463.0)</f>
        <v>90463</v>
      </c>
    </row>
    <row r="1026">
      <c r="A1026" s="35">
        <f>IFERROR(__xludf.DUMMYFUNCTION("""COMPUTED_VALUE"""),1086.0)</f>
        <v>1086</v>
      </c>
      <c r="B1026" s="35" t="str">
        <f>IFERROR(__xludf.DUMMYFUNCTION("""COMPUTED_VALUE"""),"Divisor Game")</f>
        <v>Divisor Game</v>
      </c>
      <c r="C1026" s="35" t="str">
        <f>IFERROR(__xludf.DUMMYFUNCTION("""COMPUTED_VALUE"""),"divisor-game")</f>
        <v>divisor-game</v>
      </c>
      <c r="D1026" s="35" t="b">
        <f>IFERROR(__xludf.DUMMYFUNCTION("""COMPUTED_VALUE"""),FALSE)</f>
        <v>0</v>
      </c>
      <c r="E1026" s="35" t="str">
        <f>IFERROR(__xludf.DUMMYFUNCTION("""COMPUTED_VALUE"""),"Easy")</f>
        <v>Easy</v>
      </c>
      <c r="F1026" s="35">
        <f>IFERROR(__xludf.DUMMYFUNCTION("""COMPUTED_VALUE"""),1225.0)</f>
        <v>1225</v>
      </c>
      <c r="G1026" s="35">
        <f>IFERROR(__xludf.DUMMYFUNCTION("""COMPUTED_VALUE"""),2943.0)</f>
        <v>2943</v>
      </c>
      <c r="H1026" s="35" t="str">
        <f>IFERROR(__xludf.DUMMYFUNCTION("""COMPUTED_VALUE"""),"Algorithms")</f>
        <v>Algorithms</v>
      </c>
      <c r="I1026" s="35">
        <f>IFERROR(__xludf.DUMMYFUNCTION("""COMPUTED_VALUE"""),0.666)</f>
        <v>0.666</v>
      </c>
      <c r="J1026" s="35">
        <f>IFERROR(__xludf.DUMMYFUNCTION("""COMPUTED_VALUE"""),1025.0)</f>
        <v>1025</v>
      </c>
      <c r="K1026" s="35" t="b">
        <f>IFERROR(__xludf.DUMMYFUNCTION("""COMPUTED_VALUE"""),FALSE)</f>
        <v>0</v>
      </c>
      <c r="L1026" s="35" t="str">
        <f>IFERROR(__xludf.DUMMYFUNCTION("""COMPUTED_VALUE"""),"Math;Dynamic Programming;Brainteaser;Game Theory;")</f>
        <v>Math;Dynamic Programming;Brainteaser;Game Theory;</v>
      </c>
      <c r="M1026" s="35" t="b">
        <f>IFERROR(__xludf.DUMMYFUNCTION("""COMPUTED_VALUE"""),FALSE)</f>
        <v>0</v>
      </c>
      <c r="N1026" s="35" t="b">
        <f>IFERROR(__xludf.DUMMYFUNCTION("""COMPUTED_VALUE"""),FALSE)</f>
        <v>0</v>
      </c>
      <c r="O1026" s="35">
        <f>IFERROR(__xludf.DUMMYFUNCTION("""COMPUTED_VALUE"""),66.5502238877068)</f>
        <v>66.55022389</v>
      </c>
      <c r="P1026" s="35">
        <f>IFERROR(__xludf.DUMMYFUNCTION("""COMPUTED_VALUE"""),146692.0)</f>
        <v>146692</v>
      </c>
      <c r="Q1026" s="35">
        <f>IFERROR(__xludf.DUMMYFUNCTION("""COMPUTED_VALUE"""),220423.0)</f>
        <v>220423</v>
      </c>
    </row>
    <row r="1027">
      <c r="A1027" s="35">
        <f>IFERROR(__xludf.DUMMYFUNCTION("""COMPUTED_VALUE"""),1092.0)</f>
        <v>1092</v>
      </c>
      <c r="B1027" s="35" t="str">
        <f>IFERROR(__xludf.DUMMYFUNCTION("""COMPUTED_VALUE"""),"Maximum Difference Between Node and Ancestor")</f>
        <v>Maximum Difference Between Node and Ancestor</v>
      </c>
      <c r="C1027" s="35" t="str">
        <f>IFERROR(__xludf.DUMMYFUNCTION("""COMPUTED_VALUE"""),"maximum-difference-between-node-and-ancestor")</f>
        <v>maximum-difference-between-node-and-ancestor</v>
      </c>
      <c r="D1027" s="35" t="b">
        <f>IFERROR(__xludf.DUMMYFUNCTION("""COMPUTED_VALUE"""),FALSE)</f>
        <v>0</v>
      </c>
      <c r="E1027" s="35" t="str">
        <f>IFERROR(__xludf.DUMMYFUNCTION("""COMPUTED_VALUE"""),"Medium")</f>
        <v>Medium</v>
      </c>
      <c r="F1027" s="35">
        <f>IFERROR(__xludf.DUMMYFUNCTION("""COMPUTED_VALUE"""),2258.0)</f>
        <v>2258</v>
      </c>
      <c r="G1027" s="35">
        <f>IFERROR(__xludf.DUMMYFUNCTION("""COMPUTED_VALUE"""),63.0)</f>
        <v>63</v>
      </c>
      <c r="H1027" s="35" t="str">
        <f>IFERROR(__xludf.DUMMYFUNCTION("""COMPUTED_VALUE"""),"Algorithms")</f>
        <v>Algorithms</v>
      </c>
      <c r="I1027" s="35">
        <f>IFERROR(__xludf.DUMMYFUNCTION("""COMPUTED_VALUE"""),0.731)</f>
        <v>0.731</v>
      </c>
      <c r="J1027" s="35">
        <f>IFERROR(__xludf.DUMMYFUNCTION("""COMPUTED_VALUE"""),1026.0)</f>
        <v>1026</v>
      </c>
      <c r="K1027" s="35" t="b">
        <f>IFERROR(__xludf.DUMMYFUNCTION("""COMPUTED_VALUE"""),FALSE)</f>
        <v>0</v>
      </c>
      <c r="L1027" s="35" t="str">
        <f>IFERROR(__xludf.DUMMYFUNCTION("""COMPUTED_VALUE"""),"Tree;Depth-First Search;Binary Tree;")</f>
        <v>Tree;Depth-First Search;Binary Tree;</v>
      </c>
      <c r="M1027" s="35" t="b">
        <f>IFERROR(__xludf.DUMMYFUNCTION("""COMPUTED_VALUE"""),TRUE)</f>
        <v>1</v>
      </c>
      <c r="N1027" s="35" t="b">
        <f>IFERROR(__xludf.DUMMYFUNCTION("""COMPUTED_VALUE"""),FALSE)</f>
        <v>0</v>
      </c>
      <c r="O1027" s="35">
        <f>IFERROR(__xludf.DUMMYFUNCTION("""COMPUTED_VALUE"""),73.0999392905669)</f>
        <v>73.09993929</v>
      </c>
      <c r="P1027" s="35">
        <f>IFERROR(__xludf.DUMMYFUNCTION("""COMPUTED_VALUE"""),126427.0)</f>
        <v>126427</v>
      </c>
      <c r="Q1027" s="35">
        <f>IFERROR(__xludf.DUMMYFUNCTION("""COMPUTED_VALUE"""),172952.0)</f>
        <v>172952</v>
      </c>
    </row>
    <row r="1028">
      <c r="A1028" s="35">
        <f>IFERROR(__xludf.DUMMYFUNCTION("""COMPUTED_VALUE"""),1087.0)</f>
        <v>1087</v>
      </c>
      <c r="B1028" s="35" t="str">
        <f>IFERROR(__xludf.DUMMYFUNCTION("""COMPUTED_VALUE"""),"Longest Arithmetic Subsequence")</f>
        <v>Longest Arithmetic Subsequence</v>
      </c>
      <c r="C1028" s="35" t="str">
        <f>IFERROR(__xludf.DUMMYFUNCTION("""COMPUTED_VALUE"""),"longest-arithmetic-subsequence")</f>
        <v>longest-arithmetic-subsequence</v>
      </c>
      <c r="D1028" s="35" t="b">
        <f>IFERROR(__xludf.DUMMYFUNCTION("""COMPUTED_VALUE"""),FALSE)</f>
        <v>0</v>
      </c>
      <c r="E1028" s="35" t="str">
        <f>IFERROR(__xludf.DUMMYFUNCTION("""COMPUTED_VALUE"""),"Medium")</f>
        <v>Medium</v>
      </c>
      <c r="F1028" s="35">
        <f>IFERROR(__xludf.DUMMYFUNCTION("""COMPUTED_VALUE"""),1972.0)</f>
        <v>1972</v>
      </c>
      <c r="G1028" s="35">
        <f>IFERROR(__xludf.DUMMYFUNCTION("""COMPUTED_VALUE"""),94.0)</f>
        <v>94</v>
      </c>
      <c r="H1028" s="35" t="str">
        <f>IFERROR(__xludf.DUMMYFUNCTION("""COMPUTED_VALUE"""),"Algorithms")</f>
        <v>Algorithms</v>
      </c>
      <c r="I1028" s="35">
        <f>IFERROR(__xludf.DUMMYFUNCTION("""COMPUTED_VALUE"""),0.483)</f>
        <v>0.483</v>
      </c>
      <c r="J1028" s="35">
        <f>IFERROR(__xludf.DUMMYFUNCTION("""COMPUTED_VALUE"""),1027.0)</f>
        <v>1027</v>
      </c>
      <c r="K1028" s="35" t="b">
        <f>IFERROR(__xludf.DUMMYFUNCTION("""COMPUTED_VALUE"""),FALSE)</f>
        <v>0</v>
      </c>
      <c r="L1028" s="35" t="str">
        <f>IFERROR(__xludf.DUMMYFUNCTION("""COMPUTED_VALUE"""),"Array;Hash Table;Binary Search;Dynamic Programming;")</f>
        <v>Array;Hash Table;Binary Search;Dynamic Programming;</v>
      </c>
      <c r="M1028" s="35" t="b">
        <f>IFERROR(__xludf.DUMMYFUNCTION("""COMPUTED_VALUE"""),FALSE)</f>
        <v>0</v>
      </c>
      <c r="N1028" s="35" t="b">
        <f>IFERROR(__xludf.DUMMYFUNCTION("""COMPUTED_VALUE"""),FALSE)</f>
        <v>0</v>
      </c>
      <c r="O1028" s="35">
        <f>IFERROR(__xludf.DUMMYFUNCTION("""COMPUTED_VALUE"""),48.3335373067352)</f>
        <v>48.33353731</v>
      </c>
      <c r="P1028" s="35">
        <f>IFERROR(__xludf.DUMMYFUNCTION("""COMPUTED_VALUE"""),82936.0)</f>
        <v>82936</v>
      </c>
      <c r="Q1028" s="35">
        <f>IFERROR(__xludf.DUMMYFUNCTION("""COMPUTED_VALUE"""),171591.0)</f>
        <v>171591</v>
      </c>
    </row>
    <row r="1029">
      <c r="A1029" s="35">
        <f>IFERROR(__xludf.DUMMYFUNCTION("""COMPUTED_VALUE"""),1093.0)</f>
        <v>1093</v>
      </c>
      <c r="B1029" s="35" t="str">
        <f>IFERROR(__xludf.DUMMYFUNCTION("""COMPUTED_VALUE"""),"Recover a Tree From Preorder Traversal")</f>
        <v>Recover a Tree From Preorder Traversal</v>
      </c>
      <c r="C1029" s="35" t="str">
        <f>IFERROR(__xludf.DUMMYFUNCTION("""COMPUTED_VALUE"""),"recover-a-tree-from-preorder-traversal")</f>
        <v>recover-a-tree-from-preorder-traversal</v>
      </c>
      <c r="D1029" s="35" t="b">
        <f>IFERROR(__xludf.DUMMYFUNCTION("""COMPUTED_VALUE"""),FALSE)</f>
        <v>0</v>
      </c>
      <c r="E1029" s="35" t="str">
        <f>IFERROR(__xludf.DUMMYFUNCTION("""COMPUTED_VALUE"""),"Hard")</f>
        <v>Hard</v>
      </c>
      <c r="F1029" s="35">
        <f>IFERROR(__xludf.DUMMYFUNCTION("""COMPUTED_VALUE"""),988.0)</f>
        <v>988</v>
      </c>
      <c r="G1029" s="35">
        <f>IFERROR(__xludf.DUMMYFUNCTION("""COMPUTED_VALUE"""),29.0)</f>
        <v>29</v>
      </c>
      <c r="H1029" s="35" t="str">
        <f>IFERROR(__xludf.DUMMYFUNCTION("""COMPUTED_VALUE"""),"Algorithms")</f>
        <v>Algorithms</v>
      </c>
      <c r="I1029" s="35">
        <f>IFERROR(__xludf.DUMMYFUNCTION("""COMPUTED_VALUE"""),0.722)</f>
        <v>0.722</v>
      </c>
      <c r="J1029" s="35">
        <f>IFERROR(__xludf.DUMMYFUNCTION("""COMPUTED_VALUE"""),1028.0)</f>
        <v>1028</v>
      </c>
      <c r="K1029" s="35" t="b">
        <f>IFERROR(__xludf.DUMMYFUNCTION("""COMPUTED_VALUE"""),FALSE)</f>
        <v>0</v>
      </c>
      <c r="L1029" s="35" t="str">
        <f>IFERROR(__xludf.DUMMYFUNCTION("""COMPUTED_VALUE"""),"String;Tree;Depth-First Search;Binary Tree;")</f>
        <v>String;Tree;Depth-First Search;Binary Tree;</v>
      </c>
      <c r="M1029" s="35" t="b">
        <f>IFERROR(__xludf.DUMMYFUNCTION("""COMPUTED_VALUE"""),FALSE)</f>
        <v>0</v>
      </c>
      <c r="N1029" s="35" t="b">
        <f>IFERROR(__xludf.DUMMYFUNCTION("""COMPUTED_VALUE"""),FALSE)</f>
        <v>0</v>
      </c>
      <c r="O1029" s="35">
        <f>IFERROR(__xludf.DUMMYFUNCTION("""COMPUTED_VALUE"""),72.2346850733391)</f>
        <v>72.23468507</v>
      </c>
      <c r="P1029" s="35">
        <f>IFERROR(__xludf.DUMMYFUNCTION("""COMPUTED_VALUE"""),33488.0)</f>
        <v>33488</v>
      </c>
      <c r="Q1029" s="35">
        <f>IFERROR(__xludf.DUMMYFUNCTION("""COMPUTED_VALUE"""),46360.0)</f>
        <v>46360</v>
      </c>
    </row>
    <row r="1030">
      <c r="A1030" s="35">
        <f>IFERROR(__xludf.DUMMYFUNCTION("""COMPUTED_VALUE"""),1095.0)</f>
        <v>1095</v>
      </c>
      <c r="B1030" s="35" t="str">
        <f>IFERROR(__xludf.DUMMYFUNCTION("""COMPUTED_VALUE"""),"Two City Scheduling")</f>
        <v>Two City Scheduling</v>
      </c>
      <c r="C1030" s="35" t="str">
        <f>IFERROR(__xludf.DUMMYFUNCTION("""COMPUTED_VALUE"""),"two-city-scheduling")</f>
        <v>two-city-scheduling</v>
      </c>
      <c r="D1030" s="35" t="b">
        <f>IFERROR(__xludf.DUMMYFUNCTION("""COMPUTED_VALUE"""),FALSE)</f>
        <v>0</v>
      </c>
      <c r="E1030" s="35" t="str">
        <f>IFERROR(__xludf.DUMMYFUNCTION("""COMPUTED_VALUE"""),"Medium")</f>
        <v>Medium</v>
      </c>
      <c r="F1030" s="35">
        <f>IFERROR(__xludf.DUMMYFUNCTION("""COMPUTED_VALUE"""),2367.0)</f>
        <v>2367</v>
      </c>
      <c r="G1030" s="35">
        <f>IFERROR(__xludf.DUMMYFUNCTION("""COMPUTED_VALUE"""),230.0)</f>
        <v>230</v>
      </c>
      <c r="H1030" s="35" t="str">
        <f>IFERROR(__xludf.DUMMYFUNCTION("""COMPUTED_VALUE"""),"Algorithms")</f>
        <v>Algorithms</v>
      </c>
      <c r="I1030" s="35">
        <f>IFERROR(__xludf.DUMMYFUNCTION("""COMPUTED_VALUE"""),0.6)</f>
        <v>0.6</v>
      </c>
      <c r="J1030" s="35">
        <f>IFERROR(__xludf.DUMMYFUNCTION("""COMPUTED_VALUE"""),1029.0)</f>
        <v>1029</v>
      </c>
      <c r="K1030" s="35" t="b">
        <f>IFERROR(__xludf.DUMMYFUNCTION("""COMPUTED_VALUE"""),FALSE)</f>
        <v>0</v>
      </c>
      <c r="L1030" s="35" t="str">
        <f>IFERROR(__xludf.DUMMYFUNCTION("""COMPUTED_VALUE"""),"Array;Greedy;Sorting;")</f>
        <v>Array;Greedy;Sorting;</v>
      </c>
      <c r="M1030" s="35" t="b">
        <f>IFERROR(__xludf.DUMMYFUNCTION("""COMPUTED_VALUE"""),TRUE)</f>
        <v>1</v>
      </c>
      <c r="N1030" s="35" t="b">
        <f>IFERROR(__xludf.DUMMYFUNCTION("""COMPUTED_VALUE"""),FALSE)</f>
        <v>0</v>
      </c>
      <c r="O1030" s="35">
        <f>IFERROR(__xludf.DUMMYFUNCTION("""COMPUTED_VALUE"""),60.0007148793194)</f>
        <v>60.00071488</v>
      </c>
      <c r="P1030" s="35">
        <f>IFERROR(__xludf.DUMMYFUNCTION("""COMPUTED_VALUE"""),134290.0)</f>
        <v>134290</v>
      </c>
      <c r="Q1030" s="35">
        <f>IFERROR(__xludf.DUMMYFUNCTION("""COMPUTED_VALUE"""),223814.0)</f>
        <v>223814</v>
      </c>
    </row>
    <row r="1031">
      <c r="A1031" s="35">
        <f>IFERROR(__xludf.DUMMYFUNCTION("""COMPUTED_VALUE"""),1094.0)</f>
        <v>1094</v>
      </c>
      <c r="B1031" s="35" t="str">
        <f>IFERROR(__xludf.DUMMYFUNCTION("""COMPUTED_VALUE"""),"Matrix Cells in Distance Order")</f>
        <v>Matrix Cells in Distance Order</v>
      </c>
      <c r="C1031" s="35" t="str">
        <f>IFERROR(__xludf.DUMMYFUNCTION("""COMPUTED_VALUE"""),"matrix-cells-in-distance-order")</f>
        <v>matrix-cells-in-distance-order</v>
      </c>
      <c r="D1031" s="35" t="b">
        <f>IFERROR(__xludf.DUMMYFUNCTION("""COMPUTED_VALUE"""),FALSE)</f>
        <v>0</v>
      </c>
      <c r="E1031" s="35" t="str">
        <f>IFERROR(__xludf.DUMMYFUNCTION("""COMPUTED_VALUE"""),"Easy")</f>
        <v>Easy</v>
      </c>
      <c r="F1031" s="35">
        <f>IFERROR(__xludf.DUMMYFUNCTION("""COMPUTED_VALUE"""),459.0)</f>
        <v>459</v>
      </c>
      <c r="G1031" s="35">
        <f>IFERROR(__xludf.DUMMYFUNCTION("""COMPUTED_VALUE"""),214.0)</f>
        <v>214</v>
      </c>
      <c r="H1031" s="35" t="str">
        <f>IFERROR(__xludf.DUMMYFUNCTION("""COMPUTED_VALUE"""),"Algorithms")</f>
        <v>Algorithms</v>
      </c>
      <c r="I1031" s="35">
        <f>IFERROR(__xludf.DUMMYFUNCTION("""COMPUTED_VALUE"""),0.689)</f>
        <v>0.689</v>
      </c>
      <c r="J1031" s="35">
        <f>IFERROR(__xludf.DUMMYFUNCTION("""COMPUTED_VALUE"""),1030.0)</f>
        <v>1030</v>
      </c>
      <c r="K1031" s="35" t="b">
        <f>IFERROR(__xludf.DUMMYFUNCTION("""COMPUTED_VALUE"""),FALSE)</f>
        <v>0</v>
      </c>
      <c r="L1031" s="35" t="str">
        <f>IFERROR(__xludf.DUMMYFUNCTION("""COMPUTED_VALUE"""),"Array;Math;Geometry;Sorting;Matrix;")</f>
        <v>Array;Math;Geometry;Sorting;Matrix;</v>
      </c>
      <c r="M1031" s="35" t="b">
        <f>IFERROR(__xludf.DUMMYFUNCTION("""COMPUTED_VALUE"""),FALSE)</f>
        <v>0</v>
      </c>
      <c r="N1031" s="35" t="b">
        <f>IFERROR(__xludf.DUMMYFUNCTION("""COMPUTED_VALUE"""),FALSE)</f>
        <v>0</v>
      </c>
      <c r="O1031" s="35">
        <f>IFERROR(__xludf.DUMMYFUNCTION("""COMPUTED_VALUE"""),68.9292380790768)</f>
        <v>68.92923808</v>
      </c>
      <c r="P1031" s="35">
        <f>IFERROR(__xludf.DUMMYFUNCTION("""COMPUTED_VALUE"""),40620.0)</f>
        <v>40620</v>
      </c>
      <c r="Q1031" s="35">
        <f>IFERROR(__xludf.DUMMYFUNCTION("""COMPUTED_VALUE"""),58930.0)</f>
        <v>58930</v>
      </c>
    </row>
    <row r="1032">
      <c r="A1032" s="35">
        <f>IFERROR(__xludf.DUMMYFUNCTION("""COMPUTED_VALUE"""),1096.0)</f>
        <v>1096</v>
      </c>
      <c r="B1032" s="35" t="str">
        <f>IFERROR(__xludf.DUMMYFUNCTION("""COMPUTED_VALUE"""),"Maximum Sum of Two Non-Overlapping Subarrays")</f>
        <v>Maximum Sum of Two Non-Overlapping Subarrays</v>
      </c>
      <c r="C1032" s="35" t="str">
        <f>IFERROR(__xludf.DUMMYFUNCTION("""COMPUTED_VALUE"""),"maximum-sum-of-two-non-overlapping-subarrays")</f>
        <v>maximum-sum-of-two-non-overlapping-subarrays</v>
      </c>
      <c r="D1032" s="35" t="b">
        <f>IFERROR(__xludf.DUMMYFUNCTION("""COMPUTED_VALUE"""),FALSE)</f>
        <v>0</v>
      </c>
      <c r="E1032" s="35" t="str">
        <f>IFERROR(__xludf.DUMMYFUNCTION("""COMPUTED_VALUE"""),"Medium")</f>
        <v>Medium</v>
      </c>
      <c r="F1032" s="35">
        <f>IFERROR(__xludf.DUMMYFUNCTION("""COMPUTED_VALUE"""),1605.0)</f>
        <v>1605</v>
      </c>
      <c r="G1032" s="35">
        <f>IFERROR(__xludf.DUMMYFUNCTION("""COMPUTED_VALUE"""),69.0)</f>
        <v>69</v>
      </c>
      <c r="H1032" s="35" t="str">
        <f>IFERROR(__xludf.DUMMYFUNCTION("""COMPUTED_VALUE"""),"Algorithms")</f>
        <v>Algorithms</v>
      </c>
      <c r="I1032" s="35">
        <f>IFERROR(__xludf.DUMMYFUNCTION("""COMPUTED_VALUE"""),0.594)</f>
        <v>0.594</v>
      </c>
      <c r="J1032" s="35">
        <f>IFERROR(__xludf.DUMMYFUNCTION("""COMPUTED_VALUE"""),1031.0)</f>
        <v>1031</v>
      </c>
      <c r="K1032" s="35" t="b">
        <f>IFERROR(__xludf.DUMMYFUNCTION("""COMPUTED_VALUE"""),FALSE)</f>
        <v>0</v>
      </c>
      <c r="L1032" s="35" t="str">
        <f>IFERROR(__xludf.DUMMYFUNCTION("""COMPUTED_VALUE"""),"Array;Dynamic Programming;Sliding Window;")</f>
        <v>Array;Dynamic Programming;Sliding Window;</v>
      </c>
      <c r="M1032" s="35" t="b">
        <f>IFERROR(__xludf.DUMMYFUNCTION("""COMPUTED_VALUE"""),FALSE)</f>
        <v>0</v>
      </c>
      <c r="N1032" s="35" t="b">
        <f>IFERROR(__xludf.DUMMYFUNCTION("""COMPUTED_VALUE"""),FALSE)</f>
        <v>0</v>
      </c>
      <c r="O1032" s="35">
        <f>IFERROR(__xludf.DUMMYFUNCTION("""COMPUTED_VALUE"""),59.3634445961037)</f>
        <v>59.3634446</v>
      </c>
      <c r="P1032" s="35">
        <f>IFERROR(__xludf.DUMMYFUNCTION("""COMPUTED_VALUE"""),47841.0)</f>
        <v>47841</v>
      </c>
      <c r="Q1032" s="35">
        <f>IFERROR(__xludf.DUMMYFUNCTION("""COMPUTED_VALUE"""),80590.0)</f>
        <v>80590</v>
      </c>
    </row>
    <row r="1033">
      <c r="A1033" s="35">
        <f>IFERROR(__xludf.DUMMYFUNCTION("""COMPUTED_VALUE"""),1097.0)</f>
        <v>1097</v>
      </c>
      <c r="B1033" s="35" t="str">
        <f>IFERROR(__xludf.DUMMYFUNCTION("""COMPUTED_VALUE"""),"Stream of Characters")</f>
        <v>Stream of Characters</v>
      </c>
      <c r="C1033" s="35" t="str">
        <f>IFERROR(__xludf.DUMMYFUNCTION("""COMPUTED_VALUE"""),"stream-of-characters")</f>
        <v>stream-of-characters</v>
      </c>
      <c r="D1033" s="35" t="b">
        <f>IFERROR(__xludf.DUMMYFUNCTION("""COMPUTED_VALUE"""),FALSE)</f>
        <v>0</v>
      </c>
      <c r="E1033" s="35" t="str">
        <f>IFERROR(__xludf.DUMMYFUNCTION("""COMPUTED_VALUE"""),"Hard")</f>
        <v>Hard</v>
      </c>
      <c r="F1033" s="35">
        <f>IFERROR(__xludf.DUMMYFUNCTION("""COMPUTED_VALUE"""),1480.0)</f>
        <v>1480</v>
      </c>
      <c r="G1033" s="35">
        <f>IFERROR(__xludf.DUMMYFUNCTION("""COMPUTED_VALUE"""),168.0)</f>
        <v>168</v>
      </c>
      <c r="H1033" s="35" t="str">
        <f>IFERROR(__xludf.DUMMYFUNCTION("""COMPUTED_VALUE"""),"Algorithms")</f>
        <v>Algorithms</v>
      </c>
      <c r="I1033" s="35">
        <f>IFERROR(__xludf.DUMMYFUNCTION("""COMPUTED_VALUE"""),0.513)</f>
        <v>0.513</v>
      </c>
      <c r="J1033" s="35">
        <f>IFERROR(__xludf.DUMMYFUNCTION("""COMPUTED_VALUE"""),1032.0)</f>
        <v>1032</v>
      </c>
      <c r="K1033" s="35" t="b">
        <f>IFERROR(__xludf.DUMMYFUNCTION("""COMPUTED_VALUE"""),FALSE)</f>
        <v>0</v>
      </c>
      <c r="L1033" s="35" t="str">
        <f>IFERROR(__xludf.DUMMYFUNCTION("""COMPUTED_VALUE"""),"Array;String;Design;Trie;Data Stream;")</f>
        <v>Array;String;Design;Trie;Data Stream;</v>
      </c>
      <c r="M1033" s="35" t="b">
        <f>IFERROR(__xludf.DUMMYFUNCTION("""COMPUTED_VALUE"""),TRUE)</f>
        <v>1</v>
      </c>
      <c r="N1033" s="35" t="b">
        <f>IFERROR(__xludf.DUMMYFUNCTION("""COMPUTED_VALUE"""),FALSE)</f>
        <v>0</v>
      </c>
      <c r="O1033" s="35">
        <f>IFERROR(__xludf.DUMMYFUNCTION("""COMPUTED_VALUE"""),51.3276780150682)</f>
        <v>51.32767802</v>
      </c>
      <c r="P1033" s="35">
        <f>IFERROR(__xludf.DUMMYFUNCTION("""COMPUTED_VALUE"""),72487.0)</f>
        <v>72487</v>
      </c>
      <c r="Q1033" s="35">
        <f>IFERROR(__xludf.DUMMYFUNCTION("""COMPUTED_VALUE"""),141224.0)</f>
        <v>141224</v>
      </c>
    </row>
    <row r="1034">
      <c r="A1034" s="35">
        <f>IFERROR(__xludf.DUMMYFUNCTION("""COMPUTED_VALUE"""),1103.0)</f>
        <v>1103</v>
      </c>
      <c r="B1034" s="35" t="str">
        <f>IFERROR(__xludf.DUMMYFUNCTION("""COMPUTED_VALUE"""),"Moving Stones Until Consecutive")</f>
        <v>Moving Stones Until Consecutive</v>
      </c>
      <c r="C1034" s="35" t="str">
        <f>IFERROR(__xludf.DUMMYFUNCTION("""COMPUTED_VALUE"""),"moving-stones-until-consecutive")</f>
        <v>moving-stones-until-consecutive</v>
      </c>
      <c r="D1034" s="35" t="b">
        <f>IFERROR(__xludf.DUMMYFUNCTION("""COMPUTED_VALUE"""),FALSE)</f>
        <v>0</v>
      </c>
      <c r="E1034" s="35" t="str">
        <f>IFERROR(__xludf.DUMMYFUNCTION("""COMPUTED_VALUE"""),"Medium")</f>
        <v>Medium</v>
      </c>
      <c r="F1034" s="35">
        <f>IFERROR(__xludf.DUMMYFUNCTION("""COMPUTED_VALUE"""),145.0)</f>
        <v>145</v>
      </c>
      <c r="G1034" s="35">
        <f>IFERROR(__xludf.DUMMYFUNCTION("""COMPUTED_VALUE"""),575.0)</f>
        <v>575</v>
      </c>
      <c r="H1034" s="35" t="str">
        <f>IFERROR(__xludf.DUMMYFUNCTION("""COMPUTED_VALUE"""),"Algorithms")</f>
        <v>Algorithms</v>
      </c>
      <c r="I1034" s="35">
        <f>IFERROR(__xludf.DUMMYFUNCTION("""COMPUTED_VALUE"""),0.448)</f>
        <v>0.448</v>
      </c>
      <c r="J1034" s="35">
        <f>IFERROR(__xludf.DUMMYFUNCTION("""COMPUTED_VALUE"""),1033.0)</f>
        <v>1033</v>
      </c>
      <c r="K1034" s="35" t="b">
        <f>IFERROR(__xludf.DUMMYFUNCTION("""COMPUTED_VALUE"""),FALSE)</f>
        <v>0</v>
      </c>
      <c r="L1034" s="35" t="str">
        <f>IFERROR(__xludf.DUMMYFUNCTION("""COMPUTED_VALUE"""),"Math;Brainteaser;")</f>
        <v>Math;Brainteaser;</v>
      </c>
      <c r="M1034" s="35" t="b">
        <f>IFERROR(__xludf.DUMMYFUNCTION("""COMPUTED_VALUE"""),FALSE)</f>
        <v>0</v>
      </c>
      <c r="N1034" s="35" t="b">
        <f>IFERROR(__xludf.DUMMYFUNCTION("""COMPUTED_VALUE"""),FALSE)</f>
        <v>0</v>
      </c>
      <c r="O1034" s="35">
        <f>IFERROR(__xludf.DUMMYFUNCTION("""COMPUTED_VALUE"""),44.8121770702415)</f>
        <v>44.81217707</v>
      </c>
      <c r="P1034" s="35">
        <f>IFERROR(__xludf.DUMMYFUNCTION("""COMPUTED_VALUE"""),19254.0)</f>
        <v>19254</v>
      </c>
      <c r="Q1034" s="35">
        <f>IFERROR(__xludf.DUMMYFUNCTION("""COMPUTED_VALUE"""),42966.0)</f>
        <v>42966</v>
      </c>
    </row>
    <row r="1035">
      <c r="A1035" s="35">
        <f>IFERROR(__xludf.DUMMYFUNCTION("""COMPUTED_VALUE"""),1104.0)</f>
        <v>1104</v>
      </c>
      <c r="B1035" s="35" t="str">
        <f>IFERROR(__xludf.DUMMYFUNCTION("""COMPUTED_VALUE"""),"Coloring A Border")</f>
        <v>Coloring A Border</v>
      </c>
      <c r="C1035" s="35" t="str">
        <f>IFERROR(__xludf.DUMMYFUNCTION("""COMPUTED_VALUE"""),"coloring-a-border")</f>
        <v>coloring-a-border</v>
      </c>
      <c r="D1035" s="35" t="b">
        <f>IFERROR(__xludf.DUMMYFUNCTION("""COMPUTED_VALUE"""),FALSE)</f>
        <v>0</v>
      </c>
      <c r="E1035" s="35" t="str">
        <f>IFERROR(__xludf.DUMMYFUNCTION("""COMPUTED_VALUE"""),"Medium")</f>
        <v>Medium</v>
      </c>
      <c r="F1035" s="35">
        <f>IFERROR(__xludf.DUMMYFUNCTION("""COMPUTED_VALUE"""),378.0)</f>
        <v>378</v>
      </c>
      <c r="G1035" s="35">
        <f>IFERROR(__xludf.DUMMYFUNCTION("""COMPUTED_VALUE"""),573.0)</f>
        <v>573</v>
      </c>
      <c r="H1035" s="35" t="str">
        <f>IFERROR(__xludf.DUMMYFUNCTION("""COMPUTED_VALUE"""),"Algorithms")</f>
        <v>Algorithms</v>
      </c>
      <c r="I1035" s="35">
        <f>IFERROR(__xludf.DUMMYFUNCTION("""COMPUTED_VALUE"""),0.482)</f>
        <v>0.482</v>
      </c>
      <c r="J1035" s="35">
        <f>IFERROR(__xludf.DUMMYFUNCTION("""COMPUTED_VALUE"""),1034.0)</f>
        <v>1034</v>
      </c>
      <c r="K1035" s="35" t="b">
        <f>IFERROR(__xludf.DUMMYFUNCTION("""COMPUTED_VALUE"""),FALSE)</f>
        <v>0</v>
      </c>
      <c r="L1035" s="35" t="str">
        <f>IFERROR(__xludf.DUMMYFUNCTION("""COMPUTED_VALUE"""),"Array;Depth-First Search;Breadth-First Search;Matrix;")</f>
        <v>Array;Depth-First Search;Breadth-First Search;Matrix;</v>
      </c>
      <c r="M1035" s="35" t="b">
        <f>IFERROR(__xludf.DUMMYFUNCTION("""COMPUTED_VALUE"""),FALSE)</f>
        <v>0</v>
      </c>
      <c r="N1035" s="35" t="b">
        <f>IFERROR(__xludf.DUMMYFUNCTION("""COMPUTED_VALUE"""),FALSE)</f>
        <v>0</v>
      </c>
      <c r="O1035" s="35">
        <f>IFERROR(__xludf.DUMMYFUNCTION("""COMPUTED_VALUE"""),48.1688167913061)</f>
        <v>48.16881679</v>
      </c>
      <c r="P1035" s="35">
        <f>IFERROR(__xludf.DUMMYFUNCTION("""COMPUTED_VALUE"""),21320.0)</f>
        <v>21320</v>
      </c>
      <c r="Q1035" s="35">
        <f>IFERROR(__xludf.DUMMYFUNCTION("""COMPUTED_VALUE"""),44261.0)</f>
        <v>44261</v>
      </c>
    </row>
    <row r="1036">
      <c r="A1036" s="35">
        <f>IFERROR(__xludf.DUMMYFUNCTION("""COMPUTED_VALUE"""),1105.0)</f>
        <v>1105</v>
      </c>
      <c r="B1036" s="35" t="str">
        <f>IFERROR(__xludf.DUMMYFUNCTION("""COMPUTED_VALUE"""),"Uncrossed Lines")</f>
        <v>Uncrossed Lines</v>
      </c>
      <c r="C1036" s="35" t="str">
        <f>IFERROR(__xludf.DUMMYFUNCTION("""COMPUTED_VALUE"""),"uncrossed-lines")</f>
        <v>uncrossed-lines</v>
      </c>
      <c r="D1036" s="35" t="b">
        <f>IFERROR(__xludf.DUMMYFUNCTION("""COMPUTED_VALUE"""),FALSE)</f>
        <v>0</v>
      </c>
      <c r="E1036" s="35" t="str">
        <f>IFERROR(__xludf.DUMMYFUNCTION("""COMPUTED_VALUE"""),"Medium")</f>
        <v>Medium</v>
      </c>
      <c r="F1036" s="35">
        <f>IFERROR(__xludf.DUMMYFUNCTION("""COMPUTED_VALUE"""),1585.0)</f>
        <v>1585</v>
      </c>
      <c r="G1036" s="35">
        <f>IFERROR(__xludf.DUMMYFUNCTION("""COMPUTED_VALUE"""),27.0)</f>
        <v>27</v>
      </c>
      <c r="H1036" s="35" t="str">
        <f>IFERROR(__xludf.DUMMYFUNCTION("""COMPUTED_VALUE"""),"Algorithms")</f>
        <v>Algorithms</v>
      </c>
      <c r="I1036" s="35">
        <f>IFERROR(__xludf.DUMMYFUNCTION("""COMPUTED_VALUE"""),0.578)</f>
        <v>0.578</v>
      </c>
      <c r="J1036" s="35">
        <f>IFERROR(__xludf.DUMMYFUNCTION("""COMPUTED_VALUE"""),1035.0)</f>
        <v>1035</v>
      </c>
      <c r="K1036" s="35" t="b">
        <f>IFERROR(__xludf.DUMMYFUNCTION("""COMPUTED_VALUE"""),FALSE)</f>
        <v>0</v>
      </c>
      <c r="L1036" s="35" t="str">
        <f>IFERROR(__xludf.DUMMYFUNCTION("""COMPUTED_VALUE"""),"Array;Dynamic Programming;")</f>
        <v>Array;Dynamic Programming;</v>
      </c>
      <c r="M1036" s="35" t="b">
        <f>IFERROR(__xludf.DUMMYFUNCTION("""COMPUTED_VALUE"""),FALSE)</f>
        <v>0</v>
      </c>
      <c r="N1036" s="35" t="b">
        <f>IFERROR(__xludf.DUMMYFUNCTION("""COMPUTED_VALUE"""),FALSE)</f>
        <v>0</v>
      </c>
      <c r="O1036" s="35">
        <f>IFERROR(__xludf.DUMMYFUNCTION("""COMPUTED_VALUE"""),57.7521598605007)</f>
        <v>57.75215986</v>
      </c>
      <c r="P1036" s="35">
        <f>IFERROR(__xludf.DUMMYFUNCTION("""COMPUTED_VALUE"""),65577.0)</f>
        <v>65577</v>
      </c>
      <c r="Q1036" s="35">
        <f>IFERROR(__xludf.DUMMYFUNCTION("""COMPUTED_VALUE"""),113549.0)</f>
        <v>113549</v>
      </c>
    </row>
    <row r="1037">
      <c r="A1037" s="35">
        <f>IFERROR(__xludf.DUMMYFUNCTION("""COMPUTED_VALUE"""),1106.0)</f>
        <v>1106</v>
      </c>
      <c r="B1037" s="35" t="str">
        <f>IFERROR(__xludf.DUMMYFUNCTION("""COMPUTED_VALUE"""),"Escape a Large Maze")</f>
        <v>Escape a Large Maze</v>
      </c>
      <c r="C1037" s="35" t="str">
        <f>IFERROR(__xludf.DUMMYFUNCTION("""COMPUTED_VALUE"""),"escape-a-large-maze")</f>
        <v>escape-a-large-maze</v>
      </c>
      <c r="D1037" s="35" t="b">
        <f>IFERROR(__xludf.DUMMYFUNCTION("""COMPUTED_VALUE"""),FALSE)</f>
        <v>0</v>
      </c>
      <c r="E1037" s="35" t="str">
        <f>IFERROR(__xludf.DUMMYFUNCTION("""COMPUTED_VALUE"""),"Hard")</f>
        <v>Hard</v>
      </c>
      <c r="F1037" s="35">
        <f>IFERROR(__xludf.DUMMYFUNCTION("""COMPUTED_VALUE"""),440.0)</f>
        <v>440</v>
      </c>
      <c r="G1037" s="35">
        <f>IFERROR(__xludf.DUMMYFUNCTION("""COMPUTED_VALUE"""),138.0)</f>
        <v>138</v>
      </c>
      <c r="H1037" s="35" t="str">
        <f>IFERROR(__xludf.DUMMYFUNCTION("""COMPUTED_VALUE"""),"Algorithms")</f>
        <v>Algorithms</v>
      </c>
      <c r="I1037" s="35">
        <f>IFERROR(__xludf.DUMMYFUNCTION("""COMPUTED_VALUE"""),0.343)</f>
        <v>0.343</v>
      </c>
      <c r="J1037" s="35">
        <f>IFERROR(__xludf.DUMMYFUNCTION("""COMPUTED_VALUE"""),1036.0)</f>
        <v>1036</v>
      </c>
      <c r="K1037" s="35" t="b">
        <f>IFERROR(__xludf.DUMMYFUNCTION("""COMPUTED_VALUE"""),FALSE)</f>
        <v>0</v>
      </c>
      <c r="L1037" s="35" t="str">
        <f>IFERROR(__xludf.DUMMYFUNCTION("""COMPUTED_VALUE"""),"Array;Hash Table;Depth-First Search;Breadth-First Search;")</f>
        <v>Array;Hash Table;Depth-First Search;Breadth-First Search;</v>
      </c>
      <c r="M1037" s="35" t="b">
        <f>IFERROR(__xludf.DUMMYFUNCTION("""COMPUTED_VALUE"""),FALSE)</f>
        <v>0</v>
      </c>
      <c r="N1037" s="35" t="b">
        <f>IFERROR(__xludf.DUMMYFUNCTION("""COMPUTED_VALUE"""),FALSE)</f>
        <v>0</v>
      </c>
      <c r="O1037" s="35">
        <f>IFERROR(__xludf.DUMMYFUNCTION("""COMPUTED_VALUE"""),34.2874515809386)</f>
        <v>34.28745158</v>
      </c>
      <c r="P1037" s="35">
        <f>IFERROR(__xludf.DUMMYFUNCTION("""COMPUTED_VALUE"""),15224.0)</f>
        <v>15224</v>
      </c>
      <c r="Q1037" s="35">
        <f>IFERROR(__xludf.DUMMYFUNCTION("""COMPUTED_VALUE"""),44401.0)</f>
        <v>44401</v>
      </c>
    </row>
    <row r="1038">
      <c r="A1038" s="35">
        <f>IFERROR(__xludf.DUMMYFUNCTION("""COMPUTED_VALUE"""),1115.0)</f>
        <v>1115</v>
      </c>
      <c r="B1038" s="35" t="str">
        <f>IFERROR(__xludf.DUMMYFUNCTION("""COMPUTED_VALUE"""),"Valid Boomerang")</f>
        <v>Valid Boomerang</v>
      </c>
      <c r="C1038" s="35" t="str">
        <f>IFERROR(__xludf.DUMMYFUNCTION("""COMPUTED_VALUE"""),"valid-boomerang")</f>
        <v>valid-boomerang</v>
      </c>
      <c r="D1038" s="35" t="b">
        <f>IFERROR(__xludf.DUMMYFUNCTION("""COMPUTED_VALUE"""),FALSE)</f>
        <v>0</v>
      </c>
      <c r="E1038" s="35" t="str">
        <f>IFERROR(__xludf.DUMMYFUNCTION("""COMPUTED_VALUE"""),"Easy")</f>
        <v>Easy</v>
      </c>
      <c r="F1038" s="35">
        <f>IFERROR(__xludf.DUMMYFUNCTION("""COMPUTED_VALUE"""),216.0)</f>
        <v>216</v>
      </c>
      <c r="G1038" s="35">
        <f>IFERROR(__xludf.DUMMYFUNCTION("""COMPUTED_VALUE"""),341.0)</f>
        <v>341</v>
      </c>
      <c r="H1038" s="35" t="str">
        <f>IFERROR(__xludf.DUMMYFUNCTION("""COMPUTED_VALUE"""),"Algorithms")</f>
        <v>Algorithms</v>
      </c>
      <c r="I1038" s="35">
        <f>IFERROR(__xludf.DUMMYFUNCTION("""COMPUTED_VALUE"""),0.374)</f>
        <v>0.374</v>
      </c>
      <c r="J1038" s="35">
        <f>IFERROR(__xludf.DUMMYFUNCTION("""COMPUTED_VALUE"""),1037.0)</f>
        <v>1037</v>
      </c>
      <c r="K1038" s="35" t="b">
        <f>IFERROR(__xludf.DUMMYFUNCTION("""COMPUTED_VALUE"""),FALSE)</f>
        <v>0</v>
      </c>
      <c r="L1038" s="35" t="str">
        <f>IFERROR(__xludf.DUMMYFUNCTION("""COMPUTED_VALUE"""),"Math;Geometry;")</f>
        <v>Math;Geometry;</v>
      </c>
      <c r="M1038" s="35" t="b">
        <f>IFERROR(__xludf.DUMMYFUNCTION("""COMPUTED_VALUE"""),FALSE)</f>
        <v>0</v>
      </c>
      <c r="N1038" s="35" t="b">
        <f>IFERROR(__xludf.DUMMYFUNCTION("""COMPUTED_VALUE"""),FALSE)</f>
        <v>0</v>
      </c>
      <c r="O1038" s="35">
        <f>IFERROR(__xludf.DUMMYFUNCTION("""COMPUTED_VALUE"""),37.4198420361979)</f>
        <v>37.41984204</v>
      </c>
      <c r="P1038" s="35">
        <f>IFERROR(__xludf.DUMMYFUNCTION("""COMPUTED_VALUE"""),30227.0)</f>
        <v>30227</v>
      </c>
      <c r="Q1038" s="35">
        <f>IFERROR(__xludf.DUMMYFUNCTION("""COMPUTED_VALUE"""),80778.0)</f>
        <v>80778</v>
      </c>
    </row>
    <row r="1039">
      <c r="A1039" s="35">
        <f>IFERROR(__xludf.DUMMYFUNCTION("""COMPUTED_VALUE"""),1114.0)</f>
        <v>1114</v>
      </c>
      <c r="B1039" s="35" t="str">
        <f>IFERROR(__xludf.DUMMYFUNCTION("""COMPUTED_VALUE"""),"Binary Search Tree to Greater Sum Tree")</f>
        <v>Binary Search Tree to Greater Sum Tree</v>
      </c>
      <c r="C1039" s="35" t="str">
        <f>IFERROR(__xludf.DUMMYFUNCTION("""COMPUTED_VALUE"""),"binary-search-tree-to-greater-sum-tree")</f>
        <v>binary-search-tree-to-greater-sum-tree</v>
      </c>
      <c r="D1039" s="35" t="b">
        <f>IFERROR(__xludf.DUMMYFUNCTION("""COMPUTED_VALUE"""),FALSE)</f>
        <v>0</v>
      </c>
      <c r="E1039" s="35" t="str">
        <f>IFERROR(__xludf.DUMMYFUNCTION("""COMPUTED_VALUE"""),"Medium")</f>
        <v>Medium</v>
      </c>
      <c r="F1039" s="35">
        <f>IFERROR(__xludf.DUMMYFUNCTION("""COMPUTED_VALUE"""),2339.0)</f>
        <v>2339</v>
      </c>
      <c r="G1039" s="35">
        <f>IFERROR(__xludf.DUMMYFUNCTION("""COMPUTED_VALUE"""),128.0)</f>
        <v>128</v>
      </c>
      <c r="H1039" s="35" t="str">
        <f>IFERROR(__xludf.DUMMYFUNCTION("""COMPUTED_VALUE"""),"Algorithms")</f>
        <v>Algorithms</v>
      </c>
      <c r="I1039" s="35">
        <f>IFERROR(__xludf.DUMMYFUNCTION("""COMPUTED_VALUE"""),0.845)</f>
        <v>0.845</v>
      </c>
      <c r="J1039" s="35">
        <f>IFERROR(__xludf.DUMMYFUNCTION("""COMPUTED_VALUE"""),1038.0)</f>
        <v>1038</v>
      </c>
      <c r="K1039" s="35" t="b">
        <f>IFERROR(__xludf.DUMMYFUNCTION("""COMPUTED_VALUE"""),FALSE)</f>
        <v>0</v>
      </c>
      <c r="L1039" s="35" t="str">
        <f>IFERROR(__xludf.DUMMYFUNCTION("""COMPUTED_VALUE"""),"Tree;Depth-First Search;Binary Search Tree;Binary Tree;")</f>
        <v>Tree;Depth-First Search;Binary Search Tree;Binary Tree;</v>
      </c>
      <c r="M1039" s="35" t="b">
        <f>IFERROR(__xludf.DUMMYFUNCTION("""COMPUTED_VALUE"""),FALSE)</f>
        <v>0</v>
      </c>
      <c r="N1039" s="35" t="b">
        <f>IFERROR(__xludf.DUMMYFUNCTION("""COMPUTED_VALUE"""),FALSE)</f>
        <v>0</v>
      </c>
      <c r="O1039" s="35">
        <f>IFERROR(__xludf.DUMMYFUNCTION("""COMPUTED_VALUE"""),84.4584268322685)</f>
        <v>84.45842683</v>
      </c>
      <c r="P1039" s="35">
        <f>IFERROR(__xludf.DUMMYFUNCTION("""COMPUTED_VALUE"""),113288.0)</f>
        <v>113288</v>
      </c>
      <c r="Q1039" s="35">
        <f>IFERROR(__xludf.DUMMYFUNCTION("""COMPUTED_VALUE"""),134135.0)</f>
        <v>134135</v>
      </c>
    </row>
    <row r="1040">
      <c r="A1040" s="35">
        <f>IFERROR(__xludf.DUMMYFUNCTION("""COMPUTED_VALUE"""),1111.0)</f>
        <v>1111</v>
      </c>
      <c r="B1040" s="35" t="str">
        <f>IFERROR(__xludf.DUMMYFUNCTION("""COMPUTED_VALUE"""),"Minimum Score Triangulation of Polygon")</f>
        <v>Minimum Score Triangulation of Polygon</v>
      </c>
      <c r="C1040" s="35" t="str">
        <f>IFERROR(__xludf.DUMMYFUNCTION("""COMPUTED_VALUE"""),"minimum-score-triangulation-of-polygon")</f>
        <v>minimum-score-triangulation-of-polygon</v>
      </c>
      <c r="D1040" s="35" t="b">
        <f>IFERROR(__xludf.DUMMYFUNCTION("""COMPUTED_VALUE"""),FALSE)</f>
        <v>0</v>
      </c>
      <c r="E1040" s="35" t="str">
        <f>IFERROR(__xludf.DUMMYFUNCTION("""COMPUTED_VALUE"""),"Medium")</f>
        <v>Medium</v>
      </c>
      <c r="F1040" s="35">
        <f>IFERROR(__xludf.DUMMYFUNCTION("""COMPUTED_VALUE"""),956.0)</f>
        <v>956</v>
      </c>
      <c r="G1040" s="35">
        <f>IFERROR(__xludf.DUMMYFUNCTION("""COMPUTED_VALUE"""),109.0)</f>
        <v>109</v>
      </c>
      <c r="H1040" s="35" t="str">
        <f>IFERROR(__xludf.DUMMYFUNCTION("""COMPUTED_VALUE"""),"Algorithms")</f>
        <v>Algorithms</v>
      </c>
      <c r="I1040" s="35">
        <f>IFERROR(__xludf.DUMMYFUNCTION("""COMPUTED_VALUE"""),0.524)</f>
        <v>0.524</v>
      </c>
      <c r="J1040" s="35">
        <f>IFERROR(__xludf.DUMMYFUNCTION("""COMPUTED_VALUE"""),1039.0)</f>
        <v>1039</v>
      </c>
      <c r="K1040" s="35" t="b">
        <f>IFERROR(__xludf.DUMMYFUNCTION("""COMPUTED_VALUE"""),FALSE)</f>
        <v>0</v>
      </c>
      <c r="L1040" s="35" t="str">
        <f>IFERROR(__xludf.DUMMYFUNCTION("""COMPUTED_VALUE"""),"Array;Dynamic Programming;")</f>
        <v>Array;Dynamic Programming;</v>
      </c>
      <c r="M1040" s="35" t="b">
        <f>IFERROR(__xludf.DUMMYFUNCTION("""COMPUTED_VALUE"""),FALSE)</f>
        <v>0</v>
      </c>
      <c r="N1040" s="35" t="b">
        <f>IFERROR(__xludf.DUMMYFUNCTION("""COMPUTED_VALUE"""),FALSE)</f>
        <v>0</v>
      </c>
      <c r="O1040" s="35">
        <f>IFERROR(__xludf.DUMMYFUNCTION("""COMPUTED_VALUE"""),52.4038343066952)</f>
        <v>52.40383431</v>
      </c>
      <c r="P1040" s="35">
        <f>IFERROR(__xludf.DUMMYFUNCTION("""COMPUTED_VALUE"""),21266.0)</f>
        <v>21266</v>
      </c>
      <c r="Q1040" s="35">
        <f>IFERROR(__xludf.DUMMYFUNCTION("""COMPUTED_VALUE"""),40581.0)</f>
        <v>40581</v>
      </c>
    </row>
    <row r="1041">
      <c r="A1041" s="35">
        <f>IFERROR(__xludf.DUMMYFUNCTION("""COMPUTED_VALUE"""),1113.0)</f>
        <v>1113</v>
      </c>
      <c r="B1041" s="35" t="str">
        <f>IFERROR(__xludf.DUMMYFUNCTION("""COMPUTED_VALUE"""),"Moving Stones Until Consecutive II")</f>
        <v>Moving Stones Until Consecutive II</v>
      </c>
      <c r="C1041" s="35" t="str">
        <f>IFERROR(__xludf.DUMMYFUNCTION("""COMPUTED_VALUE"""),"moving-stones-until-consecutive-ii")</f>
        <v>moving-stones-until-consecutive-ii</v>
      </c>
      <c r="D1041" s="35" t="b">
        <f>IFERROR(__xludf.DUMMYFUNCTION("""COMPUTED_VALUE"""),FALSE)</f>
        <v>0</v>
      </c>
      <c r="E1041" s="35" t="str">
        <f>IFERROR(__xludf.DUMMYFUNCTION("""COMPUTED_VALUE"""),"Medium")</f>
        <v>Medium</v>
      </c>
      <c r="F1041" s="35">
        <f>IFERROR(__xludf.DUMMYFUNCTION("""COMPUTED_VALUE"""),281.0)</f>
        <v>281</v>
      </c>
      <c r="G1041" s="35">
        <f>IFERROR(__xludf.DUMMYFUNCTION("""COMPUTED_VALUE"""),493.0)</f>
        <v>493</v>
      </c>
      <c r="H1041" s="35" t="str">
        <f>IFERROR(__xludf.DUMMYFUNCTION("""COMPUTED_VALUE"""),"Algorithms")</f>
        <v>Algorithms</v>
      </c>
      <c r="I1041" s="35">
        <f>IFERROR(__xludf.DUMMYFUNCTION("""COMPUTED_VALUE"""),0.554)</f>
        <v>0.554</v>
      </c>
      <c r="J1041" s="35">
        <f>IFERROR(__xludf.DUMMYFUNCTION("""COMPUTED_VALUE"""),1040.0)</f>
        <v>1040</v>
      </c>
      <c r="K1041" s="35" t="b">
        <f>IFERROR(__xludf.DUMMYFUNCTION("""COMPUTED_VALUE"""),FALSE)</f>
        <v>0</v>
      </c>
      <c r="L1041" s="35" t="str">
        <f>IFERROR(__xludf.DUMMYFUNCTION("""COMPUTED_VALUE"""),"Array;Math;Two Pointers;Sorting;")</f>
        <v>Array;Math;Two Pointers;Sorting;</v>
      </c>
      <c r="M1041" s="35" t="b">
        <f>IFERROR(__xludf.DUMMYFUNCTION("""COMPUTED_VALUE"""),FALSE)</f>
        <v>0</v>
      </c>
      <c r="N1041" s="35" t="b">
        <f>IFERROR(__xludf.DUMMYFUNCTION("""COMPUTED_VALUE"""),FALSE)</f>
        <v>0</v>
      </c>
      <c r="O1041" s="35">
        <f>IFERROR(__xludf.DUMMYFUNCTION("""COMPUTED_VALUE"""),55.3533269471667)</f>
        <v>55.35332695</v>
      </c>
      <c r="P1041" s="35">
        <f>IFERROR(__xludf.DUMMYFUNCTION("""COMPUTED_VALUE"""),7512.0)</f>
        <v>7512</v>
      </c>
      <c r="Q1041" s="35">
        <f>IFERROR(__xludf.DUMMYFUNCTION("""COMPUTED_VALUE"""),13570.0)</f>
        <v>13570</v>
      </c>
    </row>
    <row r="1042">
      <c r="A1042" s="35">
        <f>IFERROR(__xludf.DUMMYFUNCTION("""COMPUTED_VALUE"""),1119.0)</f>
        <v>1119</v>
      </c>
      <c r="B1042" s="35" t="str">
        <f>IFERROR(__xludf.DUMMYFUNCTION("""COMPUTED_VALUE"""),"Robot Bounded In Circle")</f>
        <v>Robot Bounded In Circle</v>
      </c>
      <c r="C1042" s="35" t="str">
        <f>IFERROR(__xludf.DUMMYFUNCTION("""COMPUTED_VALUE"""),"robot-bounded-in-circle")</f>
        <v>robot-bounded-in-circle</v>
      </c>
      <c r="D1042" s="35" t="b">
        <f>IFERROR(__xludf.DUMMYFUNCTION("""COMPUTED_VALUE"""),FALSE)</f>
        <v>0</v>
      </c>
      <c r="E1042" s="35" t="str">
        <f>IFERROR(__xludf.DUMMYFUNCTION("""COMPUTED_VALUE"""),"Medium")</f>
        <v>Medium</v>
      </c>
      <c r="F1042" s="35">
        <f>IFERROR(__xludf.DUMMYFUNCTION("""COMPUTED_VALUE"""),2870.0)</f>
        <v>2870</v>
      </c>
      <c r="G1042" s="35">
        <f>IFERROR(__xludf.DUMMYFUNCTION("""COMPUTED_VALUE"""),606.0)</f>
        <v>606</v>
      </c>
      <c r="H1042" s="35" t="str">
        <f>IFERROR(__xludf.DUMMYFUNCTION("""COMPUTED_VALUE"""),"Algorithms")</f>
        <v>Algorithms</v>
      </c>
      <c r="I1042" s="35">
        <f>IFERROR(__xludf.DUMMYFUNCTION("""COMPUTED_VALUE"""),0.555)</f>
        <v>0.555</v>
      </c>
      <c r="J1042" s="35">
        <f>IFERROR(__xludf.DUMMYFUNCTION("""COMPUTED_VALUE"""),1041.0)</f>
        <v>1041</v>
      </c>
      <c r="K1042" s="35" t="b">
        <f>IFERROR(__xludf.DUMMYFUNCTION("""COMPUTED_VALUE"""),FALSE)</f>
        <v>0</v>
      </c>
      <c r="L1042" s="35" t="str">
        <f>IFERROR(__xludf.DUMMYFUNCTION("""COMPUTED_VALUE"""),"Math;String;Simulation;")</f>
        <v>Math;String;Simulation;</v>
      </c>
      <c r="M1042" s="35" t="b">
        <f>IFERROR(__xludf.DUMMYFUNCTION("""COMPUTED_VALUE"""),TRUE)</f>
        <v>1</v>
      </c>
      <c r="N1042" s="35" t="b">
        <f>IFERROR(__xludf.DUMMYFUNCTION("""COMPUTED_VALUE"""),FALSE)</f>
        <v>0</v>
      </c>
      <c r="O1042" s="35">
        <f>IFERROR(__xludf.DUMMYFUNCTION("""COMPUTED_VALUE"""),55.4811434748439)</f>
        <v>55.48114347</v>
      </c>
      <c r="P1042" s="35">
        <f>IFERROR(__xludf.DUMMYFUNCTION("""COMPUTED_VALUE"""),178609.0)</f>
        <v>178609</v>
      </c>
      <c r="Q1042" s="35">
        <f>IFERROR(__xludf.DUMMYFUNCTION("""COMPUTED_VALUE"""),321928.0)</f>
        <v>321928</v>
      </c>
    </row>
    <row r="1043">
      <c r="A1043" s="35">
        <f>IFERROR(__xludf.DUMMYFUNCTION("""COMPUTED_VALUE"""),1120.0)</f>
        <v>1120</v>
      </c>
      <c r="B1043" s="35" t="str">
        <f>IFERROR(__xludf.DUMMYFUNCTION("""COMPUTED_VALUE"""),"Flower Planting With No Adjacent")</f>
        <v>Flower Planting With No Adjacent</v>
      </c>
      <c r="C1043" s="35" t="str">
        <f>IFERROR(__xludf.DUMMYFUNCTION("""COMPUTED_VALUE"""),"flower-planting-with-no-adjacent")</f>
        <v>flower-planting-with-no-adjacent</v>
      </c>
      <c r="D1043" s="35" t="b">
        <f>IFERROR(__xludf.DUMMYFUNCTION("""COMPUTED_VALUE"""),FALSE)</f>
        <v>0</v>
      </c>
      <c r="E1043" s="35" t="str">
        <f>IFERROR(__xludf.DUMMYFUNCTION("""COMPUTED_VALUE"""),"Medium")</f>
        <v>Medium</v>
      </c>
      <c r="F1043" s="35">
        <f>IFERROR(__xludf.DUMMYFUNCTION("""COMPUTED_VALUE"""),793.0)</f>
        <v>793</v>
      </c>
      <c r="G1043" s="35">
        <f>IFERROR(__xludf.DUMMYFUNCTION("""COMPUTED_VALUE"""),647.0)</f>
        <v>647</v>
      </c>
      <c r="H1043" s="35" t="str">
        <f>IFERROR(__xludf.DUMMYFUNCTION("""COMPUTED_VALUE"""),"Algorithms")</f>
        <v>Algorithms</v>
      </c>
      <c r="I1043" s="35">
        <f>IFERROR(__xludf.DUMMYFUNCTION("""COMPUTED_VALUE"""),0.498)</f>
        <v>0.498</v>
      </c>
      <c r="J1043" s="35">
        <f>IFERROR(__xludf.DUMMYFUNCTION("""COMPUTED_VALUE"""),1042.0)</f>
        <v>1042</v>
      </c>
      <c r="K1043" s="35" t="b">
        <f>IFERROR(__xludf.DUMMYFUNCTION("""COMPUTED_VALUE"""),FALSE)</f>
        <v>0</v>
      </c>
      <c r="L1043" s="35" t="str">
        <f>IFERROR(__xludf.DUMMYFUNCTION("""COMPUTED_VALUE"""),"Depth-First Search;Breadth-First Search;Graph;")</f>
        <v>Depth-First Search;Breadth-First Search;Graph;</v>
      </c>
      <c r="M1043" s="35" t="b">
        <f>IFERROR(__xludf.DUMMYFUNCTION("""COMPUTED_VALUE"""),FALSE)</f>
        <v>0</v>
      </c>
      <c r="N1043" s="35" t="b">
        <f>IFERROR(__xludf.DUMMYFUNCTION("""COMPUTED_VALUE"""),FALSE)</f>
        <v>0</v>
      </c>
      <c r="O1043" s="35">
        <f>IFERROR(__xludf.DUMMYFUNCTION("""COMPUTED_VALUE"""),49.7610077039869)</f>
        <v>49.7610077</v>
      </c>
      <c r="P1043" s="35">
        <f>IFERROR(__xludf.DUMMYFUNCTION("""COMPUTED_VALUE"""),53093.0)</f>
        <v>53093</v>
      </c>
      <c r="Q1043" s="35">
        <f>IFERROR(__xludf.DUMMYFUNCTION("""COMPUTED_VALUE"""),106697.0)</f>
        <v>106697</v>
      </c>
    </row>
    <row r="1044">
      <c r="A1044" s="35">
        <f>IFERROR(__xludf.DUMMYFUNCTION("""COMPUTED_VALUE"""),1121.0)</f>
        <v>1121</v>
      </c>
      <c r="B1044" s="35" t="str">
        <f>IFERROR(__xludf.DUMMYFUNCTION("""COMPUTED_VALUE"""),"Partition Array for Maximum Sum")</f>
        <v>Partition Array for Maximum Sum</v>
      </c>
      <c r="C1044" s="35" t="str">
        <f>IFERROR(__xludf.DUMMYFUNCTION("""COMPUTED_VALUE"""),"partition-array-for-maximum-sum")</f>
        <v>partition-array-for-maximum-sum</v>
      </c>
      <c r="D1044" s="35" t="b">
        <f>IFERROR(__xludf.DUMMYFUNCTION("""COMPUTED_VALUE"""),FALSE)</f>
        <v>0</v>
      </c>
      <c r="E1044" s="35" t="str">
        <f>IFERROR(__xludf.DUMMYFUNCTION("""COMPUTED_VALUE"""),"Medium")</f>
        <v>Medium</v>
      </c>
      <c r="F1044" s="35">
        <f>IFERROR(__xludf.DUMMYFUNCTION("""COMPUTED_VALUE"""),2006.0)</f>
        <v>2006</v>
      </c>
      <c r="G1044" s="35">
        <f>IFERROR(__xludf.DUMMYFUNCTION("""COMPUTED_VALUE"""),191.0)</f>
        <v>191</v>
      </c>
      <c r="H1044" s="35" t="str">
        <f>IFERROR(__xludf.DUMMYFUNCTION("""COMPUTED_VALUE"""),"Algorithms")</f>
        <v>Algorithms</v>
      </c>
      <c r="I1044" s="35">
        <f>IFERROR(__xludf.DUMMYFUNCTION("""COMPUTED_VALUE"""),0.701)</f>
        <v>0.701</v>
      </c>
      <c r="J1044" s="35">
        <f>IFERROR(__xludf.DUMMYFUNCTION("""COMPUTED_VALUE"""),1043.0)</f>
        <v>1043</v>
      </c>
      <c r="K1044" s="35" t="b">
        <f>IFERROR(__xludf.DUMMYFUNCTION("""COMPUTED_VALUE"""),FALSE)</f>
        <v>0</v>
      </c>
      <c r="L1044" s="35" t="str">
        <f>IFERROR(__xludf.DUMMYFUNCTION("""COMPUTED_VALUE"""),"Array;Dynamic Programming;")</f>
        <v>Array;Dynamic Programming;</v>
      </c>
      <c r="M1044" s="35" t="b">
        <f>IFERROR(__xludf.DUMMYFUNCTION("""COMPUTED_VALUE"""),FALSE)</f>
        <v>0</v>
      </c>
      <c r="N1044" s="35" t="b">
        <f>IFERROR(__xludf.DUMMYFUNCTION("""COMPUTED_VALUE"""),FALSE)</f>
        <v>0</v>
      </c>
      <c r="O1044" s="35">
        <f>IFERROR(__xludf.DUMMYFUNCTION("""COMPUTED_VALUE"""),70.1105709509715)</f>
        <v>70.11057095</v>
      </c>
      <c r="P1044" s="35">
        <f>IFERROR(__xludf.DUMMYFUNCTION("""COMPUTED_VALUE"""),45717.0)</f>
        <v>45717</v>
      </c>
      <c r="Q1044" s="35">
        <f>IFERROR(__xludf.DUMMYFUNCTION("""COMPUTED_VALUE"""),65207.0)</f>
        <v>65207</v>
      </c>
    </row>
    <row r="1045">
      <c r="A1045" s="35">
        <f>IFERROR(__xludf.DUMMYFUNCTION("""COMPUTED_VALUE"""),1122.0)</f>
        <v>1122</v>
      </c>
      <c r="B1045" s="35" t="str">
        <f>IFERROR(__xludf.DUMMYFUNCTION("""COMPUTED_VALUE"""),"Longest Duplicate Substring")</f>
        <v>Longest Duplicate Substring</v>
      </c>
      <c r="C1045" s="35" t="str">
        <f>IFERROR(__xludf.DUMMYFUNCTION("""COMPUTED_VALUE"""),"longest-duplicate-substring")</f>
        <v>longest-duplicate-substring</v>
      </c>
      <c r="D1045" s="35" t="b">
        <f>IFERROR(__xludf.DUMMYFUNCTION("""COMPUTED_VALUE"""),FALSE)</f>
        <v>0</v>
      </c>
      <c r="E1045" s="35" t="str">
        <f>IFERROR(__xludf.DUMMYFUNCTION("""COMPUTED_VALUE"""),"Hard")</f>
        <v>Hard</v>
      </c>
      <c r="F1045" s="35">
        <f>IFERROR(__xludf.DUMMYFUNCTION("""COMPUTED_VALUE"""),1590.0)</f>
        <v>1590</v>
      </c>
      <c r="G1045" s="35">
        <f>IFERROR(__xludf.DUMMYFUNCTION("""COMPUTED_VALUE"""),316.0)</f>
        <v>316</v>
      </c>
      <c r="H1045" s="35" t="str">
        <f>IFERROR(__xludf.DUMMYFUNCTION("""COMPUTED_VALUE"""),"Algorithms")</f>
        <v>Algorithms</v>
      </c>
      <c r="I1045" s="35">
        <f>IFERROR(__xludf.DUMMYFUNCTION("""COMPUTED_VALUE"""),0.312)</f>
        <v>0.312</v>
      </c>
      <c r="J1045" s="35">
        <f>IFERROR(__xludf.DUMMYFUNCTION("""COMPUTED_VALUE"""),1044.0)</f>
        <v>1044</v>
      </c>
      <c r="K1045" s="35" t="b">
        <f>IFERROR(__xludf.DUMMYFUNCTION("""COMPUTED_VALUE"""),FALSE)</f>
        <v>0</v>
      </c>
      <c r="L1045" s="35" t="str">
        <f>IFERROR(__xludf.DUMMYFUNCTION("""COMPUTED_VALUE"""),"String;Binary Search;Sliding Window;Rolling Hash;Suffix Array;Hash Function;")</f>
        <v>String;Binary Search;Sliding Window;Rolling Hash;Suffix Array;Hash Function;</v>
      </c>
      <c r="M1045" s="35" t="b">
        <f>IFERROR(__xludf.DUMMYFUNCTION("""COMPUTED_VALUE"""),TRUE)</f>
        <v>1</v>
      </c>
      <c r="N1045" s="35" t="b">
        <f>IFERROR(__xludf.DUMMYFUNCTION("""COMPUTED_VALUE"""),FALSE)</f>
        <v>0</v>
      </c>
      <c r="O1045" s="35">
        <f>IFERROR(__xludf.DUMMYFUNCTION("""COMPUTED_VALUE"""),31.2322872797528)</f>
        <v>31.23228728</v>
      </c>
      <c r="P1045" s="35">
        <f>IFERROR(__xludf.DUMMYFUNCTION("""COMPUTED_VALUE"""),51245.0)</f>
        <v>51245</v>
      </c>
      <c r="Q1045" s="35">
        <f>IFERROR(__xludf.DUMMYFUNCTION("""COMPUTED_VALUE"""),164075.0)</f>
        <v>164075</v>
      </c>
    </row>
    <row r="1046">
      <c r="A1046" s="35">
        <f>IFERROR(__xludf.DUMMYFUNCTION("""COMPUTED_VALUE"""),1135.0)</f>
        <v>1135</v>
      </c>
      <c r="B1046" s="35" t="str">
        <f>IFERROR(__xludf.DUMMYFUNCTION("""COMPUTED_VALUE"""),"Customers Who Bought All Products")</f>
        <v>Customers Who Bought All Products</v>
      </c>
      <c r="C1046" s="35" t="str">
        <f>IFERROR(__xludf.DUMMYFUNCTION("""COMPUTED_VALUE"""),"customers-who-bought-all-products")</f>
        <v>customers-who-bought-all-products</v>
      </c>
      <c r="D1046" s="35" t="b">
        <f>IFERROR(__xludf.DUMMYFUNCTION("""COMPUTED_VALUE"""),TRUE)</f>
        <v>1</v>
      </c>
      <c r="E1046" s="35" t="str">
        <f>IFERROR(__xludf.DUMMYFUNCTION("""COMPUTED_VALUE"""),"Medium")</f>
        <v>Medium</v>
      </c>
      <c r="F1046" s="35">
        <f>IFERROR(__xludf.DUMMYFUNCTION("""COMPUTED_VALUE"""),166.0)</f>
        <v>166</v>
      </c>
      <c r="G1046" s="35">
        <f>IFERROR(__xludf.DUMMYFUNCTION("""COMPUTED_VALUE"""),35.0)</f>
        <v>35</v>
      </c>
      <c r="H1046" s="35" t="str">
        <f>IFERROR(__xludf.DUMMYFUNCTION("""COMPUTED_VALUE"""),"Database")</f>
        <v>Database</v>
      </c>
      <c r="I1046" s="35">
        <f>IFERROR(__xludf.DUMMYFUNCTION("""COMPUTED_VALUE"""),0.674)</f>
        <v>0.674</v>
      </c>
      <c r="J1046" s="35">
        <f>IFERROR(__xludf.DUMMYFUNCTION("""COMPUTED_VALUE"""),1045.0)</f>
        <v>1045</v>
      </c>
      <c r="K1046" s="35" t="b">
        <f>IFERROR(__xludf.DUMMYFUNCTION("""COMPUTED_VALUE"""),TRUE)</f>
        <v>1</v>
      </c>
      <c r="L1046" s="35" t="str">
        <f>IFERROR(__xludf.DUMMYFUNCTION("""COMPUTED_VALUE"""),"Database;")</f>
        <v>Database;</v>
      </c>
      <c r="M1046" s="35" t="b">
        <f>IFERROR(__xludf.DUMMYFUNCTION("""COMPUTED_VALUE"""),FALSE)</f>
        <v>0</v>
      </c>
      <c r="N1046" s="35" t="b">
        <f>IFERROR(__xludf.DUMMYFUNCTION("""COMPUTED_VALUE"""),FALSE)</f>
        <v>0</v>
      </c>
      <c r="O1046" s="35">
        <f>IFERROR(__xludf.DUMMYFUNCTION("""COMPUTED_VALUE"""),67.3647848401105)</f>
        <v>67.36478484</v>
      </c>
      <c r="P1046" s="35">
        <f>IFERROR(__xludf.DUMMYFUNCTION("""COMPUTED_VALUE"""),34123.0)</f>
        <v>34123</v>
      </c>
      <c r="Q1046" s="35">
        <f>IFERROR(__xludf.DUMMYFUNCTION("""COMPUTED_VALUE"""),50655.0)</f>
        <v>50655</v>
      </c>
    </row>
    <row r="1047">
      <c r="A1047" s="35">
        <f>IFERROR(__xludf.DUMMYFUNCTION("""COMPUTED_VALUE"""),1127.0)</f>
        <v>1127</v>
      </c>
      <c r="B1047" s="35" t="str">
        <f>IFERROR(__xludf.DUMMYFUNCTION("""COMPUTED_VALUE"""),"Last Stone Weight")</f>
        <v>Last Stone Weight</v>
      </c>
      <c r="C1047" s="35" t="str">
        <f>IFERROR(__xludf.DUMMYFUNCTION("""COMPUTED_VALUE"""),"last-stone-weight")</f>
        <v>last-stone-weight</v>
      </c>
      <c r="D1047" s="35" t="b">
        <f>IFERROR(__xludf.DUMMYFUNCTION("""COMPUTED_VALUE"""),FALSE)</f>
        <v>0</v>
      </c>
      <c r="E1047" s="35" t="str">
        <f>IFERROR(__xludf.DUMMYFUNCTION("""COMPUTED_VALUE"""),"Easy")</f>
        <v>Easy</v>
      </c>
      <c r="F1047" s="35">
        <f>IFERROR(__xludf.DUMMYFUNCTION("""COMPUTED_VALUE"""),2003.0)</f>
        <v>2003</v>
      </c>
      <c r="G1047" s="35">
        <f>IFERROR(__xludf.DUMMYFUNCTION("""COMPUTED_VALUE"""),49.0)</f>
        <v>49</v>
      </c>
      <c r="H1047" s="35" t="str">
        <f>IFERROR(__xludf.DUMMYFUNCTION("""COMPUTED_VALUE"""),"Algorithms")</f>
        <v>Algorithms</v>
      </c>
      <c r="I1047" s="35">
        <f>IFERROR(__xludf.DUMMYFUNCTION("""COMPUTED_VALUE"""),0.63)</f>
        <v>0.63</v>
      </c>
      <c r="J1047" s="35">
        <f>IFERROR(__xludf.DUMMYFUNCTION("""COMPUTED_VALUE"""),1046.0)</f>
        <v>1046</v>
      </c>
      <c r="K1047" s="35" t="b">
        <f>IFERROR(__xludf.DUMMYFUNCTION("""COMPUTED_VALUE"""),FALSE)</f>
        <v>0</v>
      </c>
      <c r="L1047" s="35" t="str">
        <f>IFERROR(__xludf.DUMMYFUNCTION("""COMPUTED_VALUE"""),"Array;Heap (Priority Queue);")</f>
        <v>Array;Heap (Priority Queue);</v>
      </c>
      <c r="M1047" s="35" t="b">
        <f>IFERROR(__xludf.DUMMYFUNCTION("""COMPUTED_VALUE"""),TRUE)</f>
        <v>1</v>
      </c>
      <c r="N1047" s="35" t="b">
        <f>IFERROR(__xludf.DUMMYFUNCTION("""COMPUTED_VALUE"""),FALSE)</f>
        <v>0</v>
      </c>
      <c r="O1047" s="35">
        <f>IFERROR(__xludf.DUMMYFUNCTION("""COMPUTED_VALUE"""),63.0361805296531)</f>
        <v>63.03618053</v>
      </c>
      <c r="P1047" s="35">
        <f>IFERROR(__xludf.DUMMYFUNCTION("""COMPUTED_VALUE"""),214625.0)</f>
        <v>214625</v>
      </c>
      <c r="Q1047" s="35">
        <f>IFERROR(__xludf.DUMMYFUNCTION("""COMPUTED_VALUE"""),340482.0)</f>
        <v>340482</v>
      </c>
    </row>
    <row r="1048">
      <c r="A1048" s="35">
        <f>IFERROR(__xludf.DUMMYFUNCTION("""COMPUTED_VALUE"""),1128.0)</f>
        <v>1128</v>
      </c>
      <c r="B1048" s="35" t="str">
        <f>IFERROR(__xludf.DUMMYFUNCTION("""COMPUTED_VALUE"""),"Remove All Adjacent Duplicates In String")</f>
        <v>Remove All Adjacent Duplicates In String</v>
      </c>
      <c r="C1048" s="35" t="str">
        <f>IFERROR(__xludf.DUMMYFUNCTION("""COMPUTED_VALUE"""),"remove-all-adjacent-duplicates-in-string")</f>
        <v>remove-all-adjacent-duplicates-in-string</v>
      </c>
      <c r="D1048" s="35" t="b">
        <f>IFERROR(__xludf.DUMMYFUNCTION("""COMPUTED_VALUE"""),FALSE)</f>
        <v>0</v>
      </c>
      <c r="E1048" s="35" t="str">
        <f>IFERROR(__xludf.DUMMYFUNCTION("""COMPUTED_VALUE"""),"Easy")</f>
        <v>Easy</v>
      </c>
      <c r="F1048" s="35">
        <f>IFERROR(__xludf.DUMMYFUNCTION("""COMPUTED_VALUE"""),2938.0)</f>
        <v>2938</v>
      </c>
      <c r="G1048" s="35">
        <f>IFERROR(__xludf.DUMMYFUNCTION("""COMPUTED_VALUE"""),148.0)</f>
        <v>148</v>
      </c>
      <c r="H1048" s="35" t="str">
        <f>IFERROR(__xludf.DUMMYFUNCTION("""COMPUTED_VALUE"""),"Algorithms")</f>
        <v>Algorithms</v>
      </c>
      <c r="I1048" s="35">
        <f>IFERROR(__xludf.DUMMYFUNCTION("""COMPUTED_VALUE"""),0.71)</f>
        <v>0.71</v>
      </c>
      <c r="J1048" s="35">
        <f>IFERROR(__xludf.DUMMYFUNCTION("""COMPUTED_VALUE"""),1047.0)</f>
        <v>1047</v>
      </c>
      <c r="K1048" s="35" t="b">
        <f>IFERROR(__xludf.DUMMYFUNCTION("""COMPUTED_VALUE"""),FALSE)</f>
        <v>0</v>
      </c>
      <c r="L1048" s="35" t="str">
        <f>IFERROR(__xludf.DUMMYFUNCTION("""COMPUTED_VALUE"""),"String;Stack;")</f>
        <v>String;Stack;</v>
      </c>
      <c r="M1048" s="35" t="b">
        <f>IFERROR(__xludf.DUMMYFUNCTION("""COMPUTED_VALUE"""),TRUE)</f>
        <v>1</v>
      </c>
      <c r="N1048" s="35" t="b">
        <f>IFERROR(__xludf.DUMMYFUNCTION("""COMPUTED_VALUE"""),FALSE)</f>
        <v>0</v>
      </c>
      <c r="O1048" s="35">
        <f>IFERROR(__xludf.DUMMYFUNCTION("""COMPUTED_VALUE"""),71.0067298448015)</f>
        <v>71.00672984</v>
      </c>
      <c r="P1048" s="35">
        <f>IFERROR(__xludf.DUMMYFUNCTION("""COMPUTED_VALUE"""),263663.0)</f>
        <v>263663</v>
      </c>
      <c r="Q1048" s="35">
        <f>IFERROR(__xludf.DUMMYFUNCTION("""COMPUTED_VALUE"""),371323.0)</f>
        <v>371323</v>
      </c>
    </row>
    <row r="1049">
      <c r="A1049" s="35">
        <f>IFERROR(__xludf.DUMMYFUNCTION("""COMPUTED_VALUE"""),1129.0)</f>
        <v>1129</v>
      </c>
      <c r="B1049" s="35" t="str">
        <f>IFERROR(__xludf.DUMMYFUNCTION("""COMPUTED_VALUE"""),"Longest String Chain")</f>
        <v>Longest String Chain</v>
      </c>
      <c r="C1049" s="35" t="str">
        <f>IFERROR(__xludf.DUMMYFUNCTION("""COMPUTED_VALUE"""),"longest-string-chain")</f>
        <v>longest-string-chain</v>
      </c>
      <c r="D1049" s="35" t="b">
        <f>IFERROR(__xludf.DUMMYFUNCTION("""COMPUTED_VALUE"""),FALSE)</f>
        <v>0</v>
      </c>
      <c r="E1049" s="35" t="str">
        <f>IFERROR(__xludf.DUMMYFUNCTION("""COMPUTED_VALUE"""),"Medium")</f>
        <v>Medium</v>
      </c>
      <c r="F1049" s="35">
        <f>IFERROR(__xludf.DUMMYFUNCTION("""COMPUTED_VALUE"""),3132.0)</f>
        <v>3132</v>
      </c>
      <c r="G1049" s="35">
        <f>IFERROR(__xludf.DUMMYFUNCTION("""COMPUTED_VALUE"""),158.0)</f>
        <v>158</v>
      </c>
      <c r="H1049" s="35" t="str">
        <f>IFERROR(__xludf.DUMMYFUNCTION("""COMPUTED_VALUE"""),"Algorithms")</f>
        <v>Algorithms</v>
      </c>
      <c r="I1049" s="35">
        <f>IFERROR(__xludf.DUMMYFUNCTION("""COMPUTED_VALUE"""),0.577)</f>
        <v>0.577</v>
      </c>
      <c r="J1049" s="35">
        <f>IFERROR(__xludf.DUMMYFUNCTION("""COMPUTED_VALUE"""),1048.0)</f>
        <v>1048</v>
      </c>
      <c r="K1049" s="35" t="b">
        <f>IFERROR(__xludf.DUMMYFUNCTION("""COMPUTED_VALUE"""),FALSE)</f>
        <v>0</v>
      </c>
      <c r="L1049" s="35" t="str">
        <f>IFERROR(__xludf.DUMMYFUNCTION("""COMPUTED_VALUE"""),"Array;Hash Table;Two Pointers;String;Dynamic Programming;")</f>
        <v>Array;Hash Table;Two Pointers;String;Dynamic Programming;</v>
      </c>
      <c r="M1049" s="35" t="b">
        <f>IFERROR(__xludf.DUMMYFUNCTION("""COMPUTED_VALUE"""),TRUE)</f>
        <v>1</v>
      </c>
      <c r="N1049" s="35" t="b">
        <f>IFERROR(__xludf.DUMMYFUNCTION("""COMPUTED_VALUE"""),FALSE)</f>
        <v>0</v>
      </c>
      <c r="O1049" s="35">
        <f>IFERROR(__xludf.DUMMYFUNCTION("""COMPUTED_VALUE"""),57.6724975257915)</f>
        <v>57.67249753</v>
      </c>
      <c r="P1049" s="35">
        <f>IFERROR(__xludf.DUMMYFUNCTION("""COMPUTED_VALUE"""),188220.0)</f>
        <v>188220</v>
      </c>
      <c r="Q1049" s="35">
        <f>IFERROR(__xludf.DUMMYFUNCTION("""COMPUTED_VALUE"""),326361.0)</f>
        <v>326361</v>
      </c>
    </row>
    <row r="1050">
      <c r="A1050" s="35">
        <f>IFERROR(__xludf.DUMMYFUNCTION("""COMPUTED_VALUE"""),1130.0)</f>
        <v>1130</v>
      </c>
      <c r="B1050" s="35" t="str">
        <f>IFERROR(__xludf.DUMMYFUNCTION("""COMPUTED_VALUE"""),"Last Stone Weight II")</f>
        <v>Last Stone Weight II</v>
      </c>
      <c r="C1050" s="35" t="str">
        <f>IFERROR(__xludf.DUMMYFUNCTION("""COMPUTED_VALUE"""),"last-stone-weight-ii")</f>
        <v>last-stone-weight-ii</v>
      </c>
      <c r="D1050" s="35" t="b">
        <f>IFERROR(__xludf.DUMMYFUNCTION("""COMPUTED_VALUE"""),FALSE)</f>
        <v>0</v>
      </c>
      <c r="E1050" s="35" t="str">
        <f>IFERROR(__xludf.DUMMYFUNCTION("""COMPUTED_VALUE"""),"Medium")</f>
        <v>Medium</v>
      </c>
      <c r="F1050" s="35">
        <f>IFERROR(__xludf.DUMMYFUNCTION("""COMPUTED_VALUE"""),1992.0)</f>
        <v>1992</v>
      </c>
      <c r="G1050" s="35">
        <f>IFERROR(__xludf.DUMMYFUNCTION("""COMPUTED_VALUE"""),70.0)</f>
        <v>70</v>
      </c>
      <c r="H1050" s="35" t="str">
        <f>IFERROR(__xludf.DUMMYFUNCTION("""COMPUTED_VALUE"""),"Algorithms")</f>
        <v>Algorithms</v>
      </c>
      <c r="I1050" s="35">
        <f>IFERROR(__xludf.DUMMYFUNCTION("""COMPUTED_VALUE"""),0.507)</f>
        <v>0.507</v>
      </c>
      <c r="J1050" s="35">
        <f>IFERROR(__xludf.DUMMYFUNCTION("""COMPUTED_VALUE"""),1049.0)</f>
        <v>1049</v>
      </c>
      <c r="K1050" s="35" t="b">
        <f>IFERROR(__xludf.DUMMYFUNCTION("""COMPUTED_VALUE"""),FALSE)</f>
        <v>0</v>
      </c>
      <c r="L1050" s="35" t="str">
        <f>IFERROR(__xludf.DUMMYFUNCTION("""COMPUTED_VALUE"""),"Array;Dynamic Programming;")</f>
        <v>Array;Dynamic Programming;</v>
      </c>
      <c r="M1050" s="35" t="b">
        <f>IFERROR(__xludf.DUMMYFUNCTION("""COMPUTED_VALUE"""),FALSE)</f>
        <v>0</v>
      </c>
      <c r="N1050" s="35" t="b">
        <f>IFERROR(__xludf.DUMMYFUNCTION("""COMPUTED_VALUE"""),FALSE)</f>
        <v>0</v>
      </c>
      <c r="O1050" s="35">
        <f>IFERROR(__xludf.DUMMYFUNCTION("""COMPUTED_VALUE"""),50.6904343459703)</f>
        <v>50.69043435</v>
      </c>
      <c r="P1050" s="35">
        <f>IFERROR(__xludf.DUMMYFUNCTION("""COMPUTED_VALUE"""),50475.0)</f>
        <v>50475</v>
      </c>
      <c r="Q1050" s="35">
        <f>IFERROR(__xludf.DUMMYFUNCTION("""COMPUTED_VALUE"""),99575.0)</f>
        <v>99575</v>
      </c>
    </row>
    <row r="1051">
      <c r="A1051" s="35">
        <f>IFERROR(__xludf.DUMMYFUNCTION("""COMPUTED_VALUE"""),1136.0)</f>
        <v>1136</v>
      </c>
      <c r="B1051" s="35" t="str">
        <f>IFERROR(__xludf.DUMMYFUNCTION("""COMPUTED_VALUE"""),"Actors and Directors Who Cooperated At Least Three Times")</f>
        <v>Actors and Directors Who Cooperated At Least Three Times</v>
      </c>
      <c r="C1051" s="35" t="str">
        <f>IFERROR(__xludf.DUMMYFUNCTION("""COMPUTED_VALUE"""),"actors-and-directors-who-cooperated-at-least-three-times")</f>
        <v>actors-and-directors-who-cooperated-at-least-three-times</v>
      </c>
      <c r="D1051" s="35" t="b">
        <f>IFERROR(__xludf.DUMMYFUNCTION("""COMPUTED_VALUE"""),TRUE)</f>
        <v>1</v>
      </c>
      <c r="E1051" s="35" t="str">
        <f>IFERROR(__xludf.DUMMYFUNCTION("""COMPUTED_VALUE"""),"Easy")</f>
        <v>Easy</v>
      </c>
      <c r="F1051" s="35">
        <f>IFERROR(__xludf.DUMMYFUNCTION("""COMPUTED_VALUE"""),117.0)</f>
        <v>117</v>
      </c>
      <c r="G1051" s="35">
        <f>IFERROR(__xludf.DUMMYFUNCTION("""COMPUTED_VALUE"""),22.0)</f>
        <v>22</v>
      </c>
      <c r="H1051" s="35" t="str">
        <f>IFERROR(__xludf.DUMMYFUNCTION("""COMPUTED_VALUE"""),"Database")</f>
        <v>Database</v>
      </c>
      <c r="I1051" s="35">
        <f>IFERROR(__xludf.DUMMYFUNCTION("""COMPUTED_VALUE"""),0.724)</f>
        <v>0.724</v>
      </c>
      <c r="J1051" s="35">
        <f>IFERROR(__xludf.DUMMYFUNCTION("""COMPUTED_VALUE"""),1050.0)</f>
        <v>1050</v>
      </c>
      <c r="K1051" s="35" t="b">
        <f>IFERROR(__xludf.DUMMYFUNCTION("""COMPUTED_VALUE"""),TRUE)</f>
        <v>1</v>
      </c>
      <c r="L1051" s="35" t="str">
        <f>IFERROR(__xludf.DUMMYFUNCTION("""COMPUTED_VALUE"""),"Database;")</f>
        <v>Database;</v>
      </c>
      <c r="M1051" s="35" t="b">
        <f>IFERROR(__xludf.DUMMYFUNCTION("""COMPUTED_VALUE"""),FALSE)</f>
        <v>0</v>
      </c>
      <c r="N1051" s="35" t="b">
        <f>IFERROR(__xludf.DUMMYFUNCTION("""COMPUTED_VALUE"""),FALSE)</f>
        <v>0</v>
      </c>
      <c r="O1051" s="35">
        <f>IFERROR(__xludf.DUMMYFUNCTION("""COMPUTED_VALUE"""),72.4235744742357)</f>
        <v>72.42357447</v>
      </c>
      <c r="P1051" s="35">
        <f>IFERROR(__xludf.DUMMYFUNCTION("""COMPUTED_VALUE"""),40085.0)</f>
        <v>40085</v>
      </c>
      <c r="Q1051" s="35">
        <f>IFERROR(__xludf.DUMMYFUNCTION("""COMPUTED_VALUE"""),55347.0)</f>
        <v>55347</v>
      </c>
    </row>
    <row r="1052">
      <c r="A1052" s="35">
        <f>IFERROR(__xludf.DUMMYFUNCTION("""COMPUTED_VALUE"""),1137.0)</f>
        <v>1137</v>
      </c>
      <c r="B1052" s="35" t="str">
        <f>IFERROR(__xludf.DUMMYFUNCTION("""COMPUTED_VALUE"""),"Height Checker")</f>
        <v>Height Checker</v>
      </c>
      <c r="C1052" s="35" t="str">
        <f>IFERROR(__xludf.DUMMYFUNCTION("""COMPUTED_VALUE"""),"height-checker")</f>
        <v>height-checker</v>
      </c>
      <c r="D1052" s="35" t="b">
        <f>IFERROR(__xludf.DUMMYFUNCTION("""COMPUTED_VALUE"""),FALSE)</f>
        <v>0</v>
      </c>
      <c r="E1052" s="35" t="str">
        <f>IFERROR(__xludf.DUMMYFUNCTION("""COMPUTED_VALUE"""),"Easy")</f>
        <v>Easy</v>
      </c>
      <c r="F1052" s="35">
        <f>IFERROR(__xludf.DUMMYFUNCTION("""COMPUTED_VALUE"""),396.0)</f>
        <v>396</v>
      </c>
      <c r="G1052" s="35">
        <f>IFERROR(__xludf.DUMMYFUNCTION("""COMPUTED_VALUE"""),46.0)</f>
        <v>46</v>
      </c>
      <c r="H1052" s="35" t="str">
        <f>IFERROR(__xludf.DUMMYFUNCTION("""COMPUTED_VALUE"""),"Algorithms")</f>
        <v>Algorithms</v>
      </c>
      <c r="I1052" s="35">
        <f>IFERROR(__xludf.DUMMYFUNCTION("""COMPUTED_VALUE"""),0.742)</f>
        <v>0.742</v>
      </c>
      <c r="J1052" s="35">
        <f>IFERROR(__xludf.DUMMYFUNCTION("""COMPUTED_VALUE"""),1051.0)</f>
        <v>1051</v>
      </c>
      <c r="K1052" s="35" t="b">
        <f>IFERROR(__xludf.DUMMYFUNCTION("""COMPUTED_VALUE"""),FALSE)</f>
        <v>0</v>
      </c>
      <c r="L1052" s="35" t="str">
        <f>IFERROR(__xludf.DUMMYFUNCTION("""COMPUTED_VALUE"""),"Array;Sorting;Counting Sort;")</f>
        <v>Array;Sorting;Counting Sort;</v>
      </c>
      <c r="M1052" s="35" t="b">
        <f>IFERROR(__xludf.DUMMYFUNCTION("""COMPUTED_VALUE"""),FALSE)</f>
        <v>0</v>
      </c>
      <c r="N1052" s="35" t="b">
        <f>IFERROR(__xludf.DUMMYFUNCTION("""COMPUTED_VALUE"""),FALSE)</f>
        <v>0</v>
      </c>
      <c r="O1052" s="35">
        <f>IFERROR(__xludf.DUMMYFUNCTION("""COMPUTED_VALUE"""),74.153278717594)</f>
        <v>74.15327872</v>
      </c>
      <c r="P1052" s="35">
        <f>IFERROR(__xludf.DUMMYFUNCTION("""COMPUTED_VALUE"""),188176.0)</f>
        <v>188176</v>
      </c>
      <c r="Q1052" s="35">
        <f>IFERROR(__xludf.DUMMYFUNCTION("""COMPUTED_VALUE"""),253763.0)</f>
        <v>253763</v>
      </c>
    </row>
    <row r="1053">
      <c r="A1053" s="35">
        <f>IFERROR(__xludf.DUMMYFUNCTION("""COMPUTED_VALUE"""),1138.0)</f>
        <v>1138</v>
      </c>
      <c r="B1053" s="35" t="str">
        <f>IFERROR(__xludf.DUMMYFUNCTION("""COMPUTED_VALUE"""),"Grumpy Bookstore Owner")</f>
        <v>Grumpy Bookstore Owner</v>
      </c>
      <c r="C1053" s="35" t="str">
        <f>IFERROR(__xludf.DUMMYFUNCTION("""COMPUTED_VALUE"""),"grumpy-bookstore-owner")</f>
        <v>grumpy-bookstore-owner</v>
      </c>
      <c r="D1053" s="35" t="b">
        <f>IFERROR(__xludf.DUMMYFUNCTION("""COMPUTED_VALUE"""),FALSE)</f>
        <v>0</v>
      </c>
      <c r="E1053" s="35" t="str">
        <f>IFERROR(__xludf.DUMMYFUNCTION("""COMPUTED_VALUE"""),"Medium")</f>
        <v>Medium</v>
      </c>
      <c r="F1053" s="35">
        <f>IFERROR(__xludf.DUMMYFUNCTION("""COMPUTED_VALUE"""),1078.0)</f>
        <v>1078</v>
      </c>
      <c r="G1053" s="35">
        <f>IFERROR(__xludf.DUMMYFUNCTION("""COMPUTED_VALUE"""),90.0)</f>
        <v>90</v>
      </c>
      <c r="H1053" s="35" t="str">
        <f>IFERROR(__xludf.DUMMYFUNCTION("""COMPUTED_VALUE"""),"Algorithms")</f>
        <v>Algorithms</v>
      </c>
      <c r="I1053" s="35">
        <f>IFERROR(__xludf.DUMMYFUNCTION("""COMPUTED_VALUE"""),0.567)</f>
        <v>0.567</v>
      </c>
      <c r="J1053" s="35">
        <f>IFERROR(__xludf.DUMMYFUNCTION("""COMPUTED_VALUE"""),1052.0)</f>
        <v>1052</v>
      </c>
      <c r="K1053" s="35" t="b">
        <f>IFERROR(__xludf.DUMMYFUNCTION("""COMPUTED_VALUE"""),FALSE)</f>
        <v>0</v>
      </c>
      <c r="L1053" s="35" t="str">
        <f>IFERROR(__xludf.DUMMYFUNCTION("""COMPUTED_VALUE"""),"Array;Sliding Window;")</f>
        <v>Array;Sliding Window;</v>
      </c>
      <c r="M1053" s="35" t="b">
        <f>IFERROR(__xludf.DUMMYFUNCTION("""COMPUTED_VALUE"""),FALSE)</f>
        <v>0</v>
      </c>
      <c r="N1053" s="35" t="b">
        <f>IFERROR(__xludf.DUMMYFUNCTION("""COMPUTED_VALUE"""),FALSE)</f>
        <v>0</v>
      </c>
      <c r="O1053" s="35">
        <f>IFERROR(__xludf.DUMMYFUNCTION("""COMPUTED_VALUE"""),56.6607146793642)</f>
        <v>56.66071468</v>
      </c>
      <c r="P1053" s="35">
        <f>IFERROR(__xludf.DUMMYFUNCTION("""COMPUTED_VALUE"""),51406.0)</f>
        <v>51406</v>
      </c>
      <c r="Q1053" s="35">
        <f>IFERROR(__xludf.DUMMYFUNCTION("""COMPUTED_VALUE"""),90725.0)</f>
        <v>90725</v>
      </c>
    </row>
    <row r="1054">
      <c r="A1054" s="35">
        <f>IFERROR(__xludf.DUMMYFUNCTION("""COMPUTED_VALUE"""),1139.0)</f>
        <v>1139</v>
      </c>
      <c r="B1054" s="35" t="str">
        <f>IFERROR(__xludf.DUMMYFUNCTION("""COMPUTED_VALUE"""),"Previous Permutation With One Swap")</f>
        <v>Previous Permutation With One Swap</v>
      </c>
      <c r="C1054" s="35" t="str">
        <f>IFERROR(__xludf.DUMMYFUNCTION("""COMPUTED_VALUE"""),"previous-permutation-with-one-swap")</f>
        <v>previous-permutation-with-one-swap</v>
      </c>
      <c r="D1054" s="35" t="b">
        <f>IFERROR(__xludf.DUMMYFUNCTION("""COMPUTED_VALUE"""),FALSE)</f>
        <v>0</v>
      </c>
      <c r="E1054" s="35" t="str">
        <f>IFERROR(__xludf.DUMMYFUNCTION("""COMPUTED_VALUE"""),"Medium")</f>
        <v>Medium</v>
      </c>
      <c r="F1054" s="35">
        <f>IFERROR(__xludf.DUMMYFUNCTION("""COMPUTED_VALUE"""),197.0)</f>
        <v>197</v>
      </c>
      <c r="G1054" s="35">
        <f>IFERROR(__xludf.DUMMYFUNCTION("""COMPUTED_VALUE"""),22.0)</f>
        <v>22</v>
      </c>
      <c r="H1054" s="35" t="str">
        <f>IFERROR(__xludf.DUMMYFUNCTION("""COMPUTED_VALUE"""),"Algorithms")</f>
        <v>Algorithms</v>
      </c>
      <c r="I1054" s="35">
        <f>IFERROR(__xludf.DUMMYFUNCTION("""COMPUTED_VALUE"""),0.519)</f>
        <v>0.519</v>
      </c>
      <c r="J1054" s="35">
        <f>IFERROR(__xludf.DUMMYFUNCTION("""COMPUTED_VALUE"""),1053.0)</f>
        <v>1053</v>
      </c>
      <c r="K1054" s="35" t="b">
        <f>IFERROR(__xludf.DUMMYFUNCTION("""COMPUTED_VALUE"""),FALSE)</f>
        <v>0</v>
      </c>
      <c r="L1054" s="35" t="str">
        <f>IFERROR(__xludf.DUMMYFUNCTION("""COMPUTED_VALUE"""),"Array;Greedy;")</f>
        <v>Array;Greedy;</v>
      </c>
      <c r="M1054" s="35" t="b">
        <f>IFERROR(__xludf.DUMMYFUNCTION("""COMPUTED_VALUE"""),FALSE)</f>
        <v>0</v>
      </c>
      <c r="N1054" s="35" t="b">
        <f>IFERROR(__xludf.DUMMYFUNCTION("""COMPUTED_VALUE"""),FALSE)</f>
        <v>0</v>
      </c>
      <c r="O1054" s="35">
        <f>IFERROR(__xludf.DUMMYFUNCTION("""COMPUTED_VALUE"""),51.9233132604153)</f>
        <v>51.92331326</v>
      </c>
      <c r="P1054" s="35">
        <f>IFERROR(__xludf.DUMMYFUNCTION("""COMPUTED_VALUE"""),29574.0)</f>
        <v>29574</v>
      </c>
      <c r="Q1054" s="35">
        <f>IFERROR(__xludf.DUMMYFUNCTION("""COMPUTED_VALUE"""),56958.0)</f>
        <v>56958</v>
      </c>
    </row>
    <row r="1055">
      <c r="A1055" s="35">
        <f>IFERROR(__xludf.DUMMYFUNCTION("""COMPUTED_VALUE"""),1140.0)</f>
        <v>1140</v>
      </c>
      <c r="B1055" s="35" t="str">
        <f>IFERROR(__xludf.DUMMYFUNCTION("""COMPUTED_VALUE"""),"Distant Barcodes")</f>
        <v>Distant Barcodes</v>
      </c>
      <c r="C1055" s="35" t="str">
        <f>IFERROR(__xludf.DUMMYFUNCTION("""COMPUTED_VALUE"""),"distant-barcodes")</f>
        <v>distant-barcodes</v>
      </c>
      <c r="D1055" s="35" t="b">
        <f>IFERROR(__xludf.DUMMYFUNCTION("""COMPUTED_VALUE"""),FALSE)</f>
        <v>0</v>
      </c>
      <c r="E1055" s="35" t="str">
        <f>IFERROR(__xludf.DUMMYFUNCTION("""COMPUTED_VALUE"""),"Medium")</f>
        <v>Medium</v>
      </c>
      <c r="F1055" s="35">
        <f>IFERROR(__xludf.DUMMYFUNCTION("""COMPUTED_VALUE"""),809.0)</f>
        <v>809</v>
      </c>
      <c r="G1055" s="35">
        <f>IFERROR(__xludf.DUMMYFUNCTION("""COMPUTED_VALUE"""),36.0)</f>
        <v>36</v>
      </c>
      <c r="H1055" s="35" t="str">
        <f>IFERROR(__xludf.DUMMYFUNCTION("""COMPUTED_VALUE"""),"Algorithms")</f>
        <v>Algorithms</v>
      </c>
      <c r="I1055" s="35">
        <f>IFERROR(__xludf.DUMMYFUNCTION("""COMPUTED_VALUE"""),0.452)</f>
        <v>0.452</v>
      </c>
      <c r="J1055" s="35">
        <f>IFERROR(__xludf.DUMMYFUNCTION("""COMPUTED_VALUE"""),1054.0)</f>
        <v>1054</v>
      </c>
      <c r="K1055" s="35" t="b">
        <f>IFERROR(__xludf.DUMMYFUNCTION("""COMPUTED_VALUE"""),FALSE)</f>
        <v>0</v>
      </c>
      <c r="L1055" s="35" t="str">
        <f>IFERROR(__xludf.DUMMYFUNCTION("""COMPUTED_VALUE"""),"Array;Hash Table;Greedy;Sorting;Heap (Priority Queue);Counting;")</f>
        <v>Array;Hash Table;Greedy;Sorting;Heap (Priority Queue);Counting;</v>
      </c>
      <c r="M1055" s="35" t="b">
        <f>IFERROR(__xludf.DUMMYFUNCTION("""COMPUTED_VALUE"""),FALSE)</f>
        <v>0</v>
      </c>
      <c r="N1055" s="35" t="b">
        <f>IFERROR(__xludf.DUMMYFUNCTION("""COMPUTED_VALUE"""),FALSE)</f>
        <v>0</v>
      </c>
      <c r="O1055" s="35">
        <f>IFERROR(__xludf.DUMMYFUNCTION("""COMPUTED_VALUE"""),45.2146970455683)</f>
        <v>45.21469705</v>
      </c>
      <c r="P1055" s="35">
        <f>IFERROR(__xludf.DUMMYFUNCTION("""COMPUTED_VALUE"""),28894.0)</f>
        <v>28894</v>
      </c>
      <c r="Q1055" s="35">
        <f>IFERROR(__xludf.DUMMYFUNCTION("""COMPUTED_VALUE"""),63904.0)</f>
        <v>63904</v>
      </c>
    </row>
    <row r="1056">
      <c r="A1056" s="35">
        <f>IFERROR(__xludf.DUMMYFUNCTION("""COMPUTED_VALUE"""),1051.0)</f>
        <v>1051</v>
      </c>
      <c r="B1056" s="35" t="str">
        <f>IFERROR(__xludf.DUMMYFUNCTION("""COMPUTED_VALUE"""),"Shortest Way to Form String")</f>
        <v>Shortest Way to Form String</v>
      </c>
      <c r="C1056" s="35" t="str">
        <f>IFERROR(__xludf.DUMMYFUNCTION("""COMPUTED_VALUE"""),"shortest-way-to-form-string")</f>
        <v>shortest-way-to-form-string</v>
      </c>
      <c r="D1056" s="35" t="b">
        <f>IFERROR(__xludf.DUMMYFUNCTION("""COMPUTED_VALUE"""),TRUE)</f>
        <v>1</v>
      </c>
      <c r="E1056" s="35" t="str">
        <f>IFERROR(__xludf.DUMMYFUNCTION("""COMPUTED_VALUE"""),"Medium")</f>
        <v>Medium</v>
      </c>
      <c r="F1056" s="35">
        <f>IFERROR(__xludf.DUMMYFUNCTION("""COMPUTED_VALUE"""),799.0)</f>
        <v>799</v>
      </c>
      <c r="G1056" s="35">
        <f>IFERROR(__xludf.DUMMYFUNCTION("""COMPUTED_VALUE"""),48.0)</f>
        <v>48</v>
      </c>
      <c r="H1056" s="35" t="str">
        <f>IFERROR(__xludf.DUMMYFUNCTION("""COMPUTED_VALUE"""),"Algorithms")</f>
        <v>Algorithms</v>
      </c>
      <c r="I1056" s="35">
        <f>IFERROR(__xludf.DUMMYFUNCTION("""COMPUTED_VALUE"""),0.582)</f>
        <v>0.582</v>
      </c>
      <c r="J1056" s="35">
        <f>IFERROR(__xludf.DUMMYFUNCTION("""COMPUTED_VALUE"""),1055.0)</f>
        <v>1055</v>
      </c>
      <c r="K1056" s="35" t="b">
        <f>IFERROR(__xludf.DUMMYFUNCTION("""COMPUTED_VALUE"""),TRUE)</f>
        <v>1</v>
      </c>
      <c r="L1056" s="35" t="str">
        <f>IFERROR(__xludf.DUMMYFUNCTION("""COMPUTED_VALUE"""),"String;Dynamic Programming;Greedy;")</f>
        <v>String;Dynamic Programming;Greedy;</v>
      </c>
      <c r="M1056" s="35" t="b">
        <f>IFERROR(__xludf.DUMMYFUNCTION("""COMPUTED_VALUE"""),FALSE)</f>
        <v>0</v>
      </c>
      <c r="N1056" s="35" t="b">
        <f>IFERROR(__xludf.DUMMYFUNCTION("""COMPUTED_VALUE"""),FALSE)</f>
        <v>0</v>
      </c>
      <c r="O1056" s="35">
        <f>IFERROR(__xludf.DUMMYFUNCTION("""COMPUTED_VALUE"""),58.1732224297895)</f>
        <v>58.17322243</v>
      </c>
      <c r="P1056" s="35">
        <f>IFERROR(__xludf.DUMMYFUNCTION("""COMPUTED_VALUE"""),55741.0)</f>
        <v>55741</v>
      </c>
      <c r="Q1056" s="35">
        <f>IFERROR(__xludf.DUMMYFUNCTION("""COMPUTED_VALUE"""),95819.0)</f>
        <v>95819</v>
      </c>
    </row>
    <row r="1057">
      <c r="A1057" s="35">
        <f>IFERROR(__xludf.DUMMYFUNCTION("""COMPUTED_VALUE"""),1069.0)</f>
        <v>1069</v>
      </c>
      <c r="B1057" s="35" t="str">
        <f>IFERROR(__xludf.DUMMYFUNCTION("""COMPUTED_VALUE"""),"Confusing Number")</f>
        <v>Confusing Number</v>
      </c>
      <c r="C1057" s="35" t="str">
        <f>IFERROR(__xludf.DUMMYFUNCTION("""COMPUTED_VALUE"""),"confusing-number")</f>
        <v>confusing-number</v>
      </c>
      <c r="D1057" s="35" t="b">
        <f>IFERROR(__xludf.DUMMYFUNCTION("""COMPUTED_VALUE"""),TRUE)</f>
        <v>1</v>
      </c>
      <c r="E1057" s="35" t="str">
        <f>IFERROR(__xludf.DUMMYFUNCTION("""COMPUTED_VALUE"""),"Easy")</f>
        <v>Easy</v>
      </c>
      <c r="F1057" s="35">
        <f>IFERROR(__xludf.DUMMYFUNCTION("""COMPUTED_VALUE"""),158.0)</f>
        <v>158</v>
      </c>
      <c r="G1057" s="35">
        <f>IFERROR(__xludf.DUMMYFUNCTION("""COMPUTED_VALUE"""),89.0)</f>
        <v>89</v>
      </c>
      <c r="H1057" s="35" t="str">
        <f>IFERROR(__xludf.DUMMYFUNCTION("""COMPUTED_VALUE"""),"Algorithms")</f>
        <v>Algorithms</v>
      </c>
      <c r="I1057" s="35">
        <f>IFERROR(__xludf.DUMMYFUNCTION("""COMPUTED_VALUE"""),0.461)</f>
        <v>0.461</v>
      </c>
      <c r="J1057" s="35">
        <f>IFERROR(__xludf.DUMMYFUNCTION("""COMPUTED_VALUE"""),1056.0)</f>
        <v>1056</v>
      </c>
      <c r="K1057" s="35" t="b">
        <f>IFERROR(__xludf.DUMMYFUNCTION("""COMPUTED_VALUE"""),TRUE)</f>
        <v>1</v>
      </c>
      <c r="L1057" s="35" t="str">
        <f>IFERROR(__xludf.DUMMYFUNCTION("""COMPUTED_VALUE"""),"Math;")</f>
        <v>Math;</v>
      </c>
      <c r="M1057" s="35" t="b">
        <f>IFERROR(__xludf.DUMMYFUNCTION("""COMPUTED_VALUE"""),FALSE)</f>
        <v>0</v>
      </c>
      <c r="N1057" s="35" t="b">
        <f>IFERROR(__xludf.DUMMYFUNCTION("""COMPUTED_VALUE"""),FALSE)</f>
        <v>0</v>
      </c>
      <c r="O1057" s="35">
        <f>IFERROR(__xludf.DUMMYFUNCTION("""COMPUTED_VALUE"""),46.1215774456265)</f>
        <v>46.12157745</v>
      </c>
      <c r="P1057" s="35">
        <f>IFERROR(__xludf.DUMMYFUNCTION("""COMPUTED_VALUE"""),24408.0)</f>
        <v>24408</v>
      </c>
      <c r="Q1057" s="35">
        <f>IFERROR(__xludf.DUMMYFUNCTION("""COMPUTED_VALUE"""),52921.0)</f>
        <v>52921</v>
      </c>
    </row>
    <row r="1058">
      <c r="A1058" s="35">
        <f>IFERROR(__xludf.DUMMYFUNCTION("""COMPUTED_VALUE"""),1052.0)</f>
        <v>1052</v>
      </c>
      <c r="B1058" s="35" t="str">
        <f>IFERROR(__xludf.DUMMYFUNCTION("""COMPUTED_VALUE"""),"Campus Bikes")</f>
        <v>Campus Bikes</v>
      </c>
      <c r="C1058" s="35" t="str">
        <f>IFERROR(__xludf.DUMMYFUNCTION("""COMPUTED_VALUE"""),"campus-bikes")</f>
        <v>campus-bikes</v>
      </c>
      <c r="D1058" s="35" t="b">
        <f>IFERROR(__xludf.DUMMYFUNCTION("""COMPUTED_VALUE"""),TRUE)</f>
        <v>1</v>
      </c>
      <c r="E1058" s="35" t="str">
        <f>IFERROR(__xludf.DUMMYFUNCTION("""COMPUTED_VALUE"""),"Medium")</f>
        <v>Medium</v>
      </c>
      <c r="F1058" s="35">
        <f>IFERROR(__xludf.DUMMYFUNCTION("""COMPUTED_VALUE"""),783.0)</f>
        <v>783</v>
      </c>
      <c r="G1058" s="35">
        <f>IFERROR(__xludf.DUMMYFUNCTION("""COMPUTED_VALUE"""),141.0)</f>
        <v>141</v>
      </c>
      <c r="H1058" s="35" t="str">
        <f>IFERROR(__xludf.DUMMYFUNCTION("""COMPUTED_VALUE"""),"Algorithms")</f>
        <v>Algorithms</v>
      </c>
      <c r="I1058" s="35">
        <f>IFERROR(__xludf.DUMMYFUNCTION("""COMPUTED_VALUE"""),0.578)</f>
        <v>0.578</v>
      </c>
      <c r="J1058" s="35">
        <f>IFERROR(__xludf.DUMMYFUNCTION("""COMPUTED_VALUE"""),1057.0)</f>
        <v>1057</v>
      </c>
      <c r="K1058" s="35" t="b">
        <f>IFERROR(__xludf.DUMMYFUNCTION("""COMPUTED_VALUE"""),TRUE)</f>
        <v>1</v>
      </c>
      <c r="L1058" s="35" t="str">
        <f>IFERROR(__xludf.DUMMYFUNCTION("""COMPUTED_VALUE"""),"Array;Greedy;Sorting;")</f>
        <v>Array;Greedy;Sorting;</v>
      </c>
      <c r="M1058" s="35" t="b">
        <f>IFERROR(__xludf.DUMMYFUNCTION("""COMPUTED_VALUE"""),TRUE)</f>
        <v>1</v>
      </c>
      <c r="N1058" s="35" t="b">
        <f>IFERROR(__xludf.DUMMYFUNCTION("""COMPUTED_VALUE"""),FALSE)</f>
        <v>0</v>
      </c>
      <c r="O1058" s="35">
        <f>IFERROR(__xludf.DUMMYFUNCTION("""COMPUTED_VALUE"""),57.7911179299195)</f>
        <v>57.79111793</v>
      </c>
      <c r="P1058" s="35">
        <f>IFERROR(__xludf.DUMMYFUNCTION("""COMPUTED_VALUE"""),56125.0)</f>
        <v>56125</v>
      </c>
      <c r="Q1058" s="35">
        <f>IFERROR(__xludf.DUMMYFUNCTION("""COMPUTED_VALUE"""),97114.0)</f>
        <v>97114</v>
      </c>
    </row>
    <row r="1059">
      <c r="A1059" s="35">
        <f>IFERROR(__xludf.DUMMYFUNCTION("""COMPUTED_VALUE"""),1053.0)</f>
        <v>1053</v>
      </c>
      <c r="B1059" s="35" t="str">
        <f>IFERROR(__xludf.DUMMYFUNCTION("""COMPUTED_VALUE"""),"Minimize Rounding Error to Meet Target")</f>
        <v>Minimize Rounding Error to Meet Target</v>
      </c>
      <c r="C1059" s="35" t="str">
        <f>IFERROR(__xludf.DUMMYFUNCTION("""COMPUTED_VALUE"""),"minimize-rounding-error-to-meet-target")</f>
        <v>minimize-rounding-error-to-meet-target</v>
      </c>
      <c r="D1059" s="35" t="b">
        <f>IFERROR(__xludf.DUMMYFUNCTION("""COMPUTED_VALUE"""),TRUE)</f>
        <v>1</v>
      </c>
      <c r="E1059" s="35" t="str">
        <f>IFERROR(__xludf.DUMMYFUNCTION("""COMPUTED_VALUE"""),"Medium")</f>
        <v>Medium</v>
      </c>
      <c r="F1059" s="35">
        <f>IFERROR(__xludf.DUMMYFUNCTION("""COMPUTED_VALUE"""),127.0)</f>
        <v>127</v>
      </c>
      <c r="G1059" s="35">
        <f>IFERROR(__xludf.DUMMYFUNCTION("""COMPUTED_VALUE"""),122.0)</f>
        <v>122</v>
      </c>
      <c r="H1059" s="35" t="str">
        <f>IFERROR(__xludf.DUMMYFUNCTION("""COMPUTED_VALUE"""),"Algorithms")</f>
        <v>Algorithms</v>
      </c>
      <c r="I1059" s="35">
        <f>IFERROR(__xludf.DUMMYFUNCTION("""COMPUTED_VALUE"""),0.445)</f>
        <v>0.445</v>
      </c>
      <c r="J1059" s="35">
        <f>IFERROR(__xludf.DUMMYFUNCTION("""COMPUTED_VALUE"""),1058.0)</f>
        <v>1058</v>
      </c>
      <c r="K1059" s="35" t="b">
        <f>IFERROR(__xludf.DUMMYFUNCTION("""COMPUTED_VALUE"""),TRUE)</f>
        <v>1</v>
      </c>
      <c r="L1059" s="35" t="str">
        <f>IFERROR(__xludf.DUMMYFUNCTION("""COMPUTED_VALUE"""),"Array;Math;String;Greedy;")</f>
        <v>Array;Math;String;Greedy;</v>
      </c>
      <c r="M1059" s="35" t="b">
        <f>IFERROR(__xludf.DUMMYFUNCTION("""COMPUTED_VALUE"""),FALSE)</f>
        <v>0</v>
      </c>
      <c r="N1059" s="35" t="b">
        <f>IFERROR(__xludf.DUMMYFUNCTION("""COMPUTED_VALUE"""),FALSE)</f>
        <v>0</v>
      </c>
      <c r="O1059" s="35">
        <f>IFERROR(__xludf.DUMMYFUNCTION("""COMPUTED_VALUE"""),44.4786030496802)</f>
        <v>44.47860305</v>
      </c>
      <c r="P1059" s="35">
        <f>IFERROR(__xludf.DUMMYFUNCTION("""COMPUTED_VALUE"""),7234.0)</f>
        <v>7234</v>
      </c>
      <c r="Q1059" s="35">
        <f>IFERROR(__xludf.DUMMYFUNCTION("""COMPUTED_VALUE"""),16264.0)</f>
        <v>16264</v>
      </c>
    </row>
    <row r="1060">
      <c r="A1060" s="35">
        <f>IFERROR(__xludf.DUMMYFUNCTION("""COMPUTED_VALUE"""),511.0)</f>
        <v>511</v>
      </c>
      <c r="B1060" s="35" t="str">
        <f>IFERROR(__xludf.DUMMYFUNCTION("""COMPUTED_VALUE"""),"All Paths from Source Lead to Destination")</f>
        <v>All Paths from Source Lead to Destination</v>
      </c>
      <c r="C1060" s="35" t="str">
        <f>IFERROR(__xludf.DUMMYFUNCTION("""COMPUTED_VALUE"""),"all-paths-from-source-lead-to-destination")</f>
        <v>all-paths-from-source-lead-to-destination</v>
      </c>
      <c r="D1060" s="35" t="b">
        <f>IFERROR(__xludf.DUMMYFUNCTION("""COMPUTED_VALUE"""),TRUE)</f>
        <v>1</v>
      </c>
      <c r="E1060" s="35" t="str">
        <f>IFERROR(__xludf.DUMMYFUNCTION("""COMPUTED_VALUE"""),"Medium")</f>
        <v>Medium</v>
      </c>
      <c r="F1060" s="35">
        <f>IFERROR(__xludf.DUMMYFUNCTION("""COMPUTED_VALUE"""),466.0)</f>
        <v>466</v>
      </c>
      <c r="G1060" s="35">
        <f>IFERROR(__xludf.DUMMYFUNCTION("""COMPUTED_VALUE"""),101.0)</f>
        <v>101</v>
      </c>
      <c r="H1060" s="35" t="str">
        <f>IFERROR(__xludf.DUMMYFUNCTION("""COMPUTED_VALUE"""),"Algorithms")</f>
        <v>Algorithms</v>
      </c>
      <c r="I1060" s="35">
        <f>IFERROR(__xludf.DUMMYFUNCTION("""COMPUTED_VALUE"""),0.422)</f>
        <v>0.422</v>
      </c>
      <c r="J1060" s="35">
        <f>IFERROR(__xludf.DUMMYFUNCTION("""COMPUTED_VALUE"""),1059.0)</f>
        <v>1059</v>
      </c>
      <c r="K1060" s="35" t="b">
        <f>IFERROR(__xludf.DUMMYFUNCTION("""COMPUTED_VALUE"""),TRUE)</f>
        <v>1</v>
      </c>
      <c r="L1060" s="35" t="str">
        <f>IFERROR(__xludf.DUMMYFUNCTION("""COMPUTED_VALUE"""),"Depth-First Search;Graph;")</f>
        <v>Depth-First Search;Graph;</v>
      </c>
      <c r="M1060" s="35" t="b">
        <f>IFERROR(__xludf.DUMMYFUNCTION("""COMPUTED_VALUE"""),TRUE)</f>
        <v>1</v>
      </c>
      <c r="N1060" s="35" t="b">
        <f>IFERROR(__xludf.DUMMYFUNCTION("""COMPUTED_VALUE"""),FALSE)</f>
        <v>0</v>
      </c>
      <c r="O1060" s="35">
        <f>IFERROR(__xludf.DUMMYFUNCTION("""COMPUTED_VALUE"""),42.2348134157933)</f>
        <v>42.23481342</v>
      </c>
      <c r="P1060" s="35">
        <f>IFERROR(__xludf.DUMMYFUNCTION("""COMPUTED_VALUE"""),34214.0)</f>
        <v>34214</v>
      </c>
      <c r="Q1060" s="35">
        <f>IFERROR(__xludf.DUMMYFUNCTION("""COMPUTED_VALUE"""),81007.0)</f>
        <v>81007</v>
      </c>
    </row>
    <row r="1061">
      <c r="A1061" s="35">
        <f>IFERROR(__xludf.DUMMYFUNCTION("""COMPUTED_VALUE"""),1059.0)</f>
        <v>1059</v>
      </c>
      <c r="B1061" s="35" t="str">
        <f>IFERROR(__xludf.DUMMYFUNCTION("""COMPUTED_VALUE"""),"Missing Element in Sorted Array")</f>
        <v>Missing Element in Sorted Array</v>
      </c>
      <c r="C1061" s="35" t="str">
        <f>IFERROR(__xludf.DUMMYFUNCTION("""COMPUTED_VALUE"""),"missing-element-in-sorted-array")</f>
        <v>missing-element-in-sorted-array</v>
      </c>
      <c r="D1061" s="35" t="b">
        <f>IFERROR(__xludf.DUMMYFUNCTION("""COMPUTED_VALUE"""),TRUE)</f>
        <v>1</v>
      </c>
      <c r="E1061" s="35" t="str">
        <f>IFERROR(__xludf.DUMMYFUNCTION("""COMPUTED_VALUE"""),"Medium")</f>
        <v>Medium</v>
      </c>
      <c r="F1061" s="35">
        <f>IFERROR(__xludf.DUMMYFUNCTION("""COMPUTED_VALUE"""),1234.0)</f>
        <v>1234</v>
      </c>
      <c r="G1061" s="35">
        <f>IFERROR(__xludf.DUMMYFUNCTION("""COMPUTED_VALUE"""),49.0)</f>
        <v>49</v>
      </c>
      <c r="H1061" s="35" t="str">
        <f>IFERROR(__xludf.DUMMYFUNCTION("""COMPUTED_VALUE"""),"Algorithms")</f>
        <v>Algorithms</v>
      </c>
      <c r="I1061" s="35">
        <f>IFERROR(__xludf.DUMMYFUNCTION("""COMPUTED_VALUE"""),0.551)</f>
        <v>0.551</v>
      </c>
      <c r="J1061" s="35">
        <f>IFERROR(__xludf.DUMMYFUNCTION("""COMPUTED_VALUE"""),1060.0)</f>
        <v>1060</v>
      </c>
      <c r="K1061" s="35" t="b">
        <f>IFERROR(__xludf.DUMMYFUNCTION("""COMPUTED_VALUE"""),TRUE)</f>
        <v>1</v>
      </c>
      <c r="L1061" s="35" t="str">
        <f>IFERROR(__xludf.DUMMYFUNCTION("""COMPUTED_VALUE"""),"Array;Binary Search;")</f>
        <v>Array;Binary Search;</v>
      </c>
      <c r="M1061" s="35" t="b">
        <f>IFERROR(__xludf.DUMMYFUNCTION("""COMPUTED_VALUE"""),TRUE)</f>
        <v>1</v>
      </c>
      <c r="N1061" s="35" t="b">
        <f>IFERROR(__xludf.DUMMYFUNCTION("""COMPUTED_VALUE"""),FALSE)</f>
        <v>0</v>
      </c>
      <c r="O1061" s="35">
        <f>IFERROR(__xludf.DUMMYFUNCTION("""COMPUTED_VALUE"""),55.0905166282169)</f>
        <v>55.09051663</v>
      </c>
      <c r="P1061" s="35">
        <f>IFERROR(__xludf.DUMMYFUNCTION("""COMPUTED_VALUE"""),89067.0)</f>
        <v>89067</v>
      </c>
      <c r="Q1061" s="35">
        <f>IFERROR(__xludf.DUMMYFUNCTION("""COMPUTED_VALUE"""),161673.0)</f>
        <v>161673</v>
      </c>
    </row>
    <row r="1062">
      <c r="A1062" s="35">
        <f>IFERROR(__xludf.DUMMYFUNCTION("""COMPUTED_VALUE"""),1058.0)</f>
        <v>1058</v>
      </c>
      <c r="B1062" s="35" t="str">
        <f>IFERROR(__xludf.DUMMYFUNCTION("""COMPUTED_VALUE"""),"Lexicographically Smallest Equivalent String")</f>
        <v>Lexicographically Smallest Equivalent String</v>
      </c>
      <c r="C1062" s="35" t="str">
        <f>IFERROR(__xludf.DUMMYFUNCTION("""COMPUTED_VALUE"""),"lexicographically-smallest-equivalent-string")</f>
        <v>lexicographically-smallest-equivalent-string</v>
      </c>
      <c r="D1062" s="35" t="b">
        <f>IFERROR(__xludf.DUMMYFUNCTION("""COMPUTED_VALUE"""),TRUE)</f>
        <v>1</v>
      </c>
      <c r="E1062" s="35" t="str">
        <f>IFERROR(__xludf.DUMMYFUNCTION("""COMPUTED_VALUE"""),"Medium")</f>
        <v>Medium</v>
      </c>
      <c r="F1062" s="35">
        <f>IFERROR(__xludf.DUMMYFUNCTION("""COMPUTED_VALUE"""),177.0)</f>
        <v>177</v>
      </c>
      <c r="G1062" s="35">
        <f>IFERROR(__xludf.DUMMYFUNCTION("""COMPUTED_VALUE"""),9.0)</f>
        <v>9</v>
      </c>
      <c r="H1062" s="35" t="str">
        <f>IFERROR(__xludf.DUMMYFUNCTION("""COMPUTED_VALUE"""),"Algorithms")</f>
        <v>Algorithms</v>
      </c>
      <c r="I1062" s="35">
        <f>IFERROR(__xludf.DUMMYFUNCTION("""COMPUTED_VALUE"""),0.684)</f>
        <v>0.684</v>
      </c>
      <c r="J1062" s="35">
        <f>IFERROR(__xludf.DUMMYFUNCTION("""COMPUTED_VALUE"""),1061.0)</f>
        <v>1061</v>
      </c>
      <c r="K1062" s="35" t="b">
        <f>IFERROR(__xludf.DUMMYFUNCTION("""COMPUTED_VALUE"""),TRUE)</f>
        <v>1</v>
      </c>
      <c r="L1062" s="35" t="str">
        <f>IFERROR(__xludf.DUMMYFUNCTION("""COMPUTED_VALUE"""),"String;Union Find;")</f>
        <v>String;Union Find;</v>
      </c>
      <c r="M1062" s="35" t="b">
        <f>IFERROR(__xludf.DUMMYFUNCTION("""COMPUTED_VALUE"""),FALSE)</f>
        <v>0</v>
      </c>
      <c r="N1062" s="35" t="b">
        <f>IFERROR(__xludf.DUMMYFUNCTION("""COMPUTED_VALUE"""),FALSE)</f>
        <v>0</v>
      </c>
      <c r="O1062" s="35">
        <f>IFERROR(__xludf.DUMMYFUNCTION("""COMPUTED_VALUE"""),68.379330593071)</f>
        <v>68.37933059</v>
      </c>
      <c r="P1062" s="35">
        <f>IFERROR(__xludf.DUMMYFUNCTION("""COMPUTED_VALUE"""),6987.0)</f>
        <v>6987</v>
      </c>
      <c r="Q1062" s="35">
        <f>IFERROR(__xludf.DUMMYFUNCTION("""COMPUTED_VALUE"""),10218.0)</f>
        <v>10218</v>
      </c>
    </row>
    <row r="1063">
      <c r="A1063" s="35">
        <f>IFERROR(__xludf.DUMMYFUNCTION("""COMPUTED_VALUE"""),1060.0)</f>
        <v>1060</v>
      </c>
      <c r="B1063" s="35" t="str">
        <f>IFERROR(__xludf.DUMMYFUNCTION("""COMPUTED_VALUE"""),"Longest Repeating Substring")</f>
        <v>Longest Repeating Substring</v>
      </c>
      <c r="C1063" s="35" t="str">
        <f>IFERROR(__xludf.DUMMYFUNCTION("""COMPUTED_VALUE"""),"longest-repeating-substring")</f>
        <v>longest-repeating-substring</v>
      </c>
      <c r="D1063" s="35" t="b">
        <f>IFERROR(__xludf.DUMMYFUNCTION("""COMPUTED_VALUE"""),TRUE)</f>
        <v>1</v>
      </c>
      <c r="E1063" s="35" t="str">
        <f>IFERROR(__xludf.DUMMYFUNCTION("""COMPUTED_VALUE"""),"Medium")</f>
        <v>Medium</v>
      </c>
      <c r="F1063" s="35">
        <f>IFERROR(__xludf.DUMMYFUNCTION("""COMPUTED_VALUE"""),481.0)</f>
        <v>481</v>
      </c>
      <c r="G1063" s="35">
        <f>IFERROR(__xludf.DUMMYFUNCTION("""COMPUTED_VALUE"""),30.0)</f>
        <v>30</v>
      </c>
      <c r="H1063" s="35" t="str">
        <f>IFERROR(__xludf.DUMMYFUNCTION("""COMPUTED_VALUE"""),"Algorithms")</f>
        <v>Algorithms</v>
      </c>
      <c r="I1063" s="35">
        <f>IFERROR(__xludf.DUMMYFUNCTION("""COMPUTED_VALUE"""),0.592)</f>
        <v>0.592</v>
      </c>
      <c r="J1063" s="35">
        <f>IFERROR(__xludf.DUMMYFUNCTION("""COMPUTED_VALUE"""),1062.0)</f>
        <v>1062</v>
      </c>
      <c r="K1063" s="35" t="b">
        <f>IFERROR(__xludf.DUMMYFUNCTION("""COMPUTED_VALUE"""),TRUE)</f>
        <v>1</v>
      </c>
      <c r="L1063" s="35" t="str">
        <f>IFERROR(__xludf.DUMMYFUNCTION("""COMPUTED_VALUE"""),"String;Binary Search;Dynamic Programming;Rolling Hash;Suffix Array;Hash Function;")</f>
        <v>String;Binary Search;Dynamic Programming;Rolling Hash;Suffix Array;Hash Function;</v>
      </c>
      <c r="M1063" s="35" t="b">
        <f>IFERROR(__xludf.DUMMYFUNCTION("""COMPUTED_VALUE"""),TRUE)</f>
        <v>1</v>
      </c>
      <c r="N1063" s="35" t="b">
        <f>IFERROR(__xludf.DUMMYFUNCTION("""COMPUTED_VALUE"""),FALSE)</f>
        <v>0</v>
      </c>
      <c r="O1063" s="35">
        <f>IFERROR(__xludf.DUMMYFUNCTION("""COMPUTED_VALUE"""),59.2021629826392)</f>
        <v>59.20216298</v>
      </c>
      <c r="P1063" s="35">
        <f>IFERROR(__xludf.DUMMYFUNCTION("""COMPUTED_VALUE"""),24951.0)</f>
        <v>24951</v>
      </c>
      <c r="Q1063" s="35">
        <f>IFERROR(__xludf.DUMMYFUNCTION("""COMPUTED_VALUE"""),42152.0)</f>
        <v>42152</v>
      </c>
    </row>
    <row r="1064">
      <c r="A1064" s="35">
        <f>IFERROR(__xludf.DUMMYFUNCTION("""COMPUTED_VALUE"""),1061.0)</f>
        <v>1061</v>
      </c>
      <c r="B1064" s="35" t="str">
        <f>IFERROR(__xludf.DUMMYFUNCTION("""COMPUTED_VALUE"""),"Number of Valid Subarrays")</f>
        <v>Number of Valid Subarrays</v>
      </c>
      <c r="C1064" s="35" t="str">
        <f>IFERROR(__xludf.DUMMYFUNCTION("""COMPUTED_VALUE"""),"number-of-valid-subarrays")</f>
        <v>number-of-valid-subarrays</v>
      </c>
      <c r="D1064" s="35" t="b">
        <f>IFERROR(__xludf.DUMMYFUNCTION("""COMPUTED_VALUE"""),TRUE)</f>
        <v>1</v>
      </c>
      <c r="E1064" s="35" t="str">
        <f>IFERROR(__xludf.DUMMYFUNCTION("""COMPUTED_VALUE"""),"Hard")</f>
        <v>Hard</v>
      </c>
      <c r="F1064" s="35">
        <f>IFERROR(__xludf.DUMMYFUNCTION("""COMPUTED_VALUE"""),166.0)</f>
        <v>166</v>
      </c>
      <c r="G1064" s="35">
        <f>IFERROR(__xludf.DUMMYFUNCTION("""COMPUTED_VALUE"""),8.0)</f>
        <v>8</v>
      </c>
      <c r="H1064" s="35" t="str">
        <f>IFERROR(__xludf.DUMMYFUNCTION("""COMPUTED_VALUE"""),"Algorithms")</f>
        <v>Algorithms</v>
      </c>
      <c r="I1064" s="35">
        <f>IFERROR(__xludf.DUMMYFUNCTION("""COMPUTED_VALUE"""),0.734)</f>
        <v>0.734</v>
      </c>
      <c r="J1064" s="35">
        <f>IFERROR(__xludf.DUMMYFUNCTION("""COMPUTED_VALUE"""),1063.0)</f>
        <v>1063</v>
      </c>
      <c r="K1064" s="35" t="b">
        <f>IFERROR(__xludf.DUMMYFUNCTION("""COMPUTED_VALUE"""),TRUE)</f>
        <v>1</v>
      </c>
      <c r="L1064" s="35" t="str">
        <f>IFERROR(__xludf.DUMMYFUNCTION("""COMPUTED_VALUE"""),"Array;Stack;Monotonic Stack;")</f>
        <v>Array;Stack;Monotonic Stack;</v>
      </c>
      <c r="M1064" s="35" t="b">
        <f>IFERROR(__xludf.DUMMYFUNCTION("""COMPUTED_VALUE"""),FALSE)</f>
        <v>0</v>
      </c>
      <c r="N1064" s="35" t="b">
        <f>IFERROR(__xludf.DUMMYFUNCTION("""COMPUTED_VALUE"""),FALSE)</f>
        <v>0</v>
      </c>
      <c r="O1064" s="35">
        <f>IFERROR(__xludf.DUMMYFUNCTION("""COMPUTED_VALUE"""),73.4300110605874)</f>
        <v>73.43001106</v>
      </c>
      <c r="P1064" s="35">
        <f>IFERROR(__xludf.DUMMYFUNCTION("""COMPUTED_VALUE"""),5975.0)</f>
        <v>5975</v>
      </c>
      <c r="Q1064" s="35">
        <f>IFERROR(__xludf.DUMMYFUNCTION("""COMPUTED_VALUE"""),8137.0)</f>
        <v>8137</v>
      </c>
    </row>
    <row r="1065">
      <c r="A1065" s="35">
        <f>IFERROR(__xludf.DUMMYFUNCTION("""COMPUTED_VALUE"""),1066.0)</f>
        <v>1066</v>
      </c>
      <c r="B1065" s="35" t="str">
        <f>IFERROR(__xludf.DUMMYFUNCTION("""COMPUTED_VALUE"""),"Fixed Point")</f>
        <v>Fixed Point</v>
      </c>
      <c r="C1065" s="35" t="str">
        <f>IFERROR(__xludf.DUMMYFUNCTION("""COMPUTED_VALUE"""),"fixed-point")</f>
        <v>fixed-point</v>
      </c>
      <c r="D1065" s="35" t="b">
        <f>IFERROR(__xludf.DUMMYFUNCTION("""COMPUTED_VALUE"""),TRUE)</f>
        <v>1</v>
      </c>
      <c r="E1065" s="35" t="str">
        <f>IFERROR(__xludf.DUMMYFUNCTION("""COMPUTED_VALUE"""),"Easy")</f>
        <v>Easy</v>
      </c>
      <c r="F1065" s="35">
        <f>IFERROR(__xludf.DUMMYFUNCTION("""COMPUTED_VALUE"""),328.0)</f>
        <v>328</v>
      </c>
      <c r="G1065" s="35">
        <f>IFERROR(__xludf.DUMMYFUNCTION("""COMPUTED_VALUE"""),58.0)</f>
        <v>58</v>
      </c>
      <c r="H1065" s="35" t="str">
        <f>IFERROR(__xludf.DUMMYFUNCTION("""COMPUTED_VALUE"""),"Algorithms")</f>
        <v>Algorithms</v>
      </c>
      <c r="I1065" s="35">
        <f>IFERROR(__xludf.DUMMYFUNCTION("""COMPUTED_VALUE"""),0.64)</f>
        <v>0.64</v>
      </c>
      <c r="J1065" s="35">
        <f>IFERROR(__xludf.DUMMYFUNCTION("""COMPUTED_VALUE"""),1064.0)</f>
        <v>1064</v>
      </c>
      <c r="K1065" s="35" t="b">
        <f>IFERROR(__xludf.DUMMYFUNCTION("""COMPUTED_VALUE"""),TRUE)</f>
        <v>1</v>
      </c>
      <c r="L1065" s="35" t="str">
        <f>IFERROR(__xludf.DUMMYFUNCTION("""COMPUTED_VALUE"""),"Array;Binary Search;")</f>
        <v>Array;Binary Search;</v>
      </c>
      <c r="M1065" s="35" t="b">
        <f>IFERROR(__xludf.DUMMYFUNCTION("""COMPUTED_VALUE"""),TRUE)</f>
        <v>1</v>
      </c>
      <c r="N1065" s="35" t="b">
        <f>IFERROR(__xludf.DUMMYFUNCTION("""COMPUTED_VALUE"""),FALSE)</f>
        <v>0</v>
      </c>
      <c r="O1065" s="35">
        <f>IFERROR(__xludf.DUMMYFUNCTION("""COMPUTED_VALUE"""),64.0314774589383)</f>
        <v>64.03147746</v>
      </c>
      <c r="P1065" s="35">
        <f>IFERROR(__xludf.DUMMYFUNCTION("""COMPUTED_VALUE"""),33605.0)</f>
        <v>33605</v>
      </c>
      <c r="Q1065" s="35">
        <f>IFERROR(__xludf.DUMMYFUNCTION("""COMPUTED_VALUE"""),52482.0)</f>
        <v>52482</v>
      </c>
    </row>
    <row r="1066">
      <c r="A1066" s="35">
        <f>IFERROR(__xludf.DUMMYFUNCTION("""COMPUTED_VALUE"""),1075.0)</f>
        <v>1075</v>
      </c>
      <c r="B1066" s="35" t="str">
        <f>IFERROR(__xludf.DUMMYFUNCTION("""COMPUTED_VALUE"""),"Index Pairs of a String")</f>
        <v>Index Pairs of a String</v>
      </c>
      <c r="C1066" s="35" t="str">
        <f>IFERROR(__xludf.DUMMYFUNCTION("""COMPUTED_VALUE"""),"index-pairs-of-a-string")</f>
        <v>index-pairs-of-a-string</v>
      </c>
      <c r="D1066" s="35" t="b">
        <f>IFERROR(__xludf.DUMMYFUNCTION("""COMPUTED_VALUE"""),TRUE)</f>
        <v>1</v>
      </c>
      <c r="E1066" s="35" t="str">
        <f>IFERROR(__xludf.DUMMYFUNCTION("""COMPUTED_VALUE"""),"Easy")</f>
        <v>Easy</v>
      </c>
      <c r="F1066" s="35">
        <f>IFERROR(__xludf.DUMMYFUNCTION("""COMPUTED_VALUE"""),215.0)</f>
        <v>215</v>
      </c>
      <c r="G1066" s="35">
        <f>IFERROR(__xludf.DUMMYFUNCTION("""COMPUTED_VALUE"""),75.0)</f>
        <v>75</v>
      </c>
      <c r="H1066" s="35" t="str">
        <f>IFERROR(__xludf.DUMMYFUNCTION("""COMPUTED_VALUE"""),"Algorithms")</f>
        <v>Algorithms</v>
      </c>
      <c r="I1066" s="35">
        <f>IFERROR(__xludf.DUMMYFUNCTION("""COMPUTED_VALUE"""),0.62)</f>
        <v>0.62</v>
      </c>
      <c r="J1066" s="35">
        <f>IFERROR(__xludf.DUMMYFUNCTION("""COMPUTED_VALUE"""),1065.0)</f>
        <v>1065</v>
      </c>
      <c r="K1066" s="35" t="b">
        <f>IFERROR(__xludf.DUMMYFUNCTION("""COMPUTED_VALUE"""),TRUE)</f>
        <v>1</v>
      </c>
      <c r="L1066" s="35" t="str">
        <f>IFERROR(__xludf.DUMMYFUNCTION("""COMPUTED_VALUE"""),"Array;String;Trie;Sorting;")</f>
        <v>Array;String;Trie;Sorting;</v>
      </c>
      <c r="M1066" s="35" t="b">
        <f>IFERROR(__xludf.DUMMYFUNCTION("""COMPUTED_VALUE"""),FALSE)</f>
        <v>0</v>
      </c>
      <c r="N1066" s="35" t="b">
        <f>IFERROR(__xludf.DUMMYFUNCTION("""COMPUTED_VALUE"""),FALSE)</f>
        <v>0</v>
      </c>
      <c r="O1066" s="35">
        <f>IFERROR(__xludf.DUMMYFUNCTION("""COMPUTED_VALUE"""),62.0036415759501)</f>
        <v>62.00364158</v>
      </c>
      <c r="P1066" s="35">
        <f>IFERROR(__xludf.DUMMYFUNCTION("""COMPUTED_VALUE"""),16005.0)</f>
        <v>16005</v>
      </c>
      <c r="Q1066" s="35">
        <f>IFERROR(__xludf.DUMMYFUNCTION("""COMPUTED_VALUE"""),25813.0)</f>
        <v>25813</v>
      </c>
    </row>
    <row r="1067">
      <c r="A1067" s="35">
        <f>IFERROR(__xludf.DUMMYFUNCTION("""COMPUTED_VALUE"""),1067.0)</f>
        <v>1067</v>
      </c>
      <c r="B1067" s="35" t="str">
        <f>IFERROR(__xludf.DUMMYFUNCTION("""COMPUTED_VALUE"""),"Campus Bikes II")</f>
        <v>Campus Bikes II</v>
      </c>
      <c r="C1067" s="35" t="str">
        <f>IFERROR(__xludf.DUMMYFUNCTION("""COMPUTED_VALUE"""),"campus-bikes-ii")</f>
        <v>campus-bikes-ii</v>
      </c>
      <c r="D1067" s="35" t="b">
        <f>IFERROR(__xludf.DUMMYFUNCTION("""COMPUTED_VALUE"""),TRUE)</f>
        <v>1</v>
      </c>
      <c r="E1067" s="35" t="str">
        <f>IFERROR(__xludf.DUMMYFUNCTION("""COMPUTED_VALUE"""),"Medium")</f>
        <v>Medium</v>
      </c>
      <c r="F1067" s="35">
        <f>IFERROR(__xludf.DUMMYFUNCTION("""COMPUTED_VALUE"""),675.0)</f>
        <v>675</v>
      </c>
      <c r="G1067" s="35">
        <f>IFERROR(__xludf.DUMMYFUNCTION("""COMPUTED_VALUE"""),55.0)</f>
        <v>55</v>
      </c>
      <c r="H1067" s="35" t="str">
        <f>IFERROR(__xludf.DUMMYFUNCTION("""COMPUTED_VALUE"""),"Algorithms")</f>
        <v>Algorithms</v>
      </c>
      <c r="I1067" s="35">
        <f>IFERROR(__xludf.DUMMYFUNCTION("""COMPUTED_VALUE"""),0.547)</f>
        <v>0.547</v>
      </c>
      <c r="J1067" s="35">
        <f>IFERROR(__xludf.DUMMYFUNCTION("""COMPUTED_VALUE"""),1066.0)</f>
        <v>1066</v>
      </c>
      <c r="K1067" s="35" t="b">
        <f>IFERROR(__xludf.DUMMYFUNCTION("""COMPUTED_VALUE"""),TRUE)</f>
        <v>1</v>
      </c>
      <c r="L1067" s="35" t="str">
        <f>IFERROR(__xludf.DUMMYFUNCTION("""COMPUTED_VALUE"""),"Array;Dynamic Programming;Backtracking;Bit Manipulation;Bitmask;")</f>
        <v>Array;Dynamic Programming;Backtracking;Bit Manipulation;Bitmask;</v>
      </c>
      <c r="M1067" s="35" t="b">
        <f>IFERROR(__xludf.DUMMYFUNCTION("""COMPUTED_VALUE"""),TRUE)</f>
        <v>1</v>
      </c>
      <c r="N1067" s="35" t="b">
        <f>IFERROR(__xludf.DUMMYFUNCTION("""COMPUTED_VALUE"""),FALSE)</f>
        <v>0</v>
      </c>
      <c r="O1067" s="35">
        <f>IFERROR(__xludf.DUMMYFUNCTION("""COMPUTED_VALUE"""),54.6806907656626)</f>
        <v>54.68069077</v>
      </c>
      <c r="P1067" s="35">
        <f>IFERROR(__xludf.DUMMYFUNCTION("""COMPUTED_VALUE"""),37015.0)</f>
        <v>37015</v>
      </c>
      <c r="Q1067" s="35">
        <f>IFERROR(__xludf.DUMMYFUNCTION("""COMPUTED_VALUE"""),67693.0)</f>
        <v>67693</v>
      </c>
    </row>
    <row r="1068">
      <c r="A1068" s="35">
        <f>IFERROR(__xludf.DUMMYFUNCTION("""COMPUTED_VALUE"""),1068.0)</f>
        <v>1068</v>
      </c>
      <c r="B1068" s="35" t="str">
        <f>IFERROR(__xludf.DUMMYFUNCTION("""COMPUTED_VALUE"""),"Digit Count in Range")</f>
        <v>Digit Count in Range</v>
      </c>
      <c r="C1068" s="35" t="str">
        <f>IFERROR(__xludf.DUMMYFUNCTION("""COMPUTED_VALUE"""),"digit-count-in-range")</f>
        <v>digit-count-in-range</v>
      </c>
      <c r="D1068" s="35" t="b">
        <f>IFERROR(__xludf.DUMMYFUNCTION("""COMPUTED_VALUE"""),TRUE)</f>
        <v>1</v>
      </c>
      <c r="E1068" s="35" t="str">
        <f>IFERROR(__xludf.DUMMYFUNCTION("""COMPUTED_VALUE"""),"Hard")</f>
        <v>Hard</v>
      </c>
      <c r="F1068" s="35">
        <f>IFERROR(__xludf.DUMMYFUNCTION("""COMPUTED_VALUE"""),59.0)</f>
        <v>59</v>
      </c>
      <c r="G1068" s="35">
        <f>IFERROR(__xludf.DUMMYFUNCTION("""COMPUTED_VALUE"""),14.0)</f>
        <v>14</v>
      </c>
      <c r="H1068" s="35" t="str">
        <f>IFERROR(__xludf.DUMMYFUNCTION("""COMPUTED_VALUE"""),"Algorithms")</f>
        <v>Algorithms</v>
      </c>
      <c r="I1068" s="35">
        <f>IFERROR(__xludf.DUMMYFUNCTION("""COMPUTED_VALUE"""),0.425)</f>
        <v>0.425</v>
      </c>
      <c r="J1068" s="35">
        <f>IFERROR(__xludf.DUMMYFUNCTION("""COMPUTED_VALUE"""),1067.0)</f>
        <v>1067</v>
      </c>
      <c r="K1068" s="35" t="b">
        <f>IFERROR(__xludf.DUMMYFUNCTION("""COMPUTED_VALUE"""),TRUE)</f>
        <v>1</v>
      </c>
      <c r="L1068" s="35" t="str">
        <f>IFERROR(__xludf.DUMMYFUNCTION("""COMPUTED_VALUE"""),"Math;Dynamic Programming;")</f>
        <v>Math;Dynamic Programming;</v>
      </c>
      <c r="M1068" s="35" t="b">
        <f>IFERROR(__xludf.DUMMYFUNCTION("""COMPUTED_VALUE"""),FALSE)</f>
        <v>0</v>
      </c>
      <c r="N1068" s="35" t="b">
        <f>IFERROR(__xludf.DUMMYFUNCTION("""COMPUTED_VALUE"""),FALSE)</f>
        <v>0</v>
      </c>
      <c r="O1068" s="35">
        <f>IFERROR(__xludf.DUMMYFUNCTION("""COMPUTED_VALUE"""),42.4983585029546)</f>
        <v>42.4983585</v>
      </c>
      <c r="P1068" s="35">
        <f>IFERROR(__xludf.DUMMYFUNCTION("""COMPUTED_VALUE"""),2589.0)</f>
        <v>2589</v>
      </c>
      <c r="Q1068" s="35">
        <f>IFERROR(__xludf.DUMMYFUNCTION("""COMPUTED_VALUE"""),6092.0)</f>
        <v>6092</v>
      </c>
    </row>
    <row r="1069">
      <c r="A1069" s="35">
        <f>IFERROR(__xludf.DUMMYFUNCTION("""COMPUTED_VALUE"""),1153.0)</f>
        <v>1153</v>
      </c>
      <c r="B1069" s="35" t="str">
        <f>IFERROR(__xludf.DUMMYFUNCTION("""COMPUTED_VALUE"""),"Product Sales Analysis I")</f>
        <v>Product Sales Analysis I</v>
      </c>
      <c r="C1069" s="35" t="str">
        <f>IFERROR(__xludf.DUMMYFUNCTION("""COMPUTED_VALUE"""),"product-sales-analysis-i")</f>
        <v>product-sales-analysis-i</v>
      </c>
      <c r="D1069" s="35" t="b">
        <f>IFERROR(__xludf.DUMMYFUNCTION("""COMPUTED_VALUE"""),TRUE)</f>
        <v>1</v>
      </c>
      <c r="E1069" s="35" t="str">
        <f>IFERROR(__xludf.DUMMYFUNCTION("""COMPUTED_VALUE"""),"Easy")</f>
        <v>Easy</v>
      </c>
      <c r="F1069" s="35">
        <f>IFERROR(__xludf.DUMMYFUNCTION("""COMPUTED_VALUE"""),80.0)</f>
        <v>80</v>
      </c>
      <c r="G1069" s="35">
        <f>IFERROR(__xludf.DUMMYFUNCTION("""COMPUTED_VALUE"""),89.0)</f>
        <v>89</v>
      </c>
      <c r="H1069" s="35" t="str">
        <f>IFERROR(__xludf.DUMMYFUNCTION("""COMPUTED_VALUE"""),"Database")</f>
        <v>Database</v>
      </c>
      <c r="I1069" s="35">
        <f>IFERROR(__xludf.DUMMYFUNCTION("""COMPUTED_VALUE"""),0.811)</f>
        <v>0.811</v>
      </c>
      <c r="J1069" s="35">
        <f>IFERROR(__xludf.DUMMYFUNCTION("""COMPUTED_VALUE"""),1068.0)</f>
        <v>1068</v>
      </c>
      <c r="K1069" s="35" t="b">
        <f>IFERROR(__xludf.DUMMYFUNCTION("""COMPUTED_VALUE"""),TRUE)</f>
        <v>1</v>
      </c>
      <c r="L1069" s="35" t="str">
        <f>IFERROR(__xludf.DUMMYFUNCTION("""COMPUTED_VALUE"""),"Database;")</f>
        <v>Database;</v>
      </c>
      <c r="M1069" s="35" t="b">
        <f>IFERROR(__xludf.DUMMYFUNCTION("""COMPUTED_VALUE"""),FALSE)</f>
        <v>0</v>
      </c>
      <c r="N1069" s="35" t="b">
        <f>IFERROR(__xludf.DUMMYFUNCTION("""COMPUTED_VALUE"""),FALSE)</f>
        <v>0</v>
      </c>
      <c r="O1069" s="35">
        <f>IFERROR(__xludf.DUMMYFUNCTION("""COMPUTED_VALUE"""),81.0532411469483)</f>
        <v>81.05324115</v>
      </c>
      <c r="P1069" s="35">
        <f>IFERROR(__xludf.DUMMYFUNCTION("""COMPUTED_VALUE"""),46189.0)</f>
        <v>46189</v>
      </c>
      <c r="Q1069" s="35">
        <f>IFERROR(__xludf.DUMMYFUNCTION("""COMPUTED_VALUE"""),56986.0)</f>
        <v>56986</v>
      </c>
    </row>
    <row r="1070">
      <c r="A1070" s="35">
        <f>IFERROR(__xludf.DUMMYFUNCTION("""COMPUTED_VALUE"""),1154.0)</f>
        <v>1154</v>
      </c>
      <c r="B1070" s="35" t="str">
        <f>IFERROR(__xludf.DUMMYFUNCTION("""COMPUTED_VALUE"""),"Product Sales Analysis II")</f>
        <v>Product Sales Analysis II</v>
      </c>
      <c r="C1070" s="35" t="str">
        <f>IFERROR(__xludf.DUMMYFUNCTION("""COMPUTED_VALUE"""),"product-sales-analysis-ii")</f>
        <v>product-sales-analysis-ii</v>
      </c>
      <c r="D1070" s="35" t="b">
        <f>IFERROR(__xludf.DUMMYFUNCTION("""COMPUTED_VALUE"""),TRUE)</f>
        <v>1</v>
      </c>
      <c r="E1070" s="35" t="str">
        <f>IFERROR(__xludf.DUMMYFUNCTION("""COMPUTED_VALUE"""),"Easy")</f>
        <v>Easy</v>
      </c>
      <c r="F1070" s="35">
        <f>IFERROR(__xludf.DUMMYFUNCTION("""COMPUTED_VALUE"""),54.0)</f>
        <v>54</v>
      </c>
      <c r="G1070" s="35">
        <f>IFERROR(__xludf.DUMMYFUNCTION("""COMPUTED_VALUE"""),139.0)</f>
        <v>139</v>
      </c>
      <c r="H1070" s="35" t="str">
        <f>IFERROR(__xludf.DUMMYFUNCTION("""COMPUTED_VALUE"""),"Database")</f>
        <v>Database</v>
      </c>
      <c r="I1070" s="35">
        <f>IFERROR(__xludf.DUMMYFUNCTION("""COMPUTED_VALUE"""),0.826)</f>
        <v>0.826</v>
      </c>
      <c r="J1070" s="35">
        <f>IFERROR(__xludf.DUMMYFUNCTION("""COMPUTED_VALUE"""),1069.0)</f>
        <v>1069</v>
      </c>
      <c r="K1070" s="35" t="b">
        <f>IFERROR(__xludf.DUMMYFUNCTION("""COMPUTED_VALUE"""),TRUE)</f>
        <v>1</v>
      </c>
      <c r="L1070" s="35" t="str">
        <f>IFERROR(__xludf.DUMMYFUNCTION("""COMPUTED_VALUE"""),"Database;")</f>
        <v>Database;</v>
      </c>
      <c r="M1070" s="35" t="b">
        <f>IFERROR(__xludf.DUMMYFUNCTION("""COMPUTED_VALUE"""),FALSE)</f>
        <v>0</v>
      </c>
      <c r="N1070" s="35" t="b">
        <f>IFERROR(__xludf.DUMMYFUNCTION("""COMPUTED_VALUE"""),FALSE)</f>
        <v>0</v>
      </c>
      <c r="O1070" s="35">
        <f>IFERROR(__xludf.DUMMYFUNCTION("""COMPUTED_VALUE"""),82.5857346335049)</f>
        <v>82.58573463</v>
      </c>
      <c r="P1070" s="35">
        <f>IFERROR(__xludf.DUMMYFUNCTION("""COMPUTED_VALUE"""),37688.0)</f>
        <v>37688</v>
      </c>
      <c r="Q1070" s="35">
        <f>IFERROR(__xludf.DUMMYFUNCTION("""COMPUTED_VALUE"""),45635.0)</f>
        <v>45635</v>
      </c>
    </row>
    <row r="1071">
      <c r="A1071" s="35">
        <f>IFERROR(__xludf.DUMMYFUNCTION("""COMPUTED_VALUE"""),1155.0)</f>
        <v>1155</v>
      </c>
      <c r="B1071" s="35" t="str">
        <f>IFERROR(__xludf.DUMMYFUNCTION("""COMPUTED_VALUE"""),"Product Sales Analysis III")</f>
        <v>Product Sales Analysis III</v>
      </c>
      <c r="C1071" s="35" t="str">
        <f>IFERROR(__xludf.DUMMYFUNCTION("""COMPUTED_VALUE"""),"product-sales-analysis-iii")</f>
        <v>product-sales-analysis-iii</v>
      </c>
      <c r="D1071" s="35" t="b">
        <f>IFERROR(__xludf.DUMMYFUNCTION("""COMPUTED_VALUE"""),TRUE)</f>
        <v>1</v>
      </c>
      <c r="E1071" s="35" t="str">
        <f>IFERROR(__xludf.DUMMYFUNCTION("""COMPUTED_VALUE"""),"Medium")</f>
        <v>Medium</v>
      </c>
      <c r="F1071" s="35">
        <f>IFERROR(__xludf.DUMMYFUNCTION("""COMPUTED_VALUE"""),70.0)</f>
        <v>70</v>
      </c>
      <c r="G1071" s="35">
        <f>IFERROR(__xludf.DUMMYFUNCTION("""COMPUTED_VALUE"""),258.0)</f>
        <v>258</v>
      </c>
      <c r="H1071" s="35" t="str">
        <f>IFERROR(__xludf.DUMMYFUNCTION("""COMPUTED_VALUE"""),"Database")</f>
        <v>Database</v>
      </c>
      <c r="I1071" s="35">
        <f>IFERROR(__xludf.DUMMYFUNCTION("""COMPUTED_VALUE"""),0.497)</f>
        <v>0.497</v>
      </c>
      <c r="J1071" s="35">
        <f>IFERROR(__xludf.DUMMYFUNCTION("""COMPUTED_VALUE"""),1070.0)</f>
        <v>1070</v>
      </c>
      <c r="K1071" s="35" t="b">
        <f>IFERROR(__xludf.DUMMYFUNCTION("""COMPUTED_VALUE"""),TRUE)</f>
        <v>1</v>
      </c>
      <c r="L1071" s="35" t="str">
        <f>IFERROR(__xludf.DUMMYFUNCTION("""COMPUTED_VALUE"""),"Database;")</f>
        <v>Database;</v>
      </c>
      <c r="M1071" s="35" t="b">
        <f>IFERROR(__xludf.DUMMYFUNCTION("""COMPUTED_VALUE"""),FALSE)</f>
        <v>0</v>
      </c>
      <c r="N1071" s="35" t="b">
        <f>IFERROR(__xludf.DUMMYFUNCTION("""COMPUTED_VALUE"""),FALSE)</f>
        <v>0</v>
      </c>
      <c r="O1071" s="35">
        <f>IFERROR(__xludf.DUMMYFUNCTION("""COMPUTED_VALUE"""),49.656652360515)</f>
        <v>49.65665236</v>
      </c>
      <c r="P1071" s="35">
        <f>IFERROR(__xludf.DUMMYFUNCTION("""COMPUTED_VALUE"""),28924.0)</f>
        <v>28924</v>
      </c>
      <c r="Q1071" s="35">
        <f>IFERROR(__xludf.DUMMYFUNCTION("""COMPUTED_VALUE"""),58249.0)</f>
        <v>58249</v>
      </c>
    </row>
    <row r="1072">
      <c r="A1072" s="35">
        <f>IFERROR(__xludf.DUMMYFUNCTION("""COMPUTED_VALUE"""),1146.0)</f>
        <v>1146</v>
      </c>
      <c r="B1072" s="35" t="str">
        <f>IFERROR(__xludf.DUMMYFUNCTION("""COMPUTED_VALUE"""),"Greatest Common Divisor of Strings")</f>
        <v>Greatest Common Divisor of Strings</v>
      </c>
      <c r="C1072" s="35" t="str">
        <f>IFERROR(__xludf.DUMMYFUNCTION("""COMPUTED_VALUE"""),"greatest-common-divisor-of-strings")</f>
        <v>greatest-common-divisor-of-strings</v>
      </c>
      <c r="D1072" s="35" t="b">
        <f>IFERROR(__xludf.DUMMYFUNCTION("""COMPUTED_VALUE"""),FALSE)</f>
        <v>0</v>
      </c>
      <c r="E1072" s="35" t="str">
        <f>IFERROR(__xludf.DUMMYFUNCTION("""COMPUTED_VALUE"""),"Easy")</f>
        <v>Easy</v>
      </c>
      <c r="F1072" s="35">
        <f>IFERROR(__xludf.DUMMYFUNCTION("""COMPUTED_VALUE"""),1230.0)</f>
        <v>1230</v>
      </c>
      <c r="G1072" s="35">
        <f>IFERROR(__xludf.DUMMYFUNCTION("""COMPUTED_VALUE"""),247.0)</f>
        <v>247</v>
      </c>
      <c r="H1072" s="35" t="str">
        <f>IFERROR(__xludf.DUMMYFUNCTION("""COMPUTED_VALUE"""),"Algorithms")</f>
        <v>Algorithms</v>
      </c>
      <c r="I1072" s="35">
        <f>IFERROR(__xludf.DUMMYFUNCTION("""COMPUTED_VALUE"""),0.516)</f>
        <v>0.516</v>
      </c>
      <c r="J1072" s="35">
        <f>IFERROR(__xludf.DUMMYFUNCTION("""COMPUTED_VALUE"""),1071.0)</f>
        <v>1071</v>
      </c>
      <c r="K1072" s="35" t="b">
        <f>IFERROR(__xludf.DUMMYFUNCTION("""COMPUTED_VALUE"""),FALSE)</f>
        <v>0</v>
      </c>
      <c r="L1072" s="35" t="str">
        <f>IFERROR(__xludf.DUMMYFUNCTION("""COMPUTED_VALUE"""),"Math;String;")</f>
        <v>Math;String;</v>
      </c>
      <c r="M1072" s="35" t="b">
        <f>IFERROR(__xludf.DUMMYFUNCTION("""COMPUTED_VALUE"""),FALSE)</f>
        <v>0</v>
      </c>
      <c r="N1072" s="35" t="b">
        <f>IFERROR(__xludf.DUMMYFUNCTION("""COMPUTED_VALUE"""),FALSE)</f>
        <v>0</v>
      </c>
      <c r="O1072" s="35">
        <f>IFERROR(__xludf.DUMMYFUNCTION("""COMPUTED_VALUE"""),51.6028738603076)</f>
        <v>51.60287386</v>
      </c>
      <c r="P1072" s="35">
        <f>IFERROR(__xludf.DUMMYFUNCTION("""COMPUTED_VALUE"""),68876.0)</f>
        <v>68876</v>
      </c>
      <c r="Q1072" s="35">
        <f>IFERROR(__xludf.DUMMYFUNCTION("""COMPUTED_VALUE"""),133476.0)</f>
        <v>133476</v>
      </c>
    </row>
    <row r="1073">
      <c r="A1073" s="35">
        <f>IFERROR(__xludf.DUMMYFUNCTION("""COMPUTED_VALUE"""),1147.0)</f>
        <v>1147</v>
      </c>
      <c r="B1073" s="35" t="str">
        <f>IFERROR(__xludf.DUMMYFUNCTION("""COMPUTED_VALUE"""),"Flip Columns For Maximum Number of Equal Rows")</f>
        <v>Flip Columns For Maximum Number of Equal Rows</v>
      </c>
      <c r="C1073" s="35" t="str">
        <f>IFERROR(__xludf.DUMMYFUNCTION("""COMPUTED_VALUE"""),"flip-columns-for-maximum-number-of-equal-rows")</f>
        <v>flip-columns-for-maximum-number-of-equal-rows</v>
      </c>
      <c r="D1073" s="35" t="b">
        <f>IFERROR(__xludf.DUMMYFUNCTION("""COMPUTED_VALUE"""),FALSE)</f>
        <v>0</v>
      </c>
      <c r="E1073" s="35" t="str">
        <f>IFERROR(__xludf.DUMMYFUNCTION("""COMPUTED_VALUE"""),"Medium")</f>
        <v>Medium</v>
      </c>
      <c r="F1073" s="35">
        <f>IFERROR(__xludf.DUMMYFUNCTION("""COMPUTED_VALUE"""),504.0)</f>
        <v>504</v>
      </c>
      <c r="G1073" s="35">
        <f>IFERROR(__xludf.DUMMYFUNCTION("""COMPUTED_VALUE"""),36.0)</f>
        <v>36</v>
      </c>
      <c r="H1073" s="35" t="str">
        <f>IFERROR(__xludf.DUMMYFUNCTION("""COMPUTED_VALUE"""),"Algorithms")</f>
        <v>Algorithms</v>
      </c>
      <c r="I1073" s="35">
        <f>IFERROR(__xludf.DUMMYFUNCTION("""COMPUTED_VALUE"""),0.629)</f>
        <v>0.629</v>
      </c>
      <c r="J1073" s="35">
        <f>IFERROR(__xludf.DUMMYFUNCTION("""COMPUTED_VALUE"""),1072.0)</f>
        <v>1072</v>
      </c>
      <c r="K1073" s="35" t="b">
        <f>IFERROR(__xludf.DUMMYFUNCTION("""COMPUTED_VALUE"""),FALSE)</f>
        <v>0</v>
      </c>
      <c r="L1073" s="35" t="str">
        <f>IFERROR(__xludf.DUMMYFUNCTION("""COMPUTED_VALUE"""),"Array;Hash Table;Matrix;")</f>
        <v>Array;Hash Table;Matrix;</v>
      </c>
      <c r="M1073" s="35" t="b">
        <f>IFERROR(__xludf.DUMMYFUNCTION("""COMPUTED_VALUE"""),FALSE)</f>
        <v>0</v>
      </c>
      <c r="N1073" s="35" t="b">
        <f>IFERROR(__xludf.DUMMYFUNCTION("""COMPUTED_VALUE"""),FALSE)</f>
        <v>0</v>
      </c>
      <c r="O1073" s="35">
        <f>IFERROR(__xludf.DUMMYFUNCTION("""COMPUTED_VALUE"""),62.937574613933)</f>
        <v>62.93757461</v>
      </c>
      <c r="P1073" s="35">
        <f>IFERROR(__xludf.DUMMYFUNCTION("""COMPUTED_VALUE"""),16343.0)</f>
        <v>16343</v>
      </c>
      <c r="Q1073" s="35">
        <f>IFERROR(__xludf.DUMMYFUNCTION("""COMPUTED_VALUE"""),25967.0)</f>
        <v>25967</v>
      </c>
    </row>
    <row r="1074">
      <c r="A1074" s="35">
        <f>IFERROR(__xludf.DUMMYFUNCTION("""COMPUTED_VALUE"""),1148.0)</f>
        <v>1148</v>
      </c>
      <c r="B1074" s="35" t="str">
        <f>IFERROR(__xludf.DUMMYFUNCTION("""COMPUTED_VALUE"""),"Adding Two Negabinary Numbers")</f>
        <v>Adding Two Negabinary Numbers</v>
      </c>
      <c r="C1074" s="35" t="str">
        <f>IFERROR(__xludf.DUMMYFUNCTION("""COMPUTED_VALUE"""),"adding-two-negabinary-numbers")</f>
        <v>adding-two-negabinary-numbers</v>
      </c>
      <c r="D1074" s="35" t="b">
        <f>IFERROR(__xludf.DUMMYFUNCTION("""COMPUTED_VALUE"""),FALSE)</f>
        <v>0</v>
      </c>
      <c r="E1074" s="35" t="str">
        <f>IFERROR(__xludf.DUMMYFUNCTION("""COMPUTED_VALUE"""),"Medium")</f>
        <v>Medium</v>
      </c>
      <c r="F1074" s="35">
        <f>IFERROR(__xludf.DUMMYFUNCTION("""COMPUTED_VALUE"""),210.0)</f>
        <v>210</v>
      </c>
      <c r="G1074" s="35">
        <f>IFERROR(__xludf.DUMMYFUNCTION("""COMPUTED_VALUE"""),87.0)</f>
        <v>87</v>
      </c>
      <c r="H1074" s="35" t="str">
        <f>IFERROR(__xludf.DUMMYFUNCTION("""COMPUTED_VALUE"""),"Algorithms")</f>
        <v>Algorithms</v>
      </c>
      <c r="I1074" s="35">
        <f>IFERROR(__xludf.DUMMYFUNCTION("""COMPUTED_VALUE"""),0.356)</f>
        <v>0.356</v>
      </c>
      <c r="J1074" s="35">
        <f>IFERROR(__xludf.DUMMYFUNCTION("""COMPUTED_VALUE"""),1073.0)</f>
        <v>1073</v>
      </c>
      <c r="K1074" s="35" t="b">
        <f>IFERROR(__xludf.DUMMYFUNCTION("""COMPUTED_VALUE"""),FALSE)</f>
        <v>0</v>
      </c>
      <c r="L1074" s="35" t="str">
        <f>IFERROR(__xludf.DUMMYFUNCTION("""COMPUTED_VALUE"""),"Array;Math;")</f>
        <v>Array;Math;</v>
      </c>
      <c r="M1074" s="35" t="b">
        <f>IFERROR(__xludf.DUMMYFUNCTION("""COMPUTED_VALUE"""),FALSE)</f>
        <v>0</v>
      </c>
      <c r="N1074" s="35" t="b">
        <f>IFERROR(__xludf.DUMMYFUNCTION("""COMPUTED_VALUE"""),FALSE)</f>
        <v>0</v>
      </c>
      <c r="O1074" s="35">
        <f>IFERROR(__xludf.DUMMYFUNCTION("""COMPUTED_VALUE"""),35.6375144925265)</f>
        <v>35.63751449</v>
      </c>
      <c r="P1074" s="35">
        <f>IFERROR(__xludf.DUMMYFUNCTION("""COMPUTED_VALUE"""),11373.0)</f>
        <v>11373</v>
      </c>
      <c r="Q1074" s="35">
        <f>IFERROR(__xludf.DUMMYFUNCTION("""COMPUTED_VALUE"""),31913.0)</f>
        <v>31913</v>
      </c>
    </row>
    <row r="1075">
      <c r="A1075" s="35">
        <f>IFERROR(__xludf.DUMMYFUNCTION("""COMPUTED_VALUE"""),1145.0)</f>
        <v>1145</v>
      </c>
      <c r="B1075" s="35" t="str">
        <f>IFERROR(__xludf.DUMMYFUNCTION("""COMPUTED_VALUE"""),"Number of Submatrices That Sum to Target")</f>
        <v>Number of Submatrices That Sum to Target</v>
      </c>
      <c r="C1075" s="35" t="str">
        <f>IFERROR(__xludf.DUMMYFUNCTION("""COMPUTED_VALUE"""),"number-of-submatrices-that-sum-to-target")</f>
        <v>number-of-submatrices-that-sum-to-target</v>
      </c>
      <c r="D1075" s="35" t="b">
        <f>IFERROR(__xludf.DUMMYFUNCTION("""COMPUTED_VALUE"""),FALSE)</f>
        <v>0</v>
      </c>
      <c r="E1075" s="35" t="str">
        <f>IFERROR(__xludf.DUMMYFUNCTION("""COMPUTED_VALUE"""),"Hard")</f>
        <v>Hard</v>
      </c>
      <c r="F1075" s="35">
        <f>IFERROR(__xludf.DUMMYFUNCTION("""COMPUTED_VALUE"""),1497.0)</f>
        <v>1497</v>
      </c>
      <c r="G1075" s="35">
        <f>IFERROR(__xludf.DUMMYFUNCTION("""COMPUTED_VALUE"""),37.0)</f>
        <v>37</v>
      </c>
      <c r="H1075" s="35" t="str">
        <f>IFERROR(__xludf.DUMMYFUNCTION("""COMPUTED_VALUE"""),"Algorithms")</f>
        <v>Algorithms</v>
      </c>
      <c r="I1075" s="35">
        <f>IFERROR(__xludf.DUMMYFUNCTION("""COMPUTED_VALUE"""),0.663)</f>
        <v>0.663</v>
      </c>
      <c r="J1075" s="35">
        <f>IFERROR(__xludf.DUMMYFUNCTION("""COMPUTED_VALUE"""),1074.0)</f>
        <v>1074</v>
      </c>
      <c r="K1075" s="35" t="b">
        <f>IFERROR(__xludf.DUMMYFUNCTION("""COMPUTED_VALUE"""),FALSE)</f>
        <v>0</v>
      </c>
      <c r="L1075" s="35" t="str">
        <f>IFERROR(__xludf.DUMMYFUNCTION("""COMPUTED_VALUE"""),"Array;Hash Table;Matrix;Prefix Sum;")</f>
        <v>Array;Hash Table;Matrix;Prefix Sum;</v>
      </c>
      <c r="M1075" s="35" t="b">
        <f>IFERROR(__xludf.DUMMYFUNCTION("""COMPUTED_VALUE"""),TRUE)</f>
        <v>1</v>
      </c>
      <c r="N1075" s="35" t="b">
        <f>IFERROR(__xludf.DUMMYFUNCTION("""COMPUTED_VALUE"""),FALSE)</f>
        <v>0</v>
      </c>
      <c r="O1075" s="35">
        <f>IFERROR(__xludf.DUMMYFUNCTION("""COMPUTED_VALUE"""),66.2833467213461)</f>
        <v>66.28334672</v>
      </c>
      <c r="P1075" s="35">
        <f>IFERROR(__xludf.DUMMYFUNCTION("""COMPUTED_VALUE"""),47034.0)</f>
        <v>47034</v>
      </c>
      <c r="Q1075" s="35">
        <f>IFERROR(__xludf.DUMMYFUNCTION("""COMPUTED_VALUE"""),70958.0)</f>
        <v>70958</v>
      </c>
    </row>
    <row r="1076">
      <c r="A1076" s="35">
        <f>IFERROR(__xludf.DUMMYFUNCTION("""COMPUTED_VALUE"""),1161.0)</f>
        <v>1161</v>
      </c>
      <c r="B1076" s="35" t="str">
        <f>IFERROR(__xludf.DUMMYFUNCTION("""COMPUTED_VALUE"""),"Project Employees I")</f>
        <v>Project Employees I</v>
      </c>
      <c r="C1076" s="35" t="str">
        <f>IFERROR(__xludf.DUMMYFUNCTION("""COMPUTED_VALUE"""),"project-employees-i")</f>
        <v>project-employees-i</v>
      </c>
      <c r="D1076" s="35" t="b">
        <f>IFERROR(__xludf.DUMMYFUNCTION("""COMPUTED_VALUE"""),TRUE)</f>
        <v>1</v>
      </c>
      <c r="E1076" s="35" t="str">
        <f>IFERROR(__xludf.DUMMYFUNCTION("""COMPUTED_VALUE"""),"Easy")</f>
        <v>Easy</v>
      </c>
      <c r="F1076" s="35">
        <f>IFERROR(__xludf.DUMMYFUNCTION("""COMPUTED_VALUE"""),77.0)</f>
        <v>77</v>
      </c>
      <c r="G1076" s="35">
        <f>IFERROR(__xludf.DUMMYFUNCTION("""COMPUTED_VALUE"""),61.0)</f>
        <v>61</v>
      </c>
      <c r="H1076" s="35" t="str">
        <f>IFERROR(__xludf.DUMMYFUNCTION("""COMPUTED_VALUE"""),"Database")</f>
        <v>Database</v>
      </c>
      <c r="I1076" s="35">
        <f>IFERROR(__xludf.DUMMYFUNCTION("""COMPUTED_VALUE"""),0.668)</f>
        <v>0.668</v>
      </c>
      <c r="J1076" s="35">
        <f>IFERROR(__xludf.DUMMYFUNCTION("""COMPUTED_VALUE"""),1075.0)</f>
        <v>1075</v>
      </c>
      <c r="K1076" s="35" t="b">
        <f>IFERROR(__xludf.DUMMYFUNCTION("""COMPUTED_VALUE"""),TRUE)</f>
        <v>1</v>
      </c>
      <c r="L1076" s="35" t="str">
        <f>IFERROR(__xludf.DUMMYFUNCTION("""COMPUTED_VALUE"""),"Database;")</f>
        <v>Database;</v>
      </c>
      <c r="M1076" s="35" t="b">
        <f>IFERROR(__xludf.DUMMYFUNCTION("""COMPUTED_VALUE"""),FALSE)</f>
        <v>0</v>
      </c>
      <c r="N1076" s="35" t="b">
        <f>IFERROR(__xludf.DUMMYFUNCTION("""COMPUTED_VALUE"""),FALSE)</f>
        <v>0</v>
      </c>
      <c r="O1076" s="35">
        <f>IFERROR(__xludf.DUMMYFUNCTION("""COMPUTED_VALUE"""),66.8490132391209)</f>
        <v>66.84901324</v>
      </c>
      <c r="P1076" s="35">
        <f>IFERROR(__xludf.DUMMYFUNCTION("""COMPUTED_VALUE"""),35192.0)</f>
        <v>35192</v>
      </c>
      <c r="Q1076" s="35">
        <f>IFERROR(__xludf.DUMMYFUNCTION("""COMPUTED_VALUE"""),52644.0)</f>
        <v>52644</v>
      </c>
    </row>
    <row r="1077">
      <c r="A1077" s="35">
        <f>IFERROR(__xludf.DUMMYFUNCTION("""COMPUTED_VALUE"""),1162.0)</f>
        <v>1162</v>
      </c>
      <c r="B1077" s="35" t="str">
        <f>IFERROR(__xludf.DUMMYFUNCTION("""COMPUTED_VALUE"""),"Project Employees II")</f>
        <v>Project Employees II</v>
      </c>
      <c r="C1077" s="35" t="str">
        <f>IFERROR(__xludf.DUMMYFUNCTION("""COMPUTED_VALUE"""),"project-employees-ii")</f>
        <v>project-employees-ii</v>
      </c>
      <c r="D1077" s="35" t="b">
        <f>IFERROR(__xludf.DUMMYFUNCTION("""COMPUTED_VALUE"""),TRUE)</f>
        <v>1</v>
      </c>
      <c r="E1077" s="35" t="str">
        <f>IFERROR(__xludf.DUMMYFUNCTION("""COMPUTED_VALUE"""),"Easy")</f>
        <v>Easy</v>
      </c>
      <c r="F1077" s="35">
        <f>IFERROR(__xludf.DUMMYFUNCTION("""COMPUTED_VALUE"""),138.0)</f>
        <v>138</v>
      </c>
      <c r="G1077" s="35">
        <f>IFERROR(__xludf.DUMMYFUNCTION("""COMPUTED_VALUE"""),44.0)</f>
        <v>44</v>
      </c>
      <c r="H1077" s="35" t="str">
        <f>IFERROR(__xludf.DUMMYFUNCTION("""COMPUTED_VALUE"""),"Database")</f>
        <v>Database</v>
      </c>
      <c r="I1077" s="35">
        <f>IFERROR(__xludf.DUMMYFUNCTION("""COMPUTED_VALUE"""),0.514)</f>
        <v>0.514</v>
      </c>
      <c r="J1077" s="35">
        <f>IFERROR(__xludf.DUMMYFUNCTION("""COMPUTED_VALUE"""),1076.0)</f>
        <v>1076</v>
      </c>
      <c r="K1077" s="35" t="b">
        <f>IFERROR(__xludf.DUMMYFUNCTION("""COMPUTED_VALUE"""),TRUE)</f>
        <v>1</v>
      </c>
      <c r="L1077" s="35" t="str">
        <f>IFERROR(__xludf.DUMMYFUNCTION("""COMPUTED_VALUE"""),"Database;")</f>
        <v>Database;</v>
      </c>
      <c r="M1077" s="35" t="b">
        <f>IFERROR(__xludf.DUMMYFUNCTION("""COMPUTED_VALUE"""),FALSE)</f>
        <v>0</v>
      </c>
      <c r="N1077" s="35" t="b">
        <f>IFERROR(__xludf.DUMMYFUNCTION("""COMPUTED_VALUE"""),FALSE)</f>
        <v>0</v>
      </c>
      <c r="O1077" s="35">
        <f>IFERROR(__xludf.DUMMYFUNCTION("""COMPUTED_VALUE"""),51.4043163088117)</f>
        <v>51.40431631</v>
      </c>
      <c r="P1077" s="35">
        <f>IFERROR(__xludf.DUMMYFUNCTION("""COMPUTED_VALUE"""),37300.0)</f>
        <v>37300</v>
      </c>
      <c r="Q1077" s="35">
        <f>IFERROR(__xludf.DUMMYFUNCTION("""COMPUTED_VALUE"""),72562.0)</f>
        <v>72562</v>
      </c>
    </row>
    <row r="1078">
      <c r="A1078" s="35">
        <f>IFERROR(__xludf.DUMMYFUNCTION("""COMPUTED_VALUE"""),1163.0)</f>
        <v>1163</v>
      </c>
      <c r="B1078" s="35" t="str">
        <f>IFERROR(__xludf.DUMMYFUNCTION("""COMPUTED_VALUE"""),"Project Employees III")</f>
        <v>Project Employees III</v>
      </c>
      <c r="C1078" s="35" t="str">
        <f>IFERROR(__xludf.DUMMYFUNCTION("""COMPUTED_VALUE"""),"project-employees-iii")</f>
        <v>project-employees-iii</v>
      </c>
      <c r="D1078" s="35" t="b">
        <f>IFERROR(__xludf.DUMMYFUNCTION("""COMPUTED_VALUE"""),TRUE)</f>
        <v>1</v>
      </c>
      <c r="E1078" s="35" t="str">
        <f>IFERROR(__xludf.DUMMYFUNCTION("""COMPUTED_VALUE"""),"Medium")</f>
        <v>Medium</v>
      </c>
      <c r="F1078" s="35">
        <f>IFERROR(__xludf.DUMMYFUNCTION("""COMPUTED_VALUE"""),168.0)</f>
        <v>168</v>
      </c>
      <c r="G1078" s="35">
        <f>IFERROR(__xludf.DUMMYFUNCTION("""COMPUTED_VALUE"""),4.0)</f>
        <v>4</v>
      </c>
      <c r="H1078" s="35" t="str">
        <f>IFERROR(__xludf.DUMMYFUNCTION("""COMPUTED_VALUE"""),"Database")</f>
        <v>Database</v>
      </c>
      <c r="I1078" s="35">
        <f>IFERROR(__xludf.DUMMYFUNCTION("""COMPUTED_VALUE"""),0.786)</f>
        <v>0.786</v>
      </c>
      <c r="J1078" s="35">
        <f>IFERROR(__xludf.DUMMYFUNCTION("""COMPUTED_VALUE"""),1077.0)</f>
        <v>1077</v>
      </c>
      <c r="K1078" s="35" t="b">
        <f>IFERROR(__xludf.DUMMYFUNCTION("""COMPUTED_VALUE"""),TRUE)</f>
        <v>1</v>
      </c>
      <c r="L1078" s="35" t="str">
        <f>IFERROR(__xludf.DUMMYFUNCTION("""COMPUTED_VALUE"""),"Database;")</f>
        <v>Database;</v>
      </c>
      <c r="M1078" s="35" t="b">
        <f>IFERROR(__xludf.DUMMYFUNCTION("""COMPUTED_VALUE"""),FALSE)</f>
        <v>0</v>
      </c>
      <c r="N1078" s="35" t="b">
        <f>IFERROR(__xludf.DUMMYFUNCTION("""COMPUTED_VALUE"""),FALSE)</f>
        <v>0</v>
      </c>
      <c r="O1078" s="35">
        <f>IFERROR(__xludf.DUMMYFUNCTION("""COMPUTED_VALUE"""),78.5968626696179)</f>
        <v>78.59686267</v>
      </c>
      <c r="P1078" s="35">
        <f>IFERROR(__xludf.DUMMYFUNCTION("""COMPUTED_VALUE"""),32668.0)</f>
        <v>32668</v>
      </c>
      <c r="Q1078" s="35">
        <f>IFERROR(__xludf.DUMMYFUNCTION("""COMPUTED_VALUE"""),41564.0)</f>
        <v>41564</v>
      </c>
    </row>
    <row r="1079">
      <c r="A1079" s="35">
        <f>IFERROR(__xludf.DUMMYFUNCTION("""COMPUTED_VALUE"""),1156.0)</f>
        <v>1156</v>
      </c>
      <c r="B1079" s="35" t="str">
        <f>IFERROR(__xludf.DUMMYFUNCTION("""COMPUTED_VALUE"""),"Occurrences After Bigram")</f>
        <v>Occurrences After Bigram</v>
      </c>
      <c r="C1079" s="35" t="str">
        <f>IFERROR(__xludf.DUMMYFUNCTION("""COMPUTED_VALUE"""),"occurrences-after-bigram")</f>
        <v>occurrences-after-bigram</v>
      </c>
      <c r="D1079" s="35" t="b">
        <f>IFERROR(__xludf.DUMMYFUNCTION("""COMPUTED_VALUE"""),FALSE)</f>
        <v>0</v>
      </c>
      <c r="E1079" s="35" t="str">
        <f>IFERROR(__xludf.DUMMYFUNCTION("""COMPUTED_VALUE"""),"Easy")</f>
        <v>Easy</v>
      </c>
      <c r="F1079" s="35">
        <f>IFERROR(__xludf.DUMMYFUNCTION("""COMPUTED_VALUE"""),310.0)</f>
        <v>310</v>
      </c>
      <c r="G1079" s="35">
        <f>IFERROR(__xludf.DUMMYFUNCTION("""COMPUTED_VALUE"""),283.0)</f>
        <v>283</v>
      </c>
      <c r="H1079" s="35" t="str">
        <f>IFERROR(__xludf.DUMMYFUNCTION("""COMPUTED_VALUE"""),"Algorithms")</f>
        <v>Algorithms</v>
      </c>
      <c r="I1079" s="35">
        <f>IFERROR(__xludf.DUMMYFUNCTION("""COMPUTED_VALUE"""),0.643)</f>
        <v>0.643</v>
      </c>
      <c r="J1079" s="35">
        <f>IFERROR(__xludf.DUMMYFUNCTION("""COMPUTED_VALUE"""),1078.0)</f>
        <v>1078</v>
      </c>
      <c r="K1079" s="35" t="b">
        <f>IFERROR(__xludf.DUMMYFUNCTION("""COMPUTED_VALUE"""),FALSE)</f>
        <v>0</v>
      </c>
      <c r="L1079" s="35" t="str">
        <f>IFERROR(__xludf.DUMMYFUNCTION("""COMPUTED_VALUE"""),"String;")</f>
        <v>String;</v>
      </c>
      <c r="M1079" s="35" t="b">
        <f>IFERROR(__xludf.DUMMYFUNCTION("""COMPUTED_VALUE"""),FALSE)</f>
        <v>0</v>
      </c>
      <c r="N1079" s="35" t="b">
        <f>IFERROR(__xludf.DUMMYFUNCTION("""COMPUTED_VALUE"""),FALSE)</f>
        <v>0</v>
      </c>
      <c r="O1079" s="35">
        <f>IFERROR(__xludf.DUMMYFUNCTION("""COMPUTED_VALUE"""),64.2953659258496)</f>
        <v>64.29536593</v>
      </c>
      <c r="P1079" s="35">
        <f>IFERROR(__xludf.DUMMYFUNCTION("""COMPUTED_VALUE"""),49961.0)</f>
        <v>49961</v>
      </c>
      <c r="Q1079" s="35">
        <f>IFERROR(__xludf.DUMMYFUNCTION("""COMPUTED_VALUE"""),77706.0)</f>
        <v>77706</v>
      </c>
    </row>
    <row r="1080">
      <c r="A1080" s="35">
        <f>IFERROR(__xludf.DUMMYFUNCTION("""COMPUTED_VALUE"""),1160.0)</f>
        <v>1160</v>
      </c>
      <c r="B1080" s="35" t="str">
        <f>IFERROR(__xludf.DUMMYFUNCTION("""COMPUTED_VALUE"""),"Letter Tile Possibilities")</f>
        <v>Letter Tile Possibilities</v>
      </c>
      <c r="C1080" s="35" t="str">
        <f>IFERROR(__xludf.DUMMYFUNCTION("""COMPUTED_VALUE"""),"letter-tile-possibilities")</f>
        <v>letter-tile-possibilities</v>
      </c>
      <c r="D1080" s="35" t="b">
        <f>IFERROR(__xludf.DUMMYFUNCTION("""COMPUTED_VALUE"""),FALSE)</f>
        <v>0</v>
      </c>
      <c r="E1080" s="35" t="str">
        <f>IFERROR(__xludf.DUMMYFUNCTION("""COMPUTED_VALUE"""),"Medium")</f>
        <v>Medium</v>
      </c>
      <c r="F1080" s="35">
        <f>IFERROR(__xludf.DUMMYFUNCTION("""COMPUTED_VALUE"""),1563.0)</f>
        <v>1563</v>
      </c>
      <c r="G1080" s="35">
        <f>IFERROR(__xludf.DUMMYFUNCTION("""COMPUTED_VALUE"""),45.0)</f>
        <v>45</v>
      </c>
      <c r="H1080" s="35" t="str">
        <f>IFERROR(__xludf.DUMMYFUNCTION("""COMPUTED_VALUE"""),"Algorithms")</f>
        <v>Algorithms</v>
      </c>
      <c r="I1080" s="35">
        <f>IFERROR(__xludf.DUMMYFUNCTION("""COMPUTED_VALUE"""),0.762)</f>
        <v>0.762</v>
      </c>
      <c r="J1080" s="35">
        <f>IFERROR(__xludf.DUMMYFUNCTION("""COMPUTED_VALUE"""),1079.0)</f>
        <v>1079</v>
      </c>
      <c r="K1080" s="35" t="b">
        <f>IFERROR(__xludf.DUMMYFUNCTION("""COMPUTED_VALUE"""),FALSE)</f>
        <v>0</v>
      </c>
      <c r="L1080" s="35" t="str">
        <f>IFERROR(__xludf.DUMMYFUNCTION("""COMPUTED_VALUE"""),"String;Backtracking;")</f>
        <v>String;Backtracking;</v>
      </c>
      <c r="M1080" s="35" t="b">
        <f>IFERROR(__xludf.DUMMYFUNCTION("""COMPUTED_VALUE"""),FALSE)</f>
        <v>0</v>
      </c>
      <c r="N1080" s="35" t="b">
        <f>IFERROR(__xludf.DUMMYFUNCTION("""COMPUTED_VALUE"""),FALSE)</f>
        <v>0</v>
      </c>
      <c r="O1080" s="35">
        <f>IFERROR(__xludf.DUMMYFUNCTION("""COMPUTED_VALUE"""),76.2123442940942)</f>
        <v>76.21234429</v>
      </c>
      <c r="P1080" s="35">
        <f>IFERROR(__xludf.DUMMYFUNCTION("""COMPUTED_VALUE"""),65221.0)</f>
        <v>65221</v>
      </c>
      <c r="Q1080" s="35">
        <f>IFERROR(__xludf.DUMMYFUNCTION("""COMPUTED_VALUE"""),85578.0)</f>
        <v>85578</v>
      </c>
    </row>
    <row r="1081">
      <c r="A1081" s="35">
        <f>IFERROR(__xludf.DUMMYFUNCTION("""COMPUTED_VALUE"""),1157.0)</f>
        <v>1157</v>
      </c>
      <c r="B1081" s="35" t="str">
        <f>IFERROR(__xludf.DUMMYFUNCTION("""COMPUTED_VALUE"""),"Insufficient Nodes in Root to Leaf Paths")</f>
        <v>Insufficient Nodes in Root to Leaf Paths</v>
      </c>
      <c r="C1081" s="35" t="str">
        <f>IFERROR(__xludf.DUMMYFUNCTION("""COMPUTED_VALUE"""),"insufficient-nodes-in-root-to-leaf-paths")</f>
        <v>insufficient-nodes-in-root-to-leaf-paths</v>
      </c>
      <c r="D1081" s="35" t="b">
        <f>IFERROR(__xludf.DUMMYFUNCTION("""COMPUTED_VALUE"""),FALSE)</f>
        <v>0</v>
      </c>
      <c r="E1081" s="35" t="str">
        <f>IFERROR(__xludf.DUMMYFUNCTION("""COMPUTED_VALUE"""),"Medium")</f>
        <v>Medium</v>
      </c>
      <c r="F1081" s="35">
        <f>IFERROR(__xludf.DUMMYFUNCTION("""COMPUTED_VALUE"""),391.0)</f>
        <v>391</v>
      </c>
      <c r="G1081" s="35">
        <f>IFERROR(__xludf.DUMMYFUNCTION("""COMPUTED_VALUE"""),532.0)</f>
        <v>532</v>
      </c>
      <c r="H1081" s="35" t="str">
        <f>IFERROR(__xludf.DUMMYFUNCTION("""COMPUTED_VALUE"""),"Algorithms")</f>
        <v>Algorithms</v>
      </c>
      <c r="I1081" s="35">
        <f>IFERROR(__xludf.DUMMYFUNCTION("""COMPUTED_VALUE"""),0.517)</f>
        <v>0.517</v>
      </c>
      <c r="J1081" s="35">
        <f>IFERROR(__xludf.DUMMYFUNCTION("""COMPUTED_VALUE"""),1080.0)</f>
        <v>1080</v>
      </c>
      <c r="K1081" s="35" t="b">
        <f>IFERROR(__xludf.DUMMYFUNCTION("""COMPUTED_VALUE"""),FALSE)</f>
        <v>0</v>
      </c>
      <c r="L1081" s="35" t="str">
        <f>IFERROR(__xludf.DUMMYFUNCTION("""COMPUTED_VALUE"""),"Tree;Depth-First Search;Binary Tree;")</f>
        <v>Tree;Depth-First Search;Binary Tree;</v>
      </c>
      <c r="M1081" s="35" t="b">
        <f>IFERROR(__xludf.DUMMYFUNCTION("""COMPUTED_VALUE"""),FALSE)</f>
        <v>0</v>
      </c>
      <c r="N1081" s="35" t="b">
        <f>IFERROR(__xludf.DUMMYFUNCTION("""COMPUTED_VALUE"""),FALSE)</f>
        <v>0</v>
      </c>
      <c r="O1081" s="35">
        <f>IFERROR(__xludf.DUMMYFUNCTION("""COMPUTED_VALUE"""),51.7386433297397)</f>
        <v>51.73864333</v>
      </c>
      <c r="P1081" s="35">
        <f>IFERROR(__xludf.DUMMYFUNCTION("""COMPUTED_VALUE"""),24476.0)</f>
        <v>24476</v>
      </c>
      <c r="Q1081" s="35">
        <f>IFERROR(__xludf.DUMMYFUNCTION("""COMPUTED_VALUE"""),47307.0)</f>
        <v>47307</v>
      </c>
    </row>
    <row r="1082">
      <c r="A1082" s="35">
        <f>IFERROR(__xludf.DUMMYFUNCTION("""COMPUTED_VALUE"""),1159.0)</f>
        <v>1159</v>
      </c>
      <c r="B1082" s="35" t="str">
        <f>IFERROR(__xludf.DUMMYFUNCTION("""COMPUTED_VALUE"""),"Smallest Subsequence of Distinct Characters")</f>
        <v>Smallest Subsequence of Distinct Characters</v>
      </c>
      <c r="C1082" s="35" t="str">
        <f>IFERROR(__xludf.DUMMYFUNCTION("""COMPUTED_VALUE"""),"smallest-subsequence-of-distinct-characters")</f>
        <v>smallest-subsequence-of-distinct-characters</v>
      </c>
      <c r="D1082" s="35" t="b">
        <f>IFERROR(__xludf.DUMMYFUNCTION("""COMPUTED_VALUE"""),FALSE)</f>
        <v>0</v>
      </c>
      <c r="E1082" s="35" t="str">
        <f>IFERROR(__xludf.DUMMYFUNCTION("""COMPUTED_VALUE"""),"Medium")</f>
        <v>Medium</v>
      </c>
      <c r="F1082" s="35">
        <f>IFERROR(__xludf.DUMMYFUNCTION("""COMPUTED_VALUE"""),1412.0)</f>
        <v>1412</v>
      </c>
      <c r="G1082" s="35">
        <f>IFERROR(__xludf.DUMMYFUNCTION("""COMPUTED_VALUE"""),137.0)</f>
        <v>137</v>
      </c>
      <c r="H1082" s="35" t="str">
        <f>IFERROR(__xludf.DUMMYFUNCTION("""COMPUTED_VALUE"""),"Algorithms")</f>
        <v>Algorithms</v>
      </c>
      <c r="I1082" s="35">
        <f>IFERROR(__xludf.DUMMYFUNCTION("""COMPUTED_VALUE"""),0.55)</f>
        <v>0.55</v>
      </c>
      <c r="J1082" s="35">
        <f>IFERROR(__xludf.DUMMYFUNCTION("""COMPUTED_VALUE"""),1081.0)</f>
        <v>1081</v>
      </c>
      <c r="K1082" s="35" t="b">
        <f>IFERROR(__xludf.DUMMYFUNCTION("""COMPUTED_VALUE"""),FALSE)</f>
        <v>0</v>
      </c>
      <c r="L1082" s="35" t="str">
        <f>IFERROR(__xludf.DUMMYFUNCTION("""COMPUTED_VALUE"""),"String;Stack;Greedy;Monotonic Stack;")</f>
        <v>String;Stack;Greedy;Monotonic Stack;</v>
      </c>
      <c r="M1082" s="35" t="b">
        <f>IFERROR(__xludf.DUMMYFUNCTION("""COMPUTED_VALUE"""),FALSE)</f>
        <v>0</v>
      </c>
      <c r="N1082" s="35" t="b">
        <f>IFERROR(__xludf.DUMMYFUNCTION("""COMPUTED_VALUE"""),FALSE)</f>
        <v>0</v>
      </c>
      <c r="O1082" s="35">
        <f>IFERROR(__xludf.DUMMYFUNCTION("""COMPUTED_VALUE"""),55.0467427430049)</f>
        <v>55.04674274</v>
      </c>
      <c r="P1082" s="35">
        <f>IFERROR(__xludf.DUMMYFUNCTION("""COMPUTED_VALUE"""),33622.0)</f>
        <v>33622</v>
      </c>
      <c r="Q1082" s="35">
        <f>IFERROR(__xludf.DUMMYFUNCTION("""COMPUTED_VALUE"""),61079.0)</f>
        <v>61079</v>
      </c>
    </row>
    <row r="1083">
      <c r="A1083" s="35">
        <f>IFERROR(__xludf.DUMMYFUNCTION("""COMPUTED_VALUE"""),1172.0)</f>
        <v>1172</v>
      </c>
      <c r="B1083" s="35" t="str">
        <f>IFERROR(__xludf.DUMMYFUNCTION("""COMPUTED_VALUE"""),"Sales Analysis I")</f>
        <v>Sales Analysis I</v>
      </c>
      <c r="C1083" s="35" t="str">
        <f>IFERROR(__xludf.DUMMYFUNCTION("""COMPUTED_VALUE"""),"sales-analysis-i")</f>
        <v>sales-analysis-i</v>
      </c>
      <c r="D1083" s="35" t="b">
        <f>IFERROR(__xludf.DUMMYFUNCTION("""COMPUTED_VALUE"""),TRUE)</f>
        <v>1</v>
      </c>
      <c r="E1083" s="35" t="str">
        <f>IFERROR(__xludf.DUMMYFUNCTION("""COMPUTED_VALUE"""),"Easy")</f>
        <v>Easy</v>
      </c>
      <c r="F1083" s="35">
        <f>IFERROR(__xludf.DUMMYFUNCTION("""COMPUTED_VALUE"""),143.0)</f>
        <v>143</v>
      </c>
      <c r="G1083" s="35">
        <f>IFERROR(__xludf.DUMMYFUNCTION("""COMPUTED_VALUE"""),50.0)</f>
        <v>50</v>
      </c>
      <c r="H1083" s="35" t="str">
        <f>IFERROR(__xludf.DUMMYFUNCTION("""COMPUTED_VALUE"""),"Database")</f>
        <v>Database</v>
      </c>
      <c r="I1083" s="35">
        <f>IFERROR(__xludf.DUMMYFUNCTION("""COMPUTED_VALUE"""),0.752)</f>
        <v>0.752</v>
      </c>
      <c r="J1083" s="35">
        <f>IFERROR(__xludf.DUMMYFUNCTION("""COMPUTED_VALUE"""),1082.0)</f>
        <v>1082</v>
      </c>
      <c r="K1083" s="35" t="b">
        <f>IFERROR(__xludf.DUMMYFUNCTION("""COMPUTED_VALUE"""),TRUE)</f>
        <v>1</v>
      </c>
      <c r="L1083" s="35" t="str">
        <f>IFERROR(__xludf.DUMMYFUNCTION("""COMPUTED_VALUE"""),"Database;")</f>
        <v>Database;</v>
      </c>
      <c r="M1083" s="35" t="b">
        <f>IFERROR(__xludf.DUMMYFUNCTION("""COMPUTED_VALUE"""),FALSE)</f>
        <v>0</v>
      </c>
      <c r="N1083" s="35" t="b">
        <f>IFERROR(__xludf.DUMMYFUNCTION("""COMPUTED_VALUE"""),FALSE)</f>
        <v>0</v>
      </c>
      <c r="O1083" s="35">
        <f>IFERROR(__xludf.DUMMYFUNCTION("""COMPUTED_VALUE"""),75.1665986672106)</f>
        <v>75.16659867</v>
      </c>
      <c r="P1083" s="35">
        <f>IFERROR(__xludf.DUMMYFUNCTION("""COMPUTED_VALUE"""),38689.0)</f>
        <v>38689</v>
      </c>
      <c r="Q1083" s="35">
        <f>IFERROR(__xludf.DUMMYFUNCTION("""COMPUTED_VALUE"""),51471.0)</f>
        <v>51471</v>
      </c>
    </row>
    <row r="1084">
      <c r="A1084" s="35">
        <f>IFERROR(__xludf.DUMMYFUNCTION("""COMPUTED_VALUE"""),1173.0)</f>
        <v>1173</v>
      </c>
      <c r="B1084" s="35" t="str">
        <f>IFERROR(__xludf.DUMMYFUNCTION("""COMPUTED_VALUE"""),"Sales Analysis II")</f>
        <v>Sales Analysis II</v>
      </c>
      <c r="C1084" s="35" t="str">
        <f>IFERROR(__xludf.DUMMYFUNCTION("""COMPUTED_VALUE"""),"sales-analysis-ii")</f>
        <v>sales-analysis-ii</v>
      </c>
      <c r="D1084" s="35" t="b">
        <f>IFERROR(__xludf.DUMMYFUNCTION("""COMPUTED_VALUE"""),TRUE)</f>
        <v>1</v>
      </c>
      <c r="E1084" s="35" t="str">
        <f>IFERROR(__xludf.DUMMYFUNCTION("""COMPUTED_VALUE"""),"Easy")</f>
        <v>Easy</v>
      </c>
      <c r="F1084" s="35">
        <f>IFERROR(__xludf.DUMMYFUNCTION("""COMPUTED_VALUE"""),175.0)</f>
        <v>175</v>
      </c>
      <c r="G1084" s="35">
        <f>IFERROR(__xludf.DUMMYFUNCTION("""COMPUTED_VALUE"""),34.0)</f>
        <v>34</v>
      </c>
      <c r="H1084" s="35" t="str">
        <f>IFERROR(__xludf.DUMMYFUNCTION("""COMPUTED_VALUE"""),"Database")</f>
        <v>Database</v>
      </c>
      <c r="I1084" s="35">
        <f>IFERROR(__xludf.DUMMYFUNCTION("""COMPUTED_VALUE"""),0.505)</f>
        <v>0.505</v>
      </c>
      <c r="J1084" s="35">
        <f>IFERROR(__xludf.DUMMYFUNCTION("""COMPUTED_VALUE"""),1083.0)</f>
        <v>1083</v>
      </c>
      <c r="K1084" s="35" t="b">
        <f>IFERROR(__xludf.DUMMYFUNCTION("""COMPUTED_VALUE"""),TRUE)</f>
        <v>1</v>
      </c>
      <c r="L1084" s="35" t="str">
        <f>IFERROR(__xludf.DUMMYFUNCTION("""COMPUTED_VALUE"""),"Database;")</f>
        <v>Database;</v>
      </c>
      <c r="M1084" s="35" t="b">
        <f>IFERROR(__xludf.DUMMYFUNCTION("""COMPUTED_VALUE"""),FALSE)</f>
        <v>0</v>
      </c>
      <c r="N1084" s="35" t="b">
        <f>IFERROR(__xludf.DUMMYFUNCTION("""COMPUTED_VALUE"""),FALSE)</f>
        <v>0</v>
      </c>
      <c r="O1084" s="35">
        <f>IFERROR(__xludf.DUMMYFUNCTION("""COMPUTED_VALUE"""),50.5234582012781)</f>
        <v>50.5234582</v>
      </c>
      <c r="P1084" s="35">
        <f>IFERROR(__xludf.DUMMYFUNCTION("""COMPUTED_VALUE"""),38897.0)</f>
        <v>38897</v>
      </c>
      <c r="Q1084" s="35">
        <f>IFERROR(__xludf.DUMMYFUNCTION("""COMPUTED_VALUE"""),76988.0)</f>
        <v>76988</v>
      </c>
    </row>
    <row r="1085">
      <c r="A1085" s="35">
        <f>IFERROR(__xludf.DUMMYFUNCTION("""COMPUTED_VALUE"""),1174.0)</f>
        <v>1174</v>
      </c>
      <c r="B1085" s="35" t="str">
        <f>IFERROR(__xludf.DUMMYFUNCTION("""COMPUTED_VALUE"""),"Sales Analysis III")</f>
        <v>Sales Analysis III</v>
      </c>
      <c r="C1085" s="35" t="str">
        <f>IFERROR(__xludf.DUMMYFUNCTION("""COMPUTED_VALUE"""),"sales-analysis-iii")</f>
        <v>sales-analysis-iii</v>
      </c>
      <c r="D1085" s="35" t="b">
        <f>IFERROR(__xludf.DUMMYFUNCTION("""COMPUTED_VALUE"""),TRUE)</f>
        <v>1</v>
      </c>
      <c r="E1085" s="35" t="str">
        <f>IFERROR(__xludf.DUMMYFUNCTION("""COMPUTED_VALUE"""),"Easy")</f>
        <v>Easy</v>
      </c>
      <c r="F1085" s="35">
        <f>IFERROR(__xludf.DUMMYFUNCTION("""COMPUTED_VALUE"""),151.0)</f>
        <v>151</v>
      </c>
      <c r="G1085" s="35">
        <f>IFERROR(__xludf.DUMMYFUNCTION("""COMPUTED_VALUE"""),52.0)</f>
        <v>52</v>
      </c>
      <c r="H1085" s="35" t="str">
        <f>IFERROR(__xludf.DUMMYFUNCTION("""COMPUTED_VALUE"""),"Database")</f>
        <v>Database</v>
      </c>
      <c r="I1085" s="35">
        <f>IFERROR(__xludf.DUMMYFUNCTION("""COMPUTED_VALUE"""),0.536)</f>
        <v>0.536</v>
      </c>
      <c r="J1085" s="35">
        <f>IFERROR(__xludf.DUMMYFUNCTION("""COMPUTED_VALUE"""),1084.0)</f>
        <v>1084</v>
      </c>
      <c r="K1085" s="35" t="b">
        <f>IFERROR(__xludf.DUMMYFUNCTION("""COMPUTED_VALUE"""),TRUE)</f>
        <v>1</v>
      </c>
      <c r="L1085" s="35" t="str">
        <f>IFERROR(__xludf.DUMMYFUNCTION("""COMPUTED_VALUE"""),"Database;")</f>
        <v>Database;</v>
      </c>
      <c r="M1085" s="35" t="b">
        <f>IFERROR(__xludf.DUMMYFUNCTION("""COMPUTED_VALUE"""),FALSE)</f>
        <v>0</v>
      </c>
      <c r="N1085" s="35" t="b">
        <f>IFERROR(__xludf.DUMMYFUNCTION("""COMPUTED_VALUE"""),FALSE)</f>
        <v>0</v>
      </c>
      <c r="O1085" s="35">
        <f>IFERROR(__xludf.DUMMYFUNCTION("""COMPUTED_VALUE"""),53.6479952073259)</f>
        <v>53.64799521</v>
      </c>
      <c r="P1085" s="35">
        <f>IFERROR(__xludf.DUMMYFUNCTION("""COMPUTED_VALUE"""),37608.0)</f>
        <v>37608</v>
      </c>
      <c r="Q1085" s="35">
        <f>IFERROR(__xludf.DUMMYFUNCTION("""COMPUTED_VALUE"""),70101.0)</f>
        <v>70101</v>
      </c>
    </row>
    <row r="1086">
      <c r="A1086" s="35">
        <f>IFERROR(__xludf.DUMMYFUNCTION("""COMPUTED_VALUE"""),1082.0)</f>
        <v>1082</v>
      </c>
      <c r="B1086" s="35" t="str">
        <f>IFERROR(__xludf.DUMMYFUNCTION("""COMPUTED_VALUE"""),"Sum of Digits in the Minimum Number")</f>
        <v>Sum of Digits in the Minimum Number</v>
      </c>
      <c r="C1086" s="35" t="str">
        <f>IFERROR(__xludf.DUMMYFUNCTION("""COMPUTED_VALUE"""),"sum-of-digits-in-the-minimum-number")</f>
        <v>sum-of-digits-in-the-minimum-number</v>
      </c>
      <c r="D1086" s="35" t="b">
        <f>IFERROR(__xludf.DUMMYFUNCTION("""COMPUTED_VALUE"""),TRUE)</f>
        <v>1</v>
      </c>
      <c r="E1086" s="35" t="str">
        <f>IFERROR(__xludf.DUMMYFUNCTION("""COMPUTED_VALUE"""),"Easy")</f>
        <v>Easy</v>
      </c>
      <c r="F1086" s="35">
        <f>IFERROR(__xludf.DUMMYFUNCTION("""COMPUTED_VALUE"""),81.0)</f>
        <v>81</v>
      </c>
      <c r="G1086" s="35">
        <f>IFERROR(__xludf.DUMMYFUNCTION("""COMPUTED_VALUE"""),138.0)</f>
        <v>138</v>
      </c>
      <c r="H1086" s="35" t="str">
        <f>IFERROR(__xludf.DUMMYFUNCTION("""COMPUTED_VALUE"""),"Algorithms")</f>
        <v>Algorithms</v>
      </c>
      <c r="I1086" s="35">
        <f>IFERROR(__xludf.DUMMYFUNCTION("""COMPUTED_VALUE"""),0.756)</f>
        <v>0.756</v>
      </c>
      <c r="J1086" s="35">
        <f>IFERROR(__xludf.DUMMYFUNCTION("""COMPUTED_VALUE"""),1085.0)</f>
        <v>1085</v>
      </c>
      <c r="K1086" s="35" t="b">
        <f>IFERROR(__xludf.DUMMYFUNCTION("""COMPUTED_VALUE"""),TRUE)</f>
        <v>1</v>
      </c>
      <c r="L1086" s="35" t="str">
        <f>IFERROR(__xludf.DUMMYFUNCTION("""COMPUTED_VALUE"""),"Array;Math;")</f>
        <v>Array;Math;</v>
      </c>
      <c r="M1086" s="35" t="b">
        <f>IFERROR(__xludf.DUMMYFUNCTION("""COMPUTED_VALUE"""),FALSE)</f>
        <v>0</v>
      </c>
      <c r="N1086" s="35" t="b">
        <f>IFERROR(__xludf.DUMMYFUNCTION("""COMPUTED_VALUE"""),FALSE)</f>
        <v>0</v>
      </c>
      <c r="O1086" s="35">
        <f>IFERROR(__xludf.DUMMYFUNCTION("""COMPUTED_VALUE"""),75.5603816024199)</f>
        <v>75.5603816</v>
      </c>
      <c r="P1086" s="35">
        <f>IFERROR(__xludf.DUMMYFUNCTION("""COMPUTED_VALUE"""),19484.0)</f>
        <v>19484</v>
      </c>
      <c r="Q1086" s="35">
        <f>IFERROR(__xludf.DUMMYFUNCTION("""COMPUTED_VALUE"""),25786.0)</f>
        <v>25786</v>
      </c>
    </row>
    <row r="1087">
      <c r="A1087" s="35">
        <f>IFERROR(__xludf.DUMMYFUNCTION("""COMPUTED_VALUE"""),1074.0)</f>
        <v>1074</v>
      </c>
      <c r="B1087" s="35" t="str">
        <f>IFERROR(__xludf.DUMMYFUNCTION("""COMPUTED_VALUE"""),"High Five")</f>
        <v>High Five</v>
      </c>
      <c r="C1087" s="35" t="str">
        <f>IFERROR(__xludf.DUMMYFUNCTION("""COMPUTED_VALUE"""),"high-five")</f>
        <v>high-five</v>
      </c>
      <c r="D1087" s="35" t="b">
        <f>IFERROR(__xludf.DUMMYFUNCTION("""COMPUTED_VALUE"""),TRUE)</f>
        <v>1</v>
      </c>
      <c r="E1087" s="35" t="str">
        <f>IFERROR(__xludf.DUMMYFUNCTION("""COMPUTED_VALUE"""),"Easy")</f>
        <v>Easy</v>
      </c>
      <c r="F1087" s="35">
        <f>IFERROR(__xludf.DUMMYFUNCTION("""COMPUTED_VALUE"""),639.0)</f>
        <v>639</v>
      </c>
      <c r="G1087" s="35">
        <f>IFERROR(__xludf.DUMMYFUNCTION("""COMPUTED_VALUE"""),103.0)</f>
        <v>103</v>
      </c>
      <c r="H1087" s="35" t="str">
        <f>IFERROR(__xludf.DUMMYFUNCTION("""COMPUTED_VALUE"""),"Algorithms")</f>
        <v>Algorithms</v>
      </c>
      <c r="I1087" s="35">
        <f>IFERROR(__xludf.DUMMYFUNCTION("""COMPUTED_VALUE"""),0.756)</f>
        <v>0.756</v>
      </c>
      <c r="J1087" s="35">
        <f>IFERROR(__xludf.DUMMYFUNCTION("""COMPUTED_VALUE"""),1086.0)</f>
        <v>1086</v>
      </c>
      <c r="K1087" s="35" t="b">
        <f>IFERROR(__xludf.DUMMYFUNCTION("""COMPUTED_VALUE"""),TRUE)</f>
        <v>1</v>
      </c>
      <c r="L1087" s="35" t="str">
        <f>IFERROR(__xludf.DUMMYFUNCTION("""COMPUTED_VALUE"""),"Array;Hash Table;Sorting;")</f>
        <v>Array;Hash Table;Sorting;</v>
      </c>
      <c r="M1087" s="35" t="b">
        <f>IFERROR(__xludf.DUMMYFUNCTION("""COMPUTED_VALUE"""),TRUE)</f>
        <v>1</v>
      </c>
      <c r="N1087" s="35" t="b">
        <f>IFERROR(__xludf.DUMMYFUNCTION("""COMPUTED_VALUE"""),FALSE)</f>
        <v>0</v>
      </c>
      <c r="O1087" s="35">
        <f>IFERROR(__xludf.DUMMYFUNCTION("""COMPUTED_VALUE"""),75.5585723174387)</f>
        <v>75.55857232</v>
      </c>
      <c r="P1087" s="35">
        <f>IFERROR(__xludf.DUMMYFUNCTION("""COMPUTED_VALUE"""),80147.0)</f>
        <v>80147</v>
      </c>
      <c r="Q1087" s="35">
        <f>IFERROR(__xludf.DUMMYFUNCTION("""COMPUTED_VALUE"""),106073.0)</f>
        <v>106073</v>
      </c>
    </row>
    <row r="1088">
      <c r="A1088" s="35">
        <f>IFERROR(__xludf.DUMMYFUNCTION("""COMPUTED_VALUE"""),1076.0)</f>
        <v>1076</v>
      </c>
      <c r="B1088" s="35" t="str">
        <f>IFERROR(__xludf.DUMMYFUNCTION("""COMPUTED_VALUE"""),"Brace Expansion")</f>
        <v>Brace Expansion</v>
      </c>
      <c r="C1088" s="35" t="str">
        <f>IFERROR(__xludf.DUMMYFUNCTION("""COMPUTED_VALUE"""),"brace-expansion")</f>
        <v>brace-expansion</v>
      </c>
      <c r="D1088" s="35" t="b">
        <f>IFERROR(__xludf.DUMMYFUNCTION("""COMPUTED_VALUE"""),TRUE)</f>
        <v>1</v>
      </c>
      <c r="E1088" s="35" t="str">
        <f>IFERROR(__xludf.DUMMYFUNCTION("""COMPUTED_VALUE"""),"Medium")</f>
        <v>Medium</v>
      </c>
      <c r="F1088" s="35">
        <f>IFERROR(__xludf.DUMMYFUNCTION("""COMPUTED_VALUE"""),435.0)</f>
        <v>435</v>
      </c>
      <c r="G1088" s="35">
        <f>IFERROR(__xludf.DUMMYFUNCTION("""COMPUTED_VALUE"""),39.0)</f>
        <v>39</v>
      </c>
      <c r="H1088" s="35" t="str">
        <f>IFERROR(__xludf.DUMMYFUNCTION("""COMPUTED_VALUE"""),"Algorithms")</f>
        <v>Algorithms</v>
      </c>
      <c r="I1088" s="35">
        <f>IFERROR(__xludf.DUMMYFUNCTION("""COMPUTED_VALUE"""),0.644)</f>
        <v>0.644</v>
      </c>
      <c r="J1088" s="35">
        <f>IFERROR(__xludf.DUMMYFUNCTION("""COMPUTED_VALUE"""),1087.0)</f>
        <v>1087</v>
      </c>
      <c r="K1088" s="35" t="b">
        <f>IFERROR(__xludf.DUMMYFUNCTION("""COMPUTED_VALUE"""),TRUE)</f>
        <v>1</v>
      </c>
      <c r="L1088" s="35" t="str">
        <f>IFERROR(__xludf.DUMMYFUNCTION("""COMPUTED_VALUE"""),"String;Backtracking;Breadth-First Search;")</f>
        <v>String;Backtracking;Breadth-First Search;</v>
      </c>
      <c r="M1088" s="35" t="b">
        <f>IFERROR(__xludf.DUMMYFUNCTION("""COMPUTED_VALUE"""),TRUE)</f>
        <v>1</v>
      </c>
      <c r="N1088" s="35" t="b">
        <f>IFERROR(__xludf.DUMMYFUNCTION("""COMPUTED_VALUE"""),FALSE)</f>
        <v>0</v>
      </c>
      <c r="O1088" s="35">
        <f>IFERROR(__xludf.DUMMYFUNCTION("""COMPUTED_VALUE"""),64.424042714409)</f>
        <v>64.42404271</v>
      </c>
      <c r="P1088" s="35">
        <f>IFERROR(__xludf.DUMMYFUNCTION("""COMPUTED_VALUE"""),36560.0)</f>
        <v>36560</v>
      </c>
      <c r="Q1088" s="35">
        <f>IFERROR(__xludf.DUMMYFUNCTION("""COMPUTED_VALUE"""),56749.0)</f>
        <v>56749</v>
      </c>
    </row>
    <row r="1089">
      <c r="A1089" s="35">
        <f>IFERROR(__xludf.DUMMYFUNCTION("""COMPUTED_VALUE"""),1077.0)</f>
        <v>1077</v>
      </c>
      <c r="B1089" s="35" t="str">
        <f>IFERROR(__xludf.DUMMYFUNCTION("""COMPUTED_VALUE"""),"Confusing Number II")</f>
        <v>Confusing Number II</v>
      </c>
      <c r="C1089" s="35" t="str">
        <f>IFERROR(__xludf.DUMMYFUNCTION("""COMPUTED_VALUE"""),"confusing-number-ii")</f>
        <v>confusing-number-ii</v>
      </c>
      <c r="D1089" s="35" t="b">
        <f>IFERROR(__xludf.DUMMYFUNCTION("""COMPUTED_VALUE"""),TRUE)</f>
        <v>1</v>
      </c>
      <c r="E1089" s="35" t="str">
        <f>IFERROR(__xludf.DUMMYFUNCTION("""COMPUTED_VALUE"""),"Hard")</f>
        <v>Hard</v>
      </c>
      <c r="F1089" s="35">
        <f>IFERROR(__xludf.DUMMYFUNCTION("""COMPUTED_VALUE"""),352.0)</f>
        <v>352</v>
      </c>
      <c r="G1089" s="35">
        <f>IFERROR(__xludf.DUMMYFUNCTION("""COMPUTED_VALUE"""),95.0)</f>
        <v>95</v>
      </c>
      <c r="H1089" s="35" t="str">
        <f>IFERROR(__xludf.DUMMYFUNCTION("""COMPUTED_VALUE"""),"Algorithms")</f>
        <v>Algorithms</v>
      </c>
      <c r="I1089" s="35">
        <f>IFERROR(__xludf.DUMMYFUNCTION("""COMPUTED_VALUE"""),0.465)</f>
        <v>0.465</v>
      </c>
      <c r="J1089" s="35">
        <f>IFERROR(__xludf.DUMMYFUNCTION("""COMPUTED_VALUE"""),1088.0)</f>
        <v>1088</v>
      </c>
      <c r="K1089" s="35" t="b">
        <f>IFERROR(__xludf.DUMMYFUNCTION("""COMPUTED_VALUE"""),TRUE)</f>
        <v>1</v>
      </c>
      <c r="L1089" s="35" t="str">
        <f>IFERROR(__xludf.DUMMYFUNCTION("""COMPUTED_VALUE"""),"Math;Backtracking;")</f>
        <v>Math;Backtracking;</v>
      </c>
      <c r="M1089" s="35" t="b">
        <f>IFERROR(__xludf.DUMMYFUNCTION("""COMPUTED_VALUE"""),FALSE)</f>
        <v>0</v>
      </c>
      <c r="N1089" s="35" t="b">
        <f>IFERROR(__xludf.DUMMYFUNCTION("""COMPUTED_VALUE"""),FALSE)</f>
        <v>0</v>
      </c>
      <c r="O1089" s="35">
        <f>IFERROR(__xludf.DUMMYFUNCTION("""COMPUTED_VALUE"""),46.4994022371071)</f>
        <v>46.49940224</v>
      </c>
      <c r="P1089" s="35">
        <f>IFERROR(__xludf.DUMMYFUNCTION("""COMPUTED_VALUE"""),28393.0)</f>
        <v>28393</v>
      </c>
      <c r="Q1089" s="35">
        <f>IFERROR(__xludf.DUMMYFUNCTION("""COMPUTED_VALUE"""),61061.0)</f>
        <v>61061</v>
      </c>
    </row>
    <row r="1090">
      <c r="A1090" s="35">
        <f>IFERROR(__xludf.DUMMYFUNCTION("""COMPUTED_VALUE"""),1168.0)</f>
        <v>1168</v>
      </c>
      <c r="B1090" s="35" t="str">
        <f>IFERROR(__xludf.DUMMYFUNCTION("""COMPUTED_VALUE"""),"Duplicate Zeros")</f>
        <v>Duplicate Zeros</v>
      </c>
      <c r="C1090" s="35" t="str">
        <f>IFERROR(__xludf.DUMMYFUNCTION("""COMPUTED_VALUE"""),"duplicate-zeros")</f>
        <v>duplicate-zeros</v>
      </c>
      <c r="D1090" s="35" t="b">
        <f>IFERROR(__xludf.DUMMYFUNCTION("""COMPUTED_VALUE"""),FALSE)</f>
        <v>0</v>
      </c>
      <c r="E1090" s="35" t="str">
        <f>IFERROR(__xludf.DUMMYFUNCTION("""COMPUTED_VALUE"""),"Easy")</f>
        <v>Easy</v>
      </c>
      <c r="F1090" s="35">
        <f>IFERROR(__xludf.DUMMYFUNCTION("""COMPUTED_VALUE"""),1562.0)</f>
        <v>1562</v>
      </c>
      <c r="G1090" s="35">
        <f>IFERROR(__xludf.DUMMYFUNCTION("""COMPUTED_VALUE"""),501.0)</f>
        <v>501</v>
      </c>
      <c r="H1090" s="35" t="str">
        <f>IFERROR(__xludf.DUMMYFUNCTION("""COMPUTED_VALUE"""),"Algorithms")</f>
        <v>Algorithms</v>
      </c>
      <c r="I1090" s="35">
        <f>IFERROR(__xludf.DUMMYFUNCTION("""COMPUTED_VALUE"""),0.511)</f>
        <v>0.511</v>
      </c>
      <c r="J1090" s="35">
        <f>IFERROR(__xludf.DUMMYFUNCTION("""COMPUTED_VALUE"""),1089.0)</f>
        <v>1089</v>
      </c>
      <c r="K1090" s="35" t="b">
        <f>IFERROR(__xludf.DUMMYFUNCTION("""COMPUTED_VALUE"""),FALSE)</f>
        <v>0</v>
      </c>
      <c r="L1090" s="35" t="str">
        <f>IFERROR(__xludf.DUMMYFUNCTION("""COMPUTED_VALUE"""),"Array;Two Pointers;")</f>
        <v>Array;Two Pointers;</v>
      </c>
      <c r="M1090" s="35" t="b">
        <f>IFERROR(__xludf.DUMMYFUNCTION("""COMPUTED_VALUE"""),TRUE)</f>
        <v>1</v>
      </c>
      <c r="N1090" s="35" t="b">
        <f>IFERROR(__xludf.DUMMYFUNCTION("""COMPUTED_VALUE"""),FALSE)</f>
        <v>0</v>
      </c>
      <c r="O1090" s="35">
        <f>IFERROR(__xludf.DUMMYFUNCTION("""COMPUTED_VALUE"""),51.1228070175438)</f>
        <v>51.12280702</v>
      </c>
      <c r="P1090" s="35">
        <f>IFERROR(__xludf.DUMMYFUNCTION("""COMPUTED_VALUE"""),250588.0)</f>
        <v>250588</v>
      </c>
      <c r="Q1090" s="35">
        <f>IFERROR(__xludf.DUMMYFUNCTION("""COMPUTED_VALUE"""),490180.0)</f>
        <v>490180</v>
      </c>
    </row>
    <row r="1091">
      <c r="A1091" s="35">
        <f>IFERROR(__xludf.DUMMYFUNCTION("""COMPUTED_VALUE"""),1169.0)</f>
        <v>1169</v>
      </c>
      <c r="B1091" s="35" t="str">
        <f>IFERROR(__xludf.DUMMYFUNCTION("""COMPUTED_VALUE"""),"Largest Values From Labels")</f>
        <v>Largest Values From Labels</v>
      </c>
      <c r="C1091" s="35" t="str">
        <f>IFERROR(__xludf.DUMMYFUNCTION("""COMPUTED_VALUE"""),"largest-values-from-labels")</f>
        <v>largest-values-from-labels</v>
      </c>
      <c r="D1091" s="35" t="b">
        <f>IFERROR(__xludf.DUMMYFUNCTION("""COMPUTED_VALUE"""),FALSE)</f>
        <v>0</v>
      </c>
      <c r="E1091" s="35" t="str">
        <f>IFERROR(__xludf.DUMMYFUNCTION("""COMPUTED_VALUE"""),"Medium")</f>
        <v>Medium</v>
      </c>
      <c r="F1091" s="35">
        <f>IFERROR(__xludf.DUMMYFUNCTION("""COMPUTED_VALUE"""),278.0)</f>
        <v>278</v>
      </c>
      <c r="G1091" s="35">
        <f>IFERROR(__xludf.DUMMYFUNCTION("""COMPUTED_VALUE"""),548.0)</f>
        <v>548</v>
      </c>
      <c r="H1091" s="35" t="str">
        <f>IFERROR(__xludf.DUMMYFUNCTION("""COMPUTED_VALUE"""),"Algorithms")</f>
        <v>Algorithms</v>
      </c>
      <c r="I1091" s="35">
        <f>IFERROR(__xludf.DUMMYFUNCTION("""COMPUTED_VALUE"""),0.605)</f>
        <v>0.605</v>
      </c>
      <c r="J1091" s="35">
        <f>IFERROR(__xludf.DUMMYFUNCTION("""COMPUTED_VALUE"""),1090.0)</f>
        <v>1090</v>
      </c>
      <c r="K1091" s="35" t="b">
        <f>IFERROR(__xludf.DUMMYFUNCTION("""COMPUTED_VALUE"""),FALSE)</f>
        <v>0</v>
      </c>
      <c r="L1091" s="35" t="str">
        <f>IFERROR(__xludf.DUMMYFUNCTION("""COMPUTED_VALUE"""),"Array;Hash Table;Greedy;Sorting;Counting;")</f>
        <v>Array;Hash Table;Greedy;Sorting;Counting;</v>
      </c>
      <c r="M1091" s="35" t="b">
        <f>IFERROR(__xludf.DUMMYFUNCTION("""COMPUTED_VALUE"""),FALSE)</f>
        <v>0</v>
      </c>
      <c r="N1091" s="35" t="b">
        <f>IFERROR(__xludf.DUMMYFUNCTION("""COMPUTED_VALUE"""),FALSE)</f>
        <v>0</v>
      </c>
      <c r="O1091" s="35">
        <f>IFERROR(__xludf.DUMMYFUNCTION("""COMPUTED_VALUE"""),60.4710087550618)</f>
        <v>60.47100876</v>
      </c>
      <c r="P1091" s="35">
        <f>IFERROR(__xludf.DUMMYFUNCTION("""COMPUTED_VALUE"""),26729.0)</f>
        <v>26729</v>
      </c>
      <c r="Q1091" s="35">
        <f>IFERROR(__xludf.DUMMYFUNCTION("""COMPUTED_VALUE"""),44202.0)</f>
        <v>44202</v>
      </c>
    </row>
    <row r="1092">
      <c r="A1092" s="35">
        <f>IFERROR(__xludf.DUMMYFUNCTION("""COMPUTED_VALUE"""),1171.0)</f>
        <v>1171</v>
      </c>
      <c r="B1092" s="35" t="str">
        <f>IFERROR(__xludf.DUMMYFUNCTION("""COMPUTED_VALUE"""),"Shortest Path in Binary Matrix")</f>
        <v>Shortest Path in Binary Matrix</v>
      </c>
      <c r="C1092" s="35" t="str">
        <f>IFERROR(__xludf.DUMMYFUNCTION("""COMPUTED_VALUE"""),"shortest-path-in-binary-matrix")</f>
        <v>shortest-path-in-binary-matrix</v>
      </c>
      <c r="D1092" s="35" t="b">
        <f>IFERROR(__xludf.DUMMYFUNCTION("""COMPUTED_VALUE"""),FALSE)</f>
        <v>0</v>
      </c>
      <c r="E1092" s="35" t="str">
        <f>IFERROR(__xludf.DUMMYFUNCTION("""COMPUTED_VALUE"""),"Medium")</f>
        <v>Medium</v>
      </c>
      <c r="F1092" s="35">
        <f>IFERROR(__xludf.DUMMYFUNCTION("""COMPUTED_VALUE"""),2315.0)</f>
        <v>2315</v>
      </c>
      <c r="G1092" s="35">
        <f>IFERROR(__xludf.DUMMYFUNCTION("""COMPUTED_VALUE"""),120.0)</f>
        <v>120</v>
      </c>
      <c r="H1092" s="35" t="str">
        <f>IFERROR(__xludf.DUMMYFUNCTION("""COMPUTED_VALUE"""),"Algorithms")</f>
        <v>Algorithms</v>
      </c>
      <c r="I1092" s="35">
        <f>IFERROR(__xludf.DUMMYFUNCTION("""COMPUTED_VALUE"""),0.423)</f>
        <v>0.423</v>
      </c>
      <c r="J1092" s="35">
        <f>IFERROR(__xludf.DUMMYFUNCTION("""COMPUTED_VALUE"""),1091.0)</f>
        <v>1091</v>
      </c>
      <c r="K1092" s="35" t="b">
        <f>IFERROR(__xludf.DUMMYFUNCTION("""COMPUTED_VALUE"""),FALSE)</f>
        <v>0</v>
      </c>
      <c r="L1092" s="35" t="str">
        <f>IFERROR(__xludf.DUMMYFUNCTION("""COMPUTED_VALUE"""),"Array;Breadth-First Search;Matrix;")</f>
        <v>Array;Breadth-First Search;Matrix;</v>
      </c>
      <c r="M1092" s="35" t="b">
        <f>IFERROR(__xludf.DUMMYFUNCTION("""COMPUTED_VALUE"""),TRUE)</f>
        <v>1</v>
      </c>
      <c r="N1092" s="35" t="b">
        <f>IFERROR(__xludf.DUMMYFUNCTION("""COMPUTED_VALUE"""),FALSE)</f>
        <v>0</v>
      </c>
      <c r="O1092" s="35">
        <f>IFERROR(__xludf.DUMMYFUNCTION("""COMPUTED_VALUE"""),42.3441734417344)</f>
        <v>42.34417344</v>
      </c>
      <c r="P1092" s="35">
        <f>IFERROR(__xludf.DUMMYFUNCTION("""COMPUTED_VALUE"""),162497.0)</f>
        <v>162497</v>
      </c>
      <c r="Q1092" s="35">
        <f>IFERROR(__xludf.DUMMYFUNCTION("""COMPUTED_VALUE"""),383752.0)</f>
        <v>383752</v>
      </c>
    </row>
    <row r="1093">
      <c r="A1093" s="35">
        <f>IFERROR(__xludf.DUMMYFUNCTION("""COMPUTED_VALUE"""),1170.0)</f>
        <v>1170</v>
      </c>
      <c r="B1093" s="35" t="str">
        <f>IFERROR(__xludf.DUMMYFUNCTION("""COMPUTED_VALUE"""),"Shortest Common Supersequence ")</f>
        <v>Shortest Common Supersequence </v>
      </c>
      <c r="C1093" s="35" t="str">
        <f>IFERROR(__xludf.DUMMYFUNCTION("""COMPUTED_VALUE"""),"shortest-common-supersequence")</f>
        <v>shortest-common-supersequence</v>
      </c>
      <c r="D1093" s="35" t="b">
        <f>IFERROR(__xludf.DUMMYFUNCTION("""COMPUTED_VALUE"""),FALSE)</f>
        <v>0</v>
      </c>
      <c r="E1093" s="35" t="str">
        <f>IFERROR(__xludf.DUMMYFUNCTION("""COMPUTED_VALUE"""),"Hard")</f>
        <v>Hard</v>
      </c>
      <c r="F1093" s="35">
        <f>IFERROR(__xludf.DUMMYFUNCTION("""COMPUTED_VALUE"""),2005.0)</f>
        <v>2005</v>
      </c>
      <c r="G1093" s="35">
        <f>IFERROR(__xludf.DUMMYFUNCTION("""COMPUTED_VALUE"""),39.0)</f>
        <v>39</v>
      </c>
      <c r="H1093" s="35" t="str">
        <f>IFERROR(__xludf.DUMMYFUNCTION("""COMPUTED_VALUE"""),"Algorithms")</f>
        <v>Algorithms</v>
      </c>
      <c r="I1093" s="35">
        <f>IFERROR(__xludf.DUMMYFUNCTION("""COMPUTED_VALUE"""),0.556)</f>
        <v>0.556</v>
      </c>
      <c r="J1093" s="35">
        <f>IFERROR(__xludf.DUMMYFUNCTION("""COMPUTED_VALUE"""),1092.0)</f>
        <v>1092</v>
      </c>
      <c r="K1093" s="35" t="b">
        <f>IFERROR(__xludf.DUMMYFUNCTION("""COMPUTED_VALUE"""),FALSE)</f>
        <v>0</v>
      </c>
      <c r="L1093" s="35" t="str">
        <f>IFERROR(__xludf.DUMMYFUNCTION("""COMPUTED_VALUE"""),"String;Dynamic Programming;")</f>
        <v>String;Dynamic Programming;</v>
      </c>
      <c r="M1093" s="35" t="b">
        <f>IFERROR(__xludf.DUMMYFUNCTION("""COMPUTED_VALUE"""),FALSE)</f>
        <v>0</v>
      </c>
      <c r="N1093" s="35" t="b">
        <f>IFERROR(__xludf.DUMMYFUNCTION("""COMPUTED_VALUE"""),FALSE)</f>
        <v>0</v>
      </c>
      <c r="O1093" s="35">
        <f>IFERROR(__xludf.DUMMYFUNCTION("""COMPUTED_VALUE"""),55.648338644829)</f>
        <v>55.64833864</v>
      </c>
      <c r="P1093" s="35">
        <f>IFERROR(__xludf.DUMMYFUNCTION("""COMPUTED_VALUE"""),41384.0)</f>
        <v>41384</v>
      </c>
      <c r="Q1093" s="35">
        <f>IFERROR(__xludf.DUMMYFUNCTION("""COMPUTED_VALUE"""),74366.0)</f>
        <v>74366</v>
      </c>
    </row>
    <row r="1094">
      <c r="A1094" s="35">
        <f>IFERROR(__xludf.DUMMYFUNCTION("""COMPUTED_VALUE"""),1183.0)</f>
        <v>1183</v>
      </c>
      <c r="B1094" s="35" t="str">
        <f>IFERROR(__xludf.DUMMYFUNCTION("""COMPUTED_VALUE"""),"Statistics from a Large Sample")</f>
        <v>Statistics from a Large Sample</v>
      </c>
      <c r="C1094" s="35" t="str">
        <f>IFERROR(__xludf.DUMMYFUNCTION("""COMPUTED_VALUE"""),"statistics-from-a-large-sample")</f>
        <v>statistics-from-a-large-sample</v>
      </c>
      <c r="D1094" s="35" t="b">
        <f>IFERROR(__xludf.DUMMYFUNCTION("""COMPUTED_VALUE"""),FALSE)</f>
        <v>0</v>
      </c>
      <c r="E1094" s="35" t="str">
        <f>IFERROR(__xludf.DUMMYFUNCTION("""COMPUTED_VALUE"""),"Medium")</f>
        <v>Medium</v>
      </c>
      <c r="F1094" s="35">
        <f>IFERROR(__xludf.DUMMYFUNCTION("""COMPUTED_VALUE"""),45.0)</f>
        <v>45</v>
      </c>
      <c r="G1094" s="35">
        <f>IFERROR(__xludf.DUMMYFUNCTION("""COMPUTED_VALUE"""),50.0)</f>
        <v>50</v>
      </c>
      <c r="H1094" s="35" t="str">
        <f>IFERROR(__xludf.DUMMYFUNCTION("""COMPUTED_VALUE"""),"Algorithms")</f>
        <v>Algorithms</v>
      </c>
      <c r="I1094" s="35">
        <f>IFERROR(__xludf.DUMMYFUNCTION("""COMPUTED_VALUE"""),0.461)</f>
        <v>0.461</v>
      </c>
      <c r="J1094" s="35">
        <f>IFERROR(__xludf.DUMMYFUNCTION("""COMPUTED_VALUE"""),1093.0)</f>
        <v>1093</v>
      </c>
      <c r="K1094" s="35" t="b">
        <f>IFERROR(__xludf.DUMMYFUNCTION("""COMPUTED_VALUE"""),FALSE)</f>
        <v>0</v>
      </c>
      <c r="L1094" s="35" t="str">
        <f>IFERROR(__xludf.DUMMYFUNCTION("""COMPUTED_VALUE"""),"Math;Two Pointers;Probability and Statistics;")</f>
        <v>Math;Two Pointers;Probability and Statistics;</v>
      </c>
      <c r="M1094" s="35" t="b">
        <f>IFERROR(__xludf.DUMMYFUNCTION("""COMPUTED_VALUE"""),FALSE)</f>
        <v>0</v>
      </c>
      <c r="N1094" s="35" t="b">
        <f>IFERROR(__xludf.DUMMYFUNCTION("""COMPUTED_VALUE"""),FALSE)</f>
        <v>0</v>
      </c>
      <c r="O1094" s="35">
        <f>IFERROR(__xludf.DUMMYFUNCTION("""COMPUTED_VALUE"""),46.0864941510102)</f>
        <v>46.08649415</v>
      </c>
      <c r="P1094" s="35">
        <f>IFERROR(__xludf.DUMMYFUNCTION("""COMPUTED_VALUE"""),13001.0)</f>
        <v>13001</v>
      </c>
      <c r="Q1094" s="35">
        <f>IFERROR(__xludf.DUMMYFUNCTION("""COMPUTED_VALUE"""),28210.0)</f>
        <v>28210</v>
      </c>
    </row>
    <row r="1095">
      <c r="A1095" s="35">
        <f>IFERROR(__xludf.DUMMYFUNCTION("""COMPUTED_VALUE"""),1184.0)</f>
        <v>1184</v>
      </c>
      <c r="B1095" s="35" t="str">
        <f>IFERROR(__xludf.DUMMYFUNCTION("""COMPUTED_VALUE"""),"Car Pooling")</f>
        <v>Car Pooling</v>
      </c>
      <c r="C1095" s="35" t="str">
        <f>IFERROR(__xludf.DUMMYFUNCTION("""COMPUTED_VALUE"""),"car-pooling")</f>
        <v>car-pooling</v>
      </c>
      <c r="D1095" s="35" t="b">
        <f>IFERROR(__xludf.DUMMYFUNCTION("""COMPUTED_VALUE"""),FALSE)</f>
        <v>0</v>
      </c>
      <c r="E1095" s="35" t="str">
        <f>IFERROR(__xludf.DUMMYFUNCTION("""COMPUTED_VALUE"""),"Medium")</f>
        <v>Medium</v>
      </c>
      <c r="F1095" s="35">
        <f>IFERROR(__xludf.DUMMYFUNCTION("""COMPUTED_VALUE"""),2936.0)</f>
        <v>2936</v>
      </c>
      <c r="G1095" s="35">
        <f>IFERROR(__xludf.DUMMYFUNCTION("""COMPUTED_VALUE"""),64.0)</f>
        <v>64</v>
      </c>
      <c r="H1095" s="35" t="str">
        <f>IFERROR(__xludf.DUMMYFUNCTION("""COMPUTED_VALUE"""),"Algorithms")</f>
        <v>Algorithms</v>
      </c>
      <c r="I1095" s="35">
        <f>IFERROR(__xludf.DUMMYFUNCTION("""COMPUTED_VALUE"""),0.584)</f>
        <v>0.584</v>
      </c>
      <c r="J1095" s="35">
        <f>IFERROR(__xludf.DUMMYFUNCTION("""COMPUTED_VALUE"""),1094.0)</f>
        <v>1094</v>
      </c>
      <c r="K1095" s="35" t="b">
        <f>IFERROR(__xludf.DUMMYFUNCTION("""COMPUTED_VALUE"""),FALSE)</f>
        <v>0</v>
      </c>
      <c r="L1095" s="35" t="str">
        <f>IFERROR(__xludf.DUMMYFUNCTION("""COMPUTED_VALUE"""),"Array;Sorting;Heap (Priority Queue);Simulation;Prefix Sum;")</f>
        <v>Array;Sorting;Heap (Priority Queue);Simulation;Prefix Sum;</v>
      </c>
      <c r="M1095" s="35" t="b">
        <f>IFERROR(__xludf.DUMMYFUNCTION("""COMPUTED_VALUE"""),TRUE)</f>
        <v>1</v>
      </c>
      <c r="N1095" s="35" t="b">
        <f>IFERROR(__xludf.DUMMYFUNCTION("""COMPUTED_VALUE"""),FALSE)</f>
        <v>0</v>
      </c>
      <c r="O1095" s="35">
        <f>IFERROR(__xludf.DUMMYFUNCTION("""COMPUTED_VALUE"""),58.42103767803)</f>
        <v>58.42103768</v>
      </c>
      <c r="P1095" s="35">
        <f>IFERROR(__xludf.DUMMYFUNCTION("""COMPUTED_VALUE"""),143932.0)</f>
        <v>143932</v>
      </c>
      <c r="Q1095" s="35">
        <f>IFERROR(__xludf.DUMMYFUNCTION("""COMPUTED_VALUE"""),246371.0)</f>
        <v>246371</v>
      </c>
    </row>
    <row r="1096">
      <c r="A1096" s="35">
        <f>IFERROR(__xludf.DUMMYFUNCTION("""COMPUTED_VALUE"""),1185.0)</f>
        <v>1185</v>
      </c>
      <c r="B1096" s="35" t="str">
        <f>IFERROR(__xludf.DUMMYFUNCTION("""COMPUTED_VALUE"""),"Find in Mountain Array")</f>
        <v>Find in Mountain Array</v>
      </c>
      <c r="C1096" s="35" t="str">
        <f>IFERROR(__xludf.DUMMYFUNCTION("""COMPUTED_VALUE"""),"find-in-mountain-array")</f>
        <v>find-in-mountain-array</v>
      </c>
      <c r="D1096" s="35" t="b">
        <f>IFERROR(__xludf.DUMMYFUNCTION("""COMPUTED_VALUE"""),FALSE)</f>
        <v>0</v>
      </c>
      <c r="E1096" s="35" t="str">
        <f>IFERROR(__xludf.DUMMYFUNCTION("""COMPUTED_VALUE"""),"Hard")</f>
        <v>Hard</v>
      </c>
      <c r="F1096" s="35">
        <f>IFERROR(__xludf.DUMMYFUNCTION("""COMPUTED_VALUE"""),1091.0)</f>
        <v>1091</v>
      </c>
      <c r="G1096" s="35">
        <f>IFERROR(__xludf.DUMMYFUNCTION("""COMPUTED_VALUE"""),55.0)</f>
        <v>55</v>
      </c>
      <c r="H1096" s="35" t="str">
        <f>IFERROR(__xludf.DUMMYFUNCTION("""COMPUTED_VALUE"""),"Algorithms")</f>
        <v>Algorithms</v>
      </c>
      <c r="I1096" s="35">
        <f>IFERROR(__xludf.DUMMYFUNCTION("""COMPUTED_VALUE"""),0.359)</f>
        <v>0.359</v>
      </c>
      <c r="J1096" s="35">
        <f>IFERROR(__xludf.DUMMYFUNCTION("""COMPUTED_VALUE"""),1095.0)</f>
        <v>1095</v>
      </c>
      <c r="K1096" s="35" t="b">
        <f>IFERROR(__xludf.DUMMYFUNCTION("""COMPUTED_VALUE"""),FALSE)</f>
        <v>0</v>
      </c>
      <c r="L1096" s="35" t="str">
        <f>IFERROR(__xludf.DUMMYFUNCTION("""COMPUTED_VALUE"""),"Array;Binary Search;Interactive;")</f>
        <v>Array;Binary Search;Interactive;</v>
      </c>
      <c r="M1096" s="35" t="b">
        <f>IFERROR(__xludf.DUMMYFUNCTION("""COMPUTED_VALUE"""),FALSE)</f>
        <v>0</v>
      </c>
      <c r="N1096" s="35" t="b">
        <f>IFERROR(__xludf.DUMMYFUNCTION("""COMPUTED_VALUE"""),FALSE)</f>
        <v>0</v>
      </c>
      <c r="O1096" s="35">
        <f>IFERROR(__xludf.DUMMYFUNCTION("""COMPUTED_VALUE"""),35.924653602621)</f>
        <v>35.9246536</v>
      </c>
      <c r="P1096" s="35">
        <f>IFERROR(__xludf.DUMMYFUNCTION("""COMPUTED_VALUE"""),40679.0)</f>
        <v>40679</v>
      </c>
      <c r="Q1096" s="35">
        <f>IFERROR(__xludf.DUMMYFUNCTION("""COMPUTED_VALUE"""),113233.0)</f>
        <v>113233</v>
      </c>
    </row>
    <row r="1097">
      <c r="A1097" s="35">
        <f>IFERROR(__xludf.DUMMYFUNCTION("""COMPUTED_VALUE"""),1188.0)</f>
        <v>1188</v>
      </c>
      <c r="B1097" s="35" t="str">
        <f>IFERROR(__xludf.DUMMYFUNCTION("""COMPUTED_VALUE"""),"Brace Expansion II")</f>
        <v>Brace Expansion II</v>
      </c>
      <c r="C1097" s="35" t="str">
        <f>IFERROR(__xludf.DUMMYFUNCTION("""COMPUTED_VALUE"""),"brace-expansion-ii")</f>
        <v>brace-expansion-ii</v>
      </c>
      <c r="D1097" s="35" t="b">
        <f>IFERROR(__xludf.DUMMYFUNCTION("""COMPUTED_VALUE"""),FALSE)</f>
        <v>0</v>
      </c>
      <c r="E1097" s="35" t="str">
        <f>IFERROR(__xludf.DUMMYFUNCTION("""COMPUTED_VALUE"""),"Hard")</f>
        <v>Hard</v>
      </c>
      <c r="F1097" s="35">
        <f>IFERROR(__xludf.DUMMYFUNCTION("""COMPUTED_VALUE"""),355.0)</f>
        <v>355</v>
      </c>
      <c r="G1097" s="35">
        <f>IFERROR(__xludf.DUMMYFUNCTION("""COMPUTED_VALUE"""),224.0)</f>
        <v>224</v>
      </c>
      <c r="H1097" s="35" t="str">
        <f>IFERROR(__xludf.DUMMYFUNCTION("""COMPUTED_VALUE"""),"Algorithms")</f>
        <v>Algorithms</v>
      </c>
      <c r="I1097" s="35">
        <f>IFERROR(__xludf.DUMMYFUNCTION("""COMPUTED_VALUE"""),0.625)</f>
        <v>0.625</v>
      </c>
      <c r="J1097" s="35">
        <f>IFERROR(__xludf.DUMMYFUNCTION("""COMPUTED_VALUE"""),1096.0)</f>
        <v>1096</v>
      </c>
      <c r="K1097" s="35" t="b">
        <f>IFERROR(__xludf.DUMMYFUNCTION("""COMPUTED_VALUE"""),FALSE)</f>
        <v>0</v>
      </c>
      <c r="L1097" s="35" t="str">
        <f>IFERROR(__xludf.DUMMYFUNCTION("""COMPUTED_VALUE"""),"String;Backtracking;Stack;Breadth-First Search;")</f>
        <v>String;Backtracking;Stack;Breadth-First Search;</v>
      </c>
      <c r="M1097" s="35" t="b">
        <f>IFERROR(__xludf.DUMMYFUNCTION("""COMPUTED_VALUE"""),FALSE)</f>
        <v>0</v>
      </c>
      <c r="N1097" s="35" t="b">
        <f>IFERROR(__xludf.DUMMYFUNCTION("""COMPUTED_VALUE"""),FALSE)</f>
        <v>0</v>
      </c>
      <c r="O1097" s="35">
        <f>IFERROR(__xludf.DUMMYFUNCTION("""COMPUTED_VALUE"""),62.4901900569829)</f>
        <v>62.49019006</v>
      </c>
      <c r="P1097" s="35">
        <f>IFERROR(__xludf.DUMMYFUNCTION("""COMPUTED_VALUE"""),18314.0)</f>
        <v>18314</v>
      </c>
      <c r="Q1097" s="35">
        <f>IFERROR(__xludf.DUMMYFUNCTION("""COMPUTED_VALUE"""),29307.0)</f>
        <v>29307</v>
      </c>
    </row>
    <row r="1098">
      <c r="A1098" s="35">
        <f>IFERROR(__xludf.DUMMYFUNCTION("""COMPUTED_VALUE"""),1193.0)</f>
        <v>1193</v>
      </c>
      <c r="B1098" s="35" t="str">
        <f>IFERROR(__xludf.DUMMYFUNCTION("""COMPUTED_VALUE"""),"Game Play Analysis V")</f>
        <v>Game Play Analysis V</v>
      </c>
      <c r="C1098" s="35" t="str">
        <f>IFERROR(__xludf.DUMMYFUNCTION("""COMPUTED_VALUE"""),"game-play-analysis-v")</f>
        <v>game-play-analysis-v</v>
      </c>
      <c r="D1098" s="35" t="b">
        <f>IFERROR(__xludf.DUMMYFUNCTION("""COMPUTED_VALUE"""),TRUE)</f>
        <v>1</v>
      </c>
      <c r="E1098" s="35" t="str">
        <f>IFERROR(__xludf.DUMMYFUNCTION("""COMPUTED_VALUE"""),"Hard")</f>
        <v>Hard</v>
      </c>
      <c r="F1098" s="35">
        <f>IFERROR(__xludf.DUMMYFUNCTION("""COMPUTED_VALUE"""),117.0)</f>
        <v>117</v>
      </c>
      <c r="G1098" s="35">
        <f>IFERROR(__xludf.DUMMYFUNCTION("""COMPUTED_VALUE"""),26.0)</f>
        <v>26</v>
      </c>
      <c r="H1098" s="35" t="str">
        <f>IFERROR(__xludf.DUMMYFUNCTION("""COMPUTED_VALUE"""),"Database")</f>
        <v>Database</v>
      </c>
      <c r="I1098" s="35">
        <f>IFERROR(__xludf.DUMMYFUNCTION("""COMPUTED_VALUE"""),0.557)</f>
        <v>0.557</v>
      </c>
      <c r="J1098" s="35">
        <f>IFERROR(__xludf.DUMMYFUNCTION("""COMPUTED_VALUE"""),1097.0)</f>
        <v>1097</v>
      </c>
      <c r="K1098" s="35" t="b">
        <f>IFERROR(__xludf.DUMMYFUNCTION("""COMPUTED_VALUE"""),TRUE)</f>
        <v>1</v>
      </c>
      <c r="L1098" s="35" t="str">
        <f>IFERROR(__xludf.DUMMYFUNCTION("""COMPUTED_VALUE"""),"Database;")</f>
        <v>Database;</v>
      </c>
      <c r="M1098" s="35" t="b">
        <f>IFERROR(__xludf.DUMMYFUNCTION("""COMPUTED_VALUE"""),FALSE)</f>
        <v>0</v>
      </c>
      <c r="N1098" s="35" t="b">
        <f>IFERROR(__xludf.DUMMYFUNCTION("""COMPUTED_VALUE"""),FALSE)</f>
        <v>0</v>
      </c>
      <c r="O1098" s="35">
        <f>IFERROR(__xludf.DUMMYFUNCTION("""COMPUTED_VALUE"""),55.7020460858338)</f>
        <v>55.70204609</v>
      </c>
      <c r="P1098" s="35">
        <f>IFERROR(__xludf.DUMMYFUNCTION("""COMPUTED_VALUE"""),14238.0)</f>
        <v>14238</v>
      </c>
      <c r="Q1098" s="35">
        <f>IFERROR(__xludf.DUMMYFUNCTION("""COMPUTED_VALUE"""),25561.0)</f>
        <v>25561</v>
      </c>
    </row>
    <row r="1099">
      <c r="A1099" s="35">
        <f>IFERROR(__xludf.DUMMYFUNCTION("""COMPUTED_VALUE"""),1198.0)</f>
        <v>1198</v>
      </c>
      <c r="B1099" s="35" t="str">
        <f>IFERROR(__xludf.DUMMYFUNCTION("""COMPUTED_VALUE"""),"Unpopular Books")</f>
        <v>Unpopular Books</v>
      </c>
      <c r="C1099" s="35" t="str">
        <f>IFERROR(__xludf.DUMMYFUNCTION("""COMPUTED_VALUE"""),"unpopular-books")</f>
        <v>unpopular-books</v>
      </c>
      <c r="D1099" s="35" t="b">
        <f>IFERROR(__xludf.DUMMYFUNCTION("""COMPUTED_VALUE"""),TRUE)</f>
        <v>1</v>
      </c>
      <c r="E1099" s="35" t="str">
        <f>IFERROR(__xludf.DUMMYFUNCTION("""COMPUTED_VALUE"""),"Medium")</f>
        <v>Medium</v>
      </c>
      <c r="F1099" s="35">
        <f>IFERROR(__xludf.DUMMYFUNCTION("""COMPUTED_VALUE"""),139.0)</f>
        <v>139</v>
      </c>
      <c r="G1099" s="35">
        <f>IFERROR(__xludf.DUMMYFUNCTION("""COMPUTED_VALUE"""),384.0)</f>
        <v>384</v>
      </c>
      <c r="H1099" s="35" t="str">
        <f>IFERROR(__xludf.DUMMYFUNCTION("""COMPUTED_VALUE"""),"Database")</f>
        <v>Database</v>
      </c>
      <c r="I1099" s="35">
        <f>IFERROR(__xludf.DUMMYFUNCTION("""COMPUTED_VALUE"""),0.453)</f>
        <v>0.453</v>
      </c>
      <c r="J1099" s="35">
        <f>IFERROR(__xludf.DUMMYFUNCTION("""COMPUTED_VALUE"""),1098.0)</f>
        <v>1098</v>
      </c>
      <c r="K1099" s="35" t="b">
        <f>IFERROR(__xludf.DUMMYFUNCTION("""COMPUTED_VALUE"""),TRUE)</f>
        <v>1</v>
      </c>
      <c r="L1099" s="35" t="str">
        <f>IFERROR(__xludf.DUMMYFUNCTION("""COMPUTED_VALUE"""),"Database;")</f>
        <v>Database;</v>
      </c>
      <c r="M1099" s="35" t="b">
        <f>IFERROR(__xludf.DUMMYFUNCTION("""COMPUTED_VALUE"""),FALSE)</f>
        <v>0</v>
      </c>
      <c r="N1099" s="35" t="b">
        <f>IFERROR(__xludf.DUMMYFUNCTION("""COMPUTED_VALUE"""),FALSE)</f>
        <v>0</v>
      </c>
      <c r="O1099" s="35">
        <f>IFERROR(__xludf.DUMMYFUNCTION("""COMPUTED_VALUE"""),45.3017638308422)</f>
        <v>45.30176383</v>
      </c>
      <c r="P1099" s="35">
        <f>IFERROR(__xludf.DUMMYFUNCTION("""COMPUTED_VALUE"""),25581.0)</f>
        <v>25581</v>
      </c>
      <c r="Q1099" s="35">
        <f>IFERROR(__xludf.DUMMYFUNCTION("""COMPUTED_VALUE"""),56468.0)</f>
        <v>56468</v>
      </c>
    </row>
    <row r="1100">
      <c r="A1100" s="35">
        <f>IFERROR(__xludf.DUMMYFUNCTION("""COMPUTED_VALUE"""),1083.0)</f>
        <v>1083</v>
      </c>
      <c r="B1100" s="35" t="str">
        <f>IFERROR(__xludf.DUMMYFUNCTION("""COMPUTED_VALUE"""),"Two Sum Less Than K")</f>
        <v>Two Sum Less Than K</v>
      </c>
      <c r="C1100" s="35" t="str">
        <f>IFERROR(__xludf.DUMMYFUNCTION("""COMPUTED_VALUE"""),"two-sum-less-than-k")</f>
        <v>two-sum-less-than-k</v>
      </c>
      <c r="D1100" s="35" t="b">
        <f>IFERROR(__xludf.DUMMYFUNCTION("""COMPUTED_VALUE"""),TRUE)</f>
        <v>1</v>
      </c>
      <c r="E1100" s="35" t="str">
        <f>IFERROR(__xludf.DUMMYFUNCTION("""COMPUTED_VALUE"""),"Easy")</f>
        <v>Easy</v>
      </c>
      <c r="F1100" s="35">
        <f>IFERROR(__xludf.DUMMYFUNCTION("""COMPUTED_VALUE"""),744.0)</f>
        <v>744</v>
      </c>
      <c r="G1100" s="35">
        <f>IFERROR(__xludf.DUMMYFUNCTION("""COMPUTED_VALUE"""),84.0)</f>
        <v>84</v>
      </c>
      <c r="H1100" s="35" t="str">
        <f>IFERROR(__xludf.DUMMYFUNCTION("""COMPUTED_VALUE"""),"Algorithms")</f>
        <v>Algorithms</v>
      </c>
      <c r="I1100" s="35">
        <f>IFERROR(__xludf.DUMMYFUNCTION("""COMPUTED_VALUE"""),0.605)</f>
        <v>0.605</v>
      </c>
      <c r="J1100" s="35">
        <f>IFERROR(__xludf.DUMMYFUNCTION("""COMPUTED_VALUE"""),1099.0)</f>
        <v>1099</v>
      </c>
      <c r="K1100" s="35" t="b">
        <f>IFERROR(__xludf.DUMMYFUNCTION("""COMPUTED_VALUE"""),TRUE)</f>
        <v>1</v>
      </c>
      <c r="L1100" s="35" t="str">
        <f>IFERROR(__xludf.DUMMYFUNCTION("""COMPUTED_VALUE"""),"Array;Two Pointers;Binary Search;Sorting;")</f>
        <v>Array;Two Pointers;Binary Search;Sorting;</v>
      </c>
      <c r="M1100" s="35" t="b">
        <f>IFERROR(__xludf.DUMMYFUNCTION("""COMPUTED_VALUE"""),TRUE)</f>
        <v>1</v>
      </c>
      <c r="N1100" s="35" t="b">
        <f>IFERROR(__xludf.DUMMYFUNCTION("""COMPUTED_VALUE"""),TRUE)</f>
        <v>1</v>
      </c>
      <c r="O1100" s="35">
        <f>IFERROR(__xludf.DUMMYFUNCTION("""COMPUTED_VALUE"""),60.4859924413781)</f>
        <v>60.48599244</v>
      </c>
      <c r="P1100" s="35">
        <f>IFERROR(__xludf.DUMMYFUNCTION("""COMPUTED_VALUE"""),85304.0)</f>
        <v>85304</v>
      </c>
      <c r="Q1100" s="35">
        <f>IFERROR(__xludf.DUMMYFUNCTION("""COMPUTED_VALUE"""),141031.0)</f>
        <v>141031</v>
      </c>
    </row>
    <row r="1101">
      <c r="A1101" s="35">
        <f>IFERROR(__xludf.DUMMYFUNCTION("""COMPUTED_VALUE"""),1084.0)</f>
        <v>1084</v>
      </c>
      <c r="B1101" s="35" t="str">
        <f>IFERROR(__xludf.DUMMYFUNCTION("""COMPUTED_VALUE"""),"Find K-Length Substrings With No Repeated Characters")</f>
        <v>Find K-Length Substrings With No Repeated Characters</v>
      </c>
      <c r="C1101" s="35" t="str">
        <f>IFERROR(__xludf.DUMMYFUNCTION("""COMPUTED_VALUE"""),"find-k-length-substrings-with-no-repeated-characters")</f>
        <v>find-k-length-substrings-with-no-repeated-characters</v>
      </c>
      <c r="D1101" s="35" t="b">
        <f>IFERROR(__xludf.DUMMYFUNCTION("""COMPUTED_VALUE"""),TRUE)</f>
        <v>1</v>
      </c>
      <c r="E1101" s="35" t="str">
        <f>IFERROR(__xludf.DUMMYFUNCTION("""COMPUTED_VALUE"""),"Medium")</f>
        <v>Medium</v>
      </c>
      <c r="F1101" s="35">
        <f>IFERROR(__xludf.DUMMYFUNCTION("""COMPUTED_VALUE"""),431.0)</f>
        <v>431</v>
      </c>
      <c r="G1101" s="35">
        <f>IFERROR(__xludf.DUMMYFUNCTION("""COMPUTED_VALUE"""),10.0)</f>
        <v>10</v>
      </c>
      <c r="H1101" s="35" t="str">
        <f>IFERROR(__xludf.DUMMYFUNCTION("""COMPUTED_VALUE"""),"Algorithms")</f>
        <v>Algorithms</v>
      </c>
      <c r="I1101" s="35">
        <f>IFERROR(__xludf.DUMMYFUNCTION("""COMPUTED_VALUE"""),0.748)</f>
        <v>0.748</v>
      </c>
      <c r="J1101" s="35">
        <f>IFERROR(__xludf.DUMMYFUNCTION("""COMPUTED_VALUE"""),1100.0)</f>
        <v>1100</v>
      </c>
      <c r="K1101" s="35" t="b">
        <f>IFERROR(__xludf.DUMMYFUNCTION("""COMPUTED_VALUE"""),TRUE)</f>
        <v>1</v>
      </c>
      <c r="L1101" s="35" t="str">
        <f>IFERROR(__xludf.DUMMYFUNCTION("""COMPUTED_VALUE"""),"Hash Table;String;Sliding Window;")</f>
        <v>Hash Table;String;Sliding Window;</v>
      </c>
      <c r="M1101" s="35" t="b">
        <f>IFERROR(__xludf.DUMMYFUNCTION("""COMPUTED_VALUE"""),TRUE)</f>
        <v>1</v>
      </c>
      <c r="N1101" s="35" t="b">
        <f>IFERROR(__xludf.DUMMYFUNCTION("""COMPUTED_VALUE"""),FALSE)</f>
        <v>0</v>
      </c>
      <c r="O1101" s="35">
        <f>IFERROR(__xludf.DUMMYFUNCTION("""COMPUTED_VALUE"""),74.7616333298787)</f>
        <v>74.76163333</v>
      </c>
      <c r="P1101" s="35">
        <f>IFERROR(__xludf.DUMMYFUNCTION("""COMPUTED_VALUE"""),28855.0)</f>
        <v>28855</v>
      </c>
      <c r="Q1101" s="35">
        <f>IFERROR(__xludf.DUMMYFUNCTION("""COMPUTED_VALUE"""),38596.0)</f>
        <v>38596</v>
      </c>
    </row>
    <row r="1102">
      <c r="A1102" s="35">
        <f>IFERROR(__xludf.DUMMYFUNCTION("""COMPUTED_VALUE"""),1085.0)</f>
        <v>1085</v>
      </c>
      <c r="B1102" s="35" t="str">
        <f>IFERROR(__xludf.DUMMYFUNCTION("""COMPUTED_VALUE"""),"The Earliest Moment When Everyone Become Friends")</f>
        <v>The Earliest Moment When Everyone Become Friends</v>
      </c>
      <c r="C1102" s="35" t="str">
        <f>IFERROR(__xludf.DUMMYFUNCTION("""COMPUTED_VALUE"""),"the-earliest-moment-when-everyone-become-friends")</f>
        <v>the-earliest-moment-when-everyone-become-friends</v>
      </c>
      <c r="D1102" s="35" t="b">
        <f>IFERROR(__xludf.DUMMYFUNCTION("""COMPUTED_VALUE"""),TRUE)</f>
        <v>1</v>
      </c>
      <c r="E1102" s="35" t="str">
        <f>IFERROR(__xludf.DUMMYFUNCTION("""COMPUTED_VALUE"""),"Medium")</f>
        <v>Medium</v>
      </c>
      <c r="F1102" s="35">
        <f>IFERROR(__xludf.DUMMYFUNCTION("""COMPUTED_VALUE"""),462.0)</f>
        <v>462</v>
      </c>
      <c r="G1102" s="35">
        <f>IFERROR(__xludf.DUMMYFUNCTION("""COMPUTED_VALUE"""),12.0)</f>
        <v>12</v>
      </c>
      <c r="H1102" s="35" t="str">
        <f>IFERROR(__xludf.DUMMYFUNCTION("""COMPUTED_VALUE"""),"Algorithms")</f>
        <v>Algorithms</v>
      </c>
      <c r="I1102" s="35">
        <f>IFERROR(__xludf.DUMMYFUNCTION("""COMPUTED_VALUE"""),0.646)</f>
        <v>0.646</v>
      </c>
      <c r="J1102" s="35">
        <f>IFERROR(__xludf.DUMMYFUNCTION("""COMPUTED_VALUE"""),1101.0)</f>
        <v>1101</v>
      </c>
      <c r="K1102" s="35" t="b">
        <f>IFERROR(__xludf.DUMMYFUNCTION("""COMPUTED_VALUE"""),TRUE)</f>
        <v>1</v>
      </c>
      <c r="L1102" s="35" t="str">
        <f>IFERROR(__xludf.DUMMYFUNCTION("""COMPUTED_VALUE"""),"Array;Union Find;")</f>
        <v>Array;Union Find;</v>
      </c>
      <c r="M1102" s="35" t="b">
        <f>IFERROR(__xludf.DUMMYFUNCTION("""COMPUTED_VALUE"""),TRUE)</f>
        <v>1</v>
      </c>
      <c r="N1102" s="35" t="b">
        <f>IFERROR(__xludf.DUMMYFUNCTION("""COMPUTED_VALUE"""),FALSE)</f>
        <v>0</v>
      </c>
      <c r="O1102" s="35">
        <f>IFERROR(__xludf.DUMMYFUNCTION("""COMPUTED_VALUE"""),64.5816116796982)</f>
        <v>64.58161168</v>
      </c>
      <c r="P1102" s="35">
        <f>IFERROR(__xludf.DUMMYFUNCTION("""COMPUTED_VALUE"""),30477.0)</f>
        <v>30477</v>
      </c>
      <c r="Q1102" s="35">
        <f>IFERROR(__xludf.DUMMYFUNCTION("""COMPUTED_VALUE"""),47190.0)</f>
        <v>47190</v>
      </c>
    </row>
    <row r="1103">
      <c r="A1103" s="35">
        <f>IFERROR(__xludf.DUMMYFUNCTION("""COMPUTED_VALUE"""),1099.0)</f>
        <v>1099</v>
      </c>
      <c r="B1103" s="35" t="str">
        <f>IFERROR(__xludf.DUMMYFUNCTION("""COMPUTED_VALUE"""),"Path With Maximum Minimum Value")</f>
        <v>Path With Maximum Minimum Value</v>
      </c>
      <c r="C1103" s="35" t="str">
        <f>IFERROR(__xludf.DUMMYFUNCTION("""COMPUTED_VALUE"""),"path-with-maximum-minimum-value")</f>
        <v>path-with-maximum-minimum-value</v>
      </c>
      <c r="D1103" s="35" t="b">
        <f>IFERROR(__xludf.DUMMYFUNCTION("""COMPUTED_VALUE"""),TRUE)</f>
        <v>1</v>
      </c>
      <c r="E1103" s="35" t="str">
        <f>IFERROR(__xludf.DUMMYFUNCTION("""COMPUTED_VALUE"""),"Medium")</f>
        <v>Medium</v>
      </c>
      <c r="F1103" s="35">
        <f>IFERROR(__xludf.DUMMYFUNCTION("""COMPUTED_VALUE"""),890.0)</f>
        <v>890</v>
      </c>
      <c r="G1103" s="35">
        <f>IFERROR(__xludf.DUMMYFUNCTION("""COMPUTED_VALUE"""),95.0)</f>
        <v>95</v>
      </c>
      <c r="H1103" s="35" t="str">
        <f>IFERROR(__xludf.DUMMYFUNCTION("""COMPUTED_VALUE"""),"Algorithms")</f>
        <v>Algorithms</v>
      </c>
      <c r="I1103" s="35">
        <f>IFERROR(__xludf.DUMMYFUNCTION("""COMPUTED_VALUE"""),0.525)</f>
        <v>0.525</v>
      </c>
      <c r="J1103" s="35">
        <f>IFERROR(__xludf.DUMMYFUNCTION("""COMPUTED_VALUE"""),1102.0)</f>
        <v>1102</v>
      </c>
      <c r="K1103" s="35" t="b">
        <f>IFERROR(__xludf.DUMMYFUNCTION("""COMPUTED_VALUE"""),TRUE)</f>
        <v>1</v>
      </c>
      <c r="L1103" s="35" t="str">
        <f>IFERROR(__xludf.DUMMYFUNCTION("""COMPUTED_VALUE"""),"Array;Depth-First Search;Breadth-First Search;Union Find;Heap (Priority Queue);Matrix;")</f>
        <v>Array;Depth-First Search;Breadth-First Search;Union Find;Heap (Priority Queue);Matrix;</v>
      </c>
      <c r="M1103" s="35" t="b">
        <f>IFERROR(__xludf.DUMMYFUNCTION("""COMPUTED_VALUE"""),TRUE)</f>
        <v>1</v>
      </c>
      <c r="N1103" s="35" t="b">
        <f>IFERROR(__xludf.DUMMYFUNCTION("""COMPUTED_VALUE"""),FALSE)</f>
        <v>0</v>
      </c>
      <c r="O1103" s="35">
        <f>IFERROR(__xludf.DUMMYFUNCTION("""COMPUTED_VALUE"""),52.4752109379811)</f>
        <v>52.47521094</v>
      </c>
      <c r="P1103" s="35">
        <f>IFERROR(__xludf.DUMMYFUNCTION("""COMPUTED_VALUE"""),42601.0)</f>
        <v>42601</v>
      </c>
      <c r="Q1103" s="35">
        <f>IFERROR(__xludf.DUMMYFUNCTION("""COMPUTED_VALUE"""),81184.0)</f>
        <v>81184</v>
      </c>
    </row>
    <row r="1104">
      <c r="A1104" s="35">
        <f>IFERROR(__xludf.DUMMYFUNCTION("""COMPUTED_VALUE"""),1195.0)</f>
        <v>1195</v>
      </c>
      <c r="B1104" s="35" t="str">
        <f>IFERROR(__xludf.DUMMYFUNCTION("""COMPUTED_VALUE"""),"Distribute Candies to People")</f>
        <v>Distribute Candies to People</v>
      </c>
      <c r="C1104" s="35" t="str">
        <f>IFERROR(__xludf.DUMMYFUNCTION("""COMPUTED_VALUE"""),"distribute-candies-to-people")</f>
        <v>distribute-candies-to-people</v>
      </c>
      <c r="D1104" s="35" t="b">
        <f>IFERROR(__xludf.DUMMYFUNCTION("""COMPUTED_VALUE"""),FALSE)</f>
        <v>0</v>
      </c>
      <c r="E1104" s="35" t="str">
        <f>IFERROR(__xludf.DUMMYFUNCTION("""COMPUTED_VALUE"""),"Easy")</f>
        <v>Easy</v>
      </c>
      <c r="F1104" s="35">
        <f>IFERROR(__xludf.DUMMYFUNCTION("""COMPUTED_VALUE"""),683.0)</f>
        <v>683</v>
      </c>
      <c r="G1104" s="35">
        <f>IFERROR(__xludf.DUMMYFUNCTION("""COMPUTED_VALUE"""),164.0)</f>
        <v>164</v>
      </c>
      <c r="H1104" s="35" t="str">
        <f>IFERROR(__xludf.DUMMYFUNCTION("""COMPUTED_VALUE"""),"Algorithms")</f>
        <v>Algorithms</v>
      </c>
      <c r="I1104" s="35">
        <f>IFERROR(__xludf.DUMMYFUNCTION("""COMPUTED_VALUE"""),0.637)</f>
        <v>0.637</v>
      </c>
      <c r="J1104" s="35">
        <f>IFERROR(__xludf.DUMMYFUNCTION("""COMPUTED_VALUE"""),1103.0)</f>
        <v>1103</v>
      </c>
      <c r="K1104" s="35" t="b">
        <f>IFERROR(__xludf.DUMMYFUNCTION("""COMPUTED_VALUE"""),FALSE)</f>
        <v>0</v>
      </c>
      <c r="L1104" s="35" t="str">
        <f>IFERROR(__xludf.DUMMYFUNCTION("""COMPUTED_VALUE"""),"Math;Simulation;")</f>
        <v>Math;Simulation;</v>
      </c>
      <c r="M1104" s="35" t="b">
        <f>IFERROR(__xludf.DUMMYFUNCTION("""COMPUTED_VALUE"""),FALSE)</f>
        <v>0</v>
      </c>
      <c r="N1104" s="35" t="b">
        <f>IFERROR(__xludf.DUMMYFUNCTION("""COMPUTED_VALUE"""),FALSE)</f>
        <v>0</v>
      </c>
      <c r="O1104" s="35">
        <f>IFERROR(__xludf.DUMMYFUNCTION("""COMPUTED_VALUE"""),63.7078293156963)</f>
        <v>63.70782932</v>
      </c>
      <c r="P1104" s="35">
        <f>IFERROR(__xludf.DUMMYFUNCTION("""COMPUTED_VALUE"""),65886.0)</f>
        <v>65886</v>
      </c>
      <c r="Q1104" s="35">
        <f>IFERROR(__xludf.DUMMYFUNCTION("""COMPUTED_VALUE"""),103419.0)</f>
        <v>103419</v>
      </c>
    </row>
    <row r="1105">
      <c r="A1105" s="35">
        <f>IFERROR(__xludf.DUMMYFUNCTION("""COMPUTED_VALUE"""),1194.0)</f>
        <v>1194</v>
      </c>
      <c r="B1105" s="35" t="str">
        <f>IFERROR(__xludf.DUMMYFUNCTION("""COMPUTED_VALUE"""),"Path In Zigzag Labelled Binary Tree")</f>
        <v>Path In Zigzag Labelled Binary Tree</v>
      </c>
      <c r="C1105" s="35" t="str">
        <f>IFERROR(__xludf.DUMMYFUNCTION("""COMPUTED_VALUE"""),"path-in-zigzag-labelled-binary-tree")</f>
        <v>path-in-zigzag-labelled-binary-tree</v>
      </c>
      <c r="D1105" s="35" t="b">
        <f>IFERROR(__xludf.DUMMYFUNCTION("""COMPUTED_VALUE"""),FALSE)</f>
        <v>0</v>
      </c>
      <c r="E1105" s="35" t="str">
        <f>IFERROR(__xludf.DUMMYFUNCTION("""COMPUTED_VALUE"""),"Medium")</f>
        <v>Medium</v>
      </c>
      <c r="F1105" s="35">
        <f>IFERROR(__xludf.DUMMYFUNCTION("""COMPUTED_VALUE"""),930.0)</f>
        <v>930</v>
      </c>
      <c r="G1105" s="35">
        <f>IFERROR(__xludf.DUMMYFUNCTION("""COMPUTED_VALUE"""),259.0)</f>
        <v>259</v>
      </c>
      <c r="H1105" s="35" t="str">
        <f>IFERROR(__xludf.DUMMYFUNCTION("""COMPUTED_VALUE"""),"Algorithms")</f>
        <v>Algorithms</v>
      </c>
      <c r="I1105" s="35">
        <f>IFERROR(__xludf.DUMMYFUNCTION("""COMPUTED_VALUE"""),0.744)</f>
        <v>0.744</v>
      </c>
      <c r="J1105" s="35">
        <f>IFERROR(__xludf.DUMMYFUNCTION("""COMPUTED_VALUE"""),1104.0)</f>
        <v>1104</v>
      </c>
      <c r="K1105" s="35" t="b">
        <f>IFERROR(__xludf.DUMMYFUNCTION("""COMPUTED_VALUE"""),FALSE)</f>
        <v>0</v>
      </c>
      <c r="L1105" s="35" t="str">
        <f>IFERROR(__xludf.DUMMYFUNCTION("""COMPUTED_VALUE"""),"Math;Tree;Binary Tree;")</f>
        <v>Math;Tree;Binary Tree;</v>
      </c>
      <c r="M1105" s="35" t="b">
        <f>IFERROR(__xludf.DUMMYFUNCTION("""COMPUTED_VALUE"""),FALSE)</f>
        <v>0</v>
      </c>
      <c r="N1105" s="35" t="b">
        <f>IFERROR(__xludf.DUMMYFUNCTION("""COMPUTED_VALUE"""),FALSE)</f>
        <v>0</v>
      </c>
      <c r="O1105" s="35">
        <f>IFERROR(__xludf.DUMMYFUNCTION("""COMPUTED_VALUE"""),74.4260219038015)</f>
        <v>74.4260219</v>
      </c>
      <c r="P1105" s="35">
        <f>IFERROR(__xludf.DUMMYFUNCTION("""COMPUTED_VALUE"""),31736.0)</f>
        <v>31736</v>
      </c>
      <c r="Q1105" s="35">
        <f>IFERROR(__xludf.DUMMYFUNCTION("""COMPUTED_VALUE"""),42641.0)</f>
        <v>42641</v>
      </c>
    </row>
    <row r="1106">
      <c r="A1106" s="35">
        <f>IFERROR(__xludf.DUMMYFUNCTION("""COMPUTED_VALUE"""),1196.0)</f>
        <v>1196</v>
      </c>
      <c r="B1106" s="35" t="str">
        <f>IFERROR(__xludf.DUMMYFUNCTION("""COMPUTED_VALUE"""),"Filling Bookcase Shelves")</f>
        <v>Filling Bookcase Shelves</v>
      </c>
      <c r="C1106" s="35" t="str">
        <f>IFERROR(__xludf.DUMMYFUNCTION("""COMPUTED_VALUE"""),"filling-bookcase-shelves")</f>
        <v>filling-bookcase-shelves</v>
      </c>
      <c r="D1106" s="35" t="b">
        <f>IFERROR(__xludf.DUMMYFUNCTION("""COMPUTED_VALUE"""),FALSE)</f>
        <v>0</v>
      </c>
      <c r="E1106" s="35" t="str">
        <f>IFERROR(__xludf.DUMMYFUNCTION("""COMPUTED_VALUE"""),"Medium")</f>
        <v>Medium</v>
      </c>
      <c r="F1106" s="35">
        <f>IFERROR(__xludf.DUMMYFUNCTION("""COMPUTED_VALUE"""),1202.0)</f>
        <v>1202</v>
      </c>
      <c r="G1106" s="35">
        <f>IFERROR(__xludf.DUMMYFUNCTION("""COMPUTED_VALUE"""),72.0)</f>
        <v>72</v>
      </c>
      <c r="H1106" s="35" t="str">
        <f>IFERROR(__xludf.DUMMYFUNCTION("""COMPUTED_VALUE"""),"Algorithms")</f>
        <v>Algorithms</v>
      </c>
      <c r="I1106" s="35">
        <f>IFERROR(__xludf.DUMMYFUNCTION("""COMPUTED_VALUE"""),0.58)</f>
        <v>0.58</v>
      </c>
      <c r="J1106" s="35">
        <f>IFERROR(__xludf.DUMMYFUNCTION("""COMPUTED_VALUE"""),1105.0)</f>
        <v>1105</v>
      </c>
      <c r="K1106" s="35" t="b">
        <f>IFERROR(__xludf.DUMMYFUNCTION("""COMPUTED_VALUE"""),FALSE)</f>
        <v>0</v>
      </c>
      <c r="L1106" s="35" t="str">
        <f>IFERROR(__xludf.DUMMYFUNCTION("""COMPUTED_VALUE"""),"Array;Dynamic Programming;")</f>
        <v>Array;Dynamic Programming;</v>
      </c>
      <c r="M1106" s="35" t="b">
        <f>IFERROR(__xludf.DUMMYFUNCTION("""COMPUTED_VALUE"""),FALSE)</f>
        <v>0</v>
      </c>
      <c r="N1106" s="35" t="b">
        <f>IFERROR(__xludf.DUMMYFUNCTION("""COMPUTED_VALUE"""),FALSE)</f>
        <v>0</v>
      </c>
      <c r="O1106" s="35">
        <f>IFERROR(__xludf.DUMMYFUNCTION("""COMPUTED_VALUE"""),58.0022095378383)</f>
        <v>58.00220954</v>
      </c>
      <c r="P1106" s="35">
        <f>IFERROR(__xludf.DUMMYFUNCTION("""COMPUTED_VALUE"""),31501.0)</f>
        <v>31501</v>
      </c>
      <c r="Q1106" s="35">
        <f>IFERROR(__xludf.DUMMYFUNCTION("""COMPUTED_VALUE"""),54310.0)</f>
        <v>54310</v>
      </c>
    </row>
    <row r="1107">
      <c r="A1107" s="35">
        <f>IFERROR(__xludf.DUMMYFUNCTION("""COMPUTED_VALUE"""),1197.0)</f>
        <v>1197</v>
      </c>
      <c r="B1107" s="35" t="str">
        <f>IFERROR(__xludf.DUMMYFUNCTION("""COMPUTED_VALUE"""),"Parsing A Boolean Expression")</f>
        <v>Parsing A Boolean Expression</v>
      </c>
      <c r="C1107" s="35" t="str">
        <f>IFERROR(__xludf.DUMMYFUNCTION("""COMPUTED_VALUE"""),"parsing-a-boolean-expression")</f>
        <v>parsing-a-boolean-expression</v>
      </c>
      <c r="D1107" s="35" t="b">
        <f>IFERROR(__xludf.DUMMYFUNCTION("""COMPUTED_VALUE"""),FALSE)</f>
        <v>0</v>
      </c>
      <c r="E1107" s="35" t="str">
        <f>IFERROR(__xludf.DUMMYFUNCTION("""COMPUTED_VALUE"""),"Hard")</f>
        <v>Hard</v>
      </c>
      <c r="F1107" s="35">
        <f>IFERROR(__xludf.DUMMYFUNCTION("""COMPUTED_VALUE"""),572.0)</f>
        <v>572</v>
      </c>
      <c r="G1107" s="35">
        <f>IFERROR(__xludf.DUMMYFUNCTION("""COMPUTED_VALUE"""),32.0)</f>
        <v>32</v>
      </c>
      <c r="H1107" s="35" t="str">
        <f>IFERROR(__xludf.DUMMYFUNCTION("""COMPUTED_VALUE"""),"Algorithms")</f>
        <v>Algorithms</v>
      </c>
      <c r="I1107" s="35">
        <f>IFERROR(__xludf.DUMMYFUNCTION("""COMPUTED_VALUE"""),0.593)</f>
        <v>0.593</v>
      </c>
      <c r="J1107" s="35">
        <f>IFERROR(__xludf.DUMMYFUNCTION("""COMPUTED_VALUE"""),1106.0)</f>
        <v>1106</v>
      </c>
      <c r="K1107" s="35" t="b">
        <f>IFERROR(__xludf.DUMMYFUNCTION("""COMPUTED_VALUE"""),FALSE)</f>
        <v>0</v>
      </c>
      <c r="L1107" s="35" t="str">
        <f>IFERROR(__xludf.DUMMYFUNCTION("""COMPUTED_VALUE"""),"String;Stack;Recursion;")</f>
        <v>String;Stack;Recursion;</v>
      </c>
      <c r="M1107" s="35" t="b">
        <f>IFERROR(__xludf.DUMMYFUNCTION("""COMPUTED_VALUE"""),FALSE)</f>
        <v>0</v>
      </c>
      <c r="N1107" s="35" t="b">
        <f>IFERROR(__xludf.DUMMYFUNCTION("""COMPUTED_VALUE"""),FALSE)</f>
        <v>0</v>
      </c>
      <c r="O1107" s="35">
        <f>IFERROR(__xludf.DUMMYFUNCTION("""COMPUTED_VALUE"""),59.2586413986387)</f>
        <v>59.2586414</v>
      </c>
      <c r="P1107" s="35">
        <f>IFERROR(__xludf.DUMMYFUNCTION("""COMPUTED_VALUE"""),17761.0)</f>
        <v>17761</v>
      </c>
      <c r="Q1107" s="35">
        <f>IFERROR(__xludf.DUMMYFUNCTION("""COMPUTED_VALUE"""),29972.0)</f>
        <v>29972</v>
      </c>
    </row>
    <row r="1108">
      <c r="A1108" s="35">
        <f>IFERROR(__xludf.DUMMYFUNCTION("""COMPUTED_VALUE"""),1204.0)</f>
        <v>1204</v>
      </c>
      <c r="B1108" s="35" t="str">
        <f>IFERROR(__xludf.DUMMYFUNCTION("""COMPUTED_VALUE"""),"New Users Daily Count")</f>
        <v>New Users Daily Count</v>
      </c>
      <c r="C1108" s="35" t="str">
        <f>IFERROR(__xludf.DUMMYFUNCTION("""COMPUTED_VALUE"""),"new-users-daily-count")</f>
        <v>new-users-daily-count</v>
      </c>
      <c r="D1108" s="35" t="b">
        <f>IFERROR(__xludf.DUMMYFUNCTION("""COMPUTED_VALUE"""),TRUE)</f>
        <v>1</v>
      </c>
      <c r="E1108" s="35" t="str">
        <f>IFERROR(__xludf.DUMMYFUNCTION("""COMPUTED_VALUE"""),"Medium")</f>
        <v>Medium</v>
      </c>
      <c r="F1108" s="35">
        <f>IFERROR(__xludf.DUMMYFUNCTION("""COMPUTED_VALUE"""),104.0)</f>
        <v>104</v>
      </c>
      <c r="G1108" s="35">
        <f>IFERROR(__xludf.DUMMYFUNCTION("""COMPUTED_VALUE"""),99.0)</f>
        <v>99</v>
      </c>
      <c r="H1108" s="35" t="str">
        <f>IFERROR(__xludf.DUMMYFUNCTION("""COMPUTED_VALUE"""),"Database")</f>
        <v>Database</v>
      </c>
      <c r="I1108" s="35">
        <f>IFERROR(__xludf.DUMMYFUNCTION("""COMPUTED_VALUE"""),0.457)</f>
        <v>0.457</v>
      </c>
      <c r="J1108" s="35">
        <f>IFERROR(__xludf.DUMMYFUNCTION("""COMPUTED_VALUE"""),1107.0)</f>
        <v>1107</v>
      </c>
      <c r="K1108" s="35" t="b">
        <f>IFERROR(__xludf.DUMMYFUNCTION("""COMPUTED_VALUE"""),TRUE)</f>
        <v>1</v>
      </c>
      <c r="L1108" s="35" t="str">
        <f>IFERROR(__xludf.DUMMYFUNCTION("""COMPUTED_VALUE"""),"Database;")</f>
        <v>Database;</v>
      </c>
      <c r="M1108" s="35" t="b">
        <f>IFERROR(__xludf.DUMMYFUNCTION("""COMPUTED_VALUE"""),FALSE)</f>
        <v>0</v>
      </c>
      <c r="N1108" s="35" t="b">
        <f>IFERROR(__xludf.DUMMYFUNCTION("""COMPUTED_VALUE"""),FALSE)</f>
        <v>0</v>
      </c>
      <c r="O1108" s="35">
        <f>IFERROR(__xludf.DUMMYFUNCTION("""COMPUTED_VALUE"""),45.7165018421562)</f>
        <v>45.71650184</v>
      </c>
      <c r="P1108" s="35">
        <f>IFERROR(__xludf.DUMMYFUNCTION("""COMPUTED_VALUE"""),23576.0)</f>
        <v>23576</v>
      </c>
      <c r="Q1108" s="35">
        <f>IFERROR(__xludf.DUMMYFUNCTION("""COMPUTED_VALUE"""),51570.0)</f>
        <v>51570</v>
      </c>
    </row>
    <row r="1109">
      <c r="A1109" s="35">
        <f>IFERROR(__xludf.DUMMYFUNCTION("""COMPUTED_VALUE"""),1205.0)</f>
        <v>1205</v>
      </c>
      <c r="B1109" s="35" t="str">
        <f>IFERROR(__xludf.DUMMYFUNCTION("""COMPUTED_VALUE"""),"Defanging an IP Address")</f>
        <v>Defanging an IP Address</v>
      </c>
      <c r="C1109" s="35" t="str">
        <f>IFERROR(__xludf.DUMMYFUNCTION("""COMPUTED_VALUE"""),"defanging-an-ip-address")</f>
        <v>defanging-an-ip-address</v>
      </c>
      <c r="D1109" s="35" t="b">
        <f>IFERROR(__xludf.DUMMYFUNCTION("""COMPUTED_VALUE"""),FALSE)</f>
        <v>0</v>
      </c>
      <c r="E1109" s="35" t="str">
        <f>IFERROR(__xludf.DUMMYFUNCTION("""COMPUTED_VALUE"""),"Easy")</f>
        <v>Easy</v>
      </c>
      <c r="F1109" s="35">
        <f>IFERROR(__xludf.DUMMYFUNCTION("""COMPUTED_VALUE"""),1030.0)</f>
        <v>1030</v>
      </c>
      <c r="G1109" s="35">
        <f>IFERROR(__xludf.DUMMYFUNCTION("""COMPUTED_VALUE"""),1438.0)</f>
        <v>1438</v>
      </c>
      <c r="H1109" s="35" t="str">
        <f>IFERROR(__xludf.DUMMYFUNCTION("""COMPUTED_VALUE"""),"Algorithms")</f>
        <v>Algorithms</v>
      </c>
      <c r="I1109" s="35">
        <f>IFERROR(__xludf.DUMMYFUNCTION("""COMPUTED_VALUE"""),0.889)</f>
        <v>0.889</v>
      </c>
      <c r="J1109" s="35">
        <f>IFERROR(__xludf.DUMMYFUNCTION("""COMPUTED_VALUE"""),1108.0)</f>
        <v>1108</v>
      </c>
      <c r="K1109" s="35" t="b">
        <f>IFERROR(__xludf.DUMMYFUNCTION("""COMPUTED_VALUE"""),FALSE)</f>
        <v>0</v>
      </c>
      <c r="L1109" s="35" t="str">
        <f>IFERROR(__xludf.DUMMYFUNCTION("""COMPUTED_VALUE"""),"String;")</f>
        <v>String;</v>
      </c>
      <c r="M1109" s="35" t="b">
        <f>IFERROR(__xludf.DUMMYFUNCTION("""COMPUTED_VALUE"""),FALSE)</f>
        <v>0</v>
      </c>
      <c r="N1109" s="35" t="b">
        <f>IFERROR(__xludf.DUMMYFUNCTION("""COMPUTED_VALUE"""),FALSE)</f>
        <v>0</v>
      </c>
      <c r="O1109" s="35">
        <f>IFERROR(__xludf.DUMMYFUNCTION("""COMPUTED_VALUE"""),88.9045813429024)</f>
        <v>88.90458134</v>
      </c>
      <c r="P1109" s="35">
        <f>IFERROR(__xludf.DUMMYFUNCTION("""COMPUTED_VALUE"""),393427.0)</f>
        <v>393427</v>
      </c>
      <c r="Q1109" s="35">
        <f>IFERROR(__xludf.DUMMYFUNCTION("""COMPUTED_VALUE"""),442528.0)</f>
        <v>442528</v>
      </c>
    </row>
    <row r="1110">
      <c r="A1110" s="35">
        <f>IFERROR(__xludf.DUMMYFUNCTION("""COMPUTED_VALUE"""),1206.0)</f>
        <v>1206</v>
      </c>
      <c r="B1110" s="35" t="str">
        <f>IFERROR(__xludf.DUMMYFUNCTION("""COMPUTED_VALUE"""),"Corporate Flight Bookings")</f>
        <v>Corporate Flight Bookings</v>
      </c>
      <c r="C1110" s="35" t="str">
        <f>IFERROR(__xludf.DUMMYFUNCTION("""COMPUTED_VALUE"""),"corporate-flight-bookings")</f>
        <v>corporate-flight-bookings</v>
      </c>
      <c r="D1110" s="35" t="b">
        <f>IFERROR(__xludf.DUMMYFUNCTION("""COMPUTED_VALUE"""),FALSE)</f>
        <v>0</v>
      </c>
      <c r="E1110" s="35" t="str">
        <f>IFERROR(__xludf.DUMMYFUNCTION("""COMPUTED_VALUE"""),"Medium")</f>
        <v>Medium</v>
      </c>
      <c r="F1110" s="35">
        <f>IFERROR(__xludf.DUMMYFUNCTION("""COMPUTED_VALUE"""),972.0)</f>
        <v>972</v>
      </c>
      <c r="G1110" s="35">
        <f>IFERROR(__xludf.DUMMYFUNCTION("""COMPUTED_VALUE"""),139.0)</f>
        <v>139</v>
      </c>
      <c r="H1110" s="35" t="str">
        <f>IFERROR(__xludf.DUMMYFUNCTION("""COMPUTED_VALUE"""),"Algorithms")</f>
        <v>Algorithms</v>
      </c>
      <c r="I1110" s="35">
        <f>IFERROR(__xludf.DUMMYFUNCTION("""COMPUTED_VALUE"""),0.581)</f>
        <v>0.581</v>
      </c>
      <c r="J1110" s="35">
        <f>IFERROR(__xludf.DUMMYFUNCTION("""COMPUTED_VALUE"""),1109.0)</f>
        <v>1109</v>
      </c>
      <c r="K1110" s="35" t="b">
        <f>IFERROR(__xludf.DUMMYFUNCTION("""COMPUTED_VALUE"""),FALSE)</f>
        <v>0</v>
      </c>
      <c r="L1110" s="35" t="str">
        <f>IFERROR(__xludf.DUMMYFUNCTION("""COMPUTED_VALUE"""),"Array;Prefix Sum;")</f>
        <v>Array;Prefix Sum;</v>
      </c>
      <c r="M1110" s="35" t="b">
        <f>IFERROR(__xludf.DUMMYFUNCTION("""COMPUTED_VALUE"""),FALSE)</f>
        <v>0</v>
      </c>
      <c r="N1110" s="35" t="b">
        <f>IFERROR(__xludf.DUMMYFUNCTION("""COMPUTED_VALUE"""),FALSE)</f>
        <v>0</v>
      </c>
      <c r="O1110" s="35">
        <f>IFERROR(__xludf.DUMMYFUNCTION("""COMPUTED_VALUE"""),58.0624289862391)</f>
        <v>58.06242899</v>
      </c>
      <c r="P1110" s="35">
        <f>IFERROR(__xludf.DUMMYFUNCTION("""COMPUTED_VALUE"""),36790.0)</f>
        <v>36790</v>
      </c>
      <c r="Q1110" s="35">
        <f>IFERROR(__xludf.DUMMYFUNCTION("""COMPUTED_VALUE"""),63362.0)</f>
        <v>63362</v>
      </c>
    </row>
    <row r="1111">
      <c r="A1111" s="35">
        <f>IFERROR(__xludf.DUMMYFUNCTION("""COMPUTED_VALUE"""),1207.0)</f>
        <v>1207</v>
      </c>
      <c r="B1111" s="35" t="str">
        <f>IFERROR(__xludf.DUMMYFUNCTION("""COMPUTED_VALUE"""),"Delete Nodes And Return Forest")</f>
        <v>Delete Nodes And Return Forest</v>
      </c>
      <c r="C1111" s="35" t="str">
        <f>IFERROR(__xludf.DUMMYFUNCTION("""COMPUTED_VALUE"""),"delete-nodes-and-return-forest")</f>
        <v>delete-nodes-and-return-forest</v>
      </c>
      <c r="D1111" s="35" t="b">
        <f>IFERROR(__xludf.DUMMYFUNCTION("""COMPUTED_VALUE"""),FALSE)</f>
        <v>0</v>
      </c>
      <c r="E1111" s="35" t="str">
        <f>IFERROR(__xludf.DUMMYFUNCTION("""COMPUTED_VALUE"""),"Medium")</f>
        <v>Medium</v>
      </c>
      <c r="F1111" s="35">
        <f>IFERROR(__xludf.DUMMYFUNCTION("""COMPUTED_VALUE"""),2704.0)</f>
        <v>2704</v>
      </c>
      <c r="G1111" s="35">
        <f>IFERROR(__xludf.DUMMYFUNCTION("""COMPUTED_VALUE"""),78.0)</f>
        <v>78</v>
      </c>
      <c r="H1111" s="35" t="str">
        <f>IFERROR(__xludf.DUMMYFUNCTION("""COMPUTED_VALUE"""),"Algorithms")</f>
        <v>Algorithms</v>
      </c>
      <c r="I1111" s="35">
        <f>IFERROR(__xludf.DUMMYFUNCTION("""COMPUTED_VALUE"""),0.692)</f>
        <v>0.692</v>
      </c>
      <c r="J1111" s="35">
        <f>IFERROR(__xludf.DUMMYFUNCTION("""COMPUTED_VALUE"""),1110.0)</f>
        <v>1110</v>
      </c>
      <c r="K1111" s="35" t="b">
        <f>IFERROR(__xludf.DUMMYFUNCTION("""COMPUTED_VALUE"""),FALSE)</f>
        <v>0</v>
      </c>
      <c r="L1111" s="35" t="str">
        <f>IFERROR(__xludf.DUMMYFUNCTION("""COMPUTED_VALUE"""),"Tree;Depth-First Search;Binary Tree;")</f>
        <v>Tree;Depth-First Search;Binary Tree;</v>
      </c>
      <c r="M1111" s="35" t="b">
        <f>IFERROR(__xludf.DUMMYFUNCTION("""COMPUTED_VALUE"""),FALSE)</f>
        <v>0</v>
      </c>
      <c r="N1111" s="35" t="b">
        <f>IFERROR(__xludf.DUMMYFUNCTION("""COMPUTED_VALUE"""),FALSE)</f>
        <v>0</v>
      </c>
      <c r="O1111" s="35">
        <f>IFERROR(__xludf.DUMMYFUNCTION("""COMPUTED_VALUE"""),69.1956912687635)</f>
        <v>69.19569127</v>
      </c>
      <c r="P1111" s="35">
        <f>IFERROR(__xludf.DUMMYFUNCTION("""COMPUTED_VALUE"""),150830.0)</f>
        <v>150830</v>
      </c>
      <c r="Q1111" s="35">
        <f>IFERROR(__xludf.DUMMYFUNCTION("""COMPUTED_VALUE"""),217975.0)</f>
        <v>217975</v>
      </c>
    </row>
    <row r="1112">
      <c r="A1112" s="35">
        <f>IFERROR(__xludf.DUMMYFUNCTION("""COMPUTED_VALUE"""),1208.0)</f>
        <v>1208</v>
      </c>
      <c r="B1112" s="35" t="str">
        <f>IFERROR(__xludf.DUMMYFUNCTION("""COMPUTED_VALUE"""),"Maximum Nesting Depth of Two Valid Parentheses Strings")</f>
        <v>Maximum Nesting Depth of Two Valid Parentheses Strings</v>
      </c>
      <c r="C1112" s="35" t="str">
        <f>IFERROR(__xludf.DUMMYFUNCTION("""COMPUTED_VALUE"""),"maximum-nesting-depth-of-two-valid-parentheses-strings")</f>
        <v>maximum-nesting-depth-of-two-valid-parentheses-strings</v>
      </c>
      <c r="D1112" s="35" t="b">
        <f>IFERROR(__xludf.DUMMYFUNCTION("""COMPUTED_VALUE"""),FALSE)</f>
        <v>0</v>
      </c>
      <c r="E1112" s="35" t="str">
        <f>IFERROR(__xludf.DUMMYFUNCTION("""COMPUTED_VALUE"""),"Medium")</f>
        <v>Medium</v>
      </c>
      <c r="F1112" s="35">
        <f>IFERROR(__xludf.DUMMYFUNCTION("""COMPUTED_VALUE"""),268.0)</f>
        <v>268</v>
      </c>
      <c r="G1112" s="35">
        <f>IFERROR(__xludf.DUMMYFUNCTION("""COMPUTED_VALUE"""),1206.0)</f>
        <v>1206</v>
      </c>
      <c r="H1112" s="35" t="str">
        <f>IFERROR(__xludf.DUMMYFUNCTION("""COMPUTED_VALUE"""),"Algorithms")</f>
        <v>Algorithms</v>
      </c>
      <c r="I1112" s="35">
        <f>IFERROR(__xludf.DUMMYFUNCTION("""COMPUTED_VALUE"""),0.729)</f>
        <v>0.729</v>
      </c>
      <c r="J1112" s="35">
        <f>IFERROR(__xludf.DUMMYFUNCTION("""COMPUTED_VALUE"""),1111.0)</f>
        <v>1111</v>
      </c>
      <c r="K1112" s="35" t="b">
        <f>IFERROR(__xludf.DUMMYFUNCTION("""COMPUTED_VALUE"""),FALSE)</f>
        <v>0</v>
      </c>
      <c r="L1112" s="35" t="str">
        <f>IFERROR(__xludf.DUMMYFUNCTION("""COMPUTED_VALUE"""),"String;Stack;")</f>
        <v>String;Stack;</v>
      </c>
      <c r="M1112" s="35" t="b">
        <f>IFERROR(__xludf.DUMMYFUNCTION("""COMPUTED_VALUE"""),FALSE)</f>
        <v>0</v>
      </c>
      <c r="N1112" s="35" t="b">
        <f>IFERROR(__xludf.DUMMYFUNCTION("""COMPUTED_VALUE"""),FALSE)</f>
        <v>0</v>
      </c>
      <c r="O1112" s="35">
        <f>IFERROR(__xludf.DUMMYFUNCTION("""COMPUTED_VALUE"""),72.8848114169215)</f>
        <v>72.88481142</v>
      </c>
      <c r="P1112" s="35">
        <f>IFERROR(__xludf.DUMMYFUNCTION("""COMPUTED_VALUE"""),18590.0)</f>
        <v>18590</v>
      </c>
      <c r="Q1112" s="35">
        <f>IFERROR(__xludf.DUMMYFUNCTION("""COMPUTED_VALUE"""),25506.0)</f>
        <v>25506</v>
      </c>
    </row>
    <row r="1113">
      <c r="A1113" s="35">
        <f>IFERROR(__xludf.DUMMYFUNCTION("""COMPUTED_VALUE"""),1214.0)</f>
        <v>1214</v>
      </c>
      <c r="B1113" s="35" t="str">
        <f>IFERROR(__xludf.DUMMYFUNCTION("""COMPUTED_VALUE"""),"Highest Grade For Each Student")</f>
        <v>Highest Grade For Each Student</v>
      </c>
      <c r="C1113" s="35" t="str">
        <f>IFERROR(__xludf.DUMMYFUNCTION("""COMPUTED_VALUE"""),"highest-grade-for-each-student")</f>
        <v>highest-grade-for-each-student</v>
      </c>
      <c r="D1113" s="35" t="b">
        <f>IFERROR(__xludf.DUMMYFUNCTION("""COMPUTED_VALUE"""),TRUE)</f>
        <v>1</v>
      </c>
      <c r="E1113" s="35" t="str">
        <f>IFERROR(__xludf.DUMMYFUNCTION("""COMPUTED_VALUE"""),"Medium")</f>
        <v>Medium</v>
      </c>
      <c r="F1113" s="35">
        <f>IFERROR(__xludf.DUMMYFUNCTION("""COMPUTED_VALUE"""),178.0)</f>
        <v>178</v>
      </c>
      <c r="G1113" s="35">
        <f>IFERROR(__xludf.DUMMYFUNCTION("""COMPUTED_VALUE"""),7.0)</f>
        <v>7</v>
      </c>
      <c r="H1113" s="35" t="str">
        <f>IFERROR(__xludf.DUMMYFUNCTION("""COMPUTED_VALUE"""),"Database")</f>
        <v>Database</v>
      </c>
      <c r="I1113" s="35">
        <f>IFERROR(__xludf.DUMMYFUNCTION("""COMPUTED_VALUE"""),0.733)</f>
        <v>0.733</v>
      </c>
      <c r="J1113" s="35">
        <f>IFERROR(__xludf.DUMMYFUNCTION("""COMPUTED_VALUE"""),1112.0)</f>
        <v>1112</v>
      </c>
      <c r="K1113" s="35" t="b">
        <f>IFERROR(__xludf.DUMMYFUNCTION("""COMPUTED_VALUE"""),TRUE)</f>
        <v>1</v>
      </c>
      <c r="L1113" s="35" t="str">
        <f>IFERROR(__xludf.DUMMYFUNCTION("""COMPUTED_VALUE"""),"Database;")</f>
        <v>Database;</v>
      </c>
      <c r="M1113" s="35" t="b">
        <f>IFERROR(__xludf.DUMMYFUNCTION("""COMPUTED_VALUE"""),FALSE)</f>
        <v>0</v>
      </c>
      <c r="N1113" s="35" t="b">
        <f>IFERROR(__xludf.DUMMYFUNCTION("""COMPUTED_VALUE"""),FALSE)</f>
        <v>0</v>
      </c>
      <c r="O1113" s="35">
        <f>IFERROR(__xludf.DUMMYFUNCTION("""COMPUTED_VALUE"""),73.2678970530633)</f>
        <v>73.26789705</v>
      </c>
      <c r="P1113" s="35">
        <f>IFERROR(__xludf.DUMMYFUNCTION("""COMPUTED_VALUE"""),31797.0)</f>
        <v>31797</v>
      </c>
      <c r="Q1113" s="35">
        <f>IFERROR(__xludf.DUMMYFUNCTION("""COMPUTED_VALUE"""),43399.0)</f>
        <v>43399</v>
      </c>
    </row>
    <row r="1114">
      <c r="A1114" s="35">
        <f>IFERROR(__xludf.DUMMYFUNCTION("""COMPUTED_VALUE"""),1215.0)</f>
        <v>1215</v>
      </c>
      <c r="B1114" s="35" t="str">
        <f>IFERROR(__xludf.DUMMYFUNCTION("""COMPUTED_VALUE"""),"Reported Posts")</f>
        <v>Reported Posts</v>
      </c>
      <c r="C1114" s="35" t="str">
        <f>IFERROR(__xludf.DUMMYFUNCTION("""COMPUTED_VALUE"""),"reported-posts")</f>
        <v>reported-posts</v>
      </c>
      <c r="D1114" s="35" t="b">
        <f>IFERROR(__xludf.DUMMYFUNCTION("""COMPUTED_VALUE"""),TRUE)</f>
        <v>1</v>
      </c>
      <c r="E1114" s="35" t="str">
        <f>IFERROR(__xludf.DUMMYFUNCTION("""COMPUTED_VALUE"""),"Easy")</f>
        <v>Easy</v>
      </c>
      <c r="F1114" s="35">
        <f>IFERROR(__xludf.DUMMYFUNCTION("""COMPUTED_VALUE"""),70.0)</f>
        <v>70</v>
      </c>
      <c r="G1114" s="35">
        <f>IFERROR(__xludf.DUMMYFUNCTION("""COMPUTED_VALUE"""),281.0)</f>
        <v>281</v>
      </c>
      <c r="H1114" s="35" t="str">
        <f>IFERROR(__xludf.DUMMYFUNCTION("""COMPUTED_VALUE"""),"Database")</f>
        <v>Database</v>
      </c>
      <c r="I1114" s="35">
        <f>IFERROR(__xludf.DUMMYFUNCTION("""COMPUTED_VALUE"""),0.663)</f>
        <v>0.663</v>
      </c>
      <c r="J1114" s="35">
        <f>IFERROR(__xludf.DUMMYFUNCTION("""COMPUTED_VALUE"""),1113.0)</f>
        <v>1113</v>
      </c>
      <c r="K1114" s="35" t="b">
        <f>IFERROR(__xludf.DUMMYFUNCTION("""COMPUTED_VALUE"""),TRUE)</f>
        <v>1</v>
      </c>
      <c r="L1114" s="35" t="str">
        <f>IFERROR(__xludf.DUMMYFUNCTION("""COMPUTED_VALUE"""),"Database;")</f>
        <v>Database;</v>
      </c>
      <c r="M1114" s="35" t="b">
        <f>IFERROR(__xludf.DUMMYFUNCTION("""COMPUTED_VALUE"""),FALSE)</f>
        <v>0</v>
      </c>
      <c r="N1114" s="35" t="b">
        <f>IFERROR(__xludf.DUMMYFUNCTION("""COMPUTED_VALUE"""),FALSE)</f>
        <v>0</v>
      </c>
      <c r="O1114" s="35">
        <f>IFERROR(__xludf.DUMMYFUNCTION("""COMPUTED_VALUE"""),66.2945094355733)</f>
        <v>66.29450944</v>
      </c>
      <c r="P1114" s="35">
        <f>IFERROR(__xludf.DUMMYFUNCTION("""COMPUTED_VALUE"""),31054.0)</f>
        <v>31054</v>
      </c>
      <c r="Q1114" s="35">
        <f>IFERROR(__xludf.DUMMYFUNCTION("""COMPUTED_VALUE"""),46843.0)</f>
        <v>46843</v>
      </c>
    </row>
    <row r="1115">
      <c r="A1115" s="35">
        <f>IFERROR(__xludf.DUMMYFUNCTION("""COMPUTED_VALUE"""),1203.0)</f>
        <v>1203</v>
      </c>
      <c r="B1115" s="35" t="str">
        <f>IFERROR(__xludf.DUMMYFUNCTION("""COMPUTED_VALUE"""),"Print in Order")</f>
        <v>Print in Order</v>
      </c>
      <c r="C1115" s="35" t="str">
        <f>IFERROR(__xludf.DUMMYFUNCTION("""COMPUTED_VALUE"""),"print-in-order")</f>
        <v>print-in-order</v>
      </c>
      <c r="D1115" s="35" t="b">
        <f>IFERROR(__xludf.DUMMYFUNCTION("""COMPUTED_VALUE"""),FALSE)</f>
        <v>0</v>
      </c>
      <c r="E1115" s="35" t="str">
        <f>IFERROR(__xludf.DUMMYFUNCTION("""COMPUTED_VALUE"""),"Easy")</f>
        <v>Easy</v>
      </c>
      <c r="F1115" s="35">
        <f>IFERROR(__xludf.DUMMYFUNCTION("""COMPUTED_VALUE"""),943.0)</f>
        <v>943</v>
      </c>
      <c r="G1115" s="35">
        <f>IFERROR(__xludf.DUMMYFUNCTION("""COMPUTED_VALUE"""),165.0)</f>
        <v>165</v>
      </c>
      <c r="H1115" s="35" t="str">
        <f>IFERROR(__xludf.DUMMYFUNCTION("""COMPUTED_VALUE"""),"Concurrency")</f>
        <v>Concurrency</v>
      </c>
      <c r="I1115" s="35">
        <f>IFERROR(__xludf.DUMMYFUNCTION("""COMPUTED_VALUE"""),0.682)</f>
        <v>0.682</v>
      </c>
      <c r="J1115" s="35">
        <f>IFERROR(__xludf.DUMMYFUNCTION("""COMPUTED_VALUE"""),1114.0)</f>
        <v>1114</v>
      </c>
      <c r="K1115" s="35" t="b">
        <f>IFERROR(__xludf.DUMMYFUNCTION("""COMPUTED_VALUE"""),FALSE)</f>
        <v>0</v>
      </c>
      <c r="L1115" s="35" t="str">
        <f>IFERROR(__xludf.DUMMYFUNCTION("""COMPUTED_VALUE"""),"Concurrency;")</f>
        <v>Concurrency;</v>
      </c>
      <c r="M1115" s="35" t="b">
        <f>IFERROR(__xludf.DUMMYFUNCTION("""COMPUTED_VALUE"""),TRUE)</f>
        <v>1</v>
      </c>
      <c r="N1115" s="35" t="b">
        <f>IFERROR(__xludf.DUMMYFUNCTION("""COMPUTED_VALUE"""),FALSE)</f>
        <v>0</v>
      </c>
      <c r="O1115" s="35">
        <f>IFERROR(__xludf.DUMMYFUNCTION("""COMPUTED_VALUE"""),68.1733492073101)</f>
        <v>68.17334921</v>
      </c>
      <c r="P1115" s="35">
        <f>IFERROR(__xludf.DUMMYFUNCTION("""COMPUTED_VALUE"""),101354.0)</f>
        <v>101354</v>
      </c>
      <c r="Q1115" s="35">
        <f>IFERROR(__xludf.DUMMYFUNCTION("""COMPUTED_VALUE"""),148670.0)</f>
        <v>148670</v>
      </c>
    </row>
    <row r="1116">
      <c r="A1116" s="35">
        <f>IFERROR(__xludf.DUMMYFUNCTION("""COMPUTED_VALUE"""),1187.0)</f>
        <v>1187</v>
      </c>
      <c r="B1116" s="35" t="str">
        <f>IFERROR(__xludf.DUMMYFUNCTION("""COMPUTED_VALUE"""),"Print FooBar Alternately")</f>
        <v>Print FooBar Alternately</v>
      </c>
      <c r="C1116" s="35" t="str">
        <f>IFERROR(__xludf.DUMMYFUNCTION("""COMPUTED_VALUE"""),"print-foobar-alternately")</f>
        <v>print-foobar-alternately</v>
      </c>
      <c r="D1116" s="35" t="b">
        <f>IFERROR(__xludf.DUMMYFUNCTION("""COMPUTED_VALUE"""),FALSE)</f>
        <v>0</v>
      </c>
      <c r="E1116" s="35" t="str">
        <f>IFERROR(__xludf.DUMMYFUNCTION("""COMPUTED_VALUE"""),"Medium")</f>
        <v>Medium</v>
      </c>
      <c r="F1116" s="35">
        <f>IFERROR(__xludf.DUMMYFUNCTION("""COMPUTED_VALUE"""),458.0)</f>
        <v>458</v>
      </c>
      <c r="G1116" s="35">
        <f>IFERROR(__xludf.DUMMYFUNCTION("""COMPUTED_VALUE"""),37.0)</f>
        <v>37</v>
      </c>
      <c r="H1116" s="35" t="str">
        <f>IFERROR(__xludf.DUMMYFUNCTION("""COMPUTED_VALUE"""),"Concurrency")</f>
        <v>Concurrency</v>
      </c>
      <c r="I1116" s="35">
        <f>IFERROR(__xludf.DUMMYFUNCTION("""COMPUTED_VALUE"""),0.604)</f>
        <v>0.604</v>
      </c>
      <c r="J1116" s="35">
        <f>IFERROR(__xludf.DUMMYFUNCTION("""COMPUTED_VALUE"""),1115.0)</f>
        <v>1115</v>
      </c>
      <c r="K1116" s="35" t="b">
        <f>IFERROR(__xludf.DUMMYFUNCTION("""COMPUTED_VALUE"""),FALSE)</f>
        <v>0</v>
      </c>
      <c r="L1116" s="35" t="str">
        <f>IFERROR(__xludf.DUMMYFUNCTION("""COMPUTED_VALUE"""),"Concurrency;")</f>
        <v>Concurrency;</v>
      </c>
      <c r="M1116" s="35" t="b">
        <f>IFERROR(__xludf.DUMMYFUNCTION("""COMPUTED_VALUE"""),FALSE)</f>
        <v>0</v>
      </c>
      <c r="N1116" s="35" t="b">
        <f>IFERROR(__xludf.DUMMYFUNCTION("""COMPUTED_VALUE"""),FALSE)</f>
        <v>0</v>
      </c>
      <c r="O1116" s="35">
        <f>IFERROR(__xludf.DUMMYFUNCTION("""COMPUTED_VALUE"""),60.3523542251325)</f>
        <v>60.35235423</v>
      </c>
      <c r="P1116" s="35">
        <f>IFERROR(__xludf.DUMMYFUNCTION("""COMPUTED_VALUE"""),50323.0)</f>
        <v>50323</v>
      </c>
      <c r="Q1116" s="35">
        <f>IFERROR(__xludf.DUMMYFUNCTION("""COMPUTED_VALUE"""),83382.0)</f>
        <v>83382</v>
      </c>
    </row>
    <row r="1117">
      <c r="A1117" s="35">
        <f>IFERROR(__xludf.DUMMYFUNCTION("""COMPUTED_VALUE"""),1216.0)</f>
        <v>1216</v>
      </c>
      <c r="B1117" s="35" t="str">
        <f>IFERROR(__xludf.DUMMYFUNCTION("""COMPUTED_VALUE"""),"Print Zero Even Odd")</f>
        <v>Print Zero Even Odd</v>
      </c>
      <c r="C1117" s="35" t="str">
        <f>IFERROR(__xludf.DUMMYFUNCTION("""COMPUTED_VALUE"""),"print-zero-even-odd")</f>
        <v>print-zero-even-odd</v>
      </c>
      <c r="D1117" s="35" t="b">
        <f>IFERROR(__xludf.DUMMYFUNCTION("""COMPUTED_VALUE"""),FALSE)</f>
        <v>0</v>
      </c>
      <c r="E1117" s="35" t="str">
        <f>IFERROR(__xludf.DUMMYFUNCTION("""COMPUTED_VALUE"""),"Medium")</f>
        <v>Medium</v>
      </c>
      <c r="F1117" s="35">
        <f>IFERROR(__xludf.DUMMYFUNCTION("""COMPUTED_VALUE"""),319.0)</f>
        <v>319</v>
      </c>
      <c r="G1117" s="35">
        <f>IFERROR(__xludf.DUMMYFUNCTION("""COMPUTED_VALUE"""),221.0)</f>
        <v>221</v>
      </c>
      <c r="H1117" s="35" t="str">
        <f>IFERROR(__xludf.DUMMYFUNCTION("""COMPUTED_VALUE"""),"Concurrency")</f>
        <v>Concurrency</v>
      </c>
      <c r="I1117" s="35">
        <f>IFERROR(__xludf.DUMMYFUNCTION("""COMPUTED_VALUE"""),0.592)</f>
        <v>0.592</v>
      </c>
      <c r="J1117" s="35">
        <f>IFERROR(__xludf.DUMMYFUNCTION("""COMPUTED_VALUE"""),1116.0)</f>
        <v>1116</v>
      </c>
      <c r="K1117" s="35" t="b">
        <f>IFERROR(__xludf.DUMMYFUNCTION("""COMPUTED_VALUE"""),FALSE)</f>
        <v>0</v>
      </c>
      <c r="L1117" s="35" t="str">
        <f>IFERROR(__xludf.DUMMYFUNCTION("""COMPUTED_VALUE"""),"Concurrency;")</f>
        <v>Concurrency;</v>
      </c>
      <c r="M1117" s="35" t="b">
        <f>IFERROR(__xludf.DUMMYFUNCTION("""COMPUTED_VALUE"""),FALSE)</f>
        <v>0</v>
      </c>
      <c r="N1117" s="35" t="b">
        <f>IFERROR(__xludf.DUMMYFUNCTION("""COMPUTED_VALUE"""),FALSE)</f>
        <v>0</v>
      </c>
      <c r="O1117" s="35">
        <f>IFERROR(__xludf.DUMMYFUNCTION("""COMPUTED_VALUE"""),59.1867262385104)</f>
        <v>59.18672624</v>
      </c>
      <c r="P1117" s="35">
        <f>IFERROR(__xludf.DUMMYFUNCTION("""COMPUTED_VALUE"""),30070.0)</f>
        <v>30070</v>
      </c>
      <c r="Q1117" s="35">
        <f>IFERROR(__xludf.DUMMYFUNCTION("""COMPUTED_VALUE"""),50806.0)</f>
        <v>50806</v>
      </c>
    </row>
    <row r="1118">
      <c r="A1118" s="35">
        <f>IFERROR(__xludf.DUMMYFUNCTION("""COMPUTED_VALUE"""),1186.0)</f>
        <v>1186</v>
      </c>
      <c r="B1118" s="35" t="str">
        <f>IFERROR(__xludf.DUMMYFUNCTION("""COMPUTED_VALUE"""),"Building H2O")</f>
        <v>Building H2O</v>
      </c>
      <c r="C1118" s="35" t="str">
        <f>IFERROR(__xludf.DUMMYFUNCTION("""COMPUTED_VALUE"""),"building-h2o")</f>
        <v>building-h2o</v>
      </c>
      <c r="D1118" s="35" t="b">
        <f>IFERROR(__xludf.DUMMYFUNCTION("""COMPUTED_VALUE"""),FALSE)</f>
        <v>0</v>
      </c>
      <c r="E1118" s="35" t="str">
        <f>IFERROR(__xludf.DUMMYFUNCTION("""COMPUTED_VALUE"""),"Medium")</f>
        <v>Medium</v>
      </c>
      <c r="F1118" s="35">
        <f>IFERROR(__xludf.DUMMYFUNCTION("""COMPUTED_VALUE"""),323.0)</f>
        <v>323</v>
      </c>
      <c r="G1118" s="35">
        <f>IFERROR(__xludf.DUMMYFUNCTION("""COMPUTED_VALUE"""),89.0)</f>
        <v>89</v>
      </c>
      <c r="H1118" s="35" t="str">
        <f>IFERROR(__xludf.DUMMYFUNCTION("""COMPUTED_VALUE"""),"Concurrency")</f>
        <v>Concurrency</v>
      </c>
      <c r="I1118" s="35">
        <f>IFERROR(__xludf.DUMMYFUNCTION("""COMPUTED_VALUE"""),0.543)</f>
        <v>0.543</v>
      </c>
      <c r="J1118" s="35">
        <f>IFERROR(__xludf.DUMMYFUNCTION("""COMPUTED_VALUE"""),1117.0)</f>
        <v>1117</v>
      </c>
      <c r="K1118" s="35" t="b">
        <f>IFERROR(__xludf.DUMMYFUNCTION("""COMPUTED_VALUE"""),FALSE)</f>
        <v>0</v>
      </c>
      <c r="L1118" s="35" t="str">
        <f>IFERROR(__xludf.DUMMYFUNCTION("""COMPUTED_VALUE"""),"Concurrency;")</f>
        <v>Concurrency;</v>
      </c>
      <c r="M1118" s="35" t="b">
        <f>IFERROR(__xludf.DUMMYFUNCTION("""COMPUTED_VALUE"""),FALSE)</f>
        <v>0</v>
      </c>
      <c r="N1118" s="35" t="b">
        <f>IFERROR(__xludf.DUMMYFUNCTION("""COMPUTED_VALUE"""),FALSE)</f>
        <v>0</v>
      </c>
      <c r="O1118" s="35">
        <f>IFERROR(__xludf.DUMMYFUNCTION("""COMPUTED_VALUE"""),54.2986685032139)</f>
        <v>54.2986685</v>
      </c>
      <c r="P1118" s="35">
        <f>IFERROR(__xludf.DUMMYFUNCTION("""COMPUTED_VALUE"""),28383.0)</f>
        <v>28383</v>
      </c>
      <c r="Q1118" s="35">
        <f>IFERROR(__xludf.DUMMYFUNCTION("""COMPUTED_VALUE"""),52272.0)</f>
        <v>52272</v>
      </c>
    </row>
    <row r="1119">
      <c r="A1119" s="35">
        <f>IFERROR(__xludf.DUMMYFUNCTION("""COMPUTED_VALUE"""),1088.0)</f>
        <v>1088</v>
      </c>
      <c r="B1119" s="35" t="str">
        <f>IFERROR(__xludf.DUMMYFUNCTION("""COMPUTED_VALUE"""),"Number of Days in a Month")</f>
        <v>Number of Days in a Month</v>
      </c>
      <c r="C1119" s="35" t="str">
        <f>IFERROR(__xludf.DUMMYFUNCTION("""COMPUTED_VALUE"""),"number-of-days-in-a-month")</f>
        <v>number-of-days-in-a-month</v>
      </c>
      <c r="D1119" s="35" t="b">
        <f>IFERROR(__xludf.DUMMYFUNCTION("""COMPUTED_VALUE"""),TRUE)</f>
        <v>1</v>
      </c>
      <c r="E1119" s="35" t="str">
        <f>IFERROR(__xludf.DUMMYFUNCTION("""COMPUTED_VALUE"""),"Easy")</f>
        <v>Easy</v>
      </c>
      <c r="F1119" s="35">
        <f>IFERROR(__xludf.DUMMYFUNCTION("""COMPUTED_VALUE"""),28.0)</f>
        <v>28</v>
      </c>
      <c r="G1119" s="35">
        <f>IFERROR(__xludf.DUMMYFUNCTION("""COMPUTED_VALUE"""),131.0)</f>
        <v>131</v>
      </c>
      <c r="H1119" s="35" t="str">
        <f>IFERROR(__xludf.DUMMYFUNCTION("""COMPUTED_VALUE"""),"Algorithms")</f>
        <v>Algorithms</v>
      </c>
      <c r="I1119" s="35">
        <f>IFERROR(__xludf.DUMMYFUNCTION("""COMPUTED_VALUE"""),0.57)</f>
        <v>0.57</v>
      </c>
      <c r="J1119" s="35">
        <f>IFERROR(__xludf.DUMMYFUNCTION("""COMPUTED_VALUE"""),1118.0)</f>
        <v>1118</v>
      </c>
      <c r="K1119" s="35" t="b">
        <f>IFERROR(__xludf.DUMMYFUNCTION("""COMPUTED_VALUE"""),TRUE)</f>
        <v>1</v>
      </c>
      <c r="L1119" s="35" t="str">
        <f>IFERROR(__xludf.DUMMYFUNCTION("""COMPUTED_VALUE"""),"Math;")</f>
        <v>Math;</v>
      </c>
      <c r="M1119" s="35" t="b">
        <f>IFERROR(__xludf.DUMMYFUNCTION("""COMPUTED_VALUE"""),FALSE)</f>
        <v>0</v>
      </c>
      <c r="N1119" s="35" t="b">
        <f>IFERROR(__xludf.DUMMYFUNCTION("""COMPUTED_VALUE"""),FALSE)</f>
        <v>0</v>
      </c>
      <c r="O1119" s="35">
        <f>IFERROR(__xludf.DUMMYFUNCTION("""COMPUTED_VALUE"""),57.0333425695021)</f>
        <v>57.03334257</v>
      </c>
      <c r="P1119" s="35">
        <f>IFERROR(__xludf.DUMMYFUNCTION("""COMPUTED_VALUE"""),6175.0)</f>
        <v>6175</v>
      </c>
      <c r="Q1119" s="35">
        <f>IFERROR(__xludf.DUMMYFUNCTION("""COMPUTED_VALUE"""),10827.0)</f>
        <v>10827</v>
      </c>
    </row>
    <row r="1120">
      <c r="A1120" s="35">
        <f>IFERROR(__xludf.DUMMYFUNCTION("""COMPUTED_VALUE"""),1089.0)</f>
        <v>1089</v>
      </c>
      <c r="B1120" s="35" t="str">
        <f>IFERROR(__xludf.DUMMYFUNCTION("""COMPUTED_VALUE"""),"Remove Vowels from a String")</f>
        <v>Remove Vowels from a String</v>
      </c>
      <c r="C1120" s="35" t="str">
        <f>IFERROR(__xludf.DUMMYFUNCTION("""COMPUTED_VALUE"""),"remove-vowels-from-a-string")</f>
        <v>remove-vowels-from-a-string</v>
      </c>
      <c r="D1120" s="35" t="b">
        <f>IFERROR(__xludf.DUMMYFUNCTION("""COMPUTED_VALUE"""),TRUE)</f>
        <v>1</v>
      </c>
      <c r="E1120" s="35" t="str">
        <f>IFERROR(__xludf.DUMMYFUNCTION("""COMPUTED_VALUE"""),"Easy")</f>
        <v>Easy</v>
      </c>
      <c r="F1120" s="35">
        <f>IFERROR(__xludf.DUMMYFUNCTION("""COMPUTED_VALUE"""),252.0)</f>
        <v>252</v>
      </c>
      <c r="G1120" s="35">
        <f>IFERROR(__xludf.DUMMYFUNCTION("""COMPUTED_VALUE"""),102.0)</f>
        <v>102</v>
      </c>
      <c r="H1120" s="35" t="str">
        <f>IFERROR(__xludf.DUMMYFUNCTION("""COMPUTED_VALUE"""),"Algorithms")</f>
        <v>Algorithms</v>
      </c>
      <c r="I1120" s="35">
        <f>IFERROR(__xludf.DUMMYFUNCTION("""COMPUTED_VALUE"""),0.907)</f>
        <v>0.907</v>
      </c>
      <c r="J1120" s="35">
        <f>IFERROR(__xludf.DUMMYFUNCTION("""COMPUTED_VALUE"""),1119.0)</f>
        <v>1119</v>
      </c>
      <c r="K1120" s="35" t="b">
        <f>IFERROR(__xludf.DUMMYFUNCTION("""COMPUTED_VALUE"""),TRUE)</f>
        <v>1</v>
      </c>
      <c r="L1120" s="35" t="str">
        <f>IFERROR(__xludf.DUMMYFUNCTION("""COMPUTED_VALUE"""),"String;")</f>
        <v>String;</v>
      </c>
      <c r="M1120" s="35" t="b">
        <f>IFERROR(__xludf.DUMMYFUNCTION("""COMPUTED_VALUE"""),FALSE)</f>
        <v>0</v>
      </c>
      <c r="N1120" s="35" t="b">
        <f>IFERROR(__xludf.DUMMYFUNCTION("""COMPUTED_VALUE"""),FALSE)</f>
        <v>0</v>
      </c>
      <c r="O1120" s="35">
        <f>IFERROR(__xludf.DUMMYFUNCTION("""COMPUTED_VALUE"""),90.677927877134)</f>
        <v>90.67792788</v>
      </c>
      <c r="P1120" s="35">
        <f>IFERROR(__xludf.DUMMYFUNCTION("""COMPUTED_VALUE"""),80414.0)</f>
        <v>80414</v>
      </c>
      <c r="Q1120" s="35">
        <f>IFERROR(__xludf.DUMMYFUNCTION("""COMPUTED_VALUE"""),88681.0)</f>
        <v>88681</v>
      </c>
    </row>
    <row r="1121">
      <c r="A1121" s="35">
        <f>IFERROR(__xludf.DUMMYFUNCTION("""COMPUTED_VALUE"""),1091.0)</f>
        <v>1091</v>
      </c>
      <c r="B1121" s="35" t="str">
        <f>IFERROR(__xludf.DUMMYFUNCTION("""COMPUTED_VALUE"""),"Maximum Average Subtree")</f>
        <v>Maximum Average Subtree</v>
      </c>
      <c r="C1121" s="35" t="str">
        <f>IFERROR(__xludf.DUMMYFUNCTION("""COMPUTED_VALUE"""),"maximum-average-subtree")</f>
        <v>maximum-average-subtree</v>
      </c>
      <c r="D1121" s="35" t="b">
        <f>IFERROR(__xludf.DUMMYFUNCTION("""COMPUTED_VALUE"""),TRUE)</f>
        <v>1</v>
      </c>
      <c r="E1121" s="35" t="str">
        <f>IFERROR(__xludf.DUMMYFUNCTION("""COMPUTED_VALUE"""),"Medium")</f>
        <v>Medium</v>
      </c>
      <c r="F1121" s="35">
        <f>IFERROR(__xludf.DUMMYFUNCTION("""COMPUTED_VALUE"""),678.0)</f>
        <v>678</v>
      </c>
      <c r="G1121" s="35">
        <f>IFERROR(__xludf.DUMMYFUNCTION("""COMPUTED_VALUE"""),27.0)</f>
        <v>27</v>
      </c>
      <c r="H1121" s="35" t="str">
        <f>IFERROR(__xludf.DUMMYFUNCTION("""COMPUTED_VALUE"""),"Algorithms")</f>
        <v>Algorithms</v>
      </c>
      <c r="I1121" s="35">
        <f>IFERROR(__xludf.DUMMYFUNCTION("""COMPUTED_VALUE"""),0.651)</f>
        <v>0.651</v>
      </c>
      <c r="J1121" s="35">
        <f>IFERROR(__xludf.DUMMYFUNCTION("""COMPUTED_VALUE"""),1120.0)</f>
        <v>1120</v>
      </c>
      <c r="K1121" s="35" t="b">
        <f>IFERROR(__xludf.DUMMYFUNCTION("""COMPUTED_VALUE"""),TRUE)</f>
        <v>1</v>
      </c>
      <c r="L1121" s="35" t="str">
        <f>IFERROR(__xludf.DUMMYFUNCTION("""COMPUTED_VALUE"""),"Tree;Depth-First Search;Binary Tree;")</f>
        <v>Tree;Depth-First Search;Binary Tree;</v>
      </c>
      <c r="M1121" s="35" t="b">
        <f>IFERROR(__xludf.DUMMYFUNCTION("""COMPUTED_VALUE"""),TRUE)</f>
        <v>1</v>
      </c>
      <c r="N1121" s="35" t="b">
        <f>IFERROR(__xludf.DUMMYFUNCTION("""COMPUTED_VALUE"""),FALSE)</f>
        <v>0</v>
      </c>
      <c r="O1121" s="35">
        <f>IFERROR(__xludf.DUMMYFUNCTION("""COMPUTED_VALUE"""),65.0716940400112)</f>
        <v>65.07169404</v>
      </c>
      <c r="P1121" s="35">
        <f>IFERROR(__xludf.DUMMYFUNCTION("""COMPUTED_VALUE"""),53051.0)</f>
        <v>53051</v>
      </c>
      <c r="Q1121" s="35">
        <f>IFERROR(__xludf.DUMMYFUNCTION("""COMPUTED_VALUE"""),81527.0)</f>
        <v>81527</v>
      </c>
    </row>
    <row r="1122">
      <c r="A1122" s="35">
        <f>IFERROR(__xludf.DUMMYFUNCTION("""COMPUTED_VALUE"""),1118.0)</f>
        <v>1118</v>
      </c>
      <c r="B1122" s="35" t="str">
        <f>IFERROR(__xludf.DUMMYFUNCTION("""COMPUTED_VALUE"""),"Divide Array Into Increasing Sequences")</f>
        <v>Divide Array Into Increasing Sequences</v>
      </c>
      <c r="C1122" s="35" t="str">
        <f>IFERROR(__xludf.DUMMYFUNCTION("""COMPUTED_VALUE"""),"divide-array-into-increasing-sequences")</f>
        <v>divide-array-into-increasing-sequences</v>
      </c>
      <c r="D1122" s="35" t="b">
        <f>IFERROR(__xludf.DUMMYFUNCTION("""COMPUTED_VALUE"""),TRUE)</f>
        <v>1</v>
      </c>
      <c r="E1122" s="35" t="str">
        <f>IFERROR(__xludf.DUMMYFUNCTION("""COMPUTED_VALUE"""),"Hard")</f>
        <v>Hard</v>
      </c>
      <c r="F1122" s="35">
        <f>IFERROR(__xludf.DUMMYFUNCTION("""COMPUTED_VALUE"""),87.0)</f>
        <v>87</v>
      </c>
      <c r="G1122" s="35">
        <f>IFERROR(__xludf.DUMMYFUNCTION("""COMPUTED_VALUE"""),25.0)</f>
        <v>25</v>
      </c>
      <c r="H1122" s="35" t="str">
        <f>IFERROR(__xludf.DUMMYFUNCTION("""COMPUTED_VALUE"""),"Algorithms")</f>
        <v>Algorithms</v>
      </c>
      <c r="I1122" s="35">
        <f>IFERROR(__xludf.DUMMYFUNCTION("""COMPUTED_VALUE"""),0.596)</f>
        <v>0.596</v>
      </c>
      <c r="J1122" s="35">
        <f>IFERROR(__xludf.DUMMYFUNCTION("""COMPUTED_VALUE"""),1121.0)</f>
        <v>1121</v>
      </c>
      <c r="K1122" s="35" t="b">
        <f>IFERROR(__xludf.DUMMYFUNCTION("""COMPUTED_VALUE"""),TRUE)</f>
        <v>1</v>
      </c>
      <c r="L1122" s="35" t="str">
        <f>IFERROR(__xludf.DUMMYFUNCTION("""COMPUTED_VALUE"""),"Array;Greedy;")</f>
        <v>Array;Greedy;</v>
      </c>
      <c r="M1122" s="35" t="b">
        <f>IFERROR(__xludf.DUMMYFUNCTION("""COMPUTED_VALUE"""),FALSE)</f>
        <v>0</v>
      </c>
      <c r="N1122" s="35" t="b">
        <f>IFERROR(__xludf.DUMMYFUNCTION("""COMPUTED_VALUE"""),FALSE)</f>
        <v>0</v>
      </c>
      <c r="O1122" s="35">
        <f>IFERROR(__xludf.DUMMYFUNCTION("""COMPUTED_VALUE"""),59.6493974017843)</f>
        <v>59.6493974</v>
      </c>
      <c r="P1122" s="35">
        <f>IFERROR(__xludf.DUMMYFUNCTION("""COMPUTED_VALUE"""),3811.0)</f>
        <v>3811</v>
      </c>
      <c r="Q1122" s="35">
        <f>IFERROR(__xludf.DUMMYFUNCTION("""COMPUTED_VALUE"""),6389.0)</f>
        <v>6389</v>
      </c>
    </row>
    <row r="1123">
      <c r="A1123" s="35">
        <f>IFERROR(__xludf.DUMMYFUNCTION("""COMPUTED_VALUE"""),1217.0)</f>
        <v>1217</v>
      </c>
      <c r="B1123" s="35" t="str">
        <f>IFERROR(__xludf.DUMMYFUNCTION("""COMPUTED_VALUE"""),"Relative Sort Array")</f>
        <v>Relative Sort Array</v>
      </c>
      <c r="C1123" s="35" t="str">
        <f>IFERROR(__xludf.DUMMYFUNCTION("""COMPUTED_VALUE"""),"relative-sort-array")</f>
        <v>relative-sort-array</v>
      </c>
      <c r="D1123" s="35" t="b">
        <f>IFERROR(__xludf.DUMMYFUNCTION("""COMPUTED_VALUE"""),FALSE)</f>
        <v>0</v>
      </c>
      <c r="E1123" s="35" t="str">
        <f>IFERROR(__xludf.DUMMYFUNCTION("""COMPUTED_VALUE"""),"Easy")</f>
        <v>Easy</v>
      </c>
      <c r="F1123" s="35">
        <f>IFERROR(__xludf.DUMMYFUNCTION("""COMPUTED_VALUE"""),1583.0)</f>
        <v>1583</v>
      </c>
      <c r="G1123" s="35">
        <f>IFERROR(__xludf.DUMMYFUNCTION("""COMPUTED_VALUE"""),96.0)</f>
        <v>96</v>
      </c>
      <c r="H1123" s="35" t="str">
        <f>IFERROR(__xludf.DUMMYFUNCTION("""COMPUTED_VALUE"""),"Algorithms")</f>
        <v>Algorithms</v>
      </c>
      <c r="I1123" s="35">
        <f>IFERROR(__xludf.DUMMYFUNCTION("""COMPUTED_VALUE"""),0.681)</f>
        <v>0.681</v>
      </c>
      <c r="J1123" s="35">
        <f>IFERROR(__xludf.DUMMYFUNCTION("""COMPUTED_VALUE"""),1122.0)</f>
        <v>1122</v>
      </c>
      <c r="K1123" s="35" t="b">
        <f>IFERROR(__xludf.DUMMYFUNCTION("""COMPUTED_VALUE"""),FALSE)</f>
        <v>0</v>
      </c>
      <c r="L1123" s="35" t="str">
        <f>IFERROR(__xludf.DUMMYFUNCTION("""COMPUTED_VALUE"""),"Array;Hash Table;Sorting;Counting Sort;")</f>
        <v>Array;Hash Table;Sorting;Counting Sort;</v>
      </c>
      <c r="M1123" s="35" t="b">
        <f>IFERROR(__xludf.DUMMYFUNCTION("""COMPUTED_VALUE"""),FALSE)</f>
        <v>0</v>
      </c>
      <c r="N1123" s="35" t="b">
        <f>IFERROR(__xludf.DUMMYFUNCTION("""COMPUTED_VALUE"""),FALSE)</f>
        <v>0</v>
      </c>
      <c r="O1123" s="35">
        <f>IFERROR(__xludf.DUMMYFUNCTION("""COMPUTED_VALUE"""),68.0867803210396)</f>
        <v>68.08678032</v>
      </c>
      <c r="P1123" s="35">
        <f>IFERROR(__xludf.DUMMYFUNCTION("""COMPUTED_VALUE"""),120288.0)</f>
        <v>120288</v>
      </c>
      <c r="Q1123" s="35">
        <f>IFERROR(__xludf.DUMMYFUNCTION("""COMPUTED_VALUE"""),176670.0)</f>
        <v>176670</v>
      </c>
    </row>
    <row r="1124">
      <c r="A1124" s="35">
        <f>IFERROR(__xludf.DUMMYFUNCTION("""COMPUTED_VALUE"""),1218.0)</f>
        <v>1218</v>
      </c>
      <c r="B1124" s="35" t="str">
        <f>IFERROR(__xludf.DUMMYFUNCTION("""COMPUTED_VALUE"""),"Lowest Common Ancestor of Deepest Leaves")</f>
        <v>Lowest Common Ancestor of Deepest Leaves</v>
      </c>
      <c r="C1124" s="35" t="str">
        <f>IFERROR(__xludf.DUMMYFUNCTION("""COMPUTED_VALUE"""),"lowest-common-ancestor-of-deepest-leaves")</f>
        <v>lowest-common-ancestor-of-deepest-leaves</v>
      </c>
      <c r="D1124" s="35" t="b">
        <f>IFERROR(__xludf.DUMMYFUNCTION("""COMPUTED_VALUE"""),FALSE)</f>
        <v>0</v>
      </c>
      <c r="E1124" s="35" t="str">
        <f>IFERROR(__xludf.DUMMYFUNCTION("""COMPUTED_VALUE"""),"Medium")</f>
        <v>Medium</v>
      </c>
      <c r="F1124" s="35">
        <f>IFERROR(__xludf.DUMMYFUNCTION("""COMPUTED_VALUE"""),1122.0)</f>
        <v>1122</v>
      </c>
      <c r="G1124" s="35">
        <f>IFERROR(__xludf.DUMMYFUNCTION("""COMPUTED_VALUE"""),732.0)</f>
        <v>732</v>
      </c>
      <c r="H1124" s="35" t="str">
        <f>IFERROR(__xludf.DUMMYFUNCTION("""COMPUTED_VALUE"""),"Algorithms")</f>
        <v>Algorithms</v>
      </c>
      <c r="I1124" s="35">
        <f>IFERROR(__xludf.DUMMYFUNCTION("""COMPUTED_VALUE"""),0.699)</f>
        <v>0.699</v>
      </c>
      <c r="J1124" s="35">
        <f>IFERROR(__xludf.DUMMYFUNCTION("""COMPUTED_VALUE"""),1123.0)</f>
        <v>1123</v>
      </c>
      <c r="K1124" s="35" t="b">
        <f>IFERROR(__xludf.DUMMYFUNCTION("""COMPUTED_VALUE"""),FALSE)</f>
        <v>0</v>
      </c>
      <c r="L1124" s="35" t="str">
        <f>IFERROR(__xludf.DUMMYFUNCTION("""COMPUTED_VALUE"""),"Hash Table;Tree;Depth-First Search;Breadth-First Search;Binary Tree;")</f>
        <v>Hash Table;Tree;Depth-First Search;Breadth-First Search;Binary Tree;</v>
      </c>
      <c r="M1124" s="35" t="b">
        <f>IFERROR(__xludf.DUMMYFUNCTION("""COMPUTED_VALUE"""),FALSE)</f>
        <v>0</v>
      </c>
      <c r="N1124" s="35" t="b">
        <f>IFERROR(__xludf.DUMMYFUNCTION("""COMPUTED_VALUE"""),FALSE)</f>
        <v>0</v>
      </c>
      <c r="O1124" s="35">
        <f>IFERROR(__xludf.DUMMYFUNCTION("""COMPUTED_VALUE"""),69.9240422399251)</f>
        <v>69.92404224</v>
      </c>
      <c r="P1124" s="35">
        <f>IFERROR(__xludf.DUMMYFUNCTION("""COMPUTED_VALUE"""),71705.0)</f>
        <v>71705</v>
      </c>
      <c r="Q1124" s="35">
        <f>IFERROR(__xludf.DUMMYFUNCTION("""COMPUTED_VALUE"""),102550.0)</f>
        <v>102550</v>
      </c>
    </row>
    <row r="1125">
      <c r="A1125" s="35">
        <f>IFERROR(__xludf.DUMMYFUNCTION("""COMPUTED_VALUE"""),1219.0)</f>
        <v>1219</v>
      </c>
      <c r="B1125" s="35" t="str">
        <f>IFERROR(__xludf.DUMMYFUNCTION("""COMPUTED_VALUE"""),"Longest Well-Performing Interval")</f>
        <v>Longest Well-Performing Interval</v>
      </c>
      <c r="C1125" s="35" t="str">
        <f>IFERROR(__xludf.DUMMYFUNCTION("""COMPUTED_VALUE"""),"longest-well-performing-interval")</f>
        <v>longest-well-performing-interval</v>
      </c>
      <c r="D1125" s="35" t="b">
        <f>IFERROR(__xludf.DUMMYFUNCTION("""COMPUTED_VALUE"""),FALSE)</f>
        <v>0</v>
      </c>
      <c r="E1125" s="35" t="str">
        <f>IFERROR(__xludf.DUMMYFUNCTION("""COMPUTED_VALUE"""),"Medium")</f>
        <v>Medium</v>
      </c>
      <c r="F1125" s="35">
        <f>IFERROR(__xludf.DUMMYFUNCTION("""COMPUTED_VALUE"""),904.0)</f>
        <v>904</v>
      </c>
      <c r="G1125" s="35">
        <f>IFERROR(__xludf.DUMMYFUNCTION("""COMPUTED_VALUE"""),94.0)</f>
        <v>94</v>
      </c>
      <c r="H1125" s="35" t="str">
        <f>IFERROR(__xludf.DUMMYFUNCTION("""COMPUTED_VALUE"""),"Algorithms")</f>
        <v>Algorithms</v>
      </c>
      <c r="I1125" s="35">
        <f>IFERROR(__xludf.DUMMYFUNCTION("""COMPUTED_VALUE"""),0.341)</f>
        <v>0.341</v>
      </c>
      <c r="J1125" s="35">
        <f>IFERROR(__xludf.DUMMYFUNCTION("""COMPUTED_VALUE"""),1124.0)</f>
        <v>1124</v>
      </c>
      <c r="K1125" s="35" t="b">
        <f>IFERROR(__xludf.DUMMYFUNCTION("""COMPUTED_VALUE"""),FALSE)</f>
        <v>0</v>
      </c>
      <c r="L1125" s="35" t="str">
        <f>IFERROR(__xludf.DUMMYFUNCTION("""COMPUTED_VALUE"""),"Array;Hash Table;Stack;Monotonic Stack;Prefix Sum;")</f>
        <v>Array;Hash Table;Stack;Monotonic Stack;Prefix Sum;</v>
      </c>
      <c r="M1125" s="35" t="b">
        <f>IFERROR(__xludf.DUMMYFUNCTION("""COMPUTED_VALUE"""),FALSE)</f>
        <v>0</v>
      </c>
      <c r="N1125" s="35" t="b">
        <f>IFERROR(__xludf.DUMMYFUNCTION("""COMPUTED_VALUE"""),FALSE)</f>
        <v>0</v>
      </c>
      <c r="O1125" s="35">
        <f>IFERROR(__xludf.DUMMYFUNCTION("""COMPUTED_VALUE"""),34.1485639899113)</f>
        <v>34.14856399</v>
      </c>
      <c r="P1125" s="35">
        <f>IFERROR(__xludf.DUMMYFUNCTION("""COMPUTED_VALUE"""),20986.0)</f>
        <v>20986</v>
      </c>
      <c r="Q1125" s="35">
        <f>IFERROR(__xludf.DUMMYFUNCTION("""COMPUTED_VALUE"""),61454.0)</f>
        <v>61454</v>
      </c>
    </row>
    <row r="1126">
      <c r="A1126" s="35">
        <f>IFERROR(__xludf.DUMMYFUNCTION("""COMPUTED_VALUE"""),1220.0)</f>
        <v>1220</v>
      </c>
      <c r="B1126" s="35" t="str">
        <f>IFERROR(__xludf.DUMMYFUNCTION("""COMPUTED_VALUE"""),"Smallest Sufficient Team")</f>
        <v>Smallest Sufficient Team</v>
      </c>
      <c r="C1126" s="35" t="str">
        <f>IFERROR(__xludf.DUMMYFUNCTION("""COMPUTED_VALUE"""),"smallest-sufficient-team")</f>
        <v>smallest-sufficient-team</v>
      </c>
      <c r="D1126" s="35" t="b">
        <f>IFERROR(__xludf.DUMMYFUNCTION("""COMPUTED_VALUE"""),FALSE)</f>
        <v>0</v>
      </c>
      <c r="E1126" s="35" t="str">
        <f>IFERROR(__xludf.DUMMYFUNCTION("""COMPUTED_VALUE"""),"Hard")</f>
        <v>Hard</v>
      </c>
      <c r="F1126" s="35">
        <f>IFERROR(__xludf.DUMMYFUNCTION("""COMPUTED_VALUE"""),676.0)</f>
        <v>676</v>
      </c>
      <c r="G1126" s="35">
        <f>IFERROR(__xludf.DUMMYFUNCTION("""COMPUTED_VALUE"""),13.0)</f>
        <v>13</v>
      </c>
      <c r="H1126" s="35" t="str">
        <f>IFERROR(__xludf.DUMMYFUNCTION("""COMPUTED_VALUE"""),"Algorithms")</f>
        <v>Algorithms</v>
      </c>
      <c r="I1126" s="35">
        <f>IFERROR(__xludf.DUMMYFUNCTION("""COMPUTED_VALUE"""),0.478)</f>
        <v>0.478</v>
      </c>
      <c r="J1126" s="35">
        <f>IFERROR(__xludf.DUMMYFUNCTION("""COMPUTED_VALUE"""),1125.0)</f>
        <v>1125</v>
      </c>
      <c r="K1126" s="35" t="b">
        <f>IFERROR(__xludf.DUMMYFUNCTION("""COMPUTED_VALUE"""),FALSE)</f>
        <v>0</v>
      </c>
      <c r="L1126" s="35" t="str">
        <f>IFERROR(__xludf.DUMMYFUNCTION("""COMPUTED_VALUE"""),"Array;Dynamic Programming;Bit Manipulation;Bitmask;")</f>
        <v>Array;Dynamic Programming;Bit Manipulation;Bitmask;</v>
      </c>
      <c r="M1126" s="35" t="b">
        <f>IFERROR(__xludf.DUMMYFUNCTION("""COMPUTED_VALUE"""),FALSE)</f>
        <v>0</v>
      </c>
      <c r="N1126" s="35" t="b">
        <f>IFERROR(__xludf.DUMMYFUNCTION("""COMPUTED_VALUE"""),FALSE)</f>
        <v>0</v>
      </c>
      <c r="O1126" s="35">
        <f>IFERROR(__xludf.DUMMYFUNCTION("""COMPUTED_VALUE"""),47.8291531244251)</f>
        <v>47.82915312</v>
      </c>
      <c r="P1126" s="35">
        <f>IFERROR(__xludf.DUMMYFUNCTION("""COMPUTED_VALUE"""),15598.0)</f>
        <v>15598</v>
      </c>
      <c r="Q1126" s="35">
        <f>IFERROR(__xludf.DUMMYFUNCTION("""COMPUTED_VALUE"""),32612.0)</f>
        <v>32612</v>
      </c>
    </row>
    <row r="1127">
      <c r="A1127" s="35">
        <f>IFERROR(__xludf.DUMMYFUNCTION("""COMPUTED_VALUE"""),1225.0)</f>
        <v>1225</v>
      </c>
      <c r="B1127" s="35" t="str">
        <f>IFERROR(__xludf.DUMMYFUNCTION("""COMPUTED_VALUE"""),"Active Businesses")</f>
        <v>Active Businesses</v>
      </c>
      <c r="C1127" s="35" t="str">
        <f>IFERROR(__xludf.DUMMYFUNCTION("""COMPUTED_VALUE"""),"active-businesses")</f>
        <v>active-businesses</v>
      </c>
      <c r="D1127" s="35" t="b">
        <f>IFERROR(__xludf.DUMMYFUNCTION("""COMPUTED_VALUE"""),TRUE)</f>
        <v>1</v>
      </c>
      <c r="E1127" s="35" t="str">
        <f>IFERROR(__xludf.DUMMYFUNCTION("""COMPUTED_VALUE"""),"Medium")</f>
        <v>Medium</v>
      </c>
      <c r="F1127" s="35">
        <f>IFERROR(__xludf.DUMMYFUNCTION("""COMPUTED_VALUE"""),174.0)</f>
        <v>174</v>
      </c>
      <c r="G1127" s="35">
        <f>IFERROR(__xludf.DUMMYFUNCTION("""COMPUTED_VALUE"""),19.0)</f>
        <v>19</v>
      </c>
      <c r="H1127" s="35" t="str">
        <f>IFERROR(__xludf.DUMMYFUNCTION("""COMPUTED_VALUE"""),"Database")</f>
        <v>Database</v>
      </c>
      <c r="I1127" s="35">
        <f>IFERROR(__xludf.DUMMYFUNCTION("""COMPUTED_VALUE"""),0.679)</f>
        <v>0.679</v>
      </c>
      <c r="J1127" s="35">
        <f>IFERROR(__xludf.DUMMYFUNCTION("""COMPUTED_VALUE"""),1126.0)</f>
        <v>1126</v>
      </c>
      <c r="K1127" s="35" t="b">
        <f>IFERROR(__xludf.DUMMYFUNCTION("""COMPUTED_VALUE"""),TRUE)</f>
        <v>1</v>
      </c>
      <c r="L1127" s="35" t="str">
        <f>IFERROR(__xludf.DUMMYFUNCTION("""COMPUTED_VALUE"""),"Database;")</f>
        <v>Database;</v>
      </c>
      <c r="M1127" s="35" t="b">
        <f>IFERROR(__xludf.DUMMYFUNCTION("""COMPUTED_VALUE"""),FALSE)</f>
        <v>0</v>
      </c>
      <c r="N1127" s="35" t="b">
        <f>IFERROR(__xludf.DUMMYFUNCTION("""COMPUTED_VALUE"""),FALSE)</f>
        <v>0</v>
      </c>
      <c r="O1127" s="35">
        <f>IFERROR(__xludf.DUMMYFUNCTION("""COMPUTED_VALUE"""),67.8775323392672)</f>
        <v>67.87753234</v>
      </c>
      <c r="P1127" s="35">
        <f>IFERROR(__xludf.DUMMYFUNCTION("""COMPUTED_VALUE"""),28177.0)</f>
        <v>28177</v>
      </c>
      <c r="Q1127" s="35">
        <f>IFERROR(__xludf.DUMMYFUNCTION("""COMPUTED_VALUE"""),41510.0)</f>
        <v>41510</v>
      </c>
    </row>
    <row r="1128">
      <c r="A1128" s="35">
        <f>IFERROR(__xludf.DUMMYFUNCTION("""COMPUTED_VALUE"""),1226.0)</f>
        <v>1226</v>
      </c>
      <c r="B1128" s="35" t="str">
        <f>IFERROR(__xludf.DUMMYFUNCTION("""COMPUTED_VALUE"""),"User Purchase Platform")</f>
        <v>User Purchase Platform</v>
      </c>
      <c r="C1128" s="35" t="str">
        <f>IFERROR(__xludf.DUMMYFUNCTION("""COMPUTED_VALUE"""),"user-purchase-platform")</f>
        <v>user-purchase-platform</v>
      </c>
      <c r="D1128" s="35" t="b">
        <f>IFERROR(__xludf.DUMMYFUNCTION("""COMPUTED_VALUE"""),TRUE)</f>
        <v>1</v>
      </c>
      <c r="E1128" s="35" t="str">
        <f>IFERROR(__xludf.DUMMYFUNCTION("""COMPUTED_VALUE"""),"Hard")</f>
        <v>Hard</v>
      </c>
      <c r="F1128" s="35">
        <f>IFERROR(__xludf.DUMMYFUNCTION("""COMPUTED_VALUE"""),132.0)</f>
        <v>132</v>
      </c>
      <c r="G1128" s="35">
        <f>IFERROR(__xludf.DUMMYFUNCTION("""COMPUTED_VALUE"""),97.0)</f>
        <v>97</v>
      </c>
      <c r="H1128" s="35" t="str">
        <f>IFERROR(__xludf.DUMMYFUNCTION("""COMPUTED_VALUE"""),"Database")</f>
        <v>Database</v>
      </c>
      <c r="I1128" s="35">
        <f>IFERROR(__xludf.DUMMYFUNCTION("""COMPUTED_VALUE"""),0.512)</f>
        <v>0.512</v>
      </c>
      <c r="J1128" s="35">
        <f>IFERROR(__xludf.DUMMYFUNCTION("""COMPUTED_VALUE"""),1127.0)</f>
        <v>1127</v>
      </c>
      <c r="K1128" s="35" t="b">
        <f>IFERROR(__xludf.DUMMYFUNCTION("""COMPUTED_VALUE"""),TRUE)</f>
        <v>1</v>
      </c>
      <c r="L1128" s="35" t="str">
        <f>IFERROR(__xludf.DUMMYFUNCTION("""COMPUTED_VALUE"""),"Database;")</f>
        <v>Database;</v>
      </c>
      <c r="M1128" s="35" t="b">
        <f>IFERROR(__xludf.DUMMYFUNCTION("""COMPUTED_VALUE"""),FALSE)</f>
        <v>0</v>
      </c>
      <c r="N1128" s="35" t="b">
        <f>IFERROR(__xludf.DUMMYFUNCTION("""COMPUTED_VALUE"""),FALSE)</f>
        <v>0</v>
      </c>
      <c r="O1128" s="35">
        <f>IFERROR(__xludf.DUMMYFUNCTION("""COMPUTED_VALUE"""),51.2163399007659)</f>
        <v>51.2163399</v>
      </c>
      <c r="P1128" s="35">
        <f>IFERROR(__xludf.DUMMYFUNCTION("""COMPUTED_VALUE"""),10632.0)</f>
        <v>10632</v>
      </c>
      <c r="Q1128" s="35">
        <f>IFERROR(__xludf.DUMMYFUNCTION("""COMPUTED_VALUE"""),20759.0)</f>
        <v>20759</v>
      </c>
    </row>
    <row r="1129">
      <c r="A1129" s="35">
        <f>IFERROR(__xludf.DUMMYFUNCTION("""COMPUTED_VALUE"""),1227.0)</f>
        <v>1227</v>
      </c>
      <c r="B1129" s="35" t="str">
        <f>IFERROR(__xludf.DUMMYFUNCTION("""COMPUTED_VALUE"""),"Number of Equivalent Domino Pairs")</f>
        <v>Number of Equivalent Domino Pairs</v>
      </c>
      <c r="C1129" s="35" t="str">
        <f>IFERROR(__xludf.DUMMYFUNCTION("""COMPUTED_VALUE"""),"number-of-equivalent-domino-pairs")</f>
        <v>number-of-equivalent-domino-pairs</v>
      </c>
      <c r="D1129" s="35" t="b">
        <f>IFERROR(__xludf.DUMMYFUNCTION("""COMPUTED_VALUE"""),FALSE)</f>
        <v>0</v>
      </c>
      <c r="E1129" s="35" t="str">
        <f>IFERROR(__xludf.DUMMYFUNCTION("""COMPUTED_VALUE"""),"Easy")</f>
        <v>Easy</v>
      </c>
      <c r="F1129" s="35">
        <f>IFERROR(__xludf.DUMMYFUNCTION("""COMPUTED_VALUE"""),457.0)</f>
        <v>457</v>
      </c>
      <c r="G1129" s="35">
        <f>IFERROR(__xludf.DUMMYFUNCTION("""COMPUTED_VALUE"""),226.0)</f>
        <v>226</v>
      </c>
      <c r="H1129" s="35" t="str">
        <f>IFERROR(__xludf.DUMMYFUNCTION("""COMPUTED_VALUE"""),"Algorithms")</f>
        <v>Algorithms</v>
      </c>
      <c r="I1129" s="35">
        <f>IFERROR(__xludf.DUMMYFUNCTION("""COMPUTED_VALUE"""),0.463)</f>
        <v>0.463</v>
      </c>
      <c r="J1129" s="35">
        <f>IFERROR(__xludf.DUMMYFUNCTION("""COMPUTED_VALUE"""),1128.0)</f>
        <v>1128</v>
      </c>
      <c r="K1129" s="35" t="b">
        <f>IFERROR(__xludf.DUMMYFUNCTION("""COMPUTED_VALUE"""),FALSE)</f>
        <v>0</v>
      </c>
      <c r="L1129" s="35" t="str">
        <f>IFERROR(__xludf.DUMMYFUNCTION("""COMPUTED_VALUE"""),"Array;Hash Table;Counting;")</f>
        <v>Array;Hash Table;Counting;</v>
      </c>
      <c r="M1129" s="35" t="b">
        <f>IFERROR(__xludf.DUMMYFUNCTION("""COMPUTED_VALUE"""),FALSE)</f>
        <v>0</v>
      </c>
      <c r="N1129" s="35" t="b">
        <f>IFERROR(__xludf.DUMMYFUNCTION("""COMPUTED_VALUE"""),FALSE)</f>
        <v>0</v>
      </c>
      <c r="O1129" s="35">
        <f>IFERROR(__xludf.DUMMYFUNCTION("""COMPUTED_VALUE"""),46.2642684192321)</f>
        <v>46.26426842</v>
      </c>
      <c r="P1129" s="35">
        <f>IFERROR(__xludf.DUMMYFUNCTION("""COMPUTED_VALUE"""),45475.0)</f>
        <v>45475</v>
      </c>
      <c r="Q1129" s="35">
        <f>IFERROR(__xludf.DUMMYFUNCTION("""COMPUTED_VALUE"""),98294.0)</f>
        <v>98294</v>
      </c>
    </row>
    <row r="1130">
      <c r="A1130" s="35">
        <f>IFERROR(__xludf.DUMMYFUNCTION("""COMPUTED_VALUE"""),1229.0)</f>
        <v>1229</v>
      </c>
      <c r="B1130" s="35" t="str">
        <f>IFERROR(__xludf.DUMMYFUNCTION("""COMPUTED_VALUE"""),"Shortest Path with Alternating Colors")</f>
        <v>Shortest Path with Alternating Colors</v>
      </c>
      <c r="C1130" s="35" t="str">
        <f>IFERROR(__xludf.DUMMYFUNCTION("""COMPUTED_VALUE"""),"shortest-path-with-alternating-colors")</f>
        <v>shortest-path-with-alternating-colors</v>
      </c>
      <c r="D1130" s="35" t="b">
        <f>IFERROR(__xludf.DUMMYFUNCTION("""COMPUTED_VALUE"""),FALSE)</f>
        <v>0</v>
      </c>
      <c r="E1130" s="35" t="str">
        <f>IFERROR(__xludf.DUMMYFUNCTION("""COMPUTED_VALUE"""),"Medium")</f>
        <v>Medium</v>
      </c>
      <c r="F1130" s="35">
        <f>IFERROR(__xludf.DUMMYFUNCTION("""COMPUTED_VALUE"""),1097.0)</f>
        <v>1097</v>
      </c>
      <c r="G1130" s="35">
        <f>IFERROR(__xludf.DUMMYFUNCTION("""COMPUTED_VALUE"""),59.0)</f>
        <v>59</v>
      </c>
      <c r="H1130" s="35" t="str">
        <f>IFERROR(__xludf.DUMMYFUNCTION("""COMPUTED_VALUE"""),"Algorithms")</f>
        <v>Algorithms</v>
      </c>
      <c r="I1130" s="35">
        <f>IFERROR(__xludf.DUMMYFUNCTION("""COMPUTED_VALUE"""),0.417)</f>
        <v>0.417</v>
      </c>
      <c r="J1130" s="35">
        <f>IFERROR(__xludf.DUMMYFUNCTION("""COMPUTED_VALUE"""),1129.0)</f>
        <v>1129</v>
      </c>
      <c r="K1130" s="35" t="b">
        <f>IFERROR(__xludf.DUMMYFUNCTION("""COMPUTED_VALUE"""),FALSE)</f>
        <v>0</v>
      </c>
      <c r="L1130" s="35" t="str">
        <f>IFERROR(__xludf.DUMMYFUNCTION("""COMPUTED_VALUE"""),"Breadth-First Search;Graph;")</f>
        <v>Breadth-First Search;Graph;</v>
      </c>
      <c r="M1130" s="35" t="b">
        <f>IFERROR(__xludf.DUMMYFUNCTION("""COMPUTED_VALUE"""),FALSE)</f>
        <v>0</v>
      </c>
      <c r="N1130" s="35" t="b">
        <f>IFERROR(__xludf.DUMMYFUNCTION("""COMPUTED_VALUE"""),FALSE)</f>
        <v>0</v>
      </c>
      <c r="O1130" s="35">
        <f>IFERROR(__xludf.DUMMYFUNCTION("""COMPUTED_VALUE"""),41.6736802579275)</f>
        <v>41.67368026</v>
      </c>
      <c r="P1130" s="35">
        <f>IFERROR(__xludf.DUMMYFUNCTION("""COMPUTED_VALUE"""),32184.0)</f>
        <v>32184</v>
      </c>
      <c r="Q1130" s="35">
        <f>IFERROR(__xludf.DUMMYFUNCTION("""COMPUTED_VALUE"""),77230.0)</f>
        <v>77230</v>
      </c>
    </row>
    <row r="1131">
      <c r="A1131" s="35">
        <f>IFERROR(__xludf.DUMMYFUNCTION("""COMPUTED_VALUE"""),1228.0)</f>
        <v>1228</v>
      </c>
      <c r="B1131" s="35" t="str">
        <f>IFERROR(__xludf.DUMMYFUNCTION("""COMPUTED_VALUE"""),"Minimum Cost Tree From Leaf Values")</f>
        <v>Minimum Cost Tree From Leaf Values</v>
      </c>
      <c r="C1131" s="35" t="str">
        <f>IFERROR(__xludf.DUMMYFUNCTION("""COMPUTED_VALUE"""),"minimum-cost-tree-from-leaf-values")</f>
        <v>minimum-cost-tree-from-leaf-values</v>
      </c>
      <c r="D1131" s="35" t="b">
        <f>IFERROR(__xludf.DUMMYFUNCTION("""COMPUTED_VALUE"""),FALSE)</f>
        <v>0</v>
      </c>
      <c r="E1131" s="35" t="str">
        <f>IFERROR(__xludf.DUMMYFUNCTION("""COMPUTED_VALUE"""),"Medium")</f>
        <v>Medium</v>
      </c>
      <c r="F1131" s="35">
        <f>IFERROR(__xludf.DUMMYFUNCTION("""COMPUTED_VALUE"""),2940.0)</f>
        <v>2940</v>
      </c>
      <c r="G1131" s="35">
        <f>IFERROR(__xludf.DUMMYFUNCTION("""COMPUTED_VALUE"""),207.0)</f>
        <v>207</v>
      </c>
      <c r="H1131" s="35" t="str">
        <f>IFERROR(__xludf.DUMMYFUNCTION("""COMPUTED_VALUE"""),"Algorithms")</f>
        <v>Algorithms</v>
      </c>
      <c r="I1131" s="35">
        <f>IFERROR(__xludf.DUMMYFUNCTION("""COMPUTED_VALUE"""),0.684)</f>
        <v>0.684</v>
      </c>
      <c r="J1131" s="35">
        <f>IFERROR(__xludf.DUMMYFUNCTION("""COMPUTED_VALUE"""),1130.0)</f>
        <v>1130</v>
      </c>
      <c r="K1131" s="35" t="b">
        <f>IFERROR(__xludf.DUMMYFUNCTION("""COMPUTED_VALUE"""),FALSE)</f>
        <v>0</v>
      </c>
      <c r="L1131" s="35" t="str">
        <f>IFERROR(__xludf.DUMMYFUNCTION("""COMPUTED_VALUE"""),"Dynamic Programming;Stack;Greedy;Monotonic Stack;")</f>
        <v>Dynamic Programming;Stack;Greedy;Monotonic Stack;</v>
      </c>
      <c r="M1131" s="35" t="b">
        <f>IFERROR(__xludf.DUMMYFUNCTION("""COMPUTED_VALUE"""),FALSE)</f>
        <v>0</v>
      </c>
      <c r="N1131" s="35" t="b">
        <f>IFERROR(__xludf.DUMMYFUNCTION("""COMPUTED_VALUE"""),FALSE)</f>
        <v>0</v>
      </c>
      <c r="O1131" s="35">
        <f>IFERROR(__xludf.DUMMYFUNCTION("""COMPUTED_VALUE"""),68.3882396017852)</f>
        <v>68.3882396</v>
      </c>
      <c r="P1131" s="35">
        <f>IFERROR(__xludf.DUMMYFUNCTION("""COMPUTED_VALUE"""),69104.0)</f>
        <v>69104</v>
      </c>
      <c r="Q1131" s="35">
        <f>IFERROR(__xludf.DUMMYFUNCTION("""COMPUTED_VALUE"""),101048.0)</f>
        <v>101048</v>
      </c>
    </row>
    <row r="1132">
      <c r="A1132" s="35">
        <f>IFERROR(__xludf.DUMMYFUNCTION("""COMPUTED_VALUE"""),1230.0)</f>
        <v>1230</v>
      </c>
      <c r="B1132" s="35" t="str">
        <f>IFERROR(__xludf.DUMMYFUNCTION("""COMPUTED_VALUE"""),"Maximum of Absolute Value Expression")</f>
        <v>Maximum of Absolute Value Expression</v>
      </c>
      <c r="C1132" s="35" t="str">
        <f>IFERROR(__xludf.DUMMYFUNCTION("""COMPUTED_VALUE"""),"maximum-of-absolute-value-expression")</f>
        <v>maximum-of-absolute-value-expression</v>
      </c>
      <c r="D1132" s="35" t="b">
        <f>IFERROR(__xludf.DUMMYFUNCTION("""COMPUTED_VALUE"""),FALSE)</f>
        <v>0</v>
      </c>
      <c r="E1132" s="35" t="str">
        <f>IFERROR(__xludf.DUMMYFUNCTION("""COMPUTED_VALUE"""),"Medium")</f>
        <v>Medium</v>
      </c>
      <c r="F1132" s="35">
        <f>IFERROR(__xludf.DUMMYFUNCTION("""COMPUTED_VALUE"""),439.0)</f>
        <v>439</v>
      </c>
      <c r="G1132" s="35">
        <f>IFERROR(__xludf.DUMMYFUNCTION("""COMPUTED_VALUE"""),324.0)</f>
        <v>324</v>
      </c>
      <c r="H1132" s="35" t="str">
        <f>IFERROR(__xludf.DUMMYFUNCTION("""COMPUTED_VALUE"""),"Algorithms")</f>
        <v>Algorithms</v>
      </c>
      <c r="I1132" s="35">
        <f>IFERROR(__xludf.DUMMYFUNCTION("""COMPUTED_VALUE"""),0.5)</f>
        <v>0.5</v>
      </c>
      <c r="J1132" s="35">
        <f>IFERROR(__xludf.DUMMYFUNCTION("""COMPUTED_VALUE"""),1131.0)</f>
        <v>1131</v>
      </c>
      <c r="K1132" s="35" t="b">
        <f>IFERROR(__xludf.DUMMYFUNCTION("""COMPUTED_VALUE"""),FALSE)</f>
        <v>0</v>
      </c>
      <c r="L1132" s="35" t="str">
        <f>IFERROR(__xludf.DUMMYFUNCTION("""COMPUTED_VALUE"""),"Array;Math;")</f>
        <v>Array;Math;</v>
      </c>
      <c r="M1132" s="35" t="b">
        <f>IFERROR(__xludf.DUMMYFUNCTION("""COMPUTED_VALUE"""),FALSE)</f>
        <v>0</v>
      </c>
      <c r="N1132" s="35" t="b">
        <f>IFERROR(__xludf.DUMMYFUNCTION("""COMPUTED_VALUE"""),FALSE)</f>
        <v>0</v>
      </c>
      <c r="O1132" s="35">
        <f>IFERROR(__xludf.DUMMYFUNCTION("""COMPUTED_VALUE"""),50.0449438202247)</f>
        <v>50.04494382</v>
      </c>
      <c r="P1132" s="35">
        <f>IFERROR(__xludf.DUMMYFUNCTION("""COMPUTED_VALUE"""),15589.0)</f>
        <v>15589</v>
      </c>
      <c r="Q1132" s="35">
        <f>IFERROR(__xludf.DUMMYFUNCTION("""COMPUTED_VALUE"""),31148.0)</f>
        <v>31148</v>
      </c>
    </row>
    <row r="1133">
      <c r="A1133" s="35">
        <f>IFERROR(__xludf.DUMMYFUNCTION("""COMPUTED_VALUE"""),1237.0)</f>
        <v>1237</v>
      </c>
      <c r="B1133" s="35" t="str">
        <f>IFERROR(__xludf.DUMMYFUNCTION("""COMPUTED_VALUE"""),"Reported Posts II")</f>
        <v>Reported Posts II</v>
      </c>
      <c r="C1133" s="35" t="str">
        <f>IFERROR(__xludf.DUMMYFUNCTION("""COMPUTED_VALUE"""),"reported-posts-ii")</f>
        <v>reported-posts-ii</v>
      </c>
      <c r="D1133" s="35" t="b">
        <f>IFERROR(__xludf.DUMMYFUNCTION("""COMPUTED_VALUE"""),TRUE)</f>
        <v>1</v>
      </c>
      <c r="E1133" s="35" t="str">
        <f>IFERROR(__xludf.DUMMYFUNCTION("""COMPUTED_VALUE"""),"Medium")</f>
        <v>Medium</v>
      </c>
      <c r="F1133" s="35">
        <f>IFERROR(__xludf.DUMMYFUNCTION("""COMPUTED_VALUE"""),110.0)</f>
        <v>110</v>
      </c>
      <c r="G1133" s="35">
        <f>IFERROR(__xludf.DUMMYFUNCTION("""COMPUTED_VALUE"""),392.0)</f>
        <v>392</v>
      </c>
      <c r="H1133" s="35" t="str">
        <f>IFERROR(__xludf.DUMMYFUNCTION("""COMPUTED_VALUE"""),"Database")</f>
        <v>Database</v>
      </c>
      <c r="I1133" s="35">
        <f>IFERROR(__xludf.DUMMYFUNCTION("""COMPUTED_VALUE"""),0.338)</f>
        <v>0.338</v>
      </c>
      <c r="J1133" s="35">
        <f>IFERROR(__xludf.DUMMYFUNCTION("""COMPUTED_VALUE"""),1132.0)</f>
        <v>1132</v>
      </c>
      <c r="K1133" s="35" t="b">
        <f>IFERROR(__xludf.DUMMYFUNCTION("""COMPUTED_VALUE"""),TRUE)</f>
        <v>1</v>
      </c>
      <c r="L1133" s="35" t="str">
        <f>IFERROR(__xludf.DUMMYFUNCTION("""COMPUTED_VALUE"""),"Database;")</f>
        <v>Database;</v>
      </c>
      <c r="M1133" s="35" t="b">
        <f>IFERROR(__xludf.DUMMYFUNCTION("""COMPUTED_VALUE"""),FALSE)</f>
        <v>0</v>
      </c>
      <c r="N1133" s="35" t="b">
        <f>IFERROR(__xludf.DUMMYFUNCTION("""COMPUTED_VALUE"""),FALSE)</f>
        <v>0</v>
      </c>
      <c r="O1133" s="35">
        <f>IFERROR(__xludf.DUMMYFUNCTION("""COMPUTED_VALUE"""),33.7976364360642)</f>
        <v>33.79763644</v>
      </c>
      <c r="P1133" s="35">
        <f>IFERROR(__xludf.DUMMYFUNCTION("""COMPUTED_VALUE"""),25452.0)</f>
        <v>25452</v>
      </c>
      <c r="Q1133" s="35">
        <f>IFERROR(__xludf.DUMMYFUNCTION("""COMPUTED_VALUE"""),75309.0)</f>
        <v>75309</v>
      </c>
    </row>
    <row r="1134">
      <c r="A1134" s="35">
        <f>IFERROR(__xludf.DUMMYFUNCTION("""COMPUTED_VALUE"""),1098.0)</f>
        <v>1098</v>
      </c>
      <c r="B1134" s="35" t="str">
        <f>IFERROR(__xludf.DUMMYFUNCTION("""COMPUTED_VALUE"""),"Largest Unique Number")</f>
        <v>Largest Unique Number</v>
      </c>
      <c r="C1134" s="35" t="str">
        <f>IFERROR(__xludf.DUMMYFUNCTION("""COMPUTED_VALUE"""),"largest-unique-number")</f>
        <v>largest-unique-number</v>
      </c>
      <c r="D1134" s="35" t="b">
        <f>IFERROR(__xludf.DUMMYFUNCTION("""COMPUTED_VALUE"""),TRUE)</f>
        <v>1</v>
      </c>
      <c r="E1134" s="35" t="str">
        <f>IFERROR(__xludf.DUMMYFUNCTION("""COMPUTED_VALUE"""),"Easy")</f>
        <v>Easy</v>
      </c>
      <c r="F1134" s="35">
        <f>IFERROR(__xludf.DUMMYFUNCTION("""COMPUTED_VALUE"""),224.0)</f>
        <v>224</v>
      </c>
      <c r="G1134" s="35">
        <f>IFERROR(__xludf.DUMMYFUNCTION("""COMPUTED_VALUE"""),16.0)</f>
        <v>16</v>
      </c>
      <c r="H1134" s="35" t="str">
        <f>IFERROR(__xludf.DUMMYFUNCTION("""COMPUTED_VALUE"""),"Algorithms")</f>
        <v>Algorithms</v>
      </c>
      <c r="I1134" s="35">
        <f>IFERROR(__xludf.DUMMYFUNCTION("""COMPUTED_VALUE"""),0.674)</f>
        <v>0.674</v>
      </c>
      <c r="J1134" s="35">
        <f>IFERROR(__xludf.DUMMYFUNCTION("""COMPUTED_VALUE"""),1133.0)</f>
        <v>1133</v>
      </c>
      <c r="K1134" s="35" t="b">
        <f>IFERROR(__xludf.DUMMYFUNCTION("""COMPUTED_VALUE"""),TRUE)</f>
        <v>1</v>
      </c>
      <c r="L1134" s="35" t="str">
        <f>IFERROR(__xludf.DUMMYFUNCTION("""COMPUTED_VALUE"""),"Array;Hash Table;Sorting;")</f>
        <v>Array;Hash Table;Sorting;</v>
      </c>
      <c r="M1134" s="35" t="b">
        <f>IFERROR(__xludf.DUMMYFUNCTION("""COMPUTED_VALUE"""),TRUE)</f>
        <v>1</v>
      </c>
      <c r="N1134" s="35" t="b">
        <f>IFERROR(__xludf.DUMMYFUNCTION("""COMPUTED_VALUE"""),FALSE)</f>
        <v>0</v>
      </c>
      <c r="O1134" s="35">
        <f>IFERROR(__xludf.DUMMYFUNCTION("""COMPUTED_VALUE"""),67.375387214869)</f>
        <v>67.37538721</v>
      </c>
      <c r="P1134" s="35">
        <f>IFERROR(__xludf.DUMMYFUNCTION("""COMPUTED_VALUE"""),28710.0)</f>
        <v>28710</v>
      </c>
      <c r="Q1134" s="35">
        <f>IFERROR(__xludf.DUMMYFUNCTION("""COMPUTED_VALUE"""),42612.0)</f>
        <v>42612</v>
      </c>
    </row>
    <row r="1135">
      <c r="A1135" s="35">
        <f>IFERROR(__xludf.DUMMYFUNCTION("""COMPUTED_VALUE"""),1090.0)</f>
        <v>1090</v>
      </c>
      <c r="B1135" s="35" t="str">
        <f>IFERROR(__xludf.DUMMYFUNCTION("""COMPUTED_VALUE"""),"Armstrong Number")</f>
        <v>Armstrong Number</v>
      </c>
      <c r="C1135" s="35" t="str">
        <f>IFERROR(__xludf.DUMMYFUNCTION("""COMPUTED_VALUE"""),"armstrong-number")</f>
        <v>armstrong-number</v>
      </c>
      <c r="D1135" s="35" t="b">
        <f>IFERROR(__xludf.DUMMYFUNCTION("""COMPUTED_VALUE"""),TRUE)</f>
        <v>1</v>
      </c>
      <c r="E1135" s="35" t="str">
        <f>IFERROR(__xludf.DUMMYFUNCTION("""COMPUTED_VALUE"""),"Easy")</f>
        <v>Easy</v>
      </c>
      <c r="F1135" s="35">
        <f>IFERROR(__xludf.DUMMYFUNCTION("""COMPUTED_VALUE"""),149.0)</f>
        <v>149</v>
      </c>
      <c r="G1135" s="35">
        <f>IFERROR(__xludf.DUMMYFUNCTION("""COMPUTED_VALUE"""),17.0)</f>
        <v>17</v>
      </c>
      <c r="H1135" s="35" t="str">
        <f>IFERROR(__xludf.DUMMYFUNCTION("""COMPUTED_VALUE"""),"Algorithms")</f>
        <v>Algorithms</v>
      </c>
      <c r="I1135" s="35">
        <f>IFERROR(__xludf.DUMMYFUNCTION("""COMPUTED_VALUE"""),0.783)</f>
        <v>0.783</v>
      </c>
      <c r="J1135" s="35">
        <f>IFERROR(__xludf.DUMMYFUNCTION("""COMPUTED_VALUE"""),1134.0)</f>
        <v>1134</v>
      </c>
      <c r="K1135" s="35" t="b">
        <f>IFERROR(__xludf.DUMMYFUNCTION("""COMPUTED_VALUE"""),TRUE)</f>
        <v>1</v>
      </c>
      <c r="L1135" s="35" t="str">
        <f>IFERROR(__xludf.DUMMYFUNCTION("""COMPUTED_VALUE"""),"Math;")</f>
        <v>Math;</v>
      </c>
      <c r="M1135" s="35" t="b">
        <f>IFERROR(__xludf.DUMMYFUNCTION("""COMPUTED_VALUE"""),TRUE)</f>
        <v>1</v>
      </c>
      <c r="N1135" s="35" t="b">
        <f>IFERROR(__xludf.DUMMYFUNCTION("""COMPUTED_VALUE"""),FALSE)</f>
        <v>0</v>
      </c>
      <c r="O1135" s="35">
        <f>IFERROR(__xludf.DUMMYFUNCTION("""COMPUTED_VALUE"""),78.3343391671695)</f>
        <v>78.33433917</v>
      </c>
      <c r="P1135" s="35">
        <f>IFERROR(__xludf.DUMMYFUNCTION("""COMPUTED_VALUE"""),27258.0)</f>
        <v>27258</v>
      </c>
      <c r="Q1135" s="35">
        <f>IFERROR(__xludf.DUMMYFUNCTION("""COMPUTED_VALUE"""),34797.0)</f>
        <v>34797</v>
      </c>
    </row>
    <row r="1136">
      <c r="A1136" s="35">
        <f>IFERROR(__xludf.DUMMYFUNCTION("""COMPUTED_VALUE"""),1100.0)</f>
        <v>1100</v>
      </c>
      <c r="B1136" s="35" t="str">
        <f>IFERROR(__xludf.DUMMYFUNCTION("""COMPUTED_VALUE"""),"Connecting Cities With Minimum Cost")</f>
        <v>Connecting Cities With Minimum Cost</v>
      </c>
      <c r="C1136" s="35" t="str">
        <f>IFERROR(__xludf.DUMMYFUNCTION("""COMPUTED_VALUE"""),"connecting-cities-with-minimum-cost")</f>
        <v>connecting-cities-with-minimum-cost</v>
      </c>
      <c r="D1136" s="35" t="b">
        <f>IFERROR(__xludf.DUMMYFUNCTION("""COMPUTED_VALUE"""),TRUE)</f>
        <v>1</v>
      </c>
      <c r="E1136" s="35" t="str">
        <f>IFERROR(__xludf.DUMMYFUNCTION("""COMPUTED_VALUE"""),"Medium")</f>
        <v>Medium</v>
      </c>
      <c r="F1136" s="35">
        <f>IFERROR(__xludf.DUMMYFUNCTION("""COMPUTED_VALUE"""),864.0)</f>
        <v>864</v>
      </c>
      <c r="G1136" s="35">
        <f>IFERROR(__xludf.DUMMYFUNCTION("""COMPUTED_VALUE"""),46.0)</f>
        <v>46</v>
      </c>
      <c r="H1136" s="35" t="str">
        <f>IFERROR(__xludf.DUMMYFUNCTION("""COMPUTED_VALUE"""),"Algorithms")</f>
        <v>Algorithms</v>
      </c>
      <c r="I1136" s="35">
        <f>IFERROR(__xludf.DUMMYFUNCTION("""COMPUTED_VALUE"""),0.607)</f>
        <v>0.607</v>
      </c>
      <c r="J1136" s="35">
        <f>IFERROR(__xludf.DUMMYFUNCTION("""COMPUTED_VALUE"""),1135.0)</f>
        <v>1135</v>
      </c>
      <c r="K1136" s="35" t="b">
        <f>IFERROR(__xludf.DUMMYFUNCTION("""COMPUTED_VALUE"""),TRUE)</f>
        <v>1</v>
      </c>
      <c r="L1136" s="35" t="str">
        <f>IFERROR(__xludf.DUMMYFUNCTION("""COMPUTED_VALUE"""),"Union Find;Graph;Heap (Priority Queue);Minimum Spanning Tree;")</f>
        <v>Union Find;Graph;Heap (Priority Queue);Minimum Spanning Tree;</v>
      </c>
      <c r="M1136" s="35" t="b">
        <f>IFERROR(__xludf.DUMMYFUNCTION("""COMPUTED_VALUE"""),TRUE)</f>
        <v>1</v>
      </c>
      <c r="N1136" s="35" t="b">
        <f>IFERROR(__xludf.DUMMYFUNCTION("""COMPUTED_VALUE"""),FALSE)</f>
        <v>0</v>
      </c>
      <c r="O1136" s="35">
        <f>IFERROR(__xludf.DUMMYFUNCTION("""COMPUTED_VALUE"""),60.6932120174767)</f>
        <v>60.69321202</v>
      </c>
      <c r="P1136" s="35">
        <f>IFERROR(__xludf.DUMMYFUNCTION("""COMPUTED_VALUE"""),53898.0)</f>
        <v>53898</v>
      </c>
      <c r="Q1136" s="35">
        <f>IFERROR(__xludf.DUMMYFUNCTION("""COMPUTED_VALUE"""),88801.0)</f>
        <v>88801</v>
      </c>
    </row>
    <row r="1137">
      <c r="A1137" s="35">
        <f>IFERROR(__xludf.DUMMYFUNCTION("""COMPUTED_VALUE"""),1101.0)</f>
        <v>1101</v>
      </c>
      <c r="B1137" s="35" t="str">
        <f>IFERROR(__xludf.DUMMYFUNCTION("""COMPUTED_VALUE"""),"Parallel Courses")</f>
        <v>Parallel Courses</v>
      </c>
      <c r="C1137" s="35" t="str">
        <f>IFERROR(__xludf.DUMMYFUNCTION("""COMPUTED_VALUE"""),"parallel-courses")</f>
        <v>parallel-courses</v>
      </c>
      <c r="D1137" s="35" t="b">
        <f>IFERROR(__xludf.DUMMYFUNCTION("""COMPUTED_VALUE"""),TRUE)</f>
        <v>1</v>
      </c>
      <c r="E1137" s="35" t="str">
        <f>IFERROR(__xludf.DUMMYFUNCTION("""COMPUTED_VALUE"""),"Medium")</f>
        <v>Medium</v>
      </c>
      <c r="F1137" s="35">
        <f>IFERROR(__xludf.DUMMYFUNCTION("""COMPUTED_VALUE"""),644.0)</f>
        <v>644</v>
      </c>
      <c r="G1137" s="35">
        <f>IFERROR(__xludf.DUMMYFUNCTION("""COMPUTED_VALUE"""),19.0)</f>
        <v>19</v>
      </c>
      <c r="H1137" s="35" t="str">
        <f>IFERROR(__xludf.DUMMYFUNCTION("""COMPUTED_VALUE"""),"Algorithms")</f>
        <v>Algorithms</v>
      </c>
      <c r="I1137" s="35">
        <f>IFERROR(__xludf.DUMMYFUNCTION("""COMPUTED_VALUE"""),0.608)</f>
        <v>0.608</v>
      </c>
      <c r="J1137" s="35">
        <f>IFERROR(__xludf.DUMMYFUNCTION("""COMPUTED_VALUE"""),1136.0)</f>
        <v>1136</v>
      </c>
      <c r="K1137" s="35" t="b">
        <f>IFERROR(__xludf.DUMMYFUNCTION("""COMPUTED_VALUE"""),TRUE)</f>
        <v>1</v>
      </c>
      <c r="L1137" s="35" t="str">
        <f>IFERROR(__xludf.DUMMYFUNCTION("""COMPUTED_VALUE"""),"Graph;Topological Sort;")</f>
        <v>Graph;Topological Sort;</v>
      </c>
      <c r="M1137" s="35" t="b">
        <f>IFERROR(__xludf.DUMMYFUNCTION("""COMPUTED_VALUE"""),TRUE)</f>
        <v>1</v>
      </c>
      <c r="N1137" s="35" t="b">
        <f>IFERROR(__xludf.DUMMYFUNCTION("""COMPUTED_VALUE"""),FALSE)</f>
        <v>0</v>
      </c>
      <c r="O1137" s="35">
        <f>IFERROR(__xludf.DUMMYFUNCTION("""COMPUTED_VALUE"""),60.8188928078515)</f>
        <v>60.81889281</v>
      </c>
      <c r="P1137" s="35">
        <f>IFERROR(__xludf.DUMMYFUNCTION("""COMPUTED_VALUE"""),35694.0)</f>
        <v>35694</v>
      </c>
      <c r="Q1137" s="35">
        <f>IFERROR(__xludf.DUMMYFUNCTION("""COMPUTED_VALUE"""),58689.0)</f>
        <v>58689</v>
      </c>
    </row>
    <row r="1138">
      <c r="A1138" s="35">
        <f>IFERROR(__xludf.DUMMYFUNCTION("""COMPUTED_VALUE"""),1236.0)</f>
        <v>1236</v>
      </c>
      <c r="B1138" s="35" t="str">
        <f>IFERROR(__xludf.DUMMYFUNCTION("""COMPUTED_VALUE"""),"N-th Tribonacci Number")</f>
        <v>N-th Tribonacci Number</v>
      </c>
      <c r="C1138" s="35" t="str">
        <f>IFERROR(__xludf.DUMMYFUNCTION("""COMPUTED_VALUE"""),"n-th-tribonacci-number")</f>
        <v>n-th-tribonacci-number</v>
      </c>
      <c r="D1138" s="35" t="b">
        <f>IFERROR(__xludf.DUMMYFUNCTION("""COMPUTED_VALUE"""),FALSE)</f>
        <v>0</v>
      </c>
      <c r="E1138" s="35" t="str">
        <f>IFERROR(__xludf.DUMMYFUNCTION("""COMPUTED_VALUE"""),"Easy")</f>
        <v>Easy</v>
      </c>
      <c r="F1138" s="35">
        <f>IFERROR(__xludf.DUMMYFUNCTION("""COMPUTED_VALUE"""),1597.0)</f>
        <v>1597</v>
      </c>
      <c r="G1138" s="35">
        <f>IFERROR(__xludf.DUMMYFUNCTION("""COMPUTED_VALUE"""),98.0)</f>
        <v>98</v>
      </c>
      <c r="H1138" s="35" t="str">
        <f>IFERROR(__xludf.DUMMYFUNCTION("""COMPUTED_VALUE"""),"Algorithms")</f>
        <v>Algorithms</v>
      </c>
      <c r="I1138" s="35">
        <f>IFERROR(__xludf.DUMMYFUNCTION("""COMPUTED_VALUE"""),0.626)</f>
        <v>0.626</v>
      </c>
      <c r="J1138" s="35">
        <f>IFERROR(__xludf.DUMMYFUNCTION("""COMPUTED_VALUE"""),1137.0)</f>
        <v>1137</v>
      </c>
      <c r="K1138" s="35" t="b">
        <f>IFERROR(__xludf.DUMMYFUNCTION("""COMPUTED_VALUE"""),FALSE)</f>
        <v>0</v>
      </c>
      <c r="L1138" s="35" t="str">
        <f>IFERROR(__xludf.DUMMYFUNCTION("""COMPUTED_VALUE"""),"Math;Dynamic Programming;Memoization;")</f>
        <v>Math;Dynamic Programming;Memoization;</v>
      </c>
      <c r="M1138" s="35" t="b">
        <f>IFERROR(__xludf.DUMMYFUNCTION("""COMPUTED_VALUE"""),TRUE)</f>
        <v>1</v>
      </c>
      <c r="N1138" s="35" t="b">
        <f>IFERROR(__xludf.DUMMYFUNCTION("""COMPUTED_VALUE"""),FALSE)</f>
        <v>0</v>
      </c>
      <c r="O1138" s="35">
        <f>IFERROR(__xludf.DUMMYFUNCTION("""COMPUTED_VALUE"""),62.625342322857)</f>
        <v>62.62534232</v>
      </c>
      <c r="P1138" s="35">
        <f>IFERROR(__xludf.DUMMYFUNCTION("""COMPUTED_VALUE"""),237127.0)</f>
        <v>237127</v>
      </c>
      <c r="Q1138" s="35">
        <f>IFERROR(__xludf.DUMMYFUNCTION("""COMPUTED_VALUE"""),378647.0)</f>
        <v>378647</v>
      </c>
    </row>
    <row r="1139">
      <c r="A1139" s="35">
        <f>IFERROR(__xludf.DUMMYFUNCTION("""COMPUTED_VALUE"""),1238.0)</f>
        <v>1238</v>
      </c>
      <c r="B1139" s="35" t="str">
        <f>IFERROR(__xludf.DUMMYFUNCTION("""COMPUTED_VALUE"""),"Alphabet Board Path")</f>
        <v>Alphabet Board Path</v>
      </c>
      <c r="C1139" s="35" t="str">
        <f>IFERROR(__xludf.DUMMYFUNCTION("""COMPUTED_VALUE"""),"alphabet-board-path")</f>
        <v>alphabet-board-path</v>
      </c>
      <c r="D1139" s="35" t="b">
        <f>IFERROR(__xludf.DUMMYFUNCTION("""COMPUTED_VALUE"""),FALSE)</f>
        <v>0</v>
      </c>
      <c r="E1139" s="35" t="str">
        <f>IFERROR(__xludf.DUMMYFUNCTION("""COMPUTED_VALUE"""),"Medium")</f>
        <v>Medium</v>
      </c>
      <c r="F1139" s="35">
        <f>IFERROR(__xludf.DUMMYFUNCTION("""COMPUTED_VALUE"""),622.0)</f>
        <v>622</v>
      </c>
      <c r="G1139" s="35">
        <f>IFERROR(__xludf.DUMMYFUNCTION("""COMPUTED_VALUE"""),134.0)</f>
        <v>134</v>
      </c>
      <c r="H1139" s="35" t="str">
        <f>IFERROR(__xludf.DUMMYFUNCTION("""COMPUTED_VALUE"""),"Algorithms")</f>
        <v>Algorithms</v>
      </c>
      <c r="I1139" s="35">
        <f>IFERROR(__xludf.DUMMYFUNCTION("""COMPUTED_VALUE"""),0.523)</f>
        <v>0.523</v>
      </c>
      <c r="J1139" s="35">
        <f>IFERROR(__xludf.DUMMYFUNCTION("""COMPUTED_VALUE"""),1138.0)</f>
        <v>1138</v>
      </c>
      <c r="K1139" s="35" t="b">
        <f>IFERROR(__xludf.DUMMYFUNCTION("""COMPUTED_VALUE"""),FALSE)</f>
        <v>0</v>
      </c>
      <c r="L1139" s="35" t="str">
        <f>IFERROR(__xludf.DUMMYFUNCTION("""COMPUTED_VALUE"""),"Hash Table;String;")</f>
        <v>Hash Table;String;</v>
      </c>
      <c r="M1139" s="35" t="b">
        <f>IFERROR(__xludf.DUMMYFUNCTION("""COMPUTED_VALUE"""),FALSE)</f>
        <v>0</v>
      </c>
      <c r="N1139" s="35" t="b">
        <f>IFERROR(__xludf.DUMMYFUNCTION("""COMPUTED_VALUE"""),FALSE)</f>
        <v>0</v>
      </c>
      <c r="O1139" s="35">
        <f>IFERROR(__xludf.DUMMYFUNCTION("""COMPUTED_VALUE"""),52.3282831714111)</f>
        <v>52.32828317</v>
      </c>
      <c r="P1139" s="35">
        <f>IFERROR(__xludf.DUMMYFUNCTION("""COMPUTED_VALUE"""),38511.0)</f>
        <v>38511</v>
      </c>
      <c r="Q1139" s="35">
        <f>IFERROR(__xludf.DUMMYFUNCTION("""COMPUTED_VALUE"""),73595.0)</f>
        <v>73595</v>
      </c>
    </row>
    <row r="1140">
      <c r="A1140" s="35">
        <f>IFERROR(__xludf.DUMMYFUNCTION("""COMPUTED_VALUE"""),1239.0)</f>
        <v>1239</v>
      </c>
      <c r="B1140" s="35" t="str">
        <f>IFERROR(__xludf.DUMMYFUNCTION("""COMPUTED_VALUE"""),"Largest 1-Bordered Square")</f>
        <v>Largest 1-Bordered Square</v>
      </c>
      <c r="C1140" s="35" t="str">
        <f>IFERROR(__xludf.DUMMYFUNCTION("""COMPUTED_VALUE"""),"largest-1-bordered-square")</f>
        <v>largest-1-bordered-square</v>
      </c>
      <c r="D1140" s="35" t="b">
        <f>IFERROR(__xludf.DUMMYFUNCTION("""COMPUTED_VALUE"""),FALSE)</f>
        <v>0</v>
      </c>
      <c r="E1140" s="35" t="str">
        <f>IFERROR(__xludf.DUMMYFUNCTION("""COMPUTED_VALUE"""),"Medium")</f>
        <v>Medium</v>
      </c>
      <c r="F1140" s="35">
        <f>IFERROR(__xludf.DUMMYFUNCTION("""COMPUTED_VALUE"""),477.0)</f>
        <v>477</v>
      </c>
      <c r="G1140" s="35">
        <f>IFERROR(__xludf.DUMMYFUNCTION("""COMPUTED_VALUE"""),80.0)</f>
        <v>80</v>
      </c>
      <c r="H1140" s="35" t="str">
        <f>IFERROR(__xludf.DUMMYFUNCTION("""COMPUTED_VALUE"""),"Algorithms")</f>
        <v>Algorithms</v>
      </c>
      <c r="I1140" s="35">
        <f>IFERROR(__xludf.DUMMYFUNCTION("""COMPUTED_VALUE"""),0.492)</f>
        <v>0.492</v>
      </c>
      <c r="J1140" s="35">
        <f>IFERROR(__xludf.DUMMYFUNCTION("""COMPUTED_VALUE"""),1139.0)</f>
        <v>1139</v>
      </c>
      <c r="K1140" s="35" t="b">
        <f>IFERROR(__xludf.DUMMYFUNCTION("""COMPUTED_VALUE"""),FALSE)</f>
        <v>0</v>
      </c>
      <c r="L1140" s="35" t="str">
        <f>IFERROR(__xludf.DUMMYFUNCTION("""COMPUTED_VALUE"""),"Array;Dynamic Programming;Matrix;")</f>
        <v>Array;Dynamic Programming;Matrix;</v>
      </c>
      <c r="M1140" s="35" t="b">
        <f>IFERROR(__xludf.DUMMYFUNCTION("""COMPUTED_VALUE"""),FALSE)</f>
        <v>0</v>
      </c>
      <c r="N1140" s="35" t="b">
        <f>IFERROR(__xludf.DUMMYFUNCTION("""COMPUTED_VALUE"""),FALSE)</f>
        <v>0</v>
      </c>
      <c r="O1140" s="35">
        <f>IFERROR(__xludf.DUMMYFUNCTION("""COMPUTED_VALUE"""),49.2485806523433)</f>
        <v>49.24858065</v>
      </c>
      <c r="P1140" s="35">
        <f>IFERROR(__xludf.DUMMYFUNCTION("""COMPUTED_VALUE"""),17696.0)</f>
        <v>17696</v>
      </c>
      <c r="Q1140" s="35">
        <f>IFERROR(__xludf.DUMMYFUNCTION("""COMPUTED_VALUE"""),35932.0)</f>
        <v>35932</v>
      </c>
    </row>
    <row r="1141">
      <c r="A1141" s="35">
        <f>IFERROR(__xludf.DUMMYFUNCTION("""COMPUTED_VALUE"""),1240.0)</f>
        <v>1240</v>
      </c>
      <c r="B1141" s="35" t="str">
        <f>IFERROR(__xludf.DUMMYFUNCTION("""COMPUTED_VALUE"""),"Stone Game II")</f>
        <v>Stone Game II</v>
      </c>
      <c r="C1141" s="35" t="str">
        <f>IFERROR(__xludf.DUMMYFUNCTION("""COMPUTED_VALUE"""),"stone-game-ii")</f>
        <v>stone-game-ii</v>
      </c>
      <c r="D1141" s="35" t="b">
        <f>IFERROR(__xludf.DUMMYFUNCTION("""COMPUTED_VALUE"""),FALSE)</f>
        <v>0</v>
      </c>
      <c r="E1141" s="35" t="str">
        <f>IFERROR(__xludf.DUMMYFUNCTION("""COMPUTED_VALUE"""),"Medium")</f>
        <v>Medium</v>
      </c>
      <c r="F1141" s="35">
        <f>IFERROR(__xludf.DUMMYFUNCTION("""COMPUTED_VALUE"""),1245.0)</f>
        <v>1245</v>
      </c>
      <c r="G1141" s="35">
        <f>IFERROR(__xludf.DUMMYFUNCTION("""COMPUTED_VALUE"""),248.0)</f>
        <v>248</v>
      </c>
      <c r="H1141" s="35" t="str">
        <f>IFERROR(__xludf.DUMMYFUNCTION("""COMPUTED_VALUE"""),"Algorithms")</f>
        <v>Algorithms</v>
      </c>
      <c r="I1141" s="35">
        <f>IFERROR(__xludf.DUMMYFUNCTION("""COMPUTED_VALUE"""),0.649)</f>
        <v>0.649</v>
      </c>
      <c r="J1141" s="35">
        <f>IFERROR(__xludf.DUMMYFUNCTION("""COMPUTED_VALUE"""),1140.0)</f>
        <v>1140</v>
      </c>
      <c r="K1141" s="35" t="b">
        <f>IFERROR(__xludf.DUMMYFUNCTION("""COMPUTED_VALUE"""),FALSE)</f>
        <v>0</v>
      </c>
      <c r="L1141" s="35" t="str">
        <f>IFERROR(__xludf.DUMMYFUNCTION("""COMPUTED_VALUE"""),"Array;Math;Dynamic Programming;Game Theory;")</f>
        <v>Array;Math;Dynamic Programming;Game Theory;</v>
      </c>
      <c r="M1141" s="35" t="b">
        <f>IFERROR(__xludf.DUMMYFUNCTION("""COMPUTED_VALUE"""),FALSE)</f>
        <v>0</v>
      </c>
      <c r="N1141" s="35" t="b">
        <f>IFERROR(__xludf.DUMMYFUNCTION("""COMPUTED_VALUE"""),FALSE)</f>
        <v>0</v>
      </c>
      <c r="O1141" s="35">
        <f>IFERROR(__xludf.DUMMYFUNCTION("""COMPUTED_VALUE"""),64.9472852776537)</f>
        <v>64.94728528</v>
      </c>
      <c r="P1141" s="35">
        <f>IFERROR(__xludf.DUMMYFUNCTION("""COMPUTED_VALUE"""),37823.0)</f>
        <v>37823</v>
      </c>
      <c r="Q1141" s="35">
        <f>IFERROR(__xludf.DUMMYFUNCTION("""COMPUTED_VALUE"""),58237.0)</f>
        <v>58237</v>
      </c>
    </row>
    <row r="1142">
      <c r="A1142" s="35">
        <f>IFERROR(__xludf.DUMMYFUNCTION("""COMPUTED_VALUE"""),1245.0)</f>
        <v>1245</v>
      </c>
      <c r="B1142" s="35" t="str">
        <f>IFERROR(__xludf.DUMMYFUNCTION("""COMPUTED_VALUE"""),"User Activity for the Past 30 Days I")</f>
        <v>User Activity for the Past 30 Days I</v>
      </c>
      <c r="C1142" s="35" t="str">
        <f>IFERROR(__xludf.DUMMYFUNCTION("""COMPUTED_VALUE"""),"user-activity-for-the-past-30-days-i")</f>
        <v>user-activity-for-the-past-30-days-i</v>
      </c>
      <c r="D1142" s="35" t="b">
        <f>IFERROR(__xludf.DUMMYFUNCTION("""COMPUTED_VALUE"""),TRUE)</f>
        <v>1</v>
      </c>
      <c r="E1142" s="35" t="str">
        <f>IFERROR(__xludf.DUMMYFUNCTION("""COMPUTED_VALUE"""),"Easy")</f>
        <v>Easy</v>
      </c>
      <c r="F1142" s="35">
        <f>IFERROR(__xludf.DUMMYFUNCTION("""COMPUTED_VALUE"""),88.0)</f>
        <v>88</v>
      </c>
      <c r="G1142" s="35">
        <f>IFERROR(__xludf.DUMMYFUNCTION("""COMPUTED_VALUE"""),86.0)</f>
        <v>86</v>
      </c>
      <c r="H1142" s="35" t="str">
        <f>IFERROR(__xludf.DUMMYFUNCTION("""COMPUTED_VALUE"""),"Database")</f>
        <v>Database</v>
      </c>
      <c r="I1142" s="35">
        <f>IFERROR(__xludf.DUMMYFUNCTION("""COMPUTED_VALUE"""),0.541)</f>
        <v>0.541</v>
      </c>
      <c r="J1142" s="35">
        <f>IFERROR(__xludf.DUMMYFUNCTION("""COMPUTED_VALUE"""),1141.0)</f>
        <v>1141</v>
      </c>
      <c r="K1142" s="35" t="b">
        <f>IFERROR(__xludf.DUMMYFUNCTION("""COMPUTED_VALUE"""),TRUE)</f>
        <v>1</v>
      </c>
      <c r="L1142" s="35" t="str">
        <f>IFERROR(__xludf.DUMMYFUNCTION("""COMPUTED_VALUE"""),"Database;")</f>
        <v>Database;</v>
      </c>
      <c r="M1142" s="35" t="b">
        <f>IFERROR(__xludf.DUMMYFUNCTION("""COMPUTED_VALUE"""),FALSE)</f>
        <v>0</v>
      </c>
      <c r="N1142" s="35" t="b">
        <f>IFERROR(__xludf.DUMMYFUNCTION("""COMPUTED_VALUE"""),FALSE)</f>
        <v>0</v>
      </c>
      <c r="O1142" s="35">
        <f>IFERROR(__xludf.DUMMYFUNCTION("""COMPUTED_VALUE"""),54.061147515339)</f>
        <v>54.06114752</v>
      </c>
      <c r="P1142" s="35">
        <f>IFERROR(__xludf.DUMMYFUNCTION("""COMPUTED_VALUE"""),31102.0)</f>
        <v>31102</v>
      </c>
      <c r="Q1142" s="35">
        <f>IFERROR(__xludf.DUMMYFUNCTION("""COMPUTED_VALUE"""),57531.0)</f>
        <v>57531</v>
      </c>
    </row>
    <row r="1143">
      <c r="A1143" s="35">
        <f>IFERROR(__xludf.DUMMYFUNCTION("""COMPUTED_VALUE"""),1246.0)</f>
        <v>1246</v>
      </c>
      <c r="B1143" s="35" t="str">
        <f>IFERROR(__xludf.DUMMYFUNCTION("""COMPUTED_VALUE"""),"User Activity for the Past 30 Days II")</f>
        <v>User Activity for the Past 30 Days II</v>
      </c>
      <c r="C1143" s="35" t="str">
        <f>IFERROR(__xludf.DUMMYFUNCTION("""COMPUTED_VALUE"""),"user-activity-for-the-past-30-days-ii")</f>
        <v>user-activity-for-the-past-30-days-ii</v>
      </c>
      <c r="D1143" s="35" t="b">
        <f>IFERROR(__xludf.DUMMYFUNCTION("""COMPUTED_VALUE"""),TRUE)</f>
        <v>1</v>
      </c>
      <c r="E1143" s="35" t="str">
        <f>IFERROR(__xludf.DUMMYFUNCTION("""COMPUTED_VALUE"""),"Easy")</f>
        <v>Easy</v>
      </c>
      <c r="F1143" s="35">
        <f>IFERROR(__xludf.DUMMYFUNCTION("""COMPUTED_VALUE"""),68.0)</f>
        <v>68</v>
      </c>
      <c r="G1143" s="35">
        <f>IFERROR(__xludf.DUMMYFUNCTION("""COMPUTED_VALUE"""),278.0)</f>
        <v>278</v>
      </c>
      <c r="H1143" s="35" t="str">
        <f>IFERROR(__xludf.DUMMYFUNCTION("""COMPUTED_VALUE"""),"Database")</f>
        <v>Database</v>
      </c>
      <c r="I1143" s="35">
        <f>IFERROR(__xludf.DUMMYFUNCTION("""COMPUTED_VALUE"""),0.359)</f>
        <v>0.359</v>
      </c>
      <c r="J1143" s="35">
        <f>IFERROR(__xludf.DUMMYFUNCTION("""COMPUTED_VALUE"""),1142.0)</f>
        <v>1142</v>
      </c>
      <c r="K1143" s="35" t="b">
        <f>IFERROR(__xludf.DUMMYFUNCTION("""COMPUTED_VALUE"""),TRUE)</f>
        <v>1</v>
      </c>
      <c r="L1143" s="35" t="str">
        <f>IFERROR(__xludf.DUMMYFUNCTION("""COMPUTED_VALUE"""),"Database;")</f>
        <v>Database;</v>
      </c>
      <c r="M1143" s="35" t="b">
        <f>IFERROR(__xludf.DUMMYFUNCTION("""COMPUTED_VALUE"""),FALSE)</f>
        <v>0</v>
      </c>
      <c r="N1143" s="35" t="b">
        <f>IFERROR(__xludf.DUMMYFUNCTION("""COMPUTED_VALUE"""),FALSE)</f>
        <v>0</v>
      </c>
      <c r="O1143" s="35">
        <f>IFERROR(__xludf.DUMMYFUNCTION("""COMPUTED_VALUE"""),35.9267678916592)</f>
        <v>35.92676789</v>
      </c>
      <c r="P1143" s="35">
        <f>IFERROR(__xludf.DUMMYFUNCTION("""COMPUTED_VALUE"""),29553.0)</f>
        <v>29553</v>
      </c>
      <c r="Q1143" s="35">
        <f>IFERROR(__xludf.DUMMYFUNCTION("""COMPUTED_VALUE"""),82259.0)</f>
        <v>82259</v>
      </c>
    </row>
    <row r="1144">
      <c r="A1144" s="35">
        <f>IFERROR(__xludf.DUMMYFUNCTION("""COMPUTED_VALUE"""),1250.0)</f>
        <v>1250</v>
      </c>
      <c r="B1144" s="35" t="str">
        <f>IFERROR(__xludf.DUMMYFUNCTION("""COMPUTED_VALUE"""),"Longest Common Subsequence")</f>
        <v>Longest Common Subsequence</v>
      </c>
      <c r="C1144" s="35" t="str">
        <f>IFERROR(__xludf.DUMMYFUNCTION("""COMPUTED_VALUE"""),"longest-common-subsequence")</f>
        <v>longest-common-subsequence</v>
      </c>
      <c r="D1144" s="35" t="b">
        <f>IFERROR(__xludf.DUMMYFUNCTION("""COMPUTED_VALUE"""),FALSE)</f>
        <v>0</v>
      </c>
      <c r="E1144" s="35" t="str">
        <f>IFERROR(__xludf.DUMMYFUNCTION("""COMPUTED_VALUE"""),"Medium")</f>
        <v>Medium</v>
      </c>
      <c r="F1144" s="35">
        <f>IFERROR(__xludf.DUMMYFUNCTION("""COMPUTED_VALUE"""),5883.0)</f>
        <v>5883</v>
      </c>
      <c r="G1144" s="35">
        <f>IFERROR(__xludf.DUMMYFUNCTION("""COMPUTED_VALUE"""),65.0)</f>
        <v>65</v>
      </c>
      <c r="H1144" s="35" t="str">
        <f>IFERROR(__xludf.DUMMYFUNCTION("""COMPUTED_VALUE"""),"Algorithms")</f>
        <v>Algorithms</v>
      </c>
      <c r="I1144" s="35">
        <f>IFERROR(__xludf.DUMMYFUNCTION("""COMPUTED_VALUE"""),0.589)</f>
        <v>0.589</v>
      </c>
      <c r="J1144" s="35">
        <f>IFERROR(__xludf.DUMMYFUNCTION("""COMPUTED_VALUE"""),1143.0)</f>
        <v>1143</v>
      </c>
      <c r="K1144" s="35" t="b">
        <f>IFERROR(__xludf.DUMMYFUNCTION("""COMPUTED_VALUE"""),FALSE)</f>
        <v>0</v>
      </c>
      <c r="L1144" s="35" t="str">
        <f>IFERROR(__xludf.DUMMYFUNCTION("""COMPUTED_VALUE"""),"String;Dynamic Programming;")</f>
        <v>String;Dynamic Programming;</v>
      </c>
      <c r="M1144" s="35" t="b">
        <f>IFERROR(__xludf.DUMMYFUNCTION("""COMPUTED_VALUE"""),TRUE)</f>
        <v>1</v>
      </c>
      <c r="N1144" s="35" t="b">
        <f>IFERROR(__xludf.DUMMYFUNCTION("""COMPUTED_VALUE"""),FALSE)</f>
        <v>0</v>
      </c>
      <c r="O1144" s="35">
        <f>IFERROR(__xludf.DUMMYFUNCTION("""COMPUTED_VALUE"""),58.8742399959296)</f>
        <v>58.87424</v>
      </c>
      <c r="P1144" s="35">
        <f>IFERROR(__xludf.DUMMYFUNCTION("""COMPUTED_VALUE"""),370279.0)</f>
        <v>370279</v>
      </c>
      <c r="Q1144" s="35">
        <f>IFERROR(__xludf.DUMMYFUNCTION("""COMPUTED_VALUE"""),628931.0)</f>
        <v>628931</v>
      </c>
    </row>
    <row r="1145">
      <c r="A1145" s="35">
        <f>IFERROR(__xludf.DUMMYFUNCTION("""COMPUTED_VALUE"""),1247.0)</f>
        <v>1247</v>
      </c>
      <c r="B1145" s="35" t="str">
        <f>IFERROR(__xludf.DUMMYFUNCTION("""COMPUTED_VALUE"""),"Decrease Elements To Make Array Zigzag")</f>
        <v>Decrease Elements To Make Array Zigzag</v>
      </c>
      <c r="C1145" s="35" t="str">
        <f>IFERROR(__xludf.DUMMYFUNCTION("""COMPUTED_VALUE"""),"decrease-elements-to-make-array-zigzag")</f>
        <v>decrease-elements-to-make-array-zigzag</v>
      </c>
      <c r="D1145" s="35" t="b">
        <f>IFERROR(__xludf.DUMMYFUNCTION("""COMPUTED_VALUE"""),FALSE)</f>
        <v>0</v>
      </c>
      <c r="E1145" s="35" t="str">
        <f>IFERROR(__xludf.DUMMYFUNCTION("""COMPUTED_VALUE"""),"Medium")</f>
        <v>Medium</v>
      </c>
      <c r="F1145" s="35">
        <f>IFERROR(__xludf.DUMMYFUNCTION("""COMPUTED_VALUE"""),268.0)</f>
        <v>268</v>
      </c>
      <c r="G1145" s="35">
        <f>IFERROR(__xludf.DUMMYFUNCTION("""COMPUTED_VALUE"""),141.0)</f>
        <v>141</v>
      </c>
      <c r="H1145" s="35" t="str">
        <f>IFERROR(__xludf.DUMMYFUNCTION("""COMPUTED_VALUE"""),"Algorithms")</f>
        <v>Algorithms</v>
      </c>
      <c r="I1145" s="35">
        <f>IFERROR(__xludf.DUMMYFUNCTION("""COMPUTED_VALUE"""),0.47)</f>
        <v>0.47</v>
      </c>
      <c r="J1145" s="35">
        <f>IFERROR(__xludf.DUMMYFUNCTION("""COMPUTED_VALUE"""),1144.0)</f>
        <v>1144</v>
      </c>
      <c r="K1145" s="35" t="b">
        <f>IFERROR(__xludf.DUMMYFUNCTION("""COMPUTED_VALUE"""),FALSE)</f>
        <v>0</v>
      </c>
      <c r="L1145" s="35" t="str">
        <f>IFERROR(__xludf.DUMMYFUNCTION("""COMPUTED_VALUE"""),"Array;Greedy;")</f>
        <v>Array;Greedy;</v>
      </c>
      <c r="M1145" s="35" t="b">
        <f>IFERROR(__xludf.DUMMYFUNCTION("""COMPUTED_VALUE"""),FALSE)</f>
        <v>0</v>
      </c>
      <c r="N1145" s="35" t="b">
        <f>IFERROR(__xludf.DUMMYFUNCTION("""COMPUTED_VALUE"""),FALSE)</f>
        <v>0</v>
      </c>
      <c r="O1145" s="35">
        <f>IFERROR(__xludf.DUMMYFUNCTION("""COMPUTED_VALUE"""),46.9632023212872)</f>
        <v>46.96320232</v>
      </c>
      <c r="P1145" s="35">
        <f>IFERROR(__xludf.DUMMYFUNCTION("""COMPUTED_VALUE"""),14243.0)</f>
        <v>14243</v>
      </c>
      <c r="Q1145" s="35">
        <f>IFERROR(__xludf.DUMMYFUNCTION("""COMPUTED_VALUE"""),30328.0)</f>
        <v>30328</v>
      </c>
    </row>
    <row r="1146">
      <c r="A1146" s="35">
        <f>IFERROR(__xludf.DUMMYFUNCTION("""COMPUTED_VALUE"""),1248.0)</f>
        <v>1248</v>
      </c>
      <c r="B1146" s="35" t="str">
        <f>IFERROR(__xludf.DUMMYFUNCTION("""COMPUTED_VALUE"""),"Binary Tree Coloring Game")</f>
        <v>Binary Tree Coloring Game</v>
      </c>
      <c r="C1146" s="35" t="str">
        <f>IFERROR(__xludf.DUMMYFUNCTION("""COMPUTED_VALUE"""),"binary-tree-coloring-game")</f>
        <v>binary-tree-coloring-game</v>
      </c>
      <c r="D1146" s="35" t="b">
        <f>IFERROR(__xludf.DUMMYFUNCTION("""COMPUTED_VALUE"""),FALSE)</f>
        <v>0</v>
      </c>
      <c r="E1146" s="35" t="str">
        <f>IFERROR(__xludf.DUMMYFUNCTION("""COMPUTED_VALUE"""),"Medium")</f>
        <v>Medium</v>
      </c>
      <c r="F1146" s="35">
        <f>IFERROR(__xludf.DUMMYFUNCTION("""COMPUTED_VALUE"""),911.0)</f>
        <v>911</v>
      </c>
      <c r="G1146" s="35">
        <f>IFERROR(__xludf.DUMMYFUNCTION("""COMPUTED_VALUE"""),171.0)</f>
        <v>171</v>
      </c>
      <c r="H1146" s="35" t="str">
        <f>IFERROR(__xludf.DUMMYFUNCTION("""COMPUTED_VALUE"""),"Algorithms")</f>
        <v>Algorithms</v>
      </c>
      <c r="I1146" s="35">
        <f>IFERROR(__xludf.DUMMYFUNCTION("""COMPUTED_VALUE"""),0.511)</f>
        <v>0.511</v>
      </c>
      <c r="J1146" s="35">
        <f>IFERROR(__xludf.DUMMYFUNCTION("""COMPUTED_VALUE"""),1145.0)</f>
        <v>1145</v>
      </c>
      <c r="K1146" s="35" t="b">
        <f>IFERROR(__xludf.DUMMYFUNCTION("""COMPUTED_VALUE"""),FALSE)</f>
        <v>0</v>
      </c>
      <c r="L1146" s="35" t="str">
        <f>IFERROR(__xludf.DUMMYFUNCTION("""COMPUTED_VALUE"""),"Tree;Depth-First Search;Binary Tree;")</f>
        <v>Tree;Depth-First Search;Binary Tree;</v>
      </c>
      <c r="M1146" s="35" t="b">
        <f>IFERROR(__xludf.DUMMYFUNCTION("""COMPUTED_VALUE"""),FALSE)</f>
        <v>0</v>
      </c>
      <c r="N1146" s="35" t="b">
        <f>IFERROR(__xludf.DUMMYFUNCTION("""COMPUTED_VALUE"""),FALSE)</f>
        <v>0</v>
      </c>
      <c r="O1146" s="35">
        <f>IFERROR(__xludf.DUMMYFUNCTION("""COMPUTED_VALUE"""),51.0919759201402)</f>
        <v>51.09197592</v>
      </c>
      <c r="P1146" s="35">
        <f>IFERROR(__xludf.DUMMYFUNCTION("""COMPUTED_VALUE"""),33524.0)</f>
        <v>33524</v>
      </c>
      <c r="Q1146" s="35">
        <f>IFERROR(__xludf.DUMMYFUNCTION("""COMPUTED_VALUE"""),65612.0)</f>
        <v>65612</v>
      </c>
    </row>
    <row r="1147">
      <c r="A1147" s="35">
        <f>IFERROR(__xludf.DUMMYFUNCTION("""COMPUTED_VALUE"""),1249.0)</f>
        <v>1249</v>
      </c>
      <c r="B1147" s="35" t="str">
        <f>IFERROR(__xludf.DUMMYFUNCTION("""COMPUTED_VALUE"""),"Snapshot Array")</f>
        <v>Snapshot Array</v>
      </c>
      <c r="C1147" s="35" t="str">
        <f>IFERROR(__xludf.DUMMYFUNCTION("""COMPUTED_VALUE"""),"snapshot-array")</f>
        <v>snapshot-array</v>
      </c>
      <c r="D1147" s="35" t="b">
        <f>IFERROR(__xludf.DUMMYFUNCTION("""COMPUTED_VALUE"""),FALSE)</f>
        <v>0</v>
      </c>
      <c r="E1147" s="35" t="str">
        <f>IFERROR(__xludf.DUMMYFUNCTION("""COMPUTED_VALUE"""),"Medium")</f>
        <v>Medium</v>
      </c>
      <c r="F1147" s="35">
        <f>IFERROR(__xludf.DUMMYFUNCTION("""COMPUTED_VALUE"""),1528.0)</f>
        <v>1528</v>
      </c>
      <c r="G1147" s="35">
        <f>IFERROR(__xludf.DUMMYFUNCTION("""COMPUTED_VALUE"""),237.0)</f>
        <v>237</v>
      </c>
      <c r="H1147" s="35" t="str">
        <f>IFERROR(__xludf.DUMMYFUNCTION("""COMPUTED_VALUE"""),"Algorithms")</f>
        <v>Algorithms</v>
      </c>
      <c r="I1147" s="35">
        <f>IFERROR(__xludf.DUMMYFUNCTION("""COMPUTED_VALUE"""),0.37)</f>
        <v>0.37</v>
      </c>
      <c r="J1147" s="35">
        <f>IFERROR(__xludf.DUMMYFUNCTION("""COMPUTED_VALUE"""),1146.0)</f>
        <v>1146</v>
      </c>
      <c r="K1147" s="35" t="b">
        <f>IFERROR(__xludf.DUMMYFUNCTION("""COMPUTED_VALUE"""),FALSE)</f>
        <v>0</v>
      </c>
      <c r="L1147" s="35" t="str">
        <f>IFERROR(__xludf.DUMMYFUNCTION("""COMPUTED_VALUE"""),"Array;Hash Table;Binary Search;Design;")</f>
        <v>Array;Hash Table;Binary Search;Design;</v>
      </c>
      <c r="M1147" s="35" t="b">
        <f>IFERROR(__xludf.DUMMYFUNCTION("""COMPUTED_VALUE"""),FALSE)</f>
        <v>0</v>
      </c>
      <c r="N1147" s="35" t="b">
        <f>IFERROR(__xludf.DUMMYFUNCTION("""COMPUTED_VALUE"""),FALSE)</f>
        <v>0</v>
      </c>
      <c r="O1147" s="35">
        <f>IFERROR(__xludf.DUMMYFUNCTION("""COMPUTED_VALUE"""),37.019484138569)</f>
        <v>37.01948414</v>
      </c>
      <c r="P1147" s="35">
        <f>IFERROR(__xludf.DUMMYFUNCTION("""COMPUTED_VALUE"""),97639.0)</f>
        <v>97639</v>
      </c>
      <c r="Q1147" s="35">
        <f>IFERROR(__xludf.DUMMYFUNCTION("""COMPUTED_VALUE"""),263743.0)</f>
        <v>263743</v>
      </c>
    </row>
    <row r="1148">
      <c r="A1148" s="35">
        <f>IFERROR(__xludf.DUMMYFUNCTION("""COMPUTED_VALUE"""),1251.0)</f>
        <v>1251</v>
      </c>
      <c r="B1148" s="35" t="str">
        <f>IFERROR(__xludf.DUMMYFUNCTION("""COMPUTED_VALUE"""),"Longest Chunked Palindrome Decomposition")</f>
        <v>Longest Chunked Palindrome Decomposition</v>
      </c>
      <c r="C1148" s="35" t="str">
        <f>IFERROR(__xludf.DUMMYFUNCTION("""COMPUTED_VALUE"""),"longest-chunked-palindrome-decomposition")</f>
        <v>longest-chunked-palindrome-decomposition</v>
      </c>
      <c r="D1148" s="35" t="b">
        <f>IFERROR(__xludf.DUMMYFUNCTION("""COMPUTED_VALUE"""),FALSE)</f>
        <v>0</v>
      </c>
      <c r="E1148" s="35" t="str">
        <f>IFERROR(__xludf.DUMMYFUNCTION("""COMPUTED_VALUE"""),"Hard")</f>
        <v>Hard</v>
      </c>
      <c r="F1148" s="35">
        <f>IFERROR(__xludf.DUMMYFUNCTION("""COMPUTED_VALUE"""),400.0)</f>
        <v>400</v>
      </c>
      <c r="G1148" s="35">
        <f>IFERROR(__xludf.DUMMYFUNCTION("""COMPUTED_VALUE"""),24.0)</f>
        <v>24</v>
      </c>
      <c r="H1148" s="35" t="str">
        <f>IFERROR(__xludf.DUMMYFUNCTION("""COMPUTED_VALUE"""),"Algorithms")</f>
        <v>Algorithms</v>
      </c>
      <c r="I1148" s="35">
        <f>IFERROR(__xludf.DUMMYFUNCTION("""COMPUTED_VALUE"""),0.602)</f>
        <v>0.602</v>
      </c>
      <c r="J1148" s="35">
        <f>IFERROR(__xludf.DUMMYFUNCTION("""COMPUTED_VALUE"""),1147.0)</f>
        <v>1147</v>
      </c>
      <c r="K1148" s="35" t="b">
        <f>IFERROR(__xludf.DUMMYFUNCTION("""COMPUTED_VALUE"""),FALSE)</f>
        <v>0</v>
      </c>
      <c r="L1148" s="35" t="str">
        <f>IFERROR(__xludf.DUMMYFUNCTION("""COMPUTED_VALUE"""),"Two Pointers;String;Dynamic Programming;Greedy;Rolling Hash;Hash Function;")</f>
        <v>Two Pointers;String;Dynamic Programming;Greedy;Rolling Hash;Hash Function;</v>
      </c>
      <c r="M1148" s="35" t="b">
        <f>IFERROR(__xludf.DUMMYFUNCTION("""COMPUTED_VALUE"""),FALSE)</f>
        <v>0</v>
      </c>
      <c r="N1148" s="35" t="b">
        <f>IFERROR(__xludf.DUMMYFUNCTION("""COMPUTED_VALUE"""),FALSE)</f>
        <v>0</v>
      </c>
      <c r="O1148" s="35">
        <f>IFERROR(__xludf.DUMMYFUNCTION("""COMPUTED_VALUE"""),60.2493859814849)</f>
        <v>60.24938598</v>
      </c>
      <c r="P1148" s="35">
        <f>IFERROR(__xludf.DUMMYFUNCTION("""COMPUTED_VALUE"""),15945.0)</f>
        <v>15945</v>
      </c>
      <c r="Q1148" s="35">
        <f>IFERROR(__xludf.DUMMYFUNCTION("""COMPUTED_VALUE"""),26465.0)</f>
        <v>26465</v>
      </c>
    </row>
    <row r="1149">
      <c r="A1149" s="35">
        <f>IFERROR(__xludf.DUMMYFUNCTION("""COMPUTED_VALUE"""),1258.0)</f>
        <v>1258</v>
      </c>
      <c r="B1149" s="35" t="str">
        <f>IFERROR(__xludf.DUMMYFUNCTION("""COMPUTED_VALUE"""),"Article Views I")</f>
        <v>Article Views I</v>
      </c>
      <c r="C1149" s="35" t="str">
        <f>IFERROR(__xludf.DUMMYFUNCTION("""COMPUTED_VALUE"""),"article-views-i")</f>
        <v>article-views-i</v>
      </c>
      <c r="D1149" s="35" t="b">
        <f>IFERROR(__xludf.DUMMYFUNCTION("""COMPUTED_VALUE"""),TRUE)</f>
        <v>1</v>
      </c>
      <c r="E1149" s="35" t="str">
        <f>IFERROR(__xludf.DUMMYFUNCTION("""COMPUTED_VALUE"""),"Easy")</f>
        <v>Easy</v>
      </c>
      <c r="F1149" s="35">
        <f>IFERROR(__xludf.DUMMYFUNCTION("""COMPUTED_VALUE"""),79.0)</f>
        <v>79</v>
      </c>
      <c r="G1149" s="35">
        <f>IFERROR(__xludf.DUMMYFUNCTION("""COMPUTED_VALUE"""),12.0)</f>
        <v>12</v>
      </c>
      <c r="H1149" s="35" t="str">
        <f>IFERROR(__xludf.DUMMYFUNCTION("""COMPUTED_VALUE"""),"Database")</f>
        <v>Database</v>
      </c>
      <c r="I1149" s="35">
        <f>IFERROR(__xludf.DUMMYFUNCTION("""COMPUTED_VALUE"""),0.767)</f>
        <v>0.767</v>
      </c>
      <c r="J1149" s="35">
        <f>IFERROR(__xludf.DUMMYFUNCTION("""COMPUTED_VALUE"""),1148.0)</f>
        <v>1148</v>
      </c>
      <c r="K1149" s="35" t="b">
        <f>IFERROR(__xludf.DUMMYFUNCTION("""COMPUTED_VALUE"""),TRUE)</f>
        <v>1</v>
      </c>
      <c r="L1149" s="35" t="str">
        <f>IFERROR(__xludf.DUMMYFUNCTION("""COMPUTED_VALUE"""),"Database;")</f>
        <v>Database;</v>
      </c>
      <c r="M1149" s="35" t="b">
        <f>IFERROR(__xludf.DUMMYFUNCTION("""COMPUTED_VALUE"""),FALSE)</f>
        <v>0</v>
      </c>
      <c r="N1149" s="35" t="b">
        <f>IFERROR(__xludf.DUMMYFUNCTION("""COMPUTED_VALUE"""),FALSE)</f>
        <v>0</v>
      </c>
      <c r="O1149" s="35">
        <f>IFERROR(__xludf.DUMMYFUNCTION("""COMPUTED_VALUE"""),76.7166970365397)</f>
        <v>76.71669704</v>
      </c>
      <c r="P1149" s="35">
        <f>IFERROR(__xludf.DUMMYFUNCTION("""COMPUTED_VALUE"""),31997.0)</f>
        <v>31997</v>
      </c>
      <c r="Q1149" s="35">
        <f>IFERROR(__xludf.DUMMYFUNCTION("""COMPUTED_VALUE"""),41708.0)</f>
        <v>41708</v>
      </c>
    </row>
    <row r="1150">
      <c r="A1150" s="35">
        <f>IFERROR(__xludf.DUMMYFUNCTION("""COMPUTED_VALUE"""),1259.0)</f>
        <v>1259</v>
      </c>
      <c r="B1150" s="35" t="str">
        <f>IFERROR(__xludf.DUMMYFUNCTION("""COMPUTED_VALUE"""),"Article Views II")</f>
        <v>Article Views II</v>
      </c>
      <c r="C1150" s="35" t="str">
        <f>IFERROR(__xludf.DUMMYFUNCTION("""COMPUTED_VALUE"""),"article-views-ii")</f>
        <v>article-views-ii</v>
      </c>
      <c r="D1150" s="35" t="b">
        <f>IFERROR(__xludf.DUMMYFUNCTION("""COMPUTED_VALUE"""),TRUE)</f>
        <v>1</v>
      </c>
      <c r="E1150" s="35" t="str">
        <f>IFERROR(__xludf.DUMMYFUNCTION("""COMPUTED_VALUE"""),"Medium")</f>
        <v>Medium</v>
      </c>
      <c r="F1150" s="35">
        <f>IFERROR(__xludf.DUMMYFUNCTION("""COMPUTED_VALUE"""),77.0)</f>
        <v>77</v>
      </c>
      <c r="G1150" s="35">
        <f>IFERROR(__xludf.DUMMYFUNCTION("""COMPUTED_VALUE"""),25.0)</f>
        <v>25</v>
      </c>
      <c r="H1150" s="35" t="str">
        <f>IFERROR(__xludf.DUMMYFUNCTION("""COMPUTED_VALUE"""),"Database")</f>
        <v>Database</v>
      </c>
      <c r="I1150" s="35">
        <f>IFERROR(__xludf.DUMMYFUNCTION("""COMPUTED_VALUE"""),0.479)</f>
        <v>0.479</v>
      </c>
      <c r="J1150" s="35">
        <f>IFERROR(__xludf.DUMMYFUNCTION("""COMPUTED_VALUE"""),1149.0)</f>
        <v>1149</v>
      </c>
      <c r="K1150" s="35" t="b">
        <f>IFERROR(__xludf.DUMMYFUNCTION("""COMPUTED_VALUE"""),TRUE)</f>
        <v>1</v>
      </c>
      <c r="L1150" s="35" t="str">
        <f>IFERROR(__xludf.DUMMYFUNCTION("""COMPUTED_VALUE"""),"Database;")</f>
        <v>Database;</v>
      </c>
      <c r="M1150" s="35" t="b">
        <f>IFERROR(__xludf.DUMMYFUNCTION("""COMPUTED_VALUE"""),FALSE)</f>
        <v>0</v>
      </c>
      <c r="N1150" s="35" t="b">
        <f>IFERROR(__xludf.DUMMYFUNCTION("""COMPUTED_VALUE"""),FALSE)</f>
        <v>0</v>
      </c>
      <c r="O1150" s="35">
        <f>IFERROR(__xludf.DUMMYFUNCTION("""COMPUTED_VALUE"""),47.9309704954537)</f>
        <v>47.9309705</v>
      </c>
      <c r="P1150" s="35">
        <f>IFERROR(__xludf.DUMMYFUNCTION("""COMPUTED_VALUE"""),23247.0)</f>
        <v>23247</v>
      </c>
      <c r="Q1150" s="35">
        <f>IFERROR(__xludf.DUMMYFUNCTION("""COMPUTED_VALUE"""),48501.0)</f>
        <v>48501</v>
      </c>
    </row>
    <row r="1151">
      <c r="A1151" s="35">
        <f>IFERROR(__xludf.DUMMYFUNCTION("""COMPUTED_VALUE"""),1102.0)</f>
        <v>1102</v>
      </c>
      <c r="B1151" s="35" t="str">
        <f>IFERROR(__xludf.DUMMYFUNCTION("""COMPUTED_VALUE"""),"Check If a Number Is Majority Element in a Sorted Array")</f>
        <v>Check If a Number Is Majority Element in a Sorted Array</v>
      </c>
      <c r="C1151" s="35" t="str">
        <f>IFERROR(__xludf.DUMMYFUNCTION("""COMPUTED_VALUE"""),"check-if-a-number-is-majority-element-in-a-sorted-array")</f>
        <v>check-if-a-number-is-majority-element-in-a-sorted-array</v>
      </c>
      <c r="D1151" s="35" t="b">
        <f>IFERROR(__xludf.DUMMYFUNCTION("""COMPUTED_VALUE"""),TRUE)</f>
        <v>1</v>
      </c>
      <c r="E1151" s="35" t="str">
        <f>IFERROR(__xludf.DUMMYFUNCTION("""COMPUTED_VALUE"""),"Easy")</f>
        <v>Easy</v>
      </c>
      <c r="F1151" s="35">
        <f>IFERROR(__xludf.DUMMYFUNCTION("""COMPUTED_VALUE"""),288.0)</f>
        <v>288</v>
      </c>
      <c r="G1151" s="35">
        <f>IFERROR(__xludf.DUMMYFUNCTION("""COMPUTED_VALUE"""),30.0)</f>
        <v>30</v>
      </c>
      <c r="H1151" s="35" t="str">
        <f>IFERROR(__xludf.DUMMYFUNCTION("""COMPUTED_VALUE"""),"Algorithms")</f>
        <v>Algorithms</v>
      </c>
      <c r="I1151" s="35">
        <f>IFERROR(__xludf.DUMMYFUNCTION("""COMPUTED_VALUE"""),0.567)</f>
        <v>0.567</v>
      </c>
      <c r="J1151" s="35">
        <f>IFERROR(__xludf.DUMMYFUNCTION("""COMPUTED_VALUE"""),1150.0)</f>
        <v>1150</v>
      </c>
      <c r="K1151" s="35" t="b">
        <f>IFERROR(__xludf.DUMMYFUNCTION("""COMPUTED_VALUE"""),TRUE)</f>
        <v>1</v>
      </c>
      <c r="L1151" s="35" t="str">
        <f>IFERROR(__xludf.DUMMYFUNCTION("""COMPUTED_VALUE"""),"Array;Binary Search;")</f>
        <v>Array;Binary Search;</v>
      </c>
      <c r="M1151" s="35" t="b">
        <f>IFERROR(__xludf.DUMMYFUNCTION("""COMPUTED_VALUE"""),FALSE)</f>
        <v>0</v>
      </c>
      <c r="N1151" s="35" t="b">
        <f>IFERROR(__xludf.DUMMYFUNCTION("""COMPUTED_VALUE"""),FALSE)</f>
        <v>0</v>
      </c>
      <c r="O1151" s="35">
        <f>IFERROR(__xludf.DUMMYFUNCTION("""COMPUTED_VALUE"""),56.7116907312529)</f>
        <v>56.71169073</v>
      </c>
      <c r="P1151" s="35">
        <f>IFERROR(__xludf.DUMMYFUNCTION("""COMPUTED_VALUE"""),30438.0)</f>
        <v>30438</v>
      </c>
      <c r="Q1151" s="35">
        <f>IFERROR(__xludf.DUMMYFUNCTION("""COMPUTED_VALUE"""),53671.0)</f>
        <v>53671</v>
      </c>
    </row>
    <row r="1152">
      <c r="A1152" s="35">
        <f>IFERROR(__xludf.DUMMYFUNCTION("""COMPUTED_VALUE"""),1107.0)</f>
        <v>1107</v>
      </c>
      <c r="B1152" s="35" t="str">
        <f>IFERROR(__xludf.DUMMYFUNCTION("""COMPUTED_VALUE"""),"Minimum Swaps to Group All 1's Together")</f>
        <v>Minimum Swaps to Group All 1's Together</v>
      </c>
      <c r="C1152" s="35" t="str">
        <f>IFERROR(__xludf.DUMMYFUNCTION("""COMPUTED_VALUE"""),"minimum-swaps-to-group-all-1s-together")</f>
        <v>minimum-swaps-to-group-all-1s-together</v>
      </c>
      <c r="D1152" s="35" t="b">
        <f>IFERROR(__xludf.DUMMYFUNCTION("""COMPUTED_VALUE"""),TRUE)</f>
        <v>1</v>
      </c>
      <c r="E1152" s="35" t="str">
        <f>IFERROR(__xludf.DUMMYFUNCTION("""COMPUTED_VALUE"""),"Medium")</f>
        <v>Medium</v>
      </c>
      <c r="F1152" s="35">
        <f>IFERROR(__xludf.DUMMYFUNCTION("""COMPUTED_VALUE"""),739.0)</f>
        <v>739</v>
      </c>
      <c r="G1152" s="35">
        <f>IFERROR(__xludf.DUMMYFUNCTION("""COMPUTED_VALUE"""),9.0)</f>
        <v>9</v>
      </c>
      <c r="H1152" s="35" t="str">
        <f>IFERROR(__xludf.DUMMYFUNCTION("""COMPUTED_VALUE"""),"Algorithms")</f>
        <v>Algorithms</v>
      </c>
      <c r="I1152" s="35">
        <f>IFERROR(__xludf.DUMMYFUNCTION("""COMPUTED_VALUE"""),0.594)</f>
        <v>0.594</v>
      </c>
      <c r="J1152" s="35">
        <f>IFERROR(__xludf.DUMMYFUNCTION("""COMPUTED_VALUE"""),1151.0)</f>
        <v>1151</v>
      </c>
      <c r="K1152" s="35" t="b">
        <f>IFERROR(__xludf.DUMMYFUNCTION("""COMPUTED_VALUE"""),TRUE)</f>
        <v>1</v>
      </c>
      <c r="L1152" s="35" t="str">
        <f>IFERROR(__xludf.DUMMYFUNCTION("""COMPUTED_VALUE"""),"Array;Sliding Window;")</f>
        <v>Array;Sliding Window;</v>
      </c>
      <c r="M1152" s="35" t="b">
        <f>IFERROR(__xludf.DUMMYFUNCTION("""COMPUTED_VALUE"""),TRUE)</f>
        <v>1</v>
      </c>
      <c r="N1152" s="35" t="b">
        <f>IFERROR(__xludf.DUMMYFUNCTION("""COMPUTED_VALUE"""),TRUE)</f>
        <v>1</v>
      </c>
      <c r="O1152" s="35">
        <f>IFERROR(__xludf.DUMMYFUNCTION("""COMPUTED_VALUE"""),59.4030605792335)</f>
        <v>59.40306058</v>
      </c>
      <c r="P1152" s="35">
        <f>IFERROR(__xludf.DUMMYFUNCTION("""COMPUTED_VALUE"""),32879.0)</f>
        <v>32879</v>
      </c>
      <c r="Q1152" s="35">
        <f>IFERROR(__xludf.DUMMYFUNCTION("""COMPUTED_VALUE"""),55347.0)</f>
        <v>55347</v>
      </c>
    </row>
    <row r="1153">
      <c r="A1153" s="35">
        <f>IFERROR(__xludf.DUMMYFUNCTION("""COMPUTED_VALUE"""),1108.0)</f>
        <v>1108</v>
      </c>
      <c r="B1153" s="35" t="str">
        <f>IFERROR(__xludf.DUMMYFUNCTION("""COMPUTED_VALUE"""),"Analyze User Website Visit Pattern")</f>
        <v>Analyze User Website Visit Pattern</v>
      </c>
      <c r="C1153" s="35" t="str">
        <f>IFERROR(__xludf.DUMMYFUNCTION("""COMPUTED_VALUE"""),"analyze-user-website-visit-pattern")</f>
        <v>analyze-user-website-visit-pattern</v>
      </c>
      <c r="D1153" s="35" t="b">
        <f>IFERROR(__xludf.DUMMYFUNCTION("""COMPUTED_VALUE"""),TRUE)</f>
        <v>1</v>
      </c>
      <c r="E1153" s="35" t="str">
        <f>IFERROR(__xludf.DUMMYFUNCTION("""COMPUTED_VALUE"""),"Medium")</f>
        <v>Medium</v>
      </c>
      <c r="F1153" s="35">
        <f>IFERROR(__xludf.DUMMYFUNCTION("""COMPUTED_VALUE"""),294.0)</f>
        <v>294</v>
      </c>
      <c r="G1153" s="35">
        <f>IFERROR(__xludf.DUMMYFUNCTION("""COMPUTED_VALUE"""),2553.0)</f>
        <v>2553</v>
      </c>
      <c r="H1153" s="35" t="str">
        <f>IFERROR(__xludf.DUMMYFUNCTION("""COMPUTED_VALUE"""),"Algorithms")</f>
        <v>Algorithms</v>
      </c>
      <c r="I1153" s="35">
        <f>IFERROR(__xludf.DUMMYFUNCTION("""COMPUTED_VALUE"""),0.435)</f>
        <v>0.435</v>
      </c>
      <c r="J1153" s="35">
        <f>IFERROR(__xludf.DUMMYFUNCTION("""COMPUTED_VALUE"""),1152.0)</f>
        <v>1152</v>
      </c>
      <c r="K1153" s="35" t="b">
        <f>IFERROR(__xludf.DUMMYFUNCTION("""COMPUTED_VALUE"""),TRUE)</f>
        <v>1</v>
      </c>
      <c r="L1153" s="35" t="str">
        <f>IFERROR(__xludf.DUMMYFUNCTION("""COMPUTED_VALUE"""),"Array;Hash Table;Sorting;")</f>
        <v>Array;Hash Table;Sorting;</v>
      </c>
      <c r="M1153" s="35" t="b">
        <f>IFERROR(__xludf.DUMMYFUNCTION("""COMPUTED_VALUE"""),FALSE)</f>
        <v>0</v>
      </c>
      <c r="N1153" s="35" t="b">
        <f>IFERROR(__xludf.DUMMYFUNCTION("""COMPUTED_VALUE"""),FALSE)</f>
        <v>0</v>
      </c>
      <c r="O1153" s="35">
        <f>IFERROR(__xludf.DUMMYFUNCTION("""COMPUTED_VALUE"""),43.5331899294089)</f>
        <v>43.53318993</v>
      </c>
      <c r="P1153" s="35">
        <f>IFERROR(__xludf.DUMMYFUNCTION("""COMPUTED_VALUE"""),57476.0)</f>
        <v>57476</v>
      </c>
      <c r="Q1153" s="35">
        <f>IFERROR(__xludf.DUMMYFUNCTION("""COMPUTED_VALUE"""),132023.0)</f>
        <v>132023</v>
      </c>
    </row>
    <row r="1154">
      <c r="A1154" s="35">
        <f>IFERROR(__xludf.DUMMYFUNCTION("""COMPUTED_VALUE"""),1124.0)</f>
        <v>1124</v>
      </c>
      <c r="B1154" s="35" t="str">
        <f>IFERROR(__xludf.DUMMYFUNCTION("""COMPUTED_VALUE"""),"String Transforms Into Another String")</f>
        <v>String Transforms Into Another String</v>
      </c>
      <c r="C1154" s="35" t="str">
        <f>IFERROR(__xludf.DUMMYFUNCTION("""COMPUTED_VALUE"""),"string-transforms-into-another-string")</f>
        <v>string-transforms-into-another-string</v>
      </c>
      <c r="D1154" s="35" t="b">
        <f>IFERROR(__xludf.DUMMYFUNCTION("""COMPUTED_VALUE"""),TRUE)</f>
        <v>1</v>
      </c>
      <c r="E1154" s="35" t="str">
        <f>IFERROR(__xludf.DUMMYFUNCTION("""COMPUTED_VALUE"""),"Hard")</f>
        <v>Hard</v>
      </c>
      <c r="F1154" s="35">
        <f>IFERROR(__xludf.DUMMYFUNCTION("""COMPUTED_VALUE"""),785.0)</f>
        <v>785</v>
      </c>
      <c r="G1154" s="35">
        <f>IFERROR(__xludf.DUMMYFUNCTION("""COMPUTED_VALUE"""),297.0)</f>
        <v>297</v>
      </c>
      <c r="H1154" s="35" t="str">
        <f>IFERROR(__xludf.DUMMYFUNCTION("""COMPUTED_VALUE"""),"Algorithms")</f>
        <v>Algorithms</v>
      </c>
      <c r="I1154" s="35">
        <f>IFERROR(__xludf.DUMMYFUNCTION("""COMPUTED_VALUE"""),0.355)</f>
        <v>0.355</v>
      </c>
      <c r="J1154" s="35">
        <f>IFERROR(__xludf.DUMMYFUNCTION("""COMPUTED_VALUE"""),1153.0)</f>
        <v>1153</v>
      </c>
      <c r="K1154" s="35" t="b">
        <f>IFERROR(__xludf.DUMMYFUNCTION("""COMPUTED_VALUE"""),TRUE)</f>
        <v>1</v>
      </c>
      <c r="L1154" s="35" t="str">
        <f>IFERROR(__xludf.DUMMYFUNCTION("""COMPUTED_VALUE"""),"Hash Table;String;")</f>
        <v>Hash Table;String;</v>
      </c>
      <c r="M1154" s="35" t="b">
        <f>IFERROR(__xludf.DUMMYFUNCTION("""COMPUTED_VALUE"""),TRUE)</f>
        <v>1</v>
      </c>
      <c r="N1154" s="35" t="b">
        <f>IFERROR(__xludf.DUMMYFUNCTION("""COMPUTED_VALUE"""),FALSE)</f>
        <v>0</v>
      </c>
      <c r="O1154" s="35">
        <f>IFERROR(__xludf.DUMMYFUNCTION("""COMPUTED_VALUE"""),35.5183977215306)</f>
        <v>35.51839772</v>
      </c>
      <c r="P1154" s="35">
        <f>IFERROR(__xludf.DUMMYFUNCTION("""COMPUTED_VALUE"""),46392.0)</f>
        <v>46392</v>
      </c>
      <c r="Q1154" s="35">
        <f>IFERROR(__xludf.DUMMYFUNCTION("""COMPUTED_VALUE"""),130611.0)</f>
        <v>130611</v>
      </c>
    </row>
    <row r="1155">
      <c r="A1155" s="35">
        <f>IFERROR(__xludf.DUMMYFUNCTION("""COMPUTED_VALUE"""),1260.0)</f>
        <v>1260</v>
      </c>
      <c r="B1155" s="35" t="str">
        <f>IFERROR(__xludf.DUMMYFUNCTION("""COMPUTED_VALUE"""),"Day of the Year")</f>
        <v>Day of the Year</v>
      </c>
      <c r="C1155" s="35" t="str">
        <f>IFERROR(__xludf.DUMMYFUNCTION("""COMPUTED_VALUE"""),"day-of-the-year")</f>
        <v>day-of-the-year</v>
      </c>
      <c r="D1155" s="35" t="b">
        <f>IFERROR(__xludf.DUMMYFUNCTION("""COMPUTED_VALUE"""),FALSE)</f>
        <v>0</v>
      </c>
      <c r="E1155" s="35" t="str">
        <f>IFERROR(__xludf.DUMMYFUNCTION("""COMPUTED_VALUE"""),"Easy")</f>
        <v>Easy</v>
      </c>
      <c r="F1155" s="35">
        <f>IFERROR(__xludf.DUMMYFUNCTION("""COMPUTED_VALUE"""),232.0)</f>
        <v>232</v>
      </c>
      <c r="G1155" s="35">
        <f>IFERROR(__xludf.DUMMYFUNCTION("""COMPUTED_VALUE"""),298.0)</f>
        <v>298</v>
      </c>
      <c r="H1155" s="35" t="str">
        <f>IFERROR(__xludf.DUMMYFUNCTION("""COMPUTED_VALUE"""),"Algorithms")</f>
        <v>Algorithms</v>
      </c>
      <c r="I1155" s="35">
        <f>IFERROR(__xludf.DUMMYFUNCTION("""COMPUTED_VALUE"""),0.51)</f>
        <v>0.51</v>
      </c>
      <c r="J1155" s="35">
        <f>IFERROR(__xludf.DUMMYFUNCTION("""COMPUTED_VALUE"""),1154.0)</f>
        <v>1154</v>
      </c>
      <c r="K1155" s="35" t="b">
        <f>IFERROR(__xludf.DUMMYFUNCTION("""COMPUTED_VALUE"""),FALSE)</f>
        <v>0</v>
      </c>
      <c r="L1155" s="35" t="str">
        <f>IFERROR(__xludf.DUMMYFUNCTION("""COMPUTED_VALUE"""),"Math;String;")</f>
        <v>Math;String;</v>
      </c>
      <c r="M1155" s="35" t="b">
        <f>IFERROR(__xludf.DUMMYFUNCTION("""COMPUTED_VALUE"""),FALSE)</f>
        <v>0</v>
      </c>
      <c r="N1155" s="35" t="b">
        <f>IFERROR(__xludf.DUMMYFUNCTION("""COMPUTED_VALUE"""),FALSE)</f>
        <v>0</v>
      </c>
      <c r="O1155" s="35">
        <f>IFERROR(__xludf.DUMMYFUNCTION("""COMPUTED_VALUE"""),50.999951654231)</f>
        <v>50.99995165</v>
      </c>
      <c r="P1155" s="35">
        <f>IFERROR(__xludf.DUMMYFUNCTION("""COMPUTED_VALUE"""),31647.0)</f>
        <v>31647</v>
      </c>
      <c r="Q1155" s="35">
        <f>IFERROR(__xludf.DUMMYFUNCTION("""COMPUTED_VALUE"""),62053.0)</f>
        <v>62053</v>
      </c>
    </row>
    <row r="1156">
      <c r="A1156" s="35">
        <f>IFERROR(__xludf.DUMMYFUNCTION("""COMPUTED_VALUE"""),1263.0)</f>
        <v>1263</v>
      </c>
      <c r="B1156" s="35" t="str">
        <f>IFERROR(__xludf.DUMMYFUNCTION("""COMPUTED_VALUE"""),"Number of Dice Rolls With Target Sum")</f>
        <v>Number of Dice Rolls With Target Sum</v>
      </c>
      <c r="C1156" s="35" t="str">
        <f>IFERROR(__xludf.DUMMYFUNCTION("""COMPUTED_VALUE"""),"number-of-dice-rolls-with-target-sum")</f>
        <v>number-of-dice-rolls-with-target-sum</v>
      </c>
      <c r="D1156" s="35" t="b">
        <f>IFERROR(__xludf.DUMMYFUNCTION("""COMPUTED_VALUE"""),FALSE)</f>
        <v>0</v>
      </c>
      <c r="E1156" s="35" t="str">
        <f>IFERROR(__xludf.DUMMYFUNCTION("""COMPUTED_VALUE"""),"Medium")</f>
        <v>Medium</v>
      </c>
      <c r="F1156" s="35">
        <f>IFERROR(__xludf.DUMMYFUNCTION("""COMPUTED_VALUE"""),1884.0)</f>
        <v>1884</v>
      </c>
      <c r="G1156" s="35">
        <f>IFERROR(__xludf.DUMMYFUNCTION("""COMPUTED_VALUE"""),84.0)</f>
        <v>84</v>
      </c>
      <c r="H1156" s="35" t="str">
        <f>IFERROR(__xludf.DUMMYFUNCTION("""COMPUTED_VALUE"""),"Algorithms")</f>
        <v>Algorithms</v>
      </c>
      <c r="I1156" s="35">
        <f>IFERROR(__xludf.DUMMYFUNCTION("""COMPUTED_VALUE"""),0.476)</f>
        <v>0.476</v>
      </c>
      <c r="J1156" s="35">
        <f>IFERROR(__xludf.DUMMYFUNCTION("""COMPUTED_VALUE"""),1155.0)</f>
        <v>1155</v>
      </c>
      <c r="K1156" s="35" t="b">
        <f>IFERROR(__xludf.DUMMYFUNCTION("""COMPUTED_VALUE"""),FALSE)</f>
        <v>0</v>
      </c>
      <c r="L1156" s="35" t="str">
        <f>IFERROR(__xludf.DUMMYFUNCTION("""COMPUTED_VALUE"""),"Dynamic Programming;")</f>
        <v>Dynamic Programming;</v>
      </c>
      <c r="M1156" s="35" t="b">
        <f>IFERROR(__xludf.DUMMYFUNCTION("""COMPUTED_VALUE"""),FALSE)</f>
        <v>0</v>
      </c>
      <c r="N1156" s="35" t="b">
        <f>IFERROR(__xludf.DUMMYFUNCTION("""COMPUTED_VALUE"""),FALSE)</f>
        <v>0</v>
      </c>
      <c r="O1156" s="35">
        <f>IFERROR(__xludf.DUMMYFUNCTION("""COMPUTED_VALUE"""),47.6488006962914)</f>
        <v>47.6488007</v>
      </c>
      <c r="P1156" s="35">
        <f>IFERROR(__xludf.DUMMYFUNCTION("""COMPUTED_VALUE"""),97993.0)</f>
        <v>97993</v>
      </c>
      <c r="Q1156" s="35">
        <f>IFERROR(__xludf.DUMMYFUNCTION("""COMPUTED_VALUE"""),205656.0)</f>
        <v>205656</v>
      </c>
    </row>
    <row r="1157">
      <c r="A1157" s="35">
        <f>IFERROR(__xludf.DUMMYFUNCTION("""COMPUTED_VALUE"""),1261.0)</f>
        <v>1261</v>
      </c>
      <c r="B1157" s="35" t="str">
        <f>IFERROR(__xludf.DUMMYFUNCTION("""COMPUTED_VALUE"""),"Swap For Longest Repeated Character Substring")</f>
        <v>Swap For Longest Repeated Character Substring</v>
      </c>
      <c r="C1157" s="35" t="str">
        <f>IFERROR(__xludf.DUMMYFUNCTION("""COMPUTED_VALUE"""),"swap-for-longest-repeated-character-substring")</f>
        <v>swap-for-longest-repeated-character-substring</v>
      </c>
      <c r="D1157" s="35" t="b">
        <f>IFERROR(__xludf.DUMMYFUNCTION("""COMPUTED_VALUE"""),FALSE)</f>
        <v>0</v>
      </c>
      <c r="E1157" s="35" t="str">
        <f>IFERROR(__xludf.DUMMYFUNCTION("""COMPUTED_VALUE"""),"Medium")</f>
        <v>Medium</v>
      </c>
      <c r="F1157" s="35">
        <f>IFERROR(__xludf.DUMMYFUNCTION("""COMPUTED_VALUE"""),678.0)</f>
        <v>678</v>
      </c>
      <c r="G1157" s="35">
        <f>IFERROR(__xludf.DUMMYFUNCTION("""COMPUTED_VALUE"""),62.0)</f>
        <v>62</v>
      </c>
      <c r="H1157" s="35" t="str">
        <f>IFERROR(__xludf.DUMMYFUNCTION("""COMPUTED_VALUE"""),"Algorithms")</f>
        <v>Algorithms</v>
      </c>
      <c r="I1157" s="35">
        <f>IFERROR(__xludf.DUMMYFUNCTION("""COMPUTED_VALUE"""),0.464)</f>
        <v>0.464</v>
      </c>
      <c r="J1157" s="35">
        <f>IFERROR(__xludf.DUMMYFUNCTION("""COMPUTED_VALUE"""),1156.0)</f>
        <v>1156</v>
      </c>
      <c r="K1157" s="35" t="b">
        <f>IFERROR(__xludf.DUMMYFUNCTION("""COMPUTED_VALUE"""),FALSE)</f>
        <v>0</v>
      </c>
      <c r="L1157" s="35" t="str">
        <f>IFERROR(__xludf.DUMMYFUNCTION("""COMPUTED_VALUE"""),"String;Sliding Window;")</f>
        <v>String;Sliding Window;</v>
      </c>
      <c r="M1157" s="35" t="b">
        <f>IFERROR(__xludf.DUMMYFUNCTION("""COMPUTED_VALUE"""),FALSE)</f>
        <v>0</v>
      </c>
      <c r="N1157" s="35" t="b">
        <f>IFERROR(__xludf.DUMMYFUNCTION("""COMPUTED_VALUE"""),FALSE)</f>
        <v>0</v>
      </c>
      <c r="O1157" s="35">
        <f>IFERROR(__xludf.DUMMYFUNCTION("""COMPUTED_VALUE"""),46.433770014556)</f>
        <v>46.43377001</v>
      </c>
      <c r="P1157" s="35">
        <f>IFERROR(__xludf.DUMMYFUNCTION("""COMPUTED_VALUE"""),22011.0)</f>
        <v>22011</v>
      </c>
      <c r="Q1157" s="35">
        <f>IFERROR(__xludf.DUMMYFUNCTION("""COMPUTED_VALUE"""),47403.0)</f>
        <v>47403</v>
      </c>
    </row>
    <row r="1158">
      <c r="A1158" s="35">
        <f>IFERROR(__xludf.DUMMYFUNCTION("""COMPUTED_VALUE"""),1262.0)</f>
        <v>1262</v>
      </c>
      <c r="B1158" s="35" t="str">
        <f>IFERROR(__xludf.DUMMYFUNCTION("""COMPUTED_VALUE"""),"Online Majority Element In Subarray")</f>
        <v>Online Majority Element In Subarray</v>
      </c>
      <c r="C1158" s="35" t="str">
        <f>IFERROR(__xludf.DUMMYFUNCTION("""COMPUTED_VALUE"""),"online-majority-element-in-subarray")</f>
        <v>online-majority-element-in-subarray</v>
      </c>
      <c r="D1158" s="35" t="b">
        <f>IFERROR(__xludf.DUMMYFUNCTION("""COMPUTED_VALUE"""),FALSE)</f>
        <v>0</v>
      </c>
      <c r="E1158" s="35" t="str">
        <f>IFERROR(__xludf.DUMMYFUNCTION("""COMPUTED_VALUE"""),"Hard")</f>
        <v>Hard</v>
      </c>
      <c r="F1158" s="35">
        <f>IFERROR(__xludf.DUMMYFUNCTION("""COMPUTED_VALUE"""),432.0)</f>
        <v>432</v>
      </c>
      <c r="G1158" s="35">
        <f>IFERROR(__xludf.DUMMYFUNCTION("""COMPUTED_VALUE"""),45.0)</f>
        <v>45</v>
      </c>
      <c r="H1158" s="35" t="str">
        <f>IFERROR(__xludf.DUMMYFUNCTION("""COMPUTED_VALUE"""),"Algorithms")</f>
        <v>Algorithms</v>
      </c>
      <c r="I1158" s="35">
        <f>IFERROR(__xludf.DUMMYFUNCTION("""COMPUTED_VALUE"""),0.419)</f>
        <v>0.419</v>
      </c>
      <c r="J1158" s="35">
        <f>IFERROR(__xludf.DUMMYFUNCTION("""COMPUTED_VALUE"""),1157.0)</f>
        <v>1157</v>
      </c>
      <c r="K1158" s="35" t="b">
        <f>IFERROR(__xludf.DUMMYFUNCTION("""COMPUTED_VALUE"""),FALSE)</f>
        <v>0</v>
      </c>
      <c r="L1158" s="35" t="str">
        <f>IFERROR(__xludf.DUMMYFUNCTION("""COMPUTED_VALUE"""),"Array;Binary Search;Design;Binary Indexed Tree;Segment Tree;")</f>
        <v>Array;Binary Search;Design;Binary Indexed Tree;Segment Tree;</v>
      </c>
      <c r="M1158" s="35" t="b">
        <f>IFERROR(__xludf.DUMMYFUNCTION("""COMPUTED_VALUE"""),FALSE)</f>
        <v>0</v>
      </c>
      <c r="N1158" s="35" t="b">
        <f>IFERROR(__xludf.DUMMYFUNCTION("""COMPUTED_VALUE"""),FALSE)</f>
        <v>0</v>
      </c>
      <c r="O1158" s="35">
        <f>IFERROR(__xludf.DUMMYFUNCTION("""COMPUTED_VALUE"""),41.9418399239027)</f>
        <v>41.94183992</v>
      </c>
      <c r="P1158" s="35">
        <f>IFERROR(__xludf.DUMMYFUNCTION("""COMPUTED_VALUE"""),12346.0)</f>
        <v>12346</v>
      </c>
      <c r="Q1158" s="35">
        <f>IFERROR(__xludf.DUMMYFUNCTION("""COMPUTED_VALUE"""),29436.0)</f>
        <v>29436</v>
      </c>
    </row>
    <row r="1159">
      <c r="A1159" s="35">
        <f>IFERROR(__xludf.DUMMYFUNCTION("""COMPUTED_VALUE"""),1268.0)</f>
        <v>1268</v>
      </c>
      <c r="B1159" s="35" t="str">
        <f>IFERROR(__xludf.DUMMYFUNCTION("""COMPUTED_VALUE"""),"Market Analysis I")</f>
        <v>Market Analysis I</v>
      </c>
      <c r="C1159" s="35" t="str">
        <f>IFERROR(__xludf.DUMMYFUNCTION("""COMPUTED_VALUE"""),"market-analysis-i")</f>
        <v>market-analysis-i</v>
      </c>
      <c r="D1159" s="35" t="b">
        <f>IFERROR(__xludf.DUMMYFUNCTION("""COMPUTED_VALUE"""),TRUE)</f>
        <v>1</v>
      </c>
      <c r="E1159" s="35" t="str">
        <f>IFERROR(__xludf.DUMMYFUNCTION("""COMPUTED_VALUE"""),"Medium")</f>
        <v>Medium</v>
      </c>
      <c r="F1159" s="35">
        <f>IFERROR(__xludf.DUMMYFUNCTION("""COMPUTED_VALUE"""),99.0)</f>
        <v>99</v>
      </c>
      <c r="G1159" s="35">
        <f>IFERROR(__xludf.DUMMYFUNCTION("""COMPUTED_VALUE"""),30.0)</f>
        <v>30</v>
      </c>
      <c r="H1159" s="35" t="str">
        <f>IFERROR(__xludf.DUMMYFUNCTION("""COMPUTED_VALUE"""),"Database")</f>
        <v>Database</v>
      </c>
      <c r="I1159" s="35">
        <f>IFERROR(__xludf.DUMMYFUNCTION("""COMPUTED_VALUE"""),0.654)</f>
        <v>0.654</v>
      </c>
      <c r="J1159" s="35">
        <f>IFERROR(__xludf.DUMMYFUNCTION("""COMPUTED_VALUE"""),1158.0)</f>
        <v>1158</v>
      </c>
      <c r="K1159" s="35" t="b">
        <f>IFERROR(__xludf.DUMMYFUNCTION("""COMPUTED_VALUE"""),TRUE)</f>
        <v>1</v>
      </c>
      <c r="L1159" s="35" t="str">
        <f>IFERROR(__xludf.DUMMYFUNCTION("""COMPUTED_VALUE"""),"Database;")</f>
        <v>Database;</v>
      </c>
      <c r="M1159" s="35" t="b">
        <f>IFERROR(__xludf.DUMMYFUNCTION("""COMPUTED_VALUE"""),FALSE)</f>
        <v>0</v>
      </c>
      <c r="N1159" s="35" t="b">
        <f>IFERROR(__xludf.DUMMYFUNCTION("""COMPUTED_VALUE"""),FALSE)</f>
        <v>0</v>
      </c>
      <c r="O1159" s="35">
        <f>IFERROR(__xludf.DUMMYFUNCTION("""COMPUTED_VALUE"""),65.4076559036722)</f>
        <v>65.4076559</v>
      </c>
      <c r="P1159" s="35">
        <f>IFERROR(__xludf.DUMMYFUNCTION("""COMPUTED_VALUE"""),21837.0)</f>
        <v>21837</v>
      </c>
      <c r="Q1159" s="35">
        <f>IFERROR(__xludf.DUMMYFUNCTION("""COMPUTED_VALUE"""),33386.0)</f>
        <v>33386</v>
      </c>
    </row>
    <row r="1160">
      <c r="A1160" s="35">
        <f>IFERROR(__xludf.DUMMYFUNCTION("""COMPUTED_VALUE"""),1269.0)</f>
        <v>1269</v>
      </c>
      <c r="B1160" s="35" t="str">
        <f>IFERROR(__xludf.DUMMYFUNCTION("""COMPUTED_VALUE"""),"Market Analysis II")</f>
        <v>Market Analysis II</v>
      </c>
      <c r="C1160" s="35" t="str">
        <f>IFERROR(__xludf.DUMMYFUNCTION("""COMPUTED_VALUE"""),"market-analysis-ii")</f>
        <v>market-analysis-ii</v>
      </c>
      <c r="D1160" s="35" t="b">
        <f>IFERROR(__xludf.DUMMYFUNCTION("""COMPUTED_VALUE"""),TRUE)</f>
        <v>1</v>
      </c>
      <c r="E1160" s="35" t="str">
        <f>IFERROR(__xludf.DUMMYFUNCTION("""COMPUTED_VALUE"""),"Hard")</f>
        <v>Hard</v>
      </c>
      <c r="F1160" s="35">
        <f>IFERROR(__xludf.DUMMYFUNCTION("""COMPUTED_VALUE"""),81.0)</f>
        <v>81</v>
      </c>
      <c r="G1160" s="35">
        <f>IFERROR(__xludf.DUMMYFUNCTION("""COMPUTED_VALUE"""),38.0)</f>
        <v>38</v>
      </c>
      <c r="H1160" s="35" t="str">
        <f>IFERROR(__xludf.DUMMYFUNCTION("""COMPUTED_VALUE"""),"Database")</f>
        <v>Database</v>
      </c>
      <c r="I1160" s="35">
        <f>IFERROR(__xludf.DUMMYFUNCTION("""COMPUTED_VALUE"""),0.576)</f>
        <v>0.576</v>
      </c>
      <c r="J1160" s="35">
        <f>IFERROR(__xludf.DUMMYFUNCTION("""COMPUTED_VALUE"""),1159.0)</f>
        <v>1159</v>
      </c>
      <c r="K1160" s="35" t="b">
        <f>IFERROR(__xludf.DUMMYFUNCTION("""COMPUTED_VALUE"""),TRUE)</f>
        <v>1</v>
      </c>
      <c r="L1160" s="35" t="str">
        <f>IFERROR(__xludf.DUMMYFUNCTION("""COMPUTED_VALUE"""),"Database;")</f>
        <v>Database;</v>
      </c>
      <c r="M1160" s="35" t="b">
        <f>IFERROR(__xludf.DUMMYFUNCTION("""COMPUTED_VALUE"""),FALSE)</f>
        <v>0</v>
      </c>
      <c r="N1160" s="35" t="b">
        <f>IFERROR(__xludf.DUMMYFUNCTION("""COMPUTED_VALUE"""),FALSE)</f>
        <v>0</v>
      </c>
      <c r="O1160" s="35">
        <f>IFERROR(__xludf.DUMMYFUNCTION("""COMPUTED_VALUE"""),57.6475293281194)</f>
        <v>57.64752933</v>
      </c>
      <c r="P1160" s="35">
        <f>IFERROR(__xludf.DUMMYFUNCTION("""COMPUTED_VALUE"""),12973.0)</f>
        <v>12973</v>
      </c>
      <c r="Q1160" s="35">
        <f>IFERROR(__xludf.DUMMYFUNCTION("""COMPUTED_VALUE"""),22504.0)</f>
        <v>22504</v>
      </c>
    </row>
    <row r="1161">
      <c r="A1161" s="35">
        <f>IFERROR(__xludf.DUMMYFUNCTION("""COMPUTED_VALUE"""),1112.0)</f>
        <v>1112</v>
      </c>
      <c r="B1161" s="35" t="str">
        <f>IFERROR(__xludf.DUMMYFUNCTION("""COMPUTED_VALUE"""),"Find Words That Can Be Formed by Characters")</f>
        <v>Find Words That Can Be Formed by Characters</v>
      </c>
      <c r="C1161" s="35" t="str">
        <f>IFERROR(__xludf.DUMMYFUNCTION("""COMPUTED_VALUE"""),"find-words-that-can-be-formed-by-characters")</f>
        <v>find-words-that-can-be-formed-by-characters</v>
      </c>
      <c r="D1161" s="35" t="b">
        <f>IFERROR(__xludf.DUMMYFUNCTION("""COMPUTED_VALUE"""),FALSE)</f>
        <v>0</v>
      </c>
      <c r="E1161" s="35" t="str">
        <f>IFERROR(__xludf.DUMMYFUNCTION("""COMPUTED_VALUE"""),"Easy")</f>
        <v>Easy</v>
      </c>
      <c r="F1161" s="35">
        <f>IFERROR(__xludf.DUMMYFUNCTION("""COMPUTED_VALUE"""),920.0)</f>
        <v>920</v>
      </c>
      <c r="G1161" s="35">
        <f>IFERROR(__xludf.DUMMYFUNCTION("""COMPUTED_VALUE"""),120.0)</f>
        <v>120</v>
      </c>
      <c r="H1161" s="35" t="str">
        <f>IFERROR(__xludf.DUMMYFUNCTION("""COMPUTED_VALUE"""),"Algorithms")</f>
        <v>Algorithms</v>
      </c>
      <c r="I1161" s="35">
        <f>IFERROR(__xludf.DUMMYFUNCTION("""COMPUTED_VALUE"""),0.677)</f>
        <v>0.677</v>
      </c>
      <c r="J1161" s="35">
        <f>IFERROR(__xludf.DUMMYFUNCTION("""COMPUTED_VALUE"""),1160.0)</f>
        <v>1160</v>
      </c>
      <c r="K1161" s="35" t="b">
        <f>IFERROR(__xludf.DUMMYFUNCTION("""COMPUTED_VALUE"""),FALSE)</f>
        <v>0</v>
      </c>
      <c r="L1161" s="35" t="str">
        <f>IFERROR(__xludf.DUMMYFUNCTION("""COMPUTED_VALUE"""),"Array;Hash Table;String;")</f>
        <v>Array;Hash Table;String;</v>
      </c>
      <c r="M1161" s="35" t="b">
        <f>IFERROR(__xludf.DUMMYFUNCTION("""COMPUTED_VALUE"""),FALSE)</f>
        <v>0</v>
      </c>
      <c r="N1161" s="35" t="b">
        <f>IFERROR(__xludf.DUMMYFUNCTION("""COMPUTED_VALUE"""),FALSE)</f>
        <v>0</v>
      </c>
      <c r="O1161" s="35">
        <f>IFERROR(__xludf.DUMMYFUNCTION("""COMPUTED_VALUE"""),67.6764459764946)</f>
        <v>67.67644598</v>
      </c>
      <c r="P1161" s="35">
        <f>IFERROR(__xludf.DUMMYFUNCTION("""COMPUTED_VALUE"""),108370.0)</f>
        <v>108370</v>
      </c>
      <c r="Q1161" s="35">
        <f>IFERROR(__xludf.DUMMYFUNCTION("""COMPUTED_VALUE"""),160130.0)</f>
        <v>160130</v>
      </c>
    </row>
    <row r="1162">
      <c r="A1162" s="35">
        <f>IFERROR(__xludf.DUMMYFUNCTION("""COMPUTED_VALUE"""),1116.0)</f>
        <v>1116</v>
      </c>
      <c r="B1162" s="35" t="str">
        <f>IFERROR(__xludf.DUMMYFUNCTION("""COMPUTED_VALUE"""),"Maximum Level Sum of a Binary Tree")</f>
        <v>Maximum Level Sum of a Binary Tree</v>
      </c>
      <c r="C1162" s="35" t="str">
        <f>IFERROR(__xludf.DUMMYFUNCTION("""COMPUTED_VALUE"""),"maximum-level-sum-of-a-binary-tree")</f>
        <v>maximum-level-sum-of-a-binary-tree</v>
      </c>
      <c r="D1162" s="35" t="b">
        <f>IFERROR(__xludf.DUMMYFUNCTION("""COMPUTED_VALUE"""),FALSE)</f>
        <v>0</v>
      </c>
      <c r="E1162" s="35" t="str">
        <f>IFERROR(__xludf.DUMMYFUNCTION("""COMPUTED_VALUE"""),"Medium")</f>
        <v>Medium</v>
      </c>
      <c r="F1162" s="35">
        <f>IFERROR(__xludf.DUMMYFUNCTION("""COMPUTED_VALUE"""),1316.0)</f>
        <v>1316</v>
      </c>
      <c r="G1162" s="35">
        <f>IFERROR(__xludf.DUMMYFUNCTION("""COMPUTED_VALUE"""),54.0)</f>
        <v>54</v>
      </c>
      <c r="H1162" s="35" t="str">
        <f>IFERROR(__xludf.DUMMYFUNCTION("""COMPUTED_VALUE"""),"Algorithms")</f>
        <v>Algorithms</v>
      </c>
      <c r="I1162" s="35">
        <f>IFERROR(__xludf.DUMMYFUNCTION("""COMPUTED_VALUE"""),0.667)</f>
        <v>0.667</v>
      </c>
      <c r="J1162" s="35">
        <f>IFERROR(__xludf.DUMMYFUNCTION("""COMPUTED_VALUE"""),1161.0)</f>
        <v>1161</v>
      </c>
      <c r="K1162" s="35" t="b">
        <f>IFERROR(__xludf.DUMMYFUNCTION("""COMPUTED_VALUE"""),FALSE)</f>
        <v>0</v>
      </c>
      <c r="L1162" s="35" t="str">
        <f>IFERROR(__xludf.DUMMYFUNCTION("""COMPUTED_VALUE"""),"Tree;Depth-First Search;Breadth-First Search;Binary Tree;")</f>
        <v>Tree;Depth-First Search;Breadth-First Search;Binary Tree;</v>
      </c>
      <c r="M1162" s="35" t="b">
        <f>IFERROR(__xludf.DUMMYFUNCTION("""COMPUTED_VALUE"""),TRUE)</f>
        <v>1</v>
      </c>
      <c r="N1162" s="35" t="b">
        <f>IFERROR(__xludf.DUMMYFUNCTION("""COMPUTED_VALUE"""),FALSE)</f>
        <v>0</v>
      </c>
      <c r="O1162" s="35">
        <f>IFERROR(__xludf.DUMMYFUNCTION("""COMPUTED_VALUE"""),66.6621688177629)</f>
        <v>66.66216882</v>
      </c>
      <c r="P1162" s="35">
        <f>IFERROR(__xludf.DUMMYFUNCTION("""COMPUTED_VALUE"""),98806.0)</f>
        <v>98806</v>
      </c>
      <c r="Q1162" s="35">
        <f>IFERROR(__xludf.DUMMYFUNCTION("""COMPUTED_VALUE"""),148219.0)</f>
        <v>148219</v>
      </c>
    </row>
    <row r="1163">
      <c r="A1163" s="35">
        <f>IFERROR(__xludf.DUMMYFUNCTION("""COMPUTED_VALUE"""),1117.0)</f>
        <v>1117</v>
      </c>
      <c r="B1163" s="35" t="str">
        <f>IFERROR(__xludf.DUMMYFUNCTION("""COMPUTED_VALUE"""),"As Far from Land as Possible")</f>
        <v>As Far from Land as Possible</v>
      </c>
      <c r="C1163" s="35" t="str">
        <f>IFERROR(__xludf.DUMMYFUNCTION("""COMPUTED_VALUE"""),"as-far-from-land-as-possible")</f>
        <v>as-far-from-land-as-possible</v>
      </c>
      <c r="D1163" s="35" t="b">
        <f>IFERROR(__xludf.DUMMYFUNCTION("""COMPUTED_VALUE"""),FALSE)</f>
        <v>0</v>
      </c>
      <c r="E1163" s="35" t="str">
        <f>IFERROR(__xludf.DUMMYFUNCTION("""COMPUTED_VALUE"""),"Medium")</f>
        <v>Medium</v>
      </c>
      <c r="F1163" s="35">
        <f>IFERROR(__xludf.DUMMYFUNCTION("""COMPUTED_VALUE"""),1545.0)</f>
        <v>1545</v>
      </c>
      <c r="G1163" s="35">
        <f>IFERROR(__xludf.DUMMYFUNCTION("""COMPUTED_VALUE"""),52.0)</f>
        <v>52</v>
      </c>
      <c r="H1163" s="35" t="str">
        <f>IFERROR(__xludf.DUMMYFUNCTION("""COMPUTED_VALUE"""),"Algorithms")</f>
        <v>Algorithms</v>
      </c>
      <c r="I1163" s="35">
        <f>IFERROR(__xludf.DUMMYFUNCTION("""COMPUTED_VALUE"""),0.478)</f>
        <v>0.478</v>
      </c>
      <c r="J1163" s="35">
        <f>IFERROR(__xludf.DUMMYFUNCTION("""COMPUTED_VALUE"""),1162.0)</f>
        <v>1162</v>
      </c>
      <c r="K1163" s="35" t="b">
        <f>IFERROR(__xludf.DUMMYFUNCTION("""COMPUTED_VALUE"""),FALSE)</f>
        <v>0</v>
      </c>
      <c r="L1163" s="35" t="str">
        <f>IFERROR(__xludf.DUMMYFUNCTION("""COMPUTED_VALUE"""),"Array;Dynamic Programming;Breadth-First Search;Matrix;")</f>
        <v>Array;Dynamic Programming;Breadth-First Search;Matrix;</v>
      </c>
      <c r="M1163" s="35" t="b">
        <f>IFERROR(__xludf.DUMMYFUNCTION("""COMPUTED_VALUE"""),FALSE)</f>
        <v>0</v>
      </c>
      <c r="N1163" s="35" t="b">
        <f>IFERROR(__xludf.DUMMYFUNCTION("""COMPUTED_VALUE"""),FALSE)</f>
        <v>0</v>
      </c>
      <c r="O1163" s="35">
        <f>IFERROR(__xludf.DUMMYFUNCTION("""COMPUTED_VALUE"""),47.8487044043115)</f>
        <v>47.8487044</v>
      </c>
      <c r="P1163" s="35">
        <f>IFERROR(__xludf.DUMMYFUNCTION("""COMPUTED_VALUE"""),53621.0)</f>
        <v>53621</v>
      </c>
      <c r="Q1163" s="35">
        <f>IFERROR(__xludf.DUMMYFUNCTION("""COMPUTED_VALUE"""),112066.0)</f>
        <v>112066</v>
      </c>
    </row>
    <row r="1164">
      <c r="A1164" s="35">
        <f>IFERROR(__xludf.DUMMYFUNCTION("""COMPUTED_VALUE"""),1133.0)</f>
        <v>1133</v>
      </c>
      <c r="B1164" s="35" t="str">
        <f>IFERROR(__xludf.DUMMYFUNCTION("""COMPUTED_VALUE"""),"Last Substring in Lexicographical Order")</f>
        <v>Last Substring in Lexicographical Order</v>
      </c>
      <c r="C1164" s="35" t="str">
        <f>IFERROR(__xludf.DUMMYFUNCTION("""COMPUTED_VALUE"""),"last-substring-in-lexicographical-order")</f>
        <v>last-substring-in-lexicographical-order</v>
      </c>
      <c r="D1164" s="35" t="b">
        <f>IFERROR(__xludf.DUMMYFUNCTION("""COMPUTED_VALUE"""),FALSE)</f>
        <v>0</v>
      </c>
      <c r="E1164" s="35" t="str">
        <f>IFERROR(__xludf.DUMMYFUNCTION("""COMPUTED_VALUE"""),"Hard")</f>
        <v>Hard</v>
      </c>
      <c r="F1164" s="35">
        <f>IFERROR(__xludf.DUMMYFUNCTION("""COMPUTED_VALUE"""),426.0)</f>
        <v>426</v>
      </c>
      <c r="G1164" s="35">
        <f>IFERROR(__xludf.DUMMYFUNCTION("""COMPUTED_VALUE"""),404.0)</f>
        <v>404</v>
      </c>
      <c r="H1164" s="35" t="str">
        <f>IFERROR(__xludf.DUMMYFUNCTION("""COMPUTED_VALUE"""),"Algorithms")</f>
        <v>Algorithms</v>
      </c>
      <c r="I1164" s="35">
        <f>IFERROR(__xludf.DUMMYFUNCTION("""COMPUTED_VALUE"""),0.357)</f>
        <v>0.357</v>
      </c>
      <c r="J1164" s="35">
        <f>IFERROR(__xludf.DUMMYFUNCTION("""COMPUTED_VALUE"""),1163.0)</f>
        <v>1163</v>
      </c>
      <c r="K1164" s="35" t="b">
        <f>IFERROR(__xludf.DUMMYFUNCTION("""COMPUTED_VALUE"""),FALSE)</f>
        <v>0</v>
      </c>
      <c r="L1164" s="35" t="str">
        <f>IFERROR(__xludf.DUMMYFUNCTION("""COMPUTED_VALUE"""),"Two Pointers;String;")</f>
        <v>Two Pointers;String;</v>
      </c>
      <c r="M1164" s="35" t="b">
        <f>IFERROR(__xludf.DUMMYFUNCTION("""COMPUTED_VALUE"""),FALSE)</f>
        <v>0</v>
      </c>
      <c r="N1164" s="35" t="b">
        <f>IFERROR(__xludf.DUMMYFUNCTION("""COMPUTED_VALUE"""),FALSE)</f>
        <v>0</v>
      </c>
      <c r="O1164" s="35">
        <f>IFERROR(__xludf.DUMMYFUNCTION("""COMPUTED_VALUE"""),35.700799372272)</f>
        <v>35.70079937</v>
      </c>
      <c r="P1164" s="35">
        <f>IFERROR(__xludf.DUMMYFUNCTION("""COMPUTED_VALUE"""),29119.0)</f>
        <v>29119</v>
      </c>
      <c r="Q1164" s="35">
        <f>IFERROR(__xludf.DUMMYFUNCTION("""COMPUTED_VALUE"""),81564.0)</f>
        <v>81564</v>
      </c>
    </row>
    <row r="1165">
      <c r="A1165" s="35">
        <f>IFERROR(__xludf.DUMMYFUNCTION("""COMPUTED_VALUE"""),1278.0)</f>
        <v>1278</v>
      </c>
      <c r="B1165" s="35" t="str">
        <f>IFERROR(__xludf.DUMMYFUNCTION("""COMPUTED_VALUE"""),"Product Price at a Given Date")</f>
        <v>Product Price at a Given Date</v>
      </c>
      <c r="C1165" s="35" t="str">
        <f>IFERROR(__xludf.DUMMYFUNCTION("""COMPUTED_VALUE"""),"product-price-at-a-given-date")</f>
        <v>product-price-at-a-given-date</v>
      </c>
      <c r="D1165" s="35" t="b">
        <f>IFERROR(__xludf.DUMMYFUNCTION("""COMPUTED_VALUE"""),TRUE)</f>
        <v>1</v>
      </c>
      <c r="E1165" s="35" t="str">
        <f>IFERROR(__xludf.DUMMYFUNCTION("""COMPUTED_VALUE"""),"Medium")</f>
        <v>Medium</v>
      </c>
      <c r="F1165" s="35">
        <f>IFERROR(__xludf.DUMMYFUNCTION("""COMPUTED_VALUE"""),229.0)</f>
        <v>229</v>
      </c>
      <c r="G1165" s="35">
        <f>IFERROR(__xludf.DUMMYFUNCTION("""COMPUTED_VALUE"""),65.0)</f>
        <v>65</v>
      </c>
      <c r="H1165" s="35" t="str">
        <f>IFERROR(__xludf.DUMMYFUNCTION("""COMPUTED_VALUE"""),"Database")</f>
        <v>Database</v>
      </c>
      <c r="I1165" s="35">
        <f>IFERROR(__xludf.DUMMYFUNCTION("""COMPUTED_VALUE"""),0.683)</f>
        <v>0.683</v>
      </c>
      <c r="J1165" s="35">
        <f>IFERROR(__xludf.DUMMYFUNCTION("""COMPUTED_VALUE"""),1164.0)</f>
        <v>1164</v>
      </c>
      <c r="K1165" s="35" t="b">
        <f>IFERROR(__xludf.DUMMYFUNCTION("""COMPUTED_VALUE"""),TRUE)</f>
        <v>1</v>
      </c>
      <c r="L1165" s="35" t="str">
        <f>IFERROR(__xludf.DUMMYFUNCTION("""COMPUTED_VALUE"""),"Database;")</f>
        <v>Database;</v>
      </c>
      <c r="M1165" s="35" t="b">
        <f>IFERROR(__xludf.DUMMYFUNCTION("""COMPUTED_VALUE"""),FALSE)</f>
        <v>0</v>
      </c>
      <c r="N1165" s="35" t="b">
        <f>IFERROR(__xludf.DUMMYFUNCTION("""COMPUTED_VALUE"""),FALSE)</f>
        <v>0</v>
      </c>
      <c r="O1165" s="35">
        <f>IFERROR(__xludf.DUMMYFUNCTION("""COMPUTED_VALUE"""),68.3153579620321)</f>
        <v>68.31535796</v>
      </c>
      <c r="P1165" s="35">
        <f>IFERROR(__xludf.DUMMYFUNCTION("""COMPUTED_VALUE"""),27997.0)</f>
        <v>27997</v>
      </c>
      <c r="Q1165" s="35">
        <f>IFERROR(__xludf.DUMMYFUNCTION("""COMPUTED_VALUE"""),40982.0)</f>
        <v>40982</v>
      </c>
    </row>
    <row r="1166">
      <c r="A1166" s="35">
        <f>IFERROR(__xludf.DUMMYFUNCTION("""COMPUTED_VALUE"""),1123.0)</f>
        <v>1123</v>
      </c>
      <c r="B1166" s="35" t="str">
        <f>IFERROR(__xludf.DUMMYFUNCTION("""COMPUTED_VALUE"""),"Single-Row Keyboard")</f>
        <v>Single-Row Keyboard</v>
      </c>
      <c r="C1166" s="35" t="str">
        <f>IFERROR(__xludf.DUMMYFUNCTION("""COMPUTED_VALUE"""),"single-row-keyboard")</f>
        <v>single-row-keyboard</v>
      </c>
      <c r="D1166" s="35" t="b">
        <f>IFERROR(__xludf.DUMMYFUNCTION("""COMPUTED_VALUE"""),TRUE)</f>
        <v>1</v>
      </c>
      <c r="E1166" s="35" t="str">
        <f>IFERROR(__xludf.DUMMYFUNCTION("""COMPUTED_VALUE"""),"Easy")</f>
        <v>Easy</v>
      </c>
      <c r="F1166" s="35">
        <f>IFERROR(__xludf.DUMMYFUNCTION("""COMPUTED_VALUE"""),336.0)</f>
        <v>336</v>
      </c>
      <c r="G1166" s="35">
        <f>IFERROR(__xludf.DUMMYFUNCTION("""COMPUTED_VALUE"""),17.0)</f>
        <v>17</v>
      </c>
      <c r="H1166" s="35" t="str">
        <f>IFERROR(__xludf.DUMMYFUNCTION("""COMPUTED_VALUE"""),"Algorithms")</f>
        <v>Algorithms</v>
      </c>
      <c r="I1166" s="35">
        <f>IFERROR(__xludf.DUMMYFUNCTION("""COMPUTED_VALUE"""),0.856)</f>
        <v>0.856</v>
      </c>
      <c r="J1166" s="35">
        <f>IFERROR(__xludf.DUMMYFUNCTION("""COMPUTED_VALUE"""),1165.0)</f>
        <v>1165</v>
      </c>
      <c r="K1166" s="35" t="b">
        <f>IFERROR(__xludf.DUMMYFUNCTION("""COMPUTED_VALUE"""),TRUE)</f>
        <v>1</v>
      </c>
      <c r="L1166" s="35" t="str">
        <f>IFERROR(__xludf.DUMMYFUNCTION("""COMPUTED_VALUE"""),"Hash Table;String;")</f>
        <v>Hash Table;String;</v>
      </c>
      <c r="M1166" s="35" t="b">
        <f>IFERROR(__xludf.DUMMYFUNCTION("""COMPUTED_VALUE"""),TRUE)</f>
        <v>1</v>
      </c>
      <c r="N1166" s="35" t="b">
        <f>IFERROR(__xludf.DUMMYFUNCTION("""COMPUTED_VALUE"""),FALSE)</f>
        <v>0</v>
      </c>
      <c r="O1166" s="35">
        <f>IFERROR(__xludf.DUMMYFUNCTION("""COMPUTED_VALUE"""),85.637575884134)</f>
        <v>85.63757588</v>
      </c>
      <c r="P1166" s="35">
        <f>IFERROR(__xludf.DUMMYFUNCTION("""COMPUTED_VALUE"""),57414.0)</f>
        <v>57414</v>
      </c>
      <c r="Q1166" s="35">
        <f>IFERROR(__xludf.DUMMYFUNCTION("""COMPUTED_VALUE"""),67043.0)</f>
        <v>67043</v>
      </c>
    </row>
    <row r="1167">
      <c r="A1167" s="35">
        <f>IFERROR(__xludf.DUMMYFUNCTION("""COMPUTED_VALUE"""),1125.0)</f>
        <v>1125</v>
      </c>
      <c r="B1167" s="35" t="str">
        <f>IFERROR(__xludf.DUMMYFUNCTION("""COMPUTED_VALUE"""),"Design File System")</f>
        <v>Design File System</v>
      </c>
      <c r="C1167" s="35" t="str">
        <f>IFERROR(__xludf.DUMMYFUNCTION("""COMPUTED_VALUE"""),"design-file-system")</f>
        <v>design-file-system</v>
      </c>
      <c r="D1167" s="35" t="b">
        <f>IFERROR(__xludf.DUMMYFUNCTION("""COMPUTED_VALUE"""),TRUE)</f>
        <v>1</v>
      </c>
      <c r="E1167" s="35" t="str">
        <f>IFERROR(__xludf.DUMMYFUNCTION("""COMPUTED_VALUE"""),"Medium")</f>
        <v>Medium</v>
      </c>
      <c r="F1167" s="35">
        <f>IFERROR(__xludf.DUMMYFUNCTION("""COMPUTED_VALUE"""),264.0)</f>
        <v>264</v>
      </c>
      <c r="G1167" s="35">
        <f>IFERROR(__xludf.DUMMYFUNCTION("""COMPUTED_VALUE"""),23.0)</f>
        <v>23</v>
      </c>
      <c r="H1167" s="35" t="str">
        <f>IFERROR(__xludf.DUMMYFUNCTION("""COMPUTED_VALUE"""),"Algorithms")</f>
        <v>Algorithms</v>
      </c>
      <c r="I1167" s="35">
        <f>IFERROR(__xludf.DUMMYFUNCTION("""COMPUTED_VALUE"""),0.603)</f>
        <v>0.603</v>
      </c>
      <c r="J1167" s="35">
        <f>IFERROR(__xludf.DUMMYFUNCTION("""COMPUTED_VALUE"""),1166.0)</f>
        <v>1166</v>
      </c>
      <c r="K1167" s="35" t="b">
        <f>IFERROR(__xludf.DUMMYFUNCTION("""COMPUTED_VALUE"""),TRUE)</f>
        <v>1</v>
      </c>
      <c r="L1167" s="35" t="str">
        <f>IFERROR(__xludf.DUMMYFUNCTION("""COMPUTED_VALUE"""),"Hash Table;String;Design;Trie;")</f>
        <v>Hash Table;String;Design;Trie;</v>
      </c>
      <c r="M1167" s="35" t="b">
        <f>IFERROR(__xludf.DUMMYFUNCTION("""COMPUTED_VALUE"""),TRUE)</f>
        <v>1</v>
      </c>
      <c r="N1167" s="35" t="b">
        <f>IFERROR(__xludf.DUMMYFUNCTION("""COMPUTED_VALUE"""),FALSE)</f>
        <v>0</v>
      </c>
      <c r="O1167" s="35">
        <f>IFERROR(__xludf.DUMMYFUNCTION("""COMPUTED_VALUE"""),60.3035096970762)</f>
        <v>60.3035097</v>
      </c>
      <c r="P1167" s="35">
        <f>IFERROR(__xludf.DUMMYFUNCTION("""COMPUTED_VALUE"""),20584.0)</f>
        <v>20584</v>
      </c>
      <c r="Q1167" s="35">
        <f>IFERROR(__xludf.DUMMYFUNCTION("""COMPUTED_VALUE"""),34134.0)</f>
        <v>34134</v>
      </c>
    </row>
    <row r="1168">
      <c r="A1168" s="35">
        <f>IFERROR(__xludf.DUMMYFUNCTION("""COMPUTED_VALUE"""),1126.0)</f>
        <v>1126</v>
      </c>
      <c r="B1168" s="35" t="str">
        <f>IFERROR(__xludf.DUMMYFUNCTION("""COMPUTED_VALUE"""),"Minimum Cost to Connect Sticks")</f>
        <v>Minimum Cost to Connect Sticks</v>
      </c>
      <c r="C1168" s="35" t="str">
        <f>IFERROR(__xludf.DUMMYFUNCTION("""COMPUTED_VALUE"""),"minimum-cost-to-connect-sticks")</f>
        <v>minimum-cost-to-connect-sticks</v>
      </c>
      <c r="D1168" s="35" t="b">
        <f>IFERROR(__xludf.DUMMYFUNCTION("""COMPUTED_VALUE"""),TRUE)</f>
        <v>1</v>
      </c>
      <c r="E1168" s="35" t="str">
        <f>IFERROR(__xludf.DUMMYFUNCTION("""COMPUTED_VALUE"""),"Medium")</f>
        <v>Medium</v>
      </c>
      <c r="F1168" s="35">
        <f>IFERROR(__xludf.DUMMYFUNCTION("""COMPUTED_VALUE"""),969.0)</f>
        <v>969</v>
      </c>
      <c r="G1168" s="35">
        <f>IFERROR(__xludf.DUMMYFUNCTION("""COMPUTED_VALUE"""),148.0)</f>
        <v>148</v>
      </c>
      <c r="H1168" s="35" t="str">
        <f>IFERROR(__xludf.DUMMYFUNCTION("""COMPUTED_VALUE"""),"Algorithms")</f>
        <v>Algorithms</v>
      </c>
      <c r="I1168" s="35">
        <f>IFERROR(__xludf.DUMMYFUNCTION("""COMPUTED_VALUE"""),0.668)</f>
        <v>0.668</v>
      </c>
      <c r="J1168" s="35">
        <f>IFERROR(__xludf.DUMMYFUNCTION("""COMPUTED_VALUE"""),1167.0)</f>
        <v>1167</v>
      </c>
      <c r="K1168" s="35" t="b">
        <f>IFERROR(__xludf.DUMMYFUNCTION("""COMPUTED_VALUE"""),TRUE)</f>
        <v>1</v>
      </c>
      <c r="L1168" s="35" t="str">
        <f>IFERROR(__xludf.DUMMYFUNCTION("""COMPUTED_VALUE"""),"Array;Greedy;Heap (Priority Queue);")</f>
        <v>Array;Greedy;Heap (Priority Queue);</v>
      </c>
      <c r="M1168" s="35" t="b">
        <f>IFERROR(__xludf.DUMMYFUNCTION("""COMPUTED_VALUE"""),TRUE)</f>
        <v>1</v>
      </c>
      <c r="N1168" s="35" t="b">
        <f>IFERROR(__xludf.DUMMYFUNCTION("""COMPUTED_VALUE"""),TRUE)</f>
        <v>1</v>
      </c>
      <c r="O1168" s="35">
        <f>IFERROR(__xludf.DUMMYFUNCTION("""COMPUTED_VALUE"""),66.8302755676464)</f>
        <v>66.83027557</v>
      </c>
      <c r="P1168" s="35">
        <f>IFERROR(__xludf.DUMMYFUNCTION("""COMPUTED_VALUE"""),81558.0)</f>
        <v>81558</v>
      </c>
      <c r="Q1168" s="35">
        <f>IFERROR(__xludf.DUMMYFUNCTION("""COMPUTED_VALUE"""),122037.0)</f>
        <v>122037</v>
      </c>
    </row>
    <row r="1169">
      <c r="A1169" s="35">
        <f>IFERROR(__xludf.DUMMYFUNCTION("""COMPUTED_VALUE"""),1144.0)</f>
        <v>1144</v>
      </c>
      <c r="B1169" s="35" t="str">
        <f>IFERROR(__xludf.DUMMYFUNCTION("""COMPUTED_VALUE"""),"Optimize Water Distribution in a Village")</f>
        <v>Optimize Water Distribution in a Village</v>
      </c>
      <c r="C1169" s="35" t="str">
        <f>IFERROR(__xludf.DUMMYFUNCTION("""COMPUTED_VALUE"""),"optimize-water-distribution-in-a-village")</f>
        <v>optimize-water-distribution-in-a-village</v>
      </c>
      <c r="D1169" s="35" t="b">
        <f>IFERROR(__xludf.DUMMYFUNCTION("""COMPUTED_VALUE"""),TRUE)</f>
        <v>1</v>
      </c>
      <c r="E1169" s="35" t="str">
        <f>IFERROR(__xludf.DUMMYFUNCTION("""COMPUTED_VALUE"""),"Hard")</f>
        <v>Hard</v>
      </c>
      <c r="F1169" s="35">
        <f>IFERROR(__xludf.DUMMYFUNCTION("""COMPUTED_VALUE"""),772.0)</f>
        <v>772</v>
      </c>
      <c r="G1169" s="35">
        <f>IFERROR(__xludf.DUMMYFUNCTION("""COMPUTED_VALUE"""),30.0)</f>
        <v>30</v>
      </c>
      <c r="H1169" s="35" t="str">
        <f>IFERROR(__xludf.DUMMYFUNCTION("""COMPUTED_VALUE"""),"Algorithms")</f>
        <v>Algorithms</v>
      </c>
      <c r="I1169" s="35">
        <f>IFERROR(__xludf.DUMMYFUNCTION("""COMPUTED_VALUE"""),0.636)</f>
        <v>0.636</v>
      </c>
      <c r="J1169" s="35">
        <f>IFERROR(__xludf.DUMMYFUNCTION("""COMPUTED_VALUE"""),1168.0)</f>
        <v>1168</v>
      </c>
      <c r="K1169" s="35" t="b">
        <f>IFERROR(__xludf.DUMMYFUNCTION("""COMPUTED_VALUE"""),TRUE)</f>
        <v>1</v>
      </c>
      <c r="L1169" s="35" t="str">
        <f>IFERROR(__xludf.DUMMYFUNCTION("""COMPUTED_VALUE"""),"Union Find;Graph;Minimum Spanning Tree;")</f>
        <v>Union Find;Graph;Minimum Spanning Tree;</v>
      </c>
      <c r="M1169" s="35" t="b">
        <f>IFERROR(__xludf.DUMMYFUNCTION("""COMPUTED_VALUE"""),TRUE)</f>
        <v>1</v>
      </c>
      <c r="N1169" s="35" t="b">
        <f>IFERROR(__xludf.DUMMYFUNCTION("""COMPUTED_VALUE"""),FALSE)</f>
        <v>0</v>
      </c>
      <c r="O1169" s="35">
        <f>IFERROR(__xludf.DUMMYFUNCTION("""COMPUTED_VALUE"""),63.6003261903683)</f>
        <v>63.60032619</v>
      </c>
      <c r="P1169" s="35">
        <f>IFERROR(__xludf.DUMMYFUNCTION("""COMPUTED_VALUE"""),28075.0)</f>
        <v>28075</v>
      </c>
      <c r="Q1169" s="35">
        <f>IFERROR(__xludf.DUMMYFUNCTION("""COMPUTED_VALUE"""),44144.0)</f>
        <v>44144</v>
      </c>
    </row>
    <row r="1170">
      <c r="A1170" s="35">
        <f>IFERROR(__xludf.DUMMYFUNCTION("""COMPUTED_VALUE"""),1272.0)</f>
        <v>1272</v>
      </c>
      <c r="B1170" s="35" t="str">
        <f>IFERROR(__xludf.DUMMYFUNCTION("""COMPUTED_VALUE"""),"Invalid Transactions")</f>
        <v>Invalid Transactions</v>
      </c>
      <c r="C1170" s="35" t="str">
        <f>IFERROR(__xludf.DUMMYFUNCTION("""COMPUTED_VALUE"""),"invalid-transactions")</f>
        <v>invalid-transactions</v>
      </c>
      <c r="D1170" s="35" t="b">
        <f>IFERROR(__xludf.DUMMYFUNCTION("""COMPUTED_VALUE"""),FALSE)</f>
        <v>0</v>
      </c>
      <c r="E1170" s="35" t="str">
        <f>IFERROR(__xludf.DUMMYFUNCTION("""COMPUTED_VALUE"""),"Medium")</f>
        <v>Medium</v>
      </c>
      <c r="F1170" s="35">
        <f>IFERROR(__xludf.DUMMYFUNCTION("""COMPUTED_VALUE"""),271.0)</f>
        <v>271</v>
      </c>
      <c r="G1170" s="35">
        <f>IFERROR(__xludf.DUMMYFUNCTION("""COMPUTED_VALUE"""),1394.0)</f>
        <v>1394</v>
      </c>
      <c r="H1170" s="35" t="str">
        <f>IFERROR(__xludf.DUMMYFUNCTION("""COMPUTED_VALUE"""),"Algorithms")</f>
        <v>Algorithms</v>
      </c>
      <c r="I1170" s="35">
        <f>IFERROR(__xludf.DUMMYFUNCTION("""COMPUTED_VALUE"""),0.301)</f>
        <v>0.301</v>
      </c>
      <c r="J1170" s="35">
        <f>IFERROR(__xludf.DUMMYFUNCTION("""COMPUTED_VALUE"""),1169.0)</f>
        <v>1169</v>
      </c>
      <c r="K1170" s="35" t="b">
        <f>IFERROR(__xludf.DUMMYFUNCTION("""COMPUTED_VALUE"""),FALSE)</f>
        <v>0</v>
      </c>
      <c r="L1170" s="35" t="str">
        <f>IFERROR(__xludf.DUMMYFUNCTION("""COMPUTED_VALUE"""),"Array;Hash Table;String;Sorting;")</f>
        <v>Array;Hash Table;String;Sorting;</v>
      </c>
      <c r="M1170" s="35" t="b">
        <f>IFERROR(__xludf.DUMMYFUNCTION("""COMPUTED_VALUE"""),FALSE)</f>
        <v>0</v>
      </c>
      <c r="N1170" s="35" t="b">
        <f>IFERROR(__xludf.DUMMYFUNCTION("""COMPUTED_VALUE"""),FALSE)</f>
        <v>0</v>
      </c>
      <c r="O1170" s="35">
        <f>IFERROR(__xludf.DUMMYFUNCTION("""COMPUTED_VALUE"""),30.1381193913382)</f>
        <v>30.13811939</v>
      </c>
      <c r="P1170" s="35">
        <f>IFERROR(__xludf.DUMMYFUNCTION("""COMPUTED_VALUE"""),38622.0)</f>
        <v>38622</v>
      </c>
      <c r="Q1170" s="35">
        <f>IFERROR(__xludf.DUMMYFUNCTION("""COMPUTED_VALUE"""),128150.0)</f>
        <v>128150</v>
      </c>
    </row>
    <row r="1171">
      <c r="A1171" s="35">
        <f>IFERROR(__xludf.DUMMYFUNCTION("""COMPUTED_VALUE"""),1273.0)</f>
        <v>1273</v>
      </c>
      <c r="B1171" s="35" t="str">
        <f>IFERROR(__xludf.DUMMYFUNCTION("""COMPUTED_VALUE"""),"Compare Strings by Frequency of the Smallest Character")</f>
        <v>Compare Strings by Frequency of the Smallest Character</v>
      </c>
      <c r="C1171" s="35" t="str">
        <f>IFERROR(__xludf.DUMMYFUNCTION("""COMPUTED_VALUE"""),"compare-strings-by-frequency-of-the-smallest-character")</f>
        <v>compare-strings-by-frequency-of-the-smallest-character</v>
      </c>
      <c r="D1171" s="35" t="b">
        <f>IFERROR(__xludf.DUMMYFUNCTION("""COMPUTED_VALUE"""),FALSE)</f>
        <v>0</v>
      </c>
      <c r="E1171" s="35" t="str">
        <f>IFERROR(__xludf.DUMMYFUNCTION("""COMPUTED_VALUE"""),"Medium")</f>
        <v>Medium</v>
      </c>
      <c r="F1171" s="35">
        <f>IFERROR(__xludf.DUMMYFUNCTION("""COMPUTED_VALUE"""),484.0)</f>
        <v>484</v>
      </c>
      <c r="G1171" s="35">
        <f>IFERROR(__xludf.DUMMYFUNCTION("""COMPUTED_VALUE"""),882.0)</f>
        <v>882</v>
      </c>
      <c r="H1171" s="35" t="str">
        <f>IFERROR(__xludf.DUMMYFUNCTION("""COMPUTED_VALUE"""),"Algorithms")</f>
        <v>Algorithms</v>
      </c>
      <c r="I1171" s="35">
        <f>IFERROR(__xludf.DUMMYFUNCTION("""COMPUTED_VALUE"""),0.61)</f>
        <v>0.61</v>
      </c>
      <c r="J1171" s="35">
        <f>IFERROR(__xludf.DUMMYFUNCTION("""COMPUTED_VALUE"""),1170.0)</f>
        <v>1170</v>
      </c>
      <c r="K1171" s="35" t="b">
        <f>IFERROR(__xludf.DUMMYFUNCTION("""COMPUTED_VALUE"""),FALSE)</f>
        <v>0</v>
      </c>
      <c r="L1171" s="35" t="str">
        <f>IFERROR(__xludf.DUMMYFUNCTION("""COMPUTED_VALUE"""),"Array;Hash Table;String;Binary Search;Sorting;")</f>
        <v>Array;Hash Table;String;Binary Search;Sorting;</v>
      </c>
      <c r="M1171" s="35" t="b">
        <f>IFERROR(__xludf.DUMMYFUNCTION("""COMPUTED_VALUE"""),FALSE)</f>
        <v>0</v>
      </c>
      <c r="N1171" s="35" t="b">
        <f>IFERROR(__xludf.DUMMYFUNCTION("""COMPUTED_VALUE"""),FALSE)</f>
        <v>0</v>
      </c>
      <c r="O1171" s="35">
        <f>IFERROR(__xludf.DUMMYFUNCTION("""COMPUTED_VALUE"""),61.0376910661729)</f>
        <v>61.03769107</v>
      </c>
      <c r="P1171" s="35">
        <f>IFERROR(__xludf.DUMMYFUNCTION("""COMPUTED_VALUE"""),64290.0)</f>
        <v>64290</v>
      </c>
      <c r="Q1171" s="35">
        <f>IFERROR(__xludf.DUMMYFUNCTION("""COMPUTED_VALUE"""),105329.0)</f>
        <v>105329</v>
      </c>
    </row>
    <row r="1172">
      <c r="A1172" s="35">
        <f>IFERROR(__xludf.DUMMYFUNCTION("""COMPUTED_VALUE"""),1267.0)</f>
        <v>1267</v>
      </c>
      <c r="B1172" s="35" t="str">
        <f>IFERROR(__xludf.DUMMYFUNCTION("""COMPUTED_VALUE"""),"Remove Zero Sum Consecutive Nodes from Linked List")</f>
        <v>Remove Zero Sum Consecutive Nodes from Linked List</v>
      </c>
      <c r="C1172" s="35" t="str">
        <f>IFERROR(__xludf.DUMMYFUNCTION("""COMPUTED_VALUE"""),"remove-zero-sum-consecutive-nodes-from-linked-list")</f>
        <v>remove-zero-sum-consecutive-nodes-from-linked-list</v>
      </c>
      <c r="D1172" s="35" t="b">
        <f>IFERROR(__xludf.DUMMYFUNCTION("""COMPUTED_VALUE"""),FALSE)</f>
        <v>0</v>
      </c>
      <c r="E1172" s="35" t="str">
        <f>IFERROR(__xludf.DUMMYFUNCTION("""COMPUTED_VALUE"""),"Medium")</f>
        <v>Medium</v>
      </c>
      <c r="F1172" s="35">
        <f>IFERROR(__xludf.DUMMYFUNCTION("""COMPUTED_VALUE"""),1341.0)</f>
        <v>1341</v>
      </c>
      <c r="G1172" s="35">
        <f>IFERROR(__xludf.DUMMYFUNCTION("""COMPUTED_VALUE"""),68.0)</f>
        <v>68</v>
      </c>
      <c r="H1172" s="35" t="str">
        <f>IFERROR(__xludf.DUMMYFUNCTION("""COMPUTED_VALUE"""),"Algorithms")</f>
        <v>Algorithms</v>
      </c>
      <c r="I1172" s="35">
        <f>IFERROR(__xludf.DUMMYFUNCTION("""COMPUTED_VALUE"""),0.424)</f>
        <v>0.424</v>
      </c>
      <c r="J1172" s="35">
        <f>IFERROR(__xludf.DUMMYFUNCTION("""COMPUTED_VALUE"""),1171.0)</f>
        <v>1171</v>
      </c>
      <c r="K1172" s="35" t="b">
        <f>IFERROR(__xludf.DUMMYFUNCTION("""COMPUTED_VALUE"""),FALSE)</f>
        <v>0</v>
      </c>
      <c r="L1172" s="35" t="str">
        <f>IFERROR(__xludf.DUMMYFUNCTION("""COMPUTED_VALUE"""),"Hash Table;Linked List;")</f>
        <v>Hash Table;Linked List;</v>
      </c>
      <c r="M1172" s="35" t="b">
        <f>IFERROR(__xludf.DUMMYFUNCTION("""COMPUTED_VALUE"""),FALSE)</f>
        <v>0</v>
      </c>
      <c r="N1172" s="35" t="b">
        <f>IFERROR(__xludf.DUMMYFUNCTION("""COMPUTED_VALUE"""),FALSE)</f>
        <v>0</v>
      </c>
      <c r="O1172" s="35">
        <f>IFERROR(__xludf.DUMMYFUNCTION("""COMPUTED_VALUE"""),42.413712080927)</f>
        <v>42.41371208</v>
      </c>
      <c r="P1172" s="35">
        <f>IFERROR(__xludf.DUMMYFUNCTION("""COMPUTED_VALUE"""),34297.0)</f>
        <v>34297</v>
      </c>
      <c r="Q1172" s="35">
        <f>IFERROR(__xludf.DUMMYFUNCTION("""COMPUTED_VALUE"""),80863.0)</f>
        <v>80863</v>
      </c>
    </row>
    <row r="1173">
      <c r="A1173" s="35">
        <f>IFERROR(__xludf.DUMMYFUNCTION("""COMPUTED_VALUE"""),1270.0)</f>
        <v>1270</v>
      </c>
      <c r="B1173" s="35" t="str">
        <f>IFERROR(__xludf.DUMMYFUNCTION("""COMPUTED_VALUE"""),"Dinner Plate Stacks")</f>
        <v>Dinner Plate Stacks</v>
      </c>
      <c r="C1173" s="35" t="str">
        <f>IFERROR(__xludf.DUMMYFUNCTION("""COMPUTED_VALUE"""),"dinner-plate-stacks")</f>
        <v>dinner-plate-stacks</v>
      </c>
      <c r="D1173" s="35" t="b">
        <f>IFERROR(__xludf.DUMMYFUNCTION("""COMPUTED_VALUE"""),FALSE)</f>
        <v>0</v>
      </c>
      <c r="E1173" s="35" t="str">
        <f>IFERROR(__xludf.DUMMYFUNCTION("""COMPUTED_VALUE"""),"Hard")</f>
        <v>Hard</v>
      </c>
      <c r="F1173" s="35">
        <f>IFERROR(__xludf.DUMMYFUNCTION("""COMPUTED_VALUE"""),310.0)</f>
        <v>310</v>
      </c>
      <c r="G1173" s="35">
        <f>IFERROR(__xludf.DUMMYFUNCTION("""COMPUTED_VALUE"""),47.0)</f>
        <v>47</v>
      </c>
      <c r="H1173" s="35" t="str">
        <f>IFERROR(__xludf.DUMMYFUNCTION("""COMPUTED_VALUE"""),"Algorithms")</f>
        <v>Algorithms</v>
      </c>
      <c r="I1173" s="35">
        <f>IFERROR(__xludf.DUMMYFUNCTION("""COMPUTED_VALUE"""),0.346)</f>
        <v>0.346</v>
      </c>
      <c r="J1173" s="35">
        <f>IFERROR(__xludf.DUMMYFUNCTION("""COMPUTED_VALUE"""),1172.0)</f>
        <v>1172</v>
      </c>
      <c r="K1173" s="35" t="b">
        <f>IFERROR(__xludf.DUMMYFUNCTION("""COMPUTED_VALUE"""),FALSE)</f>
        <v>0</v>
      </c>
      <c r="L1173" s="35" t="str">
        <f>IFERROR(__xludf.DUMMYFUNCTION("""COMPUTED_VALUE"""),"Hash Table;Stack;Design;Heap (Priority Queue);")</f>
        <v>Hash Table;Stack;Design;Heap (Priority Queue);</v>
      </c>
      <c r="M1173" s="35" t="b">
        <f>IFERROR(__xludf.DUMMYFUNCTION("""COMPUTED_VALUE"""),FALSE)</f>
        <v>0</v>
      </c>
      <c r="N1173" s="35" t="b">
        <f>IFERROR(__xludf.DUMMYFUNCTION("""COMPUTED_VALUE"""),FALSE)</f>
        <v>0</v>
      </c>
      <c r="O1173" s="35">
        <f>IFERROR(__xludf.DUMMYFUNCTION("""COMPUTED_VALUE"""),34.6440429815158)</f>
        <v>34.64404298</v>
      </c>
      <c r="P1173" s="35">
        <f>IFERROR(__xludf.DUMMYFUNCTION("""COMPUTED_VALUE"""),13251.0)</f>
        <v>13251</v>
      </c>
      <c r="Q1173" s="35">
        <f>IFERROR(__xludf.DUMMYFUNCTION("""COMPUTED_VALUE"""),38249.0)</f>
        <v>38249</v>
      </c>
    </row>
    <row r="1174">
      <c r="A1174" s="35">
        <f>IFERROR(__xludf.DUMMYFUNCTION("""COMPUTED_VALUE"""),1291.0)</f>
        <v>1291</v>
      </c>
      <c r="B1174" s="35" t="str">
        <f>IFERROR(__xludf.DUMMYFUNCTION("""COMPUTED_VALUE"""),"Immediate Food Delivery I")</f>
        <v>Immediate Food Delivery I</v>
      </c>
      <c r="C1174" s="35" t="str">
        <f>IFERROR(__xludf.DUMMYFUNCTION("""COMPUTED_VALUE"""),"immediate-food-delivery-i")</f>
        <v>immediate-food-delivery-i</v>
      </c>
      <c r="D1174" s="35" t="b">
        <f>IFERROR(__xludf.DUMMYFUNCTION("""COMPUTED_VALUE"""),TRUE)</f>
        <v>1</v>
      </c>
      <c r="E1174" s="35" t="str">
        <f>IFERROR(__xludf.DUMMYFUNCTION("""COMPUTED_VALUE"""),"Easy")</f>
        <v>Easy</v>
      </c>
      <c r="F1174" s="35">
        <f>IFERROR(__xludf.DUMMYFUNCTION("""COMPUTED_VALUE"""),148.0)</f>
        <v>148</v>
      </c>
      <c r="G1174" s="35">
        <f>IFERROR(__xludf.DUMMYFUNCTION("""COMPUTED_VALUE"""),8.0)</f>
        <v>8</v>
      </c>
      <c r="H1174" s="35" t="str">
        <f>IFERROR(__xludf.DUMMYFUNCTION("""COMPUTED_VALUE"""),"Database")</f>
        <v>Database</v>
      </c>
      <c r="I1174" s="35">
        <f>IFERROR(__xludf.DUMMYFUNCTION("""COMPUTED_VALUE"""),0.832)</f>
        <v>0.832</v>
      </c>
      <c r="J1174" s="35">
        <f>IFERROR(__xludf.DUMMYFUNCTION("""COMPUTED_VALUE"""),1173.0)</f>
        <v>1173</v>
      </c>
      <c r="K1174" s="35" t="b">
        <f>IFERROR(__xludf.DUMMYFUNCTION("""COMPUTED_VALUE"""),TRUE)</f>
        <v>1</v>
      </c>
      <c r="L1174" s="35" t="str">
        <f>IFERROR(__xludf.DUMMYFUNCTION("""COMPUTED_VALUE"""),"Database;")</f>
        <v>Database;</v>
      </c>
      <c r="M1174" s="35" t="b">
        <f>IFERROR(__xludf.DUMMYFUNCTION("""COMPUTED_VALUE"""),FALSE)</f>
        <v>0</v>
      </c>
      <c r="N1174" s="35" t="b">
        <f>IFERROR(__xludf.DUMMYFUNCTION("""COMPUTED_VALUE"""),FALSE)</f>
        <v>0</v>
      </c>
      <c r="O1174" s="35">
        <f>IFERROR(__xludf.DUMMYFUNCTION("""COMPUTED_VALUE"""),83.1949193942354)</f>
        <v>83.19491939</v>
      </c>
      <c r="P1174" s="35">
        <f>IFERROR(__xludf.DUMMYFUNCTION("""COMPUTED_VALUE"""),35763.0)</f>
        <v>35763</v>
      </c>
      <c r="Q1174" s="35">
        <f>IFERROR(__xludf.DUMMYFUNCTION("""COMPUTED_VALUE"""),42987.0)</f>
        <v>42987</v>
      </c>
    </row>
    <row r="1175">
      <c r="A1175" s="35">
        <f>IFERROR(__xludf.DUMMYFUNCTION("""COMPUTED_VALUE"""),1292.0)</f>
        <v>1292</v>
      </c>
      <c r="B1175" s="35" t="str">
        <f>IFERROR(__xludf.DUMMYFUNCTION("""COMPUTED_VALUE"""),"Immediate Food Delivery II")</f>
        <v>Immediate Food Delivery II</v>
      </c>
      <c r="C1175" s="35" t="str">
        <f>IFERROR(__xludf.DUMMYFUNCTION("""COMPUTED_VALUE"""),"immediate-food-delivery-ii")</f>
        <v>immediate-food-delivery-ii</v>
      </c>
      <c r="D1175" s="35" t="b">
        <f>IFERROR(__xludf.DUMMYFUNCTION("""COMPUTED_VALUE"""),TRUE)</f>
        <v>1</v>
      </c>
      <c r="E1175" s="35" t="str">
        <f>IFERROR(__xludf.DUMMYFUNCTION("""COMPUTED_VALUE"""),"Medium")</f>
        <v>Medium</v>
      </c>
      <c r="F1175" s="35">
        <f>IFERROR(__xludf.DUMMYFUNCTION("""COMPUTED_VALUE"""),83.0)</f>
        <v>83</v>
      </c>
      <c r="G1175" s="35">
        <f>IFERROR(__xludf.DUMMYFUNCTION("""COMPUTED_VALUE"""),43.0)</f>
        <v>43</v>
      </c>
      <c r="H1175" s="35" t="str">
        <f>IFERROR(__xludf.DUMMYFUNCTION("""COMPUTED_VALUE"""),"Database")</f>
        <v>Database</v>
      </c>
      <c r="I1175" s="35">
        <f>IFERROR(__xludf.DUMMYFUNCTION("""COMPUTED_VALUE"""),0.636)</f>
        <v>0.636</v>
      </c>
      <c r="J1175" s="35">
        <f>IFERROR(__xludf.DUMMYFUNCTION("""COMPUTED_VALUE"""),1174.0)</f>
        <v>1174</v>
      </c>
      <c r="K1175" s="35" t="b">
        <f>IFERROR(__xludf.DUMMYFUNCTION("""COMPUTED_VALUE"""),TRUE)</f>
        <v>1</v>
      </c>
      <c r="L1175" s="35" t="str">
        <f>IFERROR(__xludf.DUMMYFUNCTION("""COMPUTED_VALUE"""),"Database;")</f>
        <v>Database;</v>
      </c>
      <c r="M1175" s="35" t="b">
        <f>IFERROR(__xludf.DUMMYFUNCTION("""COMPUTED_VALUE"""),FALSE)</f>
        <v>0</v>
      </c>
      <c r="N1175" s="35" t="b">
        <f>IFERROR(__xludf.DUMMYFUNCTION("""COMPUTED_VALUE"""),FALSE)</f>
        <v>0</v>
      </c>
      <c r="O1175" s="35">
        <f>IFERROR(__xludf.DUMMYFUNCTION("""COMPUTED_VALUE"""),63.6027015818472)</f>
        <v>63.60270158</v>
      </c>
      <c r="P1175" s="35">
        <f>IFERROR(__xludf.DUMMYFUNCTION("""COMPUTED_VALUE"""),21471.0)</f>
        <v>21471</v>
      </c>
      <c r="Q1175" s="35">
        <f>IFERROR(__xludf.DUMMYFUNCTION("""COMPUTED_VALUE"""),33758.0)</f>
        <v>33758</v>
      </c>
    </row>
    <row r="1176">
      <c r="A1176" s="35">
        <f>IFERROR(__xludf.DUMMYFUNCTION("""COMPUTED_VALUE"""),1279.0)</f>
        <v>1279</v>
      </c>
      <c r="B1176" s="35" t="str">
        <f>IFERROR(__xludf.DUMMYFUNCTION("""COMPUTED_VALUE"""),"Prime Arrangements")</f>
        <v>Prime Arrangements</v>
      </c>
      <c r="C1176" s="35" t="str">
        <f>IFERROR(__xludf.DUMMYFUNCTION("""COMPUTED_VALUE"""),"prime-arrangements")</f>
        <v>prime-arrangements</v>
      </c>
      <c r="D1176" s="35" t="b">
        <f>IFERROR(__xludf.DUMMYFUNCTION("""COMPUTED_VALUE"""),FALSE)</f>
        <v>0</v>
      </c>
      <c r="E1176" s="35" t="str">
        <f>IFERROR(__xludf.DUMMYFUNCTION("""COMPUTED_VALUE"""),"Easy")</f>
        <v>Easy</v>
      </c>
      <c r="F1176" s="35">
        <f>IFERROR(__xludf.DUMMYFUNCTION("""COMPUTED_VALUE"""),234.0)</f>
        <v>234</v>
      </c>
      <c r="G1176" s="35">
        <f>IFERROR(__xludf.DUMMYFUNCTION("""COMPUTED_VALUE"""),343.0)</f>
        <v>343</v>
      </c>
      <c r="H1176" s="35" t="str">
        <f>IFERROR(__xludf.DUMMYFUNCTION("""COMPUTED_VALUE"""),"Algorithms")</f>
        <v>Algorithms</v>
      </c>
      <c r="I1176" s="35">
        <f>IFERROR(__xludf.DUMMYFUNCTION("""COMPUTED_VALUE"""),0.527)</f>
        <v>0.527</v>
      </c>
      <c r="J1176" s="35">
        <f>IFERROR(__xludf.DUMMYFUNCTION("""COMPUTED_VALUE"""),1175.0)</f>
        <v>1175</v>
      </c>
      <c r="K1176" s="35" t="b">
        <f>IFERROR(__xludf.DUMMYFUNCTION("""COMPUTED_VALUE"""),FALSE)</f>
        <v>0</v>
      </c>
      <c r="L1176" s="35" t="str">
        <f>IFERROR(__xludf.DUMMYFUNCTION("""COMPUTED_VALUE"""),"Math;")</f>
        <v>Math;</v>
      </c>
      <c r="M1176" s="35" t="b">
        <f>IFERROR(__xludf.DUMMYFUNCTION("""COMPUTED_VALUE"""),FALSE)</f>
        <v>0</v>
      </c>
      <c r="N1176" s="35" t="b">
        <f>IFERROR(__xludf.DUMMYFUNCTION("""COMPUTED_VALUE"""),FALSE)</f>
        <v>0</v>
      </c>
      <c r="O1176" s="35">
        <f>IFERROR(__xludf.DUMMYFUNCTION("""COMPUTED_VALUE"""),52.6735726070375)</f>
        <v>52.67357261</v>
      </c>
      <c r="P1176" s="35">
        <f>IFERROR(__xludf.DUMMYFUNCTION("""COMPUTED_VALUE"""),19475.0)</f>
        <v>19475</v>
      </c>
      <c r="Q1176" s="35">
        <f>IFERROR(__xludf.DUMMYFUNCTION("""COMPUTED_VALUE"""),36973.0)</f>
        <v>36973</v>
      </c>
    </row>
    <row r="1177">
      <c r="A1177" s="35">
        <f>IFERROR(__xludf.DUMMYFUNCTION("""COMPUTED_VALUE"""),1280.0)</f>
        <v>1280</v>
      </c>
      <c r="B1177" s="35" t="str">
        <f>IFERROR(__xludf.DUMMYFUNCTION("""COMPUTED_VALUE"""),"Diet Plan Performance")</f>
        <v>Diet Plan Performance</v>
      </c>
      <c r="C1177" s="35" t="str">
        <f>IFERROR(__xludf.DUMMYFUNCTION("""COMPUTED_VALUE"""),"diet-plan-performance")</f>
        <v>diet-plan-performance</v>
      </c>
      <c r="D1177" s="35" t="b">
        <f>IFERROR(__xludf.DUMMYFUNCTION("""COMPUTED_VALUE"""),TRUE)</f>
        <v>1</v>
      </c>
      <c r="E1177" s="35" t="str">
        <f>IFERROR(__xludf.DUMMYFUNCTION("""COMPUTED_VALUE"""),"Easy")</f>
        <v>Easy</v>
      </c>
      <c r="F1177" s="35">
        <f>IFERROR(__xludf.DUMMYFUNCTION("""COMPUTED_VALUE"""),117.0)</f>
        <v>117</v>
      </c>
      <c r="G1177" s="35">
        <f>IFERROR(__xludf.DUMMYFUNCTION("""COMPUTED_VALUE"""),252.0)</f>
        <v>252</v>
      </c>
      <c r="H1177" s="35" t="str">
        <f>IFERROR(__xludf.DUMMYFUNCTION("""COMPUTED_VALUE"""),"Algorithms")</f>
        <v>Algorithms</v>
      </c>
      <c r="I1177" s="35">
        <f>IFERROR(__xludf.DUMMYFUNCTION("""COMPUTED_VALUE"""),0.527)</f>
        <v>0.527</v>
      </c>
      <c r="J1177" s="35">
        <f>IFERROR(__xludf.DUMMYFUNCTION("""COMPUTED_VALUE"""),1176.0)</f>
        <v>1176</v>
      </c>
      <c r="K1177" s="35" t="b">
        <f>IFERROR(__xludf.DUMMYFUNCTION("""COMPUTED_VALUE"""),TRUE)</f>
        <v>1</v>
      </c>
      <c r="L1177" s="35" t="str">
        <f>IFERROR(__xludf.DUMMYFUNCTION("""COMPUTED_VALUE"""),"Array;Sliding Window;")</f>
        <v>Array;Sliding Window;</v>
      </c>
      <c r="M1177" s="35" t="b">
        <f>IFERROR(__xludf.DUMMYFUNCTION("""COMPUTED_VALUE"""),FALSE)</f>
        <v>0</v>
      </c>
      <c r="N1177" s="35" t="b">
        <f>IFERROR(__xludf.DUMMYFUNCTION("""COMPUTED_VALUE"""),FALSE)</f>
        <v>0</v>
      </c>
      <c r="O1177" s="35">
        <f>IFERROR(__xludf.DUMMYFUNCTION("""COMPUTED_VALUE"""),52.7162842753217)</f>
        <v>52.71628428</v>
      </c>
      <c r="P1177" s="35">
        <f>IFERROR(__xludf.DUMMYFUNCTION("""COMPUTED_VALUE"""),23551.0)</f>
        <v>23551</v>
      </c>
      <c r="Q1177" s="35">
        <f>IFERROR(__xludf.DUMMYFUNCTION("""COMPUTED_VALUE"""),44675.0)</f>
        <v>44675</v>
      </c>
    </row>
    <row r="1178">
      <c r="A1178" s="35">
        <f>IFERROR(__xludf.DUMMYFUNCTION("""COMPUTED_VALUE"""),1281.0)</f>
        <v>1281</v>
      </c>
      <c r="B1178" s="35" t="str">
        <f>IFERROR(__xludf.DUMMYFUNCTION("""COMPUTED_VALUE"""),"Can Make Palindrome from Substring")</f>
        <v>Can Make Palindrome from Substring</v>
      </c>
      <c r="C1178" s="35" t="str">
        <f>IFERROR(__xludf.DUMMYFUNCTION("""COMPUTED_VALUE"""),"can-make-palindrome-from-substring")</f>
        <v>can-make-palindrome-from-substring</v>
      </c>
      <c r="D1178" s="35" t="b">
        <f>IFERROR(__xludf.DUMMYFUNCTION("""COMPUTED_VALUE"""),FALSE)</f>
        <v>0</v>
      </c>
      <c r="E1178" s="35" t="str">
        <f>IFERROR(__xludf.DUMMYFUNCTION("""COMPUTED_VALUE"""),"Medium")</f>
        <v>Medium</v>
      </c>
      <c r="F1178" s="35">
        <f>IFERROR(__xludf.DUMMYFUNCTION("""COMPUTED_VALUE"""),518.0)</f>
        <v>518</v>
      </c>
      <c r="G1178" s="35">
        <f>IFERROR(__xludf.DUMMYFUNCTION("""COMPUTED_VALUE"""),222.0)</f>
        <v>222</v>
      </c>
      <c r="H1178" s="35" t="str">
        <f>IFERROR(__xludf.DUMMYFUNCTION("""COMPUTED_VALUE"""),"Algorithms")</f>
        <v>Algorithms</v>
      </c>
      <c r="I1178" s="35">
        <f>IFERROR(__xludf.DUMMYFUNCTION("""COMPUTED_VALUE"""),0.372)</f>
        <v>0.372</v>
      </c>
      <c r="J1178" s="35">
        <f>IFERROR(__xludf.DUMMYFUNCTION("""COMPUTED_VALUE"""),1177.0)</f>
        <v>1177</v>
      </c>
      <c r="K1178" s="35" t="b">
        <f>IFERROR(__xludf.DUMMYFUNCTION("""COMPUTED_VALUE"""),FALSE)</f>
        <v>0</v>
      </c>
      <c r="L1178" s="35" t="str">
        <f>IFERROR(__xludf.DUMMYFUNCTION("""COMPUTED_VALUE"""),"Hash Table;String;Bit Manipulation;Prefix Sum;")</f>
        <v>Hash Table;String;Bit Manipulation;Prefix Sum;</v>
      </c>
      <c r="M1178" s="35" t="b">
        <f>IFERROR(__xludf.DUMMYFUNCTION("""COMPUTED_VALUE"""),FALSE)</f>
        <v>0</v>
      </c>
      <c r="N1178" s="35" t="b">
        <f>IFERROR(__xludf.DUMMYFUNCTION("""COMPUTED_VALUE"""),FALSE)</f>
        <v>0</v>
      </c>
      <c r="O1178" s="35">
        <f>IFERROR(__xludf.DUMMYFUNCTION("""COMPUTED_VALUE"""),37.2395833333333)</f>
        <v>37.23958333</v>
      </c>
      <c r="P1178" s="35">
        <f>IFERROR(__xludf.DUMMYFUNCTION("""COMPUTED_VALUE"""),19591.0)</f>
        <v>19591</v>
      </c>
      <c r="Q1178" s="35">
        <f>IFERROR(__xludf.DUMMYFUNCTION("""COMPUTED_VALUE"""),52608.0)</f>
        <v>52608</v>
      </c>
    </row>
    <row r="1179">
      <c r="A1179" s="35">
        <f>IFERROR(__xludf.DUMMYFUNCTION("""COMPUTED_VALUE"""),1282.0)</f>
        <v>1282</v>
      </c>
      <c r="B1179" s="35" t="str">
        <f>IFERROR(__xludf.DUMMYFUNCTION("""COMPUTED_VALUE"""),"Number of Valid Words for Each Puzzle")</f>
        <v>Number of Valid Words for Each Puzzle</v>
      </c>
      <c r="C1179" s="35" t="str">
        <f>IFERROR(__xludf.DUMMYFUNCTION("""COMPUTED_VALUE"""),"number-of-valid-words-for-each-puzzle")</f>
        <v>number-of-valid-words-for-each-puzzle</v>
      </c>
      <c r="D1179" s="35" t="b">
        <f>IFERROR(__xludf.DUMMYFUNCTION("""COMPUTED_VALUE"""),FALSE)</f>
        <v>0</v>
      </c>
      <c r="E1179" s="35" t="str">
        <f>IFERROR(__xludf.DUMMYFUNCTION("""COMPUTED_VALUE"""),"Hard")</f>
        <v>Hard</v>
      </c>
      <c r="F1179" s="35">
        <f>IFERROR(__xludf.DUMMYFUNCTION("""COMPUTED_VALUE"""),1055.0)</f>
        <v>1055</v>
      </c>
      <c r="G1179" s="35">
        <f>IFERROR(__xludf.DUMMYFUNCTION("""COMPUTED_VALUE"""),71.0)</f>
        <v>71</v>
      </c>
      <c r="H1179" s="35" t="str">
        <f>IFERROR(__xludf.DUMMYFUNCTION("""COMPUTED_VALUE"""),"Algorithms")</f>
        <v>Algorithms</v>
      </c>
      <c r="I1179" s="35">
        <f>IFERROR(__xludf.DUMMYFUNCTION("""COMPUTED_VALUE"""),0.469)</f>
        <v>0.469</v>
      </c>
      <c r="J1179" s="35">
        <f>IFERROR(__xludf.DUMMYFUNCTION("""COMPUTED_VALUE"""),1178.0)</f>
        <v>1178</v>
      </c>
      <c r="K1179" s="35" t="b">
        <f>IFERROR(__xludf.DUMMYFUNCTION("""COMPUTED_VALUE"""),FALSE)</f>
        <v>0</v>
      </c>
      <c r="L1179" s="35" t="str">
        <f>IFERROR(__xludf.DUMMYFUNCTION("""COMPUTED_VALUE"""),"Array;Hash Table;String;Bit Manipulation;Trie;")</f>
        <v>Array;Hash Table;String;Bit Manipulation;Trie;</v>
      </c>
      <c r="M1179" s="35" t="b">
        <f>IFERROR(__xludf.DUMMYFUNCTION("""COMPUTED_VALUE"""),TRUE)</f>
        <v>1</v>
      </c>
      <c r="N1179" s="35" t="b">
        <f>IFERROR(__xludf.DUMMYFUNCTION("""COMPUTED_VALUE"""),FALSE)</f>
        <v>0</v>
      </c>
      <c r="O1179" s="35">
        <f>IFERROR(__xludf.DUMMYFUNCTION("""COMPUTED_VALUE"""),46.8828552582318)</f>
        <v>46.88285526</v>
      </c>
      <c r="P1179" s="35">
        <f>IFERROR(__xludf.DUMMYFUNCTION("""COMPUTED_VALUE"""),26298.0)</f>
        <v>26298</v>
      </c>
      <c r="Q1179" s="35">
        <f>IFERROR(__xludf.DUMMYFUNCTION("""COMPUTED_VALUE"""),56093.0)</f>
        <v>56093</v>
      </c>
    </row>
    <row r="1180">
      <c r="A1180" s="35">
        <f>IFERROR(__xludf.DUMMYFUNCTION("""COMPUTED_VALUE"""),1301.0)</f>
        <v>1301</v>
      </c>
      <c r="B1180" s="35" t="str">
        <f>IFERROR(__xludf.DUMMYFUNCTION("""COMPUTED_VALUE"""),"Reformat Department Table")</f>
        <v>Reformat Department Table</v>
      </c>
      <c r="C1180" s="35" t="str">
        <f>IFERROR(__xludf.DUMMYFUNCTION("""COMPUTED_VALUE"""),"reformat-department-table")</f>
        <v>reformat-department-table</v>
      </c>
      <c r="D1180" s="35" t="b">
        <f>IFERROR(__xludf.DUMMYFUNCTION("""COMPUTED_VALUE"""),FALSE)</f>
        <v>0</v>
      </c>
      <c r="E1180" s="35" t="str">
        <f>IFERROR(__xludf.DUMMYFUNCTION("""COMPUTED_VALUE"""),"Easy")</f>
        <v>Easy</v>
      </c>
      <c r="F1180" s="35">
        <f>IFERROR(__xludf.DUMMYFUNCTION("""COMPUTED_VALUE"""),414.0)</f>
        <v>414</v>
      </c>
      <c r="G1180" s="35">
        <f>IFERROR(__xludf.DUMMYFUNCTION("""COMPUTED_VALUE"""),307.0)</f>
        <v>307</v>
      </c>
      <c r="H1180" s="35" t="str">
        <f>IFERROR(__xludf.DUMMYFUNCTION("""COMPUTED_VALUE"""),"Database")</f>
        <v>Database</v>
      </c>
      <c r="I1180" s="35">
        <f>IFERROR(__xludf.DUMMYFUNCTION("""COMPUTED_VALUE"""),0.823)</f>
        <v>0.823</v>
      </c>
      <c r="J1180" s="35">
        <f>IFERROR(__xludf.DUMMYFUNCTION("""COMPUTED_VALUE"""),1179.0)</f>
        <v>1179</v>
      </c>
      <c r="K1180" s="35" t="b">
        <f>IFERROR(__xludf.DUMMYFUNCTION("""COMPUTED_VALUE"""),FALSE)</f>
        <v>0</v>
      </c>
      <c r="L1180" s="35" t="str">
        <f>IFERROR(__xludf.DUMMYFUNCTION("""COMPUTED_VALUE"""),"Database;")</f>
        <v>Database;</v>
      </c>
      <c r="M1180" s="35" t="b">
        <f>IFERROR(__xludf.DUMMYFUNCTION("""COMPUTED_VALUE"""),FALSE)</f>
        <v>0</v>
      </c>
      <c r="N1180" s="35" t="b">
        <f>IFERROR(__xludf.DUMMYFUNCTION("""COMPUTED_VALUE"""),FALSE)</f>
        <v>0</v>
      </c>
      <c r="O1180" s="35">
        <f>IFERROR(__xludf.DUMMYFUNCTION("""COMPUTED_VALUE"""),82.2777715502746)</f>
        <v>82.27777155</v>
      </c>
      <c r="P1180" s="35">
        <f>IFERROR(__xludf.DUMMYFUNCTION("""COMPUTED_VALUE"""),66060.0)</f>
        <v>66060</v>
      </c>
      <c r="Q1180" s="35">
        <f>IFERROR(__xludf.DUMMYFUNCTION("""COMPUTED_VALUE"""),80289.0)</f>
        <v>80289</v>
      </c>
    </row>
    <row r="1181">
      <c r="A1181" s="35">
        <f>IFERROR(__xludf.DUMMYFUNCTION("""COMPUTED_VALUE"""),1131.0)</f>
        <v>1131</v>
      </c>
      <c r="B1181" s="35" t="str">
        <f>IFERROR(__xludf.DUMMYFUNCTION("""COMPUTED_VALUE"""),"Count Substrings with Only One Distinct Letter")</f>
        <v>Count Substrings with Only One Distinct Letter</v>
      </c>
      <c r="C1181" s="35" t="str">
        <f>IFERROR(__xludf.DUMMYFUNCTION("""COMPUTED_VALUE"""),"count-substrings-with-only-one-distinct-letter")</f>
        <v>count-substrings-with-only-one-distinct-letter</v>
      </c>
      <c r="D1181" s="35" t="b">
        <f>IFERROR(__xludf.DUMMYFUNCTION("""COMPUTED_VALUE"""),TRUE)</f>
        <v>1</v>
      </c>
      <c r="E1181" s="35" t="str">
        <f>IFERROR(__xludf.DUMMYFUNCTION("""COMPUTED_VALUE"""),"Easy")</f>
        <v>Easy</v>
      </c>
      <c r="F1181" s="35">
        <f>IFERROR(__xludf.DUMMYFUNCTION("""COMPUTED_VALUE"""),262.0)</f>
        <v>262</v>
      </c>
      <c r="G1181" s="35">
        <f>IFERROR(__xludf.DUMMYFUNCTION("""COMPUTED_VALUE"""),42.0)</f>
        <v>42</v>
      </c>
      <c r="H1181" s="35" t="str">
        <f>IFERROR(__xludf.DUMMYFUNCTION("""COMPUTED_VALUE"""),"Algorithms")</f>
        <v>Algorithms</v>
      </c>
      <c r="I1181" s="35">
        <f>IFERROR(__xludf.DUMMYFUNCTION("""COMPUTED_VALUE"""),0.787)</f>
        <v>0.787</v>
      </c>
      <c r="J1181" s="35">
        <f>IFERROR(__xludf.DUMMYFUNCTION("""COMPUTED_VALUE"""),1180.0)</f>
        <v>1180</v>
      </c>
      <c r="K1181" s="35" t="b">
        <f>IFERROR(__xludf.DUMMYFUNCTION("""COMPUTED_VALUE"""),TRUE)</f>
        <v>1</v>
      </c>
      <c r="L1181" s="35" t="str">
        <f>IFERROR(__xludf.DUMMYFUNCTION("""COMPUTED_VALUE"""),"Math;String;")</f>
        <v>Math;String;</v>
      </c>
      <c r="M1181" s="35" t="b">
        <f>IFERROR(__xludf.DUMMYFUNCTION("""COMPUTED_VALUE"""),TRUE)</f>
        <v>1</v>
      </c>
      <c r="N1181" s="35" t="b">
        <f>IFERROR(__xludf.DUMMYFUNCTION("""COMPUTED_VALUE"""),FALSE)</f>
        <v>0</v>
      </c>
      <c r="O1181" s="35">
        <f>IFERROR(__xludf.DUMMYFUNCTION("""COMPUTED_VALUE"""),78.7228239694537)</f>
        <v>78.72282397</v>
      </c>
      <c r="P1181" s="35">
        <f>IFERROR(__xludf.DUMMYFUNCTION("""COMPUTED_VALUE"""),20205.0)</f>
        <v>20205</v>
      </c>
      <c r="Q1181" s="35">
        <f>IFERROR(__xludf.DUMMYFUNCTION("""COMPUTED_VALUE"""),25666.0)</f>
        <v>25666</v>
      </c>
    </row>
    <row r="1182">
      <c r="A1182" s="35">
        <f>IFERROR(__xludf.DUMMYFUNCTION("""COMPUTED_VALUE"""),1132.0)</f>
        <v>1132</v>
      </c>
      <c r="B1182" s="35" t="str">
        <f>IFERROR(__xludf.DUMMYFUNCTION("""COMPUTED_VALUE"""),"Before and After Puzzle")</f>
        <v>Before and After Puzzle</v>
      </c>
      <c r="C1182" s="35" t="str">
        <f>IFERROR(__xludf.DUMMYFUNCTION("""COMPUTED_VALUE"""),"before-and-after-puzzle")</f>
        <v>before-and-after-puzzle</v>
      </c>
      <c r="D1182" s="35" t="b">
        <f>IFERROR(__xludf.DUMMYFUNCTION("""COMPUTED_VALUE"""),TRUE)</f>
        <v>1</v>
      </c>
      <c r="E1182" s="35" t="str">
        <f>IFERROR(__xludf.DUMMYFUNCTION("""COMPUTED_VALUE"""),"Medium")</f>
        <v>Medium</v>
      </c>
      <c r="F1182" s="35">
        <f>IFERROR(__xludf.DUMMYFUNCTION("""COMPUTED_VALUE"""),61.0)</f>
        <v>61</v>
      </c>
      <c r="G1182" s="35">
        <f>IFERROR(__xludf.DUMMYFUNCTION("""COMPUTED_VALUE"""),140.0)</f>
        <v>140</v>
      </c>
      <c r="H1182" s="35" t="str">
        <f>IFERROR(__xludf.DUMMYFUNCTION("""COMPUTED_VALUE"""),"Algorithms")</f>
        <v>Algorithms</v>
      </c>
      <c r="I1182" s="35">
        <f>IFERROR(__xludf.DUMMYFUNCTION("""COMPUTED_VALUE"""),0.449)</f>
        <v>0.449</v>
      </c>
      <c r="J1182" s="35">
        <f>IFERROR(__xludf.DUMMYFUNCTION("""COMPUTED_VALUE"""),1181.0)</f>
        <v>1181</v>
      </c>
      <c r="K1182" s="35" t="b">
        <f>IFERROR(__xludf.DUMMYFUNCTION("""COMPUTED_VALUE"""),TRUE)</f>
        <v>1</v>
      </c>
      <c r="L1182" s="35" t="str">
        <f>IFERROR(__xludf.DUMMYFUNCTION("""COMPUTED_VALUE"""),"Array;Hash Table;String;Sorting;")</f>
        <v>Array;Hash Table;String;Sorting;</v>
      </c>
      <c r="M1182" s="35" t="b">
        <f>IFERROR(__xludf.DUMMYFUNCTION("""COMPUTED_VALUE"""),FALSE)</f>
        <v>0</v>
      </c>
      <c r="N1182" s="35" t="b">
        <f>IFERROR(__xludf.DUMMYFUNCTION("""COMPUTED_VALUE"""),FALSE)</f>
        <v>0</v>
      </c>
      <c r="O1182" s="35">
        <f>IFERROR(__xludf.DUMMYFUNCTION("""COMPUTED_VALUE"""),44.9209245742092)</f>
        <v>44.92092457</v>
      </c>
      <c r="P1182" s="35">
        <f>IFERROR(__xludf.DUMMYFUNCTION("""COMPUTED_VALUE"""),8861.0)</f>
        <v>8861</v>
      </c>
      <c r="Q1182" s="35">
        <f>IFERROR(__xludf.DUMMYFUNCTION("""COMPUTED_VALUE"""),19727.0)</f>
        <v>19727</v>
      </c>
    </row>
    <row r="1183">
      <c r="A1183" s="35">
        <f>IFERROR(__xludf.DUMMYFUNCTION("""COMPUTED_VALUE"""),1134.0)</f>
        <v>1134</v>
      </c>
      <c r="B1183" s="35" t="str">
        <f>IFERROR(__xludf.DUMMYFUNCTION("""COMPUTED_VALUE"""),"Shortest Distance to Target Color")</f>
        <v>Shortest Distance to Target Color</v>
      </c>
      <c r="C1183" s="35" t="str">
        <f>IFERROR(__xludf.DUMMYFUNCTION("""COMPUTED_VALUE"""),"shortest-distance-to-target-color")</f>
        <v>shortest-distance-to-target-color</v>
      </c>
      <c r="D1183" s="35" t="b">
        <f>IFERROR(__xludf.DUMMYFUNCTION("""COMPUTED_VALUE"""),TRUE)</f>
        <v>1</v>
      </c>
      <c r="E1183" s="35" t="str">
        <f>IFERROR(__xludf.DUMMYFUNCTION("""COMPUTED_VALUE"""),"Medium")</f>
        <v>Medium</v>
      </c>
      <c r="F1183" s="35">
        <f>IFERROR(__xludf.DUMMYFUNCTION("""COMPUTED_VALUE"""),342.0)</f>
        <v>342</v>
      </c>
      <c r="G1183" s="35">
        <f>IFERROR(__xludf.DUMMYFUNCTION("""COMPUTED_VALUE"""),15.0)</f>
        <v>15</v>
      </c>
      <c r="H1183" s="35" t="str">
        <f>IFERROR(__xludf.DUMMYFUNCTION("""COMPUTED_VALUE"""),"Algorithms")</f>
        <v>Algorithms</v>
      </c>
      <c r="I1183" s="35">
        <f>IFERROR(__xludf.DUMMYFUNCTION("""COMPUTED_VALUE"""),0.542)</f>
        <v>0.542</v>
      </c>
      <c r="J1183" s="35">
        <f>IFERROR(__xludf.DUMMYFUNCTION("""COMPUTED_VALUE"""),1182.0)</f>
        <v>1182</v>
      </c>
      <c r="K1183" s="35" t="b">
        <f>IFERROR(__xludf.DUMMYFUNCTION("""COMPUTED_VALUE"""),TRUE)</f>
        <v>1</v>
      </c>
      <c r="L1183" s="35" t="str">
        <f>IFERROR(__xludf.DUMMYFUNCTION("""COMPUTED_VALUE"""),"Array;Binary Search;Dynamic Programming;")</f>
        <v>Array;Binary Search;Dynamic Programming;</v>
      </c>
      <c r="M1183" s="35" t="b">
        <f>IFERROR(__xludf.DUMMYFUNCTION("""COMPUTED_VALUE"""),TRUE)</f>
        <v>1</v>
      </c>
      <c r="N1183" s="35" t="b">
        <f>IFERROR(__xludf.DUMMYFUNCTION("""COMPUTED_VALUE"""),FALSE)</f>
        <v>0</v>
      </c>
      <c r="O1183" s="35">
        <f>IFERROR(__xludf.DUMMYFUNCTION("""COMPUTED_VALUE"""),54.2387607675694)</f>
        <v>54.23876077</v>
      </c>
      <c r="P1183" s="35">
        <f>IFERROR(__xludf.DUMMYFUNCTION("""COMPUTED_VALUE"""),21848.0)</f>
        <v>21848</v>
      </c>
      <c r="Q1183" s="35">
        <f>IFERROR(__xludf.DUMMYFUNCTION("""COMPUTED_VALUE"""),40282.0)</f>
        <v>40282</v>
      </c>
    </row>
    <row r="1184">
      <c r="A1184" s="35">
        <f>IFERROR(__xludf.DUMMYFUNCTION("""COMPUTED_VALUE"""),1152.0)</f>
        <v>1152</v>
      </c>
      <c r="B1184" s="35" t="str">
        <f>IFERROR(__xludf.DUMMYFUNCTION("""COMPUTED_VALUE"""),"Maximum Number of Ones")</f>
        <v>Maximum Number of Ones</v>
      </c>
      <c r="C1184" s="35" t="str">
        <f>IFERROR(__xludf.DUMMYFUNCTION("""COMPUTED_VALUE"""),"maximum-number-of-ones")</f>
        <v>maximum-number-of-ones</v>
      </c>
      <c r="D1184" s="35" t="b">
        <f>IFERROR(__xludf.DUMMYFUNCTION("""COMPUTED_VALUE"""),TRUE)</f>
        <v>1</v>
      </c>
      <c r="E1184" s="35" t="str">
        <f>IFERROR(__xludf.DUMMYFUNCTION("""COMPUTED_VALUE"""),"Hard")</f>
        <v>Hard</v>
      </c>
      <c r="F1184" s="35">
        <f>IFERROR(__xludf.DUMMYFUNCTION("""COMPUTED_VALUE"""),98.0)</f>
        <v>98</v>
      </c>
      <c r="G1184" s="35">
        <f>IFERROR(__xludf.DUMMYFUNCTION("""COMPUTED_VALUE"""),9.0)</f>
        <v>9</v>
      </c>
      <c r="H1184" s="35" t="str">
        <f>IFERROR(__xludf.DUMMYFUNCTION("""COMPUTED_VALUE"""),"Algorithms")</f>
        <v>Algorithms</v>
      </c>
      <c r="I1184" s="35">
        <f>IFERROR(__xludf.DUMMYFUNCTION("""COMPUTED_VALUE"""),0.599)</f>
        <v>0.599</v>
      </c>
      <c r="J1184" s="35">
        <f>IFERROR(__xludf.DUMMYFUNCTION("""COMPUTED_VALUE"""),1183.0)</f>
        <v>1183</v>
      </c>
      <c r="K1184" s="35" t="b">
        <f>IFERROR(__xludf.DUMMYFUNCTION("""COMPUTED_VALUE"""),TRUE)</f>
        <v>1</v>
      </c>
      <c r="L1184" s="35" t="str">
        <f>IFERROR(__xludf.DUMMYFUNCTION("""COMPUTED_VALUE"""),"Greedy;Heap (Priority Queue);")</f>
        <v>Greedy;Heap (Priority Queue);</v>
      </c>
      <c r="M1184" s="35" t="b">
        <f>IFERROR(__xludf.DUMMYFUNCTION("""COMPUTED_VALUE"""),FALSE)</f>
        <v>0</v>
      </c>
      <c r="N1184" s="35" t="b">
        <f>IFERROR(__xludf.DUMMYFUNCTION("""COMPUTED_VALUE"""),FALSE)</f>
        <v>0</v>
      </c>
      <c r="O1184" s="35">
        <f>IFERROR(__xludf.DUMMYFUNCTION("""COMPUTED_VALUE"""),59.880410022779)</f>
        <v>59.88041002</v>
      </c>
      <c r="P1184" s="35">
        <f>IFERROR(__xludf.DUMMYFUNCTION("""COMPUTED_VALUE"""),2103.0)</f>
        <v>2103</v>
      </c>
      <c r="Q1184" s="35">
        <f>IFERROR(__xludf.DUMMYFUNCTION("""COMPUTED_VALUE"""),3512.0)</f>
        <v>3512</v>
      </c>
    </row>
    <row r="1185">
      <c r="A1185" s="35">
        <f>IFERROR(__xludf.DUMMYFUNCTION("""COMPUTED_VALUE"""),1287.0)</f>
        <v>1287</v>
      </c>
      <c r="B1185" s="35" t="str">
        <f>IFERROR(__xludf.DUMMYFUNCTION("""COMPUTED_VALUE"""),"Distance Between Bus Stops")</f>
        <v>Distance Between Bus Stops</v>
      </c>
      <c r="C1185" s="35" t="str">
        <f>IFERROR(__xludf.DUMMYFUNCTION("""COMPUTED_VALUE"""),"distance-between-bus-stops")</f>
        <v>distance-between-bus-stops</v>
      </c>
      <c r="D1185" s="35" t="b">
        <f>IFERROR(__xludf.DUMMYFUNCTION("""COMPUTED_VALUE"""),FALSE)</f>
        <v>0</v>
      </c>
      <c r="E1185" s="35" t="str">
        <f>IFERROR(__xludf.DUMMYFUNCTION("""COMPUTED_VALUE"""),"Easy")</f>
        <v>Easy</v>
      </c>
      <c r="F1185" s="35">
        <f>IFERROR(__xludf.DUMMYFUNCTION("""COMPUTED_VALUE"""),502.0)</f>
        <v>502</v>
      </c>
      <c r="G1185" s="35">
        <f>IFERROR(__xludf.DUMMYFUNCTION("""COMPUTED_VALUE"""),58.0)</f>
        <v>58</v>
      </c>
      <c r="H1185" s="35" t="str">
        <f>IFERROR(__xludf.DUMMYFUNCTION("""COMPUTED_VALUE"""),"Algorithms")</f>
        <v>Algorithms</v>
      </c>
      <c r="I1185" s="35">
        <f>IFERROR(__xludf.DUMMYFUNCTION("""COMPUTED_VALUE"""),0.541)</f>
        <v>0.541</v>
      </c>
      <c r="J1185" s="35">
        <f>IFERROR(__xludf.DUMMYFUNCTION("""COMPUTED_VALUE"""),1184.0)</f>
        <v>1184</v>
      </c>
      <c r="K1185" s="35" t="b">
        <f>IFERROR(__xludf.DUMMYFUNCTION("""COMPUTED_VALUE"""),FALSE)</f>
        <v>0</v>
      </c>
      <c r="L1185" s="35" t="str">
        <f>IFERROR(__xludf.DUMMYFUNCTION("""COMPUTED_VALUE"""),"Array;")</f>
        <v>Array;</v>
      </c>
      <c r="M1185" s="35" t="b">
        <f>IFERROR(__xludf.DUMMYFUNCTION("""COMPUTED_VALUE"""),FALSE)</f>
        <v>0</v>
      </c>
      <c r="N1185" s="35" t="b">
        <f>IFERROR(__xludf.DUMMYFUNCTION("""COMPUTED_VALUE"""),FALSE)</f>
        <v>0</v>
      </c>
      <c r="O1185" s="35">
        <f>IFERROR(__xludf.DUMMYFUNCTION("""COMPUTED_VALUE"""),54.0740939741557)</f>
        <v>54.07409397</v>
      </c>
      <c r="P1185" s="35">
        <f>IFERROR(__xludf.DUMMYFUNCTION("""COMPUTED_VALUE"""),40256.0)</f>
        <v>40256</v>
      </c>
      <c r="Q1185" s="35">
        <f>IFERROR(__xludf.DUMMYFUNCTION("""COMPUTED_VALUE"""),74445.0)</f>
        <v>74445</v>
      </c>
    </row>
    <row r="1186">
      <c r="A1186" s="35">
        <f>IFERROR(__xludf.DUMMYFUNCTION("""COMPUTED_VALUE"""),1289.0)</f>
        <v>1289</v>
      </c>
      <c r="B1186" s="35" t="str">
        <f>IFERROR(__xludf.DUMMYFUNCTION("""COMPUTED_VALUE"""),"Day of the Week")</f>
        <v>Day of the Week</v>
      </c>
      <c r="C1186" s="35" t="str">
        <f>IFERROR(__xludf.DUMMYFUNCTION("""COMPUTED_VALUE"""),"day-of-the-week")</f>
        <v>day-of-the-week</v>
      </c>
      <c r="D1186" s="35" t="b">
        <f>IFERROR(__xludf.DUMMYFUNCTION("""COMPUTED_VALUE"""),FALSE)</f>
        <v>0</v>
      </c>
      <c r="E1186" s="35" t="str">
        <f>IFERROR(__xludf.DUMMYFUNCTION("""COMPUTED_VALUE"""),"Easy")</f>
        <v>Easy</v>
      </c>
      <c r="F1186" s="35">
        <f>IFERROR(__xludf.DUMMYFUNCTION("""COMPUTED_VALUE"""),222.0)</f>
        <v>222</v>
      </c>
      <c r="G1186" s="35">
        <f>IFERROR(__xludf.DUMMYFUNCTION("""COMPUTED_VALUE"""),1839.0)</f>
        <v>1839</v>
      </c>
      <c r="H1186" s="35" t="str">
        <f>IFERROR(__xludf.DUMMYFUNCTION("""COMPUTED_VALUE"""),"Algorithms")</f>
        <v>Algorithms</v>
      </c>
      <c r="I1186" s="35">
        <f>IFERROR(__xludf.DUMMYFUNCTION("""COMPUTED_VALUE"""),0.587)</f>
        <v>0.587</v>
      </c>
      <c r="J1186" s="35">
        <f>IFERROR(__xludf.DUMMYFUNCTION("""COMPUTED_VALUE"""),1185.0)</f>
        <v>1185</v>
      </c>
      <c r="K1186" s="35" t="b">
        <f>IFERROR(__xludf.DUMMYFUNCTION("""COMPUTED_VALUE"""),FALSE)</f>
        <v>0</v>
      </c>
      <c r="L1186" s="35" t="str">
        <f>IFERROR(__xludf.DUMMYFUNCTION("""COMPUTED_VALUE"""),"Math;")</f>
        <v>Math;</v>
      </c>
      <c r="M1186" s="35" t="b">
        <f>IFERROR(__xludf.DUMMYFUNCTION("""COMPUTED_VALUE"""),FALSE)</f>
        <v>0</v>
      </c>
      <c r="N1186" s="35" t="b">
        <f>IFERROR(__xludf.DUMMYFUNCTION("""COMPUTED_VALUE"""),FALSE)</f>
        <v>0</v>
      </c>
      <c r="O1186" s="35">
        <f>IFERROR(__xludf.DUMMYFUNCTION("""COMPUTED_VALUE"""),58.6933273295246)</f>
        <v>58.69332733</v>
      </c>
      <c r="P1186" s="35">
        <f>IFERROR(__xludf.DUMMYFUNCTION("""COMPUTED_VALUE"""),41710.0)</f>
        <v>41710</v>
      </c>
      <c r="Q1186" s="35">
        <f>IFERROR(__xludf.DUMMYFUNCTION("""COMPUTED_VALUE"""),71065.0)</f>
        <v>71065</v>
      </c>
    </row>
    <row r="1187">
      <c r="A1187" s="35">
        <f>IFERROR(__xludf.DUMMYFUNCTION("""COMPUTED_VALUE"""),1288.0)</f>
        <v>1288</v>
      </c>
      <c r="B1187" s="35" t="str">
        <f>IFERROR(__xludf.DUMMYFUNCTION("""COMPUTED_VALUE"""),"Maximum Subarray Sum with One Deletion")</f>
        <v>Maximum Subarray Sum with One Deletion</v>
      </c>
      <c r="C1187" s="35" t="str">
        <f>IFERROR(__xludf.DUMMYFUNCTION("""COMPUTED_VALUE"""),"maximum-subarray-sum-with-one-deletion")</f>
        <v>maximum-subarray-sum-with-one-deletion</v>
      </c>
      <c r="D1187" s="35" t="b">
        <f>IFERROR(__xludf.DUMMYFUNCTION("""COMPUTED_VALUE"""),FALSE)</f>
        <v>0</v>
      </c>
      <c r="E1187" s="35" t="str">
        <f>IFERROR(__xludf.DUMMYFUNCTION("""COMPUTED_VALUE"""),"Medium")</f>
        <v>Medium</v>
      </c>
      <c r="F1187" s="35">
        <f>IFERROR(__xludf.DUMMYFUNCTION("""COMPUTED_VALUE"""),1181.0)</f>
        <v>1181</v>
      </c>
      <c r="G1187" s="35">
        <f>IFERROR(__xludf.DUMMYFUNCTION("""COMPUTED_VALUE"""),42.0)</f>
        <v>42</v>
      </c>
      <c r="H1187" s="35" t="str">
        <f>IFERROR(__xludf.DUMMYFUNCTION("""COMPUTED_VALUE"""),"Algorithms")</f>
        <v>Algorithms</v>
      </c>
      <c r="I1187" s="35">
        <f>IFERROR(__xludf.DUMMYFUNCTION("""COMPUTED_VALUE"""),0.405)</f>
        <v>0.405</v>
      </c>
      <c r="J1187" s="35">
        <f>IFERROR(__xludf.DUMMYFUNCTION("""COMPUTED_VALUE"""),1186.0)</f>
        <v>1186</v>
      </c>
      <c r="K1187" s="35" t="b">
        <f>IFERROR(__xludf.DUMMYFUNCTION("""COMPUTED_VALUE"""),FALSE)</f>
        <v>0</v>
      </c>
      <c r="L1187" s="35" t="str">
        <f>IFERROR(__xludf.DUMMYFUNCTION("""COMPUTED_VALUE"""),"Array;Dynamic Programming;")</f>
        <v>Array;Dynamic Programming;</v>
      </c>
      <c r="M1187" s="35" t="b">
        <f>IFERROR(__xludf.DUMMYFUNCTION("""COMPUTED_VALUE"""),FALSE)</f>
        <v>0</v>
      </c>
      <c r="N1187" s="35" t="b">
        <f>IFERROR(__xludf.DUMMYFUNCTION("""COMPUTED_VALUE"""),FALSE)</f>
        <v>0</v>
      </c>
      <c r="O1187" s="35">
        <f>IFERROR(__xludf.DUMMYFUNCTION("""COMPUTED_VALUE"""),40.5160473307214)</f>
        <v>40.51604733</v>
      </c>
      <c r="P1187" s="35">
        <f>IFERROR(__xludf.DUMMYFUNCTION("""COMPUTED_VALUE"""),30714.0)</f>
        <v>30714</v>
      </c>
      <c r="Q1187" s="35">
        <f>IFERROR(__xludf.DUMMYFUNCTION("""COMPUTED_VALUE"""),75807.0)</f>
        <v>75807</v>
      </c>
    </row>
    <row r="1188">
      <c r="A1188" s="35">
        <f>IFERROR(__xludf.DUMMYFUNCTION("""COMPUTED_VALUE"""),1290.0)</f>
        <v>1290</v>
      </c>
      <c r="B1188" s="35" t="str">
        <f>IFERROR(__xludf.DUMMYFUNCTION("""COMPUTED_VALUE"""),"Make Array Strictly Increasing")</f>
        <v>Make Array Strictly Increasing</v>
      </c>
      <c r="C1188" s="35" t="str">
        <f>IFERROR(__xludf.DUMMYFUNCTION("""COMPUTED_VALUE"""),"make-array-strictly-increasing")</f>
        <v>make-array-strictly-increasing</v>
      </c>
      <c r="D1188" s="35" t="b">
        <f>IFERROR(__xludf.DUMMYFUNCTION("""COMPUTED_VALUE"""),FALSE)</f>
        <v>0</v>
      </c>
      <c r="E1188" s="35" t="str">
        <f>IFERROR(__xludf.DUMMYFUNCTION("""COMPUTED_VALUE"""),"Hard")</f>
        <v>Hard</v>
      </c>
      <c r="F1188" s="35">
        <f>IFERROR(__xludf.DUMMYFUNCTION("""COMPUTED_VALUE"""),578.0)</f>
        <v>578</v>
      </c>
      <c r="G1188" s="35">
        <f>IFERROR(__xludf.DUMMYFUNCTION("""COMPUTED_VALUE"""),16.0)</f>
        <v>16</v>
      </c>
      <c r="H1188" s="35" t="str">
        <f>IFERROR(__xludf.DUMMYFUNCTION("""COMPUTED_VALUE"""),"Algorithms")</f>
        <v>Algorithms</v>
      </c>
      <c r="I1188" s="35">
        <f>IFERROR(__xludf.DUMMYFUNCTION("""COMPUTED_VALUE"""),0.445)</f>
        <v>0.445</v>
      </c>
      <c r="J1188" s="35">
        <f>IFERROR(__xludf.DUMMYFUNCTION("""COMPUTED_VALUE"""),1187.0)</f>
        <v>1187</v>
      </c>
      <c r="K1188" s="35" t="b">
        <f>IFERROR(__xludf.DUMMYFUNCTION("""COMPUTED_VALUE"""),FALSE)</f>
        <v>0</v>
      </c>
      <c r="L1188" s="35" t="str">
        <f>IFERROR(__xludf.DUMMYFUNCTION("""COMPUTED_VALUE"""),"Array;Binary Search;Dynamic Programming;")</f>
        <v>Array;Binary Search;Dynamic Programming;</v>
      </c>
      <c r="M1188" s="35" t="b">
        <f>IFERROR(__xludf.DUMMYFUNCTION("""COMPUTED_VALUE"""),FALSE)</f>
        <v>0</v>
      </c>
      <c r="N1188" s="35" t="b">
        <f>IFERROR(__xludf.DUMMYFUNCTION("""COMPUTED_VALUE"""),FALSE)</f>
        <v>0</v>
      </c>
      <c r="O1188" s="35">
        <f>IFERROR(__xludf.DUMMYFUNCTION("""COMPUTED_VALUE"""),44.5242874347651)</f>
        <v>44.52428743</v>
      </c>
      <c r="P1188" s="35">
        <f>IFERROR(__xludf.DUMMYFUNCTION("""COMPUTED_VALUE"""),11091.0)</f>
        <v>11091</v>
      </c>
      <c r="Q1188" s="35">
        <f>IFERROR(__xludf.DUMMYFUNCTION("""COMPUTED_VALUE"""),24910.0)</f>
        <v>24910</v>
      </c>
    </row>
    <row r="1189">
      <c r="A1189" s="35">
        <f>IFERROR(__xludf.DUMMYFUNCTION("""COMPUTED_VALUE"""),1209.0)</f>
        <v>1209</v>
      </c>
      <c r="B1189" s="35" t="str">
        <f>IFERROR(__xludf.DUMMYFUNCTION("""COMPUTED_VALUE"""),"Design Bounded Blocking Queue")</f>
        <v>Design Bounded Blocking Queue</v>
      </c>
      <c r="C1189" s="35" t="str">
        <f>IFERROR(__xludf.DUMMYFUNCTION("""COMPUTED_VALUE"""),"design-bounded-blocking-queue")</f>
        <v>design-bounded-blocking-queue</v>
      </c>
      <c r="D1189" s="35" t="b">
        <f>IFERROR(__xludf.DUMMYFUNCTION("""COMPUTED_VALUE"""),TRUE)</f>
        <v>1</v>
      </c>
      <c r="E1189" s="35" t="str">
        <f>IFERROR(__xludf.DUMMYFUNCTION("""COMPUTED_VALUE"""),"Medium")</f>
        <v>Medium</v>
      </c>
      <c r="F1189" s="35">
        <f>IFERROR(__xludf.DUMMYFUNCTION("""COMPUTED_VALUE"""),393.0)</f>
        <v>393</v>
      </c>
      <c r="G1189" s="35">
        <f>IFERROR(__xludf.DUMMYFUNCTION("""COMPUTED_VALUE"""),31.0)</f>
        <v>31</v>
      </c>
      <c r="H1189" s="35" t="str">
        <f>IFERROR(__xludf.DUMMYFUNCTION("""COMPUTED_VALUE"""),"Concurrency")</f>
        <v>Concurrency</v>
      </c>
      <c r="I1189" s="35">
        <f>IFERROR(__xludf.DUMMYFUNCTION("""COMPUTED_VALUE"""),0.73)</f>
        <v>0.73</v>
      </c>
      <c r="J1189" s="35">
        <f>IFERROR(__xludf.DUMMYFUNCTION("""COMPUTED_VALUE"""),1188.0)</f>
        <v>1188</v>
      </c>
      <c r="K1189" s="35" t="b">
        <f>IFERROR(__xludf.DUMMYFUNCTION("""COMPUTED_VALUE"""),TRUE)</f>
        <v>1</v>
      </c>
      <c r="L1189" s="35" t="str">
        <f>IFERROR(__xludf.DUMMYFUNCTION("""COMPUTED_VALUE"""),"Concurrency;")</f>
        <v>Concurrency;</v>
      </c>
      <c r="M1189" s="35" t="b">
        <f>IFERROR(__xludf.DUMMYFUNCTION("""COMPUTED_VALUE"""),FALSE)</f>
        <v>0</v>
      </c>
      <c r="N1189" s="35" t="b">
        <f>IFERROR(__xludf.DUMMYFUNCTION("""COMPUTED_VALUE"""),FALSE)</f>
        <v>0</v>
      </c>
      <c r="O1189" s="35">
        <f>IFERROR(__xludf.DUMMYFUNCTION("""COMPUTED_VALUE"""),72.9535480314626)</f>
        <v>72.95354803</v>
      </c>
      <c r="P1189" s="35">
        <f>IFERROR(__xludf.DUMMYFUNCTION("""COMPUTED_VALUE"""),34410.0)</f>
        <v>34410</v>
      </c>
      <c r="Q1189" s="35">
        <f>IFERROR(__xludf.DUMMYFUNCTION("""COMPUTED_VALUE"""),47167.0)</f>
        <v>47167</v>
      </c>
    </row>
    <row r="1190">
      <c r="A1190" s="35">
        <f>IFERROR(__xludf.DUMMYFUNCTION("""COMPUTED_VALUE"""),1297.0)</f>
        <v>1297</v>
      </c>
      <c r="B1190" s="35" t="str">
        <f>IFERROR(__xludf.DUMMYFUNCTION("""COMPUTED_VALUE"""),"Maximum Number of Balloons")</f>
        <v>Maximum Number of Balloons</v>
      </c>
      <c r="C1190" s="35" t="str">
        <f>IFERROR(__xludf.DUMMYFUNCTION("""COMPUTED_VALUE"""),"maximum-number-of-balloons")</f>
        <v>maximum-number-of-balloons</v>
      </c>
      <c r="D1190" s="35" t="b">
        <f>IFERROR(__xludf.DUMMYFUNCTION("""COMPUTED_VALUE"""),FALSE)</f>
        <v>0</v>
      </c>
      <c r="E1190" s="35" t="str">
        <f>IFERROR(__xludf.DUMMYFUNCTION("""COMPUTED_VALUE"""),"Easy")</f>
        <v>Easy</v>
      </c>
      <c r="F1190" s="35">
        <f>IFERROR(__xludf.DUMMYFUNCTION("""COMPUTED_VALUE"""),977.0)</f>
        <v>977</v>
      </c>
      <c r="G1190" s="35">
        <f>IFERROR(__xludf.DUMMYFUNCTION("""COMPUTED_VALUE"""),66.0)</f>
        <v>66</v>
      </c>
      <c r="H1190" s="35" t="str">
        <f>IFERROR(__xludf.DUMMYFUNCTION("""COMPUTED_VALUE"""),"Algorithms")</f>
        <v>Algorithms</v>
      </c>
      <c r="I1190" s="35">
        <f>IFERROR(__xludf.DUMMYFUNCTION("""COMPUTED_VALUE"""),0.626)</f>
        <v>0.626</v>
      </c>
      <c r="J1190" s="35">
        <f>IFERROR(__xludf.DUMMYFUNCTION("""COMPUTED_VALUE"""),1189.0)</f>
        <v>1189</v>
      </c>
      <c r="K1190" s="35" t="b">
        <f>IFERROR(__xludf.DUMMYFUNCTION("""COMPUTED_VALUE"""),FALSE)</f>
        <v>0</v>
      </c>
      <c r="L1190" s="35" t="str">
        <f>IFERROR(__xludf.DUMMYFUNCTION("""COMPUTED_VALUE"""),"Hash Table;String;Counting;")</f>
        <v>Hash Table;String;Counting;</v>
      </c>
      <c r="M1190" s="35" t="b">
        <f>IFERROR(__xludf.DUMMYFUNCTION("""COMPUTED_VALUE"""),TRUE)</f>
        <v>1</v>
      </c>
      <c r="N1190" s="35" t="b">
        <f>IFERROR(__xludf.DUMMYFUNCTION("""COMPUTED_VALUE"""),FALSE)</f>
        <v>0</v>
      </c>
      <c r="O1190" s="35">
        <f>IFERROR(__xludf.DUMMYFUNCTION("""COMPUTED_VALUE"""),62.5544140693017)</f>
        <v>62.55441407</v>
      </c>
      <c r="P1190" s="35">
        <f>IFERROR(__xludf.DUMMYFUNCTION("""COMPUTED_VALUE"""),107775.0)</f>
        <v>107775</v>
      </c>
      <c r="Q1190" s="35">
        <f>IFERROR(__xludf.DUMMYFUNCTION("""COMPUTED_VALUE"""),172290.0)</f>
        <v>172290</v>
      </c>
    </row>
    <row r="1191">
      <c r="A1191" s="35">
        <f>IFERROR(__xludf.DUMMYFUNCTION("""COMPUTED_VALUE"""),1298.0)</f>
        <v>1298</v>
      </c>
      <c r="B1191" s="35" t="str">
        <f>IFERROR(__xludf.DUMMYFUNCTION("""COMPUTED_VALUE"""),"Reverse Substrings Between Each Pair of Parentheses")</f>
        <v>Reverse Substrings Between Each Pair of Parentheses</v>
      </c>
      <c r="C1191" s="35" t="str">
        <f>IFERROR(__xludf.DUMMYFUNCTION("""COMPUTED_VALUE"""),"reverse-substrings-between-each-pair-of-parentheses")</f>
        <v>reverse-substrings-between-each-pair-of-parentheses</v>
      </c>
      <c r="D1191" s="35" t="b">
        <f>IFERROR(__xludf.DUMMYFUNCTION("""COMPUTED_VALUE"""),FALSE)</f>
        <v>0</v>
      </c>
      <c r="E1191" s="35" t="str">
        <f>IFERROR(__xludf.DUMMYFUNCTION("""COMPUTED_VALUE"""),"Medium")</f>
        <v>Medium</v>
      </c>
      <c r="F1191" s="35">
        <f>IFERROR(__xludf.DUMMYFUNCTION("""COMPUTED_VALUE"""),1218.0)</f>
        <v>1218</v>
      </c>
      <c r="G1191" s="35">
        <f>IFERROR(__xludf.DUMMYFUNCTION("""COMPUTED_VALUE"""),34.0)</f>
        <v>34</v>
      </c>
      <c r="H1191" s="35" t="str">
        <f>IFERROR(__xludf.DUMMYFUNCTION("""COMPUTED_VALUE"""),"Algorithms")</f>
        <v>Algorithms</v>
      </c>
      <c r="I1191" s="35">
        <f>IFERROR(__xludf.DUMMYFUNCTION("""COMPUTED_VALUE"""),0.656)</f>
        <v>0.656</v>
      </c>
      <c r="J1191" s="35">
        <f>IFERROR(__xludf.DUMMYFUNCTION("""COMPUTED_VALUE"""),1190.0)</f>
        <v>1190</v>
      </c>
      <c r="K1191" s="35" t="b">
        <f>IFERROR(__xludf.DUMMYFUNCTION("""COMPUTED_VALUE"""),FALSE)</f>
        <v>0</v>
      </c>
      <c r="L1191" s="35" t="str">
        <f>IFERROR(__xludf.DUMMYFUNCTION("""COMPUTED_VALUE"""),"String;Stack;")</f>
        <v>String;Stack;</v>
      </c>
      <c r="M1191" s="35" t="b">
        <f>IFERROR(__xludf.DUMMYFUNCTION("""COMPUTED_VALUE"""),FALSE)</f>
        <v>0</v>
      </c>
      <c r="N1191" s="35" t="b">
        <f>IFERROR(__xludf.DUMMYFUNCTION("""COMPUTED_VALUE"""),FALSE)</f>
        <v>0</v>
      </c>
      <c r="O1191" s="35">
        <f>IFERROR(__xludf.DUMMYFUNCTION("""COMPUTED_VALUE"""),65.60086324398)</f>
        <v>65.60086324</v>
      </c>
      <c r="P1191" s="35">
        <f>IFERROR(__xludf.DUMMYFUNCTION("""COMPUTED_VALUE"""),46204.0)</f>
        <v>46204</v>
      </c>
      <c r="Q1191" s="35">
        <f>IFERROR(__xludf.DUMMYFUNCTION("""COMPUTED_VALUE"""),70432.0)</f>
        <v>70432</v>
      </c>
    </row>
    <row r="1192">
      <c r="A1192" s="35">
        <f>IFERROR(__xludf.DUMMYFUNCTION("""COMPUTED_VALUE"""),1299.0)</f>
        <v>1299</v>
      </c>
      <c r="B1192" s="35" t="str">
        <f>IFERROR(__xludf.DUMMYFUNCTION("""COMPUTED_VALUE"""),"K-Concatenation Maximum Sum")</f>
        <v>K-Concatenation Maximum Sum</v>
      </c>
      <c r="C1192" s="35" t="str">
        <f>IFERROR(__xludf.DUMMYFUNCTION("""COMPUTED_VALUE"""),"k-concatenation-maximum-sum")</f>
        <v>k-concatenation-maximum-sum</v>
      </c>
      <c r="D1192" s="35" t="b">
        <f>IFERROR(__xludf.DUMMYFUNCTION("""COMPUTED_VALUE"""),FALSE)</f>
        <v>0</v>
      </c>
      <c r="E1192" s="35" t="str">
        <f>IFERROR(__xludf.DUMMYFUNCTION("""COMPUTED_VALUE"""),"Medium")</f>
        <v>Medium</v>
      </c>
      <c r="F1192" s="35">
        <f>IFERROR(__xludf.DUMMYFUNCTION("""COMPUTED_VALUE"""),852.0)</f>
        <v>852</v>
      </c>
      <c r="G1192" s="35">
        <f>IFERROR(__xludf.DUMMYFUNCTION("""COMPUTED_VALUE"""),80.0)</f>
        <v>80</v>
      </c>
      <c r="H1192" s="35" t="str">
        <f>IFERROR(__xludf.DUMMYFUNCTION("""COMPUTED_VALUE"""),"Algorithms")</f>
        <v>Algorithms</v>
      </c>
      <c r="I1192" s="35">
        <f>IFERROR(__xludf.DUMMYFUNCTION("""COMPUTED_VALUE"""),0.241)</f>
        <v>0.241</v>
      </c>
      <c r="J1192" s="35">
        <f>IFERROR(__xludf.DUMMYFUNCTION("""COMPUTED_VALUE"""),1191.0)</f>
        <v>1191</v>
      </c>
      <c r="K1192" s="35" t="b">
        <f>IFERROR(__xludf.DUMMYFUNCTION("""COMPUTED_VALUE"""),FALSE)</f>
        <v>0</v>
      </c>
      <c r="L1192" s="35" t="str">
        <f>IFERROR(__xludf.DUMMYFUNCTION("""COMPUTED_VALUE"""),"Array;Dynamic Programming;")</f>
        <v>Array;Dynamic Programming;</v>
      </c>
      <c r="M1192" s="35" t="b">
        <f>IFERROR(__xludf.DUMMYFUNCTION("""COMPUTED_VALUE"""),FALSE)</f>
        <v>0</v>
      </c>
      <c r="N1192" s="35" t="b">
        <f>IFERROR(__xludf.DUMMYFUNCTION("""COMPUTED_VALUE"""),FALSE)</f>
        <v>0</v>
      </c>
      <c r="O1192" s="35">
        <f>IFERROR(__xludf.DUMMYFUNCTION("""COMPUTED_VALUE"""),24.1337535804852)</f>
        <v>24.13375358</v>
      </c>
      <c r="P1192" s="35">
        <f>IFERROR(__xludf.DUMMYFUNCTION("""COMPUTED_VALUE"""),23507.0)</f>
        <v>23507</v>
      </c>
      <c r="Q1192" s="35">
        <f>IFERROR(__xludf.DUMMYFUNCTION("""COMPUTED_VALUE"""),97403.0)</f>
        <v>97403</v>
      </c>
    </row>
    <row r="1193">
      <c r="A1193" s="35">
        <f>IFERROR(__xludf.DUMMYFUNCTION("""COMPUTED_VALUE"""),1300.0)</f>
        <v>1300</v>
      </c>
      <c r="B1193" s="35" t="str">
        <f>IFERROR(__xludf.DUMMYFUNCTION("""COMPUTED_VALUE"""),"Critical Connections in a Network")</f>
        <v>Critical Connections in a Network</v>
      </c>
      <c r="C1193" s="35" t="str">
        <f>IFERROR(__xludf.DUMMYFUNCTION("""COMPUTED_VALUE"""),"critical-connections-in-a-network")</f>
        <v>critical-connections-in-a-network</v>
      </c>
      <c r="D1193" s="35" t="b">
        <f>IFERROR(__xludf.DUMMYFUNCTION("""COMPUTED_VALUE"""),FALSE)</f>
        <v>0</v>
      </c>
      <c r="E1193" s="35" t="str">
        <f>IFERROR(__xludf.DUMMYFUNCTION("""COMPUTED_VALUE"""),"Hard")</f>
        <v>Hard</v>
      </c>
      <c r="F1193" s="35">
        <f>IFERROR(__xludf.DUMMYFUNCTION("""COMPUTED_VALUE"""),3395.0)</f>
        <v>3395</v>
      </c>
      <c r="G1193" s="35">
        <f>IFERROR(__xludf.DUMMYFUNCTION("""COMPUTED_VALUE"""),138.0)</f>
        <v>138</v>
      </c>
      <c r="H1193" s="35" t="str">
        <f>IFERROR(__xludf.DUMMYFUNCTION("""COMPUTED_VALUE"""),"Algorithms")</f>
        <v>Algorithms</v>
      </c>
      <c r="I1193" s="35">
        <f>IFERROR(__xludf.DUMMYFUNCTION("""COMPUTED_VALUE"""),0.52)</f>
        <v>0.52</v>
      </c>
      <c r="J1193" s="35">
        <f>IFERROR(__xludf.DUMMYFUNCTION("""COMPUTED_VALUE"""),1192.0)</f>
        <v>1192</v>
      </c>
      <c r="K1193" s="35" t="b">
        <f>IFERROR(__xludf.DUMMYFUNCTION("""COMPUTED_VALUE"""),FALSE)</f>
        <v>0</v>
      </c>
      <c r="L1193" s="35" t="str">
        <f>IFERROR(__xludf.DUMMYFUNCTION("""COMPUTED_VALUE"""),"Depth-First Search;Graph;Biconnected Component;")</f>
        <v>Depth-First Search;Graph;Biconnected Component;</v>
      </c>
      <c r="M1193" s="35" t="b">
        <f>IFERROR(__xludf.DUMMYFUNCTION("""COMPUTED_VALUE"""),TRUE)</f>
        <v>1</v>
      </c>
      <c r="N1193" s="35" t="b">
        <f>IFERROR(__xludf.DUMMYFUNCTION("""COMPUTED_VALUE"""),FALSE)</f>
        <v>0</v>
      </c>
      <c r="O1193" s="35">
        <f>IFERROR(__xludf.DUMMYFUNCTION("""COMPUTED_VALUE"""),52.033858710332)</f>
        <v>52.03385871</v>
      </c>
      <c r="P1193" s="35">
        <f>IFERROR(__xludf.DUMMYFUNCTION("""COMPUTED_VALUE"""),142553.0)</f>
        <v>142553</v>
      </c>
      <c r="Q1193" s="35">
        <f>IFERROR(__xludf.DUMMYFUNCTION("""COMPUTED_VALUE"""),273962.0)</f>
        <v>273962</v>
      </c>
    </row>
    <row r="1194">
      <c r="A1194" s="35">
        <f>IFERROR(__xludf.DUMMYFUNCTION("""COMPUTED_VALUE"""),1317.0)</f>
        <v>1317</v>
      </c>
      <c r="B1194" s="35" t="str">
        <f>IFERROR(__xludf.DUMMYFUNCTION("""COMPUTED_VALUE"""),"Monthly Transactions I")</f>
        <v>Monthly Transactions I</v>
      </c>
      <c r="C1194" s="35" t="str">
        <f>IFERROR(__xludf.DUMMYFUNCTION("""COMPUTED_VALUE"""),"monthly-transactions-i")</f>
        <v>monthly-transactions-i</v>
      </c>
      <c r="D1194" s="35" t="b">
        <f>IFERROR(__xludf.DUMMYFUNCTION("""COMPUTED_VALUE"""),TRUE)</f>
        <v>1</v>
      </c>
      <c r="E1194" s="35" t="str">
        <f>IFERROR(__xludf.DUMMYFUNCTION("""COMPUTED_VALUE"""),"Medium")</f>
        <v>Medium</v>
      </c>
      <c r="F1194" s="35">
        <f>IFERROR(__xludf.DUMMYFUNCTION("""COMPUTED_VALUE"""),100.0)</f>
        <v>100</v>
      </c>
      <c r="G1194" s="35">
        <f>IFERROR(__xludf.DUMMYFUNCTION("""COMPUTED_VALUE"""),20.0)</f>
        <v>20</v>
      </c>
      <c r="H1194" s="35" t="str">
        <f>IFERROR(__xludf.DUMMYFUNCTION("""COMPUTED_VALUE"""),"Database")</f>
        <v>Database</v>
      </c>
      <c r="I1194" s="35">
        <f>IFERROR(__xludf.DUMMYFUNCTION("""COMPUTED_VALUE"""),0.675)</f>
        <v>0.675</v>
      </c>
      <c r="J1194" s="35">
        <f>IFERROR(__xludf.DUMMYFUNCTION("""COMPUTED_VALUE"""),1193.0)</f>
        <v>1193</v>
      </c>
      <c r="K1194" s="35" t="b">
        <f>IFERROR(__xludf.DUMMYFUNCTION("""COMPUTED_VALUE"""),TRUE)</f>
        <v>1</v>
      </c>
      <c r="L1194" s="35" t="str">
        <f>IFERROR(__xludf.DUMMYFUNCTION("""COMPUTED_VALUE"""),"Database;")</f>
        <v>Database;</v>
      </c>
      <c r="M1194" s="35" t="b">
        <f>IFERROR(__xludf.DUMMYFUNCTION("""COMPUTED_VALUE"""),FALSE)</f>
        <v>0</v>
      </c>
      <c r="N1194" s="35" t="b">
        <f>IFERROR(__xludf.DUMMYFUNCTION("""COMPUTED_VALUE"""),FALSE)</f>
        <v>0</v>
      </c>
      <c r="O1194" s="35">
        <f>IFERROR(__xludf.DUMMYFUNCTION("""COMPUTED_VALUE"""),67.4674902470741)</f>
        <v>67.46749025</v>
      </c>
      <c r="P1194" s="35">
        <f>IFERROR(__xludf.DUMMYFUNCTION("""COMPUTED_VALUE"""),20753.0)</f>
        <v>20753</v>
      </c>
      <c r="Q1194" s="35">
        <f>IFERROR(__xludf.DUMMYFUNCTION("""COMPUTED_VALUE"""),30760.0)</f>
        <v>30760</v>
      </c>
    </row>
    <row r="1195">
      <c r="A1195" s="35">
        <f>IFERROR(__xludf.DUMMYFUNCTION("""COMPUTED_VALUE"""),1318.0)</f>
        <v>1318</v>
      </c>
      <c r="B1195" s="35" t="str">
        <f>IFERROR(__xludf.DUMMYFUNCTION("""COMPUTED_VALUE"""),"Tournament Winners")</f>
        <v>Tournament Winners</v>
      </c>
      <c r="C1195" s="35" t="str">
        <f>IFERROR(__xludf.DUMMYFUNCTION("""COMPUTED_VALUE"""),"tournament-winners")</f>
        <v>tournament-winners</v>
      </c>
      <c r="D1195" s="35" t="b">
        <f>IFERROR(__xludf.DUMMYFUNCTION("""COMPUTED_VALUE"""),TRUE)</f>
        <v>1</v>
      </c>
      <c r="E1195" s="35" t="str">
        <f>IFERROR(__xludf.DUMMYFUNCTION("""COMPUTED_VALUE"""),"Hard")</f>
        <v>Hard</v>
      </c>
      <c r="F1195" s="35">
        <f>IFERROR(__xludf.DUMMYFUNCTION("""COMPUTED_VALUE"""),88.0)</f>
        <v>88</v>
      </c>
      <c r="G1195" s="35">
        <f>IFERROR(__xludf.DUMMYFUNCTION("""COMPUTED_VALUE"""),42.0)</f>
        <v>42</v>
      </c>
      <c r="H1195" s="35" t="str">
        <f>IFERROR(__xludf.DUMMYFUNCTION("""COMPUTED_VALUE"""),"Database")</f>
        <v>Database</v>
      </c>
      <c r="I1195" s="35">
        <f>IFERROR(__xludf.DUMMYFUNCTION("""COMPUTED_VALUE"""),0.52)</f>
        <v>0.52</v>
      </c>
      <c r="J1195" s="35">
        <f>IFERROR(__xludf.DUMMYFUNCTION("""COMPUTED_VALUE"""),1194.0)</f>
        <v>1194</v>
      </c>
      <c r="K1195" s="35" t="b">
        <f>IFERROR(__xludf.DUMMYFUNCTION("""COMPUTED_VALUE"""),TRUE)</f>
        <v>1</v>
      </c>
      <c r="L1195" s="35" t="str">
        <f>IFERROR(__xludf.DUMMYFUNCTION("""COMPUTED_VALUE"""),"Database;")</f>
        <v>Database;</v>
      </c>
      <c r="M1195" s="35" t="b">
        <f>IFERROR(__xludf.DUMMYFUNCTION("""COMPUTED_VALUE"""),FALSE)</f>
        <v>0</v>
      </c>
      <c r="N1195" s="35" t="b">
        <f>IFERROR(__xludf.DUMMYFUNCTION("""COMPUTED_VALUE"""),FALSE)</f>
        <v>0</v>
      </c>
      <c r="O1195" s="35">
        <f>IFERROR(__xludf.DUMMYFUNCTION("""COMPUTED_VALUE"""),52.0075282308657)</f>
        <v>52.00752823</v>
      </c>
      <c r="P1195" s="35">
        <f>IFERROR(__xludf.DUMMYFUNCTION("""COMPUTED_VALUE"""),12435.0)</f>
        <v>12435</v>
      </c>
      <c r="Q1195" s="35">
        <f>IFERROR(__xludf.DUMMYFUNCTION("""COMPUTED_VALUE"""),23910.0)</f>
        <v>23910</v>
      </c>
    </row>
    <row r="1196">
      <c r="A1196" s="35">
        <f>IFERROR(__xludf.DUMMYFUNCTION("""COMPUTED_VALUE"""),1316.0)</f>
        <v>1316</v>
      </c>
      <c r="B1196" s="35" t="str">
        <f>IFERROR(__xludf.DUMMYFUNCTION("""COMPUTED_VALUE"""),"Fizz Buzz Multithreaded")</f>
        <v>Fizz Buzz Multithreaded</v>
      </c>
      <c r="C1196" s="35" t="str">
        <f>IFERROR(__xludf.DUMMYFUNCTION("""COMPUTED_VALUE"""),"fizz-buzz-multithreaded")</f>
        <v>fizz-buzz-multithreaded</v>
      </c>
      <c r="D1196" s="35" t="b">
        <f>IFERROR(__xludf.DUMMYFUNCTION("""COMPUTED_VALUE"""),FALSE)</f>
        <v>0</v>
      </c>
      <c r="E1196" s="35" t="str">
        <f>IFERROR(__xludf.DUMMYFUNCTION("""COMPUTED_VALUE"""),"Medium")</f>
        <v>Medium</v>
      </c>
      <c r="F1196" s="35">
        <f>IFERROR(__xludf.DUMMYFUNCTION("""COMPUTED_VALUE"""),337.0)</f>
        <v>337</v>
      </c>
      <c r="G1196" s="35">
        <f>IFERROR(__xludf.DUMMYFUNCTION("""COMPUTED_VALUE"""),265.0)</f>
        <v>265</v>
      </c>
      <c r="H1196" s="35" t="str">
        <f>IFERROR(__xludf.DUMMYFUNCTION("""COMPUTED_VALUE"""),"Concurrency")</f>
        <v>Concurrency</v>
      </c>
      <c r="I1196" s="35">
        <f>IFERROR(__xludf.DUMMYFUNCTION("""COMPUTED_VALUE"""),0.72)</f>
        <v>0.72</v>
      </c>
      <c r="J1196" s="35">
        <f>IFERROR(__xludf.DUMMYFUNCTION("""COMPUTED_VALUE"""),1195.0)</f>
        <v>1195</v>
      </c>
      <c r="K1196" s="35" t="b">
        <f>IFERROR(__xludf.DUMMYFUNCTION("""COMPUTED_VALUE"""),FALSE)</f>
        <v>0</v>
      </c>
      <c r="L1196" s="35" t="str">
        <f>IFERROR(__xludf.DUMMYFUNCTION("""COMPUTED_VALUE"""),"Concurrency;")</f>
        <v>Concurrency;</v>
      </c>
      <c r="M1196" s="35" t="b">
        <f>IFERROR(__xludf.DUMMYFUNCTION("""COMPUTED_VALUE"""),FALSE)</f>
        <v>0</v>
      </c>
      <c r="N1196" s="35" t="b">
        <f>IFERROR(__xludf.DUMMYFUNCTION("""COMPUTED_VALUE"""),FALSE)</f>
        <v>0</v>
      </c>
      <c r="O1196" s="35">
        <f>IFERROR(__xludf.DUMMYFUNCTION("""COMPUTED_VALUE"""),72.0360408821947)</f>
        <v>72.03604088</v>
      </c>
      <c r="P1196" s="35">
        <f>IFERROR(__xludf.DUMMYFUNCTION("""COMPUTED_VALUE"""),26781.0)</f>
        <v>26781</v>
      </c>
      <c r="Q1196" s="35">
        <f>IFERROR(__xludf.DUMMYFUNCTION("""COMPUTED_VALUE"""),37178.0)</f>
        <v>37178</v>
      </c>
    </row>
    <row r="1197">
      <c r="A1197" s="35">
        <f>IFERROR(__xludf.DUMMYFUNCTION("""COMPUTED_VALUE"""),1141.0)</f>
        <v>1141</v>
      </c>
      <c r="B1197" s="35" t="str">
        <f>IFERROR(__xludf.DUMMYFUNCTION("""COMPUTED_VALUE"""),"How Many Apples Can You Put into the Basket")</f>
        <v>How Many Apples Can You Put into the Basket</v>
      </c>
      <c r="C1197" s="35" t="str">
        <f>IFERROR(__xludf.DUMMYFUNCTION("""COMPUTED_VALUE"""),"how-many-apples-can-you-put-into-the-basket")</f>
        <v>how-many-apples-can-you-put-into-the-basket</v>
      </c>
      <c r="D1197" s="35" t="b">
        <f>IFERROR(__xludf.DUMMYFUNCTION("""COMPUTED_VALUE"""),TRUE)</f>
        <v>1</v>
      </c>
      <c r="E1197" s="35" t="str">
        <f>IFERROR(__xludf.DUMMYFUNCTION("""COMPUTED_VALUE"""),"Easy")</f>
        <v>Easy</v>
      </c>
      <c r="F1197" s="35">
        <f>IFERROR(__xludf.DUMMYFUNCTION("""COMPUTED_VALUE"""),145.0)</f>
        <v>145</v>
      </c>
      <c r="G1197" s="35">
        <f>IFERROR(__xludf.DUMMYFUNCTION("""COMPUTED_VALUE"""),13.0)</f>
        <v>13</v>
      </c>
      <c r="H1197" s="35" t="str">
        <f>IFERROR(__xludf.DUMMYFUNCTION("""COMPUTED_VALUE"""),"Algorithms")</f>
        <v>Algorithms</v>
      </c>
      <c r="I1197" s="35">
        <f>IFERROR(__xludf.DUMMYFUNCTION("""COMPUTED_VALUE"""),0.675)</f>
        <v>0.675</v>
      </c>
      <c r="J1197" s="35">
        <f>IFERROR(__xludf.DUMMYFUNCTION("""COMPUTED_VALUE"""),1196.0)</f>
        <v>1196</v>
      </c>
      <c r="K1197" s="35" t="b">
        <f>IFERROR(__xludf.DUMMYFUNCTION("""COMPUTED_VALUE"""),TRUE)</f>
        <v>1</v>
      </c>
      <c r="L1197" s="35" t="str">
        <f>IFERROR(__xludf.DUMMYFUNCTION("""COMPUTED_VALUE"""),"Array;Greedy;Sorting;")</f>
        <v>Array;Greedy;Sorting;</v>
      </c>
      <c r="M1197" s="35" t="b">
        <f>IFERROR(__xludf.DUMMYFUNCTION("""COMPUTED_VALUE"""),TRUE)</f>
        <v>1</v>
      </c>
      <c r="N1197" s="35" t="b">
        <f>IFERROR(__xludf.DUMMYFUNCTION("""COMPUTED_VALUE"""),FALSE)</f>
        <v>0</v>
      </c>
      <c r="O1197" s="35">
        <f>IFERROR(__xludf.DUMMYFUNCTION("""COMPUTED_VALUE"""),67.5461450955928)</f>
        <v>67.5461451</v>
      </c>
      <c r="P1197" s="35">
        <f>IFERROR(__xludf.DUMMYFUNCTION("""COMPUTED_VALUE"""),18407.0)</f>
        <v>18407</v>
      </c>
      <c r="Q1197" s="35">
        <f>IFERROR(__xludf.DUMMYFUNCTION("""COMPUTED_VALUE"""),27251.0)</f>
        <v>27251</v>
      </c>
    </row>
    <row r="1198">
      <c r="A1198" s="35">
        <f>IFERROR(__xludf.DUMMYFUNCTION("""COMPUTED_VALUE"""),1142.0)</f>
        <v>1142</v>
      </c>
      <c r="B1198" s="35" t="str">
        <f>IFERROR(__xludf.DUMMYFUNCTION("""COMPUTED_VALUE"""),"Minimum Knight Moves")</f>
        <v>Minimum Knight Moves</v>
      </c>
      <c r="C1198" s="35" t="str">
        <f>IFERROR(__xludf.DUMMYFUNCTION("""COMPUTED_VALUE"""),"minimum-knight-moves")</f>
        <v>minimum-knight-moves</v>
      </c>
      <c r="D1198" s="35" t="b">
        <f>IFERROR(__xludf.DUMMYFUNCTION("""COMPUTED_VALUE"""),TRUE)</f>
        <v>1</v>
      </c>
      <c r="E1198" s="35" t="str">
        <f>IFERROR(__xludf.DUMMYFUNCTION("""COMPUTED_VALUE"""),"Medium")</f>
        <v>Medium</v>
      </c>
      <c r="F1198" s="35">
        <f>IFERROR(__xludf.DUMMYFUNCTION("""COMPUTED_VALUE"""),1063.0)</f>
        <v>1063</v>
      </c>
      <c r="G1198" s="35">
        <f>IFERROR(__xludf.DUMMYFUNCTION("""COMPUTED_VALUE"""),325.0)</f>
        <v>325</v>
      </c>
      <c r="H1198" s="35" t="str">
        <f>IFERROR(__xludf.DUMMYFUNCTION("""COMPUTED_VALUE"""),"Algorithms")</f>
        <v>Algorithms</v>
      </c>
      <c r="I1198" s="35">
        <f>IFERROR(__xludf.DUMMYFUNCTION("""COMPUTED_VALUE"""),0.395)</f>
        <v>0.395</v>
      </c>
      <c r="J1198" s="35">
        <f>IFERROR(__xludf.DUMMYFUNCTION("""COMPUTED_VALUE"""),1197.0)</f>
        <v>1197</v>
      </c>
      <c r="K1198" s="35" t="b">
        <f>IFERROR(__xludf.DUMMYFUNCTION("""COMPUTED_VALUE"""),TRUE)</f>
        <v>1</v>
      </c>
      <c r="L1198" s="35" t="str">
        <f>IFERROR(__xludf.DUMMYFUNCTION("""COMPUTED_VALUE"""),"Breadth-First Search;")</f>
        <v>Breadth-First Search;</v>
      </c>
      <c r="M1198" s="35" t="b">
        <f>IFERROR(__xludf.DUMMYFUNCTION("""COMPUTED_VALUE"""),TRUE)</f>
        <v>1</v>
      </c>
      <c r="N1198" s="35" t="b">
        <f>IFERROR(__xludf.DUMMYFUNCTION("""COMPUTED_VALUE"""),FALSE)</f>
        <v>0</v>
      </c>
      <c r="O1198" s="35">
        <f>IFERROR(__xludf.DUMMYFUNCTION("""COMPUTED_VALUE"""),39.5121225643314)</f>
        <v>39.51212256</v>
      </c>
      <c r="P1198" s="35">
        <f>IFERROR(__xludf.DUMMYFUNCTION("""COMPUTED_VALUE"""),106256.0)</f>
        <v>106256</v>
      </c>
      <c r="Q1198" s="35">
        <f>IFERROR(__xludf.DUMMYFUNCTION("""COMPUTED_VALUE"""),268919.0)</f>
        <v>268919</v>
      </c>
    </row>
    <row r="1199">
      <c r="A1199" s="35">
        <f>IFERROR(__xludf.DUMMYFUNCTION("""COMPUTED_VALUE"""),1143.0)</f>
        <v>1143</v>
      </c>
      <c r="B1199" s="35" t="str">
        <f>IFERROR(__xludf.DUMMYFUNCTION("""COMPUTED_VALUE"""),"Find Smallest Common Element in All Rows")</f>
        <v>Find Smallest Common Element in All Rows</v>
      </c>
      <c r="C1199" s="35" t="str">
        <f>IFERROR(__xludf.DUMMYFUNCTION("""COMPUTED_VALUE"""),"find-smallest-common-element-in-all-rows")</f>
        <v>find-smallest-common-element-in-all-rows</v>
      </c>
      <c r="D1199" s="35" t="b">
        <f>IFERROR(__xludf.DUMMYFUNCTION("""COMPUTED_VALUE"""),TRUE)</f>
        <v>1</v>
      </c>
      <c r="E1199" s="35" t="str">
        <f>IFERROR(__xludf.DUMMYFUNCTION("""COMPUTED_VALUE"""),"Medium")</f>
        <v>Medium</v>
      </c>
      <c r="F1199" s="35">
        <f>IFERROR(__xludf.DUMMYFUNCTION("""COMPUTED_VALUE"""),338.0)</f>
        <v>338</v>
      </c>
      <c r="G1199" s="35">
        <f>IFERROR(__xludf.DUMMYFUNCTION("""COMPUTED_VALUE"""),24.0)</f>
        <v>24</v>
      </c>
      <c r="H1199" s="35" t="str">
        <f>IFERROR(__xludf.DUMMYFUNCTION("""COMPUTED_VALUE"""),"Algorithms")</f>
        <v>Algorithms</v>
      </c>
      <c r="I1199" s="35">
        <f>IFERROR(__xludf.DUMMYFUNCTION("""COMPUTED_VALUE"""),0.76)</f>
        <v>0.76</v>
      </c>
      <c r="J1199" s="35">
        <f>IFERROR(__xludf.DUMMYFUNCTION("""COMPUTED_VALUE"""),1198.0)</f>
        <v>1198</v>
      </c>
      <c r="K1199" s="35" t="b">
        <f>IFERROR(__xludf.DUMMYFUNCTION("""COMPUTED_VALUE"""),TRUE)</f>
        <v>1</v>
      </c>
      <c r="L1199" s="35" t="str">
        <f>IFERROR(__xludf.DUMMYFUNCTION("""COMPUTED_VALUE"""),"Array;Hash Table;Binary Search;Matrix;Counting;")</f>
        <v>Array;Hash Table;Binary Search;Matrix;Counting;</v>
      </c>
      <c r="M1199" s="35" t="b">
        <f>IFERROR(__xludf.DUMMYFUNCTION("""COMPUTED_VALUE"""),TRUE)</f>
        <v>1</v>
      </c>
      <c r="N1199" s="35" t="b">
        <f>IFERROR(__xludf.DUMMYFUNCTION("""COMPUTED_VALUE"""),TRUE)</f>
        <v>1</v>
      </c>
      <c r="O1199" s="35">
        <f>IFERROR(__xludf.DUMMYFUNCTION("""COMPUTED_VALUE"""),75.9939854841974)</f>
        <v>75.99398548</v>
      </c>
      <c r="P1199" s="35">
        <f>IFERROR(__xludf.DUMMYFUNCTION("""COMPUTED_VALUE"""),26280.0)</f>
        <v>26280</v>
      </c>
      <c r="Q1199" s="35">
        <f>IFERROR(__xludf.DUMMYFUNCTION("""COMPUTED_VALUE"""),34581.0)</f>
        <v>34581</v>
      </c>
    </row>
    <row r="1200">
      <c r="A1200" s="35">
        <f>IFERROR(__xludf.DUMMYFUNCTION("""COMPUTED_VALUE"""),1167.0)</f>
        <v>1167</v>
      </c>
      <c r="B1200" s="35" t="str">
        <f>IFERROR(__xludf.DUMMYFUNCTION("""COMPUTED_VALUE"""),"Minimum Time to Build Blocks")</f>
        <v>Minimum Time to Build Blocks</v>
      </c>
      <c r="C1200" s="35" t="str">
        <f>IFERROR(__xludf.DUMMYFUNCTION("""COMPUTED_VALUE"""),"minimum-time-to-build-blocks")</f>
        <v>minimum-time-to-build-blocks</v>
      </c>
      <c r="D1200" s="35" t="b">
        <f>IFERROR(__xludf.DUMMYFUNCTION("""COMPUTED_VALUE"""),TRUE)</f>
        <v>1</v>
      </c>
      <c r="E1200" s="35" t="str">
        <f>IFERROR(__xludf.DUMMYFUNCTION("""COMPUTED_VALUE"""),"Hard")</f>
        <v>Hard</v>
      </c>
      <c r="F1200" s="35">
        <f>IFERROR(__xludf.DUMMYFUNCTION("""COMPUTED_VALUE"""),139.0)</f>
        <v>139</v>
      </c>
      <c r="G1200" s="35">
        <f>IFERROR(__xludf.DUMMYFUNCTION("""COMPUTED_VALUE"""),18.0)</f>
        <v>18</v>
      </c>
      <c r="H1200" s="35" t="str">
        <f>IFERROR(__xludf.DUMMYFUNCTION("""COMPUTED_VALUE"""),"Algorithms")</f>
        <v>Algorithms</v>
      </c>
      <c r="I1200" s="35">
        <f>IFERROR(__xludf.DUMMYFUNCTION("""COMPUTED_VALUE"""),0.402)</f>
        <v>0.402</v>
      </c>
      <c r="J1200" s="35">
        <f>IFERROR(__xludf.DUMMYFUNCTION("""COMPUTED_VALUE"""),1199.0)</f>
        <v>1199</v>
      </c>
      <c r="K1200" s="35" t="b">
        <f>IFERROR(__xludf.DUMMYFUNCTION("""COMPUTED_VALUE"""),TRUE)</f>
        <v>1</v>
      </c>
      <c r="L1200" s="35" t="str">
        <f>IFERROR(__xludf.DUMMYFUNCTION("""COMPUTED_VALUE"""),"Math;Greedy;Heap (Priority Queue);")</f>
        <v>Math;Greedy;Heap (Priority Queue);</v>
      </c>
      <c r="M1200" s="35" t="b">
        <f>IFERROR(__xludf.DUMMYFUNCTION("""COMPUTED_VALUE"""),FALSE)</f>
        <v>0</v>
      </c>
      <c r="N1200" s="35" t="b">
        <f>IFERROR(__xludf.DUMMYFUNCTION("""COMPUTED_VALUE"""),FALSE)</f>
        <v>0</v>
      </c>
      <c r="O1200" s="35">
        <f>IFERROR(__xludf.DUMMYFUNCTION("""COMPUTED_VALUE"""),40.1566265060241)</f>
        <v>40.15662651</v>
      </c>
      <c r="P1200" s="35">
        <f>IFERROR(__xludf.DUMMYFUNCTION("""COMPUTED_VALUE"""),3333.0)</f>
        <v>3333</v>
      </c>
      <c r="Q1200" s="35">
        <f>IFERROR(__xludf.DUMMYFUNCTION("""COMPUTED_VALUE"""),8300.0)</f>
        <v>8300</v>
      </c>
    </row>
    <row r="1201">
      <c r="A1201" s="35">
        <f>IFERROR(__xludf.DUMMYFUNCTION("""COMPUTED_VALUE"""),1306.0)</f>
        <v>1306</v>
      </c>
      <c r="B1201" s="35" t="str">
        <f>IFERROR(__xludf.DUMMYFUNCTION("""COMPUTED_VALUE"""),"Minimum Absolute Difference")</f>
        <v>Minimum Absolute Difference</v>
      </c>
      <c r="C1201" s="35" t="str">
        <f>IFERROR(__xludf.DUMMYFUNCTION("""COMPUTED_VALUE"""),"minimum-absolute-difference")</f>
        <v>minimum-absolute-difference</v>
      </c>
      <c r="D1201" s="35" t="b">
        <f>IFERROR(__xludf.DUMMYFUNCTION("""COMPUTED_VALUE"""),FALSE)</f>
        <v>0</v>
      </c>
      <c r="E1201" s="35" t="str">
        <f>IFERROR(__xludf.DUMMYFUNCTION("""COMPUTED_VALUE"""),"Easy")</f>
        <v>Easy</v>
      </c>
      <c r="F1201" s="35">
        <f>IFERROR(__xludf.DUMMYFUNCTION("""COMPUTED_VALUE"""),1414.0)</f>
        <v>1414</v>
      </c>
      <c r="G1201" s="35">
        <f>IFERROR(__xludf.DUMMYFUNCTION("""COMPUTED_VALUE"""),58.0)</f>
        <v>58</v>
      </c>
      <c r="H1201" s="35" t="str">
        <f>IFERROR(__xludf.DUMMYFUNCTION("""COMPUTED_VALUE"""),"Algorithms")</f>
        <v>Algorithms</v>
      </c>
      <c r="I1201" s="35">
        <f>IFERROR(__xludf.DUMMYFUNCTION("""COMPUTED_VALUE"""),0.698)</f>
        <v>0.698</v>
      </c>
      <c r="J1201" s="35">
        <f>IFERROR(__xludf.DUMMYFUNCTION("""COMPUTED_VALUE"""),1200.0)</f>
        <v>1200</v>
      </c>
      <c r="K1201" s="35" t="b">
        <f>IFERROR(__xludf.DUMMYFUNCTION("""COMPUTED_VALUE"""),FALSE)</f>
        <v>0</v>
      </c>
      <c r="L1201" s="35" t="str">
        <f>IFERROR(__xludf.DUMMYFUNCTION("""COMPUTED_VALUE"""),"Array;Sorting;")</f>
        <v>Array;Sorting;</v>
      </c>
      <c r="M1201" s="35" t="b">
        <f>IFERROR(__xludf.DUMMYFUNCTION("""COMPUTED_VALUE"""),TRUE)</f>
        <v>1</v>
      </c>
      <c r="N1201" s="35" t="b">
        <f>IFERROR(__xludf.DUMMYFUNCTION("""COMPUTED_VALUE"""),FALSE)</f>
        <v>0</v>
      </c>
      <c r="O1201" s="35">
        <f>IFERROR(__xludf.DUMMYFUNCTION("""COMPUTED_VALUE"""),69.8318376831238)</f>
        <v>69.83183768</v>
      </c>
      <c r="P1201" s="35">
        <f>IFERROR(__xludf.DUMMYFUNCTION("""COMPUTED_VALUE"""),115399.0)</f>
        <v>115399</v>
      </c>
      <c r="Q1201" s="35">
        <f>IFERROR(__xludf.DUMMYFUNCTION("""COMPUTED_VALUE"""),165254.0)</f>
        <v>165254</v>
      </c>
    </row>
    <row r="1202">
      <c r="A1202" s="35">
        <f>IFERROR(__xludf.DUMMYFUNCTION("""COMPUTED_VALUE"""),1307.0)</f>
        <v>1307</v>
      </c>
      <c r="B1202" s="35" t="str">
        <f>IFERROR(__xludf.DUMMYFUNCTION("""COMPUTED_VALUE"""),"Ugly Number III")</f>
        <v>Ugly Number III</v>
      </c>
      <c r="C1202" s="35" t="str">
        <f>IFERROR(__xludf.DUMMYFUNCTION("""COMPUTED_VALUE"""),"ugly-number-iii")</f>
        <v>ugly-number-iii</v>
      </c>
      <c r="D1202" s="35" t="b">
        <f>IFERROR(__xludf.DUMMYFUNCTION("""COMPUTED_VALUE"""),FALSE)</f>
        <v>0</v>
      </c>
      <c r="E1202" s="35" t="str">
        <f>IFERROR(__xludf.DUMMYFUNCTION("""COMPUTED_VALUE"""),"Medium")</f>
        <v>Medium</v>
      </c>
      <c r="F1202" s="35">
        <f>IFERROR(__xludf.DUMMYFUNCTION("""COMPUTED_VALUE"""),716.0)</f>
        <v>716</v>
      </c>
      <c r="G1202" s="35">
        <f>IFERROR(__xludf.DUMMYFUNCTION("""COMPUTED_VALUE"""),384.0)</f>
        <v>384</v>
      </c>
      <c r="H1202" s="35" t="str">
        <f>IFERROR(__xludf.DUMMYFUNCTION("""COMPUTED_VALUE"""),"Algorithms")</f>
        <v>Algorithms</v>
      </c>
      <c r="I1202" s="35">
        <f>IFERROR(__xludf.DUMMYFUNCTION("""COMPUTED_VALUE"""),0.277)</f>
        <v>0.277</v>
      </c>
      <c r="J1202" s="35">
        <f>IFERROR(__xludf.DUMMYFUNCTION("""COMPUTED_VALUE"""),1201.0)</f>
        <v>1201</v>
      </c>
      <c r="K1202" s="35" t="b">
        <f>IFERROR(__xludf.DUMMYFUNCTION("""COMPUTED_VALUE"""),FALSE)</f>
        <v>0</v>
      </c>
      <c r="L1202" s="35" t="str">
        <f>IFERROR(__xludf.DUMMYFUNCTION("""COMPUTED_VALUE"""),"Math;Binary Search;Number Theory;")</f>
        <v>Math;Binary Search;Number Theory;</v>
      </c>
      <c r="M1202" s="35" t="b">
        <f>IFERROR(__xludf.DUMMYFUNCTION("""COMPUTED_VALUE"""),FALSE)</f>
        <v>0</v>
      </c>
      <c r="N1202" s="35" t="b">
        <f>IFERROR(__xludf.DUMMYFUNCTION("""COMPUTED_VALUE"""),FALSE)</f>
        <v>0</v>
      </c>
      <c r="O1202" s="35">
        <f>IFERROR(__xludf.DUMMYFUNCTION("""COMPUTED_VALUE"""),27.6858220545817)</f>
        <v>27.68582205</v>
      </c>
      <c r="P1202" s="35">
        <f>IFERROR(__xludf.DUMMYFUNCTION("""COMPUTED_VALUE"""),18717.0)</f>
        <v>18717</v>
      </c>
      <c r="Q1202" s="35">
        <f>IFERROR(__xludf.DUMMYFUNCTION("""COMPUTED_VALUE"""),67605.0)</f>
        <v>67605</v>
      </c>
    </row>
    <row r="1203">
      <c r="A1203" s="35">
        <f>IFERROR(__xludf.DUMMYFUNCTION("""COMPUTED_VALUE"""),1308.0)</f>
        <v>1308</v>
      </c>
      <c r="B1203" s="35" t="str">
        <f>IFERROR(__xludf.DUMMYFUNCTION("""COMPUTED_VALUE"""),"Smallest String With Swaps")</f>
        <v>Smallest String With Swaps</v>
      </c>
      <c r="C1203" s="35" t="str">
        <f>IFERROR(__xludf.DUMMYFUNCTION("""COMPUTED_VALUE"""),"smallest-string-with-swaps")</f>
        <v>smallest-string-with-swaps</v>
      </c>
      <c r="D1203" s="35" t="b">
        <f>IFERROR(__xludf.DUMMYFUNCTION("""COMPUTED_VALUE"""),FALSE)</f>
        <v>0</v>
      </c>
      <c r="E1203" s="35" t="str">
        <f>IFERROR(__xludf.DUMMYFUNCTION("""COMPUTED_VALUE"""),"Medium")</f>
        <v>Medium</v>
      </c>
      <c r="F1203" s="35">
        <f>IFERROR(__xludf.DUMMYFUNCTION("""COMPUTED_VALUE"""),1431.0)</f>
        <v>1431</v>
      </c>
      <c r="G1203" s="35">
        <f>IFERROR(__xludf.DUMMYFUNCTION("""COMPUTED_VALUE"""),49.0)</f>
        <v>49</v>
      </c>
      <c r="H1203" s="35" t="str">
        <f>IFERROR(__xludf.DUMMYFUNCTION("""COMPUTED_VALUE"""),"Algorithms")</f>
        <v>Algorithms</v>
      </c>
      <c r="I1203" s="35">
        <f>IFERROR(__xludf.DUMMYFUNCTION("""COMPUTED_VALUE"""),0.524)</f>
        <v>0.524</v>
      </c>
      <c r="J1203" s="35">
        <f>IFERROR(__xludf.DUMMYFUNCTION("""COMPUTED_VALUE"""),1202.0)</f>
        <v>1202</v>
      </c>
      <c r="K1203" s="35" t="b">
        <f>IFERROR(__xludf.DUMMYFUNCTION("""COMPUTED_VALUE"""),FALSE)</f>
        <v>0</v>
      </c>
      <c r="L1203" s="35" t="str">
        <f>IFERROR(__xludf.DUMMYFUNCTION("""COMPUTED_VALUE"""),"Hash Table;String;Depth-First Search;Breadth-First Search;Union Find;")</f>
        <v>Hash Table;String;Depth-First Search;Breadth-First Search;Union Find;</v>
      </c>
      <c r="M1203" s="35" t="b">
        <f>IFERROR(__xludf.DUMMYFUNCTION("""COMPUTED_VALUE"""),FALSE)</f>
        <v>0</v>
      </c>
      <c r="N1203" s="35" t="b">
        <f>IFERROR(__xludf.DUMMYFUNCTION("""COMPUTED_VALUE"""),FALSE)</f>
        <v>0</v>
      </c>
      <c r="O1203" s="35">
        <f>IFERROR(__xludf.DUMMYFUNCTION("""COMPUTED_VALUE"""),52.3904139646009)</f>
        <v>52.39041396</v>
      </c>
      <c r="P1203" s="35">
        <f>IFERROR(__xludf.DUMMYFUNCTION("""COMPUTED_VALUE"""),42978.0)</f>
        <v>42978</v>
      </c>
      <c r="Q1203" s="35">
        <f>IFERROR(__xludf.DUMMYFUNCTION("""COMPUTED_VALUE"""),82033.0)</f>
        <v>82033</v>
      </c>
    </row>
    <row r="1204">
      <c r="A1204" s="35">
        <f>IFERROR(__xludf.DUMMYFUNCTION("""COMPUTED_VALUE"""),1309.0)</f>
        <v>1309</v>
      </c>
      <c r="B1204" s="35" t="str">
        <f>IFERROR(__xludf.DUMMYFUNCTION("""COMPUTED_VALUE"""),"Sort Items by Groups Respecting Dependencies")</f>
        <v>Sort Items by Groups Respecting Dependencies</v>
      </c>
      <c r="C1204" s="35" t="str">
        <f>IFERROR(__xludf.DUMMYFUNCTION("""COMPUTED_VALUE"""),"sort-items-by-groups-respecting-dependencies")</f>
        <v>sort-items-by-groups-respecting-dependencies</v>
      </c>
      <c r="D1204" s="35" t="b">
        <f>IFERROR(__xludf.DUMMYFUNCTION("""COMPUTED_VALUE"""),FALSE)</f>
        <v>0</v>
      </c>
      <c r="E1204" s="35" t="str">
        <f>IFERROR(__xludf.DUMMYFUNCTION("""COMPUTED_VALUE"""),"Hard")</f>
        <v>Hard</v>
      </c>
      <c r="F1204" s="35">
        <f>IFERROR(__xludf.DUMMYFUNCTION("""COMPUTED_VALUE"""),560.0)</f>
        <v>560</v>
      </c>
      <c r="G1204" s="35">
        <f>IFERROR(__xludf.DUMMYFUNCTION("""COMPUTED_VALUE"""),83.0)</f>
        <v>83</v>
      </c>
      <c r="H1204" s="35" t="str">
        <f>IFERROR(__xludf.DUMMYFUNCTION("""COMPUTED_VALUE"""),"Algorithms")</f>
        <v>Algorithms</v>
      </c>
      <c r="I1204" s="35">
        <f>IFERROR(__xludf.DUMMYFUNCTION("""COMPUTED_VALUE"""),0.492)</f>
        <v>0.492</v>
      </c>
      <c r="J1204" s="35">
        <f>IFERROR(__xludf.DUMMYFUNCTION("""COMPUTED_VALUE"""),1203.0)</f>
        <v>1203</v>
      </c>
      <c r="K1204" s="35" t="b">
        <f>IFERROR(__xludf.DUMMYFUNCTION("""COMPUTED_VALUE"""),FALSE)</f>
        <v>0</v>
      </c>
      <c r="L1204" s="35" t="str">
        <f>IFERROR(__xludf.DUMMYFUNCTION("""COMPUTED_VALUE"""),"Depth-First Search;Breadth-First Search;Graph;Topological Sort;")</f>
        <v>Depth-First Search;Breadth-First Search;Graph;Topological Sort;</v>
      </c>
      <c r="M1204" s="35" t="b">
        <f>IFERROR(__xludf.DUMMYFUNCTION("""COMPUTED_VALUE"""),FALSE)</f>
        <v>0</v>
      </c>
      <c r="N1204" s="35" t="b">
        <f>IFERROR(__xludf.DUMMYFUNCTION("""COMPUTED_VALUE"""),FALSE)</f>
        <v>0</v>
      </c>
      <c r="O1204" s="35">
        <f>IFERROR(__xludf.DUMMYFUNCTION("""COMPUTED_VALUE"""),49.2336016441171)</f>
        <v>49.23360164</v>
      </c>
      <c r="P1204" s="35">
        <f>IFERROR(__xludf.DUMMYFUNCTION("""COMPUTED_VALUE"""),11499.0)</f>
        <v>11499</v>
      </c>
      <c r="Q1204" s="35">
        <f>IFERROR(__xludf.DUMMYFUNCTION("""COMPUTED_VALUE"""),23356.0)</f>
        <v>23356</v>
      </c>
    </row>
    <row r="1205">
      <c r="A1205" s="35">
        <f>IFERROR(__xludf.DUMMYFUNCTION("""COMPUTED_VALUE"""),1327.0)</f>
        <v>1327</v>
      </c>
      <c r="B1205" s="35" t="str">
        <f>IFERROR(__xludf.DUMMYFUNCTION("""COMPUTED_VALUE"""),"Last Person to Fit in the Bus")</f>
        <v>Last Person to Fit in the Bus</v>
      </c>
      <c r="C1205" s="35" t="str">
        <f>IFERROR(__xludf.DUMMYFUNCTION("""COMPUTED_VALUE"""),"last-person-to-fit-in-the-bus")</f>
        <v>last-person-to-fit-in-the-bus</v>
      </c>
      <c r="D1205" s="35" t="b">
        <f>IFERROR(__xludf.DUMMYFUNCTION("""COMPUTED_VALUE"""),TRUE)</f>
        <v>1</v>
      </c>
      <c r="E1205" s="35" t="str">
        <f>IFERROR(__xludf.DUMMYFUNCTION("""COMPUTED_VALUE"""),"Medium")</f>
        <v>Medium</v>
      </c>
      <c r="F1205" s="35">
        <f>IFERROR(__xludf.DUMMYFUNCTION("""COMPUTED_VALUE"""),188.0)</f>
        <v>188</v>
      </c>
      <c r="G1205" s="35">
        <f>IFERROR(__xludf.DUMMYFUNCTION("""COMPUTED_VALUE"""),16.0)</f>
        <v>16</v>
      </c>
      <c r="H1205" s="35" t="str">
        <f>IFERROR(__xludf.DUMMYFUNCTION("""COMPUTED_VALUE"""),"Database")</f>
        <v>Database</v>
      </c>
      <c r="I1205" s="35">
        <f>IFERROR(__xludf.DUMMYFUNCTION("""COMPUTED_VALUE"""),0.736)</f>
        <v>0.736</v>
      </c>
      <c r="J1205" s="35">
        <f>IFERROR(__xludf.DUMMYFUNCTION("""COMPUTED_VALUE"""),1204.0)</f>
        <v>1204</v>
      </c>
      <c r="K1205" s="35" t="b">
        <f>IFERROR(__xludf.DUMMYFUNCTION("""COMPUTED_VALUE"""),TRUE)</f>
        <v>1</v>
      </c>
      <c r="L1205" s="35" t="str">
        <f>IFERROR(__xludf.DUMMYFUNCTION("""COMPUTED_VALUE"""),"Database;")</f>
        <v>Database;</v>
      </c>
      <c r="M1205" s="35" t="b">
        <f>IFERROR(__xludf.DUMMYFUNCTION("""COMPUTED_VALUE"""),FALSE)</f>
        <v>0</v>
      </c>
      <c r="N1205" s="35" t="b">
        <f>IFERROR(__xludf.DUMMYFUNCTION("""COMPUTED_VALUE"""),FALSE)</f>
        <v>0</v>
      </c>
      <c r="O1205" s="35">
        <f>IFERROR(__xludf.DUMMYFUNCTION("""COMPUTED_VALUE"""),73.5503260257064)</f>
        <v>73.55032603</v>
      </c>
      <c r="P1205" s="35">
        <f>IFERROR(__xludf.DUMMYFUNCTION("""COMPUTED_VALUE"""),27410.0)</f>
        <v>27410</v>
      </c>
      <c r="Q1205" s="35">
        <f>IFERROR(__xludf.DUMMYFUNCTION("""COMPUTED_VALUE"""),37267.0)</f>
        <v>37267</v>
      </c>
    </row>
    <row r="1206">
      <c r="A1206" s="35">
        <f>IFERROR(__xludf.DUMMYFUNCTION("""COMPUTED_VALUE"""),1328.0)</f>
        <v>1328</v>
      </c>
      <c r="B1206" s="35" t="str">
        <f>IFERROR(__xludf.DUMMYFUNCTION("""COMPUTED_VALUE"""),"Monthly Transactions II")</f>
        <v>Monthly Transactions II</v>
      </c>
      <c r="C1206" s="35" t="str">
        <f>IFERROR(__xludf.DUMMYFUNCTION("""COMPUTED_VALUE"""),"monthly-transactions-ii")</f>
        <v>monthly-transactions-ii</v>
      </c>
      <c r="D1206" s="35" t="b">
        <f>IFERROR(__xludf.DUMMYFUNCTION("""COMPUTED_VALUE"""),TRUE)</f>
        <v>1</v>
      </c>
      <c r="E1206" s="35" t="str">
        <f>IFERROR(__xludf.DUMMYFUNCTION("""COMPUTED_VALUE"""),"Medium")</f>
        <v>Medium</v>
      </c>
      <c r="F1206" s="35">
        <f>IFERROR(__xludf.DUMMYFUNCTION("""COMPUTED_VALUE"""),98.0)</f>
        <v>98</v>
      </c>
      <c r="G1206" s="35">
        <f>IFERROR(__xludf.DUMMYFUNCTION("""COMPUTED_VALUE"""),366.0)</f>
        <v>366</v>
      </c>
      <c r="H1206" s="35" t="str">
        <f>IFERROR(__xludf.DUMMYFUNCTION("""COMPUTED_VALUE"""),"Database")</f>
        <v>Database</v>
      </c>
      <c r="I1206" s="35">
        <f>IFERROR(__xludf.DUMMYFUNCTION("""COMPUTED_VALUE"""),0.448)</f>
        <v>0.448</v>
      </c>
      <c r="J1206" s="35">
        <f>IFERROR(__xludf.DUMMYFUNCTION("""COMPUTED_VALUE"""),1205.0)</f>
        <v>1205</v>
      </c>
      <c r="K1206" s="35" t="b">
        <f>IFERROR(__xludf.DUMMYFUNCTION("""COMPUTED_VALUE"""),TRUE)</f>
        <v>1</v>
      </c>
      <c r="L1206" s="35" t="str">
        <f>IFERROR(__xludf.DUMMYFUNCTION("""COMPUTED_VALUE"""),"Database;")</f>
        <v>Database;</v>
      </c>
      <c r="M1206" s="35" t="b">
        <f>IFERROR(__xludf.DUMMYFUNCTION("""COMPUTED_VALUE"""),FALSE)</f>
        <v>0</v>
      </c>
      <c r="N1206" s="35" t="b">
        <f>IFERROR(__xludf.DUMMYFUNCTION("""COMPUTED_VALUE"""),FALSE)</f>
        <v>0</v>
      </c>
      <c r="O1206" s="35">
        <f>IFERROR(__xludf.DUMMYFUNCTION("""COMPUTED_VALUE"""),44.789288579009)</f>
        <v>44.78928858</v>
      </c>
      <c r="P1206" s="35">
        <f>IFERROR(__xludf.DUMMYFUNCTION("""COMPUTED_VALUE"""),14518.0)</f>
        <v>14518</v>
      </c>
      <c r="Q1206" s="35">
        <f>IFERROR(__xludf.DUMMYFUNCTION("""COMPUTED_VALUE"""),32414.0)</f>
        <v>32414</v>
      </c>
    </row>
    <row r="1207">
      <c r="A1207" s="35">
        <f>IFERROR(__xludf.DUMMYFUNCTION("""COMPUTED_VALUE"""),1337.0)</f>
        <v>1337</v>
      </c>
      <c r="B1207" s="35" t="str">
        <f>IFERROR(__xludf.DUMMYFUNCTION("""COMPUTED_VALUE"""),"Design Skiplist")</f>
        <v>Design Skiplist</v>
      </c>
      <c r="C1207" s="35" t="str">
        <f>IFERROR(__xludf.DUMMYFUNCTION("""COMPUTED_VALUE"""),"design-skiplist")</f>
        <v>design-skiplist</v>
      </c>
      <c r="D1207" s="35" t="b">
        <f>IFERROR(__xludf.DUMMYFUNCTION("""COMPUTED_VALUE"""),FALSE)</f>
        <v>0</v>
      </c>
      <c r="E1207" s="35" t="str">
        <f>IFERROR(__xludf.DUMMYFUNCTION("""COMPUTED_VALUE"""),"Hard")</f>
        <v>Hard</v>
      </c>
      <c r="F1207" s="35">
        <f>IFERROR(__xludf.DUMMYFUNCTION("""COMPUTED_VALUE"""),378.0)</f>
        <v>378</v>
      </c>
      <c r="G1207" s="35">
        <f>IFERROR(__xludf.DUMMYFUNCTION("""COMPUTED_VALUE"""),45.0)</f>
        <v>45</v>
      </c>
      <c r="H1207" s="35" t="str">
        <f>IFERROR(__xludf.DUMMYFUNCTION("""COMPUTED_VALUE"""),"Algorithms")</f>
        <v>Algorithms</v>
      </c>
      <c r="I1207" s="35">
        <f>IFERROR(__xludf.DUMMYFUNCTION("""COMPUTED_VALUE"""),0.597)</f>
        <v>0.597</v>
      </c>
      <c r="J1207" s="35">
        <f>IFERROR(__xludf.DUMMYFUNCTION("""COMPUTED_VALUE"""),1206.0)</f>
        <v>1206</v>
      </c>
      <c r="K1207" s="35" t="b">
        <f>IFERROR(__xludf.DUMMYFUNCTION("""COMPUTED_VALUE"""),FALSE)</f>
        <v>0</v>
      </c>
      <c r="L1207" s="35" t="str">
        <f>IFERROR(__xludf.DUMMYFUNCTION("""COMPUTED_VALUE"""),"Linked List;Design;")</f>
        <v>Linked List;Design;</v>
      </c>
      <c r="M1207" s="35" t="b">
        <f>IFERROR(__xludf.DUMMYFUNCTION("""COMPUTED_VALUE"""),FALSE)</f>
        <v>0</v>
      </c>
      <c r="N1207" s="35" t="b">
        <f>IFERROR(__xludf.DUMMYFUNCTION("""COMPUTED_VALUE"""),FALSE)</f>
        <v>0</v>
      </c>
      <c r="O1207" s="35">
        <f>IFERROR(__xludf.DUMMYFUNCTION("""COMPUTED_VALUE"""),59.727676067112)</f>
        <v>59.72767607</v>
      </c>
      <c r="P1207" s="35">
        <f>IFERROR(__xludf.DUMMYFUNCTION("""COMPUTED_VALUE"""),11712.0)</f>
        <v>11712</v>
      </c>
      <c r="Q1207" s="35">
        <f>IFERROR(__xludf.DUMMYFUNCTION("""COMPUTED_VALUE"""),19609.0)</f>
        <v>19609</v>
      </c>
    </row>
    <row r="1208">
      <c r="A1208" s="35">
        <f>IFERROR(__xludf.DUMMYFUNCTION("""COMPUTED_VALUE"""),1319.0)</f>
        <v>1319</v>
      </c>
      <c r="B1208" s="35" t="str">
        <f>IFERROR(__xludf.DUMMYFUNCTION("""COMPUTED_VALUE"""),"Unique Number of Occurrences")</f>
        <v>Unique Number of Occurrences</v>
      </c>
      <c r="C1208" s="35" t="str">
        <f>IFERROR(__xludf.DUMMYFUNCTION("""COMPUTED_VALUE"""),"unique-number-of-occurrences")</f>
        <v>unique-number-of-occurrences</v>
      </c>
      <c r="D1208" s="35" t="b">
        <f>IFERROR(__xludf.DUMMYFUNCTION("""COMPUTED_VALUE"""),FALSE)</f>
        <v>0</v>
      </c>
      <c r="E1208" s="35" t="str">
        <f>IFERROR(__xludf.DUMMYFUNCTION("""COMPUTED_VALUE"""),"Easy")</f>
        <v>Easy</v>
      </c>
      <c r="F1208" s="35">
        <f>IFERROR(__xludf.DUMMYFUNCTION("""COMPUTED_VALUE"""),1301.0)</f>
        <v>1301</v>
      </c>
      <c r="G1208" s="35">
        <f>IFERROR(__xludf.DUMMYFUNCTION("""COMPUTED_VALUE"""),33.0)</f>
        <v>33</v>
      </c>
      <c r="H1208" s="35" t="str">
        <f>IFERROR(__xludf.DUMMYFUNCTION("""COMPUTED_VALUE"""),"Algorithms")</f>
        <v>Algorithms</v>
      </c>
      <c r="I1208" s="35">
        <f>IFERROR(__xludf.DUMMYFUNCTION("""COMPUTED_VALUE"""),0.72)</f>
        <v>0.72</v>
      </c>
      <c r="J1208" s="35">
        <f>IFERROR(__xludf.DUMMYFUNCTION("""COMPUTED_VALUE"""),1207.0)</f>
        <v>1207</v>
      </c>
      <c r="K1208" s="35" t="b">
        <f>IFERROR(__xludf.DUMMYFUNCTION("""COMPUTED_VALUE"""),FALSE)</f>
        <v>0</v>
      </c>
      <c r="L1208" s="35" t="str">
        <f>IFERROR(__xludf.DUMMYFUNCTION("""COMPUTED_VALUE"""),"Array;Hash Table;")</f>
        <v>Array;Hash Table;</v>
      </c>
      <c r="M1208" s="35" t="b">
        <f>IFERROR(__xludf.DUMMYFUNCTION("""COMPUTED_VALUE"""),FALSE)</f>
        <v>0</v>
      </c>
      <c r="N1208" s="35" t="b">
        <f>IFERROR(__xludf.DUMMYFUNCTION("""COMPUTED_VALUE"""),FALSE)</f>
        <v>0</v>
      </c>
      <c r="O1208" s="35">
        <f>IFERROR(__xludf.DUMMYFUNCTION("""COMPUTED_VALUE"""),71.987173557796)</f>
        <v>71.98717356</v>
      </c>
      <c r="P1208" s="35">
        <f>IFERROR(__xludf.DUMMYFUNCTION("""COMPUTED_VALUE"""),116738.0)</f>
        <v>116738</v>
      </c>
      <c r="Q1208" s="35">
        <f>IFERROR(__xludf.DUMMYFUNCTION("""COMPUTED_VALUE"""),162165.0)</f>
        <v>162165</v>
      </c>
    </row>
    <row r="1209">
      <c r="A1209" s="35">
        <f>IFERROR(__xludf.DUMMYFUNCTION("""COMPUTED_VALUE"""),1321.0)</f>
        <v>1321</v>
      </c>
      <c r="B1209" s="35" t="str">
        <f>IFERROR(__xludf.DUMMYFUNCTION("""COMPUTED_VALUE"""),"Get Equal Substrings Within Budget")</f>
        <v>Get Equal Substrings Within Budget</v>
      </c>
      <c r="C1209" s="35" t="str">
        <f>IFERROR(__xludf.DUMMYFUNCTION("""COMPUTED_VALUE"""),"get-equal-substrings-within-budget")</f>
        <v>get-equal-substrings-within-budget</v>
      </c>
      <c r="D1209" s="35" t="b">
        <f>IFERROR(__xludf.DUMMYFUNCTION("""COMPUTED_VALUE"""),FALSE)</f>
        <v>0</v>
      </c>
      <c r="E1209" s="35" t="str">
        <f>IFERROR(__xludf.DUMMYFUNCTION("""COMPUTED_VALUE"""),"Medium")</f>
        <v>Medium</v>
      </c>
      <c r="F1209" s="35">
        <f>IFERROR(__xludf.DUMMYFUNCTION("""COMPUTED_VALUE"""),606.0)</f>
        <v>606</v>
      </c>
      <c r="G1209" s="35">
        <f>IFERROR(__xludf.DUMMYFUNCTION("""COMPUTED_VALUE"""),42.0)</f>
        <v>42</v>
      </c>
      <c r="H1209" s="35" t="str">
        <f>IFERROR(__xludf.DUMMYFUNCTION("""COMPUTED_VALUE"""),"Algorithms")</f>
        <v>Algorithms</v>
      </c>
      <c r="I1209" s="35">
        <f>IFERROR(__xludf.DUMMYFUNCTION("""COMPUTED_VALUE"""),0.463)</f>
        <v>0.463</v>
      </c>
      <c r="J1209" s="35">
        <f>IFERROR(__xludf.DUMMYFUNCTION("""COMPUTED_VALUE"""),1208.0)</f>
        <v>1208</v>
      </c>
      <c r="K1209" s="35" t="b">
        <f>IFERROR(__xludf.DUMMYFUNCTION("""COMPUTED_VALUE"""),FALSE)</f>
        <v>0</v>
      </c>
      <c r="L1209" s="35" t="str">
        <f>IFERROR(__xludf.DUMMYFUNCTION("""COMPUTED_VALUE"""),"String;Binary Search;Sliding Window;Prefix Sum;")</f>
        <v>String;Binary Search;Sliding Window;Prefix Sum;</v>
      </c>
      <c r="M1209" s="35" t="b">
        <f>IFERROR(__xludf.DUMMYFUNCTION("""COMPUTED_VALUE"""),FALSE)</f>
        <v>0</v>
      </c>
      <c r="N1209" s="35" t="b">
        <f>IFERROR(__xludf.DUMMYFUNCTION("""COMPUTED_VALUE"""),FALSE)</f>
        <v>0</v>
      </c>
      <c r="O1209" s="35">
        <f>IFERROR(__xludf.DUMMYFUNCTION("""COMPUTED_VALUE"""),46.3334166458385)</f>
        <v>46.33341665</v>
      </c>
      <c r="P1209" s="35">
        <f>IFERROR(__xludf.DUMMYFUNCTION("""COMPUTED_VALUE"""),27807.0)</f>
        <v>27807</v>
      </c>
      <c r="Q1209" s="35">
        <f>IFERROR(__xludf.DUMMYFUNCTION("""COMPUTED_VALUE"""),60015.0)</f>
        <v>60015</v>
      </c>
    </row>
    <row r="1210">
      <c r="A1210" s="35">
        <f>IFERROR(__xludf.DUMMYFUNCTION("""COMPUTED_VALUE"""),1320.0)</f>
        <v>1320</v>
      </c>
      <c r="B1210" s="35" t="str">
        <f>IFERROR(__xludf.DUMMYFUNCTION("""COMPUTED_VALUE"""),"Remove All Adjacent Duplicates in String II")</f>
        <v>Remove All Adjacent Duplicates in String II</v>
      </c>
      <c r="C1210" s="35" t="str">
        <f>IFERROR(__xludf.DUMMYFUNCTION("""COMPUTED_VALUE"""),"remove-all-adjacent-duplicates-in-string-ii")</f>
        <v>remove-all-adjacent-duplicates-in-string-ii</v>
      </c>
      <c r="D1210" s="35" t="b">
        <f>IFERROR(__xludf.DUMMYFUNCTION("""COMPUTED_VALUE"""),FALSE)</f>
        <v>0</v>
      </c>
      <c r="E1210" s="35" t="str">
        <f>IFERROR(__xludf.DUMMYFUNCTION("""COMPUTED_VALUE"""),"Medium")</f>
        <v>Medium</v>
      </c>
      <c r="F1210" s="35">
        <f>IFERROR(__xludf.DUMMYFUNCTION("""COMPUTED_VALUE"""),2470.0)</f>
        <v>2470</v>
      </c>
      <c r="G1210" s="35">
        <f>IFERROR(__xludf.DUMMYFUNCTION("""COMPUTED_VALUE"""),48.0)</f>
        <v>48</v>
      </c>
      <c r="H1210" s="35" t="str">
        <f>IFERROR(__xludf.DUMMYFUNCTION("""COMPUTED_VALUE"""),"Algorithms")</f>
        <v>Algorithms</v>
      </c>
      <c r="I1210" s="35">
        <f>IFERROR(__xludf.DUMMYFUNCTION("""COMPUTED_VALUE"""),0.56)</f>
        <v>0.56</v>
      </c>
      <c r="J1210" s="35">
        <f>IFERROR(__xludf.DUMMYFUNCTION("""COMPUTED_VALUE"""),1209.0)</f>
        <v>1209</v>
      </c>
      <c r="K1210" s="35" t="b">
        <f>IFERROR(__xludf.DUMMYFUNCTION("""COMPUTED_VALUE"""),FALSE)</f>
        <v>0</v>
      </c>
      <c r="L1210" s="35" t="str">
        <f>IFERROR(__xludf.DUMMYFUNCTION("""COMPUTED_VALUE"""),"String;Stack;")</f>
        <v>String;Stack;</v>
      </c>
      <c r="M1210" s="35" t="b">
        <f>IFERROR(__xludf.DUMMYFUNCTION("""COMPUTED_VALUE"""),TRUE)</f>
        <v>1</v>
      </c>
      <c r="N1210" s="35" t="b">
        <f>IFERROR(__xludf.DUMMYFUNCTION("""COMPUTED_VALUE"""),FALSE)</f>
        <v>0</v>
      </c>
      <c r="O1210" s="35">
        <f>IFERROR(__xludf.DUMMYFUNCTION("""COMPUTED_VALUE"""),56.0257613587039)</f>
        <v>56.02576136</v>
      </c>
      <c r="P1210" s="35">
        <f>IFERROR(__xludf.DUMMYFUNCTION("""COMPUTED_VALUE"""),151016.0)</f>
        <v>151016</v>
      </c>
      <c r="Q1210" s="35">
        <f>IFERROR(__xludf.DUMMYFUNCTION("""COMPUTED_VALUE"""),269545.0)</f>
        <v>269545</v>
      </c>
    </row>
    <row r="1211">
      <c r="A1211" s="35">
        <f>IFERROR(__xludf.DUMMYFUNCTION("""COMPUTED_VALUE"""),1322.0)</f>
        <v>1322</v>
      </c>
      <c r="B1211" s="35" t="str">
        <f>IFERROR(__xludf.DUMMYFUNCTION("""COMPUTED_VALUE"""),"Minimum Moves to Reach Target with Rotations")</f>
        <v>Minimum Moves to Reach Target with Rotations</v>
      </c>
      <c r="C1211" s="35" t="str">
        <f>IFERROR(__xludf.DUMMYFUNCTION("""COMPUTED_VALUE"""),"minimum-moves-to-reach-target-with-rotations")</f>
        <v>minimum-moves-to-reach-target-with-rotations</v>
      </c>
      <c r="D1211" s="35" t="b">
        <f>IFERROR(__xludf.DUMMYFUNCTION("""COMPUTED_VALUE"""),FALSE)</f>
        <v>0</v>
      </c>
      <c r="E1211" s="35" t="str">
        <f>IFERROR(__xludf.DUMMYFUNCTION("""COMPUTED_VALUE"""),"Hard")</f>
        <v>Hard</v>
      </c>
      <c r="F1211" s="35">
        <f>IFERROR(__xludf.DUMMYFUNCTION("""COMPUTED_VALUE"""),192.0)</f>
        <v>192</v>
      </c>
      <c r="G1211" s="35">
        <f>IFERROR(__xludf.DUMMYFUNCTION("""COMPUTED_VALUE"""),56.0)</f>
        <v>56</v>
      </c>
      <c r="H1211" s="35" t="str">
        <f>IFERROR(__xludf.DUMMYFUNCTION("""COMPUTED_VALUE"""),"Algorithms")</f>
        <v>Algorithms</v>
      </c>
      <c r="I1211" s="35">
        <f>IFERROR(__xludf.DUMMYFUNCTION("""COMPUTED_VALUE"""),0.479)</f>
        <v>0.479</v>
      </c>
      <c r="J1211" s="35">
        <f>IFERROR(__xludf.DUMMYFUNCTION("""COMPUTED_VALUE"""),1210.0)</f>
        <v>1210</v>
      </c>
      <c r="K1211" s="35" t="b">
        <f>IFERROR(__xludf.DUMMYFUNCTION("""COMPUTED_VALUE"""),FALSE)</f>
        <v>0</v>
      </c>
      <c r="L1211" s="35" t="str">
        <f>IFERROR(__xludf.DUMMYFUNCTION("""COMPUTED_VALUE"""),"Array;Breadth-First Search;Matrix;")</f>
        <v>Array;Breadth-First Search;Matrix;</v>
      </c>
      <c r="M1211" s="35" t="b">
        <f>IFERROR(__xludf.DUMMYFUNCTION("""COMPUTED_VALUE"""),FALSE)</f>
        <v>0</v>
      </c>
      <c r="N1211" s="35" t="b">
        <f>IFERROR(__xludf.DUMMYFUNCTION("""COMPUTED_VALUE"""),FALSE)</f>
        <v>0</v>
      </c>
      <c r="O1211" s="35">
        <f>IFERROR(__xludf.DUMMYFUNCTION("""COMPUTED_VALUE"""),47.9311979413557)</f>
        <v>47.93119794</v>
      </c>
      <c r="P1211" s="35">
        <f>IFERROR(__xludf.DUMMYFUNCTION("""COMPUTED_VALUE"""),7078.0)</f>
        <v>7078</v>
      </c>
      <c r="Q1211" s="35">
        <f>IFERROR(__xludf.DUMMYFUNCTION("""COMPUTED_VALUE"""),14767.0)</f>
        <v>14767</v>
      </c>
    </row>
    <row r="1212">
      <c r="A1212" s="35">
        <f>IFERROR(__xludf.DUMMYFUNCTION("""COMPUTED_VALUE"""),1338.0)</f>
        <v>1338</v>
      </c>
      <c r="B1212" s="35" t="str">
        <f>IFERROR(__xludf.DUMMYFUNCTION("""COMPUTED_VALUE"""),"Queries Quality and Percentage")</f>
        <v>Queries Quality and Percentage</v>
      </c>
      <c r="C1212" s="35" t="str">
        <f>IFERROR(__xludf.DUMMYFUNCTION("""COMPUTED_VALUE"""),"queries-quality-and-percentage")</f>
        <v>queries-quality-and-percentage</v>
      </c>
      <c r="D1212" s="35" t="b">
        <f>IFERROR(__xludf.DUMMYFUNCTION("""COMPUTED_VALUE"""),TRUE)</f>
        <v>1</v>
      </c>
      <c r="E1212" s="35" t="str">
        <f>IFERROR(__xludf.DUMMYFUNCTION("""COMPUTED_VALUE"""),"Easy")</f>
        <v>Easy</v>
      </c>
      <c r="F1212" s="35">
        <f>IFERROR(__xludf.DUMMYFUNCTION("""COMPUTED_VALUE"""),85.0)</f>
        <v>85</v>
      </c>
      <c r="G1212" s="35">
        <f>IFERROR(__xludf.DUMMYFUNCTION("""COMPUTED_VALUE"""),142.0)</f>
        <v>142</v>
      </c>
      <c r="H1212" s="35" t="str">
        <f>IFERROR(__xludf.DUMMYFUNCTION("""COMPUTED_VALUE"""),"Database")</f>
        <v>Database</v>
      </c>
      <c r="I1212" s="35">
        <f>IFERROR(__xludf.DUMMYFUNCTION("""COMPUTED_VALUE"""),0.707)</f>
        <v>0.707</v>
      </c>
      <c r="J1212" s="35">
        <f>IFERROR(__xludf.DUMMYFUNCTION("""COMPUTED_VALUE"""),1211.0)</f>
        <v>1211</v>
      </c>
      <c r="K1212" s="35" t="b">
        <f>IFERROR(__xludf.DUMMYFUNCTION("""COMPUTED_VALUE"""),TRUE)</f>
        <v>1</v>
      </c>
      <c r="L1212" s="35" t="str">
        <f>IFERROR(__xludf.DUMMYFUNCTION("""COMPUTED_VALUE"""),"Database;")</f>
        <v>Database;</v>
      </c>
      <c r="M1212" s="35" t="b">
        <f>IFERROR(__xludf.DUMMYFUNCTION("""COMPUTED_VALUE"""),FALSE)</f>
        <v>0</v>
      </c>
      <c r="N1212" s="35" t="b">
        <f>IFERROR(__xludf.DUMMYFUNCTION("""COMPUTED_VALUE"""),FALSE)</f>
        <v>0</v>
      </c>
      <c r="O1212" s="35">
        <f>IFERROR(__xludf.DUMMYFUNCTION("""COMPUTED_VALUE"""),70.675646451852)</f>
        <v>70.67564645</v>
      </c>
      <c r="P1212" s="35">
        <f>IFERROR(__xludf.DUMMYFUNCTION("""COMPUTED_VALUE"""),22877.0)</f>
        <v>22877</v>
      </c>
      <c r="Q1212" s="35">
        <f>IFERROR(__xludf.DUMMYFUNCTION("""COMPUTED_VALUE"""),32369.0)</f>
        <v>32369</v>
      </c>
    </row>
    <row r="1213">
      <c r="A1213" s="35">
        <f>IFERROR(__xludf.DUMMYFUNCTION("""COMPUTED_VALUE"""),1339.0)</f>
        <v>1339</v>
      </c>
      <c r="B1213" s="35" t="str">
        <f>IFERROR(__xludf.DUMMYFUNCTION("""COMPUTED_VALUE"""),"Team Scores in Football Tournament")</f>
        <v>Team Scores in Football Tournament</v>
      </c>
      <c r="C1213" s="35" t="str">
        <f>IFERROR(__xludf.DUMMYFUNCTION("""COMPUTED_VALUE"""),"team-scores-in-football-tournament")</f>
        <v>team-scores-in-football-tournament</v>
      </c>
      <c r="D1213" s="35" t="b">
        <f>IFERROR(__xludf.DUMMYFUNCTION("""COMPUTED_VALUE"""),TRUE)</f>
        <v>1</v>
      </c>
      <c r="E1213" s="35" t="str">
        <f>IFERROR(__xludf.DUMMYFUNCTION("""COMPUTED_VALUE"""),"Medium")</f>
        <v>Medium</v>
      </c>
      <c r="F1213" s="35">
        <f>IFERROR(__xludf.DUMMYFUNCTION("""COMPUTED_VALUE"""),223.0)</f>
        <v>223</v>
      </c>
      <c r="G1213" s="35">
        <f>IFERROR(__xludf.DUMMYFUNCTION("""COMPUTED_VALUE"""),19.0)</f>
        <v>19</v>
      </c>
      <c r="H1213" s="35" t="str">
        <f>IFERROR(__xludf.DUMMYFUNCTION("""COMPUTED_VALUE"""),"Database")</f>
        <v>Database</v>
      </c>
      <c r="I1213" s="35">
        <f>IFERROR(__xludf.DUMMYFUNCTION("""COMPUTED_VALUE"""),0.572)</f>
        <v>0.572</v>
      </c>
      <c r="J1213" s="35">
        <f>IFERROR(__xludf.DUMMYFUNCTION("""COMPUTED_VALUE"""),1212.0)</f>
        <v>1212</v>
      </c>
      <c r="K1213" s="35" t="b">
        <f>IFERROR(__xludf.DUMMYFUNCTION("""COMPUTED_VALUE"""),TRUE)</f>
        <v>1</v>
      </c>
      <c r="L1213" s="35" t="str">
        <f>IFERROR(__xludf.DUMMYFUNCTION("""COMPUTED_VALUE"""),"Database;")</f>
        <v>Database;</v>
      </c>
      <c r="M1213" s="35" t="b">
        <f>IFERROR(__xludf.DUMMYFUNCTION("""COMPUTED_VALUE"""),FALSE)</f>
        <v>0</v>
      </c>
      <c r="N1213" s="35" t="b">
        <f>IFERROR(__xludf.DUMMYFUNCTION("""COMPUTED_VALUE"""),FALSE)</f>
        <v>0</v>
      </c>
      <c r="O1213" s="35">
        <f>IFERROR(__xludf.DUMMYFUNCTION("""COMPUTED_VALUE"""),57.2255031939255)</f>
        <v>57.22550319</v>
      </c>
      <c r="P1213" s="35">
        <f>IFERROR(__xludf.DUMMYFUNCTION("""COMPUTED_VALUE"""),23740.0)</f>
        <v>23740</v>
      </c>
      <c r="Q1213" s="35">
        <f>IFERROR(__xludf.DUMMYFUNCTION("""COMPUTED_VALUE"""),41485.0)</f>
        <v>41485</v>
      </c>
    </row>
    <row r="1214">
      <c r="A1214" s="35">
        <f>IFERROR(__xludf.DUMMYFUNCTION("""COMPUTED_VALUE"""),1149.0)</f>
        <v>1149</v>
      </c>
      <c r="B1214" s="35" t="str">
        <f>IFERROR(__xludf.DUMMYFUNCTION("""COMPUTED_VALUE"""),"Intersection of Three Sorted Arrays")</f>
        <v>Intersection of Three Sorted Arrays</v>
      </c>
      <c r="C1214" s="35" t="str">
        <f>IFERROR(__xludf.DUMMYFUNCTION("""COMPUTED_VALUE"""),"intersection-of-three-sorted-arrays")</f>
        <v>intersection-of-three-sorted-arrays</v>
      </c>
      <c r="D1214" s="35" t="b">
        <f>IFERROR(__xludf.DUMMYFUNCTION("""COMPUTED_VALUE"""),TRUE)</f>
        <v>1</v>
      </c>
      <c r="E1214" s="35" t="str">
        <f>IFERROR(__xludf.DUMMYFUNCTION("""COMPUTED_VALUE"""),"Easy")</f>
        <v>Easy</v>
      </c>
      <c r="F1214" s="35">
        <f>IFERROR(__xludf.DUMMYFUNCTION("""COMPUTED_VALUE"""),419.0)</f>
        <v>419</v>
      </c>
      <c r="G1214" s="35">
        <f>IFERROR(__xludf.DUMMYFUNCTION("""COMPUTED_VALUE"""),22.0)</f>
        <v>22</v>
      </c>
      <c r="H1214" s="35" t="str">
        <f>IFERROR(__xludf.DUMMYFUNCTION("""COMPUTED_VALUE"""),"Algorithms")</f>
        <v>Algorithms</v>
      </c>
      <c r="I1214" s="35">
        <f>IFERROR(__xludf.DUMMYFUNCTION("""COMPUTED_VALUE"""),0.799)</f>
        <v>0.799</v>
      </c>
      <c r="J1214" s="35">
        <f>IFERROR(__xludf.DUMMYFUNCTION("""COMPUTED_VALUE"""),1213.0)</f>
        <v>1213</v>
      </c>
      <c r="K1214" s="35" t="b">
        <f>IFERROR(__xludf.DUMMYFUNCTION("""COMPUTED_VALUE"""),TRUE)</f>
        <v>1</v>
      </c>
      <c r="L1214" s="35" t="str">
        <f>IFERROR(__xludf.DUMMYFUNCTION("""COMPUTED_VALUE"""),"Array;Hash Table;Binary Search;Counting;")</f>
        <v>Array;Hash Table;Binary Search;Counting;</v>
      </c>
      <c r="M1214" s="35" t="b">
        <f>IFERROR(__xludf.DUMMYFUNCTION("""COMPUTED_VALUE"""),TRUE)</f>
        <v>1</v>
      </c>
      <c r="N1214" s="35" t="b">
        <f>IFERROR(__xludf.DUMMYFUNCTION("""COMPUTED_VALUE"""),FALSE)</f>
        <v>0</v>
      </c>
      <c r="O1214" s="35">
        <f>IFERROR(__xludf.DUMMYFUNCTION("""COMPUTED_VALUE"""),79.9104872342589)</f>
        <v>79.91048723</v>
      </c>
      <c r="P1214" s="35">
        <f>IFERROR(__xludf.DUMMYFUNCTION("""COMPUTED_VALUE"""),62848.0)</f>
        <v>62848</v>
      </c>
      <c r="Q1214" s="35">
        <f>IFERROR(__xludf.DUMMYFUNCTION("""COMPUTED_VALUE"""),78648.0)</f>
        <v>78648</v>
      </c>
    </row>
    <row r="1215">
      <c r="A1215" s="35">
        <f>IFERROR(__xludf.DUMMYFUNCTION("""COMPUTED_VALUE"""),1150.0)</f>
        <v>1150</v>
      </c>
      <c r="B1215" s="35" t="str">
        <f>IFERROR(__xludf.DUMMYFUNCTION("""COMPUTED_VALUE"""),"Two Sum BSTs")</f>
        <v>Two Sum BSTs</v>
      </c>
      <c r="C1215" s="35" t="str">
        <f>IFERROR(__xludf.DUMMYFUNCTION("""COMPUTED_VALUE"""),"two-sum-bsts")</f>
        <v>two-sum-bsts</v>
      </c>
      <c r="D1215" s="35" t="b">
        <f>IFERROR(__xludf.DUMMYFUNCTION("""COMPUTED_VALUE"""),TRUE)</f>
        <v>1</v>
      </c>
      <c r="E1215" s="35" t="str">
        <f>IFERROR(__xludf.DUMMYFUNCTION("""COMPUTED_VALUE"""),"Medium")</f>
        <v>Medium</v>
      </c>
      <c r="F1215" s="35">
        <f>IFERROR(__xludf.DUMMYFUNCTION("""COMPUTED_VALUE"""),374.0)</f>
        <v>374</v>
      </c>
      <c r="G1215" s="35">
        <f>IFERROR(__xludf.DUMMYFUNCTION("""COMPUTED_VALUE"""),36.0)</f>
        <v>36</v>
      </c>
      <c r="H1215" s="35" t="str">
        <f>IFERROR(__xludf.DUMMYFUNCTION("""COMPUTED_VALUE"""),"Algorithms")</f>
        <v>Algorithms</v>
      </c>
      <c r="I1215" s="35">
        <f>IFERROR(__xludf.DUMMYFUNCTION("""COMPUTED_VALUE"""),0.669)</f>
        <v>0.669</v>
      </c>
      <c r="J1215" s="35">
        <f>IFERROR(__xludf.DUMMYFUNCTION("""COMPUTED_VALUE"""),1214.0)</f>
        <v>1214</v>
      </c>
      <c r="K1215" s="35" t="b">
        <f>IFERROR(__xludf.DUMMYFUNCTION("""COMPUTED_VALUE"""),TRUE)</f>
        <v>1</v>
      </c>
      <c r="L1215" s="35" t="str">
        <f>IFERROR(__xludf.DUMMYFUNCTION("""COMPUTED_VALUE"""),"Two Pointers;Binary Search;Stack;Tree;Depth-First Search;Binary Search Tree;Binary Tree;")</f>
        <v>Two Pointers;Binary Search;Stack;Tree;Depth-First Search;Binary Search Tree;Binary Tree;</v>
      </c>
      <c r="M1215" s="35" t="b">
        <f>IFERROR(__xludf.DUMMYFUNCTION("""COMPUTED_VALUE"""),TRUE)</f>
        <v>1</v>
      </c>
      <c r="N1215" s="35" t="b">
        <f>IFERROR(__xludf.DUMMYFUNCTION("""COMPUTED_VALUE"""),FALSE)</f>
        <v>0</v>
      </c>
      <c r="O1215" s="35">
        <f>IFERROR(__xludf.DUMMYFUNCTION("""COMPUTED_VALUE"""),66.8615608669579)</f>
        <v>66.86156087</v>
      </c>
      <c r="P1215" s="35">
        <f>IFERROR(__xludf.DUMMYFUNCTION("""COMPUTED_VALUE"""),31219.0)</f>
        <v>31219</v>
      </c>
      <c r="Q1215" s="35">
        <f>IFERROR(__xludf.DUMMYFUNCTION("""COMPUTED_VALUE"""),46692.0)</f>
        <v>46692</v>
      </c>
    </row>
    <row r="1216">
      <c r="A1216" s="35">
        <f>IFERROR(__xludf.DUMMYFUNCTION("""COMPUTED_VALUE"""),1151.0)</f>
        <v>1151</v>
      </c>
      <c r="B1216" s="35" t="str">
        <f>IFERROR(__xludf.DUMMYFUNCTION("""COMPUTED_VALUE"""),"Stepping Numbers")</f>
        <v>Stepping Numbers</v>
      </c>
      <c r="C1216" s="35" t="str">
        <f>IFERROR(__xludf.DUMMYFUNCTION("""COMPUTED_VALUE"""),"stepping-numbers")</f>
        <v>stepping-numbers</v>
      </c>
      <c r="D1216" s="35" t="b">
        <f>IFERROR(__xludf.DUMMYFUNCTION("""COMPUTED_VALUE"""),TRUE)</f>
        <v>1</v>
      </c>
      <c r="E1216" s="35" t="str">
        <f>IFERROR(__xludf.DUMMYFUNCTION("""COMPUTED_VALUE"""),"Medium")</f>
        <v>Medium</v>
      </c>
      <c r="F1216" s="35">
        <f>IFERROR(__xludf.DUMMYFUNCTION("""COMPUTED_VALUE"""),156.0)</f>
        <v>156</v>
      </c>
      <c r="G1216" s="35">
        <f>IFERROR(__xludf.DUMMYFUNCTION("""COMPUTED_VALUE"""),16.0)</f>
        <v>16</v>
      </c>
      <c r="H1216" s="35" t="str">
        <f>IFERROR(__xludf.DUMMYFUNCTION("""COMPUTED_VALUE"""),"Algorithms")</f>
        <v>Algorithms</v>
      </c>
      <c r="I1216" s="35">
        <f>IFERROR(__xludf.DUMMYFUNCTION("""COMPUTED_VALUE"""),0.453)</f>
        <v>0.453</v>
      </c>
      <c r="J1216" s="35">
        <f>IFERROR(__xludf.DUMMYFUNCTION("""COMPUTED_VALUE"""),1215.0)</f>
        <v>1215</v>
      </c>
      <c r="K1216" s="35" t="b">
        <f>IFERROR(__xludf.DUMMYFUNCTION("""COMPUTED_VALUE"""),TRUE)</f>
        <v>1</v>
      </c>
      <c r="L1216" s="35" t="str">
        <f>IFERROR(__xludf.DUMMYFUNCTION("""COMPUTED_VALUE"""),"Backtracking;Breadth-First Search;")</f>
        <v>Backtracking;Breadth-First Search;</v>
      </c>
      <c r="M1216" s="35" t="b">
        <f>IFERROR(__xludf.DUMMYFUNCTION("""COMPUTED_VALUE"""),FALSE)</f>
        <v>0</v>
      </c>
      <c r="N1216" s="35" t="b">
        <f>IFERROR(__xludf.DUMMYFUNCTION("""COMPUTED_VALUE"""),FALSE)</f>
        <v>0</v>
      </c>
      <c r="O1216" s="35">
        <f>IFERROR(__xludf.DUMMYFUNCTION("""COMPUTED_VALUE"""),45.3079987741342)</f>
        <v>45.30799877</v>
      </c>
      <c r="P1216" s="35">
        <f>IFERROR(__xludf.DUMMYFUNCTION("""COMPUTED_VALUE"""),7392.0)</f>
        <v>7392</v>
      </c>
      <c r="Q1216" s="35">
        <f>IFERROR(__xludf.DUMMYFUNCTION("""COMPUTED_VALUE"""),16315.0)</f>
        <v>16315</v>
      </c>
    </row>
    <row r="1217">
      <c r="A1217" s="35">
        <f>IFERROR(__xludf.DUMMYFUNCTION("""COMPUTED_VALUE"""),1178.0)</f>
        <v>1178</v>
      </c>
      <c r="B1217" s="35" t="str">
        <f>IFERROR(__xludf.DUMMYFUNCTION("""COMPUTED_VALUE"""),"Valid Palindrome III")</f>
        <v>Valid Palindrome III</v>
      </c>
      <c r="C1217" s="35" t="str">
        <f>IFERROR(__xludf.DUMMYFUNCTION("""COMPUTED_VALUE"""),"valid-palindrome-iii")</f>
        <v>valid-palindrome-iii</v>
      </c>
      <c r="D1217" s="35" t="b">
        <f>IFERROR(__xludf.DUMMYFUNCTION("""COMPUTED_VALUE"""),TRUE)</f>
        <v>1</v>
      </c>
      <c r="E1217" s="35" t="str">
        <f>IFERROR(__xludf.DUMMYFUNCTION("""COMPUTED_VALUE"""),"Hard")</f>
        <v>Hard</v>
      </c>
      <c r="F1217" s="35">
        <f>IFERROR(__xludf.DUMMYFUNCTION("""COMPUTED_VALUE"""),434.0)</f>
        <v>434</v>
      </c>
      <c r="G1217" s="35">
        <f>IFERROR(__xludf.DUMMYFUNCTION("""COMPUTED_VALUE"""),6.0)</f>
        <v>6</v>
      </c>
      <c r="H1217" s="35" t="str">
        <f>IFERROR(__xludf.DUMMYFUNCTION("""COMPUTED_VALUE"""),"Algorithms")</f>
        <v>Algorithms</v>
      </c>
      <c r="I1217" s="35">
        <f>IFERROR(__xludf.DUMMYFUNCTION("""COMPUTED_VALUE"""),0.513)</f>
        <v>0.513</v>
      </c>
      <c r="J1217" s="35">
        <f>IFERROR(__xludf.DUMMYFUNCTION("""COMPUTED_VALUE"""),1216.0)</f>
        <v>1216</v>
      </c>
      <c r="K1217" s="35" t="b">
        <f>IFERROR(__xludf.DUMMYFUNCTION("""COMPUTED_VALUE"""),TRUE)</f>
        <v>1</v>
      </c>
      <c r="L1217" s="35" t="str">
        <f>IFERROR(__xludf.DUMMYFUNCTION("""COMPUTED_VALUE"""),"String;Dynamic Programming;")</f>
        <v>String;Dynamic Programming;</v>
      </c>
      <c r="M1217" s="35" t="b">
        <f>IFERROR(__xludf.DUMMYFUNCTION("""COMPUTED_VALUE"""),TRUE)</f>
        <v>1</v>
      </c>
      <c r="N1217" s="35" t="b">
        <f>IFERROR(__xludf.DUMMYFUNCTION("""COMPUTED_VALUE"""),FALSE)</f>
        <v>0</v>
      </c>
      <c r="O1217" s="35">
        <f>IFERROR(__xludf.DUMMYFUNCTION("""COMPUTED_VALUE"""),51.2582177079988)</f>
        <v>51.25821771</v>
      </c>
      <c r="P1217" s="35">
        <f>IFERROR(__xludf.DUMMYFUNCTION("""COMPUTED_VALUE"""),30330.0)</f>
        <v>30330</v>
      </c>
      <c r="Q1217" s="35">
        <f>IFERROR(__xludf.DUMMYFUNCTION("""COMPUTED_VALUE"""),59164.0)</f>
        <v>59164</v>
      </c>
    </row>
    <row r="1218">
      <c r="A1218" s="35">
        <f>IFERROR(__xludf.DUMMYFUNCTION("""COMPUTED_VALUE"""),1329.0)</f>
        <v>1329</v>
      </c>
      <c r="B1218" s="35" t="str">
        <f>IFERROR(__xludf.DUMMYFUNCTION("""COMPUTED_VALUE"""),"Minimum Cost to Move Chips to The Same Position")</f>
        <v>Minimum Cost to Move Chips to The Same Position</v>
      </c>
      <c r="C1218" s="35" t="str">
        <f>IFERROR(__xludf.DUMMYFUNCTION("""COMPUTED_VALUE"""),"minimum-cost-to-move-chips-to-the-same-position")</f>
        <v>minimum-cost-to-move-chips-to-the-same-position</v>
      </c>
      <c r="D1218" s="35" t="b">
        <f>IFERROR(__xludf.DUMMYFUNCTION("""COMPUTED_VALUE"""),FALSE)</f>
        <v>0</v>
      </c>
      <c r="E1218" s="35" t="str">
        <f>IFERROR(__xludf.DUMMYFUNCTION("""COMPUTED_VALUE"""),"Easy")</f>
        <v>Easy</v>
      </c>
      <c r="F1218" s="35">
        <f>IFERROR(__xludf.DUMMYFUNCTION("""COMPUTED_VALUE"""),1398.0)</f>
        <v>1398</v>
      </c>
      <c r="G1218" s="35">
        <f>IFERROR(__xludf.DUMMYFUNCTION("""COMPUTED_VALUE"""),192.0)</f>
        <v>192</v>
      </c>
      <c r="H1218" s="35" t="str">
        <f>IFERROR(__xludf.DUMMYFUNCTION("""COMPUTED_VALUE"""),"Algorithms")</f>
        <v>Algorithms</v>
      </c>
      <c r="I1218" s="35">
        <f>IFERROR(__xludf.DUMMYFUNCTION("""COMPUTED_VALUE"""),0.727)</f>
        <v>0.727</v>
      </c>
      <c r="J1218" s="35">
        <f>IFERROR(__xludf.DUMMYFUNCTION("""COMPUTED_VALUE"""),1217.0)</f>
        <v>1217</v>
      </c>
      <c r="K1218" s="35" t="b">
        <f>IFERROR(__xludf.DUMMYFUNCTION("""COMPUTED_VALUE"""),FALSE)</f>
        <v>0</v>
      </c>
      <c r="L1218" s="35" t="str">
        <f>IFERROR(__xludf.DUMMYFUNCTION("""COMPUTED_VALUE"""),"Array;Math;Greedy;")</f>
        <v>Array;Math;Greedy;</v>
      </c>
      <c r="M1218" s="35" t="b">
        <f>IFERROR(__xludf.DUMMYFUNCTION("""COMPUTED_VALUE"""),TRUE)</f>
        <v>1</v>
      </c>
      <c r="N1218" s="35" t="b">
        <f>IFERROR(__xludf.DUMMYFUNCTION("""COMPUTED_VALUE"""),FALSE)</f>
        <v>0</v>
      </c>
      <c r="O1218" s="35">
        <f>IFERROR(__xludf.DUMMYFUNCTION("""COMPUTED_VALUE"""),72.7445483599927)</f>
        <v>72.74454836</v>
      </c>
      <c r="P1218" s="35">
        <f>IFERROR(__xludf.DUMMYFUNCTION("""COMPUTED_VALUE"""),92638.0)</f>
        <v>92638</v>
      </c>
      <c r="Q1218" s="35">
        <f>IFERROR(__xludf.DUMMYFUNCTION("""COMPUTED_VALUE"""),127347.0)</f>
        <v>127347</v>
      </c>
    </row>
    <row r="1219">
      <c r="A1219" s="35">
        <f>IFERROR(__xludf.DUMMYFUNCTION("""COMPUTED_VALUE"""),1330.0)</f>
        <v>1330</v>
      </c>
      <c r="B1219" s="35" t="str">
        <f>IFERROR(__xludf.DUMMYFUNCTION("""COMPUTED_VALUE"""),"Longest Arithmetic Subsequence of Given Difference")</f>
        <v>Longest Arithmetic Subsequence of Given Difference</v>
      </c>
      <c r="C1219" s="35" t="str">
        <f>IFERROR(__xludf.DUMMYFUNCTION("""COMPUTED_VALUE"""),"longest-arithmetic-subsequence-of-given-difference")</f>
        <v>longest-arithmetic-subsequence-of-given-difference</v>
      </c>
      <c r="D1219" s="35" t="b">
        <f>IFERROR(__xludf.DUMMYFUNCTION("""COMPUTED_VALUE"""),FALSE)</f>
        <v>0</v>
      </c>
      <c r="E1219" s="35" t="str">
        <f>IFERROR(__xludf.DUMMYFUNCTION("""COMPUTED_VALUE"""),"Medium")</f>
        <v>Medium</v>
      </c>
      <c r="F1219" s="35">
        <f>IFERROR(__xludf.DUMMYFUNCTION("""COMPUTED_VALUE"""),920.0)</f>
        <v>920</v>
      </c>
      <c r="G1219" s="35">
        <f>IFERROR(__xludf.DUMMYFUNCTION("""COMPUTED_VALUE"""),42.0)</f>
        <v>42</v>
      </c>
      <c r="H1219" s="35" t="str">
        <f>IFERROR(__xludf.DUMMYFUNCTION("""COMPUTED_VALUE"""),"Algorithms")</f>
        <v>Algorithms</v>
      </c>
      <c r="I1219" s="35">
        <f>IFERROR(__xludf.DUMMYFUNCTION("""COMPUTED_VALUE"""),0.508)</f>
        <v>0.508</v>
      </c>
      <c r="J1219" s="35">
        <f>IFERROR(__xludf.DUMMYFUNCTION("""COMPUTED_VALUE"""),1218.0)</f>
        <v>1218</v>
      </c>
      <c r="K1219" s="35" t="b">
        <f>IFERROR(__xludf.DUMMYFUNCTION("""COMPUTED_VALUE"""),FALSE)</f>
        <v>0</v>
      </c>
      <c r="L1219" s="35" t="str">
        <f>IFERROR(__xludf.DUMMYFUNCTION("""COMPUTED_VALUE"""),"Array;Hash Table;Dynamic Programming;")</f>
        <v>Array;Hash Table;Dynamic Programming;</v>
      </c>
      <c r="M1219" s="35" t="b">
        <f>IFERROR(__xludf.DUMMYFUNCTION("""COMPUTED_VALUE"""),FALSE)</f>
        <v>0</v>
      </c>
      <c r="N1219" s="35" t="b">
        <f>IFERROR(__xludf.DUMMYFUNCTION("""COMPUTED_VALUE"""),FALSE)</f>
        <v>0</v>
      </c>
      <c r="O1219" s="35">
        <f>IFERROR(__xludf.DUMMYFUNCTION("""COMPUTED_VALUE"""),50.8165471388885)</f>
        <v>50.81654714</v>
      </c>
      <c r="P1219" s="35">
        <f>IFERROR(__xludf.DUMMYFUNCTION("""COMPUTED_VALUE"""),43717.0)</f>
        <v>43717</v>
      </c>
      <c r="Q1219" s="35">
        <f>IFERROR(__xludf.DUMMYFUNCTION("""COMPUTED_VALUE"""),86030.0)</f>
        <v>86030</v>
      </c>
    </row>
    <row r="1220">
      <c r="A1220" s="35">
        <f>IFERROR(__xludf.DUMMYFUNCTION("""COMPUTED_VALUE"""),1331.0)</f>
        <v>1331</v>
      </c>
      <c r="B1220" s="35" t="str">
        <f>IFERROR(__xludf.DUMMYFUNCTION("""COMPUTED_VALUE"""),"Path with Maximum Gold")</f>
        <v>Path with Maximum Gold</v>
      </c>
      <c r="C1220" s="35" t="str">
        <f>IFERROR(__xludf.DUMMYFUNCTION("""COMPUTED_VALUE"""),"path-with-maximum-gold")</f>
        <v>path-with-maximum-gold</v>
      </c>
      <c r="D1220" s="35" t="b">
        <f>IFERROR(__xludf.DUMMYFUNCTION("""COMPUTED_VALUE"""),FALSE)</f>
        <v>0</v>
      </c>
      <c r="E1220" s="35" t="str">
        <f>IFERROR(__xludf.DUMMYFUNCTION("""COMPUTED_VALUE"""),"Medium")</f>
        <v>Medium</v>
      </c>
      <c r="F1220" s="35">
        <f>IFERROR(__xludf.DUMMYFUNCTION("""COMPUTED_VALUE"""),1760.0)</f>
        <v>1760</v>
      </c>
      <c r="G1220" s="35">
        <f>IFERROR(__xludf.DUMMYFUNCTION("""COMPUTED_VALUE"""),47.0)</f>
        <v>47</v>
      </c>
      <c r="H1220" s="35" t="str">
        <f>IFERROR(__xludf.DUMMYFUNCTION("""COMPUTED_VALUE"""),"Algorithms")</f>
        <v>Algorithms</v>
      </c>
      <c r="I1220" s="35">
        <f>IFERROR(__xludf.DUMMYFUNCTION("""COMPUTED_VALUE"""),0.659)</f>
        <v>0.659</v>
      </c>
      <c r="J1220" s="35">
        <f>IFERROR(__xludf.DUMMYFUNCTION("""COMPUTED_VALUE"""),1219.0)</f>
        <v>1219</v>
      </c>
      <c r="K1220" s="35" t="b">
        <f>IFERROR(__xludf.DUMMYFUNCTION("""COMPUTED_VALUE"""),FALSE)</f>
        <v>0</v>
      </c>
      <c r="L1220" s="35" t="str">
        <f>IFERROR(__xludf.DUMMYFUNCTION("""COMPUTED_VALUE"""),"Array;Backtracking;Matrix;")</f>
        <v>Array;Backtracking;Matrix;</v>
      </c>
      <c r="M1220" s="35" t="b">
        <f>IFERROR(__xludf.DUMMYFUNCTION("""COMPUTED_VALUE"""),FALSE)</f>
        <v>0</v>
      </c>
      <c r="N1220" s="35" t="b">
        <f>IFERROR(__xludf.DUMMYFUNCTION("""COMPUTED_VALUE"""),FALSE)</f>
        <v>0</v>
      </c>
      <c r="O1220" s="35">
        <f>IFERROR(__xludf.DUMMYFUNCTION("""COMPUTED_VALUE"""),65.8619417378033)</f>
        <v>65.86194174</v>
      </c>
      <c r="P1220" s="35">
        <f>IFERROR(__xludf.DUMMYFUNCTION("""COMPUTED_VALUE"""),78540.0)</f>
        <v>78540</v>
      </c>
      <c r="Q1220" s="35">
        <f>IFERROR(__xludf.DUMMYFUNCTION("""COMPUTED_VALUE"""),119247.0)</f>
        <v>119247</v>
      </c>
    </row>
    <row r="1221">
      <c r="A1221" s="35">
        <f>IFERROR(__xludf.DUMMYFUNCTION("""COMPUTED_VALUE"""),1332.0)</f>
        <v>1332</v>
      </c>
      <c r="B1221" s="35" t="str">
        <f>IFERROR(__xludf.DUMMYFUNCTION("""COMPUTED_VALUE"""),"Count Vowels Permutation")</f>
        <v>Count Vowels Permutation</v>
      </c>
      <c r="C1221" s="35" t="str">
        <f>IFERROR(__xludf.DUMMYFUNCTION("""COMPUTED_VALUE"""),"count-vowels-permutation")</f>
        <v>count-vowels-permutation</v>
      </c>
      <c r="D1221" s="35" t="b">
        <f>IFERROR(__xludf.DUMMYFUNCTION("""COMPUTED_VALUE"""),FALSE)</f>
        <v>0</v>
      </c>
      <c r="E1221" s="35" t="str">
        <f>IFERROR(__xludf.DUMMYFUNCTION("""COMPUTED_VALUE"""),"Hard")</f>
        <v>Hard</v>
      </c>
      <c r="F1221" s="35">
        <f>IFERROR(__xludf.DUMMYFUNCTION("""COMPUTED_VALUE"""),912.0)</f>
        <v>912</v>
      </c>
      <c r="G1221" s="35">
        <f>IFERROR(__xludf.DUMMYFUNCTION("""COMPUTED_VALUE"""),91.0)</f>
        <v>91</v>
      </c>
      <c r="H1221" s="35" t="str">
        <f>IFERROR(__xludf.DUMMYFUNCTION("""COMPUTED_VALUE"""),"Algorithms")</f>
        <v>Algorithms</v>
      </c>
      <c r="I1221" s="35">
        <f>IFERROR(__xludf.DUMMYFUNCTION("""COMPUTED_VALUE"""),0.563)</f>
        <v>0.563</v>
      </c>
      <c r="J1221" s="35">
        <f>IFERROR(__xludf.DUMMYFUNCTION("""COMPUTED_VALUE"""),1220.0)</f>
        <v>1220</v>
      </c>
      <c r="K1221" s="35" t="b">
        <f>IFERROR(__xludf.DUMMYFUNCTION("""COMPUTED_VALUE"""),FALSE)</f>
        <v>0</v>
      </c>
      <c r="L1221" s="35" t="str">
        <f>IFERROR(__xludf.DUMMYFUNCTION("""COMPUTED_VALUE"""),"Dynamic Programming;")</f>
        <v>Dynamic Programming;</v>
      </c>
      <c r="M1221" s="35" t="b">
        <f>IFERROR(__xludf.DUMMYFUNCTION("""COMPUTED_VALUE"""),TRUE)</f>
        <v>1</v>
      </c>
      <c r="N1221" s="35" t="b">
        <f>IFERROR(__xludf.DUMMYFUNCTION("""COMPUTED_VALUE"""),FALSE)</f>
        <v>0</v>
      </c>
      <c r="O1221" s="35">
        <f>IFERROR(__xludf.DUMMYFUNCTION("""COMPUTED_VALUE"""),56.3147176797284)</f>
        <v>56.31471768</v>
      </c>
      <c r="P1221" s="35">
        <f>IFERROR(__xludf.DUMMYFUNCTION("""COMPUTED_VALUE"""),45629.0)</f>
        <v>45629</v>
      </c>
      <c r="Q1221" s="35">
        <f>IFERROR(__xludf.DUMMYFUNCTION("""COMPUTED_VALUE"""),81025.0)</f>
        <v>81025</v>
      </c>
    </row>
    <row r="1222">
      <c r="A1222" s="35">
        <f>IFERROR(__xludf.DUMMYFUNCTION("""COMPUTED_VALUE"""),1341.0)</f>
        <v>1341</v>
      </c>
      <c r="B1222" s="35" t="str">
        <f>IFERROR(__xludf.DUMMYFUNCTION("""COMPUTED_VALUE"""),"Split a String in Balanced Strings")</f>
        <v>Split a String in Balanced Strings</v>
      </c>
      <c r="C1222" s="35" t="str">
        <f>IFERROR(__xludf.DUMMYFUNCTION("""COMPUTED_VALUE"""),"split-a-string-in-balanced-strings")</f>
        <v>split-a-string-in-balanced-strings</v>
      </c>
      <c r="D1222" s="35" t="b">
        <f>IFERROR(__xludf.DUMMYFUNCTION("""COMPUTED_VALUE"""),FALSE)</f>
        <v>0</v>
      </c>
      <c r="E1222" s="35" t="str">
        <f>IFERROR(__xludf.DUMMYFUNCTION("""COMPUTED_VALUE"""),"Easy")</f>
        <v>Easy</v>
      </c>
      <c r="F1222" s="35">
        <f>IFERROR(__xludf.DUMMYFUNCTION("""COMPUTED_VALUE"""),1617.0)</f>
        <v>1617</v>
      </c>
      <c r="G1222" s="35">
        <f>IFERROR(__xludf.DUMMYFUNCTION("""COMPUTED_VALUE"""),732.0)</f>
        <v>732</v>
      </c>
      <c r="H1222" s="35" t="str">
        <f>IFERROR(__xludf.DUMMYFUNCTION("""COMPUTED_VALUE"""),"Algorithms")</f>
        <v>Algorithms</v>
      </c>
      <c r="I1222" s="35">
        <f>IFERROR(__xludf.DUMMYFUNCTION("""COMPUTED_VALUE"""),0.847)</f>
        <v>0.847</v>
      </c>
      <c r="J1222" s="35">
        <f>IFERROR(__xludf.DUMMYFUNCTION("""COMPUTED_VALUE"""),1221.0)</f>
        <v>1221</v>
      </c>
      <c r="K1222" s="35" t="b">
        <f>IFERROR(__xludf.DUMMYFUNCTION("""COMPUTED_VALUE"""),FALSE)</f>
        <v>0</v>
      </c>
      <c r="L1222" s="35" t="str">
        <f>IFERROR(__xludf.DUMMYFUNCTION("""COMPUTED_VALUE"""),"String;Greedy;Counting;")</f>
        <v>String;Greedy;Counting;</v>
      </c>
      <c r="M1222" s="35" t="b">
        <f>IFERROR(__xludf.DUMMYFUNCTION("""COMPUTED_VALUE"""),FALSE)</f>
        <v>0</v>
      </c>
      <c r="N1222" s="35" t="b">
        <f>IFERROR(__xludf.DUMMYFUNCTION("""COMPUTED_VALUE"""),FALSE)</f>
        <v>0</v>
      </c>
      <c r="O1222" s="35">
        <f>IFERROR(__xludf.DUMMYFUNCTION("""COMPUTED_VALUE"""),84.6993496704142)</f>
        <v>84.69934967</v>
      </c>
      <c r="P1222" s="35">
        <f>IFERROR(__xludf.DUMMYFUNCTION("""COMPUTED_VALUE"""),191583.0)</f>
        <v>191583</v>
      </c>
      <c r="Q1222" s="35">
        <f>IFERROR(__xludf.DUMMYFUNCTION("""COMPUTED_VALUE"""),226192.0)</f>
        <v>226192</v>
      </c>
    </row>
    <row r="1223">
      <c r="A1223" s="35">
        <f>IFERROR(__xludf.DUMMYFUNCTION("""COMPUTED_VALUE"""),1342.0)</f>
        <v>1342</v>
      </c>
      <c r="B1223" s="35" t="str">
        <f>IFERROR(__xludf.DUMMYFUNCTION("""COMPUTED_VALUE"""),"Queens That Can Attack the King")</f>
        <v>Queens That Can Attack the King</v>
      </c>
      <c r="C1223" s="35" t="str">
        <f>IFERROR(__xludf.DUMMYFUNCTION("""COMPUTED_VALUE"""),"queens-that-can-attack-the-king")</f>
        <v>queens-that-can-attack-the-king</v>
      </c>
      <c r="D1223" s="35" t="b">
        <f>IFERROR(__xludf.DUMMYFUNCTION("""COMPUTED_VALUE"""),FALSE)</f>
        <v>0</v>
      </c>
      <c r="E1223" s="35" t="str">
        <f>IFERROR(__xludf.DUMMYFUNCTION("""COMPUTED_VALUE"""),"Medium")</f>
        <v>Medium</v>
      </c>
      <c r="F1223" s="35">
        <f>IFERROR(__xludf.DUMMYFUNCTION("""COMPUTED_VALUE"""),648.0)</f>
        <v>648</v>
      </c>
      <c r="G1223" s="35">
        <f>IFERROR(__xludf.DUMMYFUNCTION("""COMPUTED_VALUE"""),119.0)</f>
        <v>119</v>
      </c>
      <c r="H1223" s="35" t="str">
        <f>IFERROR(__xludf.DUMMYFUNCTION("""COMPUTED_VALUE"""),"Algorithms")</f>
        <v>Algorithms</v>
      </c>
      <c r="I1223" s="35">
        <f>IFERROR(__xludf.DUMMYFUNCTION("""COMPUTED_VALUE"""),0.71)</f>
        <v>0.71</v>
      </c>
      <c r="J1223" s="35">
        <f>IFERROR(__xludf.DUMMYFUNCTION("""COMPUTED_VALUE"""),1222.0)</f>
        <v>1222</v>
      </c>
      <c r="K1223" s="35" t="b">
        <f>IFERROR(__xludf.DUMMYFUNCTION("""COMPUTED_VALUE"""),FALSE)</f>
        <v>0</v>
      </c>
      <c r="L1223" s="35" t="str">
        <f>IFERROR(__xludf.DUMMYFUNCTION("""COMPUTED_VALUE"""),"Array;Matrix;Simulation;")</f>
        <v>Array;Matrix;Simulation;</v>
      </c>
      <c r="M1223" s="35" t="b">
        <f>IFERROR(__xludf.DUMMYFUNCTION("""COMPUTED_VALUE"""),FALSE)</f>
        <v>0</v>
      </c>
      <c r="N1223" s="35" t="b">
        <f>IFERROR(__xludf.DUMMYFUNCTION("""COMPUTED_VALUE"""),FALSE)</f>
        <v>0</v>
      </c>
      <c r="O1223" s="35">
        <f>IFERROR(__xludf.DUMMYFUNCTION("""COMPUTED_VALUE"""),70.9776244723823)</f>
        <v>70.97762447</v>
      </c>
      <c r="P1223" s="35">
        <f>IFERROR(__xludf.DUMMYFUNCTION("""COMPUTED_VALUE"""),31277.0)</f>
        <v>31277</v>
      </c>
      <c r="Q1223" s="35">
        <f>IFERROR(__xludf.DUMMYFUNCTION("""COMPUTED_VALUE"""),44066.0)</f>
        <v>44066</v>
      </c>
    </row>
    <row r="1224">
      <c r="A1224" s="35">
        <f>IFERROR(__xludf.DUMMYFUNCTION("""COMPUTED_VALUE"""),1343.0)</f>
        <v>1343</v>
      </c>
      <c r="B1224" s="35" t="str">
        <f>IFERROR(__xludf.DUMMYFUNCTION("""COMPUTED_VALUE"""),"Dice Roll Simulation")</f>
        <v>Dice Roll Simulation</v>
      </c>
      <c r="C1224" s="35" t="str">
        <f>IFERROR(__xludf.DUMMYFUNCTION("""COMPUTED_VALUE"""),"dice-roll-simulation")</f>
        <v>dice-roll-simulation</v>
      </c>
      <c r="D1224" s="35" t="b">
        <f>IFERROR(__xludf.DUMMYFUNCTION("""COMPUTED_VALUE"""),FALSE)</f>
        <v>0</v>
      </c>
      <c r="E1224" s="35" t="str">
        <f>IFERROR(__xludf.DUMMYFUNCTION("""COMPUTED_VALUE"""),"Hard")</f>
        <v>Hard</v>
      </c>
      <c r="F1224" s="35">
        <f>IFERROR(__xludf.DUMMYFUNCTION("""COMPUTED_VALUE"""),661.0)</f>
        <v>661</v>
      </c>
      <c r="G1224" s="35">
        <f>IFERROR(__xludf.DUMMYFUNCTION("""COMPUTED_VALUE"""),172.0)</f>
        <v>172</v>
      </c>
      <c r="H1224" s="35" t="str">
        <f>IFERROR(__xludf.DUMMYFUNCTION("""COMPUTED_VALUE"""),"Algorithms")</f>
        <v>Algorithms</v>
      </c>
      <c r="I1224" s="35">
        <f>IFERROR(__xludf.DUMMYFUNCTION("""COMPUTED_VALUE"""),0.477)</f>
        <v>0.477</v>
      </c>
      <c r="J1224" s="35">
        <f>IFERROR(__xludf.DUMMYFUNCTION("""COMPUTED_VALUE"""),1223.0)</f>
        <v>1223</v>
      </c>
      <c r="K1224" s="35" t="b">
        <f>IFERROR(__xludf.DUMMYFUNCTION("""COMPUTED_VALUE"""),FALSE)</f>
        <v>0</v>
      </c>
      <c r="L1224" s="35" t="str">
        <f>IFERROR(__xludf.DUMMYFUNCTION("""COMPUTED_VALUE"""),"Array;Dynamic Programming;")</f>
        <v>Array;Dynamic Programming;</v>
      </c>
      <c r="M1224" s="35" t="b">
        <f>IFERROR(__xludf.DUMMYFUNCTION("""COMPUTED_VALUE"""),FALSE)</f>
        <v>0</v>
      </c>
      <c r="N1224" s="35" t="b">
        <f>IFERROR(__xludf.DUMMYFUNCTION("""COMPUTED_VALUE"""),FALSE)</f>
        <v>0</v>
      </c>
      <c r="O1224" s="35">
        <f>IFERROR(__xludf.DUMMYFUNCTION("""COMPUTED_VALUE"""),47.7145616675276)</f>
        <v>47.71456167</v>
      </c>
      <c r="P1224" s="35">
        <f>IFERROR(__xludf.DUMMYFUNCTION("""COMPUTED_VALUE"""),21243.0)</f>
        <v>21243</v>
      </c>
      <c r="Q1224" s="35">
        <f>IFERROR(__xludf.DUMMYFUNCTION("""COMPUTED_VALUE"""),44521.0)</f>
        <v>44521</v>
      </c>
    </row>
    <row r="1225">
      <c r="A1225" s="35">
        <f>IFERROR(__xludf.DUMMYFUNCTION("""COMPUTED_VALUE"""),1344.0)</f>
        <v>1344</v>
      </c>
      <c r="B1225" s="35" t="str">
        <f>IFERROR(__xludf.DUMMYFUNCTION("""COMPUTED_VALUE"""),"Maximum Equal Frequency")</f>
        <v>Maximum Equal Frequency</v>
      </c>
      <c r="C1225" s="35" t="str">
        <f>IFERROR(__xludf.DUMMYFUNCTION("""COMPUTED_VALUE"""),"maximum-equal-frequency")</f>
        <v>maximum-equal-frequency</v>
      </c>
      <c r="D1225" s="35" t="b">
        <f>IFERROR(__xludf.DUMMYFUNCTION("""COMPUTED_VALUE"""),FALSE)</f>
        <v>0</v>
      </c>
      <c r="E1225" s="35" t="str">
        <f>IFERROR(__xludf.DUMMYFUNCTION("""COMPUTED_VALUE"""),"Hard")</f>
        <v>Hard</v>
      </c>
      <c r="F1225" s="35">
        <f>IFERROR(__xludf.DUMMYFUNCTION("""COMPUTED_VALUE"""),349.0)</f>
        <v>349</v>
      </c>
      <c r="G1225" s="35">
        <f>IFERROR(__xludf.DUMMYFUNCTION("""COMPUTED_VALUE"""),38.0)</f>
        <v>38</v>
      </c>
      <c r="H1225" s="35" t="str">
        <f>IFERROR(__xludf.DUMMYFUNCTION("""COMPUTED_VALUE"""),"Algorithms")</f>
        <v>Algorithms</v>
      </c>
      <c r="I1225" s="35">
        <f>IFERROR(__xludf.DUMMYFUNCTION("""COMPUTED_VALUE"""),0.366)</f>
        <v>0.366</v>
      </c>
      <c r="J1225" s="35">
        <f>IFERROR(__xludf.DUMMYFUNCTION("""COMPUTED_VALUE"""),1224.0)</f>
        <v>1224</v>
      </c>
      <c r="K1225" s="35" t="b">
        <f>IFERROR(__xludf.DUMMYFUNCTION("""COMPUTED_VALUE"""),FALSE)</f>
        <v>0</v>
      </c>
      <c r="L1225" s="35" t="str">
        <f>IFERROR(__xludf.DUMMYFUNCTION("""COMPUTED_VALUE"""),"Array;Hash Table;")</f>
        <v>Array;Hash Table;</v>
      </c>
      <c r="M1225" s="35" t="b">
        <f>IFERROR(__xludf.DUMMYFUNCTION("""COMPUTED_VALUE"""),FALSE)</f>
        <v>0</v>
      </c>
      <c r="N1225" s="35" t="b">
        <f>IFERROR(__xludf.DUMMYFUNCTION("""COMPUTED_VALUE"""),FALSE)</f>
        <v>0</v>
      </c>
      <c r="O1225" s="35">
        <f>IFERROR(__xludf.DUMMYFUNCTION("""COMPUTED_VALUE"""),36.5905898876404)</f>
        <v>36.59058989</v>
      </c>
      <c r="P1225" s="35">
        <f>IFERROR(__xludf.DUMMYFUNCTION("""COMPUTED_VALUE"""),10421.0)</f>
        <v>10421</v>
      </c>
      <c r="Q1225" s="35">
        <f>IFERROR(__xludf.DUMMYFUNCTION("""COMPUTED_VALUE"""),28480.0)</f>
        <v>28480</v>
      </c>
    </row>
    <row r="1226">
      <c r="A1226" s="35">
        <f>IFERROR(__xludf.DUMMYFUNCTION("""COMPUTED_VALUE"""),1357.0)</f>
        <v>1357</v>
      </c>
      <c r="B1226" s="35" t="str">
        <f>IFERROR(__xludf.DUMMYFUNCTION("""COMPUTED_VALUE"""),"Report Contiguous Dates")</f>
        <v>Report Contiguous Dates</v>
      </c>
      <c r="C1226" s="35" t="str">
        <f>IFERROR(__xludf.DUMMYFUNCTION("""COMPUTED_VALUE"""),"report-contiguous-dates")</f>
        <v>report-contiguous-dates</v>
      </c>
      <c r="D1226" s="35" t="b">
        <f>IFERROR(__xludf.DUMMYFUNCTION("""COMPUTED_VALUE"""),TRUE)</f>
        <v>1</v>
      </c>
      <c r="E1226" s="35" t="str">
        <f>IFERROR(__xludf.DUMMYFUNCTION("""COMPUTED_VALUE"""),"Hard")</f>
        <v>Hard</v>
      </c>
      <c r="F1226" s="35">
        <f>IFERROR(__xludf.DUMMYFUNCTION("""COMPUTED_VALUE"""),214.0)</f>
        <v>214</v>
      </c>
      <c r="G1226" s="35">
        <f>IFERROR(__xludf.DUMMYFUNCTION("""COMPUTED_VALUE"""),17.0)</f>
        <v>17</v>
      </c>
      <c r="H1226" s="35" t="str">
        <f>IFERROR(__xludf.DUMMYFUNCTION("""COMPUTED_VALUE"""),"Database")</f>
        <v>Database</v>
      </c>
      <c r="I1226" s="35">
        <f>IFERROR(__xludf.DUMMYFUNCTION("""COMPUTED_VALUE"""),0.632)</f>
        <v>0.632</v>
      </c>
      <c r="J1226" s="35">
        <f>IFERROR(__xludf.DUMMYFUNCTION("""COMPUTED_VALUE"""),1225.0)</f>
        <v>1225</v>
      </c>
      <c r="K1226" s="35" t="b">
        <f>IFERROR(__xludf.DUMMYFUNCTION("""COMPUTED_VALUE"""),TRUE)</f>
        <v>1</v>
      </c>
      <c r="L1226" s="35" t="str">
        <f>IFERROR(__xludf.DUMMYFUNCTION("""COMPUTED_VALUE"""),"Database;")</f>
        <v>Database;</v>
      </c>
      <c r="M1226" s="35" t="b">
        <f>IFERROR(__xludf.DUMMYFUNCTION("""COMPUTED_VALUE"""),FALSE)</f>
        <v>0</v>
      </c>
      <c r="N1226" s="35" t="b">
        <f>IFERROR(__xludf.DUMMYFUNCTION("""COMPUTED_VALUE"""),FALSE)</f>
        <v>0</v>
      </c>
      <c r="O1226" s="35">
        <f>IFERROR(__xludf.DUMMYFUNCTION("""COMPUTED_VALUE"""),63.1522948203317)</f>
        <v>63.15229482</v>
      </c>
      <c r="P1226" s="35">
        <f>IFERROR(__xludf.DUMMYFUNCTION("""COMPUTED_VALUE"""),13058.0)</f>
        <v>13058</v>
      </c>
      <c r="Q1226" s="35">
        <f>IFERROR(__xludf.DUMMYFUNCTION("""COMPUTED_VALUE"""),20677.0)</f>
        <v>20677</v>
      </c>
    </row>
    <row r="1227">
      <c r="A1227" s="35">
        <f>IFERROR(__xludf.DUMMYFUNCTION("""COMPUTED_VALUE"""),1340.0)</f>
        <v>1340</v>
      </c>
      <c r="B1227" s="35" t="str">
        <f>IFERROR(__xludf.DUMMYFUNCTION("""COMPUTED_VALUE"""),"The Dining Philosophers")</f>
        <v>The Dining Philosophers</v>
      </c>
      <c r="C1227" s="35" t="str">
        <f>IFERROR(__xludf.DUMMYFUNCTION("""COMPUTED_VALUE"""),"the-dining-philosophers")</f>
        <v>the-dining-philosophers</v>
      </c>
      <c r="D1227" s="35" t="b">
        <f>IFERROR(__xludf.DUMMYFUNCTION("""COMPUTED_VALUE"""),FALSE)</f>
        <v>0</v>
      </c>
      <c r="E1227" s="35" t="str">
        <f>IFERROR(__xludf.DUMMYFUNCTION("""COMPUTED_VALUE"""),"Medium")</f>
        <v>Medium</v>
      </c>
      <c r="F1227" s="35">
        <f>IFERROR(__xludf.DUMMYFUNCTION("""COMPUTED_VALUE"""),172.0)</f>
        <v>172</v>
      </c>
      <c r="G1227" s="35">
        <f>IFERROR(__xludf.DUMMYFUNCTION("""COMPUTED_VALUE"""),194.0)</f>
        <v>194</v>
      </c>
      <c r="H1227" s="35" t="str">
        <f>IFERROR(__xludf.DUMMYFUNCTION("""COMPUTED_VALUE"""),"Concurrency")</f>
        <v>Concurrency</v>
      </c>
      <c r="I1227" s="35">
        <f>IFERROR(__xludf.DUMMYFUNCTION("""COMPUTED_VALUE"""),0.586)</f>
        <v>0.586</v>
      </c>
      <c r="J1227" s="35">
        <f>IFERROR(__xludf.DUMMYFUNCTION("""COMPUTED_VALUE"""),1226.0)</f>
        <v>1226</v>
      </c>
      <c r="K1227" s="35" t="b">
        <f>IFERROR(__xludf.DUMMYFUNCTION("""COMPUTED_VALUE"""),FALSE)</f>
        <v>0</v>
      </c>
      <c r="L1227" s="35" t="str">
        <f>IFERROR(__xludf.DUMMYFUNCTION("""COMPUTED_VALUE"""),"Concurrency;")</f>
        <v>Concurrency;</v>
      </c>
      <c r="M1227" s="35" t="b">
        <f>IFERROR(__xludf.DUMMYFUNCTION("""COMPUTED_VALUE"""),FALSE)</f>
        <v>0</v>
      </c>
      <c r="N1227" s="35" t="b">
        <f>IFERROR(__xludf.DUMMYFUNCTION("""COMPUTED_VALUE"""),FALSE)</f>
        <v>0</v>
      </c>
      <c r="O1227" s="35">
        <f>IFERROR(__xludf.DUMMYFUNCTION("""COMPUTED_VALUE"""),58.6369244756153)</f>
        <v>58.63692448</v>
      </c>
      <c r="P1227" s="35">
        <f>IFERROR(__xludf.DUMMYFUNCTION("""COMPUTED_VALUE"""),18058.0)</f>
        <v>18058</v>
      </c>
      <c r="Q1227" s="35">
        <f>IFERROR(__xludf.DUMMYFUNCTION("""COMPUTED_VALUE"""),30790.0)</f>
        <v>30790</v>
      </c>
    </row>
    <row r="1228">
      <c r="A1228" s="35">
        <f>IFERROR(__xludf.DUMMYFUNCTION("""COMPUTED_VALUE"""),1362.0)</f>
        <v>1362</v>
      </c>
      <c r="B1228" s="35" t="str">
        <f>IFERROR(__xludf.DUMMYFUNCTION("""COMPUTED_VALUE"""),"Airplane Seat Assignment Probability")</f>
        <v>Airplane Seat Assignment Probability</v>
      </c>
      <c r="C1228" s="35" t="str">
        <f>IFERROR(__xludf.DUMMYFUNCTION("""COMPUTED_VALUE"""),"airplane-seat-assignment-probability")</f>
        <v>airplane-seat-assignment-probability</v>
      </c>
      <c r="D1228" s="35" t="b">
        <f>IFERROR(__xludf.DUMMYFUNCTION("""COMPUTED_VALUE"""),FALSE)</f>
        <v>0</v>
      </c>
      <c r="E1228" s="35" t="str">
        <f>IFERROR(__xludf.DUMMYFUNCTION("""COMPUTED_VALUE"""),"Medium")</f>
        <v>Medium</v>
      </c>
      <c r="F1228" s="35">
        <f>IFERROR(__xludf.DUMMYFUNCTION("""COMPUTED_VALUE"""),347.0)</f>
        <v>347</v>
      </c>
      <c r="G1228" s="35">
        <f>IFERROR(__xludf.DUMMYFUNCTION("""COMPUTED_VALUE"""),633.0)</f>
        <v>633</v>
      </c>
      <c r="H1228" s="35" t="str">
        <f>IFERROR(__xludf.DUMMYFUNCTION("""COMPUTED_VALUE"""),"Algorithms")</f>
        <v>Algorithms</v>
      </c>
      <c r="I1228" s="35">
        <f>IFERROR(__xludf.DUMMYFUNCTION("""COMPUTED_VALUE"""),0.639)</f>
        <v>0.639</v>
      </c>
      <c r="J1228" s="35">
        <f>IFERROR(__xludf.DUMMYFUNCTION("""COMPUTED_VALUE"""),1227.0)</f>
        <v>1227</v>
      </c>
      <c r="K1228" s="35" t="b">
        <f>IFERROR(__xludf.DUMMYFUNCTION("""COMPUTED_VALUE"""),FALSE)</f>
        <v>0</v>
      </c>
      <c r="L1228" s="35" t="str">
        <f>IFERROR(__xludf.DUMMYFUNCTION("""COMPUTED_VALUE"""),"Math;Dynamic Programming;Brainteaser;Probability and Statistics;")</f>
        <v>Math;Dynamic Programming;Brainteaser;Probability and Statistics;</v>
      </c>
      <c r="M1228" s="35" t="b">
        <f>IFERROR(__xludf.DUMMYFUNCTION("""COMPUTED_VALUE"""),FALSE)</f>
        <v>0</v>
      </c>
      <c r="N1228" s="35" t="b">
        <f>IFERROR(__xludf.DUMMYFUNCTION("""COMPUTED_VALUE"""),FALSE)</f>
        <v>0</v>
      </c>
      <c r="O1228" s="35">
        <f>IFERROR(__xludf.DUMMYFUNCTION("""COMPUTED_VALUE"""),63.9283066821984)</f>
        <v>63.92830668</v>
      </c>
      <c r="P1228" s="35">
        <f>IFERROR(__xludf.DUMMYFUNCTION("""COMPUTED_VALUE"""),24147.0)</f>
        <v>24147</v>
      </c>
      <c r="Q1228" s="35">
        <f>IFERROR(__xludf.DUMMYFUNCTION("""COMPUTED_VALUE"""),37772.0)</f>
        <v>37772</v>
      </c>
    </row>
    <row r="1229">
      <c r="A1229" s="35">
        <f>IFERROR(__xludf.DUMMYFUNCTION("""COMPUTED_VALUE"""),1164.0)</f>
        <v>1164</v>
      </c>
      <c r="B1229" s="35" t="str">
        <f>IFERROR(__xludf.DUMMYFUNCTION("""COMPUTED_VALUE"""),"Missing Number In Arithmetic Progression")</f>
        <v>Missing Number In Arithmetic Progression</v>
      </c>
      <c r="C1229" s="35" t="str">
        <f>IFERROR(__xludf.DUMMYFUNCTION("""COMPUTED_VALUE"""),"missing-number-in-arithmetic-progression")</f>
        <v>missing-number-in-arithmetic-progression</v>
      </c>
      <c r="D1229" s="35" t="b">
        <f>IFERROR(__xludf.DUMMYFUNCTION("""COMPUTED_VALUE"""),TRUE)</f>
        <v>1</v>
      </c>
      <c r="E1229" s="35" t="str">
        <f>IFERROR(__xludf.DUMMYFUNCTION("""COMPUTED_VALUE"""),"Easy")</f>
        <v>Easy</v>
      </c>
      <c r="F1229" s="35">
        <f>IFERROR(__xludf.DUMMYFUNCTION("""COMPUTED_VALUE"""),238.0)</f>
        <v>238</v>
      </c>
      <c r="G1229" s="35">
        <f>IFERROR(__xludf.DUMMYFUNCTION("""COMPUTED_VALUE"""),30.0)</f>
        <v>30</v>
      </c>
      <c r="H1229" s="35" t="str">
        <f>IFERROR(__xludf.DUMMYFUNCTION("""COMPUTED_VALUE"""),"Algorithms")</f>
        <v>Algorithms</v>
      </c>
      <c r="I1229" s="35">
        <f>IFERROR(__xludf.DUMMYFUNCTION("""COMPUTED_VALUE"""),0.511)</f>
        <v>0.511</v>
      </c>
      <c r="J1229" s="35">
        <f>IFERROR(__xludf.DUMMYFUNCTION("""COMPUTED_VALUE"""),1228.0)</f>
        <v>1228</v>
      </c>
      <c r="K1229" s="35" t="b">
        <f>IFERROR(__xludf.DUMMYFUNCTION("""COMPUTED_VALUE"""),TRUE)</f>
        <v>1</v>
      </c>
      <c r="L1229" s="35" t="str">
        <f>IFERROR(__xludf.DUMMYFUNCTION("""COMPUTED_VALUE"""),"Array;Math;")</f>
        <v>Array;Math;</v>
      </c>
      <c r="M1229" s="35" t="b">
        <f>IFERROR(__xludf.DUMMYFUNCTION("""COMPUTED_VALUE"""),TRUE)</f>
        <v>1</v>
      </c>
      <c r="N1229" s="35" t="b">
        <f>IFERROR(__xludf.DUMMYFUNCTION("""COMPUTED_VALUE"""),TRUE)</f>
        <v>1</v>
      </c>
      <c r="O1229" s="35">
        <f>IFERROR(__xludf.DUMMYFUNCTION("""COMPUTED_VALUE"""),51.1218071153895)</f>
        <v>51.12180712</v>
      </c>
      <c r="P1229" s="35">
        <f>IFERROR(__xludf.DUMMYFUNCTION("""COMPUTED_VALUE"""),20071.0)</f>
        <v>20071</v>
      </c>
      <c r="Q1229" s="35">
        <f>IFERROR(__xludf.DUMMYFUNCTION("""COMPUTED_VALUE"""),39264.0)</f>
        <v>39264</v>
      </c>
    </row>
    <row r="1230">
      <c r="A1230" s="35">
        <f>IFERROR(__xludf.DUMMYFUNCTION("""COMPUTED_VALUE"""),1165.0)</f>
        <v>1165</v>
      </c>
      <c r="B1230" s="35" t="str">
        <f>IFERROR(__xludf.DUMMYFUNCTION("""COMPUTED_VALUE"""),"Meeting Scheduler")</f>
        <v>Meeting Scheduler</v>
      </c>
      <c r="C1230" s="35" t="str">
        <f>IFERROR(__xludf.DUMMYFUNCTION("""COMPUTED_VALUE"""),"meeting-scheduler")</f>
        <v>meeting-scheduler</v>
      </c>
      <c r="D1230" s="35" t="b">
        <f>IFERROR(__xludf.DUMMYFUNCTION("""COMPUTED_VALUE"""),TRUE)</f>
        <v>1</v>
      </c>
      <c r="E1230" s="35" t="str">
        <f>IFERROR(__xludf.DUMMYFUNCTION("""COMPUTED_VALUE"""),"Medium")</f>
        <v>Medium</v>
      </c>
      <c r="F1230" s="35">
        <f>IFERROR(__xludf.DUMMYFUNCTION("""COMPUTED_VALUE"""),608.0)</f>
        <v>608</v>
      </c>
      <c r="G1230" s="35">
        <f>IFERROR(__xludf.DUMMYFUNCTION("""COMPUTED_VALUE"""),25.0)</f>
        <v>25</v>
      </c>
      <c r="H1230" s="35" t="str">
        <f>IFERROR(__xludf.DUMMYFUNCTION("""COMPUTED_VALUE"""),"Algorithms")</f>
        <v>Algorithms</v>
      </c>
      <c r="I1230" s="35">
        <f>IFERROR(__xludf.DUMMYFUNCTION("""COMPUTED_VALUE"""),0.546)</f>
        <v>0.546</v>
      </c>
      <c r="J1230" s="35">
        <f>IFERROR(__xludf.DUMMYFUNCTION("""COMPUTED_VALUE"""),1229.0)</f>
        <v>1229</v>
      </c>
      <c r="K1230" s="35" t="b">
        <f>IFERROR(__xludf.DUMMYFUNCTION("""COMPUTED_VALUE"""),TRUE)</f>
        <v>1</v>
      </c>
      <c r="L1230" s="35" t="str">
        <f>IFERROR(__xludf.DUMMYFUNCTION("""COMPUTED_VALUE"""),"Array;Two Pointers;Sorting;")</f>
        <v>Array;Two Pointers;Sorting;</v>
      </c>
      <c r="M1230" s="35" t="b">
        <f>IFERROR(__xludf.DUMMYFUNCTION("""COMPUTED_VALUE"""),TRUE)</f>
        <v>1</v>
      </c>
      <c r="N1230" s="35" t="b">
        <f>IFERROR(__xludf.DUMMYFUNCTION("""COMPUTED_VALUE"""),FALSE)</f>
        <v>0</v>
      </c>
      <c r="O1230" s="35">
        <f>IFERROR(__xludf.DUMMYFUNCTION("""COMPUTED_VALUE"""),54.6156472700437)</f>
        <v>54.61564727</v>
      </c>
      <c r="P1230" s="35">
        <f>IFERROR(__xludf.DUMMYFUNCTION("""COMPUTED_VALUE"""),49584.0)</f>
        <v>49584</v>
      </c>
      <c r="Q1230" s="35">
        <f>IFERROR(__xludf.DUMMYFUNCTION("""COMPUTED_VALUE"""),90788.0)</f>
        <v>90788</v>
      </c>
    </row>
    <row r="1231">
      <c r="A1231" s="35">
        <f>IFERROR(__xludf.DUMMYFUNCTION("""COMPUTED_VALUE"""),1166.0)</f>
        <v>1166</v>
      </c>
      <c r="B1231" s="35" t="str">
        <f>IFERROR(__xludf.DUMMYFUNCTION("""COMPUTED_VALUE"""),"Toss Strange Coins")</f>
        <v>Toss Strange Coins</v>
      </c>
      <c r="C1231" s="35" t="str">
        <f>IFERROR(__xludf.DUMMYFUNCTION("""COMPUTED_VALUE"""),"toss-strange-coins")</f>
        <v>toss-strange-coins</v>
      </c>
      <c r="D1231" s="35" t="b">
        <f>IFERROR(__xludf.DUMMYFUNCTION("""COMPUTED_VALUE"""),TRUE)</f>
        <v>1</v>
      </c>
      <c r="E1231" s="35" t="str">
        <f>IFERROR(__xludf.DUMMYFUNCTION("""COMPUTED_VALUE"""),"Medium")</f>
        <v>Medium</v>
      </c>
      <c r="F1231" s="35">
        <f>IFERROR(__xludf.DUMMYFUNCTION("""COMPUTED_VALUE"""),221.0)</f>
        <v>221</v>
      </c>
      <c r="G1231" s="35">
        <f>IFERROR(__xludf.DUMMYFUNCTION("""COMPUTED_VALUE"""),19.0)</f>
        <v>19</v>
      </c>
      <c r="H1231" s="35" t="str">
        <f>IFERROR(__xludf.DUMMYFUNCTION("""COMPUTED_VALUE"""),"Algorithms")</f>
        <v>Algorithms</v>
      </c>
      <c r="I1231" s="35">
        <f>IFERROR(__xludf.DUMMYFUNCTION("""COMPUTED_VALUE"""),0.523)</f>
        <v>0.523</v>
      </c>
      <c r="J1231" s="35">
        <f>IFERROR(__xludf.DUMMYFUNCTION("""COMPUTED_VALUE"""),1230.0)</f>
        <v>1230</v>
      </c>
      <c r="K1231" s="35" t="b">
        <f>IFERROR(__xludf.DUMMYFUNCTION("""COMPUTED_VALUE"""),TRUE)</f>
        <v>1</v>
      </c>
      <c r="L1231" s="35" t="str">
        <f>IFERROR(__xludf.DUMMYFUNCTION("""COMPUTED_VALUE"""),"Math;Dynamic Programming;Probability and Statistics;")</f>
        <v>Math;Dynamic Programming;Probability and Statistics;</v>
      </c>
      <c r="M1231" s="35" t="b">
        <f>IFERROR(__xludf.DUMMYFUNCTION("""COMPUTED_VALUE"""),FALSE)</f>
        <v>0</v>
      </c>
      <c r="N1231" s="35" t="b">
        <f>IFERROR(__xludf.DUMMYFUNCTION("""COMPUTED_VALUE"""),FALSE)</f>
        <v>0</v>
      </c>
      <c r="O1231" s="35">
        <f>IFERROR(__xludf.DUMMYFUNCTION("""COMPUTED_VALUE"""),52.3204450019087)</f>
        <v>52.320445</v>
      </c>
      <c r="P1231" s="35">
        <f>IFERROR(__xludf.DUMMYFUNCTION("""COMPUTED_VALUE"""),9594.0)</f>
        <v>9594</v>
      </c>
      <c r="Q1231" s="35">
        <f>IFERROR(__xludf.DUMMYFUNCTION("""COMPUTED_VALUE"""),18337.0)</f>
        <v>18337</v>
      </c>
    </row>
    <row r="1232">
      <c r="A1232" s="35">
        <f>IFERROR(__xludf.DUMMYFUNCTION("""COMPUTED_VALUE"""),1192.0)</f>
        <v>1192</v>
      </c>
      <c r="B1232" s="35" t="str">
        <f>IFERROR(__xludf.DUMMYFUNCTION("""COMPUTED_VALUE"""),"Divide Chocolate")</f>
        <v>Divide Chocolate</v>
      </c>
      <c r="C1232" s="35" t="str">
        <f>IFERROR(__xludf.DUMMYFUNCTION("""COMPUTED_VALUE"""),"divide-chocolate")</f>
        <v>divide-chocolate</v>
      </c>
      <c r="D1232" s="35" t="b">
        <f>IFERROR(__xludf.DUMMYFUNCTION("""COMPUTED_VALUE"""),TRUE)</f>
        <v>1</v>
      </c>
      <c r="E1232" s="35" t="str">
        <f>IFERROR(__xludf.DUMMYFUNCTION("""COMPUTED_VALUE"""),"Hard")</f>
        <v>Hard</v>
      </c>
      <c r="F1232" s="35">
        <f>IFERROR(__xludf.DUMMYFUNCTION("""COMPUTED_VALUE"""),689.0)</f>
        <v>689</v>
      </c>
      <c r="G1232" s="35">
        <f>IFERROR(__xludf.DUMMYFUNCTION("""COMPUTED_VALUE"""),45.0)</f>
        <v>45</v>
      </c>
      <c r="H1232" s="35" t="str">
        <f>IFERROR(__xludf.DUMMYFUNCTION("""COMPUTED_VALUE"""),"Algorithms")</f>
        <v>Algorithms</v>
      </c>
      <c r="I1232" s="35">
        <f>IFERROR(__xludf.DUMMYFUNCTION("""COMPUTED_VALUE"""),0.56)</f>
        <v>0.56</v>
      </c>
      <c r="J1232" s="35">
        <f>IFERROR(__xludf.DUMMYFUNCTION("""COMPUTED_VALUE"""),1231.0)</f>
        <v>1231</v>
      </c>
      <c r="K1232" s="35" t="b">
        <f>IFERROR(__xludf.DUMMYFUNCTION("""COMPUTED_VALUE"""),TRUE)</f>
        <v>1</v>
      </c>
      <c r="L1232" s="35" t="str">
        <f>IFERROR(__xludf.DUMMYFUNCTION("""COMPUTED_VALUE"""),"Array;Binary Search;")</f>
        <v>Array;Binary Search;</v>
      </c>
      <c r="M1232" s="35" t="b">
        <f>IFERROR(__xludf.DUMMYFUNCTION("""COMPUTED_VALUE"""),TRUE)</f>
        <v>1</v>
      </c>
      <c r="N1232" s="35" t="b">
        <f>IFERROR(__xludf.DUMMYFUNCTION("""COMPUTED_VALUE"""),FALSE)</f>
        <v>0</v>
      </c>
      <c r="O1232" s="35">
        <f>IFERROR(__xludf.DUMMYFUNCTION("""COMPUTED_VALUE"""),55.9938401321804)</f>
        <v>55.99384013</v>
      </c>
      <c r="P1232" s="35">
        <f>IFERROR(__xludf.DUMMYFUNCTION("""COMPUTED_VALUE"""),34906.0)</f>
        <v>34906</v>
      </c>
      <c r="Q1232" s="35">
        <f>IFERROR(__xludf.DUMMYFUNCTION("""COMPUTED_VALUE"""),62339.0)</f>
        <v>62339</v>
      </c>
    </row>
    <row r="1233">
      <c r="A1233" s="35">
        <f>IFERROR(__xludf.DUMMYFUNCTION("""COMPUTED_VALUE"""),1349.0)</f>
        <v>1349</v>
      </c>
      <c r="B1233" s="35" t="str">
        <f>IFERROR(__xludf.DUMMYFUNCTION("""COMPUTED_VALUE"""),"Check If It Is a Straight Line")</f>
        <v>Check If It Is a Straight Line</v>
      </c>
      <c r="C1233" s="35" t="str">
        <f>IFERROR(__xludf.DUMMYFUNCTION("""COMPUTED_VALUE"""),"check-if-it-is-a-straight-line")</f>
        <v>check-if-it-is-a-straight-line</v>
      </c>
      <c r="D1233" s="35" t="b">
        <f>IFERROR(__xludf.DUMMYFUNCTION("""COMPUTED_VALUE"""),FALSE)</f>
        <v>0</v>
      </c>
      <c r="E1233" s="35" t="str">
        <f>IFERROR(__xludf.DUMMYFUNCTION("""COMPUTED_VALUE"""),"Easy")</f>
        <v>Easy</v>
      </c>
      <c r="F1233" s="35">
        <f>IFERROR(__xludf.DUMMYFUNCTION("""COMPUTED_VALUE"""),801.0)</f>
        <v>801</v>
      </c>
      <c r="G1233" s="35">
        <f>IFERROR(__xludf.DUMMYFUNCTION("""COMPUTED_VALUE"""),119.0)</f>
        <v>119</v>
      </c>
      <c r="H1233" s="35" t="str">
        <f>IFERROR(__xludf.DUMMYFUNCTION("""COMPUTED_VALUE"""),"Algorithms")</f>
        <v>Algorithms</v>
      </c>
      <c r="I1233" s="35">
        <f>IFERROR(__xludf.DUMMYFUNCTION("""COMPUTED_VALUE"""),0.421)</f>
        <v>0.421</v>
      </c>
      <c r="J1233" s="35">
        <f>IFERROR(__xludf.DUMMYFUNCTION("""COMPUTED_VALUE"""),1232.0)</f>
        <v>1232</v>
      </c>
      <c r="K1233" s="35" t="b">
        <f>IFERROR(__xludf.DUMMYFUNCTION("""COMPUTED_VALUE"""),FALSE)</f>
        <v>0</v>
      </c>
      <c r="L1233" s="35" t="str">
        <f>IFERROR(__xludf.DUMMYFUNCTION("""COMPUTED_VALUE"""),"Array;Math;Geometry;")</f>
        <v>Array;Math;Geometry;</v>
      </c>
      <c r="M1233" s="35" t="b">
        <f>IFERROR(__xludf.DUMMYFUNCTION("""COMPUTED_VALUE"""),FALSE)</f>
        <v>0</v>
      </c>
      <c r="N1233" s="35" t="b">
        <f>IFERROR(__xludf.DUMMYFUNCTION("""COMPUTED_VALUE"""),FALSE)</f>
        <v>0</v>
      </c>
      <c r="O1233" s="35">
        <f>IFERROR(__xludf.DUMMYFUNCTION("""COMPUTED_VALUE"""),42.1344853730966)</f>
        <v>42.13448537</v>
      </c>
      <c r="P1233" s="35">
        <f>IFERROR(__xludf.DUMMYFUNCTION("""COMPUTED_VALUE"""),106693.0)</f>
        <v>106693</v>
      </c>
      <c r="Q1233" s="35">
        <f>IFERROR(__xludf.DUMMYFUNCTION("""COMPUTED_VALUE"""),253226.0)</f>
        <v>253226</v>
      </c>
    </row>
    <row r="1234">
      <c r="A1234" s="35">
        <f>IFERROR(__xludf.DUMMYFUNCTION("""COMPUTED_VALUE"""),1350.0)</f>
        <v>1350</v>
      </c>
      <c r="B1234" s="35" t="str">
        <f>IFERROR(__xludf.DUMMYFUNCTION("""COMPUTED_VALUE"""),"Remove Sub-Folders from the Filesystem")</f>
        <v>Remove Sub-Folders from the Filesystem</v>
      </c>
      <c r="C1234" s="35" t="str">
        <f>IFERROR(__xludf.DUMMYFUNCTION("""COMPUTED_VALUE"""),"remove-sub-folders-from-the-filesystem")</f>
        <v>remove-sub-folders-from-the-filesystem</v>
      </c>
      <c r="D1234" s="35" t="b">
        <f>IFERROR(__xludf.DUMMYFUNCTION("""COMPUTED_VALUE"""),FALSE)</f>
        <v>0</v>
      </c>
      <c r="E1234" s="35" t="str">
        <f>IFERROR(__xludf.DUMMYFUNCTION("""COMPUTED_VALUE"""),"Medium")</f>
        <v>Medium</v>
      </c>
      <c r="F1234" s="35">
        <f>IFERROR(__xludf.DUMMYFUNCTION("""COMPUTED_VALUE"""),569.0)</f>
        <v>569</v>
      </c>
      <c r="G1234" s="35">
        <f>IFERROR(__xludf.DUMMYFUNCTION("""COMPUTED_VALUE"""),75.0)</f>
        <v>75</v>
      </c>
      <c r="H1234" s="35" t="str">
        <f>IFERROR(__xludf.DUMMYFUNCTION("""COMPUTED_VALUE"""),"Algorithms")</f>
        <v>Algorithms</v>
      </c>
      <c r="I1234" s="35">
        <f>IFERROR(__xludf.DUMMYFUNCTION("""COMPUTED_VALUE"""),0.65)</f>
        <v>0.65</v>
      </c>
      <c r="J1234" s="35">
        <f>IFERROR(__xludf.DUMMYFUNCTION("""COMPUTED_VALUE"""),1233.0)</f>
        <v>1233</v>
      </c>
      <c r="K1234" s="35" t="b">
        <f>IFERROR(__xludf.DUMMYFUNCTION("""COMPUTED_VALUE"""),FALSE)</f>
        <v>0</v>
      </c>
      <c r="L1234" s="35" t="str">
        <f>IFERROR(__xludf.DUMMYFUNCTION("""COMPUTED_VALUE"""),"Array;String;Trie;")</f>
        <v>Array;String;Trie;</v>
      </c>
      <c r="M1234" s="35" t="b">
        <f>IFERROR(__xludf.DUMMYFUNCTION("""COMPUTED_VALUE"""),FALSE)</f>
        <v>0</v>
      </c>
      <c r="N1234" s="35" t="b">
        <f>IFERROR(__xludf.DUMMYFUNCTION("""COMPUTED_VALUE"""),FALSE)</f>
        <v>0</v>
      </c>
      <c r="O1234" s="35">
        <f>IFERROR(__xludf.DUMMYFUNCTION("""COMPUTED_VALUE"""),64.968758920359)</f>
        <v>64.96875892</v>
      </c>
      <c r="P1234" s="35">
        <f>IFERROR(__xludf.DUMMYFUNCTION("""COMPUTED_VALUE"""),40968.0)</f>
        <v>40968</v>
      </c>
      <c r="Q1234" s="35">
        <f>IFERROR(__xludf.DUMMYFUNCTION("""COMPUTED_VALUE"""),63058.0)</f>
        <v>63058</v>
      </c>
    </row>
    <row r="1235">
      <c r="A1235" s="35">
        <f>IFERROR(__xludf.DUMMYFUNCTION("""COMPUTED_VALUE"""),1351.0)</f>
        <v>1351</v>
      </c>
      <c r="B1235" s="35" t="str">
        <f>IFERROR(__xludf.DUMMYFUNCTION("""COMPUTED_VALUE"""),"Replace the Substring for Balanced String")</f>
        <v>Replace the Substring for Balanced String</v>
      </c>
      <c r="C1235" s="35" t="str">
        <f>IFERROR(__xludf.DUMMYFUNCTION("""COMPUTED_VALUE"""),"replace-the-substring-for-balanced-string")</f>
        <v>replace-the-substring-for-balanced-string</v>
      </c>
      <c r="D1235" s="35" t="b">
        <f>IFERROR(__xludf.DUMMYFUNCTION("""COMPUTED_VALUE"""),FALSE)</f>
        <v>0</v>
      </c>
      <c r="E1235" s="35" t="str">
        <f>IFERROR(__xludf.DUMMYFUNCTION("""COMPUTED_VALUE"""),"Medium")</f>
        <v>Medium</v>
      </c>
      <c r="F1235" s="35">
        <f>IFERROR(__xludf.DUMMYFUNCTION("""COMPUTED_VALUE"""),720.0)</f>
        <v>720</v>
      </c>
      <c r="G1235" s="35">
        <f>IFERROR(__xludf.DUMMYFUNCTION("""COMPUTED_VALUE"""),150.0)</f>
        <v>150</v>
      </c>
      <c r="H1235" s="35" t="str">
        <f>IFERROR(__xludf.DUMMYFUNCTION("""COMPUTED_VALUE"""),"Algorithms")</f>
        <v>Algorithms</v>
      </c>
      <c r="I1235" s="35">
        <f>IFERROR(__xludf.DUMMYFUNCTION("""COMPUTED_VALUE"""),0.361)</f>
        <v>0.361</v>
      </c>
      <c r="J1235" s="35">
        <f>IFERROR(__xludf.DUMMYFUNCTION("""COMPUTED_VALUE"""),1234.0)</f>
        <v>1234</v>
      </c>
      <c r="K1235" s="35" t="b">
        <f>IFERROR(__xludf.DUMMYFUNCTION("""COMPUTED_VALUE"""),FALSE)</f>
        <v>0</v>
      </c>
      <c r="L1235" s="35" t="str">
        <f>IFERROR(__xludf.DUMMYFUNCTION("""COMPUTED_VALUE"""),"String;Sliding Window;")</f>
        <v>String;Sliding Window;</v>
      </c>
      <c r="M1235" s="35" t="b">
        <f>IFERROR(__xludf.DUMMYFUNCTION("""COMPUTED_VALUE"""),FALSE)</f>
        <v>0</v>
      </c>
      <c r="N1235" s="35" t="b">
        <f>IFERROR(__xludf.DUMMYFUNCTION("""COMPUTED_VALUE"""),FALSE)</f>
        <v>0</v>
      </c>
      <c r="O1235" s="35">
        <f>IFERROR(__xludf.DUMMYFUNCTION("""COMPUTED_VALUE"""),36.099653522521)</f>
        <v>36.09965352</v>
      </c>
      <c r="P1235" s="35">
        <f>IFERROR(__xludf.DUMMYFUNCTION("""COMPUTED_VALUE"""),21880.0)</f>
        <v>21880</v>
      </c>
      <c r="Q1235" s="35">
        <f>IFERROR(__xludf.DUMMYFUNCTION("""COMPUTED_VALUE"""),60609.0)</f>
        <v>60609</v>
      </c>
    </row>
    <row r="1236">
      <c r="A1236" s="35">
        <f>IFERROR(__xludf.DUMMYFUNCTION("""COMPUTED_VALUE"""),1352.0)</f>
        <v>1352</v>
      </c>
      <c r="B1236" s="35" t="str">
        <f>IFERROR(__xludf.DUMMYFUNCTION("""COMPUTED_VALUE"""),"Maximum Profit in Job Scheduling")</f>
        <v>Maximum Profit in Job Scheduling</v>
      </c>
      <c r="C1236" s="35" t="str">
        <f>IFERROR(__xludf.DUMMYFUNCTION("""COMPUTED_VALUE"""),"maximum-profit-in-job-scheduling")</f>
        <v>maximum-profit-in-job-scheduling</v>
      </c>
      <c r="D1236" s="35" t="b">
        <f>IFERROR(__xludf.DUMMYFUNCTION("""COMPUTED_VALUE"""),FALSE)</f>
        <v>0</v>
      </c>
      <c r="E1236" s="35" t="str">
        <f>IFERROR(__xludf.DUMMYFUNCTION("""COMPUTED_VALUE"""),"Hard")</f>
        <v>Hard</v>
      </c>
      <c r="F1236" s="35">
        <f>IFERROR(__xludf.DUMMYFUNCTION("""COMPUTED_VALUE"""),3007.0)</f>
        <v>3007</v>
      </c>
      <c r="G1236" s="35">
        <f>IFERROR(__xludf.DUMMYFUNCTION("""COMPUTED_VALUE"""),32.0)</f>
        <v>32</v>
      </c>
      <c r="H1236" s="35" t="str">
        <f>IFERROR(__xludf.DUMMYFUNCTION("""COMPUTED_VALUE"""),"Algorithms")</f>
        <v>Algorithms</v>
      </c>
      <c r="I1236" s="35">
        <f>IFERROR(__xludf.DUMMYFUNCTION("""COMPUTED_VALUE"""),0.508)</f>
        <v>0.508</v>
      </c>
      <c r="J1236" s="35">
        <f>IFERROR(__xludf.DUMMYFUNCTION("""COMPUTED_VALUE"""),1235.0)</f>
        <v>1235</v>
      </c>
      <c r="K1236" s="35" t="b">
        <f>IFERROR(__xludf.DUMMYFUNCTION("""COMPUTED_VALUE"""),FALSE)</f>
        <v>0</v>
      </c>
      <c r="L1236" s="35" t="str">
        <f>IFERROR(__xludf.DUMMYFUNCTION("""COMPUTED_VALUE"""),"Array;Binary Search;Dynamic Programming;Sorting;")</f>
        <v>Array;Binary Search;Dynamic Programming;Sorting;</v>
      </c>
      <c r="M1236" s="35" t="b">
        <f>IFERROR(__xludf.DUMMYFUNCTION("""COMPUTED_VALUE"""),TRUE)</f>
        <v>1</v>
      </c>
      <c r="N1236" s="35" t="b">
        <f>IFERROR(__xludf.DUMMYFUNCTION("""COMPUTED_VALUE"""),FALSE)</f>
        <v>0</v>
      </c>
      <c r="O1236" s="35">
        <f>IFERROR(__xludf.DUMMYFUNCTION("""COMPUTED_VALUE"""),50.8415805822437)</f>
        <v>50.84158058</v>
      </c>
      <c r="P1236" s="35">
        <f>IFERROR(__xludf.DUMMYFUNCTION("""COMPUTED_VALUE"""),105570.0)</f>
        <v>105570</v>
      </c>
      <c r="Q1236" s="35">
        <f>IFERROR(__xludf.DUMMYFUNCTION("""COMPUTED_VALUE"""),207645.0)</f>
        <v>207645</v>
      </c>
    </row>
    <row r="1237">
      <c r="A1237" s="35">
        <f>IFERROR(__xludf.DUMMYFUNCTION("""COMPUTED_VALUE"""),1271.0)</f>
        <v>1271</v>
      </c>
      <c r="B1237" s="35" t="str">
        <f>IFERROR(__xludf.DUMMYFUNCTION("""COMPUTED_VALUE"""),"Web Crawler")</f>
        <v>Web Crawler</v>
      </c>
      <c r="C1237" s="35" t="str">
        <f>IFERROR(__xludf.DUMMYFUNCTION("""COMPUTED_VALUE"""),"web-crawler")</f>
        <v>web-crawler</v>
      </c>
      <c r="D1237" s="35" t="b">
        <f>IFERROR(__xludf.DUMMYFUNCTION("""COMPUTED_VALUE"""),TRUE)</f>
        <v>1</v>
      </c>
      <c r="E1237" s="35" t="str">
        <f>IFERROR(__xludf.DUMMYFUNCTION("""COMPUTED_VALUE"""),"Medium")</f>
        <v>Medium</v>
      </c>
      <c r="F1237" s="35">
        <f>IFERROR(__xludf.DUMMYFUNCTION("""COMPUTED_VALUE"""),178.0)</f>
        <v>178</v>
      </c>
      <c r="G1237" s="35">
        <f>IFERROR(__xludf.DUMMYFUNCTION("""COMPUTED_VALUE"""),195.0)</f>
        <v>195</v>
      </c>
      <c r="H1237" s="35" t="str">
        <f>IFERROR(__xludf.DUMMYFUNCTION("""COMPUTED_VALUE"""),"Algorithms")</f>
        <v>Algorithms</v>
      </c>
      <c r="I1237" s="35">
        <f>IFERROR(__xludf.DUMMYFUNCTION("""COMPUTED_VALUE"""),0.655)</f>
        <v>0.655</v>
      </c>
      <c r="J1237" s="35">
        <f>IFERROR(__xludf.DUMMYFUNCTION("""COMPUTED_VALUE"""),1236.0)</f>
        <v>1236</v>
      </c>
      <c r="K1237" s="35" t="b">
        <f>IFERROR(__xludf.DUMMYFUNCTION("""COMPUTED_VALUE"""),TRUE)</f>
        <v>1</v>
      </c>
      <c r="L1237" s="35" t="str">
        <f>IFERROR(__xludf.DUMMYFUNCTION("""COMPUTED_VALUE"""),"String;Depth-First Search;Breadth-First Search;Interactive;")</f>
        <v>String;Depth-First Search;Breadth-First Search;Interactive;</v>
      </c>
      <c r="M1237" s="35" t="b">
        <f>IFERROR(__xludf.DUMMYFUNCTION("""COMPUTED_VALUE"""),FALSE)</f>
        <v>0</v>
      </c>
      <c r="N1237" s="35" t="b">
        <f>IFERROR(__xludf.DUMMYFUNCTION("""COMPUTED_VALUE"""),FALSE)</f>
        <v>0</v>
      </c>
      <c r="O1237" s="35">
        <f>IFERROR(__xludf.DUMMYFUNCTION("""COMPUTED_VALUE"""),65.5030800821355)</f>
        <v>65.50308008</v>
      </c>
      <c r="P1237" s="35">
        <f>IFERROR(__xludf.DUMMYFUNCTION("""COMPUTED_VALUE"""),21373.0)</f>
        <v>21373</v>
      </c>
      <c r="Q1237" s="35">
        <f>IFERROR(__xludf.DUMMYFUNCTION("""COMPUTED_VALUE"""),32629.0)</f>
        <v>32629</v>
      </c>
    </row>
    <row r="1238">
      <c r="A1238" s="35">
        <f>IFERROR(__xludf.DUMMYFUNCTION("""COMPUTED_VALUE"""),1358.0)</f>
        <v>1358</v>
      </c>
      <c r="B1238" s="35" t="str">
        <f>IFERROR(__xludf.DUMMYFUNCTION("""COMPUTED_VALUE"""),"Find Positive Integer Solution for a Given Equation")</f>
        <v>Find Positive Integer Solution for a Given Equation</v>
      </c>
      <c r="C1238" s="35" t="str">
        <f>IFERROR(__xludf.DUMMYFUNCTION("""COMPUTED_VALUE"""),"find-positive-integer-solution-for-a-given-equation")</f>
        <v>find-positive-integer-solution-for-a-given-equation</v>
      </c>
      <c r="D1238" s="35" t="b">
        <f>IFERROR(__xludf.DUMMYFUNCTION("""COMPUTED_VALUE"""),FALSE)</f>
        <v>0</v>
      </c>
      <c r="E1238" s="35" t="str">
        <f>IFERROR(__xludf.DUMMYFUNCTION("""COMPUTED_VALUE"""),"Medium")</f>
        <v>Medium</v>
      </c>
      <c r="F1238" s="35">
        <f>IFERROR(__xludf.DUMMYFUNCTION("""COMPUTED_VALUE"""),331.0)</f>
        <v>331</v>
      </c>
      <c r="G1238" s="35">
        <f>IFERROR(__xludf.DUMMYFUNCTION("""COMPUTED_VALUE"""),1125.0)</f>
        <v>1125</v>
      </c>
      <c r="H1238" s="35" t="str">
        <f>IFERROR(__xludf.DUMMYFUNCTION("""COMPUTED_VALUE"""),"Algorithms")</f>
        <v>Algorithms</v>
      </c>
      <c r="I1238" s="35">
        <f>IFERROR(__xludf.DUMMYFUNCTION("""COMPUTED_VALUE"""),0.695)</f>
        <v>0.695</v>
      </c>
      <c r="J1238" s="35">
        <f>IFERROR(__xludf.DUMMYFUNCTION("""COMPUTED_VALUE"""),1237.0)</f>
        <v>1237</v>
      </c>
      <c r="K1238" s="35" t="b">
        <f>IFERROR(__xludf.DUMMYFUNCTION("""COMPUTED_VALUE"""),FALSE)</f>
        <v>0</v>
      </c>
      <c r="L1238" s="35" t="str">
        <f>IFERROR(__xludf.DUMMYFUNCTION("""COMPUTED_VALUE"""),"Math;Two Pointers;Binary Search;Interactive;")</f>
        <v>Math;Two Pointers;Binary Search;Interactive;</v>
      </c>
      <c r="M1238" s="35" t="b">
        <f>IFERROR(__xludf.DUMMYFUNCTION("""COMPUTED_VALUE"""),FALSE)</f>
        <v>0</v>
      </c>
      <c r="N1238" s="35" t="b">
        <f>IFERROR(__xludf.DUMMYFUNCTION("""COMPUTED_VALUE"""),FALSE)</f>
        <v>0</v>
      </c>
      <c r="O1238" s="35">
        <f>IFERROR(__xludf.DUMMYFUNCTION("""COMPUTED_VALUE"""),69.4612537453733)</f>
        <v>69.46125375</v>
      </c>
      <c r="P1238" s="35">
        <f>IFERROR(__xludf.DUMMYFUNCTION("""COMPUTED_VALUE"""),47291.0)</f>
        <v>47291</v>
      </c>
      <c r="Q1238" s="35">
        <f>IFERROR(__xludf.DUMMYFUNCTION("""COMPUTED_VALUE"""),68082.0)</f>
        <v>68082</v>
      </c>
    </row>
    <row r="1239">
      <c r="A1239" s="35">
        <f>IFERROR(__xludf.DUMMYFUNCTION("""COMPUTED_VALUE"""),1359.0)</f>
        <v>1359</v>
      </c>
      <c r="B1239" s="35" t="str">
        <f>IFERROR(__xludf.DUMMYFUNCTION("""COMPUTED_VALUE"""),"Circular Permutation in Binary Representation")</f>
        <v>Circular Permutation in Binary Representation</v>
      </c>
      <c r="C1239" s="35" t="str">
        <f>IFERROR(__xludf.DUMMYFUNCTION("""COMPUTED_VALUE"""),"circular-permutation-in-binary-representation")</f>
        <v>circular-permutation-in-binary-representation</v>
      </c>
      <c r="D1239" s="35" t="b">
        <f>IFERROR(__xludf.DUMMYFUNCTION("""COMPUTED_VALUE"""),FALSE)</f>
        <v>0</v>
      </c>
      <c r="E1239" s="35" t="str">
        <f>IFERROR(__xludf.DUMMYFUNCTION("""COMPUTED_VALUE"""),"Medium")</f>
        <v>Medium</v>
      </c>
      <c r="F1239" s="35">
        <f>IFERROR(__xludf.DUMMYFUNCTION("""COMPUTED_VALUE"""),230.0)</f>
        <v>230</v>
      </c>
      <c r="G1239" s="35">
        <f>IFERROR(__xludf.DUMMYFUNCTION("""COMPUTED_VALUE"""),152.0)</f>
        <v>152</v>
      </c>
      <c r="H1239" s="35" t="str">
        <f>IFERROR(__xludf.DUMMYFUNCTION("""COMPUTED_VALUE"""),"Algorithms")</f>
        <v>Algorithms</v>
      </c>
      <c r="I1239" s="35">
        <f>IFERROR(__xludf.DUMMYFUNCTION("""COMPUTED_VALUE"""),0.678)</f>
        <v>0.678</v>
      </c>
      <c r="J1239" s="35">
        <f>IFERROR(__xludf.DUMMYFUNCTION("""COMPUTED_VALUE"""),1238.0)</f>
        <v>1238</v>
      </c>
      <c r="K1239" s="35" t="b">
        <f>IFERROR(__xludf.DUMMYFUNCTION("""COMPUTED_VALUE"""),FALSE)</f>
        <v>0</v>
      </c>
      <c r="L1239" s="35" t="str">
        <f>IFERROR(__xludf.DUMMYFUNCTION("""COMPUTED_VALUE"""),"Math;Backtracking;Bit Manipulation;")</f>
        <v>Math;Backtracking;Bit Manipulation;</v>
      </c>
      <c r="M1239" s="35" t="b">
        <f>IFERROR(__xludf.DUMMYFUNCTION("""COMPUTED_VALUE"""),FALSE)</f>
        <v>0</v>
      </c>
      <c r="N1239" s="35" t="b">
        <f>IFERROR(__xludf.DUMMYFUNCTION("""COMPUTED_VALUE"""),FALSE)</f>
        <v>0</v>
      </c>
      <c r="O1239" s="35">
        <f>IFERROR(__xludf.DUMMYFUNCTION("""COMPUTED_VALUE"""),67.7675489067894)</f>
        <v>67.76754891</v>
      </c>
      <c r="P1239" s="35">
        <f>IFERROR(__xludf.DUMMYFUNCTION("""COMPUTED_VALUE"""),11778.0)</f>
        <v>11778</v>
      </c>
      <c r="Q1239" s="35">
        <f>IFERROR(__xludf.DUMMYFUNCTION("""COMPUTED_VALUE"""),17380.0)</f>
        <v>17380</v>
      </c>
    </row>
    <row r="1240">
      <c r="A1240" s="35">
        <f>IFERROR(__xludf.DUMMYFUNCTION("""COMPUTED_VALUE"""),1360.0)</f>
        <v>1360</v>
      </c>
      <c r="B1240" s="35" t="str">
        <f>IFERROR(__xludf.DUMMYFUNCTION("""COMPUTED_VALUE"""),"Maximum Length of a Concatenated String with Unique Characters")</f>
        <v>Maximum Length of a Concatenated String with Unique Characters</v>
      </c>
      <c r="C1240" s="35" t="str">
        <f>IFERROR(__xludf.DUMMYFUNCTION("""COMPUTED_VALUE"""),"maximum-length-of-a-concatenated-string-with-unique-characters")</f>
        <v>maximum-length-of-a-concatenated-string-with-unique-characters</v>
      </c>
      <c r="D1240" s="35" t="b">
        <f>IFERROR(__xludf.DUMMYFUNCTION("""COMPUTED_VALUE"""),FALSE)</f>
        <v>0</v>
      </c>
      <c r="E1240" s="35" t="str">
        <f>IFERROR(__xludf.DUMMYFUNCTION("""COMPUTED_VALUE"""),"Medium")</f>
        <v>Medium</v>
      </c>
      <c r="F1240" s="35">
        <f>IFERROR(__xludf.DUMMYFUNCTION("""COMPUTED_VALUE"""),1672.0)</f>
        <v>1672</v>
      </c>
      <c r="G1240" s="35">
        <f>IFERROR(__xludf.DUMMYFUNCTION("""COMPUTED_VALUE"""),151.0)</f>
        <v>151</v>
      </c>
      <c r="H1240" s="35" t="str">
        <f>IFERROR(__xludf.DUMMYFUNCTION("""COMPUTED_VALUE"""),"Algorithms")</f>
        <v>Algorithms</v>
      </c>
      <c r="I1240" s="35">
        <f>IFERROR(__xludf.DUMMYFUNCTION("""COMPUTED_VALUE"""),0.506)</f>
        <v>0.506</v>
      </c>
      <c r="J1240" s="35">
        <f>IFERROR(__xludf.DUMMYFUNCTION("""COMPUTED_VALUE"""),1239.0)</f>
        <v>1239</v>
      </c>
      <c r="K1240" s="35" t="b">
        <f>IFERROR(__xludf.DUMMYFUNCTION("""COMPUTED_VALUE"""),FALSE)</f>
        <v>0</v>
      </c>
      <c r="L1240" s="35" t="str">
        <f>IFERROR(__xludf.DUMMYFUNCTION("""COMPUTED_VALUE"""),"Array;String;Backtracking;Bit Manipulation;")</f>
        <v>Array;String;Backtracking;Bit Manipulation;</v>
      </c>
      <c r="M1240" s="35" t="b">
        <f>IFERROR(__xludf.DUMMYFUNCTION("""COMPUTED_VALUE"""),TRUE)</f>
        <v>1</v>
      </c>
      <c r="N1240" s="35" t="b">
        <f>IFERROR(__xludf.DUMMYFUNCTION("""COMPUTED_VALUE"""),FALSE)</f>
        <v>0</v>
      </c>
      <c r="O1240" s="35">
        <f>IFERROR(__xludf.DUMMYFUNCTION("""COMPUTED_VALUE"""),50.6032089240521)</f>
        <v>50.60320892</v>
      </c>
      <c r="P1240" s="35">
        <f>IFERROR(__xludf.DUMMYFUNCTION("""COMPUTED_VALUE"""),102974.0)</f>
        <v>102974</v>
      </c>
      <c r="Q1240" s="35">
        <f>IFERROR(__xludf.DUMMYFUNCTION("""COMPUTED_VALUE"""),203494.0)</f>
        <v>203494</v>
      </c>
    </row>
    <row r="1241">
      <c r="A1241" s="35">
        <f>IFERROR(__xludf.DUMMYFUNCTION("""COMPUTED_VALUE"""),1361.0)</f>
        <v>1361</v>
      </c>
      <c r="B1241" s="35" t="str">
        <f>IFERROR(__xludf.DUMMYFUNCTION("""COMPUTED_VALUE"""),"Tiling a Rectangle with the Fewest Squares")</f>
        <v>Tiling a Rectangle with the Fewest Squares</v>
      </c>
      <c r="C1241" s="35" t="str">
        <f>IFERROR(__xludf.DUMMYFUNCTION("""COMPUTED_VALUE"""),"tiling-a-rectangle-with-the-fewest-squares")</f>
        <v>tiling-a-rectangle-with-the-fewest-squares</v>
      </c>
      <c r="D1241" s="35" t="b">
        <f>IFERROR(__xludf.DUMMYFUNCTION("""COMPUTED_VALUE"""),FALSE)</f>
        <v>0</v>
      </c>
      <c r="E1241" s="35" t="str">
        <f>IFERROR(__xludf.DUMMYFUNCTION("""COMPUTED_VALUE"""),"Hard")</f>
        <v>Hard</v>
      </c>
      <c r="F1241" s="35">
        <f>IFERROR(__xludf.DUMMYFUNCTION("""COMPUTED_VALUE"""),437.0)</f>
        <v>437</v>
      </c>
      <c r="G1241" s="35">
        <f>IFERROR(__xludf.DUMMYFUNCTION("""COMPUTED_VALUE"""),404.0)</f>
        <v>404</v>
      </c>
      <c r="H1241" s="35" t="str">
        <f>IFERROR(__xludf.DUMMYFUNCTION("""COMPUTED_VALUE"""),"Algorithms")</f>
        <v>Algorithms</v>
      </c>
      <c r="I1241" s="35">
        <f>IFERROR(__xludf.DUMMYFUNCTION("""COMPUTED_VALUE"""),0.528)</f>
        <v>0.528</v>
      </c>
      <c r="J1241" s="35">
        <f>IFERROR(__xludf.DUMMYFUNCTION("""COMPUTED_VALUE"""),1240.0)</f>
        <v>1240</v>
      </c>
      <c r="K1241" s="35" t="b">
        <f>IFERROR(__xludf.DUMMYFUNCTION("""COMPUTED_VALUE"""),FALSE)</f>
        <v>0</v>
      </c>
      <c r="L1241" s="35" t="str">
        <f>IFERROR(__xludf.DUMMYFUNCTION("""COMPUTED_VALUE"""),"Dynamic Programming;Backtracking;")</f>
        <v>Dynamic Programming;Backtracking;</v>
      </c>
      <c r="M1241" s="35" t="b">
        <f>IFERROR(__xludf.DUMMYFUNCTION("""COMPUTED_VALUE"""),FALSE)</f>
        <v>0</v>
      </c>
      <c r="N1241" s="35" t="b">
        <f>IFERROR(__xludf.DUMMYFUNCTION("""COMPUTED_VALUE"""),FALSE)</f>
        <v>0</v>
      </c>
      <c r="O1241" s="35">
        <f>IFERROR(__xludf.DUMMYFUNCTION("""COMPUTED_VALUE"""),52.8340788370142)</f>
        <v>52.83407884</v>
      </c>
      <c r="P1241" s="35">
        <f>IFERROR(__xludf.DUMMYFUNCTION("""COMPUTED_VALUE"""),15118.0)</f>
        <v>15118</v>
      </c>
      <c r="Q1241" s="35">
        <f>IFERROR(__xludf.DUMMYFUNCTION("""COMPUTED_VALUE"""),28615.0)</f>
        <v>28615</v>
      </c>
    </row>
    <row r="1242">
      <c r="A1242" s="35">
        <f>IFERROR(__xludf.DUMMYFUNCTION("""COMPUTED_VALUE"""),1377.0)</f>
        <v>1377</v>
      </c>
      <c r="B1242" s="35" t="str">
        <f>IFERROR(__xludf.DUMMYFUNCTION("""COMPUTED_VALUE"""),"Number of Comments per Post")</f>
        <v>Number of Comments per Post</v>
      </c>
      <c r="C1242" s="35" t="str">
        <f>IFERROR(__xludf.DUMMYFUNCTION("""COMPUTED_VALUE"""),"number-of-comments-per-post")</f>
        <v>number-of-comments-per-post</v>
      </c>
      <c r="D1242" s="35" t="b">
        <f>IFERROR(__xludf.DUMMYFUNCTION("""COMPUTED_VALUE"""),TRUE)</f>
        <v>1</v>
      </c>
      <c r="E1242" s="35" t="str">
        <f>IFERROR(__xludf.DUMMYFUNCTION("""COMPUTED_VALUE"""),"Easy")</f>
        <v>Easy</v>
      </c>
      <c r="F1242" s="35">
        <f>IFERROR(__xludf.DUMMYFUNCTION("""COMPUTED_VALUE"""),120.0)</f>
        <v>120</v>
      </c>
      <c r="G1242" s="35">
        <f>IFERROR(__xludf.DUMMYFUNCTION("""COMPUTED_VALUE"""),372.0)</f>
        <v>372</v>
      </c>
      <c r="H1242" s="35" t="str">
        <f>IFERROR(__xludf.DUMMYFUNCTION("""COMPUTED_VALUE"""),"Database")</f>
        <v>Database</v>
      </c>
      <c r="I1242" s="35">
        <f>IFERROR(__xludf.DUMMYFUNCTION("""COMPUTED_VALUE"""),0.678)</f>
        <v>0.678</v>
      </c>
      <c r="J1242" s="35">
        <f>IFERROR(__xludf.DUMMYFUNCTION("""COMPUTED_VALUE"""),1241.0)</f>
        <v>1241</v>
      </c>
      <c r="K1242" s="35" t="b">
        <f>IFERROR(__xludf.DUMMYFUNCTION("""COMPUTED_VALUE"""),TRUE)</f>
        <v>1</v>
      </c>
      <c r="L1242" s="35" t="str">
        <f>IFERROR(__xludf.DUMMYFUNCTION("""COMPUTED_VALUE"""),"Database;")</f>
        <v>Database;</v>
      </c>
      <c r="M1242" s="35" t="b">
        <f>IFERROR(__xludf.DUMMYFUNCTION("""COMPUTED_VALUE"""),FALSE)</f>
        <v>0</v>
      </c>
      <c r="N1242" s="35" t="b">
        <f>IFERROR(__xludf.DUMMYFUNCTION("""COMPUTED_VALUE"""),FALSE)</f>
        <v>0</v>
      </c>
      <c r="O1242" s="35">
        <f>IFERROR(__xludf.DUMMYFUNCTION("""COMPUTED_VALUE"""),67.8359683794466)</f>
        <v>67.83596838</v>
      </c>
      <c r="P1242" s="35">
        <f>IFERROR(__xludf.DUMMYFUNCTION("""COMPUTED_VALUE"""),24714.0)</f>
        <v>24714</v>
      </c>
      <c r="Q1242" s="35">
        <f>IFERROR(__xludf.DUMMYFUNCTION("""COMPUTED_VALUE"""),36432.0)</f>
        <v>36432</v>
      </c>
    </row>
    <row r="1243">
      <c r="A1243" s="35">
        <f>IFERROR(__xludf.DUMMYFUNCTION("""COMPUTED_VALUE"""),1368.0)</f>
        <v>1368</v>
      </c>
      <c r="B1243" s="35" t="str">
        <f>IFERROR(__xludf.DUMMYFUNCTION("""COMPUTED_VALUE"""),"Web Crawler Multithreaded")</f>
        <v>Web Crawler Multithreaded</v>
      </c>
      <c r="C1243" s="35" t="str">
        <f>IFERROR(__xludf.DUMMYFUNCTION("""COMPUTED_VALUE"""),"web-crawler-multithreaded")</f>
        <v>web-crawler-multithreaded</v>
      </c>
      <c r="D1243" s="35" t="b">
        <f>IFERROR(__xludf.DUMMYFUNCTION("""COMPUTED_VALUE"""),TRUE)</f>
        <v>1</v>
      </c>
      <c r="E1243" s="35" t="str">
        <f>IFERROR(__xludf.DUMMYFUNCTION("""COMPUTED_VALUE"""),"Medium")</f>
        <v>Medium</v>
      </c>
      <c r="F1243" s="35">
        <f>IFERROR(__xludf.DUMMYFUNCTION("""COMPUTED_VALUE"""),378.0)</f>
        <v>378</v>
      </c>
      <c r="G1243" s="35">
        <f>IFERROR(__xludf.DUMMYFUNCTION("""COMPUTED_VALUE"""),69.0)</f>
        <v>69</v>
      </c>
      <c r="H1243" s="35" t="str">
        <f>IFERROR(__xludf.DUMMYFUNCTION("""COMPUTED_VALUE"""),"Concurrency")</f>
        <v>Concurrency</v>
      </c>
      <c r="I1243" s="35">
        <f>IFERROR(__xludf.DUMMYFUNCTION("""COMPUTED_VALUE"""),0.485)</f>
        <v>0.485</v>
      </c>
      <c r="J1243" s="35">
        <f>IFERROR(__xludf.DUMMYFUNCTION("""COMPUTED_VALUE"""),1242.0)</f>
        <v>1242</v>
      </c>
      <c r="K1243" s="35" t="b">
        <f>IFERROR(__xludf.DUMMYFUNCTION("""COMPUTED_VALUE"""),TRUE)</f>
        <v>1</v>
      </c>
      <c r="L1243" s="35" t="str">
        <f>IFERROR(__xludf.DUMMYFUNCTION("""COMPUTED_VALUE"""),"Depth-First Search;Breadth-First Search;Concurrency;")</f>
        <v>Depth-First Search;Breadth-First Search;Concurrency;</v>
      </c>
      <c r="M1243" s="35" t="b">
        <f>IFERROR(__xludf.DUMMYFUNCTION("""COMPUTED_VALUE"""),FALSE)</f>
        <v>0</v>
      </c>
      <c r="N1243" s="35" t="b">
        <f>IFERROR(__xludf.DUMMYFUNCTION("""COMPUTED_VALUE"""),FALSE)</f>
        <v>0</v>
      </c>
      <c r="O1243" s="35">
        <f>IFERROR(__xludf.DUMMYFUNCTION("""COMPUTED_VALUE"""),48.5107850514171)</f>
        <v>48.51078505</v>
      </c>
      <c r="P1243" s="35">
        <f>IFERROR(__xludf.DUMMYFUNCTION("""COMPUTED_VALUE"""),30946.0)</f>
        <v>30946</v>
      </c>
      <c r="Q1243" s="35">
        <f>IFERROR(__xludf.DUMMYFUNCTION("""COMPUTED_VALUE"""),63792.0)</f>
        <v>63792</v>
      </c>
    </row>
    <row r="1244">
      <c r="A1244" s="35">
        <f>IFERROR(__xludf.DUMMYFUNCTION("""COMPUTED_VALUE"""),1175.0)</f>
        <v>1175</v>
      </c>
      <c r="B1244" s="35" t="str">
        <f>IFERROR(__xludf.DUMMYFUNCTION("""COMPUTED_VALUE"""),"Array Transformation")</f>
        <v>Array Transformation</v>
      </c>
      <c r="C1244" s="35" t="str">
        <f>IFERROR(__xludf.DUMMYFUNCTION("""COMPUTED_VALUE"""),"array-transformation")</f>
        <v>array-transformation</v>
      </c>
      <c r="D1244" s="35" t="b">
        <f>IFERROR(__xludf.DUMMYFUNCTION("""COMPUTED_VALUE"""),TRUE)</f>
        <v>1</v>
      </c>
      <c r="E1244" s="35" t="str">
        <f>IFERROR(__xludf.DUMMYFUNCTION("""COMPUTED_VALUE"""),"Easy")</f>
        <v>Easy</v>
      </c>
      <c r="F1244" s="35">
        <f>IFERROR(__xludf.DUMMYFUNCTION("""COMPUTED_VALUE"""),110.0)</f>
        <v>110</v>
      </c>
      <c r="G1244" s="35">
        <f>IFERROR(__xludf.DUMMYFUNCTION("""COMPUTED_VALUE"""),49.0)</f>
        <v>49</v>
      </c>
      <c r="H1244" s="35" t="str">
        <f>IFERROR(__xludf.DUMMYFUNCTION("""COMPUTED_VALUE"""),"Algorithms")</f>
        <v>Algorithms</v>
      </c>
      <c r="I1244" s="35">
        <f>IFERROR(__xludf.DUMMYFUNCTION("""COMPUTED_VALUE"""),0.503)</f>
        <v>0.503</v>
      </c>
      <c r="J1244" s="35">
        <f>IFERROR(__xludf.DUMMYFUNCTION("""COMPUTED_VALUE"""),1243.0)</f>
        <v>1243</v>
      </c>
      <c r="K1244" s="35" t="b">
        <f>IFERROR(__xludf.DUMMYFUNCTION("""COMPUTED_VALUE"""),TRUE)</f>
        <v>1</v>
      </c>
      <c r="L1244" s="35" t="str">
        <f>IFERROR(__xludf.DUMMYFUNCTION("""COMPUTED_VALUE"""),"Array;Simulation;")</f>
        <v>Array;Simulation;</v>
      </c>
      <c r="M1244" s="35" t="b">
        <f>IFERROR(__xludf.DUMMYFUNCTION("""COMPUTED_VALUE"""),FALSE)</f>
        <v>0</v>
      </c>
      <c r="N1244" s="35" t="b">
        <f>IFERROR(__xludf.DUMMYFUNCTION("""COMPUTED_VALUE"""),FALSE)</f>
        <v>0</v>
      </c>
      <c r="O1244" s="35">
        <f>IFERROR(__xludf.DUMMYFUNCTION("""COMPUTED_VALUE"""),50.2981499413893)</f>
        <v>50.29814994</v>
      </c>
      <c r="P1244" s="35">
        <f>IFERROR(__xludf.DUMMYFUNCTION("""COMPUTED_VALUE"""),9869.0)</f>
        <v>9869</v>
      </c>
      <c r="Q1244" s="35">
        <f>IFERROR(__xludf.DUMMYFUNCTION("""COMPUTED_VALUE"""),19621.0)</f>
        <v>19621</v>
      </c>
    </row>
    <row r="1245">
      <c r="A1245" s="35">
        <f>IFERROR(__xludf.DUMMYFUNCTION("""COMPUTED_VALUE"""),1176.0)</f>
        <v>1176</v>
      </c>
      <c r="B1245" s="35" t="str">
        <f>IFERROR(__xludf.DUMMYFUNCTION("""COMPUTED_VALUE"""),"Design A Leaderboard")</f>
        <v>Design A Leaderboard</v>
      </c>
      <c r="C1245" s="35" t="str">
        <f>IFERROR(__xludf.DUMMYFUNCTION("""COMPUTED_VALUE"""),"design-a-leaderboard")</f>
        <v>design-a-leaderboard</v>
      </c>
      <c r="D1245" s="35" t="b">
        <f>IFERROR(__xludf.DUMMYFUNCTION("""COMPUTED_VALUE"""),TRUE)</f>
        <v>1</v>
      </c>
      <c r="E1245" s="35" t="str">
        <f>IFERROR(__xludf.DUMMYFUNCTION("""COMPUTED_VALUE"""),"Medium")</f>
        <v>Medium</v>
      </c>
      <c r="F1245" s="35">
        <f>IFERROR(__xludf.DUMMYFUNCTION("""COMPUTED_VALUE"""),452.0)</f>
        <v>452</v>
      </c>
      <c r="G1245" s="35">
        <f>IFERROR(__xludf.DUMMYFUNCTION("""COMPUTED_VALUE"""),73.0)</f>
        <v>73</v>
      </c>
      <c r="H1245" s="35" t="str">
        <f>IFERROR(__xludf.DUMMYFUNCTION("""COMPUTED_VALUE"""),"Algorithms")</f>
        <v>Algorithms</v>
      </c>
      <c r="I1245" s="35">
        <f>IFERROR(__xludf.DUMMYFUNCTION("""COMPUTED_VALUE"""),0.68)</f>
        <v>0.68</v>
      </c>
      <c r="J1245" s="35">
        <f>IFERROR(__xludf.DUMMYFUNCTION("""COMPUTED_VALUE"""),1244.0)</f>
        <v>1244</v>
      </c>
      <c r="K1245" s="35" t="b">
        <f>IFERROR(__xludf.DUMMYFUNCTION("""COMPUTED_VALUE"""),TRUE)</f>
        <v>1</v>
      </c>
      <c r="L1245" s="35" t="str">
        <f>IFERROR(__xludf.DUMMYFUNCTION("""COMPUTED_VALUE"""),"Hash Table;Design;Sorting;")</f>
        <v>Hash Table;Design;Sorting;</v>
      </c>
      <c r="M1245" s="35" t="b">
        <f>IFERROR(__xludf.DUMMYFUNCTION("""COMPUTED_VALUE"""),TRUE)</f>
        <v>1</v>
      </c>
      <c r="N1245" s="35" t="b">
        <f>IFERROR(__xludf.DUMMYFUNCTION("""COMPUTED_VALUE"""),FALSE)</f>
        <v>0</v>
      </c>
      <c r="O1245" s="35">
        <f>IFERROR(__xludf.DUMMYFUNCTION("""COMPUTED_VALUE"""),68.001740612478)</f>
        <v>68.00174061</v>
      </c>
      <c r="P1245" s="35">
        <f>IFERROR(__xludf.DUMMYFUNCTION("""COMPUTED_VALUE"""),37504.0)</f>
        <v>37504</v>
      </c>
      <c r="Q1245" s="35">
        <f>IFERROR(__xludf.DUMMYFUNCTION("""COMPUTED_VALUE"""),55152.0)</f>
        <v>55152</v>
      </c>
    </row>
    <row r="1246">
      <c r="A1246" s="35">
        <f>IFERROR(__xludf.DUMMYFUNCTION("""COMPUTED_VALUE"""),1177.0)</f>
        <v>1177</v>
      </c>
      <c r="B1246" s="35" t="str">
        <f>IFERROR(__xludf.DUMMYFUNCTION("""COMPUTED_VALUE"""),"Tree Diameter")</f>
        <v>Tree Diameter</v>
      </c>
      <c r="C1246" s="35" t="str">
        <f>IFERROR(__xludf.DUMMYFUNCTION("""COMPUTED_VALUE"""),"tree-diameter")</f>
        <v>tree-diameter</v>
      </c>
      <c r="D1246" s="35" t="b">
        <f>IFERROR(__xludf.DUMMYFUNCTION("""COMPUTED_VALUE"""),TRUE)</f>
        <v>1</v>
      </c>
      <c r="E1246" s="35" t="str">
        <f>IFERROR(__xludf.DUMMYFUNCTION("""COMPUTED_VALUE"""),"Medium")</f>
        <v>Medium</v>
      </c>
      <c r="F1246" s="35">
        <f>IFERROR(__xludf.DUMMYFUNCTION("""COMPUTED_VALUE"""),584.0)</f>
        <v>584</v>
      </c>
      <c r="G1246" s="35">
        <f>IFERROR(__xludf.DUMMYFUNCTION("""COMPUTED_VALUE"""),13.0)</f>
        <v>13</v>
      </c>
      <c r="H1246" s="35" t="str">
        <f>IFERROR(__xludf.DUMMYFUNCTION("""COMPUTED_VALUE"""),"Algorithms")</f>
        <v>Algorithms</v>
      </c>
      <c r="I1246" s="35">
        <f>IFERROR(__xludf.DUMMYFUNCTION("""COMPUTED_VALUE"""),0.623)</f>
        <v>0.623</v>
      </c>
      <c r="J1246" s="35">
        <f>IFERROR(__xludf.DUMMYFUNCTION("""COMPUTED_VALUE"""),1245.0)</f>
        <v>1245</v>
      </c>
      <c r="K1246" s="35" t="b">
        <f>IFERROR(__xludf.DUMMYFUNCTION("""COMPUTED_VALUE"""),TRUE)</f>
        <v>1</v>
      </c>
      <c r="L1246" s="35" t="str">
        <f>IFERROR(__xludf.DUMMYFUNCTION("""COMPUTED_VALUE"""),"Tree;Depth-First Search;Breadth-First Search;")</f>
        <v>Tree;Depth-First Search;Breadth-First Search;</v>
      </c>
      <c r="M1246" s="35" t="b">
        <f>IFERROR(__xludf.DUMMYFUNCTION("""COMPUTED_VALUE"""),TRUE)</f>
        <v>1</v>
      </c>
      <c r="N1246" s="35" t="b">
        <f>IFERROR(__xludf.DUMMYFUNCTION("""COMPUTED_VALUE"""),FALSE)</f>
        <v>0</v>
      </c>
      <c r="O1246" s="35">
        <f>IFERROR(__xludf.DUMMYFUNCTION("""COMPUTED_VALUE"""),62.3165591834662)</f>
        <v>62.31655918</v>
      </c>
      <c r="P1246" s="35">
        <f>IFERROR(__xludf.DUMMYFUNCTION("""COMPUTED_VALUE"""),24544.0)</f>
        <v>24544</v>
      </c>
      <c r="Q1246" s="35">
        <f>IFERROR(__xludf.DUMMYFUNCTION("""COMPUTED_VALUE"""),39386.0)</f>
        <v>39386</v>
      </c>
    </row>
    <row r="1247">
      <c r="A1247" s="35">
        <f>IFERROR(__xludf.DUMMYFUNCTION("""COMPUTED_VALUE"""),1202.0)</f>
        <v>1202</v>
      </c>
      <c r="B1247" s="35" t="str">
        <f>IFERROR(__xludf.DUMMYFUNCTION("""COMPUTED_VALUE"""),"Palindrome Removal")</f>
        <v>Palindrome Removal</v>
      </c>
      <c r="C1247" s="35" t="str">
        <f>IFERROR(__xludf.DUMMYFUNCTION("""COMPUTED_VALUE"""),"palindrome-removal")</f>
        <v>palindrome-removal</v>
      </c>
      <c r="D1247" s="35" t="b">
        <f>IFERROR(__xludf.DUMMYFUNCTION("""COMPUTED_VALUE"""),TRUE)</f>
        <v>1</v>
      </c>
      <c r="E1247" s="35" t="str">
        <f>IFERROR(__xludf.DUMMYFUNCTION("""COMPUTED_VALUE"""),"Hard")</f>
        <v>Hard</v>
      </c>
      <c r="F1247" s="35">
        <f>IFERROR(__xludf.DUMMYFUNCTION("""COMPUTED_VALUE"""),266.0)</f>
        <v>266</v>
      </c>
      <c r="G1247" s="35">
        <f>IFERROR(__xludf.DUMMYFUNCTION("""COMPUTED_VALUE"""),9.0)</f>
        <v>9</v>
      </c>
      <c r="H1247" s="35" t="str">
        <f>IFERROR(__xludf.DUMMYFUNCTION("""COMPUTED_VALUE"""),"Algorithms")</f>
        <v>Algorithms</v>
      </c>
      <c r="I1247" s="35">
        <f>IFERROR(__xludf.DUMMYFUNCTION("""COMPUTED_VALUE"""),0.461)</f>
        <v>0.461</v>
      </c>
      <c r="J1247" s="35">
        <f>IFERROR(__xludf.DUMMYFUNCTION("""COMPUTED_VALUE"""),1246.0)</f>
        <v>1246</v>
      </c>
      <c r="K1247" s="35" t="b">
        <f>IFERROR(__xludf.DUMMYFUNCTION("""COMPUTED_VALUE"""),TRUE)</f>
        <v>1</v>
      </c>
      <c r="L1247" s="35" t="str">
        <f>IFERROR(__xludf.DUMMYFUNCTION("""COMPUTED_VALUE"""),"Array;Dynamic Programming;")</f>
        <v>Array;Dynamic Programming;</v>
      </c>
      <c r="M1247" s="35" t="b">
        <f>IFERROR(__xludf.DUMMYFUNCTION("""COMPUTED_VALUE"""),FALSE)</f>
        <v>0</v>
      </c>
      <c r="N1247" s="35" t="b">
        <f>IFERROR(__xludf.DUMMYFUNCTION("""COMPUTED_VALUE"""),FALSE)</f>
        <v>0</v>
      </c>
      <c r="O1247" s="35">
        <f>IFERROR(__xludf.DUMMYFUNCTION("""COMPUTED_VALUE"""),46.1308251389482)</f>
        <v>46.13082514</v>
      </c>
      <c r="P1247" s="35">
        <f>IFERROR(__xludf.DUMMYFUNCTION("""COMPUTED_VALUE"""),8632.0)</f>
        <v>8632</v>
      </c>
      <c r="Q1247" s="35">
        <f>IFERROR(__xludf.DUMMYFUNCTION("""COMPUTED_VALUE"""),18712.0)</f>
        <v>18712</v>
      </c>
    </row>
    <row r="1248">
      <c r="A1248" s="35">
        <f>IFERROR(__xludf.DUMMYFUNCTION("""COMPUTED_VALUE"""),1369.0)</f>
        <v>1369</v>
      </c>
      <c r="B1248" s="35" t="str">
        <f>IFERROR(__xludf.DUMMYFUNCTION("""COMPUTED_VALUE"""),"Minimum Swaps to Make Strings Equal")</f>
        <v>Minimum Swaps to Make Strings Equal</v>
      </c>
      <c r="C1248" s="35" t="str">
        <f>IFERROR(__xludf.DUMMYFUNCTION("""COMPUTED_VALUE"""),"minimum-swaps-to-make-strings-equal")</f>
        <v>minimum-swaps-to-make-strings-equal</v>
      </c>
      <c r="D1248" s="35" t="b">
        <f>IFERROR(__xludf.DUMMYFUNCTION("""COMPUTED_VALUE"""),FALSE)</f>
        <v>0</v>
      </c>
      <c r="E1248" s="35" t="str">
        <f>IFERROR(__xludf.DUMMYFUNCTION("""COMPUTED_VALUE"""),"Medium")</f>
        <v>Medium</v>
      </c>
      <c r="F1248" s="35">
        <f>IFERROR(__xludf.DUMMYFUNCTION("""COMPUTED_VALUE"""),820.0)</f>
        <v>820</v>
      </c>
      <c r="G1248" s="35">
        <f>IFERROR(__xludf.DUMMYFUNCTION("""COMPUTED_VALUE"""),205.0)</f>
        <v>205</v>
      </c>
      <c r="H1248" s="35" t="str">
        <f>IFERROR(__xludf.DUMMYFUNCTION("""COMPUTED_VALUE"""),"Algorithms")</f>
        <v>Algorithms</v>
      </c>
      <c r="I1248" s="35">
        <f>IFERROR(__xludf.DUMMYFUNCTION("""COMPUTED_VALUE"""),0.637)</f>
        <v>0.637</v>
      </c>
      <c r="J1248" s="35">
        <f>IFERROR(__xludf.DUMMYFUNCTION("""COMPUTED_VALUE"""),1247.0)</f>
        <v>1247</v>
      </c>
      <c r="K1248" s="35" t="b">
        <f>IFERROR(__xludf.DUMMYFUNCTION("""COMPUTED_VALUE"""),FALSE)</f>
        <v>0</v>
      </c>
      <c r="L1248" s="35" t="str">
        <f>IFERROR(__xludf.DUMMYFUNCTION("""COMPUTED_VALUE"""),"Math;String;Greedy;")</f>
        <v>Math;String;Greedy;</v>
      </c>
      <c r="M1248" s="35" t="b">
        <f>IFERROR(__xludf.DUMMYFUNCTION("""COMPUTED_VALUE"""),FALSE)</f>
        <v>0</v>
      </c>
      <c r="N1248" s="35" t="b">
        <f>IFERROR(__xludf.DUMMYFUNCTION("""COMPUTED_VALUE"""),FALSE)</f>
        <v>0</v>
      </c>
      <c r="O1248" s="35">
        <f>IFERROR(__xludf.DUMMYFUNCTION("""COMPUTED_VALUE"""),63.7004844685095)</f>
        <v>63.70048447</v>
      </c>
      <c r="P1248" s="35">
        <f>IFERROR(__xludf.DUMMYFUNCTION("""COMPUTED_VALUE"""),26823.0)</f>
        <v>26823</v>
      </c>
      <c r="Q1248" s="35">
        <f>IFERROR(__xludf.DUMMYFUNCTION("""COMPUTED_VALUE"""),42108.0)</f>
        <v>42108</v>
      </c>
    </row>
    <row r="1249">
      <c r="A1249" s="35">
        <f>IFERROR(__xludf.DUMMYFUNCTION("""COMPUTED_VALUE"""),1370.0)</f>
        <v>1370</v>
      </c>
      <c r="B1249" s="35" t="str">
        <f>IFERROR(__xludf.DUMMYFUNCTION("""COMPUTED_VALUE"""),"Count Number of Nice Subarrays")</f>
        <v>Count Number of Nice Subarrays</v>
      </c>
      <c r="C1249" s="35" t="str">
        <f>IFERROR(__xludf.DUMMYFUNCTION("""COMPUTED_VALUE"""),"count-number-of-nice-subarrays")</f>
        <v>count-number-of-nice-subarrays</v>
      </c>
      <c r="D1249" s="35" t="b">
        <f>IFERROR(__xludf.DUMMYFUNCTION("""COMPUTED_VALUE"""),FALSE)</f>
        <v>0</v>
      </c>
      <c r="E1249" s="35" t="str">
        <f>IFERROR(__xludf.DUMMYFUNCTION("""COMPUTED_VALUE"""),"Medium")</f>
        <v>Medium</v>
      </c>
      <c r="F1249" s="35">
        <f>IFERROR(__xludf.DUMMYFUNCTION("""COMPUTED_VALUE"""),1583.0)</f>
        <v>1583</v>
      </c>
      <c r="G1249" s="35">
        <f>IFERROR(__xludf.DUMMYFUNCTION("""COMPUTED_VALUE"""),39.0)</f>
        <v>39</v>
      </c>
      <c r="H1249" s="35" t="str">
        <f>IFERROR(__xludf.DUMMYFUNCTION("""COMPUTED_VALUE"""),"Algorithms")</f>
        <v>Algorithms</v>
      </c>
      <c r="I1249" s="35">
        <f>IFERROR(__xludf.DUMMYFUNCTION("""COMPUTED_VALUE"""),0.584)</f>
        <v>0.584</v>
      </c>
      <c r="J1249" s="35">
        <f>IFERROR(__xludf.DUMMYFUNCTION("""COMPUTED_VALUE"""),1248.0)</f>
        <v>1248</v>
      </c>
      <c r="K1249" s="35" t="b">
        <f>IFERROR(__xludf.DUMMYFUNCTION("""COMPUTED_VALUE"""),FALSE)</f>
        <v>0</v>
      </c>
      <c r="L1249" s="35" t="str">
        <f>IFERROR(__xludf.DUMMYFUNCTION("""COMPUTED_VALUE"""),"Array;Hash Table;Math;Sliding Window;")</f>
        <v>Array;Hash Table;Math;Sliding Window;</v>
      </c>
      <c r="M1249" s="35" t="b">
        <f>IFERROR(__xludf.DUMMYFUNCTION("""COMPUTED_VALUE"""),FALSE)</f>
        <v>0</v>
      </c>
      <c r="N1249" s="35" t="b">
        <f>IFERROR(__xludf.DUMMYFUNCTION("""COMPUTED_VALUE"""),FALSE)</f>
        <v>0</v>
      </c>
      <c r="O1249" s="35">
        <f>IFERROR(__xludf.DUMMYFUNCTION("""COMPUTED_VALUE"""),58.3602617794939)</f>
        <v>58.36026178</v>
      </c>
      <c r="P1249" s="35">
        <f>IFERROR(__xludf.DUMMYFUNCTION("""COMPUTED_VALUE"""),50027.0)</f>
        <v>50027</v>
      </c>
      <c r="Q1249" s="35">
        <f>IFERROR(__xludf.DUMMYFUNCTION("""COMPUTED_VALUE"""),85721.0)</f>
        <v>85721</v>
      </c>
    </row>
    <row r="1250">
      <c r="A1250" s="35">
        <f>IFERROR(__xludf.DUMMYFUNCTION("""COMPUTED_VALUE"""),1371.0)</f>
        <v>1371</v>
      </c>
      <c r="B1250" s="35" t="str">
        <f>IFERROR(__xludf.DUMMYFUNCTION("""COMPUTED_VALUE"""),"Minimum Remove to Make Valid Parentheses")</f>
        <v>Minimum Remove to Make Valid Parentheses</v>
      </c>
      <c r="C1250" s="35" t="str">
        <f>IFERROR(__xludf.DUMMYFUNCTION("""COMPUTED_VALUE"""),"minimum-remove-to-make-valid-parentheses")</f>
        <v>minimum-remove-to-make-valid-parentheses</v>
      </c>
      <c r="D1250" s="35" t="b">
        <f>IFERROR(__xludf.DUMMYFUNCTION("""COMPUTED_VALUE"""),FALSE)</f>
        <v>0</v>
      </c>
      <c r="E1250" s="35" t="str">
        <f>IFERROR(__xludf.DUMMYFUNCTION("""COMPUTED_VALUE"""),"Medium")</f>
        <v>Medium</v>
      </c>
      <c r="F1250" s="35">
        <f>IFERROR(__xludf.DUMMYFUNCTION("""COMPUTED_VALUE"""),3646.0)</f>
        <v>3646</v>
      </c>
      <c r="G1250" s="35">
        <f>IFERROR(__xludf.DUMMYFUNCTION("""COMPUTED_VALUE"""),69.0)</f>
        <v>69</v>
      </c>
      <c r="H1250" s="35" t="str">
        <f>IFERROR(__xludf.DUMMYFUNCTION("""COMPUTED_VALUE"""),"Algorithms")</f>
        <v>Algorithms</v>
      </c>
      <c r="I1250" s="35">
        <f>IFERROR(__xludf.DUMMYFUNCTION("""COMPUTED_VALUE"""),0.652)</f>
        <v>0.652</v>
      </c>
      <c r="J1250" s="35">
        <f>IFERROR(__xludf.DUMMYFUNCTION("""COMPUTED_VALUE"""),1249.0)</f>
        <v>1249</v>
      </c>
      <c r="K1250" s="35" t="b">
        <f>IFERROR(__xludf.DUMMYFUNCTION("""COMPUTED_VALUE"""),FALSE)</f>
        <v>0</v>
      </c>
      <c r="L1250" s="35" t="str">
        <f>IFERROR(__xludf.DUMMYFUNCTION("""COMPUTED_VALUE"""),"String;Stack;")</f>
        <v>String;Stack;</v>
      </c>
      <c r="M1250" s="35" t="b">
        <f>IFERROR(__xludf.DUMMYFUNCTION("""COMPUTED_VALUE"""),TRUE)</f>
        <v>1</v>
      </c>
      <c r="N1250" s="35" t="b">
        <f>IFERROR(__xludf.DUMMYFUNCTION("""COMPUTED_VALUE"""),FALSE)</f>
        <v>0</v>
      </c>
      <c r="O1250" s="35">
        <f>IFERROR(__xludf.DUMMYFUNCTION("""COMPUTED_VALUE"""),65.224130436793)</f>
        <v>65.22413044</v>
      </c>
      <c r="P1250" s="35">
        <f>IFERROR(__xludf.DUMMYFUNCTION("""COMPUTED_VALUE"""),352622.0)</f>
        <v>352622</v>
      </c>
      <c r="Q1250" s="35">
        <f>IFERROR(__xludf.DUMMYFUNCTION("""COMPUTED_VALUE"""),540627.0)</f>
        <v>540627</v>
      </c>
    </row>
    <row r="1251">
      <c r="A1251" s="35">
        <f>IFERROR(__xludf.DUMMYFUNCTION("""COMPUTED_VALUE"""),1372.0)</f>
        <v>1372</v>
      </c>
      <c r="B1251" s="35" t="str">
        <f>IFERROR(__xludf.DUMMYFUNCTION("""COMPUTED_VALUE"""),"Check If It Is a Good Array")</f>
        <v>Check If It Is a Good Array</v>
      </c>
      <c r="C1251" s="35" t="str">
        <f>IFERROR(__xludf.DUMMYFUNCTION("""COMPUTED_VALUE"""),"check-if-it-is-a-good-array")</f>
        <v>check-if-it-is-a-good-array</v>
      </c>
      <c r="D1251" s="35" t="b">
        <f>IFERROR(__xludf.DUMMYFUNCTION("""COMPUTED_VALUE"""),FALSE)</f>
        <v>0</v>
      </c>
      <c r="E1251" s="35" t="str">
        <f>IFERROR(__xludf.DUMMYFUNCTION("""COMPUTED_VALUE"""),"Hard")</f>
        <v>Hard</v>
      </c>
      <c r="F1251" s="35">
        <f>IFERROR(__xludf.DUMMYFUNCTION("""COMPUTED_VALUE"""),235.0)</f>
        <v>235</v>
      </c>
      <c r="G1251" s="35">
        <f>IFERROR(__xludf.DUMMYFUNCTION("""COMPUTED_VALUE"""),265.0)</f>
        <v>265</v>
      </c>
      <c r="H1251" s="35" t="str">
        <f>IFERROR(__xludf.DUMMYFUNCTION("""COMPUTED_VALUE"""),"Algorithms")</f>
        <v>Algorithms</v>
      </c>
      <c r="I1251" s="35">
        <f>IFERROR(__xludf.DUMMYFUNCTION("""COMPUTED_VALUE"""),0.578)</f>
        <v>0.578</v>
      </c>
      <c r="J1251" s="35">
        <f>IFERROR(__xludf.DUMMYFUNCTION("""COMPUTED_VALUE"""),1250.0)</f>
        <v>1250</v>
      </c>
      <c r="K1251" s="35" t="b">
        <f>IFERROR(__xludf.DUMMYFUNCTION("""COMPUTED_VALUE"""),FALSE)</f>
        <v>0</v>
      </c>
      <c r="L1251" s="35" t="str">
        <f>IFERROR(__xludf.DUMMYFUNCTION("""COMPUTED_VALUE"""),"Array;Math;Number Theory;")</f>
        <v>Array;Math;Number Theory;</v>
      </c>
      <c r="M1251" s="35" t="b">
        <f>IFERROR(__xludf.DUMMYFUNCTION("""COMPUTED_VALUE"""),FALSE)</f>
        <v>0</v>
      </c>
      <c r="N1251" s="35" t="b">
        <f>IFERROR(__xludf.DUMMYFUNCTION("""COMPUTED_VALUE"""),FALSE)</f>
        <v>0</v>
      </c>
      <c r="O1251" s="35">
        <f>IFERROR(__xludf.DUMMYFUNCTION("""COMPUTED_VALUE"""),57.7533299995453)</f>
        <v>57.75333</v>
      </c>
      <c r="P1251" s="35">
        <f>IFERROR(__xludf.DUMMYFUNCTION("""COMPUTED_VALUE"""),12704.0)</f>
        <v>12704</v>
      </c>
      <c r="Q1251" s="35">
        <f>IFERROR(__xludf.DUMMYFUNCTION("""COMPUTED_VALUE"""),21997.0)</f>
        <v>21997</v>
      </c>
    </row>
    <row r="1252">
      <c r="A1252" s="35">
        <f>IFERROR(__xludf.DUMMYFUNCTION("""COMPUTED_VALUE"""),1390.0)</f>
        <v>1390</v>
      </c>
      <c r="B1252" s="35" t="str">
        <f>IFERROR(__xludf.DUMMYFUNCTION("""COMPUTED_VALUE"""),"Average Selling Price")</f>
        <v>Average Selling Price</v>
      </c>
      <c r="C1252" s="35" t="str">
        <f>IFERROR(__xludf.DUMMYFUNCTION("""COMPUTED_VALUE"""),"average-selling-price")</f>
        <v>average-selling-price</v>
      </c>
      <c r="D1252" s="35" t="b">
        <f>IFERROR(__xludf.DUMMYFUNCTION("""COMPUTED_VALUE"""),TRUE)</f>
        <v>1</v>
      </c>
      <c r="E1252" s="35" t="str">
        <f>IFERROR(__xludf.DUMMYFUNCTION("""COMPUTED_VALUE"""),"Easy")</f>
        <v>Easy</v>
      </c>
      <c r="F1252" s="35">
        <f>IFERROR(__xludf.DUMMYFUNCTION("""COMPUTED_VALUE"""),211.0)</f>
        <v>211</v>
      </c>
      <c r="G1252" s="35">
        <f>IFERROR(__xludf.DUMMYFUNCTION("""COMPUTED_VALUE"""),20.0)</f>
        <v>20</v>
      </c>
      <c r="H1252" s="35" t="str">
        <f>IFERROR(__xludf.DUMMYFUNCTION("""COMPUTED_VALUE"""),"Database")</f>
        <v>Database</v>
      </c>
      <c r="I1252" s="35">
        <f>IFERROR(__xludf.DUMMYFUNCTION("""COMPUTED_VALUE"""),0.833)</f>
        <v>0.833</v>
      </c>
      <c r="J1252" s="35">
        <f>IFERROR(__xludf.DUMMYFUNCTION("""COMPUTED_VALUE"""),1251.0)</f>
        <v>1251</v>
      </c>
      <c r="K1252" s="35" t="b">
        <f>IFERROR(__xludf.DUMMYFUNCTION("""COMPUTED_VALUE"""),TRUE)</f>
        <v>1</v>
      </c>
      <c r="L1252" s="35" t="str">
        <f>IFERROR(__xludf.DUMMYFUNCTION("""COMPUTED_VALUE"""),"Database;")</f>
        <v>Database;</v>
      </c>
      <c r="M1252" s="35" t="b">
        <f>IFERROR(__xludf.DUMMYFUNCTION("""COMPUTED_VALUE"""),FALSE)</f>
        <v>0</v>
      </c>
      <c r="N1252" s="35" t="b">
        <f>IFERROR(__xludf.DUMMYFUNCTION("""COMPUTED_VALUE"""),FALSE)</f>
        <v>0</v>
      </c>
      <c r="O1252" s="35">
        <f>IFERROR(__xludf.DUMMYFUNCTION("""COMPUTED_VALUE"""),83.341592551055)</f>
        <v>83.34159255</v>
      </c>
      <c r="P1252" s="35">
        <f>IFERROR(__xludf.DUMMYFUNCTION("""COMPUTED_VALUE"""),31954.0)</f>
        <v>31954</v>
      </c>
      <c r="Q1252" s="35">
        <f>IFERROR(__xludf.DUMMYFUNCTION("""COMPUTED_VALUE"""),38341.0)</f>
        <v>38341</v>
      </c>
    </row>
    <row r="1253">
      <c r="A1253" s="35">
        <f>IFERROR(__xludf.DUMMYFUNCTION("""COMPUTED_VALUE"""),1378.0)</f>
        <v>1378</v>
      </c>
      <c r="B1253" s="35" t="str">
        <f>IFERROR(__xludf.DUMMYFUNCTION("""COMPUTED_VALUE"""),"Cells with Odd Values in a Matrix")</f>
        <v>Cells with Odd Values in a Matrix</v>
      </c>
      <c r="C1253" s="35" t="str">
        <f>IFERROR(__xludf.DUMMYFUNCTION("""COMPUTED_VALUE"""),"cells-with-odd-values-in-a-matrix")</f>
        <v>cells-with-odd-values-in-a-matrix</v>
      </c>
      <c r="D1253" s="35" t="b">
        <f>IFERROR(__xludf.DUMMYFUNCTION("""COMPUTED_VALUE"""),FALSE)</f>
        <v>0</v>
      </c>
      <c r="E1253" s="35" t="str">
        <f>IFERROR(__xludf.DUMMYFUNCTION("""COMPUTED_VALUE"""),"Easy")</f>
        <v>Easy</v>
      </c>
      <c r="F1253" s="35">
        <f>IFERROR(__xludf.DUMMYFUNCTION("""COMPUTED_VALUE"""),707.0)</f>
        <v>707</v>
      </c>
      <c r="G1253" s="35">
        <f>IFERROR(__xludf.DUMMYFUNCTION("""COMPUTED_VALUE"""),1061.0)</f>
        <v>1061</v>
      </c>
      <c r="H1253" s="35" t="str">
        <f>IFERROR(__xludf.DUMMYFUNCTION("""COMPUTED_VALUE"""),"Algorithms")</f>
        <v>Algorithms</v>
      </c>
      <c r="I1253" s="35">
        <f>IFERROR(__xludf.DUMMYFUNCTION("""COMPUTED_VALUE"""),0.785)</f>
        <v>0.785</v>
      </c>
      <c r="J1253" s="35">
        <f>IFERROR(__xludf.DUMMYFUNCTION("""COMPUTED_VALUE"""),1252.0)</f>
        <v>1252</v>
      </c>
      <c r="K1253" s="35" t="b">
        <f>IFERROR(__xludf.DUMMYFUNCTION("""COMPUTED_VALUE"""),FALSE)</f>
        <v>0</v>
      </c>
      <c r="L1253" s="35" t="str">
        <f>IFERROR(__xludf.DUMMYFUNCTION("""COMPUTED_VALUE"""),"Array;Math;Simulation;")</f>
        <v>Array;Math;Simulation;</v>
      </c>
      <c r="M1253" s="35" t="b">
        <f>IFERROR(__xludf.DUMMYFUNCTION("""COMPUTED_VALUE"""),FALSE)</f>
        <v>0</v>
      </c>
      <c r="N1253" s="35" t="b">
        <f>IFERROR(__xludf.DUMMYFUNCTION("""COMPUTED_VALUE"""),FALSE)</f>
        <v>0</v>
      </c>
      <c r="O1253" s="35">
        <f>IFERROR(__xludf.DUMMYFUNCTION("""COMPUTED_VALUE"""),78.5296336316744)</f>
        <v>78.52963363</v>
      </c>
      <c r="P1253" s="35">
        <f>IFERROR(__xludf.DUMMYFUNCTION("""COMPUTED_VALUE"""),77036.0)</f>
        <v>77036</v>
      </c>
      <c r="Q1253" s="35">
        <f>IFERROR(__xludf.DUMMYFUNCTION("""COMPUTED_VALUE"""),98098.0)</f>
        <v>98098</v>
      </c>
    </row>
    <row r="1254">
      <c r="A1254" s="35">
        <f>IFERROR(__xludf.DUMMYFUNCTION("""COMPUTED_VALUE"""),1379.0)</f>
        <v>1379</v>
      </c>
      <c r="B1254" s="35" t="str">
        <f>IFERROR(__xludf.DUMMYFUNCTION("""COMPUTED_VALUE"""),"Reconstruct a 2-Row Binary Matrix")</f>
        <v>Reconstruct a 2-Row Binary Matrix</v>
      </c>
      <c r="C1254" s="35" t="str">
        <f>IFERROR(__xludf.DUMMYFUNCTION("""COMPUTED_VALUE"""),"reconstruct-a-2-row-binary-matrix")</f>
        <v>reconstruct-a-2-row-binary-matrix</v>
      </c>
      <c r="D1254" s="35" t="b">
        <f>IFERROR(__xludf.DUMMYFUNCTION("""COMPUTED_VALUE"""),FALSE)</f>
        <v>0</v>
      </c>
      <c r="E1254" s="35" t="str">
        <f>IFERROR(__xludf.DUMMYFUNCTION("""COMPUTED_VALUE"""),"Medium")</f>
        <v>Medium</v>
      </c>
      <c r="F1254" s="35">
        <f>IFERROR(__xludf.DUMMYFUNCTION("""COMPUTED_VALUE"""),309.0)</f>
        <v>309</v>
      </c>
      <c r="G1254" s="35">
        <f>IFERROR(__xludf.DUMMYFUNCTION("""COMPUTED_VALUE"""),24.0)</f>
        <v>24</v>
      </c>
      <c r="H1254" s="35" t="str">
        <f>IFERROR(__xludf.DUMMYFUNCTION("""COMPUTED_VALUE"""),"Algorithms")</f>
        <v>Algorithms</v>
      </c>
      <c r="I1254" s="35">
        <f>IFERROR(__xludf.DUMMYFUNCTION("""COMPUTED_VALUE"""),0.431)</f>
        <v>0.431</v>
      </c>
      <c r="J1254" s="35">
        <f>IFERROR(__xludf.DUMMYFUNCTION("""COMPUTED_VALUE"""),1253.0)</f>
        <v>1253</v>
      </c>
      <c r="K1254" s="35" t="b">
        <f>IFERROR(__xludf.DUMMYFUNCTION("""COMPUTED_VALUE"""),FALSE)</f>
        <v>0</v>
      </c>
      <c r="L1254" s="35" t="str">
        <f>IFERROR(__xludf.DUMMYFUNCTION("""COMPUTED_VALUE"""),"Array;Greedy;Matrix;")</f>
        <v>Array;Greedy;Matrix;</v>
      </c>
      <c r="M1254" s="35" t="b">
        <f>IFERROR(__xludf.DUMMYFUNCTION("""COMPUTED_VALUE"""),FALSE)</f>
        <v>0</v>
      </c>
      <c r="N1254" s="35" t="b">
        <f>IFERROR(__xludf.DUMMYFUNCTION("""COMPUTED_VALUE"""),FALSE)</f>
        <v>0</v>
      </c>
      <c r="O1254" s="35">
        <f>IFERROR(__xludf.DUMMYFUNCTION("""COMPUTED_VALUE"""),43.0851309529308)</f>
        <v>43.08513095</v>
      </c>
      <c r="P1254" s="35">
        <f>IFERROR(__xludf.DUMMYFUNCTION("""COMPUTED_VALUE"""),18655.0)</f>
        <v>18655</v>
      </c>
      <c r="Q1254" s="35">
        <f>IFERROR(__xludf.DUMMYFUNCTION("""COMPUTED_VALUE"""),43298.0)</f>
        <v>43298</v>
      </c>
    </row>
    <row r="1255">
      <c r="A1255" s="35">
        <f>IFERROR(__xludf.DUMMYFUNCTION("""COMPUTED_VALUE"""),1380.0)</f>
        <v>1380</v>
      </c>
      <c r="B1255" s="35" t="str">
        <f>IFERROR(__xludf.DUMMYFUNCTION("""COMPUTED_VALUE"""),"Number of Closed Islands")</f>
        <v>Number of Closed Islands</v>
      </c>
      <c r="C1255" s="35" t="str">
        <f>IFERROR(__xludf.DUMMYFUNCTION("""COMPUTED_VALUE"""),"number-of-closed-islands")</f>
        <v>number-of-closed-islands</v>
      </c>
      <c r="D1255" s="35" t="b">
        <f>IFERROR(__xludf.DUMMYFUNCTION("""COMPUTED_VALUE"""),FALSE)</f>
        <v>0</v>
      </c>
      <c r="E1255" s="35" t="str">
        <f>IFERROR(__xludf.DUMMYFUNCTION("""COMPUTED_VALUE"""),"Medium")</f>
        <v>Medium</v>
      </c>
      <c r="F1255" s="35">
        <f>IFERROR(__xludf.DUMMYFUNCTION("""COMPUTED_VALUE"""),1607.0)</f>
        <v>1607</v>
      </c>
      <c r="G1255" s="35">
        <f>IFERROR(__xludf.DUMMYFUNCTION("""COMPUTED_VALUE"""),35.0)</f>
        <v>35</v>
      </c>
      <c r="H1255" s="35" t="str">
        <f>IFERROR(__xludf.DUMMYFUNCTION("""COMPUTED_VALUE"""),"Algorithms")</f>
        <v>Algorithms</v>
      </c>
      <c r="I1255" s="35">
        <f>IFERROR(__xludf.DUMMYFUNCTION("""COMPUTED_VALUE"""),0.631)</f>
        <v>0.631</v>
      </c>
      <c r="J1255" s="35">
        <f>IFERROR(__xludf.DUMMYFUNCTION("""COMPUTED_VALUE"""),1254.0)</f>
        <v>1254</v>
      </c>
      <c r="K1255" s="35" t="b">
        <f>IFERROR(__xludf.DUMMYFUNCTION("""COMPUTED_VALUE"""),FALSE)</f>
        <v>0</v>
      </c>
      <c r="L1255" s="35" t="str">
        <f>IFERROR(__xludf.DUMMYFUNCTION("""COMPUTED_VALUE"""),"Array;Depth-First Search;Breadth-First Search;Union Find;Matrix;")</f>
        <v>Array;Depth-First Search;Breadth-First Search;Union Find;Matrix;</v>
      </c>
      <c r="M1255" s="35" t="b">
        <f>IFERROR(__xludf.DUMMYFUNCTION("""COMPUTED_VALUE"""),FALSE)</f>
        <v>0</v>
      </c>
      <c r="N1255" s="35" t="b">
        <f>IFERROR(__xludf.DUMMYFUNCTION("""COMPUTED_VALUE"""),FALSE)</f>
        <v>0</v>
      </c>
      <c r="O1255" s="35">
        <f>IFERROR(__xludf.DUMMYFUNCTION("""COMPUTED_VALUE"""),63.0880037847581)</f>
        <v>63.08800378</v>
      </c>
      <c r="P1255" s="35">
        <f>IFERROR(__xludf.DUMMYFUNCTION("""COMPUTED_VALUE"""),77337.0)</f>
        <v>77337</v>
      </c>
      <c r="Q1255" s="35">
        <f>IFERROR(__xludf.DUMMYFUNCTION("""COMPUTED_VALUE"""),122588.0)</f>
        <v>122588</v>
      </c>
    </row>
    <row r="1256">
      <c r="A1256" s="35">
        <f>IFERROR(__xludf.DUMMYFUNCTION("""COMPUTED_VALUE"""),1381.0)</f>
        <v>1381</v>
      </c>
      <c r="B1256" s="35" t="str">
        <f>IFERROR(__xludf.DUMMYFUNCTION("""COMPUTED_VALUE"""),"Maximum Score Words Formed by Letters")</f>
        <v>Maximum Score Words Formed by Letters</v>
      </c>
      <c r="C1256" s="35" t="str">
        <f>IFERROR(__xludf.DUMMYFUNCTION("""COMPUTED_VALUE"""),"maximum-score-words-formed-by-letters")</f>
        <v>maximum-score-words-formed-by-letters</v>
      </c>
      <c r="D1256" s="35" t="b">
        <f>IFERROR(__xludf.DUMMYFUNCTION("""COMPUTED_VALUE"""),FALSE)</f>
        <v>0</v>
      </c>
      <c r="E1256" s="35" t="str">
        <f>IFERROR(__xludf.DUMMYFUNCTION("""COMPUTED_VALUE"""),"Hard")</f>
        <v>Hard</v>
      </c>
      <c r="F1256" s="35">
        <f>IFERROR(__xludf.DUMMYFUNCTION("""COMPUTED_VALUE"""),599.0)</f>
        <v>599</v>
      </c>
      <c r="G1256" s="35">
        <f>IFERROR(__xludf.DUMMYFUNCTION("""COMPUTED_VALUE"""),36.0)</f>
        <v>36</v>
      </c>
      <c r="H1256" s="35" t="str">
        <f>IFERROR(__xludf.DUMMYFUNCTION("""COMPUTED_VALUE"""),"Algorithms")</f>
        <v>Algorithms</v>
      </c>
      <c r="I1256" s="35">
        <f>IFERROR(__xludf.DUMMYFUNCTION("""COMPUTED_VALUE"""),0.719)</f>
        <v>0.719</v>
      </c>
      <c r="J1256" s="35">
        <f>IFERROR(__xludf.DUMMYFUNCTION("""COMPUTED_VALUE"""),1255.0)</f>
        <v>1255</v>
      </c>
      <c r="K1256" s="35" t="b">
        <f>IFERROR(__xludf.DUMMYFUNCTION("""COMPUTED_VALUE"""),FALSE)</f>
        <v>0</v>
      </c>
      <c r="L1256" s="35" t="str">
        <f>IFERROR(__xludf.DUMMYFUNCTION("""COMPUTED_VALUE"""),"Array;String;Dynamic Programming;Backtracking;Bit Manipulation;Bitmask;")</f>
        <v>Array;String;Dynamic Programming;Backtracking;Bit Manipulation;Bitmask;</v>
      </c>
      <c r="M1256" s="35" t="b">
        <f>IFERROR(__xludf.DUMMYFUNCTION("""COMPUTED_VALUE"""),FALSE)</f>
        <v>0</v>
      </c>
      <c r="N1256" s="35" t="b">
        <f>IFERROR(__xludf.DUMMYFUNCTION("""COMPUTED_VALUE"""),FALSE)</f>
        <v>0</v>
      </c>
      <c r="O1256" s="35">
        <f>IFERROR(__xludf.DUMMYFUNCTION("""COMPUTED_VALUE"""),71.9337606837606)</f>
        <v>71.93376068</v>
      </c>
      <c r="P1256" s="35">
        <f>IFERROR(__xludf.DUMMYFUNCTION("""COMPUTED_VALUE"""),20197.0)</f>
        <v>20197</v>
      </c>
      <c r="Q1256" s="35">
        <f>IFERROR(__xludf.DUMMYFUNCTION("""COMPUTED_VALUE"""),28078.0)</f>
        <v>28078</v>
      </c>
    </row>
    <row r="1257">
      <c r="A1257" s="35">
        <f>IFERROR(__xludf.DUMMYFUNCTION("""COMPUTED_VALUE"""),1189.0)</f>
        <v>1189</v>
      </c>
      <c r="B1257" s="35" t="str">
        <f>IFERROR(__xludf.DUMMYFUNCTION("""COMPUTED_VALUE"""),"Encode Number")</f>
        <v>Encode Number</v>
      </c>
      <c r="C1257" s="35" t="str">
        <f>IFERROR(__xludf.DUMMYFUNCTION("""COMPUTED_VALUE"""),"encode-number")</f>
        <v>encode-number</v>
      </c>
      <c r="D1257" s="35" t="b">
        <f>IFERROR(__xludf.DUMMYFUNCTION("""COMPUTED_VALUE"""),TRUE)</f>
        <v>1</v>
      </c>
      <c r="E1257" s="35" t="str">
        <f>IFERROR(__xludf.DUMMYFUNCTION("""COMPUTED_VALUE"""),"Medium")</f>
        <v>Medium</v>
      </c>
      <c r="F1257" s="35">
        <f>IFERROR(__xludf.DUMMYFUNCTION("""COMPUTED_VALUE"""),62.0)</f>
        <v>62</v>
      </c>
      <c r="G1257" s="35">
        <f>IFERROR(__xludf.DUMMYFUNCTION("""COMPUTED_VALUE"""),206.0)</f>
        <v>206</v>
      </c>
      <c r="H1257" s="35" t="str">
        <f>IFERROR(__xludf.DUMMYFUNCTION("""COMPUTED_VALUE"""),"Algorithms")</f>
        <v>Algorithms</v>
      </c>
      <c r="I1257" s="35">
        <f>IFERROR(__xludf.DUMMYFUNCTION("""COMPUTED_VALUE"""),0.693)</f>
        <v>0.693</v>
      </c>
      <c r="J1257" s="35">
        <f>IFERROR(__xludf.DUMMYFUNCTION("""COMPUTED_VALUE"""),1256.0)</f>
        <v>1256</v>
      </c>
      <c r="K1257" s="35" t="b">
        <f>IFERROR(__xludf.DUMMYFUNCTION("""COMPUTED_VALUE"""),TRUE)</f>
        <v>1</v>
      </c>
      <c r="L1257" s="35" t="str">
        <f>IFERROR(__xludf.DUMMYFUNCTION("""COMPUTED_VALUE"""),"Math;String;Bit Manipulation;")</f>
        <v>Math;String;Bit Manipulation;</v>
      </c>
      <c r="M1257" s="35" t="b">
        <f>IFERROR(__xludf.DUMMYFUNCTION("""COMPUTED_VALUE"""),FALSE)</f>
        <v>0</v>
      </c>
      <c r="N1257" s="35" t="b">
        <f>IFERROR(__xludf.DUMMYFUNCTION("""COMPUTED_VALUE"""),FALSE)</f>
        <v>0</v>
      </c>
      <c r="O1257" s="35">
        <f>IFERROR(__xludf.DUMMYFUNCTION("""COMPUTED_VALUE"""),69.342002017711)</f>
        <v>69.34200202</v>
      </c>
      <c r="P1257" s="35">
        <f>IFERROR(__xludf.DUMMYFUNCTION("""COMPUTED_VALUE"""),6186.0)</f>
        <v>6186</v>
      </c>
      <c r="Q1257" s="35">
        <f>IFERROR(__xludf.DUMMYFUNCTION("""COMPUTED_VALUE"""),8921.0)</f>
        <v>8921</v>
      </c>
    </row>
    <row r="1258">
      <c r="A1258" s="35">
        <f>IFERROR(__xludf.DUMMYFUNCTION("""COMPUTED_VALUE"""),1190.0)</f>
        <v>1190</v>
      </c>
      <c r="B1258" s="35" t="str">
        <f>IFERROR(__xludf.DUMMYFUNCTION("""COMPUTED_VALUE"""),"Smallest Common Region")</f>
        <v>Smallest Common Region</v>
      </c>
      <c r="C1258" s="35" t="str">
        <f>IFERROR(__xludf.DUMMYFUNCTION("""COMPUTED_VALUE"""),"smallest-common-region")</f>
        <v>smallest-common-region</v>
      </c>
      <c r="D1258" s="35" t="b">
        <f>IFERROR(__xludf.DUMMYFUNCTION("""COMPUTED_VALUE"""),TRUE)</f>
        <v>1</v>
      </c>
      <c r="E1258" s="35" t="str">
        <f>IFERROR(__xludf.DUMMYFUNCTION("""COMPUTED_VALUE"""),"Medium")</f>
        <v>Medium</v>
      </c>
      <c r="F1258" s="35">
        <f>IFERROR(__xludf.DUMMYFUNCTION("""COMPUTED_VALUE"""),289.0)</f>
        <v>289</v>
      </c>
      <c r="G1258" s="35">
        <f>IFERROR(__xludf.DUMMYFUNCTION("""COMPUTED_VALUE"""),26.0)</f>
        <v>26</v>
      </c>
      <c r="H1258" s="35" t="str">
        <f>IFERROR(__xludf.DUMMYFUNCTION("""COMPUTED_VALUE"""),"Algorithms")</f>
        <v>Algorithms</v>
      </c>
      <c r="I1258" s="35">
        <f>IFERROR(__xludf.DUMMYFUNCTION("""COMPUTED_VALUE"""),0.627)</f>
        <v>0.627</v>
      </c>
      <c r="J1258" s="35">
        <f>IFERROR(__xludf.DUMMYFUNCTION("""COMPUTED_VALUE"""),1257.0)</f>
        <v>1257</v>
      </c>
      <c r="K1258" s="35" t="b">
        <f>IFERROR(__xludf.DUMMYFUNCTION("""COMPUTED_VALUE"""),TRUE)</f>
        <v>1</v>
      </c>
      <c r="L1258" s="35" t="str">
        <f>IFERROR(__xludf.DUMMYFUNCTION("""COMPUTED_VALUE"""),"Array;Hash Table;String;Tree;Depth-First Search;Breadth-First Search;")</f>
        <v>Array;Hash Table;String;Tree;Depth-First Search;Breadth-First Search;</v>
      </c>
      <c r="M1258" s="35" t="b">
        <f>IFERROR(__xludf.DUMMYFUNCTION("""COMPUTED_VALUE"""),FALSE)</f>
        <v>0</v>
      </c>
      <c r="N1258" s="35" t="b">
        <f>IFERROR(__xludf.DUMMYFUNCTION("""COMPUTED_VALUE"""),FALSE)</f>
        <v>0</v>
      </c>
      <c r="O1258" s="35">
        <f>IFERROR(__xludf.DUMMYFUNCTION("""COMPUTED_VALUE"""),62.7207138788684)</f>
        <v>62.72071388</v>
      </c>
      <c r="P1258" s="35">
        <f>IFERROR(__xludf.DUMMYFUNCTION("""COMPUTED_VALUE"""),13214.0)</f>
        <v>13214</v>
      </c>
      <c r="Q1258" s="35">
        <f>IFERROR(__xludf.DUMMYFUNCTION("""COMPUTED_VALUE"""),21068.0)</f>
        <v>21068</v>
      </c>
    </row>
    <row r="1259">
      <c r="A1259" s="35">
        <f>IFERROR(__xludf.DUMMYFUNCTION("""COMPUTED_VALUE"""),1191.0)</f>
        <v>1191</v>
      </c>
      <c r="B1259" s="35" t="str">
        <f>IFERROR(__xludf.DUMMYFUNCTION("""COMPUTED_VALUE"""),"Synonymous Sentences")</f>
        <v>Synonymous Sentences</v>
      </c>
      <c r="C1259" s="35" t="str">
        <f>IFERROR(__xludf.DUMMYFUNCTION("""COMPUTED_VALUE"""),"synonymous-sentences")</f>
        <v>synonymous-sentences</v>
      </c>
      <c r="D1259" s="35" t="b">
        <f>IFERROR(__xludf.DUMMYFUNCTION("""COMPUTED_VALUE"""),TRUE)</f>
        <v>1</v>
      </c>
      <c r="E1259" s="35" t="str">
        <f>IFERROR(__xludf.DUMMYFUNCTION("""COMPUTED_VALUE"""),"Medium")</f>
        <v>Medium</v>
      </c>
      <c r="F1259" s="35">
        <f>IFERROR(__xludf.DUMMYFUNCTION("""COMPUTED_VALUE"""),211.0)</f>
        <v>211</v>
      </c>
      <c r="G1259" s="35">
        <f>IFERROR(__xludf.DUMMYFUNCTION("""COMPUTED_VALUE"""),81.0)</f>
        <v>81</v>
      </c>
      <c r="H1259" s="35" t="str">
        <f>IFERROR(__xludf.DUMMYFUNCTION("""COMPUTED_VALUE"""),"Algorithms")</f>
        <v>Algorithms</v>
      </c>
      <c r="I1259" s="35">
        <f>IFERROR(__xludf.DUMMYFUNCTION("""COMPUTED_VALUE"""),0.563)</f>
        <v>0.563</v>
      </c>
      <c r="J1259" s="35">
        <f>IFERROR(__xludf.DUMMYFUNCTION("""COMPUTED_VALUE"""),1258.0)</f>
        <v>1258</v>
      </c>
      <c r="K1259" s="35" t="b">
        <f>IFERROR(__xludf.DUMMYFUNCTION("""COMPUTED_VALUE"""),TRUE)</f>
        <v>1</v>
      </c>
      <c r="L1259" s="35" t="str">
        <f>IFERROR(__xludf.DUMMYFUNCTION("""COMPUTED_VALUE"""),"Array;Hash Table;String;Backtracking;Union Find;")</f>
        <v>Array;Hash Table;String;Backtracking;Union Find;</v>
      </c>
      <c r="M1259" s="35" t="b">
        <f>IFERROR(__xludf.DUMMYFUNCTION("""COMPUTED_VALUE"""),FALSE)</f>
        <v>0</v>
      </c>
      <c r="N1259" s="35" t="b">
        <f>IFERROR(__xludf.DUMMYFUNCTION("""COMPUTED_VALUE"""),FALSE)</f>
        <v>0</v>
      </c>
      <c r="O1259" s="35">
        <f>IFERROR(__xludf.DUMMYFUNCTION("""COMPUTED_VALUE"""),56.2608855073792)</f>
        <v>56.26088551</v>
      </c>
      <c r="P1259" s="35">
        <f>IFERROR(__xludf.DUMMYFUNCTION("""COMPUTED_VALUE"""),12275.0)</f>
        <v>12275</v>
      </c>
      <c r="Q1259" s="35">
        <f>IFERROR(__xludf.DUMMYFUNCTION("""COMPUTED_VALUE"""),21818.0)</f>
        <v>21818</v>
      </c>
    </row>
    <row r="1260">
      <c r="A1260" s="35">
        <f>IFERROR(__xludf.DUMMYFUNCTION("""COMPUTED_VALUE"""),1213.0)</f>
        <v>1213</v>
      </c>
      <c r="B1260" s="35" t="str">
        <f>IFERROR(__xludf.DUMMYFUNCTION("""COMPUTED_VALUE"""),"Handshakes That Don't Cross")</f>
        <v>Handshakes That Don't Cross</v>
      </c>
      <c r="C1260" s="35" t="str">
        <f>IFERROR(__xludf.DUMMYFUNCTION("""COMPUTED_VALUE"""),"handshakes-that-dont-cross")</f>
        <v>handshakes-that-dont-cross</v>
      </c>
      <c r="D1260" s="35" t="b">
        <f>IFERROR(__xludf.DUMMYFUNCTION("""COMPUTED_VALUE"""),TRUE)</f>
        <v>1</v>
      </c>
      <c r="E1260" s="35" t="str">
        <f>IFERROR(__xludf.DUMMYFUNCTION("""COMPUTED_VALUE"""),"Hard")</f>
        <v>Hard</v>
      </c>
      <c r="F1260" s="35">
        <f>IFERROR(__xludf.DUMMYFUNCTION("""COMPUTED_VALUE"""),99.0)</f>
        <v>99</v>
      </c>
      <c r="G1260" s="35">
        <f>IFERROR(__xludf.DUMMYFUNCTION("""COMPUTED_VALUE"""),8.0)</f>
        <v>8</v>
      </c>
      <c r="H1260" s="35" t="str">
        <f>IFERROR(__xludf.DUMMYFUNCTION("""COMPUTED_VALUE"""),"Algorithms")</f>
        <v>Algorithms</v>
      </c>
      <c r="I1260" s="35">
        <f>IFERROR(__xludf.DUMMYFUNCTION("""COMPUTED_VALUE"""),0.555)</f>
        <v>0.555</v>
      </c>
      <c r="J1260" s="35">
        <f>IFERROR(__xludf.DUMMYFUNCTION("""COMPUTED_VALUE"""),1259.0)</f>
        <v>1259</v>
      </c>
      <c r="K1260" s="35" t="b">
        <f>IFERROR(__xludf.DUMMYFUNCTION("""COMPUTED_VALUE"""),TRUE)</f>
        <v>1</v>
      </c>
      <c r="L1260" s="35" t="str">
        <f>IFERROR(__xludf.DUMMYFUNCTION("""COMPUTED_VALUE"""),"Math;Dynamic Programming;")</f>
        <v>Math;Dynamic Programming;</v>
      </c>
      <c r="M1260" s="35" t="b">
        <f>IFERROR(__xludf.DUMMYFUNCTION("""COMPUTED_VALUE"""),FALSE)</f>
        <v>0</v>
      </c>
      <c r="N1260" s="35" t="b">
        <f>IFERROR(__xludf.DUMMYFUNCTION("""COMPUTED_VALUE"""),FALSE)</f>
        <v>0</v>
      </c>
      <c r="O1260" s="35">
        <f>IFERROR(__xludf.DUMMYFUNCTION("""COMPUTED_VALUE"""),55.4966419229409)</f>
        <v>55.49664192</v>
      </c>
      <c r="P1260" s="35">
        <f>IFERROR(__xludf.DUMMYFUNCTION("""COMPUTED_VALUE"""),4709.0)</f>
        <v>4709</v>
      </c>
      <c r="Q1260" s="35">
        <f>IFERROR(__xludf.DUMMYFUNCTION("""COMPUTED_VALUE"""),8486.0)</f>
        <v>8486</v>
      </c>
    </row>
    <row r="1261">
      <c r="A1261" s="35">
        <f>IFERROR(__xludf.DUMMYFUNCTION("""COMPUTED_VALUE"""),1386.0)</f>
        <v>1386</v>
      </c>
      <c r="B1261" s="35" t="str">
        <f>IFERROR(__xludf.DUMMYFUNCTION("""COMPUTED_VALUE"""),"Shift 2D Grid")</f>
        <v>Shift 2D Grid</v>
      </c>
      <c r="C1261" s="35" t="str">
        <f>IFERROR(__xludf.DUMMYFUNCTION("""COMPUTED_VALUE"""),"shift-2d-grid")</f>
        <v>shift-2d-grid</v>
      </c>
      <c r="D1261" s="35" t="b">
        <f>IFERROR(__xludf.DUMMYFUNCTION("""COMPUTED_VALUE"""),FALSE)</f>
        <v>0</v>
      </c>
      <c r="E1261" s="35" t="str">
        <f>IFERROR(__xludf.DUMMYFUNCTION("""COMPUTED_VALUE"""),"Easy")</f>
        <v>Easy</v>
      </c>
      <c r="F1261" s="35">
        <f>IFERROR(__xludf.DUMMYFUNCTION("""COMPUTED_VALUE"""),453.0)</f>
        <v>453</v>
      </c>
      <c r="G1261" s="35">
        <f>IFERROR(__xludf.DUMMYFUNCTION("""COMPUTED_VALUE"""),138.0)</f>
        <v>138</v>
      </c>
      <c r="H1261" s="35" t="str">
        <f>IFERROR(__xludf.DUMMYFUNCTION("""COMPUTED_VALUE"""),"Algorithms")</f>
        <v>Algorithms</v>
      </c>
      <c r="I1261" s="35">
        <f>IFERROR(__xludf.DUMMYFUNCTION("""COMPUTED_VALUE"""),0.626)</f>
        <v>0.626</v>
      </c>
      <c r="J1261" s="35">
        <f>IFERROR(__xludf.DUMMYFUNCTION("""COMPUTED_VALUE"""),1260.0)</f>
        <v>1260</v>
      </c>
      <c r="K1261" s="35" t="b">
        <f>IFERROR(__xludf.DUMMYFUNCTION("""COMPUTED_VALUE"""),FALSE)</f>
        <v>0</v>
      </c>
      <c r="L1261" s="35" t="str">
        <f>IFERROR(__xludf.DUMMYFUNCTION("""COMPUTED_VALUE"""),"Array;Matrix;Simulation;")</f>
        <v>Array;Matrix;Simulation;</v>
      </c>
      <c r="M1261" s="35" t="b">
        <f>IFERROR(__xludf.DUMMYFUNCTION("""COMPUTED_VALUE"""),TRUE)</f>
        <v>1</v>
      </c>
      <c r="N1261" s="35" t="b">
        <f>IFERROR(__xludf.DUMMYFUNCTION("""COMPUTED_VALUE"""),FALSE)</f>
        <v>0</v>
      </c>
      <c r="O1261" s="35">
        <f>IFERROR(__xludf.DUMMYFUNCTION("""COMPUTED_VALUE"""),62.5521078939922)</f>
        <v>62.55210789</v>
      </c>
      <c r="P1261" s="35">
        <f>IFERROR(__xludf.DUMMYFUNCTION("""COMPUTED_VALUE"""),33161.0)</f>
        <v>33161</v>
      </c>
      <c r="Q1261" s="35">
        <f>IFERROR(__xludf.DUMMYFUNCTION("""COMPUTED_VALUE"""),53014.0)</f>
        <v>53014</v>
      </c>
    </row>
    <row r="1262">
      <c r="A1262" s="35">
        <f>IFERROR(__xludf.DUMMYFUNCTION("""COMPUTED_VALUE"""),1387.0)</f>
        <v>1387</v>
      </c>
      <c r="B1262" s="35" t="str">
        <f>IFERROR(__xludf.DUMMYFUNCTION("""COMPUTED_VALUE"""),"Find Elements in a Contaminated Binary Tree")</f>
        <v>Find Elements in a Contaminated Binary Tree</v>
      </c>
      <c r="C1262" s="35" t="str">
        <f>IFERROR(__xludf.DUMMYFUNCTION("""COMPUTED_VALUE"""),"find-elements-in-a-contaminated-binary-tree")</f>
        <v>find-elements-in-a-contaminated-binary-tree</v>
      </c>
      <c r="D1262" s="35" t="b">
        <f>IFERROR(__xludf.DUMMYFUNCTION("""COMPUTED_VALUE"""),FALSE)</f>
        <v>0</v>
      </c>
      <c r="E1262" s="35" t="str">
        <f>IFERROR(__xludf.DUMMYFUNCTION("""COMPUTED_VALUE"""),"Medium")</f>
        <v>Medium</v>
      </c>
      <c r="F1262" s="35">
        <f>IFERROR(__xludf.DUMMYFUNCTION("""COMPUTED_VALUE"""),564.0)</f>
        <v>564</v>
      </c>
      <c r="G1262" s="35">
        <f>IFERROR(__xludf.DUMMYFUNCTION("""COMPUTED_VALUE"""),76.0)</f>
        <v>76</v>
      </c>
      <c r="H1262" s="35" t="str">
        <f>IFERROR(__xludf.DUMMYFUNCTION("""COMPUTED_VALUE"""),"Algorithms")</f>
        <v>Algorithms</v>
      </c>
      <c r="I1262" s="35">
        <f>IFERROR(__xludf.DUMMYFUNCTION("""COMPUTED_VALUE"""),0.757)</f>
        <v>0.757</v>
      </c>
      <c r="J1262" s="35">
        <f>IFERROR(__xludf.DUMMYFUNCTION("""COMPUTED_VALUE"""),1261.0)</f>
        <v>1261</v>
      </c>
      <c r="K1262" s="35" t="b">
        <f>IFERROR(__xludf.DUMMYFUNCTION("""COMPUTED_VALUE"""),FALSE)</f>
        <v>0</v>
      </c>
      <c r="L1262" s="35" t="str">
        <f>IFERROR(__xludf.DUMMYFUNCTION("""COMPUTED_VALUE"""),"Hash Table;Tree;Depth-First Search;Breadth-First Search;Design;Binary Tree;")</f>
        <v>Hash Table;Tree;Depth-First Search;Breadth-First Search;Design;Binary Tree;</v>
      </c>
      <c r="M1262" s="35" t="b">
        <f>IFERROR(__xludf.DUMMYFUNCTION("""COMPUTED_VALUE"""),FALSE)</f>
        <v>0</v>
      </c>
      <c r="N1262" s="35" t="b">
        <f>IFERROR(__xludf.DUMMYFUNCTION("""COMPUTED_VALUE"""),FALSE)</f>
        <v>0</v>
      </c>
      <c r="O1262" s="35">
        <f>IFERROR(__xludf.DUMMYFUNCTION("""COMPUTED_VALUE"""),75.6772334293948)</f>
        <v>75.67723343</v>
      </c>
      <c r="P1262" s="35">
        <f>IFERROR(__xludf.DUMMYFUNCTION("""COMPUTED_VALUE"""),42016.0)</f>
        <v>42016</v>
      </c>
      <c r="Q1262" s="35">
        <f>IFERROR(__xludf.DUMMYFUNCTION("""COMPUTED_VALUE"""),55520.0)</f>
        <v>55520</v>
      </c>
    </row>
    <row r="1263">
      <c r="A1263" s="35">
        <f>IFERROR(__xludf.DUMMYFUNCTION("""COMPUTED_VALUE"""),1388.0)</f>
        <v>1388</v>
      </c>
      <c r="B1263" s="35" t="str">
        <f>IFERROR(__xludf.DUMMYFUNCTION("""COMPUTED_VALUE"""),"Greatest Sum Divisible by Three")</f>
        <v>Greatest Sum Divisible by Three</v>
      </c>
      <c r="C1263" s="35" t="str">
        <f>IFERROR(__xludf.DUMMYFUNCTION("""COMPUTED_VALUE"""),"greatest-sum-divisible-by-three")</f>
        <v>greatest-sum-divisible-by-three</v>
      </c>
      <c r="D1263" s="35" t="b">
        <f>IFERROR(__xludf.DUMMYFUNCTION("""COMPUTED_VALUE"""),FALSE)</f>
        <v>0</v>
      </c>
      <c r="E1263" s="35" t="str">
        <f>IFERROR(__xludf.DUMMYFUNCTION("""COMPUTED_VALUE"""),"Medium")</f>
        <v>Medium</v>
      </c>
      <c r="F1263" s="35">
        <f>IFERROR(__xludf.DUMMYFUNCTION("""COMPUTED_VALUE"""),1135.0)</f>
        <v>1135</v>
      </c>
      <c r="G1263" s="35">
        <f>IFERROR(__xludf.DUMMYFUNCTION("""COMPUTED_VALUE"""),33.0)</f>
        <v>33</v>
      </c>
      <c r="H1263" s="35" t="str">
        <f>IFERROR(__xludf.DUMMYFUNCTION("""COMPUTED_VALUE"""),"Algorithms")</f>
        <v>Algorithms</v>
      </c>
      <c r="I1263" s="35">
        <f>IFERROR(__xludf.DUMMYFUNCTION("""COMPUTED_VALUE"""),0.508)</f>
        <v>0.508</v>
      </c>
      <c r="J1263" s="35">
        <f>IFERROR(__xludf.DUMMYFUNCTION("""COMPUTED_VALUE"""),1262.0)</f>
        <v>1262</v>
      </c>
      <c r="K1263" s="35" t="b">
        <f>IFERROR(__xludf.DUMMYFUNCTION("""COMPUTED_VALUE"""),FALSE)</f>
        <v>0</v>
      </c>
      <c r="L1263" s="35" t="str">
        <f>IFERROR(__xludf.DUMMYFUNCTION("""COMPUTED_VALUE"""),"Array;Dynamic Programming;Greedy;")</f>
        <v>Array;Dynamic Programming;Greedy;</v>
      </c>
      <c r="M1263" s="35" t="b">
        <f>IFERROR(__xludf.DUMMYFUNCTION("""COMPUTED_VALUE"""),FALSE)</f>
        <v>0</v>
      </c>
      <c r="N1263" s="35" t="b">
        <f>IFERROR(__xludf.DUMMYFUNCTION("""COMPUTED_VALUE"""),FALSE)</f>
        <v>0</v>
      </c>
      <c r="O1263" s="35">
        <f>IFERROR(__xludf.DUMMYFUNCTION("""COMPUTED_VALUE"""),50.8076052386706)</f>
        <v>50.80760524</v>
      </c>
      <c r="P1263" s="35">
        <f>IFERROR(__xludf.DUMMYFUNCTION("""COMPUTED_VALUE"""),36583.0)</f>
        <v>36583</v>
      </c>
      <c r="Q1263" s="35">
        <f>IFERROR(__xludf.DUMMYFUNCTION("""COMPUTED_VALUE"""),72003.0)</f>
        <v>72003</v>
      </c>
    </row>
    <row r="1264">
      <c r="A1264" s="35">
        <f>IFERROR(__xludf.DUMMYFUNCTION("""COMPUTED_VALUE"""),1389.0)</f>
        <v>1389</v>
      </c>
      <c r="B1264" s="35" t="str">
        <f>IFERROR(__xludf.DUMMYFUNCTION("""COMPUTED_VALUE"""),"Minimum Moves to Move a Box to Their Target Location")</f>
        <v>Minimum Moves to Move a Box to Their Target Location</v>
      </c>
      <c r="C1264" s="35" t="str">
        <f>IFERROR(__xludf.DUMMYFUNCTION("""COMPUTED_VALUE"""),"minimum-moves-to-move-a-box-to-their-target-location")</f>
        <v>minimum-moves-to-move-a-box-to-their-target-location</v>
      </c>
      <c r="D1264" s="35" t="b">
        <f>IFERROR(__xludf.DUMMYFUNCTION("""COMPUTED_VALUE"""),FALSE)</f>
        <v>0</v>
      </c>
      <c r="E1264" s="35" t="str">
        <f>IFERROR(__xludf.DUMMYFUNCTION("""COMPUTED_VALUE"""),"Hard")</f>
        <v>Hard</v>
      </c>
      <c r="F1264" s="35">
        <f>IFERROR(__xludf.DUMMYFUNCTION("""COMPUTED_VALUE"""),599.0)</f>
        <v>599</v>
      </c>
      <c r="G1264" s="35">
        <f>IFERROR(__xludf.DUMMYFUNCTION("""COMPUTED_VALUE"""),45.0)</f>
        <v>45</v>
      </c>
      <c r="H1264" s="35" t="str">
        <f>IFERROR(__xludf.DUMMYFUNCTION("""COMPUTED_VALUE"""),"Algorithms")</f>
        <v>Algorithms</v>
      </c>
      <c r="I1264" s="35">
        <f>IFERROR(__xludf.DUMMYFUNCTION("""COMPUTED_VALUE"""),0.483)</f>
        <v>0.483</v>
      </c>
      <c r="J1264" s="35">
        <f>IFERROR(__xludf.DUMMYFUNCTION("""COMPUTED_VALUE"""),1263.0)</f>
        <v>1263</v>
      </c>
      <c r="K1264" s="35" t="b">
        <f>IFERROR(__xludf.DUMMYFUNCTION("""COMPUTED_VALUE"""),FALSE)</f>
        <v>0</v>
      </c>
      <c r="L1264" s="35" t="str">
        <f>IFERROR(__xludf.DUMMYFUNCTION("""COMPUTED_VALUE"""),"Array;Breadth-First Search;Heap (Priority Queue);Matrix;")</f>
        <v>Array;Breadth-First Search;Heap (Priority Queue);Matrix;</v>
      </c>
      <c r="M1264" s="35" t="b">
        <f>IFERROR(__xludf.DUMMYFUNCTION("""COMPUTED_VALUE"""),FALSE)</f>
        <v>0</v>
      </c>
      <c r="N1264" s="35" t="b">
        <f>IFERROR(__xludf.DUMMYFUNCTION("""COMPUTED_VALUE"""),FALSE)</f>
        <v>0</v>
      </c>
      <c r="O1264" s="35">
        <f>IFERROR(__xludf.DUMMYFUNCTION("""COMPUTED_VALUE"""),48.2677486735012)</f>
        <v>48.26774867</v>
      </c>
      <c r="P1264" s="35">
        <f>IFERROR(__xludf.DUMMYFUNCTION("""COMPUTED_VALUE"""),20104.0)</f>
        <v>20104</v>
      </c>
      <c r="Q1264" s="35">
        <f>IFERROR(__xludf.DUMMYFUNCTION("""COMPUTED_VALUE"""),41649.0)</f>
        <v>41649</v>
      </c>
    </row>
    <row r="1265">
      <c r="A1265" s="35">
        <f>IFERROR(__xludf.DUMMYFUNCTION("""COMPUTED_VALUE"""),1399.0)</f>
        <v>1399</v>
      </c>
      <c r="B1265" s="35" t="str">
        <f>IFERROR(__xludf.DUMMYFUNCTION("""COMPUTED_VALUE"""),"Page Recommendations")</f>
        <v>Page Recommendations</v>
      </c>
      <c r="C1265" s="35" t="str">
        <f>IFERROR(__xludf.DUMMYFUNCTION("""COMPUTED_VALUE"""),"page-recommendations")</f>
        <v>page-recommendations</v>
      </c>
      <c r="D1265" s="35" t="b">
        <f>IFERROR(__xludf.DUMMYFUNCTION("""COMPUTED_VALUE"""),TRUE)</f>
        <v>1</v>
      </c>
      <c r="E1265" s="35" t="str">
        <f>IFERROR(__xludf.DUMMYFUNCTION("""COMPUTED_VALUE"""),"Medium")</f>
        <v>Medium</v>
      </c>
      <c r="F1265" s="35">
        <f>IFERROR(__xludf.DUMMYFUNCTION("""COMPUTED_VALUE"""),136.0)</f>
        <v>136</v>
      </c>
      <c r="G1265" s="35">
        <f>IFERROR(__xludf.DUMMYFUNCTION("""COMPUTED_VALUE"""),10.0)</f>
        <v>10</v>
      </c>
      <c r="H1265" s="35" t="str">
        <f>IFERROR(__xludf.DUMMYFUNCTION("""COMPUTED_VALUE"""),"Database")</f>
        <v>Database</v>
      </c>
      <c r="I1265" s="35">
        <f>IFERROR(__xludf.DUMMYFUNCTION("""COMPUTED_VALUE"""),0.676)</f>
        <v>0.676</v>
      </c>
      <c r="J1265" s="35">
        <f>IFERROR(__xludf.DUMMYFUNCTION("""COMPUTED_VALUE"""),1264.0)</f>
        <v>1264</v>
      </c>
      <c r="K1265" s="35" t="b">
        <f>IFERROR(__xludf.DUMMYFUNCTION("""COMPUTED_VALUE"""),TRUE)</f>
        <v>1</v>
      </c>
      <c r="L1265" s="35" t="str">
        <f>IFERROR(__xludf.DUMMYFUNCTION("""COMPUTED_VALUE"""),"Database;")</f>
        <v>Database;</v>
      </c>
      <c r="M1265" s="35" t="b">
        <f>IFERROR(__xludf.DUMMYFUNCTION("""COMPUTED_VALUE"""),FALSE)</f>
        <v>0</v>
      </c>
      <c r="N1265" s="35" t="b">
        <f>IFERROR(__xludf.DUMMYFUNCTION("""COMPUTED_VALUE"""),FALSE)</f>
        <v>0</v>
      </c>
      <c r="O1265" s="35">
        <f>IFERROR(__xludf.DUMMYFUNCTION("""COMPUTED_VALUE"""),67.5894069000347)</f>
        <v>67.5894069</v>
      </c>
      <c r="P1265" s="35">
        <f>IFERROR(__xludf.DUMMYFUNCTION("""COMPUTED_VALUE"""),21413.0)</f>
        <v>21413</v>
      </c>
      <c r="Q1265" s="35">
        <f>IFERROR(__xludf.DUMMYFUNCTION("""COMPUTED_VALUE"""),31681.0)</f>
        <v>31681</v>
      </c>
    </row>
    <row r="1266">
      <c r="A1266" s="35">
        <f>IFERROR(__xludf.DUMMYFUNCTION("""COMPUTED_VALUE"""),1404.0)</f>
        <v>1404</v>
      </c>
      <c r="B1266" s="35" t="str">
        <f>IFERROR(__xludf.DUMMYFUNCTION("""COMPUTED_VALUE"""),"Print Immutable Linked List in Reverse")</f>
        <v>Print Immutable Linked List in Reverse</v>
      </c>
      <c r="C1266" s="35" t="str">
        <f>IFERROR(__xludf.DUMMYFUNCTION("""COMPUTED_VALUE"""),"print-immutable-linked-list-in-reverse")</f>
        <v>print-immutable-linked-list-in-reverse</v>
      </c>
      <c r="D1266" s="35" t="b">
        <f>IFERROR(__xludf.DUMMYFUNCTION("""COMPUTED_VALUE"""),TRUE)</f>
        <v>1</v>
      </c>
      <c r="E1266" s="35" t="str">
        <f>IFERROR(__xludf.DUMMYFUNCTION("""COMPUTED_VALUE"""),"Medium")</f>
        <v>Medium</v>
      </c>
      <c r="F1266" s="35">
        <f>IFERROR(__xludf.DUMMYFUNCTION("""COMPUTED_VALUE"""),410.0)</f>
        <v>410</v>
      </c>
      <c r="G1266" s="35">
        <f>IFERROR(__xludf.DUMMYFUNCTION("""COMPUTED_VALUE"""),73.0)</f>
        <v>73</v>
      </c>
      <c r="H1266" s="35" t="str">
        <f>IFERROR(__xludf.DUMMYFUNCTION("""COMPUTED_VALUE"""),"Algorithms")</f>
        <v>Algorithms</v>
      </c>
      <c r="I1266" s="35">
        <f>IFERROR(__xludf.DUMMYFUNCTION("""COMPUTED_VALUE"""),0.943)</f>
        <v>0.943</v>
      </c>
      <c r="J1266" s="35">
        <f>IFERROR(__xludf.DUMMYFUNCTION("""COMPUTED_VALUE"""),1265.0)</f>
        <v>1265</v>
      </c>
      <c r="K1266" s="35" t="b">
        <f>IFERROR(__xludf.DUMMYFUNCTION("""COMPUTED_VALUE"""),TRUE)</f>
        <v>1</v>
      </c>
      <c r="L1266" s="35" t="str">
        <f>IFERROR(__xludf.DUMMYFUNCTION("""COMPUTED_VALUE"""),"Linked List;Two Pointers;Stack;Recursion;")</f>
        <v>Linked List;Two Pointers;Stack;Recursion;</v>
      </c>
      <c r="M1266" s="35" t="b">
        <f>IFERROR(__xludf.DUMMYFUNCTION("""COMPUTED_VALUE"""),FALSE)</f>
        <v>0</v>
      </c>
      <c r="N1266" s="35" t="b">
        <f>IFERROR(__xludf.DUMMYFUNCTION("""COMPUTED_VALUE"""),FALSE)</f>
        <v>0</v>
      </c>
      <c r="O1266" s="35">
        <f>IFERROR(__xludf.DUMMYFUNCTION("""COMPUTED_VALUE"""),94.2783059636992)</f>
        <v>94.27830596</v>
      </c>
      <c r="P1266" s="35">
        <f>IFERROR(__xludf.DUMMYFUNCTION("""COMPUTED_VALUE"""),38176.0)</f>
        <v>38176</v>
      </c>
      <c r="Q1266" s="35">
        <f>IFERROR(__xludf.DUMMYFUNCTION("""COMPUTED_VALUE"""),40493.0)</f>
        <v>40493</v>
      </c>
    </row>
    <row r="1267">
      <c r="A1267" s="35">
        <f>IFERROR(__xludf.DUMMYFUNCTION("""COMPUTED_VALUE"""),1395.0)</f>
        <v>1395</v>
      </c>
      <c r="B1267" s="35" t="str">
        <f>IFERROR(__xludf.DUMMYFUNCTION("""COMPUTED_VALUE"""),"Minimum Time Visiting All Points")</f>
        <v>Minimum Time Visiting All Points</v>
      </c>
      <c r="C1267" s="35" t="str">
        <f>IFERROR(__xludf.DUMMYFUNCTION("""COMPUTED_VALUE"""),"minimum-time-visiting-all-points")</f>
        <v>minimum-time-visiting-all-points</v>
      </c>
      <c r="D1267" s="35" t="b">
        <f>IFERROR(__xludf.DUMMYFUNCTION("""COMPUTED_VALUE"""),FALSE)</f>
        <v>0</v>
      </c>
      <c r="E1267" s="35" t="str">
        <f>IFERROR(__xludf.DUMMYFUNCTION("""COMPUTED_VALUE"""),"Easy")</f>
        <v>Easy</v>
      </c>
      <c r="F1267" s="35">
        <f>IFERROR(__xludf.DUMMYFUNCTION("""COMPUTED_VALUE"""),1143.0)</f>
        <v>1143</v>
      </c>
      <c r="G1267" s="35">
        <f>IFERROR(__xludf.DUMMYFUNCTION("""COMPUTED_VALUE"""),155.0)</f>
        <v>155</v>
      </c>
      <c r="H1267" s="35" t="str">
        <f>IFERROR(__xludf.DUMMYFUNCTION("""COMPUTED_VALUE"""),"Algorithms")</f>
        <v>Algorithms</v>
      </c>
      <c r="I1267" s="35">
        <f>IFERROR(__xludf.DUMMYFUNCTION("""COMPUTED_VALUE"""),0.791)</f>
        <v>0.791</v>
      </c>
      <c r="J1267" s="35">
        <f>IFERROR(__xludf.DUMMYFUNCTION("""COMPUTED_VALUE"""),1266.0)</f>
        <v>1266</v>
      </c>
      <c r="K1267" s="35" t="b">
        <f>IFERROR(__xludf.DUMMYFUNCTION("""COMPUTED_VALUE"""),FALSE)</f>
        <v>0</v>
      </c>
      <c r="L1267" s="35" t="str">
        <f>IFERROR(__xludf.DUMMYFUNCTION("""COMPUTED_VALUE"""),"Array;Math;Geometry;")</f>
        <v>Array;Math;Geometry;</v>
      </c>
      <c r="M1267" s="35" t="b">
        <f>IFERROR(__xludf.DUMMYFUNCTION("""COMPUTED_VALUE"""),FALSE)</f>
        <v>0</v>
      </c>
      <c r="N1267" s="35" t="b">
        <f>IFERROR(__xludf.DUMMYFUNCTION("""COMPUTED_VALUE"""),FALSE)</f>
        <v>0</v>
      </c>
      <c r="O1267" s="35">
        <f>IFERROR(__xludf.DUMMYFUNCTION("""COMPUTED_VALUE"""),79.1135965751628)</f>
        <v>79.11359658</v>
      </c>
      <c r="P1267" s="35">
        <f>IFERROR(__xludf.DUMMYFUNCTION("""COMPUTED_VALUE"""),111617.0)</f>
        <v>111617</v>
      </c>
      <c r="Q1267" s="35">
        <f>IFERROR(__xludf.DUMMYFUNCTION("""COMPUTED_VALUE"""),141084.0)</f>
        <v>141084</v>
      </c>
    </row>
    <row r="1268">
      <c r="A1268" s="35">
        <f>IFERROR(__xludf.DUMMYFUNCTION("""COMPUTED_VALUE"""),1396.0)</f>
        <v>1396</v>
      </c>
      <c r="B1268" s="35" t="str">
        <f>IFERROR(__xludf.DUMMYFUNCTION("""COMPUTED_VALUE"""),"Count Servers that Communicate")</f>
        <v>Count Servers that Communicate</v>
      </c>
      <c r="C1268" s="35" t="str">
        <f>IFERROR(__xludf.DUMMYFUNCTION("""COMPUTED_VALUE"""),"count-servers-that-communicate")</f>
        <v>count-servers-that-communicate</v>
      </c>
      <c r="D1268" s="35" t="b">
        <f>IFERROR(__xludf.DUMMYFUNCTION("""COMPUTED_VALUE"""),FALSE)</f>
        <v>0</v>
      </c>
      <c r="E1268" s="35" t="str">
        <f>IFERROR(__xludf.DUMMYFUNCTION("""COMPUTED_VALUE"""),"Medium")</f>
        <v>Medium</v>
      </c>
      <c r="F1268" s="35">
        <f>IFERROR(__xludf.DUMMYFUNCTION("""COMPUTED_VALUE"""),822.0)</f>
        <v>822</v>
      </c>
      <c r="G1268" s="35">
        <f>IFERROR(__xludf.DUMMYFUNCTION("""COMPUTED_VALUE"""),69.0)</f>
        <v>69</v>
      </c>
      <c r="H1268" s="35" t="str">
        <f>IFERROR(__xludf.DUMMYFUNCTION("""COMPUTED_VALUE"""),"Algorithms")</f>
        <v>Algorithms</v>
      </c>
      <c r="I1268" s="35">
        <f>IFERROR(__xludf.DUMMYFUNCTION("""COMPUTED_VALUE"""),0.581)</f>
        <v>0.581</v>
      </c>
      <c r="J1268" s="35">
        <f>IFERROR(__xludf.DUMMYFUNCTION("""COMPUTED_VALUE"""),1267.0)</f>
        <v>1267</v>
      </c>
      <c r="K1268" s="35" t="b">
        <f>IFERROR(__xludf.DUMMYFUNCTION("""COMPUTED_VALUE"""),FALSE)</f>
        <v>0</v>
      </c>
      <c r="L1268" s="35" t="str">
        <f>IFERROR(__xludf.DUMMYFUNCTION("""COMPUTED_VALUE"""),"Array;Depth-First Search;Breadth-First Search;Union Find;Matrix;Counting;")</f>
        <v>Array;Depth-First Search;Breadth-First Search;Union Find;Matrix;Counting;</v>
      </c>
      <c r="M1268" s="35" t="b">
        <f>IFERROR(__xludf.DUMMYFUNCTION("""COMPUTED_VALUE"""),FALSE)</f>
        <v>0</v>
      </c>
      <c r="N1268" s="35" t="b">
        <f>IFERROR(__xludf.DUMMYFUNCTION("""COMPUTED_VALUE"""),FALSE)</f>
        <v>0</v>
      </c>
      <c r="O1268" s="35">
        <f>IFERROR(__xludf.DUMMYFUNCTION("""COMPUTED_VALUE"""),58.1172591998574)</f>
        <v>58.1172592</v>
      </c>
      <c r="P1268" s="35">
        <f>IFERROR(__xludf.DUMMYFUNCTION("""COMPUTED_VALUE"""),39135.0)</f>
        <v>39135</v>
      </c>
      <c r="Q1268" s="35">
        <f>IFERROR(__xludf.DUMMYFUNCTION("""COMPUTED_VALUE"""),67338.0)</f>
        <v>67338</v>
      </c>
    </row>
    <row r="1269">
      <c r="A1269" s="35">
        <f>IFERROR(__xludf.DUMMYFUNCTION("""COMPUTED_VALUE"""),1397.0)</f>
        <v>1397</v>
      </c>
      <c r="B1269" s="35" t="str">
        <f>IFERROR(__xludf.DUMMYFUNCTION("""COMPUTED_VALUE"""),"Search Suggestions System")</f>
        <v>Search Suggestions System</v>
      </c>
      <c r="C1269" s="35" t="str">
        <f>IFERROR(__xludf.DUMMYFUNCTION("""COMPUTED_VALUE"""),"search-suggestions-system")</f>
        <v>search-suggestions-system</v>
      </c>
      <c r="D1269" s="35" t="b">
        <f>IFERROR(__xludf.DUMMYFUNCTION("""COMPUTED_VALUE"""),FALSE)</f>
        <v>0</v>
      </c>
      <c r="E1269" s="35" t="str">
        <f>IFERROR(__xludf.DUMMYFUNCTION("""COMPUTED_VALUE"""),"Medium")</f>
        <v>Medium</v>
      </c>
      <c r="F1269" s="35">
        <f>IFERROR(__xludf.DUMMYFUNCTION("""COMPUTED_VALUE"""),2101.0)</f>
        <v>2101</v>
      </c>
      <c r="G1269" s="35">
        <f>IFERROR(__xludf.DUMMYFUNCTION("""COMPUTED_VALUE"""),126.0)</f>
        <v>126</v>
      </c>
      <c r="H1269" s="35" t="str">
        <f>IFERROR(__xludf.DUMMYFUNCTION("""COMPUTED_VALUE"""),"Algorithms")</f>
        <v>Algorithms</v>
      </c>
      <c r="I1269" s="35">
        <f>IFERROR(__xludf.DUMMYFUNCTION("""COMPUTED_VALUE"""),0.655)</f>
        <v>0.655</v>
      </c>
      <c r="J1269" s="35">
        <f>IFERROR(__xludf.DUMMYFUNCTION("""COMPUTED_VALUE"""),1268.0)</f>
        <v>1268</v>
      </c>
      <c r="K1269" s="35" t="b">
        <f>IFERROR(__xludf.DUMMYFUNCTION("""COMPUTED_VALUE"""),FALSE)</f>
        <v>0</v>
      </c>
      <c r="L1269" s="35" t="str">
        <f>IFERROR(__xludf.DUMMYFUNCTION("""COMPUTED_VALUE"""),"Array;String;Trie;")</f>
        <v>Array;String;Trie;</v>
      </c>
      <c r="M1269" s="35" t="b">
        <f>IFERROR(__xludf.DUMMYFUNCTION("""COMPUTED_VALUE"""),TRUE)</f>
        <v>1</v>
      </c>
      <c r="N1269" s="35" t="b">
        <f>IFERROR(__xludf.DUMMYFUNCTION("""COMPUTED_VALUE"""),FALSE)</f>
        <v>0</v>
      </c>
      <c r="O1269" s="35">
        <f>IFERROR(__xludf.DUMMYFUNCTION("""COMPUTED_VALUE"""),65.5123579749915)</f>
        <v>65.51235797</v>
      </c>
      <c r="P1269" s="35">
        <f>IFERROR(__xludf.DUMMYFUNCTION("""COMPUTED_VALUE"""),141087.0)</f>
        <v>141087</v>
      </c>
      <c r="Q1269" s="35">
        <f>IFERROR(__xludf.DUMMYFUNCTION("""COMPUTED_VALUE"""),215359.0)</f>
        <v>215359</v>
      </c>
    </row>
    <row r="1270">
      <c r="A1270" s="35">
        <f>IFERROR(__xludf.DUMMYFUNCTION("""COMPUTED_VALUE"""),1398.0)</f>
        <v>1398</v>
      </c>
      <c r="B1270" s="35" t="str">
        <f>IFERROR(__xludf.DUMMYFUNCTION("""COMPUTED_VALUE"""),"Number of Ways to Stay in the Same Place After Some Steps")</f>
        <v>Number of Ways to Stay in the Same Place After Some Steps</v>
      </c>
      <c r="C1270" s="35" t="str">
        <f>IFERROR(__xludf.DUMMYFUNCTION("""COMPUTED_VALUE"""),"number-of-ways-to-stay-in-the-same-place-after-some-steps")</f>
        <v>number-of-ways-to-stay-in-the-same-place-after-some-steps</v>
      </c>
      <c r="D1270" s="35" t="b">
        <f>IFERROR(__xludf.DUMMYFUNCTION("""COMPUTED_VALUE"""),FALSE)</f>
        <v>0</v>
      </c>
      <c r="E1270" s="35" t="str">
        <f>IFERROR(__xludf.DUMMYFUNCTION("""COMPUTED_VALUE"""),"Hard")</f>
        <v>Hard</v>
      </c>
      <c r="F1270" s="35">
        <f>IFERROR(__xludf.DUMMYFUNCTION("""COMPUTED_VALUE"""),509.0)</f>
        <v>509</v>
      </c>
      <c r="G1270" s="35">
        <f>IFERROR(__xludf.DUMMYFUNCTION("""COMPUTED_VALUE"""),29.0)</f>
        <v>29</v>
      </c>
      <c r="H1270" s="35" t="str">
        <f>IFERROR(__xludf.DUMMYFUNCTION("""COMPUTED_VALUE"""),"Algorithms")</f>
        <v>Algorithms</v>
      </c>
      <c r="I1270" s="35">
        <f>IFERROR(__xludf.DUMMYFUNCTION("""COMPUTED_VALUE"""),0.434)</f>
        <v>0.434</v>
      </c>
      <c r="J1270" s="35">
        <f>IFERROR(__xludf.DUMMYFUNCTION("""COMPUTED_VALUE"""),1269.0)</f>
        <v>1269</v>
      </c>
      <c r="K1270" s="35" t="b">
        <f>IFERROR(__xludf.DUMMYFUNCTION("""COMPUTED_VALUE"""),FALSE)</f>
        <v>0</v>
      </c>
      <c r="L1270" s="35" t="str">
        <f>IFERROR(__xludf.DUMMYFUNCTION("""COMPUTED_VALUE"""),"Dynamic Programming;")</f>
        <v>Dynamic Programming;</v>
      </c>
      <c r="M1270" s="35" t="b">
        <f>IFERROR(__xludf.DUMMYFUNCTION("""COMPUTED_VALUE"""),FALSE)</f>
        <v>0</v>
      </c>
      <c r="N1270" s="35" t="b">
        <f>IFERROR(__xludf.DUMMYFUNCTION("""COMPUTED_VALUE"""),FALSE)</f>
        <v>0</v>
      </c>
      <c r="O1270" s="35">
        <f>IFERROR(__xludf.DUMMYFUNCTION("""COMPUTED_VALUE"""),43.3699276246238)</f>
        <v>43.36992762</v>
      </c>
      <c r="P1270" s="35">
        <f>IFERROR(__xludf.DUMMYFUNCTION("""COMPUTED_VALUE"""),26666.0)</f>
        <v>26666</v>
      </c>
      <c r="Q1270" s="35">
        <f>IFERROR(__xludf.DUMMYFUNCTION("""COMPUTED_VALUE"""),61485.0)</f>
        <v>61485</v>
      </c>
    </row>
    <row r="1271">
      <c r="A1271" s="35">
        <f>IFERROR(__xludf.DUMMYFUNCTION("""COMPUTED_VALUE"""),1405.0)</f>
        <v>1405</v>
      </c>
      <c r="B1271" s="35" t="str">
        <f>IFERROR(__xludf.DUMMYFUNCTION("""COMPUTED_VALUE"""),"All People Report to the Given Manager")</f>
        <v>All People Report to the Given Manager</v>
      </c>
      <c r="C1271" s="35" t="str">
        <f>IFERROR(__xludf.DUMMYFUNCTION("""COMPUTED_VALUE"""),"all-people-report-to-the-given-manager")</f>
        <v>all-people-report-to-the-given-manager</v>
      </c>
      <c r="D1271" s="35" t="b">
        <f>IFERROR(__xludf.DUMMYFUNCTION("""COMPUTED_VALUE"""),TRUE)</f>
        <v>1</v>
      </c>
      <c r="E1271" s="35" t="str">
        <f>IFERROR(__xludf.DUMMYFUNCTION("""COMPUTED_VALUE"""),"Medium")</f>
        <v>Medium</v>
      </c>
      <c r="F1271" s="35">
        <f>IFERROR(__xludf.DUMMYFUNCTION("""COMPUTED_VALUE"""),280.0)</f>
        <v>280</v>
      </c>
      <c r="G1271" s="35">
        <f>IFERROR(__xludf.DUMMYFUNCTION("""COMPUTED_VALUE"""),21.0)</f>
        <v>21</v>
      </c>
      <c r="H1271" s="35" t="str">
        <f>IFERROR(__xludf.DUMMYFUNCTION("""COMPUTED_VALUE"""),"Database")</f>
        <v>Database</v>
      </c>
      <c r="I1271" s="35">
        <f>IFERROR(__xludf.DUMMYFUNCTION("""COMPUTED_VALUE"""),0.881)</f>
        <v>0.881</v>
      </c>
      <c r="J1271" s="35">
        <f>IFERROR(__xludf.DUMMYFUNCTION("""COMPUTED_VALUE"""),1270.0)</f>
        <v>1270</v>
      </c>
      <c r="K1271" s="35" t="b">
        <f>IFERROR(__xludf.DUMMYFUNCTION("""COMPUTED_VALUE"""),TRUE)</f>
        <v>1</v>
      </c>
      <c r="L1271" s="35" t="str">
        <f>IFERROR(__xludf.DUMMYFUNCTION("""COMPUTED_VALUE"""),"Database;")</f>
        <v>Database;</v>
      </c>
      <c r="M1271" s="35" t="b">
        <f>IFERROR(__xludf.DUMMYFUNCTION("""COMPUTED_VALUE"""),FALSE)</f>
        <v>0</v>
      </c>
      <c r="N1271" s="35" t="b">
        <f>IFERROR(__xludf.DUMMYFUNCTION("""COMPUTED_VALUE"""),FALSE)</f>
        <v>0</v>
      </c>
      <c r="O1271" s="35">
        <f>IFERROR(__xludf.DUMMYFUNCTION("""COMPUTED_VALUE"""),88.0512745953281)</f>
        <v>88.0512746</v>
      </c>
      <c r="P1271" s="35">
        <f>IFERROR(__xludf.DUMMYFUNCTION("""COMPUTED_VALUE"""),36337.0)</f>
        <v>36337</v>
      </c>
      <c r="Q1271" s="35">
        <f>IFERROR(__xludf.DUMMYFUNCTION("""COMPUTED_VALUE"""),41268.0)</f>
        <v>41268</v>
      </c>
    </row>
    <row r="1272">
      <c r="A1272" s="35">
        <f>IFERROR(__xludf.DUMMYFUNCTION("""COMPUTED_VALUE"""),1199.0)</f>
        <v>1199</v>
      </c>
      <c r="B1272" s="35" t="str">
        <f>IFERROR(__xludf.DUMMYFUNCTION("""COMPUTED_VALUE"""),"Hexspeak")</f>
        <v>Hexspeak</v>
      </c>
      <c r="C1272" s="35" t="str">
        <f>IFERROR(__xludf.DUMMYFUNCTION("""COMPUTED_VALUE"""),"hexspeak")</f>
        <v>hexspeak</v>
      </c>
      <c r="D1272" s="35" t="b">
        <f>IFERROR(__xludf.DUMMYFUNCTION("""COMPUTED_VALUE"""),TRUE)</f>
        <v>1</v>
      </c>
      <c r="E1272" s="35" t="str">
        <f>IFERROR(__xludf.DUMMYFUNCTION("""COMPUTED_VALUE"""),"Easy")</f>
        <v>Easy</v>
      </c>
      <c r="F1272" s="35">
        <f>IFERROR(__xludf.DUMMYFUNCTION("""COMPUTED_VALUE"""),57.0)</f>
        <v>57</v>
      </c>
      <c r="G1272" s="35">
        <f>IFERROR(__xludf.DUMMYFUNCTION("""COMPUTED_VALUE"""),101.0)</f>
        <v>101</v>
      </c>
      <c r="H1272" s="35" t="str">
        <f>IFERROR(__xludf.DUMMYFUNCTION("""COMPUTED_VALUE"""),"Algorithms")</f>
        <v>Algorithms</v>
      </c>
      <c r="I1272" s="35">
        <f>IFERROR(__xludf.DUMMYFUNCTION("""COMPUTED_VALUE"""),0.563)</f>
        <v>0.563</v>
      </c>
      <c r="J1272" s="35">
        <f>IFERROR(__xludf.DUMMYFUNCTION("""COMPUTED_VALUE"""),1271.0)</f>
        <v>1271</v>
      </c>
      <c r="K1272" s="35" t="b">
        <f>IFERROR(__xludf.DUMMYFUNCTION("""COMPUTED_VALUE"""),TRUE)</f>
        <v>1</v>
      </c>
      <c r="L1272" s="35" t="str">
        <f>IFERROR(__xludf.DUMMYFUNCTION("""COMPUTED_VALUE"""),"Math;String;")</f>
        <v>Math;String;</v>
      </c>
      <c r="M1272" s="35" t="b">
        <f>IFERROR(__xludf.DUMMYFUNCTION("""COMPUTED_VALUE"""),FALSE)</f>
        <v>0</v>
      </c>
      <c r="N1272" s="35" t="b">
        <f>IFERROR(__xludf.DUMMYFUNCTION("""COMPUTED_VALUE"""),FALSE)</f>
        <v>0</v>
      </c>
      <c r="O1272" s="35">
        <f>IFERROR(__xludf.DUMMYFUNCTION("""COMPUTED_VALUE"""),56.3062733328453)</f>
        <v>56.30627333</v>
      </c>
      <c r="P1272" s="35">
        <f>IFERROR(__xludf.DUMMYFUNCTION("""COMPUTED_VALUE"""),7692.0)</f>
        <v>7692</v>
      </c>
      <c r="Q1272" s="35">
        <f>IFERROR(__xludf.DUMMYFUNCTION("""COMPUTED_VALUE"""),13661.0)</f>
        <v>13661</v>
      </c>
    </row>
    <row r="1273">
      <c r="A1273" s="35">
        <f>IFERROR(__xludf.DUMMYFUNCTION("""COMPUTED_VALUE"""),1200.0)</f>
        <v>1200</v>
      </c>
      <c r="B1273" s="35" t="str">
        <f>IFERROR(__xludf.DUMMYFUNCTION("""COMPUTED_VALUE"""),"Remove Interval")</f>
        <v>Remove Interval</v>
      </c>
      <c r="C1273" s="35" t="str">
        <f>IFERROR(__xludf.DUMMYFUNCTION("""COMPUTED_VALUE"""),"remove-interval")</f>
        <v>remove-interval</v>
      </c>
      <c r="D1273" s="35" t="b">
        <f>IFERROR(__xludf.DUMMYFUNCTION("""COMPUTED_VALUE"""),TRUE)</f>
        <v>1</v>
      </c>
      <c r="E1273" s="35" t="str">
        <f>IFERROR(__xludf.DUMMYFUNCTION("""COMPUTED_VALUE"""),"Medium")</f>
        <v>Medium</v>
      </c>
      <c r="F1273" s="35">
        <f>IFERROR(__xludf.DUMMYFUNCTION("""COMPUTED_VALUE"""),257.0)</f>
        <v>257</v>
      </c>
      <c r="G1273" s="35">
        <f>IFERROR(__xludf.DUMMYFUNCTION("""COMPUTED_VALUE"""),20.0)</f>
        <v>20</v>
      </c>
      <c r="H1273" s="35" t="str">
        <f>IFERROR(__xludf.DUMMYFUNCTION("""COMPUTED_VALUE"""),"Algorithms")</f>
        <v>Algorithms</v>
      </c>
      <c r="I1273" s="35">
        <f>IFERROR(__xludf.DUMMYFUNCTION("""COMPUTED_VALUE"""),0.608)</f>
        <v>0.608</v>
      </c>
      <c r="J1273" s="35">
        <f>IFERROR(__xludf.DUMMYFUNCTION("""COMPUTED_VALUE"""),1272.0)</f>
        <v>1272</v>
      </c>
      <c r="K1273" s="35" t="b">
        <f>IFERROR(__xludf.DUMMYFUNCTION("""COMPUTED_VALUE"""),TRUE)</f>
        <v>1</v>
      </c>
      <c r="L1273" s="35" t="str">
        <f>IFERROR(__xludf.DUMMYFUNCTION("""COMPUTED_VALUE"""),"Array;")</f>
        <v>Array;</v>
      </c>
      <c r="M1273" s="35" t="b">
        <f>IFERROR(__xludf.DUMMYFUNCTION("""COMPUTED_VALUE"""),TRUE)</f>
        <v>1</v>
      </c>
      <c r="N1273" s="35" t="b">
        <f>IFERROR(__xludf.DUMMYFUNCTION("""COMPUTED_VALUE"""),TRUE)</f>
        <v>1</v>
      </c>
      <c r="O1273" s="35">
        <f>IFERROR(__xludf.DUMMYFUNCTION("""COMPUTED_VALUE"""),60.8457661626781)</f>
        <v>60.84576616</v>
      </c>
      <c r="P1273" s="35">
        <f>IFERROR(__xludf.DUMMYFUNCTION("""COMPUTED_VALUE"""),18230.0)</f>
        <v>18230</v>
      </c>
      <c r="Q1273" s="35">
        <f>IFERROR(__xludf.DUMMYFUNCTION("""COMPUTED_VALUE"""),29961.0)</f>
        <v>29961</v>
      </c>
    </row>
    <row r="1274">
      <c r="A1274" s="35">
        <f>IFERROR(__xludf.DUMMYFUNCTION("""COMPUTED_VALUE"""),1201.0)</f>
        <v>1201</v>
      </c>
      <c r="B1274" s="35" t="str">
        <f>IFERROR(__xludf.DUMMYFUNCTION("""COMPUTED_VALUE"""),"Delete Tree Nodes")</f>
        <v>Delete Tree Nodes</v>
      </c>
      <c r="C1274" s="35" t="str">
        <f>IFERROR(__xludf.DUMMYFUNCTION("""COMPUTED_VALUE"""),"delete-tree-nodes")</f>
        <v>delete-tree-nodes</v>
      </c>
      <c r="D1274" s="35" t="b">
        <f>IFERROR(__xludf.DUMMYFUNCTION("""COMPUTED_VALUE"""),TRUE)</f>
        <v>1</v>
      </c>
      <c r="E1274" s="35" t="str">
        <f>IFERROR(__xludf.DUMMYFUNCTION("""COMPUTED_VALUE"""),"Medium")</f>
        <v>Medium</v>
      </c>
      <c r="F1274" s="35">
        <f>IFERROR(__xludf.DUMMYFUNCTION("""COMPUTED_VALUE"""),185.0)</f>
        <v>185</v>
      </c>
      <c r="G1274" s="35">
        <f>IFERROR(__xludf.DUMMYFUNCTION("""COMPUTED_VALUE"""),58.0)</f>
        <v>58</v>
      </c>
      <c r="H1274" s="35" t="str">
        <f>IFERROR(__xludf.DUMMYFUNCTION("""COMPUTED_VALUE"""),"Algorithms")</f>
        <v>Algorithms</v>
      </c>
      <c r="I1274" s="35">
        <f>IFERROR(__xludf.DUMMYFUNCTION("""COMPUTED_VALUE"""),0.612)</f>
        <v>0.612</v>
      </c>
      <c r="J1274" s="35">
        <f>IFERROR(__xludf.DUMMYFUNCTION("""COMPUTED_VALUE"""),1273.0)</f>
        <v>1273</v>
      </c>
      <c r="K1274" s="35" t="b">
        <f>IFERROR(__xludf.DUMMYFUNCTION("""COMPUTED_VALUE"""),TRUE)</f>
        <v>1</v>
      </c>
      <c r="L1274" s="35" t="str">
        <f>IFERROR(__xludf.DUMMYFUNCTION("""COMPUTED_VALUE"""),"Tree;Depth-First Search;Breadth-First Search;")</f>
        <v>Tree;Depth-First Search;Breadth-First Search;</v>
      </c>
      <c r="M1274" s="35" t="b">
        <f>IFERROR(__xludf.DUMMYFUNCTION("""COMPUTED_VALUE"""),FALSE)</f>
        <v>0</v>
      </c>
      <c r="N1274" s="35" t="b">
        <f>IFERROR(__xludf.DUMMYFUNCTION("""COMPUTED_VALUE"""),FALSE)</f>
        <v>0</v>
      </c>
      <c r="O1274" s="35">
        <f>IFERROR(__xludf.DUMMYFUNCTION("""COMPUTED_VALUE"""),61.2217397814044)</f>
        <v>61.22173978</v>
      </c>
      <c r="P1274" s="35">
        <f>IFERROR(__xludf.DUMMYFUNCTION("""COMPUTED_VALUE"""),8178.0)</f>
        <v>8178</v>
      </c>
      <c r="Q1274" s="35">
        <f>IFERROR(__xludf.DUMMYFUNCTION("""COMPUTED_VALUE"""),13358.0)</f>
        <v>13358</v>
      </c>
    </row>
    <row r="1275">
      <c r="A1275" s="35">
        <f>IFERROR(__xludf.DUMMYFUNCTION("""COMPUTED_VALUE"""),1233.0)</f>
        <v>1233</v>
      </c>
      <c r="B1275" s="35" t="str">
        <f>IFERROR(__xludf.DUMMYFUNCTION("""COMPUTED_VALUE"""),"Number of Ships in a Rectangle")</f>
        <v>Number of Ships in a Rectangle</v>
      </c>
      <c r="C1275" s="35" t="str">
        <f>IFERROR(__xludf.DUMMYFUNCTION("""COMPUTED_VALUE"""),"number-of-ships-in-a-rectangle")</f>
        <v>number-of-ships-in-a-rectangle</v>
      </c>
      <c r="D1275" s="35" t="b">
        <f>IFERROR(__xludf.DUMMYFUNCTION("""COMPUTED_VALUE"""),TRUE)</f>
        <v>1</v>
      </c>
      <c r="E1275" s="35" t="str">
        <f>IFERROR(__xludf.DUMMYFUNCTION("""COMPUTED_VALUE"""),"Hard")</f>
        <v>Hard</v>
      </c>
      <c r="F1275" s="35">
        <f>IFERROR(__xludf.DUMMYFUNCTION("""COMPUTED_VALUE"""),357.0)</f>
        <v>357</v>
      </c>
      <c r="G1275" s="35">
        <f>IFERROR(__xludf.DUMMYFUNCTION("""COMPUTED_VALUE"""),42.0)</f>
        <v>42</v>
      </c>
      <c r="H1275" s="35" t="str">
        <f>IFERROR(__xludf.DUMMYFUNCTION("""COMPUTED_VALUE"""),"Algorithms")</f>
        <v>Algorithms</v>
      </c>
      <c r="I1275" s="35">
        <f>IFERROR(__xludf.DUMMYFUNCTION("""COMPUTED_VALUE"""),0.685)</f>
        <v>0.685</v>
      </c>
      <c r="J1275" s="35">
        <f>IFERROR(__xludf.DUMMYFUNCTION("""COMPUTED_VALUE"""),1274.0)</f>
        <v>1274</v>
      </c>
      <c r="K1275" s="35" t="b">
        <f>IFERROR(__xludf.DUMMYFUNCTION("""COMPUTED_VALUE"""),TRUE)</f>
        <v>1</v>
      </c>
      <c r="L1275" s="35" t="str">
        <f>IFERROR(__xludf.DUMMYFUNCTION("""COMPUTED_VALUE"""),"Array;Divide and Conquer;Interactive;")</f>
        <v>Array;Divide and Conquer;Interactive;</v>
      </c>
      <c r="M1275" s="35" t="b">
        <f>IFERROR(__xludf.DUMMYFUNCTION("""COMPUTED_VALUE"""),TRUE)</f>
        <v>1</v>
      </c>
      <c r="N1275" s="35" t="b">
        <f>IFERROR(__xludf.DUMMYFUNCTION("""COMPUTED_VALUE"""),FALSE)</f>
        <v>0</v>
      </c>
      <c r="O1275" s="35">
        <f>IFERROR(__xludf.DUMMYFUNCTION("""COMPUTED_VALUE"""),68.4759916492693)</f>
        <v>68.47599165</v>
      </c>
      <c r="P1275" s="35">
        <f>IFERROR(__xludf.DUMMYFUNCTION("""COMPUTED_VALUE"""),16727.0)</f>
        <v>16727</v>
      </c>
      <c r="Q1275" s="35">
        <f>IFERROR(__xludf.DUMMYFUNCTION("""COMPUTED_VALUE"""),24427.0)</f>
        <v>24427</v>
      </c>
    </row>
    <row r="1276">
      <c r="A1276" s="35">
        <f>IFERROR(__xludf.DUMMYFUNCTION("""COMPUTED_VALUE"""),1400.0)</f>
        <v>1400</v>
      </c>
      <c r="B1276" s="35" t="str">
        <f>IFERROR(__xludf.DUMMYFUNCTION("""COMPUTED_VALUE"""),"Find Winner on a Tic Tac Toe Game")</f>
        <v>Find Winner on a Tic Tac Toe Game</v>
      </c>
      <c r="C1276" s="35" t="str">
        <f>IFERROR(__xludf.DUMMYFUNCTION("""COMPUTED_VALUE"""),"find-winner-on-a-tic-tac-toe-game")</f>
        <v>find-winner-on-a-tic-tac-toe-game</v>
      </c>
      <c r="D1276" s="35" t="b">
        <f>IFERROR(__xludf.DUMMYFUNCTION("""COMPUTED_VALUE"""),FALSE)</f>
        <v>0</v>
      </c>
      <c r="E1276" s="35" t="str">
        <f>IFERROR(__xludf.DUMMYFUNCTION("""COMPUTED_VALUE"""),"Easy")</f>
        <v>Easy</v>
      </c>
      <c r="F1276" s="35">
        <f>IFERROR(__xludf.DUMMYFUNCTION("""COMPUTED_VALUE"""),784.0)</f>
        <v>784</v>
      </c>
      <c r="G1276" s="35">
        <f>IFERROR(__xludf.DUMMYFUNCTION("""COMPUTED_VALUE"""),202.0)</f>
        <v>202</v>
      </c>
      <c r="H1276" s="35" t="str">
        <f>IFERROR(__xludf.DUMMYFUNCTION("""COMPUTED_VALUE"""),"Algorithms")</f>
        <v>Algorithms</v>
      </c>
      <c r="I1276" s="35">
        <f>IFERROR(__xludf.DUMMYFUNCTION("""COMPUTED_VALUE"""),0.551)</f>
        <v>0.551</v>
      </c>
      <c r="J1276" s="35">
        <f>IFERROR(__xludf.DUMMYFUNCTION("""COMPUTED_VALUE"""),1275.0)</f>
        <v>1275</v>
      </c>
      <c r="K1276" s="35" t="b">
        <f>IFERROR(__xludf.DUMMYFUNCTION("""COMPUTED_VALUE"""),FALSE)</f>
        <v>0</v>
      </c>
      <c r="L1276" s="35" t="str">
        <f>IFERROR(__xludf.DUMMYFUNCTION("""COMPUTED_VALUE"""),"Array;Hash Table;Matrix;Simulation;")</f>
        <v>Array;Hash Table;Matrix;Simulation;</v>
      </c>
      <c r="M1276" s="35" t="b">
        <f>IFERROR(__xludf.DUMMYFUNCTION("""COMPUTED_VALUE"""),TRUE)</f>
        <v>1</v>
      </c>
      <c r="N1276" s="35" t="b">
        <f>IFERROR(__xludf.DUMMYFUNCTION("""COMPUTED_VALUE"""),FALSE)</f>
        <v>0</v>
      </c>
      <c r="O1276" s="35">
        <f>IFERROR(__xludf.DUMMYFUNCTION("""COMPUTED_VALUE"""),55.053812611259)</f>
        <v>55.05381261</v>
      </c>
      <c r="P1276" s="35">
        <f>IFERROR(__xludf.DUMMYFUNCTION("""COMPUTED_VALUE"""),67419.0)</f>
        <v>67419</v>
      </c>
      <c r="Q1276" s="35">
        <f>IFERROR(__xludf.DUMMYFUNCTION("""COMPUTED_VALUE"""),122461.0)</f>
        <v>122461</v>
      </c>
    </row>
    <row r="1277">
      <c r="A1277" s="35">
        <f>IFERROR(__xludf.DUMMYFUNCTION("""COMPUTED_VALUE"""),1401.0)</f>
        <v>1401</v>
      </c>
      <c r="B1277" s="35" t="str">
        <f>IFERROR(__xludf.DUMMYFUNCTION("""COMPUTED_VALUE"""),"Number of Burgers with No Waste of Ingredients")</f>
        <v>Number of Burgers with No Waste of Ingredients</v>
      </c>
      <c r="C1277" s="35" t="str">
        <f>IFERROR(__xludf.DUMMYFUNCTION("""COMPUTED_VALUE"""),"number-of-burgers-with-no-waste-of-ingredients")</f>
        <v>number-of-burgers-with-no-waste-of-ingredients</v>
      </c>
      <c r="D1277" s="35" t="b">
        <f>IFERROR(__xludf.DUMMYFUNCTION("""COMPUTED_VALUE"""),FALSE)</f>
        <v>0</v>
      </c>
      <c r="E1277" s="35" t="str">
        <f>IFERROR(__xludf.DUMMYFUNCTION("""COMPUTED_VALUE"""),"Medium")</f>
        <v>Medium</v>
      </c>
      <c r="F1277" s="35">
        <f>IFERROR(__xludf.DUMMYFUNCTION("""COMPUTED_VALUE"""),211.0)</f>
        <v>211</v>
      </c>
      <c r="G1277" s="35">
        <f>IFERROR(__xludf.DUMMYFUNCTION("""COMPUTED_VALUE"""),183.0)</f>
        <v>183</v>
      </c>
      <c r="H1277" s="35" t="str">
        <f>IFERROR(__xludf.DUMMYFUNCTION("""COMPUTED_VALUE"""),"Algorithms")</f>
        <v>Algorithms</v>
      </c>
      <c r="I1277" s="35">
        <f>IFERROR(__xludf.DUMMYFUNCTION("""COMPUTED_VALUE"""),0.506)</f>
        <v>0.506</v>
      </c>
      <c r="J1277" s="35">
        <f>IFERROR(__xludf.DUMMYFUNCTION("""COMPUTED_VALUE"""),1276.0)</f>
        <v>1276</v>
      </c>
      <c r="K1277" s="35" t="b">
        <f>IFERROR(__xludf.DUMMYFUNCTION("""COMPUTED_VALUE"""),FALSE)</f>
        <v>0</v>
      </c>
      <c r="L1277" s="35" t="str">
        <f>IFERROR(__xludf.DUMMYFUNCTION("""COMPUTED_VALUE"""),"Math;")</f>
        <v>Math;</v>
      </c>
      <c r="M1277" s="35" t="b">
        <f>IFERROR(__xludf.DUMMYFUNCTION("""COMPUTED_VALUE"""),FALSE)</f>
        <v>0</v>
      </c>
      <c r="N1277" s="35" t="b">
        <f>IFERROR(__xludf.DUMMYFUNCTION("""COMPUTED_VALUE"""),FALSE)</f>
        <v>0</v>
      </c>
      <c r="O1277" s="35">
        <f>IFERROR(__xludf.DUMMYFUNCTION("""COMPUTED_VALUE"""),50.6262684836184)</f>
        <v>50.62626848</v>
      </c>
      <c r="P1277" s="35">
        <f>IFERROR(__xludf.DUMMYFUNCTION("""COMPUTED_VALUE"""),17461.0)</f>
        <v>17461</v>
      </c>
      <c r="Q1277" s="35">
        <f>IFERROR(__xludf.DUMMYFUNCTION("""COMPUTED_VALUE"""),34490.0)</f>
        <v>34490</v>
      </c>
    </row>
    <row r="1278">
      <c r="A1278" s="35">
        <f>IFERROR(__xludf.DUMMYFUNCTION("""COMPUTED_VALUE"""),1402.0)</f>
        <v>1402</v>
      </c>
      <c r="B1278" s="35" t="str">
        <f>IFERROR(__xludf.DUMMYFUNCTION("""COMPUTED_VALUE"""),"Count Square Submatrices with All Ones")</f>
        <v>Count Square Submatrices with All Ones</v>
      </c>
      <c r="C1278" s="35" t="str">
        <f>IFERROR(__xludf.DUMMYFUNCTION("""COMPUTED_VALUE"""),"count-square-submatrices-with-all-ones")</f>
        <v>count-square-submatrices-with-all-ones</v>
      </c>
      <c r="D1278" s="35" t="b">
        <f>IFERROR(__xludf.DUMMYFUNCTION("""COMPUTED_VALUE"""),FALSE)</f>
        <v>0</v>
      </c>
      <c r="E1278" s="35" t="str">
        <f>IFERROR(__xludf.DUMMYFUNCTION("""COMPUTED_VALUE"""),"Medium")</f>
        <v>Medium</v>
      </c>
      <c r="F1278" s="35">
        <f>IFERROR(__xludf.DUMMYFUNCTION("""COMPUTED_VALUE"""),3121.0)</f>
        <v>3121</v>
      </c>
      <c r="G1278" s="35">
        <f>IFERROR(__xludf.DUMMYFUNCTION("""COMPUTED_VALUE"""),52.0)</f>
        <v>52</v>
      </c>
      <c r="H1278" s="35" t="str">
        <f>IFERROR(__xludf.DUMMYFUNCTION("""COMPUTED_VALUE"""),"Algorithms")</f>
        <v>Algorithms</v>
      </c>
      <c r="I1278" s="35">
        <f>IFERROR(__xludf.DUMMYFUNCTION("""COMPUTED_VALUE"""),0.741)</f>
        <v>0.741</v>
      </c>
      <c r="J1278" s="35">
        <f>IFERROR(__xludf.DUMMYFUNCTION("""COMPUTED_VALUE"""),1277.0)</f>
        <v>1277</v>
      </c>
      <c r="K1278" s="35" t="b">
        <f>IFERROR(__xludf.DUMMYFUNCTION("""COMPUTED_VALUE"""),FALSE)</f>
        <v>0</v>
      </c>
      <c r="L1278" s="35" t="str">
        <f>IFERROR(__xludf.DUMMYFUNCTION("""COMPUTED_VALUE"""),"Array;Dynamic Programming;Matrix;")</f>
        <v>Array;Dynamic Programming;Matrix;</v>
      </c>
      <c r="M1278" s="35" t="b">
        <f>IFERROR(__xludf.DUMMYFUNCTION("""COMPUTED_VALUE"""),FALSE)</f>
        <v>0</v>
      </c>
      <c r="N1278" s="35" t="b">
        <f>IFERROR(__xludf.DUMMYFUNCTION("""COMPUTED_VALUE"""),FALSE)</f>
        <v>0</v>
      </c>
      <c r="O1278" s="35">
        <f>IFERROR(__xludf.DUMMYFUNCTION("""COMPUTED_VALUE"""),74.1445665772158)</f>
        <v>74.14456658</v>
      </c>
      <c r="P1278" s="35">
        <f>IFERROR(__xludf.DUMMYFUNCTION("""COMPUTED_VALUE"""),155277.0)</f>
        <v>155277</v>
      </c>
      <c r="Q1278" s="35">
        <f>IFERROR(__xludf.DUMMYFUNCTION("""COMPUTED_VALUE"""),209425.0)</f>
        <v>209425</v>
      </c>
    </row>
    <row r="1279">
      <c r="A1279" s="35">
        <f>IFERROR(__xludf.DUMMYFUNCTION("""COMPUTED_VALUE"""),1403.0)</f>
        <v>1403</v>
      </c>
      <c r="B1279" s="35" t="str">
        <f>IFERROR(__xludf.DUMMYFUNCTION("""COMPUTED_VALUE"""),"Palindrome Partitioning III")</f>
        <v>Palindrome Partitioning III</v>
      </c>
      <c r="C1279" s="35" t="str">
        <f>IFERROR(__xludf.DUMMYFUNCTION("""COMPUTED_VALUE"""),"palindrome-partitioning-iii")</f>
        <v>palindrome-partitioning-iii</v>
      </c>
      <c r="D1279" s="35" t="b">
        <f>IFERROR(__xludf.DUMMYFUNCTION("""COMPUTED_VALUE"""),FALSE)</f>
        <v>0</v>
      </c>
      <c r="E1279" s="35" t="str">
        <f>IFERROR(__xludf.DUMMYFUNCTION("""COMPUTED_VALUE"""),"Hard")</f>
        <v>Hard</v>
      </c>
      <c r="F1279" s="35">
        <f>IFERROR(__xludf.DUMMYFUNCTION("""COMPUTED_VALUE"""),682.0)</f>
        <v>682</v>
      </c>
      <c r="G1279" s="35">
        <f>IFERROR(__xludf.DUMMYFUNCTION("""COMPUTED_VALUE"""),12.0)</f>
        <v>12</v>
      </c>
      <c r="H1279" s="35" t="str">
        <f>IFERROR(__xludf.DUMMYFUNCTION("""COMPUTED_VALUE"""),"Algorithms")</f>
        <v>Algorithms</v>
      </c>
      <c r="I1279" s="35">
        <f>IFERROR(__xludf.DUMMYFUNCTION("""COMPUTED_VALUE"""),0.609)</f>
        <v>0.609</v>
      </c>
      <c r="J1279" s="35">
        <f>IFERROR(__xludf.DUMMYFUNCTION("""COMPUTED_VALUE"""),1278.0)</f>
        <v>1278</v>
      </c>
      <c r="K1279" s="35" t="b">
        <f>IFERROR(__xludf.DUMMYFUNCTION("""COMPUTED_VALUE"""),FALSE)</f>
        <v>0</v>
      </c>
      <c r="L1279" s="35" t="str">
        <f>IFERROR(__xludf.DUMMYFUNCTION("""COMPUTED_VALUE"""),"String;Dynamic Programming;")</f>
        <v>String;Dynamic Programming;</v>
      </c>
      <c r="M1279" s="35" t="b">
        <f>IFERROR(__xludf.DUMMYFUNCTION("""COMPUTED_VALUE"""),FALSE)</f>
        <v>0</v>
      </c>
      <c r="N1279" s="35" t="b">
        <f>IFERROR(__xludf.DUMMYFUNCTION("""COMPUTED_VALUE"""),FALSE)</f>
        <v>0</v>
      </c>
      <c r="O1279" s="35">
        <f>IFERROR(__xludf.DUMMYFUNCTION("""COMPUTED_VALUE"""),60.9464808122526)</f>
        <v>60.94648081</v>
      </c>
      <c r="P1279" s="35">
        <f>IFERROR(__xludf.DUMMYFUNCTION("""COMPUTED_VALUE"""),17708.0)</f>
        <v>17708</v>
      </c>
      <c r="Q1279" s="35">
        <f>IFERROR(__xludf.DUMMYFUNCTION("""COMPUTED_VALUE"""),29055.0)</f>
        <v>29055</v>
      </c>
    </row>
    <row r="1280">
      <c r="A1280" s="35">
        <f>IFERROR(__xludf.DUMMYFUNCTION("""COMPUTED_VALUE"""),1410.0)</f>
        <v>1410</v>
      </c>
      <c r="B1280" s="35" t="str">
        <f>IFERROR(__xludf.DUMMYFUNCTION("""COMPUTED_VALUE"""),"Traffic Light Controlled Intersection")</f>
        <v>Traffic Light Controlled Intersection</v>
      </c>
      <c r="C1280" s="35" t="str">
        <f>IFERROR(__xludf.DUMMYFUNCTION("""COMPUTED_VALUE"""),"traffic-light-controlled-intersection")</f>
        <v>traffic-light-controlled-intersection</v>
      </c>
      <c r="D1280" s="35" t="b">
        <f>IFERROR(__xludf.DUMMYFUNCTION("""COMPUTED_VALUE"""),TRUE)</f>
        <v>1</v>
      </c>
      <c r="E1280" s="35" t="str">
        <f>IFERROR(__xludf.DUMMYFUNCTION("""COMPUTED_VALUE"""),"Easy")</f>
        <v>Easy</v>
      </c>
      <c r="F1280" s="35">
        <f>IFERROR(__xludf.DUMMYFUNCTION("""COMPUTED_VALUE"""),49.0)</f>
        <v>49</v>
      </c>
      <c r="G1280" s="35">
        <f>IFERROR(__xludf.DUMMYFUNCTION("""COMPUTED_VALUE"""),236.0)</f>
        <v>236</v>
      </c>
      <c r="H1280" s="35" t="str">
        <f>IFERROR(__xludf.DUMMYFUNCTION("""COMPUTED_VALUE"""),"Concurrency")</f>
        <v>Concurrency</v>
      </c>
      <c r="I1280" s="35">
        <f>IFERROR(__xludf.DUMMYFUNCTION("""COMPUTED_VALUE"""),0.755)</f>
        <v>0.755</v>
      </c>
      <c r="J1280" s="35">
        <f>IFERROR(__xludf.DUMMYFUNCTION("""COMPUTED_VALUE"""),1279.0)</f>
        <v>1279</v>
      </c>
      <c r="K1280" s="35" t="b">
        <f>IFERROR(__xludf.DUMMYFUNCTION("""COMPUTED_VALUE"""),TRUE)</f>
        <v>1</v>
      </c>
      <c r="L1280" s="35" t="str">
        <f>IFERROR(__xludf.DUMMYFUNCTION("""COMPUTED_VALUE"""),"Concurrency;")</f>
        <v>Concurrency;</v>
      </c>
      <c r="M1280" s="35" t="b">
        <f>IFERROR(__xludf.DUMMYFUNCTION("""COMPUTED_VALUE"""),FALSE)</f>
        <v>0</v>
      </c>
      <c r="N1280" s="35" t="b">
        <f>IFERROR(__xludf.DUMMYFUNCTION("""COMPUTED_VALUE"""),FALSE)</f>
        <v>0</v>
      </c>
      <c r="O1280" s="35">
        <f>IFERROR(__xludf.DUMMYFUNCTION("""COMPUTED_VALUE"""),75.477910911918)</f>
        <v>75.47791091</v>
      </c>
      <c r="P1280" s="35">
        <f>IFERROR(__xludf.DUMMYFUNCTION("""COMPUTED_VALUE"""),8252.0)</f>
        <v>8252</v>
      </c>
      <c r="Q1280" s="35">
        <f>IFERROR(__xludf.DUMMYFUNCTION("""COMPUTED_VALUE"""),10933.0)</f>
        <v>10933</v>
      </c>
    </row>
    <row r="1281">
      <c r="A1281" s="35">
        <f>IFERROR(__xludf.DUMMYFUNCTION("""COMPUTED_VALUE"""),1415.0)</f>
        <v>1415</v>
      </c>
      <c r="B1281" s="35" t="str">
        <f>IFERROR(__xludf.DUMMYFUNCTION("""COMPUTED_VALUE"""),"Students and Examinations")</f>
        <v>Students and Examinations</v>
      </c>
      <c r="C1281" s="35" t="str">
        <f>IFERROR(__xludf.DUMMYFUNCTION("""COMPUTED_VALUE"""),"students-and-examinations")</f>
        <v>students-and-examinations</v>
      </c>
      <c r="D1281" s="35" t="b">
        <f>IFERROR(__xludf.DUMMYFUNCTION("""COMPUTED_VALUE"""),TRUE)</f>
        <v>1</v>
      </c>
      <c r="E1281" s="35" t="str">
        <f>IFERROR(__xludf.DUMMYFUNCTION("""COMPUTED_VALUE"""),"Easy")</f>
        <v>Easy</v>
      </c>
      <c r="F1281" s="35">
        <f>IFERROR(__xludf.DUMMYFUNCTION("""COMPUTED_VALUE"""),231.0)</f>
        <v>231</v>
      </c>
      <c r="G1281" s="35">
        <f>IFERROR(__xludf.DUMMYFUNCTION("""COMPUTED_VALUE"""),31.0)</f>
        <v>31</v>
      </c>
      <c r="H1281" s="35" t="str">
        <f>IFERROR(__xludf.DUMMYFUNCTION("""COMPUTED_VALUE"""),"Database")</f>
        <v>Database</v>
      </c>
      <c r="I1281" s="35">
        <f>IFERROR(__xludf.DUMMYFUNCTION("""COMPUTED_VALUE"""),0.745)</f>
        <v>0.745</v>
      </c>
      <c r="J1281" s="35">
        <f>IFERROR(__xludf.DUMMYFUNCTION("""COMPUTED_VALUE"""),1280.0)</f>
        <v>1280</v>
      </c>
      <c r="K1281" s="35" t="b">
        <f>IFERROR(__xludf.DUMMYFUNCTION("""COMPUTED_VALUE"""),TRUE)</f>
        <v>1</v>
      </c>
      <c r="L1281" s="35" t="str">
        <f>IFERROR(__xludf.DUMMYFUNCTION("""COMPUTED_VALUE"""),"Database;")</f>
        <v>Database;</v>
      </c>
      <c r="M1281" s="35" t="b">
        <f>IFERROR(__xludf.DUMMYFUNCTION("""COMPUTED_VALUE"""),FALSE)</f>
        <v>0</v>
      </c>
      <c r="N1281" s="35" t="b">
        <f>IFERROR(__xludf.DUMMYFUNCTION("""COMPUTED_VALUE"""),FALSE)</f>
        <v>0</v>
      </c>
      <c r="O1281" s="35">
        <f>IFERROR(__xludf.DUMMYFUNCTION("""COMPUTED_VALUE"""),74.5383641090594)</f>
        <v>74.53836411</v>
      </c>
      <c r="P1281" s="35">
        <f>IFERROR(__xludf.DUMMYFUNCTION("""COMPUTED_VALUE"""),22363.0)</f>
        <v>22363</v>
      </c>
      <c r="Q1281" s="35">
        <f>IFERROR(__xludf.DUMMYFUNCTION("""COMPUTED_VALUE"""),30002.0)</f>
        <v>30002</v>
      </c>
    </row>
    <row r="1282">
      <c r="A1282" s="35">
        <f>IFERROR(__xludf.DUMMYFUNCTION("""COMPUTED_VALUE"""),1406.0)</f>
        <v>1406</v>
      </c>
      <c r="B1282" s="35" t="str">
        <f>IFERROR(__xludf.DUMMYFUNCTION("""COMPUTED_VALUE"""),"Subtract the Product and Sum of Digits of an Integer")</f>
        <v>Subtract the Product and Sum of Digits of an Integer</v>
      </c>
      <c r="C1282" s="35" t="str">
        <f>IFERROR(__xludf.DUMMYFUNCTION("""COMPUTED_VALUE"""),"subtract-the-product-and-sum-of-digits-of-an-integer")</f>
        <v>subtract-the-product-and-sum-of-digits-of-an-integer</v>
      </c>
      <c r="D1282" s="35" t="b">
        <f>IFERROR(__xludf.DUMMYFUNCTION("""COMPUTED_VALUE"""),FALSE)</f>
        <v>0</v>
      </c>
      <c r="E1282" s="35" t="str">
        <f>IFERROR(__xludf.DUMMYFUNCTION("""COMPUTED_VALUE"""),"Easy")</f>
        <v>Easy</v>
      </c>
      <c r="F1282" s="35">
        <f>IFERROR(__xludf.DUMMYFUNCTION("""COMPUTED_VALUE"""),1028.0)</f>
        <v>1028</v>
      </c>
      <c r="G1282" s="35">
        <f>IFERROR(__xludf.DUMMYFUNCTION("""COMPUTED_VALUE"""),183.0)</f>
        <v>183</v>
      </c>
      <c r="H1282" s="35" t="str">
        <f>IFERROR(__xludf.DUMMYFUNCTION("""COMPUTED_VALUE"""),"Algorithms")</f>
        <v>Algorithms</v>
      </c>
      <c r="I1282" s="35">
        <f>IFERROR(__xludf.DUMMYFUNCTION("""COMPUTED_VALUE"""),0.861)</f>
        <v>0.861</v>
      </c>
      <c r="J1282" s="35">
        <f>IFERROR(__xludf.DUMMYFUNCTION("""COMPUTED_VALUE"""),1281.0)</f>
        <v>1281</v>
      </c>
      <c r="K1282" s="35" t="b">
        <f>IFERROR(__xludf.DUMMYFUNCTION("""COMPUTED_VALUE"""),FALSE)</f>
        <v>0</v>
      </c>
      <c r="L1282" s="35" t="str">
        <f>IFERROR(__xludf.DUMMYFUNCTION("""COMPUTED_VALUE"""),"Math;")</f>
        <v>Math;</v>
      </c>
      <c r="M1282" s="35" t="b">
        <f>IFERROR(__xludf.DUMMYFUNCTION("""COMPUTED_VALUE"""),FALSE)</f>
        <v>0</v>
      </c>
      <c r="N1282" s="35" t="b">
        <f>IFERROR(__xludf.DUMMYFUNCTION("""COMPUTED_VALUE"""),FALSE)</f>
        <v>0</v>
      </c>
      <c r="O1282" s="35">
        <f>IFERROR(__xludf.DUMMYFUNCTION("""COMPUTED_VALUE"""),86.1002752587939)</f>
        <v>86.10027526</v>
      </c>
      <c r="P1282" s="35">
        <f>IFERROR(__xludf.DUMMYFUNCTION("""COMPUTED_VALUE"""),203937.0)</f>
        <v>203937</v>
      </c>
      <c r="Q1282" s="35">
        <f>IFERROR(__xludf.DUMMYFUNCTION("""COMPUTED_VALUE"""),236861.0)</f>
        <v>236861</v>
      </c>
    </row>
    <row r="1283">
      <c r="A1283" s="35">
        <f>IFERROR(__xludf.DUMMYFUNCTION("""COMPUTED_VALUE"""),1407.0)</f>
        <v>1407</v>
      </c>
      <c r="B1283" s="35" t="str">
        <f>IFERROR(__xludf.DUMMYFUNCTION("""COMPUTED_VALUE"""),"Group the People Given the Group Size They Belong To")</f>
        <v>Group the People Given the Group Size They Belong To</v>
      </c>
      <c r="C1283" s="35" t="str">
        <f>IFERROR(__xludf.DUMMYFUNCTION("""COMPUTED_VALUE"""),"group-the-people-given-the-group-size-they-belong-to")</f>
        <v>group-the-people-given-the-group-size-they-belong-to</v>
      </c>
      <c r="D1283" s="35" t="b">
        <f>IFERROR(__xludf.DUMMYFUNCTION("""COMPUTED_VALUE"""),FALSE)</f>
        <v>0</v>
      </c>
      <c r="E1283" s="35" t="str">
        <f>IFERROR(__xludf.DUMMYFUNCTION("""COMPUTED_VALUE"""),"Medium")</f>
        <v>Medium</v>
      </c>
      <c r="F1283" s="35">
        <f>IFERROR(__xludf.DUMMYFUNCTION("""COMPUTED_VALUE"""),953.0)</f>
        <v>953</v>
      </c>
      <c r="G1283" s="35">
        <f>IFERROR(__xludf.DUMMYFUNCTION("""COMPUTED_VALUE"""),454.0)</f>
        <v>454</v>
      </c>
      <c r="H1283" s="35" t="str">
        <f>IFERROR(__xludf.DUMMYFUNCTION("""COMPUTED_VALUE"""),"Algorithms")</f>
        <v>Algorithms</v>
      </c>
      <c r="I1283" s="35">
        <f>IFERROR(__xludf.DUMMYFUNCTION("""COMPUTED_VALUE"""),0.852)</f>
        <v>0.852</v>
      </c>
      <c r="J1283" s="35">
        <f>IFERROR(__xludf.DUMMYFUNCTION("""COMPUTED_VALUE"""),1282.0)</f>
        <v>1282</v>
      </c>
      <c r="K1283" s="35" t="b">
        <f>IFERROR(__xludf.DUMMYFUNCTION("""COMPUTED_VALUE"""),FALSE)</f>
        <v>0</v>
      </c>
      <c r="L1283" s="35" t="str">
        <f>IFERROR(__xludf.DUMMYFUNCTION("""COMPUTED_VALUE"""),"Array;Hash Table;")</f>
        <v>Array;Hash Table;</v>
      </c>
      <c r="M1283" s="35" t="b">
        <f>IFERROR(__xludf.DUMMYFUNCTION("""COMPUTED_VALUE"""),FALSE)</f>
        <v>0</v>
      </c>
      <c r="N1283" s="35" t="b">
        <f>IFERROR(__xludf.DUMMYFUNCTION("""COMPUTED_VALUE"""),FALSE)</f>
        <v>0</v>
      </c>
      <c r="O1283" s="35">
        <f>IFERROR(__xludf.DUMMYFUNCTION("""COMPUTED_VALUE"""),85.2195078379706)</f>
        <v>85.21950784</v>
      </c>
      <c r="P1283" s="35">
        <f>IFERROR(__xludf.DUMMYFUNCTION("""COMPUTED_VALUE"""),76326.0)</f>
        <v>76326</v>
      </c>
      <c r="Q1283" s="35">
        <f>IFERROR(__xludf.DUMMYFUNCTION("""COMPUTED_VALUE"""),89564.0)</f>
        <v>89564</v>
      </c>
    </row>
    <row r="1284">
      <c r="A1284" s="35">
        <f>IFERROR(__xludf.DUMMYFUNCTION("""COMPUTED_VALUE"""),1408.0)</f>
        <v>1408</v>
      </c>
      <c r="B1284" s="35" t="str">
        <f>IFERROR(__xludf.DUMMYFUNCTION("""COMPUTED_VALUE"""),"Find the Smallest Divisor Given a Threshold")</f>
        <v>Find the Smallest Divisor Given a Threshold</v>
      </c>
      <c r="C1284" s="35" t="str">
        <f>IFERROR(__xludf.DUMMYFUNCTION("""COMPUTED_VALUE"""),"find-the-smallest-divisor-given-a-threshold")</f>
        <v>find-the-smallest-divisor-given-a-threshold</v>
      </c>
      <c r="D1284" s="35" t="b">
        <f>IFERROR(__xludf.DUMMYFUNCTION("""COMPUTED_VALUE"""),FALSE)</f>
        <v>0</v>
      </c>
      <c r="E1284" s="35" t="str">
        <f>IFERROR(__xludf.DUMMYFUNCTION("""COMPUTED_VALUE"""),"Medium")</f>
        <v>Medium</v>
      </c>
      <c r="F1284" s="35">
        <f>IFERROR(__xludf.DUMMYFUNCTION("""COMPUTED_VALUE"""),1268.0)</f>
        <v>1268</v>
      </c>
      <c r="G1284" s="35">
        <f>IFERROR(__xludf.DUMMYFUNCTION("""COMPUTED_VALUE"""),149.0)</f>
        <v>149</v>
      </c>
      <c r="H1284" s="35" t="str">
        <f>IFERROR(__xludf.DUMMYFUNCTION("""COMPUTED_VALUE"""),"Algorithms")</f>
        <v>Algorithms</v>
      </c>
      <c r="I1284" s="35">
        <f>IFERROR(__xludf.DUMMYFUNCTION("""COMPUTED_VALUE"""),0.534)</f>
        <v>0.534</v>
      </c>
      <c r="J1284" s="35">
        <f>IFERROR(__xludf.DUMMYFUNCTION("""COMPUTED_VALUE"""),1283.0)</f>
        <v>1283</v>
      </c>
      <c r="K1284" s="35" t="b">
        <f>IFERROR(__xludf.DUMMYFUNCTION("""COMPUTED_VALUE"""),FALSE)</f>
        <v>0</v>
      </c>
      <c r="L1284" s="35" t="str">
        <f>IFERROR(__xludf.DUMMYFUNCTION("""COMPUTED_VALUE"""),"Array;Binary Search;")</f>
        <v>Array;Binary Search;</v>
      </c>
      <c r="M1284" s="35" t="b">
        <f>IFERROR(__xludf.DUMMYFUNCTION("""COMPUTED_VALUE"""),FALSE)</f>
        <v>0</v>
      </c>
      <c r="N1284" s="35" t="b">
        <f>IFERROR(__xludf.DUMMYFUNCTION("""COMPUTED_VALUE"""),FALSE)</f>
        <v>0</v>
      </c>
      <c r="O1284" s="35">
        <f>IFERROR(__xludf.DUMMYFUNCTION("""COMPUTED_VALUE"""),53.3642865934546)</f>
        <v>53.36428659</v>
      </c>
      <c r="P1284" s="35">
        <f>IFERROR(__xludf.DUMMYFUNCTION("""COMPUTED_VALUE"""),78038.0)</f>
        <v>78038</v>
      </c>
      <c r="Q1284" s="35">
        <f>IFERROR(__xludf.DUMMYFUNCTION("""COMPUTED_VALUE"""),146233.0)</f>
        <v>146233</v>
      </c>
    </row>
    <row r="1285">
      <c r="A1285" s="35">
        <f>IFERROR(__xludf.DUMMYFUNCTION("""COMPUTED_VALUE"""),1409.0)</f>
        <v>1409</v>
      </c>
      <c r="B1285" s="35" t="str">
        <f>IFERROR(__xludf.DUMMYFUNCTION("""COMPUTED_VALUE"""),"Minimum Number of Flips to Convert Binary Matrix to Zero Matrix")</f>
        <v>Minimum Number of Flips to Convert Binary Matrix to Zero Matrix</v>
      </c>
      <c r="C1285" s="35" t="str">
        <f>IFERROR(__xludf.DUMMYFUNCTION("""COMPUTED_VALUE"""),"minimum-number-of-flips-to-convert-binary-matrix-to-zero-matrix")</f>
        <v>minimum-number-of-flips-to-convert-binary-matrix-to-zero-matrix</v>
      </c>
      <c r="D1285" s="35" t="b">
        <f>IFERROR(__xludf.DUMMYFUNCTION("""COMPUTED_VALUE"""),FALSE)</f>
        <v>0</v>
      </c>
      <c r="E1285" s="35" t="str">
        <f>IFERROR(__xludf.DUMMYFUNCTION("""COMPUTED_VALUE"""),"Hard")</f>
        <v>Hard</v>
      </c>
      <c r="F1285" s="35">
        <f>IFERROR(__xludf.DUMMYFUNCTION("""COMPUTED_VALUE"""),550.0)</f>
        <v>550</v>
      </c>
      <c r="G1285" s="35">
        <f>IFERROR(__xludf.DUMMYFUNCTION("""COMPUTED_VALUE"""),56.0)</f>
        <v>56</v>
      </c>
      <c r="H1285" s="35" t="str">
        <f>IFERROR(__xludf.DUMMYFUNCTION("""COMPUTED_VALUE"""),"Algorithms")</f>
        <v>Algorithms</v>
      </c>
      <c r="I1285" s="35">
        <f>IFERROR(__xludf.DUMMYFUNCTION("""COMPUTED_VALUE"""),0.715)</f>
        <v>0.715</v>
      </c>
      <c r="J1285" s="35">
        <f>IFERROR(__xludf.DUMMYFUNCTION("""COMPUTED_VALUE"""),1284.0)</f>
        <v>1284</v>
      </c>
      <c r="K1285" s="35" t="b">
        <f>IFERROR(__xludf.DUMMYFUNCTION("""COMPUTED_VALUE"""),FALSE)</f>
        <v>0</v>
      </c>
      <c r="L1285" s="35" t="str">
        <f>IFERROR(__xludf.DUMMYFUNCTION("""COMPUTED_VALUE"""),"Array;Bit Manipulation;Breadth-First Search;Matrix;")</f>
        <v>Array;Bit Manipulation;Breadth-First Search;Matrix;</v>
      </c>
      <c r="M1285" s="35" t="b">
        <f>IFERROR(__xludf.DUMMYFUNCTION("""COMPUTED_VALUE"""),FALSE)</f>
        <v>0</v>
      </c>
      <c r="N1285" s="35" t="b">
        <f>IFERROR(__xludf.DUMMYFUNCTION("""COMPUTED_VALUE"""),FALSE)</f>
        <v>0</v>
      </c>
      <c r="O1285" s="35">
        <f>IFERROR(__xludf.DUMMYFUNCTION("""COMPUTED_VALUE"""),71.5384325404305)</f>
        <v>71.53843254</v>
      </c>
      <c r="P1285" s="35">
        <f>IFERROR(__xludf.DUMMYFUNCTION("""COMPUTED_VALUE"""),18974.0)</f>
        <v>18974</v>
      </c>
      <c r="Q1285" s="35">
        <f>IFERROR(__xludf.DUMMYFUNCTION("""COMPUTED_VALUE"""),26524.0)</f>
        <v>26524</v>
      </c>
    </row>
    <row r="1286">
      <c r="A1286" s="35">
        <f>IFERROR(__xludf.DUMMYFUNCTION("""COMPUTED_VALUE"""),1420.0)</f>
        <v>1420</v>
      </c>
      <c r="B1286" s="35" t="str">
        <f>IFERROR(__xludf.DUMMYFUNCTION("""COMPUTED_VALUE"""),"Find the Start and End Number of Continuous Ranges")</f>
        <v>Find the Start and End Number of Continuous Ranges</v>
      </c>
      <c r="C1286" s="35" t="str">
        <f>IFERROR(__xludf.DUMMYFUNCTION("""COMPUTED_VALUE"""),"find-the-start-and-end-number-of-continuous-ranges")</f>
        <v>find-the-start-and-end-number-of-continuous-ranges</v>
      </c>
      <c r="D1286" s="35" t="b">
        <f>IFERROR(__xludf.DUMMYFUNCTION("""COMPUTED_VALUE"""),TRUE)</f>
        <v>1</v>
      </c>
      <c r="E1286" s="35" t="str">
        <f>IFERROR(__xludf.DUMMYFUNCTION("""COMPUTED_VALUE"""),"Medium")</f>
        <v>Medium</v>
      </c>
      <c r="F1286" s="35">
        <f>IFERROR(__xludf.DUMMYFUNCTION("""COMPUTED_VALUE"""),329.0)</f>
        <v>329</v>
      </c>
      <c r="G1286" s="35">
        <f>IFERROR(__xludf.DUMMYFUNCTION("""COMPUTED_VALUE"""),24.0)</f>
        <v>24</v>
      </c>
      <c r="H1286" s="35" t="str">
        <f>IFERROR(__xludf.DUMMYFUNCTION("""COMPUTED_VALUE"""),"Database")</f>
        <v>Database</v>
      </c>
      <c r="I1286" s="35">
        <f>IFERROR(__xludf.DUMMYFUNCTION("""COMPUTED_VALUE"""),0.884)</f>
        <v>0.884</v>
      </c>
      <c r="J1286" s="35">
        <f>IFERROR(__xludf.DUMMYFUNCTION("""COMPUTED_VALUE"""),1285.0)</f>
        <v>1285</v>
      </c>
      <c r="K1286" s="35" t="b">
        <f>IFERROR(__xludf.DUMMYFUNCTION("""COMPUTED_VALUE"""),TRUE)</f>
        <v>1</v>
      </c>
      <c r="L1286" s="35" t="str">
        <f>IFERROR(__xludf.DUMMYFUNCTION("""COMPUTED_VALUE"""),"Database;")</f>
        <v>Database;</v>
      </c>
      <c r="M1286" s="35" t="b">
        <f>IFERROR(__xludf.DUMMYFUNCTION("""COMPUTED_VALUE"""),FALSE)</f>
        <v>0</v>
      </c>
      <c r="N1286" s="35" t="b">
        <f>IFERROR(__xludf.DUMMYFUNCTION("""COMPUTED_VALUE"""),FALSE)</f>
        <v>0</v>
      </c>
      <c r="O1286" s="35">
        <f>IFERROR(__xludf.DUMMYFUNCTION("""COMPUTED_VALUE"""),88.3577520227421)</f>
        <v>88.35775202</v>
      </c>
      <c r="P1286" s="35">
        <f>IFERROR(__xludf.DUMMYFUNCTION("""COMPUTED_VALUE"""),20203.0)</f>
        <v>20203</v>
      </c>
      <c r="Q1286" s="35">
        <f>IFERROR(__xludf.DUMMYFUNCTION("""COMPUTED_VALUE"""),22857.0)</f>
        <v>22857</v>
      </c>
    </row>
    <row r="1287">
      <c r="A1287" s="35">
        <f>IFERROR(__xludf.DUMMYFUNCTION("""COMPUTED_VALUE"""),1211.0)</f>
        <v>1211</v>
      </c>
      <c r="B1287" s="35" t="str">
        <f>IFERROR(__xludf.DUMMYFUNCTION("""COMPUTED_VALUE"""),"Iterator for Combination")</f>
        <v>Iterator for Combination</v>
      </c>
      <c r="C1287" s="35" t="str">
        <f>IFERROR(__xludf.DUMMYFUNCTION("""COMPUTED_VALUE"""),"iterator-for-combination")</f>
        <v>iterator-for-combination</v>
      </c>
      <c r="D1287" s="35" t="b">
        <f>IFERROR(__xludf.DUMMYFUNCTION("""COMPUTED_VALUE"""),FALSE)</f>
        <v>0</v>
      </c>
      <c r="E1287" s="35" t="str">
        <f>IFERROR(__xludf.DUMMYFUNCTION("""COMPUTED_VALUE"""),"Medium")</f>
        <v>Medium</v>
      </c>
      <c r="F1287" s="35">
        <f>IFERROR(__xludf.DUMMYFUNCTION("""COMPUTED_VALUE"""),1118.0)</f>
        <v>1118</v>
      </c>
      <c r="G1287" s="35">
        <f>IFERROR(__xludf.DUMMYFUNCTION("""COMPUTED_VALUE"""),90.0)</f>
        <v>90</v>
      </c>
      <c r="H1287" s="35" t="str">
        <f>IFERROR(__xludf.DUMMYFUNCTION("""COMPUTED_VALUE"""),"Algorithms")</f>
        <v>Algorithms</v>
      </c>
      <c r="I1287" s="35">
        <f>IFERROR(__xludf.DUMMYFUNCTION("""COMPUTED_VALUE"""),0.732)</f>
        <v>0.732</v>
      </c>
      <c r="J1287" s="35">
        <f>IFERROR(__xludf.DUMMYFUNCTION("""COMPUTED_VALUE"""),1286.0)</f>
        <v>1286</v>
      </c>
      <c r="K1287" s="35" t="b">
        <f>IFERROR(__xludf.DUMMYFUNCTION("""COMPUTED_VALUE"""),FALSE)</f>
        <v>0</v>
      </c>
      <c r="L1287" s="35" t="str">
        <f>IFERROR(__xludf.DUMMYFUNCTION("""COMPUTED_VALUE"""),"String;Backtracking;Design;Iterator;")</f>
        <v>String;Backtracking;Design;Iterator;</v>
      </c>
      <c r="M1287" s="35" t="b">
        <f>IFERROR(__xludf.DUMMYFUNCTION("""COMPUTED_VALUE"""),TRUE)</f>
        <v>1</v>
      </c>
      <c r="N1287" s="35" t="b">
        <f>IFERROR(__xludf.DUMMYFUNCTION("""COMPUTED_VALUE"""),FALSE)</f>
        <v>0</v>
      </c>
      <c r="O1287" s="35">
        <f>IFERROR(__xludf.DUMMYFUNCTION("""COMPUTED_VALUE"""),73.1886999713439)</f>
        <v>73.18869997</v>
      </c>
      <c r="P1287" s="35">
        <f>IFERROR(__xludf.DUMMYFUNCTION("""COMPUTED_VALUE"""),61297.0)</f>
        <v>61297</v>
      </c>
      <c r="Q1287" s="35">
        <f>IFERROR(__xludf.DUMMYFUNCTION("""COMPUTED_VALUE"""),83752.0)</f>
        <v>83752</v>
      </c>
    </row>
    <row r="1288">
      <c r="A1288" s="35">
        <f>IFERROR(__xludf.DUMMYFUNCTION("""COMPUTED_VALUE"""),1221.0)</f>
        <v>1221</v>
      </c>
      <c r="B1288" s="35" t="str">
        <f>IFERROR(__xludf.DUMMYFUNCTION("""COMPUTED_VALUE"""),"Element Appearing More Than 25% In Sorted Array")</f>
        <v>Element Appearing More Than 25% In Sorted Array</v>
      </c>
      <c r="C1288" s="35" t="str">
        <f>IFERROR(__xludf.DUMMYFUNCTION("""COMPUTED_VALUE"""),"element-appearing-more-than-25-in-sorted-array")</f>
        <v>element-appearing-more-than-25-in-sorted-array</v>
      </c>
      <c r="D1288" s="35" t="b">
        <f>IFERROR(__xludf.DUMMYFUNCTION("""COMPUTED_VALUE"""),FALSE)</f>
        <v>0</v>
      </c>
      <c r="E1288" s="35" t="str">
        <f>IFERROR(__xludf.DUMMYFUNCTION("""COMPUTED_VALUE"""),"Easy")</f>
        <v>Easy</v>
      </c>
      <c r="F1288" s="35">
        <f>IFERROR(__xludf.DUMMYFUNCTION("""COMPUTED_VALUE"""),618.0)</f>
        <v>618</v>
      </c>
      <c r="G1288" s="35">
        <f>IFERROR(__xludf.DUMMYFUNCTION("""COMPUTED_VALUE"""),35.0)</f>
        <v>35</v>
      </c>
      <c r="H1288" s="35" t="str">
        <f>IFERROR(__xludf.DUMMYFUNCTION("""COMPUTED_VALUE"""),"Algorithms")</f>
        <v>Algorithms</v>
      </c>
      <c r="I1288" s="35">
        <f>IFERROR(__xludf.DUMMYFUNCTION("""COMPUTED_VALUE"""),0.595)</f>
        <v>0.595</v>
      </c>
      <c r="J1288" s="35">
        <f>IFERROR(__xludf.DUMMYFUNCTION("""COMPUTED_VALUE"""),1287.0)</f>
        <v>1287</v>
      </c>
      <c r="K1288" s="35" t="b">
        <f>IFERROR(__xludf.DUMMYFUNCTION("""COMPUTED_VALUE"""),FALSE)</f>
        <v>0</v>
      </c>
      <c r="L1288" s="35" t="str">
        <f>IFERROR(__xludf.DUMMYFUNCTION("""COMPUTED_VALUE"""),"Array;")</f>
        <v>Array;</v>
      </c>
      <c r="M1288" s="35" t="b">
        <f>IFERROR(__xludf.DUMMYFUNCTION("""COMPUTED_VALUE"""),FALSE)</f>
        <v>0</v>
      </c>
      <c r="N1288" s="35" t="b">
        <f>IFERROR(__xludf.DUMMYFUNCTION("""COMPUTED_VALUE"""),FALSE)</f>
        <v>0</v>
      </c>
      <c r="O1288" s="35">
        <f>IFERROR(__xludf.DUMMYFUNCTION("""COMPUTED_VALUE"""),59.5315472415979)</f>
        <v>59.53154724</v>
      </c>
      <c r="P1288" s="35">
        <f>IFERROR(__xludf.DUMMYFUNCTION("""COMPUTED_VALUE"""),60084.0)</f>
        <v>60084</v>
      </c>
      <c r="Q1288" s="35">
        <f>IFERROR(__xludf.DUMMYFUNCTION("""COMPUTED_VALUE"""),100928.0)</f>
        <v>100928</v>
      </c>
    </row>
    <row r="1289">
      <c r="A1289" s="35">
        <f>IFERROR(__xludf.DUMMYFUNCTION("""COMPUTED_VALUE"""),1222.0)</f>
        <v>1222</v>
      </c>
      <c r="B1289" s="35" t="str">
        <f>IFERROR(__xludf.DUMMYFUNCTION("""COMPUTED_VALUE"""),"Remove Covered Intervals")</f>
        <v>Remove Covered Intervals</v>
      </c>
      <c r="C1289" s="35" t="str">
        <f>IFERROR(__xludf.DUMMYFUNCTION("""COMPUTED_VALUE"""),"remove-covered-intervals")</f>
        <v>remove-covered-intervals</v>
      </c>
      <c r="D1289" s="35" t="b">
        <f>IFERROR(__xludf.DUMMYFUNCTION("""COMPUTED_VALUE"""),FALSE)</f>
        <v>0</v>
      </c>
      <c r="E1289" s="35" t="str">
        <f>IFERROR(__xludf.DUMMYFUNCTION("""COMPUTED_VALUE"""),"Medium")</f>
        <v>Medium</v>
      </c>
      <c r="F1289" s="35">
        <f>IFERROR(__xludf.DUMMYFUNCTION("""COMPUTED_VALUE"""),1829.0)</f>
        <v>1829</v>
      </c>
      <c r="G1289" s="35">
        <f>IFERROR(__xludf.DUMMYFUNCTION("""COMPUTED_VALUE"""),44.0)</f>
        <v>44</v>
      </c>
      <c r="H1289" s="35" t="str">
        <f>IFERROR(__xludf.DUMMYFUNCTION("""COMPUTED_VALUE"""),"Algorithms")</f>
        <v>Algorithms</v>
      </c>
      <c r="I1289" s="35">
        <f>IFERROR(__xludf.DUMMYFUNCTION("""COMPUTED_VALUE"""),0.574)</f>
        <v>0.574</v>
      </c>
      <c r="J1289" s="35">
        <f>IFERROR(__xludf.DUMMYFUNCTION("""COMPUTED_VALUE"""),1288.0)</f>
        <v>1288</v>
      </c>
      <c r="K1289" s="35" t="b">
        <f>IFERROR(__xludf.DUMMYFUNCTION("""COMPUTED_VALUE"""),FALSE)</f>
        <v>0</v>
      </c>
      <c r="L1289" s="35" t="str">
        <f>IFERROR(__xludf.DUMMYFUNCTION("""COMPUTED_VALUE"""),"Array;Sorting;")</f>
        <v>Array;Sorting;</v>
      </c>
      <c r="M1289" s="35" t="b">
        <f>IFERROR(__xludf.DUMMYFUNCTION("""COMPUTED_VALUE"""),TRUE)</f>
        <v>1</v>
      </c>
      <c r="N1289" s="35" t="b">
        <f>IFERROR(__xludf.DUMMYFUNCTION("""COMPUTED_VALUE"""),FALSE)</f>
        <v>0</v>
      </c>
      <c r="O1289" s="35">
        <f>IFERROR(__xludf.DUMMYFUNCTION("""COMPUTED_VALUE"""),57.3997360510301)</f>
        <v>57.39973605</v>
      </c>
      <c r="P1289" s="35">
        <f>IFERROR(__xludf.DUMMYFUNCTION("""COMPUTED_VALUE"""),93945.0)</f>
        <v>93945</v>
      </c>
      <c r="Q1289" s="35">
        <f>IFERROR(__xludf.DUMMYFUNCTION("""COMPUTED_VALUE"""),163668.0)</f>
        <v>163668</v>
      </c>
    </row>
    <row r="1290">
      <c r="A1290" s="35">
        <f>IFERROR(__xludf.DUMMYFUNCTION("""COMPUTED_VALUE"""),1224.0)</f>
        <v>1224</v>
      </c>
      <c r="B1290" s="35" t="str">
        <f>IFERROR(__xludf.DUMMYFUNCTION("""COMPUTED_VALUE"""),"Minimum Falling Path Sum II")</f>
        <v>Minimum Falling Path Sum II</v>
      </c>
      <c r="C1290" s="35" t="str">
        <f>IFERROR(__xludf.DUMMYFUNCTION("""COMPUTED_VALUE"""),"minimum-falling-path-sum-ii")</f>
        <v>minimum-falling-path-sum-ii</v>
      </c>
      <c r="D1290" s="35" t="b">
        <f>IFERROR(__xludf.DUMMYFUNCTION("""COMPUTED_VALUE"""),FALSE)</f>
        <v>0</v>
      </c>
      <c r="E1290" s="35" t="str">
        <f>IFERROR(__xludf.DUMMYFUNCTION("""COMPUTED_VALUE"""),"Hard")</f>
        <v>Hard</v>
      </c>
      <c r="F1290" s="35">
        <f>IFERROR(__xludf.DUMMYFUNCTION("""COMPUTED_VALUE"""),712.0)</f>
        <v>712</v>
      </c>
      <c r="G1290" s="35">
        <f>IFERROR(__xludf.DUMMYFUNCTION("""COMPUTED_VALUE"""),62.0)</f>
        <v>62</v>
      </c>
      <c r="H1290" s="35" t="str">
        <f>IFERROR(__xludf.DUMMYFUNCTION("""COMPUTED_VALUE"""),"Algorithms")</f>
        <v>Algorithms</v>
      </c>
      <c r="I1290" s="35">
        <f>IFERROR(__xludf.DUMMYFUNCTION("""COMPUTED_VALUE"""),0.615)</f>
        <v>0.615</v>
      </c>
      <c r="J1290" s="35">
        <f>IFERROR(__xludf.DUMMYFUNCTION("""COMPUTED_VALUE"""),1289.0)</f>
        <v>1289</v>
      </c>
      <c r="K1290" s="35" t="b">
        <f>IFERROR(__xludf.DUMMYFUNCTION("""COMPUTED_VALUE"""),FALSE)</f>
        <v>0</v>
      </c>
      <c r="L1290" s="35" t="str">
        <f>IFERROR(__xludf.DUMMYFUNCTION("""COMPUTED_VALUE"""),"Array;Dynamic Programming;Matrix;")</f>
        <v>Array;Dynamic Programming;Matrix;</v>
      </c>
      <c r="M1290" s="35" t="b">
        <f>IFERROR(__xludf.DUMMYFUNCTION("""COMPUTED_VALUE"""),FALSE)</f>
        <v>0</v>
      </c>
      <c r="N1290" s="35" t="b">
        <f>IFERROR(__xludf.DUMMYFUNCTION("""COMPUTED_VALUE"""),FALSE)</f>
        <v>0</v>
      </c>
      <c r="O1290" s="35">
        <f>IFERROR(__xludf.DUMMYFUNCTION("""COMPUTED_VALUE"""),61.5215869311551)</f>
        <v>61.52158693</v>
      </c>
      <c r="P1290" s="35">
        <f>IFERROR(__xludf.DUMMYFUNCTION("""COMPUTED_VALUE"""),26362.0)</f>
        <v>26362</v>
      </c>
      <c r="Q1290" s="35">
        <f>IFERROR(__xludf.DUMMYFUNCTION("""COMPUTED_VALUE"""),42850.0)</f>
        <v>42850</v>
      </c>
    </row>
    <row r="1291">
      <c r="A1291" s="35">
        <f>IFERROR(__xludf.DUMMYFUNCTION("""COMPUTED_VALUE"""),1411.0)</f>
        <v>1411</v>
      </c>
      <c r="B1291" s="35" t="str">
        <f>IFERROR(__xludf.DUMMYFUNCTION("""COMPUTED_VALUE"""),"Convert Binary Number in a Linked List to Integer")</f>
        <v>Convert Binary Number in a Linked List to Integer</v>
      </c>
      <c r="C1291" s="35" t="str">
        <f>IFERROR(__xludf.DUMMYFUNCTION("""COMPUTED_VALUE"""),"convert-binary-number-in-a-linked-list-to-integer")</f>
        <v>convert-binary-number-in-a-linked-list-to-integer</v>
      </c>
      <c r="D1291" s="35" t="b">
        <f>IFERROR(__xludf.DUMMYFUNCTION("""COMPUTED_VALUE"""),FALSE)</f>
        <v>0</v>
      </c>
      <c r="E1291" s="35" t="str">
        <f>IFERROR(__xludf.DUMMYFUNCTION("""COMPUTED_VALUE"""),"Easy")</f>
        <v>Easy</v>
      </c>
      <c r="F1291" s="35">
        <f>IFERROR(__xludf.DUMMYFUNCTION("""COMPUTED_VALUE"""),2349.0)</f>
        <v>2349</v>
      </c>
      <c r="G1291" s="35">
        <f>IFERROR(__xludf.DUMMYFUNCTION("""COMPUTED_VALUE"""),116.0)</f>
        <v>116</v>
      </c>
      <c r="H1291" s="35" t="str">
        <f>IFERROR(__xludf.DUMMYFUNCTION("""COMPUTED_VALUE"""),"Algorithms")</f>
        <v>Algorithms</v>
      </c>
      <c r="I1291" s="35">
        <f>IFERROR(__xludf.DUMMYFUNCTION("""COMPUTED_VALUE"""),0.827)</f>
        <v>0.827</v>
      </c>
      <c r="J1291" s="35">
        <f>IFERROR(__xludf.DUMMYFUNCTION("""COMPUTED_VALUE"""),1290.0)</f>
        <v>1290</v>
      </c>
      <c r="K1291" s="35" t="b">
        <f>IFERROR(__xludf.DUMMYFUNCTION("""COMPUTED_VALUE"""),FALSE)</f>
        <v>0</v>
      </c>
      <c r="L1291" s="35" t="str">
        <f>IFERROR(__xludf.DUMMYFUNCTION("""COMPUTED_VALUE"""),"Linked List;Math;")</f>
        <v>Linked List;Math;</v>
      </c>
      <c r="M1291" s="35" t="b">
        <f>IFERROR(__xludf.DUMMYFUNCTION("""COMPUTED_VALUE"""),TRUE)</f>
        <v>1</v>
      </c>
      <c r="N1291" s="35" t="b">
        <f>IFERROR(__xludf.DUMMYFUNCTION("""COMPUTED_VALUE"""),FALSE)</f>
        <v>0</v>
      </c>
      <c r="O1291" s="35">
        <f>IFERROR(__xludf.DUMMYFUNCTION("""COMPUTED_VALUE"""),82.6743277716071)</f>
        <v>82.67432777</v>
      </c>
      <c r="P1291" s="35">
        <f>IFERROR(__xludf.DUMMYFUNCTION("""COMPUTED_VALUE"""),270929.0)</f>
        <v>270929</v>
      </c>
      <c r="Q1291" s="35">
        <f>IFERROR(__xludf.DUMMYFUNCTION("""COMPUTED_VALUE"""),327703.0)</f>
        <v>327703</v>
      </c>
    </row>
    <row r="1292">
      <c r="A1292" s="35">
        <f>IFERROR(__xludf.DUMMYFUNCTION("""COMPUTED_VALUE"""),1212.0)</f>
        <v>1212</v>
      </c>
      <c r="B1292" s="35" t="str">
        <f>IFERROR(__xludf.DUMMYFUNCTION("""COMPUTED_VALUE"""),"Sequential Digits")</f>
        <v>Sequential Digits</v>
      </c>
      <c r="C1292" s="35" t="str">
        <f>IFERROR(__xludf.DUMMYFUNCTION("""COMPUTED_VALUE"""),"sequential-digits")</f>
        <v>sequential-digits</v>
      </c>
      <c r="D1292" s="35" t="b">
        <f>IFERROR(__xludf.DUMMYFUNCTION("""COMPUTED_VALUE"""),FALSE)</f>
        <v>0</v>
      </c>
      <c r="E1292" s="35" t="str">
        <f>IFERROR(__xludf.DUMMYFUNCTION("""COMPUTED_VALUE"""),"Medium")</f>
        <v>Medium</v>
      </c>
      <c r="F1292" s="35">
        <f>IFERROR(__xludf.DUMMYFUNCTION("""COMPUTED_VALUE"""),1572.0)</f>
        <v>1572</v>
      </c>
      <c r="G1292" s="35">
        <f>IFERROR(__xludf.DUMMYFUNCTION("""COMPUTED_VALUE"""),98.0)</f>
        <v>98</v>
      </c>
      <c r="H1292" s="35" t="str">
        <f>IFERROR(__xludf.DUMMYFUNCTION("""COMPUTED_VALUE"""),"Algorithms")</f>
        <v>Algorithms</v>
      </c>
      <c r="I1292" s="35">
        <f>IFERROR(__xludf.DUMMYFUNCTION("""COMPUTED_VALUE"""),0.608)</f>
        <v>0.608</v>
      </c>
      <c r="J1292" s="35">
        <f>IFERROR(__xludf.DUMMYFUNCTION("""COMPUTED_VALUE"""),1291.0)</f>
        <v>1291</v>
      </c>
      <c r="K1292" s="35" t="b">
        <f>IFERROR(__xludf.DUMMYFUNCTION("""COMPUTED_VALUE"""),FALSE)</f>
        <v>0</v>
      </c>
      <c r="L1292" s="35" t="str">
        <f>IFERROR(__xludf.DUMMYFUNCTION("""COMPUTED_VALUE"""),"Enumeration;")</f>
        <v>Enumeration;</v>
      </c>
      <c r="M1292" s="35" t="b">
        <f>IFERROR(__xludf.DUMMYFUNCTION("""COMPUTED_VALUE"""),TRUE)</f>
        <v>1</v>
      </c>
      <c r="N1292" s="35" t="b">
        <f>IFERROR(__xludf.DUMMYFUNCTION("""COMPUTED_VALUE"""),FALSE)</f>
        <v>0</v>
      </c>
      <c r="O1292" s="35">
        <f>IFERROR(__xludf.DUMMYFUNCTION("""COMPUTED_VALUE"""),60.8341088308762)</f>
        <v>60.83410883</v>
      </c>
      <c r="P1292" s="35">
        <f>IFERROR(__xludf.DUMMYFUNCTION("""COMPUTED_VALUE"""),74523.0)</f>
        <v>74523</v>
      </c>
      <c r="Q1292" s="35">
        <f>IFERROR(__xludf.DUMMYFUNCTION("""COMPUTED_VALUE"""),122502.0)</f>
        <v>122502</v>
      </c>
    </row>
    <row r="1293">
      <c r="A1293" s="35">
        <f>IFERROR(__xludf.DUMMYFUNCTION("""COMPUTED_VALUE"""),1413.0)</f>
        <v>1413</v>
      </c>
      <c r="B1293" s="35" t="str">
        <f>IFERROR(__xludf.DUMMYFUNCTION("""COMPUTED_VALUE"""),"Maximum Side Length of a Square with Sum Less than or Equal to Threshold")</f>
        <v>Maximum Side Length of a Square with Sum Less than or Equal to Threshold</v>
      </c>
      <c r="C1293" s="35" t="str">
        <f>IFERROR(__xludf.DUMMYFUNCTION("""COMPUTED_VALUE"""),"maximum-side-length-of-a-square-with-sum-less-than-or-equal-to-threshold")</f>
        <v>maximum-side-length-of-a-square-with-sum-less-than-or-equal-to-threshold</v>
      </c>
      <c r="D1293" s="35" t="b">
        <f>IFERROR(__xludf.DUMMYFUNCTION("""COMPUTED_VALUE"""),FALSE)</f>
        <v>0</v>
      </c>
      <c r="E1293" s="35" t="str">
        <f>IFERROR(__xludf.DUMMYFUNCTION("""COMPUTED_VALUE"""),"Medium")</f>
        <v>Medium</v>
      </c>
      <c r="F1293" s="35">
        <f>IFERROR(__xludf.DUMMYFUNCTION("""COMPUTED_VALUE"""),746.0)</f>
        <v>746</v>
      </c>
      <c r="G1293" s="35">
        <f>IFERROR(__xludf.DUMMYFUNCTION("""COMPUTED_VALUE"""),56.0)</f>
        <v>56</v>
      </c>
      <c r="H1293" s="35" t="str">
        <f>IFERROR(__xludf.DUMMYFUNCTION("""COMPUTED_VALUE"""),"Algorithms")</f>
        <v>Algorithms</v>
      </c>
      <c r="I1293" s="35">
        <f>IFERROR(__xludf.DUMMYFUNCTION("""COMPUTED_VALUE"""),0.521)</f>
        <v>0.521</v>
      </c>
      <c r="J1293" s="35">
        <f>IFERROR(__xludf.DUMMYFUNCTION("""COMPUTED_VALUE"""),1292.0)</f>
        <v>1292</v>
      </c>
      <c r="K1293" s="35" t="b">
        <f>IFERROR(__xludf.DUMMYFUNCTION("""COMPUTED_VALUE"""),FALSE)</f>
        <v>0</v>
      </c>
      <c r="L1293" s="35" t="str">
        <f>IFERROR(__xludf.DUMMYFUNCTION("""COMPUTED_VALUE"""),"Array;Binary Search;Matrix;Prefix Sum;")</f>
        <v>Array;Binary Search;Matrix;Prefix Sum;</v>
      </c>
      <c r="M1293" s="35" t="b">
        <f>IFERROR(__xludf.DUMMYFUNCTION("""COMPUTED_VALUE"""),FALSE)</f>
        <v>0</v>
      </c>
      <c r="N1293" s="35" t="b">
        <f>IFERROR(__xludf.DUMMYFUNCTION("""COMPUTED_VALUE"""),FALSE)</f>
        <v>0</v>
      </c>
      <c r="O1293" s="35">
        <f>IFERROR(__xludf.DUMMYFUNCTION("""COMPUTED_VALUE"""),52.1442912897331)</f>
        <v>52.14429129</v>
      </c>
      <c r="P1293" s="35">
        <f>IFERROR(__xludf.DUMMYFUNCTION("""COMPUTED_VALUE"""),23114.0)</f>
        <v>23114</v>
      </c>
      <c r="Q1293" s="35">
        <f>IFERROR(__xludf.DUMMYFUNCTION("""COMPUTED_VALUE"""),44327.0)</f>
        <v>44327</v>
      </c>
    </row>
    <row r="1294">
      <c r="A1294" s="35">
        <f>IFERROR(__xludf.DUMMYFUNCTION("""COMPUTED_VALUE"""),1414.0)</f>
        <v>1414</v>
      </c>
      <c r="B1294" s="35" t="str">
        <f>IFERROR(__xludf.DUMMYFUNCTION("""COMPUTED_VALUE"""),"Shortest Path in a Grid with Obstacles Elimination")</f>
        <v>Shortest Path in a Grid with Obstacles Elimination</v>
      </c>
      <c r="C1294" s="35" t="str">
        <f>IFERROR(__xludf.DUMMYFUNCTION("""COMPUTED_VALUE"""),"shortest-path-in-a-grid-with-obstacles-elimination")</f>
        <v>shortest-path-in-a-grid-with-obstacles-elimination</v>
      </c>
      <c r="D1294" s="35" t="b">
        <f>IFERROR(__xludf.DUMMYFUNCTION("""COMPUTED_VALUE"""),FALSE)</f>
        <v>0</v>
      </c>
      <c r="E1294" s="35" t="str">
        <f>IFERROR(__xludf.DUMMYFUNCTION("""COMPUTED_VALUE"""),"Hard")</f>
        <v>Hard</v>
      </c>
      <c r="F1294" s="35">
        <f>IFERROR(__xludf.DUMMYFUNCTION("""COMPUTED_VALUE"""),1943.0)</f>
        <v>1943</v>
      </c>
      <c r="G1294" s="35">
        <f>IFERROR(__xludf.DUMMYFUNCTION("""COMPUTED_VALUE"""),36.0)</f>
        <v>36</v>
      </c>
      <c r="H1294" s="35" t="str">
        <f>IFERROR(__xludf.DUMMYFUNCTION("""COMPUTED_VALUE"""),"Algorithms")</f>
        <v>Algorithms</v>
      </c>
      <c r="I1294" s="35">
        <f>IFERROR(__xludf.DUMMYFUNCTION("""COMPUTED_VALUE"""),0.436)</f>
        <v>0.436</v>
      </c>
      <c r="J1294" s="35">
        <f>IFERROR(__xludf.DUMMYFUNCTION("""COMPUTED_VALUE"""),1293.0)</f>
        <v>1293</v>
      </c>
      <c r="K1294" s="35" t="b">
        <f>IFERROR(__xludf.DUMMYFUNCTION("""COMPUTED_VALUE"""),FALSE)</f>
        <v>0</v>
      </c>
      <c r="L1294" s="35" t="str">
        <f>IFERROR(__xludf.DUMMYFUNCTION("""COMPUTED_VALUE"""),"Array;Breadth-First Search;Matrix;")</f>
        <v>Array;Breadth-First Search;Matrix;</v>
      </c>
      <c r="M1294" s="35" t="b">
        <f>IFERROR(__xludf.DUMMYFUNCTION("""COMPUTED_VALUE"""),TRUE)</f>
        <v>1</v>
      </c>
      <c r="N1294" s="35" t="b">
        <f>IFERROR(__xludf.DUMMYFUNCTION("""COMPUTED_VALUE"""),FALSE)</f>
        <v>0</v>
      </c>
      <c r="O1294" s="35">
        <f>IFERROR(__xludf.DUMMYFUNCTION("""COMPUTED_VALUE"""),43.5723678628998)</f>
        <v>43.57236786</v>
      </c>
      <c r="P1294" s="35">
        <f>IFERROR(__xludf.DUMMYFUNCTION("""COMPUTED_VALUE"""),82171.0)</f>
        <v>82171</v>
      </c>
      <c r="Q1294" s="35">
        <f>IFERROR(__xludf.DUMMYFUNCTION("""COMPUTED_VALUE"""),188587.0)</f>
        <v>188587</v>
      </c>
    </row>
    <row r="1295">
      <c r="A1295" s="35">
        <f>IFERROR(__xludf.DUMMYFUNCTION("""COMPUTED_VALUE"""),1425.0)</f>
        <v>1425</v>
      </c>
      <c r="B1295" s="35" t="str">
        <f>IFERROR(__xludf.DUMMYFUNCTION("""COMPUTED_VALUE"""),"Weather Type in Each Country")</f>
        <v>Weather Type in Each Country</v>
      </c>
      <c r="C1295" s="35" t="str">
        <f>IFERROR(__xludf.DUMMYFUNCTION("""COMPUTED_VALUE"""),"weather-type-in-each-country")</f>
        <v>weather-type-in-each-country</v>
      </c>
      <c r="D1295" s="35" t="b">
        <f>IFERROR(__xludf.DUMMYFUNCTION("""COMPUTED_VALUE"""),TRUE)</f>
        <v>1</v>
      </c>
      <c r="E1295" s="35" t="str">
        <f>IFERROR(__xludf.DUMMYFUNCTION("""COMPUTED_VALUE"""),"Easy")</f>
        <v>Easy</v>
      </c>
      <c r="F1295" s="35">
        <f>IFERROR(__xludf.DUMMYFUNCTION("""COMPUTED_VALUE"""),76.0)</f>
        <v>76</v>
      </c>
      <c r="G1295" s="35">
        <f>IFERROR(__xludf.DUMMYFUNCTION("""COMPUTED_VALUE"""),17.0)</f>
        <v>17</v>
      </c>
      <c r="H1295" s="35" t="str">
        <f>IFERROR(__xludf.DUMMYFUNCTION("""COMPUTED_VALUE"""),"Database")</f>
        <v>Database</v>
      </c>
      <c r="I1295" s="35">
        <f>IFERROR(__xludf.DUMMYFUNCTION("""COMPUTED_VALUE"""),0.674)</f>
        <v>0.674</v>
      </c>
      <c r="J1295" s="35">
        <f>IFERROR(__xludf.DUMMYFUNCTION("""COMPUTED_VALUE"""),1294.0)</f>
        <v>1294</v>
      </c>
      <c r="K1295" s="35" t="b">
        <f>IFERROR(__xludf.DUMMYFUNCTION("""COMPUTED_VALUE"""),TRUE)</f>
        <v>1</v>
      </c>
      <c r="L1295" s="35" t="str">
        <f>IFERROR(__xludf.DUMMYFUNCTION("""COMPUTED_VALUE"""),"Database;")</f>
        <v>Database;</v>
      </c>
      <c r="M1295" s="35" t="b">
        <f>IFERROR(__xludf.DUMMYFUNCTION("""COMPUTED_VALUE"""),FALSE)</f>
        <v>0</v>
      </c>
      <c r="N1295" s="35" t="b">
        <f>IFERROR(__xludf.DUMMYFUNCTION("""COMPUTED_VALUE"""),FALSE)</f>
        <v>0</v>
      </c>
      <c r="O1295" s="35">
        <f>IFERROR(__xludf.DUMMYFUNCTION("""COMPUTED_VALUE"""),67.4169607008151)</f>
        <v>67.4169607</v>
      </c>
      <c r="P1295" s="35">
        <f>IFERROR(__xludf.DUMMYFUNCTION("""COMPUTED_VALUE"""),22164.0)</f>
        <v>22164</v>
      </c>
      <c r="Q1295" s="35">
        <f>IFERROR(__xludf.DUMMYFUNCTION("""COMPUTED_VALUE"""),32876.0)</f>
        <v>32876</v>
      </c>
    </row>
    <row r="1296">
      <c r="A1296" s="35">
        <f>IFERROR(__xludf.DUMMYFUNCTION("""COMPUTED_VALUE"""),1421.0)</f>
        <v>1421</v>
      </c>
      <c r="B1296" s="35" t="str">
        <f>IFERROR(__xludf.DUMMYFUNCTION("""COMPUTED_VALUE"""),"Find Numbers with Even Number of Digits")</f>
        <v>Find Numbers with Even Number of Digits</v>
      </c>
      <c r="C1296" s="35" t="str">
        <f>IFERROR(__xludf.DUMMYFUNCTION("""COMPUTED_VALUE"""),"find-numbers-with-even-number-of-digits")</f>
        <v>find-numbers-with-even-number-of-digits</v>
      </c>
      <c r="D1296" s="35" t="b">
        <f>IFERROR(__xludf.DUMMYFUNCTION("""COMPUTED_VALUE"""),FALSE)</f>
        <v>0</v>
      </c>
      <c r="E1296" s="35" t="str">
        <f>IFERROR(__xludf.DUMMYFUNCTION("""COMPUTED_VALUE"""),"Easy")</f>
        <v>Easy</v>
      </c>
      <c r="F1296" s="35">
        <f>IFERROR(__xludf.DUMMYFUNCTION("""COMPUTED_VALUE"""),1157.0)</f>
        <v>1157</v>
      </c>
      <c r="G1296" s="35">
        <f>IFERROR(__xludf.DUMMYFUNCTION("""COMPUTED_VALUE"""),95.0)</f>
        <v>95</v>
      </c>
      <c r="H1296" s="35" t="str">
        <f>IFERROR(__xludf.DUMMYFUNCTION("""COMPUTED_VALUE"""),"Algorithms")</f>
        <v>Algorithms</v>
      </c>
      <c r="I1296" s="35">
        <f>IFERROR(__xludf.DUMMYFUNCTION("""COMPUTED_VALUE"""),0.772)</f>
        <v>0.772</v>
      </c>
      <c r="J1296" s="35">
        <f>IFERROR(__xludf.DUMMYFUNCTION("""COMPUTED_VALUE"""),1295.0)</f>
        <v>1295</v>
      </c>
      <c r="K1296" s="35" t="b">
        <f>IFERROR(__xludf.DUMMYFUNCTION("""COMPUTED_VALUE"""),FALSE)</f>
        <v>0</v>
      </c>
      <c r="L1296" s="35" t="str">
        <f>IFERROR(__xludf.DUMMYFUNCTION("""COMPUTED_VALUE"""),"Array;")</f>
        <v>Array;</v>
      </c>
      <c r="M1296" s="35" t="b">
        <f>IFERROR(__xludf.DUMMYFUNCTION("""COMPUTED_VALUE"""),FALSE)</f>
        <v>0</v>
      </c>
      <c r="N1296" s="35" t="b">
        <f>IFERROR(__xludf.DUMMYFUNCTION("""COMPUTED_VALUE"""),FALSE)</f>
        <v>0</v>
      </c>
      <c r="O1296" s="35">
        <f>IFERROR(__xludf.DUMMYFUNCTION("""COMPUTED_VALUE"""),77.2208417897991)</f>
        <v>77.22084179</v>
      </c>
      <c r="P1296" s="35">
        <f>IFERROR(__xludf.DUMMYFUNCTION("""COMPUTED_VALUE"""),407106.0)</f>
        <v>407106</v>
      </c>
      <c r="Q1296" s="35">
        <f>IFERROR(__xludf.DUMMYFUNCTION("""COMPUTED_VALUE"""),527200.0)</f>
        <v>527200</v>
      </c>
    </row>
    <row r="1297">
      <c r="A1297" s="35">
        <f>IFERROR(__xludf.DUMMYFUNCTION("""COMPUTED_VALUE"""),1422.0)</f>
        <v>1422</v>
      </c>
      <c r="B1297" s="35" t="str">
        <f>IFERROR(__xludf.DUMMYFUNCTION("""COMPUTED_VALUE"""),"Divide Array in Sets of K Consecutive Numbers")</f>
        <v>Divide Array in Sets of K Consecutive Numbers</v>
      </c>
      <c r="C1297" s="35" t="str">
        <f>IFERROR(__xludf.DUMMYFUNCTION("""COMPUTED_VALUE"""),"divide-array-in-sets-of-k-consecutive-numbers")</f>
        <v>divide-array-in-sets-of-k-consecutive-numbers</v>
      </c>
      <c r="D1297" s="35" t="b">
        <f>IFERROR(__xludf.DUMMYFUNCTION("""COMPUTED_VALUE"""),FALSE)</f>
        <v>0</v>
      </c>
      <c r="E1297" s="35" t="str">
        <f>IFERROR(__xludf.DUMMYFUNCTION("""COMPUTED_VALUE"""),"Medium")</f>
        <v>Medium</v>
      </c>
      <c r="F1297" s="35">
        <f>IFERROR(__xludf.DUMMYFUNCTION("""COMPUTED_VALUE"""),1029.0)</f>
        <v>1029</v>
      </c>
      <c r="G1297" s="35">
        <f>IFERROR(__xludf.DUMMYFUNCTION("""COMPUTED_VALUE"""),77.0)</f>
        <v>77</v>
      </c>
      <c r="H1297" s="35" t="str">
        <f>IFERROR(__xludf.DUMMYFUNCTION("""COMPUTED_VALUE"""),"Algorithms")</f>
        <v>Algorithms</v>
      </c>
      <c r="I1297" s="35">
        <f>IFERROR(__xludf.DUMMYFUNCTION("""COMPUTED_VALUE"""),0.564)</f>
        <v>0.564</v>
      </c>
      <c r="J1297" s="35">
        <f>IFERROR(__xludf.DUMMYFUNCTION("""COMPUTED_VALUE"""),1296.0)</f>
        <v>1296</v>
      </c>
      <c r="K1297" s="35" t="b">
        <f>IFERROR(__xludf.DUMMYFUNCTION("""COMPUTED_VALUE"""),FALSE)</f>
        <v>0</v>
      </c>
      <c r="L1297" s="35" t="str">
        <f>IFERROR(__xludf.DUMMYFUNCTION("""COMPUTED_VALUE"""),"Array;Hash Table;Greedy;Sorting;")</f>
        <v>Array;Hash Table;Greedy;Sorting;</v>
      </c>
      <c r="M1297" s="35" t="b">
        <f>IFERROR(__xludf.DUMMYFUNCTION("""COMPUTED_VALUE"""),FALSE)</f>
        <v>0</v>
      </c>
      <c r="N1297" s="35" t="b">
        <f>IFERROR(__xludf.DUMMYFUNCTION("""COMPUTED_VALUE"""),FALSE)</f>
        <v>0</v>
      </c>
      <c r="O1297" s="35">
        <f>IFERROR(__xludf.DUMMYFUNCTION("""COMPUTED_VALUE"""),56.4467684914374)</f>
        <v>56.44676849</v>
      </c>
      <c r="P1297" s="35">
        <f>IFERROR(__xludf.DUMMYFUNCTION("""COMPUTED_VALUE"""),57320.0)</f>
        <v>57320</v>
      </c>
      <c r="Q1297" s="35">
        <f>IFERROR(__xludf.DUMMYFUNCTION("""COMPUTED_VALUE"""),101547.0)</f>
        <v>101547</v>
      </c>
    </row>
    <row r="1298">
      <c r="A1298" s="35">
        <f>IFERROR(__xludf.DUMMYFUNCTION("""COMPUTED_VALUE"""),1423.0)</f>
        <v>1423</v>
      </c>
      <c r="B1298" s="35" t="str">
        <f>IFERROR(__xludf.DUMMYFUNCTION("""COMPUTED_VALUE"""),"Maximum Number of Occurrences of a Substring")</f>
        <v>Maximum Number of Occurrences of a Substring</v>
      </c>
      <c r="C1298" s="35" t="str">
        <f>IFERROR(__xludf.DUMMYFUNCTION("""COMPUTED_VALUE"""),"maximum-number-of-occurrences-of-a-substring")</f>
        <v>maximum-number-of-occurrences-of-a-substring</v>
      </c>
      <c r="D1298" s="35" t="b">
        <f>IFERROR(__xludf.DUMMYFUNCTION("""COMPUTED_VALUE"""),FALSE)</f>
        <v>0</v>
      </c>
      <c r="E1298" s="35" t="str">
        <f>IFERROR(__xludf.DUMMYFUNCTION("""COMPUTED_VALUE"""),"Medium")</f>
        <v>Medium</v>
      </c>
      <c r="F1298" s="35">
        <f>IFERROR(__xludf.DUMMYFUNCTION("""COMPUTED_VALUE"""),567.0)</f>
        <v>567</v>
      </c>
      <c r="G1298" s="35">
        <f>IFERROR(__xludf.DUMMYFUNCTION("""COMPUTED_VALUE"""),286.0)</f>
        <v>286</v>
      </c>
      <c r="H1298" s="35" t="str">
        <f>IFERROR(__xludf.DUMMYFUNCTION("""COMPUTED_VALUE"""),"Algorithms")</f>
        <v>Algorithms</v>
      </c>
      <c r="I1298" s="35">
        <f>IFERROR(__xludf.DUMMYFUNCTION("""COMPUTED_VALUE"""),0.524)</f>
        <v>0.524</v>
      </c>
      <c r="J1298" s="35">
        <f>IFERROR(__xludf.DUMMYFUNCTION("""COMPUTED_VALUE"""),1297.0)</f>
        <v>1297</v>
      </c>
      <c r="K1298" s="35" t="b">
        <f>IFERROR(__xludf.DUMMYFUNCTION("""COMPUTED_VALUE"""),FALSE)</f>
        <v>0</v>
      </c>
      <c r="L1298" s="35" t="str">
        <f>IFERROR(__xludf.DUMMYFUNCTION("""COMPUTED_VALUE"""),"Hash Table;String;Sliding Window;")</f>
        <v>Hash Table;String;Sliding Window;</v>
      </c>
      <c r="M1298" s="35" t="b">
        <f>IFERROR(__xludf.DUMMYFUNCTION("""COMPUTED_VALUE"""),FALSE)</f>
        <v>0</v>
      </c>
      <c r="N1298" s="35" t="b">
        <f>IFERROR(__xludf.DUMMYFUNCTION("""COMPUTED_VALUE"""),FALSE)</f>
        <v>0</v>
      </c>
      <c r="O1298" s="35">
        <f>IFERROR(__xludf.DUMMYFUNCTION("""COMPUTED_VALUE"""),52.3834993648458)</f>
        <v>52.38349936</v>
      </c>
      <c r="P1298" s="35">
        <f>IFERROR(__xludf.DUMMYFUNCTION("""COMPUTED_VALUE"""),31339.0)</f>
        <v>31339</v>
      </c>
      <c r="Q1298" s="35">
        <f>IFERROR(__xludf.DUMMYFUNCTION("""COMPUTED_VALUE"""),59825.0)</f>
        <v>59825</v>
      </c>
    </row>
    <row r="1299">
      <c r="A1299" s="35">
        <f>IFERROR(__xludf.DUMMYFUNCTION("""COMPUTED_VALUE"""),1424.0)</f>
        <v>1424</v>
      </c>
      <c r="B1299" s="35" t="str">
        <f>IFERROR(__xludf.DUMMYFUNCTION("""COMPUTED_VALUE"""),"Maximum Candies You Can Get from Boxes")</f>
        <v>Maximum Candies You Can Get from Boxes</v>
      </c>
      <c r="C1299" s="35" t="str">
        <f>IFERROR(__xludf.DUMMYFUNCTION("""COMPUTED_VALUE"""),"maximum-candies-you-can-get-from-boxes")</f>
        <v>maximum-candies-you-can-get-from-boxes</v>
      </c>
      <c r="D1299" s="35" t="b">
        <f>IFERROR(__xludf.DUMMYFUNCTION("""COMPUTED_VALUE"""),FALSE)</f>
        <v>0</v>
      </c>
      <c r="E1299" s="35" t="str">
        <f>IFERROR(__xludf.DUMMYFUNCTION("""COMPUTED_VALUE"""),"Hard")</f>
        <v>Hard</v>
      </c>
      <c r="F1299" s="35">
        <f>IFERROR(__xludf.DUMMYFUNCTION("""COMPUTED_VALUE"""),173.0)</f>
        <v>173</v>
      </c>
      <c r="G1299" s="35">
        <f>IFERROR(__xludf.DUMMYFUNCTION("""COMPUTED_VALUE"""),112.0)</f>
        <v>112</v>
      </c>
      <c r="H1299" s="35" t="str">
        <f>IFERROR(__xludf.DUMMYFUNCTION("""COMPUTED_VALUE"""),"Algorithms")</f>
        <v>Algorithms</v>
      </c>
      <c r="I1299" s="35">
        <f>IFERROR(__xludf.DUMMYFUNCTION("""COMPUTED_VALUE"""),0.609)</f>
        <v>0.609</v>
      </c>
      <c r="J1299" s="35">
        <f>IFERROR(__xludf.DUMMYFUNCTION("""COMPUTED_VALUE"""),1298.0)</f>
        <v>1298</v>
      </c>
      <c r="K1299" s="35" t="b">
        <f>IFERROR(__xludf.DUMMYFUNCTION("""COMPUTED_VALUE"""),FALSE)</f>
        <v>0</v>
      </c>
      <c r="L1299" s="35" t="str">
        <f>IFERROR(__xludf.DUMMYFUNCTION("""COMPUTED_VALUE"""),"Array;Breadth-First Search;")</f>
        <v>Array;Breadth-First Search;</v>
      </c>
      <c r="M1299" s="35" t="b">
        <f>IFERROR(__xludf.DUMMYFUNCTION("""COMPUTED_VALUE"""),FALSE)</f>
        <v>0</v>
      </c>
      <c r="N1299" s="35" t="b">
        <f>IFERROR(__xludf.DUMMYFUNCTION("""COMPUTED_VALUE"""),FALSE)</f>
        <v>0</v>
      </c>
      <c r="O1299" s="35">
        <f>IFERROR(__xludf.DUMMYFUNCTION("""COMPUTED_VALUE"""),60.8604536489151)</f>
        <v>60.86045365</v>
      </c>
      <c r="P1299" s="35">
        <f>IFERROR(__xludf.DUMMYFUNCTION("""COMPUTED_VALUE"""),9874.0)</f>
        <v>9874</v>
      </c>
      <c r="Q1299" s="35">
        <f>IFERROR(__xludf.DUMMYFUNCTION("""COMPUTED_VALUE"""),16224.0)</f>
        <v>16224</v>
      </c>
    </row>
    <row r="1300">
      <c r="A1300" s="35">
        <f>IFERROR(__xludf.DUMMYFUNCTION("""COMPUTED_VALUE"""),1231.0)</f>
        <v>1231</v>
      </c>
      <c r="B1300" s="35" t="str">
        <f>IFERROR(__xludf.DUMMYFUNCTION("""COMPUTED_VALUE"""),"Replace Elements with Greatest Element on Right Side")</f>
        <v>Replace Elements with Greatest Element on Right Side</v>
      </c>
      <c r="C1300" s="35" t="str">
        <f>IFERROR(__xludf.DUMMYFUNCTION("""COMPUTED_VALUE"""),"replace-elements-with-greatest-element-on-right-side")</f>
        <v>replace-elements-with-greatest-element-on-right-side</v>
      </c>
      <c r="D1300" s="35" t="b">
        <f>IFERROR(__xludf.DUMMYFUNCTION("""COMPUTED_VALUE"""),FALSE)</f>
        <v>0</v>
      </c>
      <c r="E1300" s="35" t="str">
        <f>IFERROR(__xludf.DUMMYFUNCTION("""COMPUTED_VALUE"""),"Easy")</f>
        <v>Easy</v>
      </c>
      <c r="F1300" s="35">
        <f>IFERROR(__xludf.DUMMYFUNCTION("""COMPUTED_VALUE"""),1163.0)</f>
        <v>1163</v>
      </c>
      <c r="G1300" s="35">
        <f>IFERROR(__xludf.DUMMYFUNCTION("""COMPUTED_VALUE"""),162.0)</f>
        <v>162</v>
      </c>
      <c r="H1300" s="35" t="str">
        <f>IFERROR(__xludf.DUMMYFUNCTION("""COMPUTED_VALUE"""),"Algorithms")</f>
        <v>Algorithms</v>
      </c>
      <c r="I1300" s="35">
        <f>IFERROR(__xludf.DUMMYFUNCTION("""COMPUTED_VALUE"""),0.744)</f>
        <v>0.744</v>
      </c>
      <c r="J1300" s="35">
        <f>IFERROR(__xludf.DUMMYFUNCTION("""COMPUTED_VALUE"""),1299.0)</f>
        <v>1299</v>
      </c>
      <c r="K1300" s="35" t="b">
        <f>IFERROR(__xludf.DUMMYFUNCTION("""COMPUTED_VALUE"""),FALSE)</f>
        <v>0</v>
      </c>
      <c r="L1300" s="35" t="str">
        <f>IFERROR(__xludf.DUMMYFUNCTION("""COMPUTED_VALUE"""),"Array;")</f>
        <v>Array;</v>
      </c>
      <c r="M1300" s="35" t="b">
        <f>IFERROR(__xludf.DUMMYFUNCTION("""COMPUTED_VALUE"""),FALSE)</f>
        <v>0</v>
      </c>
      <c r="N1300" s="35" t="b">
        <f>IFERROR(__xludf.DUMMYFUNCTION("""COMPUTED_VALUE"""),FALSE)</f>
        <v>0</v>
      </c>
      <c r="O1300" s="35">
        <f>IFERROR(__xludf.DUMMYFUNCTION("""COMPUTED_VALUE"""),74.4189963595159)</f>
        <v>74.41899636</v>
      </c>
      <c r="P1300" s="35">
        <f>IFERROR(__xludf.DUMMYFUNCTION("""COMPUTED_VALUE"""),194397.0)</f>
        <v>194397</v>
      </c>
      <c r="Q1300" s="35">
        <f>IFERROR(__xludf.DUMMYFUNCTION("""COMPUTED_VALUE"""),261221.0)</f>
        <v>261221</v>
      </c>
    </row>
    <row r="1301">
      <c r="A1301" s="35">
        <f>IFERROR(__xludf.DUMMYFUNCTION("""COMPUTED_VALUE"""),1232.0)</f>
        <v>1232</v>
      </c>
      <c r="B1301" s="35" t="str">
        <f>IFERROR(__xludf.DUMMYFUNCTION("""COMPUTED_VALUE"""),"Sum of Mutated Array Closest to Target")</f>
        <v>Sum of Mutated Array Closest to Target</v>
      </c>
      <c r="C1301" s="35" t="str">
        <f>IFERROR(__xludf.DUMMYFUNCTION("""COMPUTED_VALUE"""),"sum-of-mutated-array-closest-to-target")</f>
        <v>sum-of-mutated-array-closest-to-target</v>
      </c>
      <c r="D1301" s="35" t="b">
        <f>IFERROR(__xludf.DUMMYFUNCTION("""COMPUTED_VALUE"""),FALSE)</f>
        <v>0</v>
      </c>
      <c r="E1301" s="35" t="str">
        <f>IFERROR(__xludf.DUMMYFUNCTION("""COMPUTED_VALUE"""),"Medium")</f>
        <v>Medium</v>
      </c>
      <c r="F1301" s="35">
        <f>IFERROR(__xludf.DUMMYFUNCTION("""COMPUTED_VALUE"""),706.0)</f>
        <v>706</v>
      </c>
      <c r="G1301" s="35">
        <f>IFERROR(__xludf.DUMMYFUNCTION("""COMPUTED_VALUE"""),88.0)</f>
        <v>88</v>
      </c>
      <c r="H1301" s="35" t="str">
        <f>IFERROR(__xludf.DUMMYFUNCTION("""COMPUTED_VALUE"""),"Algorithms")</f>
        <v>Algorithms</v>
      </c>
      <c r="I1301" s="35">
        <f>IFERROR(__xludf.DUMMYFUNCTION("""COMPUTED_VALUE"""),0.425)</f>
        <v>0.425</v>
      </c>
      <c r="J1301" s="35">
        <f>IFERROR(__xludf.DUMMYFUNCTION("""COMPUTED_VALUE"""),1300.0)</f>
        <v>1300</v>
      </c>
      <c r="K1301" s="35" t="b">
        <f>IFERROR(__xludf.DUMMYFUNCTION("""COMPUTED_VALUE"""),FALSE)</f>
        <v>0</v>
      </c>
      <c r="L1301" s="35" t="str">
        <f>IFERROR(__xludf.DUMMYFUNCTION("""COMPUTED_VALUE"""),"Array;Binary Search;Sorting;")</f>
        <v>Array;Binary Search;Sorting;</v>
      </c>
      <c r="M1301" s="35" t="b">
        <f>IFERROR(__xludf.DUMMYFUNCTION("""COMPUTED_VALUE"""),FALSE)</f>
        <v>0</v>
      </c>
      <c r="N1301" s="35" t="b">
        <f>IFERROR(__xludf.DUMMYFUNCTION("""COMPUTED_VALUE"""),FALSE)</f>
        <v>0</v>
      </c>
      <c r="O1301" s="35">
        <f>IFERROR(__xludf.DUMMYFUNCTION("""COMPUTED_VALUE"""),42.5173439048562)</f>
        <v>42.5173439</v>
      </c>
      <c r="P1301" s="35">
        <f>IFERROR(__xludf.DUMMYFUNCTION("""COMPUTED_VALUE"""),23595.0)</f>
        <v>23595</v>
      </c>
      <c r="Q1301" s="35">
        <f>IFERROR(__xludf.DUMMYFUNCTION("""COMPUTED_VALUE"""),55495.0)</f>
        <v>55495</v>
      </c>
    </row>
    <row r="1302">
      <c r="A1302" s="35">
        <f>IFERROR(__xludf.DUMMYFUNCTION("""COMPUTED_VALUE"""),1234.0)</f>
        <v>1234</v>
      </c>
      <c r="B1302" s="35" t="str">
        <f>IFERROR(__xludf.DUMMYFUNCTION("""COMPUTED_VALUE"""),"Number of Paths with Max Score")</f>
        <v>Number of Paths with Max Score</v>
      </c>
      <c r="C1302" s="35" t="str">
        <f>IFERROR(__xludf.DUMMYFUNCTION("""COMPUTED_VALUE"""),"number-of-paths-with-max-score")</f>
        <v>number-of-paths-with-max-score</v>
      </c>
      <c r="D1302" s="35" t="b">
        <f>IFERROR(__xludf.DUMMYFUNCTION("""COMPUTED_VALUE"""),FALSE)</f>
        <v>0</v>
      </c>
      <c r="E1302" s="35" t="str">
        <f>IFERROR(__xludf.DUMMYFUNCTION("""COMPUTED_VALUE"""),"Hard")</f>
        <v>Hard</v>
      </c>
      <c r="F1302" s="35">
        <f>IFERROR(__xludf.DUMMYFUNCTION("""COMPUTED_VALUE"""),303.0)</f>
        <v>303</v>
      </c>
      <c r="G1302" s="35">
        <f>IFERROR(__xludf.DUMMYFUNCTION("""COMPUTED_VALUE"""),15.0)</f>
        <v>15</v>
      </c>
      <c r="H1302" s="35" t="str">
        <f>IFERROR(__xludf.DUMMYFUNCTION("""COMPUTED_VALUE"""),"Algorithms")</f>
        <v>Algorithms</v>
      </c>
      <c r="I1302" s="35">
        <f>IFERROR(__xludf.DUMMYFUNCTION("""COMPUTED_VALUE"""),0.387)</f>
        <v>0.387</v>
      </c>
      <c r="J1302" s="35">
        <f>IFERROR(__xludf.DUMMYFUNCTION("""COMPUTED_VALUE"""),1301.0)</f>
        <v>1301</v>
      </c>
      <c r="K1302" s="35" t="b">
        <f>IFERROR(__xludf.DUMMYFUNCTION("""COMPUTED_VALUE"""),FALSE)</f>
        <v>0</v>
      </c>
      <c r="L1302" s="35" t="str">
        <f>IFERROR(__xludf.DUMMYFUNCTION("""COMPUTED_VALUE"""),"Array;Dynamic Programming;Matrix;")</f>
        <v>Array;Dynamic Programming;Matrix;</v>
      </c>
      <c r="M1302" s="35" t="b">
        <f>IFERROR(__xludf.DUMMYFUNCTION("""COMPUTED_VALUE"""),FALSE)</f>
        <v>0</v>
      </c>
      <c r="N1302" s="35" t="b">
        <f>IFERROR(__xludf.DUMMYFUNCTION("""COMPUTED_VALUE"""),FALSE)</f>
        <v>0</v>
      </c>
      <c r="O1302" s="35">
        <f>IFERROR(__xludf.DUMMYFUNCTION("""COMPUTED_VALUE"""),38.7292576419214)</f>
        <v>38.72925764</v>
      </c>
      <c r="P1302" s="35">
        <f>IFERROR(__xludf.DUMMYFUNCTION("""COMPUTED_VALUE"""),8869.0)</f>
        <v>8869</v>
      </c>
      <c r="Q1302" s="35">
        <f>IFERROR(__xludf.DUMMYFUNCTION("""COMPUTED_VALUE"""),22900.0)</f>
        <v>22900</v>
      </c>
    </row>
    <row r="1303">
      <c r="A1303" s="35">
        <f>IFERROR(__xludf.DUMMYFUNCTION("""COMPUTED_VALUE"""),1254.0)</f>
        <v>1254</v>
      </c>
      <c r="B1303" s="35" t="str">
        <f>IFERROR(__xludf.DUMMYFUNCTION("""COMPUTED_VALUE"""),"Deepest Leaves Sum")</f>
        <v>Deepest Leaves Sum</v>
      </c>
      <c r="C1303" s="35" t="str">
        <f>IFERROR(__xludf.DUMMYFUNCTION("""COMPUTED_VALUE"""),"deepest-leaves-sum")</f>
        <v>deepest-leaves-sum</v>
      </c>
      <c r="D1303" s="35" t="b">
        <f>IFERROR(__xludf.DUMMYFUNCTION("""COMPUTED_VALUE"""),FALSE)</f>
        <v>0</v>
      </c>
      <c r="E1303" s="35" t="str">
        <f>IFERROR(__xludf.DUMMYFUNCTION("""COMPUTED_VALUE"""),"Medium")</f>
        <v>Medium</v>
      </c>
      <c r="F1303" s="35">
        <f>IFERROR(__xludf.DUMMYFUNCTION("""COMPUTED_VALUE"""),2303.0)</f>
        <v>2303</v>
      </c>
      <c r="G1303" s="35">
        <f>IFERROR(__xludf.DUMMYFUNCTION("""COMPUTED_VALUE"""),74.0)</f>
        <v>74</v>
      </c>
      <c r="H1303" s="35" t="str">
        <f>IFERROR(__xludf.DUMMYFUNCTION("""COMPUTED_VALUE"""),"Algorithms")</f>
        <v>Algorithms</v>
      </c>
      <c r="I1303" s="35">
        <f>IFERROR(__xludf.DUMMYFUNCTION("""COMPUTED_VALUE"""),0.857)</f>
        <v>0.857</v>
      </c>
      <c r="J1303" s="35">
        <f>IFERROR(__xludf.DUMMYFUNCTION("""COMPUTED_VALUE"""),1302.0)</f>
        <v>1302</v>
      </c>
      <c r="K1303" s="35" t="b">
        <f>IFERROR(__xludf.DUMMYFUNCTION("""COMPUTED_VALUE"""),FALSE)</f>
        <v>0</v>
      </c>
      <c r="L1303" s="35" t="str">
        <f>IFERROR(__xludf.DUMMYFUNCTION("""COMPUTED_VALUE"""),"Tree;Depth-First Search;Breadth-First Search;Binary Tree;")</f>
        <v>Tree;Depth-First Search;Breadth-First Search;Binary Tree;</v>
      </c>
      <c r="M1303" s="35" t="b">
        <f>IFERROR(__xludf.DUMMYFUNCTION("""COMPUTED_VALUE"""),TRUE)</f>
        <v>1</v>
      </c>
      <c r="N1303" s="35" t="b">
        <f>IFERROR(__xludf.DUMMYFUNCTION("""COMPUTED_VALUE"""),FALSE)</f>
        <v>0</v>
      </c>
      <c r="O1303" s="35">
        <f>IFERROR(__xludf.DUMMYFUNCTION("""COMPUTED_VALUE"""),85.6677195869721)</f>
        <v>85.66771959</v>
      </c>
      <c r="P1303" s="35">
        <f>IFERROR(__xludf.DUMMYFUNCTION("""COMPUTED_VALUE"""),161363.0)</f>
        <v>161363</v>
      </c>
      <c r="Q1303" s="35">
        <f>IFERROR(__xludf.DUMMYFUNCTION("""COMPUTED_VALUE"""),188360.0)</f>
        <v>188360</v>
      </c>
    </row>
    <row r="1304">
      <c r="A1304" s="35">
        <f>IFERROR(__xludf.DUMMYFUNCTION("""COMPUTED_VALUE"""),1438.0)</f>
        <v>1438</v>
      </c>
      <c r="B1304" s="35" t="str">
        <f>IFERROR(__xludf.DUMMYFUNCTION("""COMPUTED_VALUE"""),"Find the Team Size")</f>
        <v>Find the Team Size</v>
      </c>
      <c r="C1304" s="35" t="str">
        <f>IFERROR(__xludf.DUMMYFUNCTION("""COMPUTED_VALUE"""),"find-the-team-size")</f>
        <v>find-the-team-size</v>
      </c>
      <c r="D1304" s="35" t="b">
        <f>IFERROR(__xludf.DUMMYFUNCTION("""COMPUTED_VALUE"""),TRUE)</f>
        <v>1</v>
      </c>
      <c r="E1304" s="35" t="str">
        <f>IFERROR(__xludf.DUMMYFUNCTION("""COMPUTED_VALUE"""),"Easy")</f>
        <v>Easy</v>
      </c>
      <c r="F1304" s="35">
        <f>IFERROR(__xludf.DUMMYFUNCTION("""COMPUTED_VALUE"""),204.0)</f>
        <v>204</v>
      </c>
      <c r="G1304" s="35">
        <f>IFERROR(__xludf.DUMMYFUNCTION("""COMPUTED_VALUE"""),12.0)</f>
        <v>12</v>
      </c>
      <c r="H1304" s="35" t="str">
        <f>IFERROR(__xludf.DUMMYFUNCTION("""COMPUTED_VALUE"""),"Database")</f>
        <v>Database</v>
      </c>
      <c r="I1304" s="35">
        <f>IFERROR(__xludf.DUMMYFUNCTION("""COMPUTED_VALUE"""),0.906)</f>
        <v>0.906</v>
      </c>
      <c r="J1304" s="35">
        <f>IFERROR(__xludf.DUMMYFUNCTION("""COMPUTED_VALUE"""),1303.0)</f>
        <v>1303</v>
      </c>
      <c r="K1304" s="35" t="b">
        <f>IFERROR(__xludf.DUMMYFUNCTION("""COMPUTED_VALUE"""),TRUE)</f>
        <v>1</v>
      </c>
      <c r="L1304" s="35" t="str">
        <f>IFERROR(__xludf.DUMMYFUNCTION("""COMPUTED_VALUE"""),"Database;")</f>
        <v>Database;</v>
      </c>
      <c r="M1304" s="35" t="b">
        <f>IFERROR(__xludf.DUMMYFUNCTION("""COMPUTED_VALUE"""),FALSE)</f>
        <v>0</v>
      </c>
      <c r="N1304" s="35" t="b">
        <f>IFERROR(__xludf.DUMMYFUNCTION("""COMPUTED_VALUE"""),FALSE)</f>
        <v>0</v>
      </c>
      <c r="O1304" s="35">
        <f>IFERROR(__xludf.DUMMYFUNCTION("""COMPUTED_VALUE"""),90.641723892967)</f>
        <v>90.64172389</v>
      </c>
      <c r="P1304" s="35">
        <f>IFERROR(__xludf.DUMMYFUNCTION("""COMPUTED_VALUE"""),38277.0)</f>
        <v>38277</v>
      </c>
      <c r="Q1304" s="35">
        <f>IFERROR(__xludf.DUMMYFUNCTION("""COMPUTED_VALUE"""),42229.0)</f>
        <v>42229</v>
      </c>
    </row>
    <row r="1305">
      <c r="A1305" s="35">
        <f>IFERROR(__xludf.DUMMYFUNCTION("""COMPUTED_VALUE"""),1426.0)</f>
        <v>1426</v>
      </c>
      <c r="B1305" s="35" t="str">
        <f>IFERROR(__xludf.DUMMYFUNCTION("""COMPUTED_VALUE"""),"Find N Unique Integers Sum up to Zero")</f>
        <v>Find N Unique Integers Sum up to Zero</v>
      </c>
      <c r="C1305" s="35" t="str">
        <f>IFERROR(__xludf.DUMMYFUNCTION("""COMPUTED_VALUE"""),"find-n-unique-integers-sum-up-to-zero")</f>
        <v>find-n-unique-integers-sum-up-to-zero</v>
      </c>
      <c r="D1305" s="35" t="b">
        <f>IFERROR(__xludf.DUMMYFUNCTION("""COMPUTED_VALUE"""),FALSE)</f>
        <v>0</v>
      </c>
      <c r="E1305" s="35" t="str">
        <f>IFERROR(__xludf.DUMMYFUNCTION("""COMPUTED_VALUE"""),"Easy")</f>
        <v>Easy</v>
      </c>
      <c r="F1305" s="35">
        <f>IFERROR(__xludf.DUMMYFUNCTION("""COMPUTED_VALUE"""),988.0)</f>
        <v>988</v>
      </c>
      <c r="G1305" s="35">
        <f>IFERROR(__xludf.DUMMYFUNCTION("""COMPUTED_VALUE"""),444.0)</f>
        <v>444</v>
      </c>
      <c r="H1305" s="35" t="str">
        <f>IFERROR(__xludf.DUMMYFUNCTION("""COMPUTED_VALUE"""),"Algorithms")</f>
        <v>Algorithms</v>
      </c>
      <c r="I1305" s="35">
        <f>IFERROR(__xludf.DUMMYFUNCTION("""COMPUTED_VALUE"""),0.769)</f>
        <v>0.769</v>
      </c>
      <c r="J1305" s="35">
        <f>IFERROR(__xludf.DUMMYFUNCTION("""COMPUTED_VALUE"""),1304.0)</f>
        <v>1304</v>
      </c>
      <c r="K1305" s="35" t="b">
        <f>IFERROR(__xludf.DUMMYFUNCTION("""COMPUTED_VALUE"""),FALSE)</f>
        <v>0</v>
      </c>
      <c r="L1305" s="35" t="str">
        <f>IFERROR(__xludf.DUMMYFUNCTION("""COMPUTED_VALUE"""),"Array;Math;")</f>
        <v>Array;Math;</v>
      </c>
      <c r="M1305" s="35" t="b">
        <f>IFERROR(__xludf.DUMMYFUNCTION("""COMPUTED_VALUE"""),FALSE)</f>
        <v>0</v>
      </c>
      <c r="N1305" s="35" t="b">
        <f>IFERROR(__xludf.DUMMYFUNCTION("""COMPUTED_VALUE"""),FALSE)</f>
        <v>0</v>
      </c>
      <c r="O1305" s="35">
        <f>IFERROR(__xludf.DUMMYFUNCTION("""COMPUTED_VALUE"""),76.8911411679335)</f>
        <v>76.89114117</v>
      </c>
      <c r="P1305" s="35">
        <f>IFERROR(__xludf.DUMMYFUNCTION("""COMPUTED_VALUE"""),129270.0)</f>
        <v>129270</v>
      </c>
      <c r="Q1305" s="35">
        <f>IFERROR(__xludf.DUMMYFUNCTION("""COMPUTED_VALUE"""),168119.0)</f>
        <v>168119</v>
      </c>
    </row>
    <row r="1306">
      <c r="A1306" s="35">
        <f>IFERROR(__xludf.DUMMYFUNCTION("""COMPUTED_VALUE"""),1427.0)</f>
        <v>1427</v>
      </c>
      <c r="B1306" s="35" t="str">
        <f>IFERROR(__xludf.DUMMYFUNCTION("""COMPUTED_VALUE"""),"All Elements in Two Binary Search Trees")</f>
        <v>All Elements in Two Binary Search Trees</v>
      </c>
      <c r="C1306" s="35" t="str">
        <f>IFERROR(__xludf.DUMMYFUNCTION("""COMPUTED_VALUE"""),"all-elements-in-two-binary-search-trees")</f>
        <v>all-elements-in-two-binary-search-trees</v>
      </c>
      <c r="D1306" s="35" t="b">
        <f>IFERROR(__xludf.DUMMYFUNCTION("""COMPUTED_VALUE"""),FALSE)</f>
        <v>0</v>
      </c>
      <c r="E1306" s="35" t="str">
        <f>IFERROR(__xludf.DUMMYFUNCTION("""COMPUTED_VALUE"""),"Medium")</f>
        <v>Medium</v>
      </c>
      <c r="F1306" s="35">
        <f>IFERROR(__xludf.DUMMYFUNCTION("""COMPUTED_VALUE"""),2138.0)</f>
        <v>2138</v>
      </c>
      <c r="G1306" s="35">
        <f>IFERROR(__xludf.DUMMYFUNCTION("""COMPUTED_VALUE"""),63.0)</f>
        <v>63</v>
      </c>
      <c r="H1306" s="35" t="str">
        <f>IFERROR(__xludf.DUMMYFUNCTION("""COMPUTED_VALUE"""),"Algorithms")</f>
        <v>Algorithms</v>
      </c>
      <c r="I1306" s="35">
        <f>IFERROR(__xludf.DUMMYFUNCTION("""COMPUTED_VALUE"""),0.796)</f>
        <v>0.796</v>
      </c>
      <c r="J1306" s="35">
        <f>IFERROR(__xludf.DUMMYFUNCTION("""COMPUTED_VALUE"""),1305.0)</f>
        <v>1305</v>
      </c>
      <c r="K1306" s="35" t="b">
        <f>IFERROR(__xludf.DUMMYFUNCTION("""COMPUTED_VALUE"""),FALSE)</f>
        <v>0</v>
      </c>
      <c r="L1306" s="35" t="str">
        <f>IFERROR(__xludf.DUMMYFUNCTION("""COMPUTED_VALUE"""),"Tree;Depth-First Search;Binary Search Tree;Sorting;Binary Tree;")</f>
        <v>Tree;Depth-First Search;Binary Search Tree;Sorting;Binary Tree;</v>
      </c>
      <c r="M1306" s="35" t="b">
        <f>IFERROR(__xludf.DUMMYFUNCTION("""COMPUTED_VALUE"""),TRUE)</f>
        <v>1</v>
      </c>
      <c r="N1306" s="35" t="b">
        <f>IFERROR(__xludf.DUMMYFUNCTION("""COMPUTED_VALUE"""),FALSE)</f>
        <v>0</v>
      </c>
      <c r="O1306" s="35">
        <f>IFERROR(__xludf.DUMMYFUNCTION("""COMPUTED_VALUE"""),79.620030145022)</f>
        <v>79.62003015</v>
      </c>
      <c r="P1306" s="35">
        <f>IFERROR(__xludf.DUMMYFUNCTION("""COMPUTED_VALUE"""),156360.0)</f>
        <v>156360</v>
      </c>
      <c r="Q1306" s="35">
        <f>IFERROR(__xludf.DUMMYFUNCTION("""COMPUTED_VALUE"""),196383.0)</f>
        <v>196383</v>
      </c>
    </row>
    <row r="1307">
      <c r="A1307" s="35">
        <f>IFERROR(__xludf.DUMMYFUNCTION("""COMPUTED_VALUE"""),1428.0)</f>
        <v>1428</v>
      </c>
      <c r="B1307" s="35" t="str">
        <f>IFERROR(__xludf.DUMMYFUNCTION("""COMPUTED_VALUE"""),"Jump Game III")</f>
        <v>Jump Game III</v>
      </c>
      <c r="C1307" s="35" t="str">
        <f>IFERROR(__xludf.DUMMYFUNCTION("""COMPUTED_VALUE"""),"jump-game-iii")</f>
        <v>jump-game-iii</v>
      </c>
      <c r="D1307" s="35" t="b">
        <f>IFERROR(__xludf.DUMMYFUNCTION("""COMPUTED_VALUE"""),FALSE)</f>
        <v>0</v>
      </c>
      <c r="E1307" s="35" t="str">
        <f>IFERROR(__xludf.DUMMYFUNCTION("""COMPUTED_VALUE"""),"Medium")</f>
        <v>Medium</v>
      </c>
      <c r="F1307" s="35">
        <f>IFERROR(__xludf.DUMMYFUNCTION("""COMPUTED_VALUE"""),2521.0)</f>
        <v>2521</v>
      </c>
      <c r="G1307" s="35">
        <f>IFERROR(__xludf.DUMMYFUNCTION("""COMPUTED_VALUE"""),60.0)</f>
        <v>60</v>
      </c>
      <c r="H1307" s="35" t="str">
        <f>IFERROR(__xludf.DUMMYFUNCTION("""COMPUTED_VALUE"""),"Algorithms")</f>
        <v>Algorithms</v>
      </c>
      <c r="I1307" s="35">
        <f>IFERROR(__xludf.DUMMYFUNCTION("""COMPUTED_VALUE"""),0.626)</f>
        <v>0.626</v>
      </c>
      <c r="J1307" s="35">
        <f>IFERROR(__xludf.DUMMYFUNCTION("""COMPUTED_VALUE"""),1306.0)</f>
        <v>1306</v>
      </c>
      <c r="K1307" s="35" t="b">
        <f>IFERROR(__xludf.DUMMYFUNCTION("""COMPUTED_VALUE"""),FALSE)</f>
        <v>0</v>
      </c>
      <c r="L1307" s="35" t="str">
        <f>IFERROR(__xludf.DUMMYFUNCTION("""COMPUTED_VALUE"""),"Array;Depth-First Search;Breadth-First Search;")</f>
        <v>Array;Depth-First Search;Breadth-First Search;</v>
      </c>
      <c r="M1307" s="35" t="b">
        <f>IFERROR(__xludf.DUMMYFUNCTION("""COMPUTED_VALUE"""),TRUE)</f>
        <v>1</v>
      </c>
      <c r="N1307" s="35" t="b">
        <f>IFERROR(__xludf.DUMMYFUNCTION("""COMPUTED_VALUE"""),TRUE)</f>
        <v>1</v>
      </c>
      <c r="O1307" s="35">
        <f>IFERROR(__xludf.DUMMYFUNCTION("""COMPUTED_VALUE"""),62.6177899657672)</f>
        <v>62.61778997</v>
      </c>
      <c r="P1307" s="35">
        <f>IFERROR(__xludf.DUMMYFUNCTION("""COMPUTED_VALUE"""),136082.0)</f>
        <v>136082</v>
      </c>
      <c r="Q1307" s="35">
        <f>IFERROR(__xludf.DUMMYFUNCTION("""COMPUTED_VALUE"""),217321.0)</f>
        <v>217321</v>
      </c>
    </row>
    <row r="1308">
      <c r="A1308" s="35">
        <f>IFERROR(__xludf.DUMMYFUNCTION("""COMPUTED_VALUE"""),1429.0)</f>
        <v>1429</v>
      </c>
      <c r="B1308" s="35" t="str">
        <f>IFERROR(__xludf.DUMMYFUNCTION("""COMPUTED_VALUE"""),"Verbal Arithmetic Puzzle")</f>
        <v>Verbal Arithmetic Puzzle</v>
      </c>
      <c r="C1308" s="35" t="str">
        <f>IFERROR(__xludf.DUMMYFUNCTION("""COMPUTED_VALUE"""),"verbal-arithmetic-puzzle")</f>
        <v>verbal-arithmetic-puzzle</v>
      </c>
      <c r="D1308" s="35" t="b">
        <f>IFERROR(__xludf.DUMMYFUNCTION("""COMPUTED_VALUE"""),FALSE)</f>
        <v>0</v>
      </c>
      <c r="E1308" s="35" t="str">
        <f>IFERROR(__xludf.DUMMYFUNCTION("""COMPUTED_VALUE"""),"Hard")</f>
        <v>Hard</v>
      </c>
      <c r="F1308" s="35">
        <f>IFERROR(__xludf.DUMMYFUNCTION("""COMPUTED_VALUE"""),288.0)</f>
        <v>288</v>
      </c>
      <c r="G1308" s="35">
        <f>IFERROR(__xludf.DUMMYFUNCTION("""COMPUTED_VALUE"""),76.0)</f>
        <v>76</v>
      </c>
      <c r="H1308" s="35" t="str">
        <f>IFERROR(__xludf.DUMMYFUNCTION("""COMPUTED_VALUE"""),"Algorithms")</f>
        <v>Algorithms</v>
      </c>
      <c r="I1308" s="35">
        <f>IFERROR(__xludf.DUMMYFUNCTION("""COMPUTED_VALUE"""),0.35)</f>
        <v>0.35</v>
      </c>
      <c r="J1308" s="35">
        <f>IFERROR(__xludf.DUMMYFUNCTION("""COMPUTED_VALUE"""),1307.0)</f>
        <v>1307</v>
      </c>
      <c r="K1308" s="35" t="b">
        <f>IFERROR(__xludf.DUMMYFUNCTION("""COMPUTED_VALUE"""),FALSE)</f>
        <v>0</v>
      </c>
      <c r="L1308" s="35" t="str">
        <f>IFERROR(__xludf.DUMMYFUNCTION("""COMPUTED_VALUE"""),"Array;Math;String;Backtracking;")</f>
        <v>Array;Math;String;Backtracking;</v>
      </c>
      <c r="M1308" s="35" t="b">
        <f>IFERROR(__xludf.DUMMYFUNCTION("""COMPUTED_VALUE"""),FALSE)</f>
        <v>0</v>
      </c>
      <c r="N1308" s="35" t="b">
        <f>IFERROR(__xludf.DUMMYFUNCTION("""COMPUTED_VALUE"""),FALSE)</f>
        <v>0</v>
      </c>
      <c r="O1308" s="35">
        <f>IFERROR(__xludf.DUMMYFUNCTION("""COMPUTED_VALUE"""),35.0443499711331)</f>
        <v>35.04434997</v>
      </c>
      <c r="P1308" s="35">
        <f>IFERROR(__xludf.DUMMYFUNCTION("""COMPUTED_VALUE"""),6677.0)</f>
        <v>6677</v>
      </c>
      <c r="Q1308" s="35">
        <f>IFERROR(__xludf.DUMMYFUNCTION("""COMPUTED_VALUE"""),19053.0)</f>
        <v>19053</v>
      </c>
    </row>
    <row r="1309">
      <c r="A1309" s="35">
        <f>IFERROR(__xludf.DUMMYFUNCTION("""COMPUTED_VALUE"""),1439.0)</f>
        <v>1439</v>
      </c>
      <c r="B1309" s="35" t="str">
        <f>IFERROR(__xludf.DUMMYFUNCTION("""COMPUTED_VALUE"""),"Running Total for Different Genders")</f>
        <v>Running Total for Different Genders</v>
      </c>
      <c r="C1309" s="35" t="str">
        <f>IFERROR(__xludf.DUMMYFUNCTION("""COMPUTED_VALUE"""),"running-total-for-different-genders")</f>
        <v>running-total-for-different-genders</v>
      </c>
      <c r="D1309" s="35" t="b">
        <f>IFERROR(__xludf.DUMMYFUNCTION("""COMPUTED_VALUE"""),TRUE)</f>
        <v>1</v>
      </c>
      <c r="E1309" s="35" t="str">
        <f>IFERROR(__xludf.DUMMYFUNCTION("""COMPUTED_VALUE"""),"Medium")</f>
        <v>Medium</v>
      </c>
      <c r="F1309" s="35">
        <f>IFERROR(__xludf.DUMMYFUNCTION("""COMPUTED_VALUE"""),131.0)</f>
        <v>131</v>
      </c>
      <c r="G1309" s="35">
        <f>IFERROR(__xludf.DUMMYFUNCTION("""COMPUTED_VALUE"""),31.0)</f>
        <v>31</v>
      </c>
      <c r="H1309" s="35" t="str">
        <f>IFERROR(__xludf.DUMMYFUNCTION("""COMPUTED_VALUE"""),"Database")</f>
        <v>Database</v>
      </c>
      <c r="I1309" s="35">
        <f>IFERROR(__xludf.DUMMYFUNCTION("""COMPUTED_VALUE"""),0.882)</f>
        <v>0.882</v>
      </c>
      <c r="J1309" s="35">
        <f>IFERROR(__xludf.DUMMYFUNCTION("""COMPUTED_VALUE"""),1308.0)</f>
        <v>1308</v>
      </c>
      <c r="K1309" s="35" t="b">
        <f>IFERROR(__xludf.DUMMYFUNCTION("""COMPUTED_VALUE"""),TRUE)</f>
        <v>1</v>
      </c>
      <c r="L1309" s="35" t="str">
        <f>IFERROR(__xludf.DUMMYFUNCTION("""COMPUTED_VALUE"""),"Database;")</f>
        <v>Database;</v>
      </c>
      <c r="M1309" s="35" t="b">
        <f>IFERROR(__xludf.DUMMYFUNCTION("""COMPUTED_VALUE"""),FALSE)</f>
        <v>0</v>
      </c>
      <c r="N1309" s="35" t="b">
        <f>IFERROR(__xludf.DUMMYFUNCTION("""COMPUTED_VALUE"""),FALSE)</f>
        <v>0</v>
      </c>
      <c r="O1309" s="35">
        <f>IFERROR(__xludf.DUMMYFUNCTION("""COMPUTED_VALUE"""),88.235294117647)</f>
        <v>88.23529412</v>
      </c>
      <c r="P1309" s="35">
        <f>IFERROR(__xludf.DUMMYFUNCTION("""COMPUTED_VALUE"""),22245.0)</f>
        <v>22245</v>
      </c>
      <c r="Q1309" s="35">
        <f>IFERROR(__xludf.DUMMYFUNCTION("""COMPUTED_VALUE"""),25210.0)</f>
        <v>25210</v>
      </c>
    </row>
    <row r="1310">
      <c r="A1310" s="35">
        <f>IFERROR(__xludf.DUMMYFUNCTION("""COMPUTED_VALUE"""),1434.0)</f>
        <v>1434</v>
      </c>
      <c r="B1310" s="35" t="str">
        <f>IFERROR(__xludf.DUMMYFUNCTION("""COMPUTED_VALUE"""),"Decrypt String from Alphabet to Integer Mapping")</f>
        <v>Decrypt String from Alphabet to Integer Mapping</v>
      </c>
      <c r="C1310" s="35" t="str">
        <f>IFERROR(__xludf.DUMMYFUNCTION("""COMPUTED_VALUE"""),"decrypt-string-from-alphabet-to-integer-mapping")</f>
        <v>decrypt-string-from-alphabet-to-integer-mapping</v>
      </c>
      <c r="D1310" s="35" t="b">
        <f>IFERROR(__xludf.DUMMYFUNCTION("""COMPUTED_VALUE"""),FALSE)</f>
        <v>0</v>
      </c>
      <c r="E1310" s="35" t="str">
        <f>IFERROR(__xludf.DUMMYFUNCTION("""COMPUTED_VALUE"""),"Easy")</f>
        <v>Easy</v>
      </c>
      <c r="F1310" s="35">
        <f>IFERROR(__xludf.DUMMYFUNCTION("""COMPUTED_VALUE"""),853.0)</f>
        <v>853</v>
      </c>
      <c r="G1310" s="35">
        <f>IFERROR(__xludf.DUMMYFUNCTION("""COMPUTED_VALUE"""),70.0)</f>
        <v>70</v>
      </c>
      <c r="H1310" s="35" t="str">
        <f>IFERROR(__xludf.DUMMYFUNCTION("""COMPUTED_VALUE"""),"Algorithms")</f>
        <v>Algorithms</v>
      </c>
      <c r="I1310" s="35">
        <f>IFERROR(__xludf.DUMMYFUNCTION("""COMPUTED_VALUE"""),0.784)</f>
        <v>0.784</v>
      </c>
      <c r="J1310" s="35">
        <f>IFERROR(__xludf.DUMMYFUNCTION("""COMPUTED_VALUE"""),1309.0)</f>
        <v>1309</v>
      </c>
      <c r="K1310" s="35" t="b">
        <f>IFERROR(__xludf.DUMMYFUNCTION("""COMPUTED_VALUE"""),FALSE)</f>
        <v>0</v>
      </c>
      <c r="L1310" s="35" t="str">
        <f>IFERROR(__xludf.DUMMYFUNCTION("""COMPUTED_VALUE"""),"String;")</f>
        <v>String;</v>
      </c>
      <c r="M1310" s="35" t="b">
        <f>IFERROR(__xludf.DUMMYFUNCTION("""COMPUTED_VALUE"""),FALSE)</f>
        <v>0</v>
      </c>
      <c r="N1310" s="35" t="b">
        <f>IFERROR(__xludf.DUMMYFUNCTION("""COMPUTED_VALUE"""),FALSE)</f>
        <v>0</v>
      </c>
      <c r="O1310" s="35">
        <f>IFERROR(__xludf.DUMMYFUNCTION("""COMPUTED_VALUE"""),78.4133003090546)</f>
        <v>78.41330031</v>
      </c>
      <c r="P1310" s="35">
        <f>IFERROR(__xludf.DUMMYFUNCTION("""COMPUTED_VALUE"""),71544.0)</f>
        <v>71544</v>
      </c>
      <c r="Q1310" s="35">
        <f>IFERROR(__xludf.DUMMYFUNCTION("""COMPUTED_VALUE"""),91241.0)</f>
        <v>91241</v>
      </c>
    </row>
    <row r="1311">
      <c r="A1311" s="35">
        <f>IFERROR(__xludf.DUMMYFUNCTION("""COMPUTED_VALUE"""),1435.0)</f>
        <v>1435</v>
      </c>
      <c r="B1311" s="35" t="str">
        <f>IFERROR(__xludf.DUMMYFUNCTION("""COMPUTED_VALUE"""),"XOR Queries of a Subarray")</f>
        <v>XOR Queries of a Subarray</v>
      </c>
      <c r="C1311" s="35" t="str">
        <f>IFERROR(__xludf.DUMMYFUNCTION("""COMPUTED_VALUE"""),"xor-queries-of-a-subarray")</f>
        <v>xor-queries-of-a-subarray</v>
      </c>
      <c r="D1311" s="35" t="b">
        <f>IFERROR(__xludf.DUMMYFUNCTION("""COMPUTED_VALUE"""),FALSE)</f>
        <v>0</v>
      </c>
      <c r="E1311" s="35" t="str">
        <f>IFERROR(__xludf.DUMMYFUNCTION("""COMPUTED_VALUE"""),"Medium")</f>
        <v>Medium</v>
      </c>
      <c r="F1311" s="35">
        <f>IFERROR(__xludf.DUMMYFUNCTION("""COMPUTED_VALUE"""),860.0)</f>
        <v>860</v>
      </c>
      <c r="G1311" s="35">
        <f>IFERROR(__xludf.DUMMYFUNCTION("""COMPUTED_VALUE"""),29.0)</f>
        <v>29</v>
      </c>
      <c r="H1311" s="35" t="str">
        <f>IFERROR(__xludf.DUMMYFUNCTION("""COMPUTED_VALUE"""),"Algorithms")</f>
        <v>Algorithms</v>
      </c>
      <c r="I1311" s="35">
        <f>IFERROR(__xludf.DUMMYFUNCTION("""COMPUTED_VALUE"""),0.711)</f>
        <v>0.711</v>
      </c>
      <c r="J1311" s="35">
        <f>IFERROR(__xludf.DUMMYFUNCTION("""COMPUTED_VALUE"""),1310.0)</f>
        <v>1310</v>
      </c>
      <c r="K1311" s="35" t="b">
        <f>IFERROR(__xludf.DUMMYFUNCTION("""COMPUTED_VALUE"""),FALSE)</f>
        <v>0</v>
      </c>
      <c r="L1311" s="35" t="str">
        <f>IFERROR(__xludf.DUMMYFUNCTION("""COMPUTED_VALUE"""),"Array;Bit Manipulation;Prefix Sum;")</f>
        <v>Array;Bit Manipulation;Prefix Sum;</v>
      </c>
      <c r="M1311" s="35" t="b">
        <f>IFERROR(__xludf.DUMMYFUNCTION("""COMPUTED_VALUE"""),FALSE)</f>
        <v>0</v>
      </c>
      <c r="N1311" s="35" t="b">
        <f>IFERROR(__xludf.DUMMYFUNCTION("""COMPUTED_VALUE"""),FALSE)</f>
        <v>0</v>
      </c>
      <c r="O1311" s="35">
        <f>IFERROR(__xludf.DUMMYFUNCTION("""COMPUTED_VALUE"""),71.1335991004804)</f>
        <v>71.1335991</v>
      </c>
      <c r="P1311" s="35">
        <f>IFERROR(__xludf.DUMMYFUNCTION("""COMPUTED_VALUE"""),34795.0)</f>
        <v>34795</v>
      </c>
      <c r="Q1311" s="35">
        <f>IFERROR(__xludf.DUMMYFUNCTION("""COMPUTED_VALUE"""),48914.0)</f>
        <v>48914</v>
      </c>
    </row>
    <row r="1312">
      <c r="A1312" s="35">
        <f>IFERROR(__xludf.DUMMYFUNCTION("""COMPUTED_VALUE"""),1436.0)</f>
        <v>1436</v>
      </c>
      <c r="B1312" s="35" t="str">
        <f>IFERROR(__xludf.DUMMYFUNCTION("""COMPUTED_VALUE"""),"Get Watched Videos by Your Friends")</f>
        <v>Get Watched Videos by Your Friends</v>
      </c>
      <c r="C1312" s="35" t="str">
        <f>IFERROR(__xludf.DUMMYFUNCTION("""COMPUTED_VALUE"""),"get-watched-videos-by-your-friends")</f>
        <v>get-watched-videos-by-your-friends</v>
      </c>
      <c r="D1312" s="35" t="b">
        <f>IFERROR(__xludf.DUMMYFUNCTION("""COMPUTED_VALUE"""),FALSE)</f>
        <v>0</v>
      </c>
      <c r="E1312" s="35" t="str">
        <f>IFERROR(__xludf.DUMMYFUNCTION("""COMPUTED_VALUE"""),"Medium")</f>
        <v>Medium</v>
      </c>
      <c r="F1312" s="35">
        <f>IFERROR(__xludf.DUMMYFUNCTION("""COMPUTED_VALUE"""),201.0)</f>
        <v>201</v>
      </c>
      <c r="G1312" s="35">
        <f>IFERROR(__xludf.DUMMYFUNCTION("""COMPUTED_VALUE"""),285.0)</f>
        <v>285</v>
      </c>
      <c r="H1312" s="35" t="str">
        <f>IFERROR(__xludf.DUMMYFUNCTION("""COMPUTED_VALUE"""),"Algorithms")</f>
        <v>Algorithms</v>
      </c>
      <c r="I1312" s="35">
        <f>IFERROR(__xludf.DUMMYFUNCTION("""COMPUTED_VALUE"""),0.451)</f>
        <v>0.451</v>
      </c>
      <c r="J1312" s="35">
        <f>IFERROR(__xludf.DUMMYFUNCTION("""COMPUTED_VALUE"""),1311.0)</f>
        <v>1311</v>
      </c>
      <c r="K1312" s="35" t="b">
        <f>IFERROR(__xludf.DUMMYFUNCTION("""COMPUTED_VALUE"""),FALSE)</f>
        <v>0</v>
      </c>
      <c r="L1312" s="35" t="str">
        <f>IFERROR(__xludf.DUMMYFUNCTION("""COMPUTED_VALUE"""),"Array;Hash Table;Breadth-First Search;Sorting;")</f>
        <v>Array;Hash Table;Breadth-First Search;Sorting;</v>
      </c>
      <c r="M1312" s="35" t="b">
        <f>IFERROR(__xludf.DUMMYFUNCTION("""COMPUTED_VALUE"""),FALSE)</f>
        <v>0</v>
      </c>
      <c r="N1312" s="35" t="b">
        <f>IFERROR(__xludf.DUMMYFUNCTION("""COMPUTED_VALUE"""),FALSE)</f>
        <v>0</v>
      </c>
      <c r="O1312" s="35">
        <f>IFERROR(__xludf.DUMMYFUNCTION("""COMPUTED_VALUE"""),45.0875038378876)</f>
        <v>45.08750384</v>
      </c>
      <c r="P1312" s="35">
        <f>IFERROR(__xludf.DUMMYFUNCTION("""COMPUTED_VALUE"""),14684.0)</f>
        <v>14684</v>
      </c>
      <c r="Q1312" s="35">
        <f>IFERROR(__xludf.DUMMYFUNCTION("""COMPUTED_VALUE"""),32569.0)</f>
        <v>32569</v>
      </c>
    </row>
    <row r="1313">
      <c r="A1313" s="35">
        <f>IFERROR(__xludf.DUMMYFUNCTION("""COMPUTED_VALUE"""),1437.0)</f>
        <v>1437</v>
      </c>
      <c r="B1313" s="35" t="str">
        <f>IFERROR(__xludf.DUMMYFUNCTION("""COMPUTED_VALUE"""),"Minimum Insertion Steps to Make a String Palindrome")</f>
        <v>Minimum Insertion Steps to Make a String Palindrome</v>
      </c>
      <c r="C1313" s="35" t="str">
        <f>IFERROR(__xludf.DUMMYFUNCTION("""COMPUTED_VALUE"""),"minimum-insertion-steps-to-make-a-string-palindrome")</f>
        <v>minimum-insertion-steps-to-make-a-string-palindrome</v>
      </c>
      <c r="D1313" s="35" t="b">
        <f>IFERROR(__xludf.DUMMYFUNCTION("""COMPUTED_VALUE"""),FALSE)</f>
        <v>0</v>
      </c>
      <c r="E1313" s="35" t="str">
        <f>IFERROR(__xludf.DUMMYFUNCTION("""COMPUTED_VALUE"""),"Hard")</f>
        <v>Hard</v>
      </c>
      <c r="F1313" s="35">
        <f>IFERROR(__xludf.DUMMYFUNCTION("""COMPUTED_VALUE"""),1567.0)</f>
        <v>1567</v>
      </c>
      <c r="G1313" s="35">
        <f>IFERROR(__xludf.DUMMYFUNCTION("""COMPUTED_VALUE"""),25.0)</f>
        <v>25</v>
      </c>
      <c r="H1313" s="35" t="str">
        <f>IFERROR(__xludf.DUMMYFUNCTION("""COMPUTED_VALUE"""),"Algorithms")</f>
        <v>Algorithms</v>
      </c>
      <c r="I1313" s="35">
        <f>IFERROR(__xludf.DUMMYFUNCTION("""COMPUTED_VALUE"""),0.631)</f>
        <v>0.631</v>
      </c>
      <c r="J1313" s="35">
        <f>IFERROR(__xludf.DUMMYFUNCTION("""COMPUTED_VALUE"""),1312.0)</f>
        <v>1312</v>
      </c>
      <c r="K1313" s="35" t="b">
        <f>IFERROR(__xludf.DUMMYFUNCTION("""COMPUTED_VALUE"""),FALSE)</f>
        <v>0</v>
      </c>
      <c r="L1313" s="35" t="str">
        <f>IFERROR(__xludf.DUMMYFUNCTION("""COMPUTED_VALUE"""),"String;Dynamic Programming;")</f>
        <v>String;Dynamic Programming;</v>
      </c>
      <c r="M1313" s="35" t="b">
        <f>IFERROR(__xludf.DUMMYFUNCTION("""COMPUTED_VALUE"""),FALSE)</f>
        <v>0</v>
      </c>
      <c r="N1313" s="35" t="b">
        <f>IFERROR(__xludf.DUMMYFUNCTION("""COMPUTED_VALUE"""),FALSE)</f>
        <v>0</v>
      </c>
      <c r="O1313" s="35">
        <f>IFERROR(__xludf.DUMMYFUNCTION("""COMPUTED_VALUE"""),63.1196124632293)</f>
        <v>63.11961246</v>
      </c>
      <c r="P1313" s="35">
        <f>IFERROR(__xludf.DUMMYFUNCTION("""COMPUTED_VALUE"""),43129.0)</f>
        <v>43129</v>
      </c>
      <c r="Q1313" s="35">
        <f>IFERROR(__xludf.DUMMYFUNCTION("""COMPUTED_VALUE"""),68329.0)</f>
        <v>68329</v>
      </c>
    </row>
    <row r="1314">
      <c r="A1314" s="35">
        <f>IFERROR(__xludf.DUMMYFUNCTION("""COMPUTED_VALUE"""),1241.0)</f>
        <v>1241</v>
      </c>
      <c r="B1314" s="35" t="str">
        <f>IFERROR(__xludf.DUMMYFUNCTION("""COMPUTED_VALUE"""),"Decompress Run-Length Encoded List")</f>
        <v>Decompress Run-Length Encoded List</v>
      </c>
      <c r="C1314" s="35" t="str">
        <f>IFERROR(__xludf.DUMMYFUNCTION("""COMPUTED_VALUE"""),"decompress-run-length-encoded-list")</f>
        <v>decompress-run-length-encoded-list</v>
      </c>
      <c r="D1314" s="35" t="b">
        <f>IFERROR(__xludf.DUMMYFUNCTION("""COMPUTED_VALUE"""),FALSE)</f>
        <v>0</v>
      </c>
      <c r="E1314" s="35" t="str">
        <f>IFERROR(__xludf.DUMMYFUNCTION("""COMPUTED_VALUE"""),"Easy")</f>
        <v>Easy</v>
      </c>
      <c r="F1314" s="35">
        <f>IFERROR(__xludf.DUMMYFUNCTION("""COMPUTED_VALUE"""),705.0)</f>
        <v>705</v>
      </c>
      <c r="G1314" s="35">
        <f>IFERROR(__xludf.DUMMYFUNCTION("""COMPUTED_VALUE"""),1045.0)</f>
        <v>1045</v>
      </c>
      <c r="H1314" s="35" t="str">
        <f>IFERROR(__xludf.DUMMYFUNCTION("""COMPUTED_VALUE"""),"Algorithms")</f>
        <v>Algorithms</v>
      </c>
      <c r="I1314" s="35">
        <f>IFERROR(__xludf.DUMMYFUNCTION("""COMPUTED_VALUE"""),0.858)</f>
        <v>0.858</v>
      </c>
      <c r="J1314" s="35">
        <f>IFERROR(__xludf.DUMMYFUNCTION("""COMPUTED_VALUE"""),1313.0)</f>
        <v>1313</v>
      </c>
      <c r="K1314" s="35" t="b">
        <f>IFERROR(__xludf.DUMMYFUNCTION("""COMPUTED_VALUE"""),FALSE)</f>
        <v>0</v>
      </c>
      <c r="L1314" s="35" t="str">
        <f>IFERROR(__xludf.DUMMYFUNCTION("""COMPUTED_VALUE"""),"Array;")</f>
        <v>Array;</v>
      </c>
      <c r="M1314" s="35" t="b">
        <f>IFERROR(__xludf.DUMMYFUNCTION("""COMPUTED_VALUE"""),FALSE)</f>
        <v>0</v>
      </c>
      <c r="N1314" s="35" t="b">
        <f>IFERROR(__xludf.DUMMYFUNCTION("""COMPUTED_VALUE"""),FALSE)</f>
        <v>0</v>
      </c>
      <c r="O1314" s="35">
        <f>IFERROR(__xludf.DUMMYFUNCTION("""COMPUTED_VALUE"""),85.8190405786891)</f>
        <v>85.81904058</v>
      </c>
      <c r="P1314" s="35">
        <f>IFERROR(__xludf.DUMMYFUNCTION("""COMPUTED_VALUE"""),172971.0)</f>
        <v>172971</v>
      </c>
      <c r="Q1314" s="35">
        <f>IFERROR(__xludf.DUMMYFUNCTION("""COMPUTED_VALUE"""),201554.0)</f>
        <v>201554</v>
      </c>
    </row>
    <row r="1315">
      <c r="A1315" s="35">
        <f>IFERROR(__xludf.DUMMYFUNCTION("""COMPUTED_VALUE"""),1242.0)</f>
        <v>1242</v>
      </c>
      <c r="B1315" s="35" t="str">
        <f>IFERROR(__xludf.DUMMYFUNCTION("""COMPUTED_VALUE"""),"Matrix Block Sum")</f>
        <v>Matrix Block Sum</v>
      </c>
      <c r="C1315" s="35" t="str">
        <f>IFERROR(__xludf.DUMMYFUNCTION("""COMPUTED_VALUE"""),"matrix-block-sum")</f>
        <v>matrix-block-sum</v>
      </c>
      <c r="D1315" s="35" t="b">
        <f>IFERROR(__xludf.DUMMYFUNCTION("""COMPUTED_VALUE"""),FALSE)</f>
        <v>0</v>
      </c>
      <c r="E1315" s="35" t="str">
        <f>IFERROR(__xludf.DUMMYFUNCTION("""COMPUTED_VALUE"""),"Medium")</f>
        <v>Medium</v>
      </c>
      <c r="F1315" s="35">
        <f>IFERROR(__xludf.DUMMYFUNCTION("""COMPUTED_VALUE"""),1578.0)</f>
        <v>1578</v>
      </c>
      <c r="G1315" s="35">
        <f>IFERROR(__xludf.DUMMYFUNCTION("""COMPUTED_VALUE"""),251.0)</f>
        <v>251</v>
      </c>
      <c r="H1315" s="35" t="str">
        <f>IFERROR(__xludf.DUMMYFUNCTION("""COMPUTED_VALUE"""),"Algorithms")</f>
        <v>Algorithms</v>
      </c>
      <c r="I1315" s="35">
        <f>IFERROR(__xludf.DUMMYFUNCTION("""COMPUTED_VALUE"""),0.75)</f>
        <v>0.75</v>
      </c>
      <c r="J1315" s="35">
        <f>IFERROR(__xludf.DUMMYFUNCTION("""COMPUTED_VALUE"""),1314.0)</f>
        <v>1314</v>
      </c>
      <c r="K1315" s="35" t="b">
        <f>IFERROR(__xludf.DUMMYFUNCTION("""COMPUTED_VALUE"""),FALSE)</f>
        <v>0</v>
      </c>
      <c r="L1315" s="35" t="str">
        <f>IFERROR(__xludf.DUMMYFUNCTION("""COMPUTED_VALUE"""),"Array;Matrix;Prefix Sum;")</f>
        <v>Array;Matrix;Prefix Sum;</v>
      </c>
      <c r="M1315" s="35" t="b">
        <f>IFERROR(__xludf.DUMMYFUNCTION("""COMPUTED_VALUE"""),FALSE)</f>
        <v>0</v>
      </c>
      <c r="N1315" s="35" t="b">
        <f>IFERROR(__xludf.DUMMYFUNCTION("""COMPUTED_VALUE"""),FALSE)</f>
        <v>0</v>
      </c>
      <c r="O1315" s="35">
        <f>IFERROR(__xludf.DUMMYFUNCTION("""COMPUTED_VALUE"""),75.0345413965352)</f>
        <v>75.0345414</v>
      </c>
      <c r="P1315" s="35">
        <f>IFERROR(__xludf.DUMMYFUNCTION("""COMPUTED_VALUE"""),56480.0)</f>
        <v>56480</v>
      </c>
      <c r="Q1315" s="35">
        <f>IFERROR(__xludf.DUMMYFUNCTION("""COMPUTED_VALUE"""),75272.0)</f>
        <v>75272</v>
      </c>
    </row>
    <row r="1316">
      <c r="A1316" s="35">
        <f>IFERROR(__xludf.DUMMYFUNCTION("""COMPUTED_VALUE"""),1243.0)</f>
        <v>1243</v>
      </c>
      <c r="B1316" s="35" t="str">
        <f>IFERROR(__xludf.DUMMYFUNCTION("""COMPUTED_VALUE"""),"Sum of Nodes with Even-Valued Grandparent")</f>
        <v>Sum of Nodes with Even-Valued Grandparent</v>
      </c>
      <c r="C1316" s="35" t="str">
        <f>IFERROR(__xludf.DUMMYFUNCTION("""COMPUTED_VALUE"""),"sum-of-nodes-with-even-valued-grandparent")</f>
        <v>sum-of-nodes-with-even-valued-grandparent</v>
      </c>
      <c r="D1316" s="35" t="b">
        <f>IFERROR(__xludf.DUMMYFUNCTION("""COMPUTED_VALUE"""),FALSE)</f>
        <v>0</v>
      </c>
      <c r="E1316" s="35" t="str">
        <f>IFERROR(__xludf.DUMMYFUNCTION("""COMPUTED_VALUE"""),"Medium")</f>
        <v>Medium</v>
      </c>
      <c r="F1316" s="35">
        <f>IFERROR(__xludf.DUMMYFUNCTION("""COMPUTED_VALUE"""),1626.0)</f>
        <v>1626</v>
      </c>
      <c r="G1316" s="35">
        <f>IFERROR(__xludf.DUMMYFUNCTION("""COMPUTED_VALUE"""),54.0)</f>
        <v>54</v>
      </c>
      <c r="H1316" s="35" t="str">
        <f>IFERROR(__xludf.DUMMYFUNCTION("""COMPUTED_VALUE"""),"Algorithms")</f>
        <v>Algorithms</v>
      </c>
      <c r="I1316" s="35">
        <f>IFERROR(__xludf.DUMMYFUNCTION("""COMPUTED_VALUE"""),0.851)</f>
        <v>0.851</v>
      </c>
      <c r="J1316" s="35">
        <f>IFERROR(__xludf.DUMMYFUNCTION("""COMPUTED_VALUE"""),1315.0)</f>
        <v>1315</v>
      </c>
      <c r="K1316" s="35" t="b">
        <f>IFERROR(__xludf.DUMMYFUNCTION("""COMPUTED_VALUE"""),FALSE)</f>
        <v>0</v>
      </c>
      <c r="L1316" s="35" t="str">
        <f>IFERROR(__xludf.DUMMYFUNCTION("""COMPUTED_VALUE"""),"Tree;Depth-First Search;Breadth-First Search;Binary Tree;")</f>
        <v>Tree;Depth-First Search;Breadth-First Search;Binary Tree;</v>
      </c>
      <c r="M1316" s="35" t="b">
        <f>IFERROR(__xludf.DUMMYFUNCTION("""COMPUTED_VALUE"""),FALSE)</f>
        <v>0</v>
      </c>
      <c r="N1316" s="35" t="b">
        <f>IFERROR(__xludf.DUMMYFUNCTION("""COMPUTED_VALUE"""),FALSE)</f>
        <v>0</v>
      </c>
      <c r="O1316" s="35">
        <f>IFERROR(__xludf.DUMMYFUNCTION("""COMPUTED_VALUE"""),85.1316164930803)</f>
        <v>85.13161649</v>
      </c>
      <c r="P1316" s="35">
        <f>IFERROR(__xludf.DUMMYFUNCTION("""COMPUTED_VALUE"""),95470.0)</f>
        <v>95470</v>
      </c>
      <c r="Q1316" s="35">
        <f>IFERROR(__xludf.DUMMYFUNCTION("""COMPUTED_VALUE"""),112144.0)</f>
        <v>112144</v>
      </c>
    </row>
    <row r="1317">
      <c r="A1317" s="35">
        <f>IFERROR(__xludf.DUMMYFUNCTION("""COMPUTED_VALUE"""),1244.0)</f>
        <v>1244</v>
      </c>
      <c r="B1317" s="35" t="str">
        <f>IFERROR(__xludf.DUMMYFUNCTION("""COMPUTED_VALUE"""),"Distinct Echo Substrings")</f>
        <v>Distinct Echo Substrings</v>
      </c>
      <c r="C1317" s="35" t="str">
        <f>IFERROR(__xludf.DUMMYFUNCTION("""COMPUTED_VALUE"""),"distinct-echo-substrings")</f>
        <v>distinct-echo-substrings</v>
      </c>
      <c r="D1317" s="35" t="b">
        <f>IFERROR(__xludf.DUMMYFUNCTION("""COMPUTED_VALUE"""),FALSE)</f>
        <v>0</v>
      </c>
      <c r="E1317" s="35" t="str">
        <f>IFERROR(__xludf.DUMMYFUNCTION("""COMPUTED_VALUE"""),"Hard")</f>
        <v>Hard</v>
      </c>
      <c r="F1317" s="35">
        <f>IFERROR(__xludf.DUMMYFUNCTION("""COMPUTED_VALUE"""),172.0)</f>
        <v>172</v>
      </c>
      <c r="G1317" s="35">
        <f>IFERROR(__xludf.DUMMYFUNCTION("""COMPUTED_VALUE"""),164.0)</f>
        <v>164</v>
      </c>
      <c r="H1317" s="35" t="str">
        <f>IFERROR(__xludf.DUMMYFUNCTION("""COMPUTED_VALUE"""),"Algorithms")</f>
        <v>Algorithms</v>
      </c>
      <c r="I1317" s="35">
        <f>IFERROR(__xludf.DUMMYFUNCTION("""COMPUTED_VALUE"""),0.501)</f>
        <v>0.501</v>
      </c>
      <c r="J1317" s="35">
        <f>IFERROR(__xludf.DUMMYFUNCTION("""COMPUTED_VALUE"""),1316.0)</f>
        <v>1316</v>
      </c>
      <c r="K1317" s="35" t="b">
        <f>IFERROR(__xludf.DUMMYFUNCTION("""COMPUTED_VALUE"""),FALSE)</f>
        <v>0</v>
      </c>
      <c r="L1317" s="35" t="str">
        <f>IFERROR(__xludf.DUMMYFUNCTION("""COMPUTED_VALUE"""),"String;Dynamic Programming;Trie;Sliding Window;Rolling Hash;Hash Function;")</f>
        <v>String;Dynamic Programming;Trie;Sliding Window;Rolling Hash;Hash Function;</v>
      </c>
      <c r="M1317" s="35" t="b">
        <f>IFERROR(__xludf.DUMMYFUNCTION("""COMPUTED_VALUE"""),FALSE)</f>
        <v>0</v>
      </c>
      <c r="N1317" s="35" t="b">
        <f>IFERROR(__xludf.DUMMYFUNCTION("""COMPUTED_VALUE"""),FALSE)</f>
        <v>0</v>
      </c>
      <c r="O1317" s="35">
        <f>IFERROR(__xludf.DUMMYFUNCTION("""COMPUTED_VALUE"""),50.1341681574239)</f>
        <v>50.13416816</v>
      </c>
      <c r="P1317" s="35">
        <f>IFERROR(__xludf.DUMMYFUNCTION("""COMPUTED_VALUE"""),11210.0)</f>
        <v>11210</v>
      </c>
      <c r="Q1317" s="35">
        <f>IFERROR(__xludf.DUMMYFUNCTION("""COMPUTED_VALUE"""),22360.0)</f>
        <v>22360</v>
      </c>
    </row>
    <row r="1318">
      <c r="A1318" s="35">
        <f>IFERROR(__xludf.DUMMYFUNCTION("""COMPUTED_VALUE"""),1440.0)</f>
        <v>1440</v>
      </c>
      <c r="B1318" s="35" t="str">
        <f>IFERROR(__xludf.DUMMYFUNCTION("""COMPUTED_VALUE"""),"Convert Integer to the Sum of Two No-Zero Integers")</f>
        <v>Convert Integer to the Sum of Two No-Zero Integers</v>
      </c>
      <c r="C1318" s="35" t="str">
        <f>IFERROR(__xludf.DUMMYFUNCTION("""COMPUTED_VALUE"""),"convert-integer-to-the-sum-of-two-no-zero-integers")</f>
        <v>convert-integer-to-the-sum-of-two-no-zero-integers</v>
      </c>
      <c r="D1318" s="35" t="b">
        <f>IFERROR(__xludf.DUMMYFUNCTION("""COMPUTED_VALUE"""),FALSE)</f>
        <v>0</v>
      </c>
      <c r="E1318" s="35" t="str">
        <f>IFERROR(__xludf.DUMMYFUNCTION("""COMPUTED_VALUE"""),"Easy")</f>
        <v>Easy</v>
      </c>
      <c r="F1318" s="35">
        <f>IFERROR(__xludf.DUMMYFUNCTION("""COMPUTED_VALUE"""),249.0)</f>
        <v>249</v>
      </c>
      <c r="G1318" s="35">
        <f>IFERROR(__xludf.DUMMYFUNCTION("""COMPUTED_VALUE"""),210.0)</f>
        <v>210</v>
      </c>
      <c r="H1318" s="35" t="str">
        <f>IFERROR(__xludf.DUMMYFUNCTION("""COMPUTED_VALUE"""),"Algorithms")</f>
        <v>Algorithms</v>
      </c>
      <c r="I1318" s="35">
        <f>IFERROR(__xludf.DUMMYFUNCTION("""COMPUTED_VALUE"""),0.571)</f>
        <v>0.571</v>
      </c>
      <c r="J1318" s="35">
        <f>IFERROR(__xludf.DUMMYFUNCTION("""COMPUTED_VALUE"""),1317.0)</f>
        <v>1317</v>
      </c>
      <c r="K1318" s="35" t="b">
        <f>IFERROR(__xludf.DUMMYFUNCTION("""COMPUTED_VALUE"""),FALSE)</f>
        <v>0</v>
      </c>
      <c r="L1318" s="35" t="str">
        <f>IFERROR(__xludf.DUMMYFUNCTION("""COMPUTED_VALUE"""),"Math;")</f>
        <v>Math;</v>
      </c>
      <c r="M1318" s="35" t="b">
        <f>IFERROR(__xludf.DUMMYFUNCTION("""COMPUTED_VALUE"""),FALSE)</f>
        <v>0</v>
      </c>
      <c r="N1318" s="35" t="b">
        <f>IFERROR(__xludf.DUMMYFUNCTION("""COMPUTED_VALUE"""),FALSE)</f>
        <v>0</v>
      </c>
      <c r="O1318" s="35">
        <f>IFERROR(__xludf.DUMMYFUNCTION("""COMPUTED_VALUE"""),57.1074233744758)</f>
        <v>57.10742337</v>
      </c>
      <c r="P1318" s="35">
        <f>IFERROR(__xludf.DUMMYFUNCTION("""COMPUTED_VALUE"""),29010.0)</f>
        <v>29010</v>
      </c>
      <c r="Q1318" s="35">
        <f>IFERROR(__xludf.DUMMYFUNCTION("""COMPUTED_VALUE"""),50799.0)</f>
        <v>50799</v>
      </c>
    </row>
    <row r="1319">
      <c r="A1319" s="35">
        <f>IFERROR(__xludf.DUMMYFUNCTION("""COMPUTED_VALUE"""),1441.0)</f>
        <v>1441</v>
      </c>
      <c r="B1319" s="35" t="str">
        <f>IFERROR(__xludf.DUMMYFUNCTION("""COMPUTED_VALUE"""),"Minimum Flips to Make a OR b Equal to c")</f>
        <v>Minimum Flips to Make a OR b Equal to c</v>
      </c>
      <c r="C1319" s="35" t="str">
        <f>IFERROR(__xludf.DUMMYFUNCTION("""COMPUTED_VALUE"""),"minimum-flips-to-make-a-or-b-equal-to-c")</f>
        <v>minimum-flips-to-make-a-or-b-equal-to-c</v>
      </c>
      <c r="D1319" s="35" t="b">
        <f>IFERROR(__xludf.DUMMYFUNCTION("""COMPUTED_VALUE"""),FALSE)</f>
        <v>0</v>
      </c>
      <c r="E1319" s="35" t="str">
        <f>IFERROR(__xludf.DUMMYFUNCTION("""COMPUTED_VALUE"""),"Medium")</f>
        <v>Medium</v>
      </c>
      <c r="F1319" s="35">
        <f>IFERROR(__xludf.DUMMYFUNCTION("""COMPUTED_VALUE"""),406.0)</f>
        <v>406</v>
      </c>
      <c r="G1319" s="35">
        <f>IFERROR(__xludf.DUMMYFUNCTION("""COMPUTED_VALUE"""),35.0)</f>
        <v>35</v>
      </c>
      <c r="H1319" s="35" t="str">
        <f>IFERROR(__xludf.DUMMYFUNCTION("""COMPUTED_VALUE"""),"Algorithms")</f>
        <v>Algorithms</v>
      </c>
      <c r="I1319" s="35">
        <f>IFERROR(__xludf.DUMMYFUNCTION("""COMPUTED_VALUE"""),0.651)</f>
        <v>0.651</v>
      </c>
      <c r="J1319" s="35">
        <f>IFERROR(__xludf.DUMMYFUNCTION("""COMPUTED_VALUE"""),1318.0)</f>
        <v>1318</v>
      </c>
      <c r="K1319" s="35" t="b">
        <f>IFERROR(__xludf.DUMMYFUNCTION("""COMPUTED_VALUE"""),FALSE)</f>
        <v>0</v>
      </c>
      <c r="L1319" s="35" t="str">
        <f>IFERROR(__xludf.DUMMYFUNCTION("""COMPUTED_VALUE"""),"Bit Manipulation;")</f>
        <v>Bit Manipulation;</v>
      </c>
      <c r="M1319" s="35" t="b">
        <f>IFERROR(__xludf.DUMMYFUNCTION("""COMPUTED_VALUE"""),FALSE)</f>
        <v>0</v>
      </c>
      <c r="N1319" s="35" t="b">
        <f>IFERROR(__xludf.DUMMYFUNCTION("""COMPUTED_VALUE"""),FALSE)</f>
        <v>0</v>
      </c>
      <c r="O1319" s="35">
        <f>IFERROR(__xludf.DUMMYFUNCTION("""COMPUTED_VALUE"""),65.0619718309859)</f>
        <v>65.06197183</v>
      </c>
      <c r="P1319" s="35">
        <f>IFERROR(__xludf.DUMMYFUNCTION("""COMPUTED_VALUE"""),23097.0)</f>
        <v>23097</v>
      </c>
      <c r="Q1319" s="35">
        <f>IFERROR(__xludf.DUMMYFUNCTION("""COMPUTED_VALUE"""),35500.0)</f>
        <v>35500</v>
      </c>
    </row>
    <row r="1320">
      <c r="A1320" s="35">
        <f>IFERROR(__xludf.DUMMYFUNCTION("""COMPUTED_VALUE"""),1442.0)</f>
        <v>1442</v>
      </c>
      <c r="B1320" s="35" t="str">
        <f>IFERROR(__xludf.DUMMYFUNCTION("""COMPUTED_VALUE"""),"Number of Operations to Make Network Connected")</f>
        <v>Number of Operations to Make Network Connected</v>
      </c>
      <c r="C1320" s="35" t="str">
        <f>IFERROR(__xludf.DUMMYFUNCTION("""COMPUTED_VALUE"""),"number-of-operations-to-make-network-connected")</f>
        <v>number-of-operations-to-make-network-connected</v>
      </c>
      <c r="D1320" s="35" t="b">
        <f>IFERROR(__xludf.DUMMYFUNCTION("""COMPUTED_VALUE"""),FALSE)</f>
        <v>0</v>
      </c>
      <c r="E1320" s="35" t="str">
        <f>IFERROR(__xludf.DUMMYFUNCTION("""COMPUTED_VALUE"""),"Medium")</f>
        <v>Medium</v>
      </c>
      <c r="F1320" s="35">
        <f>IFERROR(__xludf.DUMMYFUNCTION("""COMPUTED_VALUE"""),1886.0)</f>
        <v>1886</v>
      </c>
      <c r="G1320" s="35">
        <f>IFERROR(__xludf.DUMMYFUNCTION("""COMPUTED_VALUE"""),29.0)</f>
        <v>29</v>
      </c>
      <c r="H1320" s="35" t="str">
        <f>IFERROR(__xludf.DUMMYFUNCTION("""COMPUTED_VALUE"""),"Algorithms")</f>
        <v>Algorithms</v>
      </c>
      <c r="I1320" s="35">
        <f>IFERROR(__xludf.DUMMYFUNCTION("""COMPUTED_VALUE"""),0.575)</f>
        <v>0.575</v>
      </c>
      <c r="J1320" s="35">
        <f>IFERROR(__xludf.DUMMYFUNCTION("""COMPUTED_VALUE"""),1319.0)</f>
        <v>1319</v>
      </c>
      <c r="K1320" s="35" t="b">
        <f>IFERROR(__xludf.DUMMYFUNCTION("""COMPUTED_VALUE"""),FALSE)</f>
        <v>0</v>
      </c>
      <c r="L1320" s="35" t="str">
        <f>IFERROR(__xludf.DUMMYFUNCTION("""COMPUTED_VALUE"""),"Depth-First Search;Breadth-First Search;Union Find;Graph;")</f>
        <v>Depth-First Search;Breadth-First Search;Union Find;Graph;</v>
      </c>
      <c r="M1320" s="35" t="b">
        <f>IFERROR(__xludf.DUMMYFUNCTION("""COMPUTED_VALUE"""),FALSE)</f>
        <v>0</v>
      </c>
      <c r="N1320" s="35" t="b">
        <f>IFERROR(__xludf.DUMMYFUNCTION("""COMPUTED_VALUE"""),FALSE)</f>
        <v>0</v>
      </c>
      <c r="O1320" s="35">
        <f>IFERROR(__xludf.DUMMYFUNCTION("""COMPUTED_VALUE"""),57.4592341711443)</f>
        <v>57.45923417</v>
      </c>
      <c r="P1320" s="35">
        <f>IFERROR(__xludf.DUMMYFUNCTION("""COMPUTED_VALUE"""),67690.0)</f>
        <v>67690</v>
      </c>
      <c r="Q1320" s="35">
        <f>IFERROR(__xludf.DUMMYFUNCTION("""COMPUTED_VALUE"""),117806.0)</f>
        <v>117806</v>
      </c>
    </row>
    <row r="1321">
      <c r="A1321" s="35">
        <f>IFERROR(__xludf.DUMMYFUNCTION("""COMPUTED_VALUE"""),1443.0)</f>
        <v>1443</v>
      </c>
      <c r="B1321" s="35" t="str">
        <f>IFERROR(__xludf.DUMMYFUNCTION("""COMPUTED_VALUE"""),"Minimum Distance to Type a Word Using Two Fingers")</f>
        <v>Minimum Distance to Type a Word Using Two Fingers</v>
      </c>
      <c r="C1321" s="35" t="str">
        <f>IFERROR(__xludf.DUMMYFUNCTION("""COMPUTED_VALUE"""),"minimum-distance-to-type-a-word-using-two-fingers")</f>
        <v>minimum-distance-to-type-a-word-using-two-fingers</v>
      </c>
      <c r="D1321" s="35" t="b">
        <f>IFERROR(__xludf.DUMMYFUNCTION("""COMPUTED_VALUE"""),FALSE)</f>
        <v>0</v>
      </c>
      <c r="E1321" s="35" t="str">
        <f>IFERROR(__xludf.DUMMYFUNCTION("""COMPUTED_VALUE"""),"Hard")</f>
        <v>Hard</v>
      </c>
      <c r="F1321" s="35">
        <f>IFERROR(__xludf.DUMMYFUNCTION("""COMPUTED_VALUE"""),733.0)</f>
        <v>733</v>
      </c>
      <c r="G1321" s="35">
        <f>IFERROR(__xludf.DUMMYFUNCTION("""COMPUTED_VALUE"""),28.0)</f>
        <v>28</v>
      </c>
      <c r="H1321" s="35" t="str">
        <f>IFERROR(__xludf.DUMMYFUNCTION("""COMPUTED_VALUE"""),"Algorithms")</f>
        <v>Algorithms</v>
      </c>
      <c r="I1321" s="35">
        <f>IFERROR(__xludf.DUMMYFUNCTION("""COMPUTED_VALUE"""),0.604)</f>
        <v>0.604</v>
      </c>
      <c r="J1321" s="35">
        <f>IFERROR(__xludf.DUMMYFUNCTION("""COMPUTED_VALUE"""),1320.0)</f>
        <v>1320</v>
      </c>
      <c r="K1321" s="35" t="b">
        <f>IFERROR(__xludf.DUMMYFUNCTION("""COMPUTED_VALUE"""),FALSE)</f>
        <v>0</v>
      </c>
      <c r="L1321" s="35" t="str">
        <f>IFERROR(__xludf.DUMMYFUNCTION("""COMPUTED_VALUE"""),"String;Dynamic Programming;")</f>
        <v>String;Dynamic Programming;</v>
      </c>
      <c r="M1321" s="35" t="b">
        <f>IFERROR(__xludf.DUMMYFUNCTION("""COMPUTED_VALUE"""),FALSE)</f>
        <v>0</v>
      </c>
      <c r="N1321" s="35" t="b">
        <f>IFERROR(__xludf.DUMMYFUNCTION("""COMPUTED_VALUE"""),FALSE)</f>
        <v>0</v>
      </c>
      <c r="O1321" s="35">
        <f>IFERROR(__xludf.DUMMYFUNCTION("""COMPUTED_VALUE"""),60.3601722562964)</f>
        <v>60.36017226</v>
      </c>
      <c r="P1321" s="35">
        <f>IFERROR(__xludf.DUMMYFUNCTION("""COMPUTED_VALUE"""),23127.0)</f>
        <v>23127</v>
      </c>
      <c r="Q1321" s="35">
        <f>IFERROR(__xludf.DUMMYFUNCTION("""COMPUTED_VALUE"""),38314.0)</f>
        <v>38314</v>
      </c>
    </row>
    <row r="1322">
      <c r="A1322" s="35">
        <f>IFERROR(__xludf.DUMMYFUNCTION("""COMPUTED_VALUE"""),1452.0)</f>
        <v>1452</v>
      </c>
      <c r="B1322" s="35" t="str">
        <f>IFERROR(__xludf.DUMMYFUNCTION("""COMPUTED_VALUE"""),"Restaurant Growth")</f>
        <v>Restaurant Growth</v>
      </c>
      <c r="C1322" s="35" t="str">
        <f>IFERROR(__xludf.DUMMYFUNCTION("""COMPUTED_VALUE"""),"restaurant-growth")</f>
        <v>restaurant-growth</v>
      </c>
      <c r="D1322" s="35" t="b">
        <f>IFERROR(__xludf.DUMMYFUNCTION("""COMPUTED_VALUE"""),TRUE)</f>
        <v>1</v>
      </c>
      <c r="E1322" s="35" t="str">
        <f>IFERROR(__xludf.DUMMYFUNCTION("""COMPUTED_VALUE"""),"Medium")</f>
        <v>Medium</v>
      </c>
      <c r="F1322" s="35">
        <f>IFERROR(__xludf.DUMMYFUNCTION("""COMPUTED_VALUE"""),232.0)</f>
        <v>232</v>
      </c>
      <c r="G1322" s="35">
        <f>IFERROR(__xludf.DUMMYFUNCTION("""COMPUTED_VALUE"""),35.0)</f>
        <v>35</v>
      </c>
      <c r="H1322" s="35" t="str">
        <f>IFERROR(__xludf.DUMMYFUNCTION("""COMPUTED_VALUE"""),"Database")</f>
        <v>Database</v>
      </c>
      <c r="I1322" s="35">
        <f>IFERROR(__xludf.DUMMYFUNCTION("""COMPUTED_VALUE"""),0.725)</f>
        <v>0.725</v>
      </c>
      <c r="J1322" s="35">
        <f>IFERROR(__xludf.DUMMYFUNCTION("""COMPUTED_VALUE"""),1321.0)</f>
        <v>1321</v>
      </c>
      <c r="K1322" s="35" t="b">
        <f>IFERROR(__xludf.DUMMYFUNCTION("""COMPUTED_VALUE"""),TRUE)</f>
        <v>1</v>
      </c>
      <c r="L1322" s="35" t="str">
        <f>IFERROR(__xludf.DUMMYFUNCTION("""COMPUTED_VALUE"""),"Database;")</f>
        <v>Database;</v>
      </c>
      <c r="M1322" s="35" t="b">
        <f>IFERROR(__xludf.DUMMYFUNCTION("""COMPUTED_VALUE"""),FALSE)</f>
        <v>0</v>
      </c>
      <c r="N1322" s="35" t="b">
        <f>IFERROR(__xludf.DUMMYFUNCTION("""COMPUTED_VALUE"""),FALSE)</f>
        <v>0</v>
      </c>
      <c r="O1322" s="35">
        <f>IFERROR(__xludf.DUMMYFUNCTION("""COMPUTED_VALUE"""),72.5109673581678)</f>
        <v>72.51096736</v>
      </c>
      <c r="P1322" s="35">
        <f>IFERROR(__xludf.DUMMYFUNCTION("""COMPUTED_VALUE"""),19504.0)</f>
        <v>19504</v>
      </c>
      <c r="Q1322" s="35">
        <f>IFERROR(__xludf.DUMMYFUNCTION("""COMPUTED_VALUE"""),26898.0)</f>
        <v>26898</v>
      </c>
    </row>
    <row r="1323">
      <c r="A1323" s="35">
        <f>IFERROR(__xludf.DUMMYFUNCTION("""COMPUTED_VALUE"""),1453.0)</f>
        <v>1453</v>
      </c>
      <c r="B1323" s="35" t="str">
        <f>IFERROR(__xludf.DUMMYFUNCTION("""COMPUTED_VALUE"""),"Ads Performance")</f>
        <v>Ads Performance</v>
      </c>
      <c r="C1323" s="35" t="str">
        <f>IFERROR(__xludf.DUMMYFUNCTION("""COMPUTED_VALUE"""),"ads-performance")</f>
        <v>ads-performance</v>
      </c>
      <c r="D1323" s="35" t="b">
        <f>IFERROR(__xludf.DUMMYFUNCTION("""COMPUTED_VALUE"""),TRUE)</f>
        <v>1</v>
      </c>
      <c r="E1323" s="35" t="str">
        <f>IFERROR(__xludf.DUMMYFUNCTION("""COMPUTED_VALUE"""),"Easy")</f>
        <v>Easy</v>
      </c>
      <c r="F1323" s="35">
        <f>IFERROR(__xludf.DUMMYFUNCTION("""COMPUTED_VALUE"""),176.0)</f>
        <v>176</v>
      </c>
      <c r="G1323" s="35">
        <f>IFERROR(__xludf.DUMMYFUNCTION("""COMPUTED_VALUE"""),42.0)</f>
        <v>42</v>
      </c>
      <c r="H1323" s="35" t="str">
        <f>IFERROR(__xludf.DUMMYFUNCTION("""COMPUTED_VALUE"""),"Database")</f>
        <v>Database</v>
      </c>
      <c r="I1323" s="35">
        <f>IFERROR(__xludf.DUMMYFUNCTION("""COMPUTED_VALUE"""),0.6)</f>
        <v>0.6</v>
      </c>
      <c r="J1323" s="35">
        <f>IFERROR(__xludf.DUMMYFUNCTION("""COMPUTED_VALUE"""),1322.0)</f>
        <v>1322</v>
      </c>
      <c r="K1323" s="35" t="b">
        <f>IFERROR(__xludf.DUMMYFUNCTION("""COMPUTED_VALUE"""),TRUE)</f>
        <v>1</v>
      </c>
      <c r="L1323" s="35" t="str">
        <f>IFERROR(__xludf.DUMMYFUNCTION("""COMPUTED_VALUE"""),"Database;")</f>
        <v>Database;</v>
      </c>
      <c r="M1323" s="35" t="b">
        <f>IFERROR(__xludf.DUMMYFUNCTION("""COMPUTED_VALUE"""),FALSE)</f>
        <v>0</v>
      </c>
      <c r="N1323" s="35" t="b">
        <f>IFERROR(__xludf.DUMMYFUNCTION("""COMPUTED_VALUE"""),FALSE)</f>
        <v>0</v>
      </c>
      <c r="O1323" s="35">
        <f>IFERROR(__xludf.DUMMYFUNCTION("""COMPUTED_VALUE"""),59.9910464465584)</f>
        <v>59.99104645</v>
      </c>
      <c r="P1323" s="35">
        <f>IFERROR(__xludf.DUMMYFUNCTION("""COMPUTED_VALUE"""),26801.0)</f>
        <v>26801</v>
      </c>
      <c r="Q1323" s="35">
        <f>IFERROR(__xludf.DUMMYFUNCTION("""COMPUTED_VALUE"""),44675.0)</f>
        <v>44675</v>
      </c>
    </row>
    <row r="1324">
      <c r="A1324" s="35">
        <f>IFERROR(__xludf.DUMMYFUNCTION("""COMPUTED_VALUE"""),1448.0)</f>
        <v>1448</v>
      </c>
      <c r="B1324" s="35" t="str">
        <f>IFERROR(__xludf.DUMMYFUNCTION("""COMPUTED_VALUE"""),"Maximum 69 Number")</f>
        <v>Maximum 69 Number</v>
      </c>
      <c r="C1324" s="35" t="str">
        <f>IFERROR(__xludf.DUMMYFUNCTION("""COMPUTED_VALUE"""),"maximum-69-number")</f>
        <v>maximum-69-number</v>
      </c>
      <c r="D1324" s="35" t="b">
        <f>IFERROR(__xludf.DUMMYFUNCTION("""COMPUTED_VALUE"""),FALSE)</f>
        <v>0</v>
      </c>
      <c r="E1324" s="35" t="str">
        <f>IFERROR(__xludf.DUMMYFUNCTION("""COMPUTED_VALUE"""),"Easy")</f>
        <v>Easy</v>
      </c>
      <c r="F1324" s="35">
        <f>IFERROR(__xludf.DUMMYFUNCTION("""COMPUTED_VALUE"""),931.0)</f>
        <v>931</v>
      </c>
      <c r="G1324" s="35">
        <f>IFERROR(__xludf.DUMMYFUNCTION("""COMPUTED_VALUE"""),116.0)</f>
        <v>116</v>
      </c>
      <c r="H1324" s="35" t="str">
        <f>IFERROR(__xludf.DUMMYFUNCTION("""COMPUTED_VALUE"""),"Algorithms")</f>
        <v>Algorithms</v>
      </c>
      <c r="I1324" s="35">
        <f>IFERROR(__xludf.DUMMYFUNCTION("""COMPUTED_VALUE"""),0.788)</f>
        <v>0.788</v>
      </c>
      <c r="J1324" s="35">
        <f>IFERROR(__xludf.DUMMYFUNCTION("""COMPUTED_VALUE"""),1323.0)</f>
        <v>1323</v>
      </c>
      <c r="K1324" s="35" t="b">
        <f>IFERROR(__xludf.DUMMYFUNCTION("""COMPUTED_VALUE"""),FALSE)</f>
        <v>0</v>
      </c>
      <c r="L1324" s="35" t="str">
        <f>IFERROR(__xludf.DUMMYFUNCTION("""COMPUTED_VALUE"""),"Math;Greedy;")</f>
        <v>Math;Greedy;</v>
      </c>
      <c r="M1324" s="35" t="b">
        <f>IFERROR(__xludf.DUMMYFUNCTION("""COMPUTED_VALUE"""),FALSE)</f>
        <v>0</v>
      </c>
      <c r="N1324" s="35" t="b">
        <f>IFERROR(__xludf.DUMMYFUNCTION("""COMPUTED_VALUE"""),FALSE)</f>
        <v>0</v>
      </c>
      <c r="O1324" s="35">
        <f>IFERROR(__xludf.DUMMYFUNCTION("""COMPUTED_VALUE"""),78.798955613577)</f>
        <v>78.79895561</v>
      </c>
      <c r="P1324" s="35">
        <f>IFERROR(__xludf.DUMMYFUNCTION("""COMPUTED_VALUE"""),105630.0)</f>
        <v>105630</v>
      </c>
      <c r="Q1324" s="35">
        <f>IFERROR(__xludf.DUMMYFUNCTION("""COMPUTED_VALUE"""),134050.0)</f>
        <v>134050</v>
      </c>
    </row>
    <row r="1325">
      <c r="A1325" s="35">
        <f>IFERROR(__xludf.DUMMYFUNCTION("""COMPUTED_VALUE"""),1449.0)</f>
        <v>1449</v>
      </c>
      <c r="B1325" s="35" t="str">
        <f>IFERROR(__xludf.DUMMYFUNCTION("""COMPUTED_VALUE"""),"Print Words Vertically")</f>
        <v>Print Words Vertically</v>
      </c>
      <c r="C1325" s="35" t="str">
        <f>IFERROR(__xludf.DUMMYFUNCTION("""COMPUTED_VALUE"""),"print-words-vertically")</f>
        <v>print-words-vertically</v>
      </c>
      <c r="D1325" s="35" t="b">
        <f>IFERROR(__xludf.DUMMYFUNCTION("""COMPUTED_VALUE"""),FALSE)</f>
        <v>0</v>
      </c>
      <c r="E1325" s="35" t="str">
        <f>IFERROR(__xludf.DUMMYFUNCTION("""COMPUTED_VALUE"""),"Medium")</f>
        <v>Medium</v>
      </c>
      <c r="F1325" s="35">
        <f>IFERROR(__xludf.DUMMYFUNCTION("""COMPUTED_VALUE"""),416.0)</f>
        <v>416</v>
      </c>
      <c r="G1325" s="35">
        <f>IFERROR(__xludf.DUMMYFUNCTION("""COMPUTED_VALUE"""),87.0)</f>
        <v>87</v>
      </c>
      <c r="H1325" s="35" t="str">
        <f>IFERROR(__xludf.DUMMYFUNCTION("""COMPUTED_VALUE"""),"Algorithms")</f>
        <v>Algorithms</v>
      </c>
      <c r="I1325" s="35">
        <f>IFERROR(__xludf.DUMMYFUNCTION("""COMPUTED_VALUE"""),0.594)</f>
        <v>0.594</v>
      </c>
      <c r="J1325" s="35">
        <f>IFERROR(__xludf.DUMMYFUNCTION("""COMPUTED_VALUE"""),1324.0)</f>
        <v>1324</v>
      </c>
      <c r="K1325" s="35" t="b">
        <f>IFERROR(__xludf.DUMMYFUNCTION("""COMPUTED_VALUE"""),FALSE)</f>
        <v>0</v>
      </c>
      <c r="L1325" s="35" t="str">
        <f>IFERROR(__xludf.DUMMYFUNCTION("""COMPUTED_VALUE"""),"Array;String;Simulation;")</f>
        <v>Array;String;Simulation;</v>
      </c>
      <c r="M1325" s="35" t="b">
        <f>IFERROR(__xludf.DUMMYFUNCTION("""COMPUTED_VALUE"""),FALSE)</f>
        <v>0</v>
      </c>
      <c r="N1325" s="35" t="b">
        <f>IFERROR(__xludf.DUMMYFUNCTION("""COMPUTED_VALUE"""),FALSE)</f>
        <v>0</v>
      </c>
      <c r="O1325" s="35">
        <f>IFERROR(__xludf.DUMMYFUNCTION("""COMPUTED_VALUE"""),59.4364274111914)</f>
        <v>59.43642741</v>
      </c>
      <c r="P1325" s="35">
        <f>IFERROR(__xludf.DUMMYFUNCTION("""COMPUTED_VALUE"""),25248.0)</f>
        <v>25248</v>
      </c>
      <c r="Q1325" s="35">
        <f>IFERROR(__xludf.DUMMYFUNCTION("""COMPUTED_VALUE"""),42479.0)</f>
        <v>42479</v>
      </c>
    </row>
    <row r="1326">
      <c r="A1326" s="35">
        <f>IFERROR(__xludf.DUMMYFUNCTION("""COMPUTED_VALUE"""),1450.0)</f>
        <v>1450</v>
      </c>
      <c r="B1326" s="35" t="str">
        <f>IFERROR(__xludf.DUMMYFUNCTION("""COMPUTED_VALUE"""),"Delete Leaves With a Given Value")</f>
        <v>Delete Leaves With a Given Value</v>
      </c>
      <c r="C1326" s="35" t="str">
        <f>IFERROR(__xludf.DUMMYFUNCTION("""COMPUTED_VALUE"""),"delete-leaves-with-a-given-value")</f>
        <v>delete-leaves-with-a-given-value</v>
      </c>
      <c r="D1326" s="35" t="b">
        <f>IFERROR(__xludf.DUMMYFUNCTION("""COMPUTED_VALUE"""),FALSE)</f>
        <v>0</v>
      </c>
      <c r="E1326" s="35" t="str">
        <f>IFERROR(__xludf.DUMMYFUNCTION("""COMPUTED_VALUE"""),"Medium")</f>
        <v>Medium</v>
      </c>
      <c r="F1326" s="35">
        <f>IFERROR(__xludf.DUMMYFUNCTION("""COMPUTED_VALUE"""),1331.0)</f>
        <v>1331</v>
      </c>
      <c r="G1326" s="35">
        <f>IFERROR(__xludf.DUMMYFUNCTION("""COMPUTED_VALUE"""),25.0)</f>
        <v>25</v>
      </c>
      <c r="H1326" s="35" t="str">
        <f>IFERROR(__xludf.DUMMYFUNCTION("""COMPUTED_VALUE"""),"Algorithms")</f>
        <v>Algorithms</v>
      </c>
      <c r="I1326" s="35">
        <f>IFERROR(__xludf.DUMMYFUNCTION("""COMPUTED_VALUE"""),0.748)</f>
        <v>0.748</v>
      </c>
      <c r="J1326" s="35">
        <f>IFERROR(__xludf.DUMMYFUNCTION("""COMPUTED_VALUE"""),1325.0)</f>
        <v>1325</v>
      </c>
      <c r="K1326" s="35" t="b">
        <f>IFERROR(__xludf.DUMMYFUNCTION("""COMPUTED_VALUE"""),FALSE)</f>
        <v>0</v>
      </c>
      <c r="L1326" s="35" t="str">
        <f>IFERROR(__xludf.DUMMYFUNCTION("""COMPUTED_VALUE"""),"Tree;Depth-First Search;Binary Tree;")</f>
        <v>Tree;Depth-First Search;Binary Tree;</v>
      </c>
      <c r="M1326" s="35" t="b">
        <f>IFERROR(__xludf.DUMMYFUNCTION("""COMPUTED_VALUE"""),FALSE)</f>
        <v>0</v>
      </c>
      <c r="N1326" s="35" t="b">
        <f>IFERROR(__xludf.DUMMYFUNCTION("""COMPUTED_VALUE"""),FALSE)</f>
        <v>0</v>
      </c>
      <c r="O1326" s="35">
        <f>IFERROR(__xludf.DUMMYFUNCTION("""COMPUTED_VALUE"""),74.8193427630487)</f>
        <v>74.81934276</v>
      </c>
      <c r="P1326" s="35">
        <f>IFERROR(__xludf.DUMMYFUNCTION("""COMPUTED_VALUE"""),63158.0)</f>
        <v>63158</v>
      </c>
      <c r="Q1326" s="35">
        <f>IFERROR(__xludf.DUMMYFUNCTION("""COMPUTED_VALUE"""),84414.0)</f>
        <v>84414</v>
      </c>
    </row>
    <row r="1327">
      <c r="A1327" s="35">
        <f>IFERROR(__xludf.DUMMYFUNCTION("""COMPUTED_VALUE"""),1451.0)</f>
        <v>1451</v>
      </c>
      <c r="B1327" s="35" t="str">
        <f>IFERROR(__xludf.DUMMYFUNCTION("""COMPUTED_VALUE"""),"Minimum Number of Taps to Open to Water a Garden")</f>
        <v>Minimum Number of Taps to Open to Water a Garden</v>
      </c>
      <c r="C1327" s="35" t="str">
        <f>IFERROR(__xludf.DUMMYFUNCTION("""COMPUTED_VALUE"""),"minimum-number-of-taps-to-open-to-water-a-garden")</f>
        <v>minimum-number-of-taps-to-open-to-water-a-garden</v>
      </c>
      <c r="D1327" s="35" t="b">
        <f>IFERROR(__xludf.DUMMYFUNCTION("""COMPUTED_VALUE"""),FALSE)</f>
        <v>0</v>
      </c>
      <c r="E1327" s="35" t="str">
        <f>IFERROR(__xludf.DUMMYFUNCTION("""COMPUTED_VALUE"""),"Hard")</f>
        <v>Hard</v>
      </c>
      <c r="F1327" s="35">
        <f>IFERROR(__xludf.DUMMYFUNCTION("""COMPUTED_VALUE"""),1392.0)</f>
        <v>1392</v>
      </c>
      <c r="G1327" s="35">
        <f>IFERROR(__xludf.DUMMYFUNCTION("""COMPUTED_VALUE"""),99.0)</f>
        <v>99</v>
      </c>
      <c r="H1327" s="35" t="str">
        <f>IFERROR(__xludf.DUMMYFUNCTION("""COMPUTED_VALUE"""),"Algorithms")</f>
        <v>Algorithms</v>
      </c>
      <c r="I1327" s="35">
        <f>IFERROR(__xludf.DUMMYFUNCTION("""COMPUTED_VALUE"""),0.482)</f>
        <v>0.482</v>
      </c>
      <c r="J1327" s="35">
        <f>IFERROR(__xludf.DUMMYFUNCTION("""COMPUTED_VALUE"""),1326.0)</f>
        <v>1326</v>
      </c>
      <c r="K1327" s="35" t="b">
        <f>IFERROR(__xludf.DUMMYFUNCTION("""COMPUTED_VALUE"""),FALSE)</f>
        <v>0</v>
      </c>
      <c r="L1327" s="35" t="str">
        <f>IFERROR(__xludf.DUMMYFUNCTION("""COMPUTED_VALUE"""),"Array;Dynamic Programming;Greedy;")</f>
        <v>Array;Dynamic Programming;Greedy;</v>
      </c>
      <c r="M1327" s="35" t="b">
        <f>IFERROR(__xludf.DUMMYFUNCTION("""COMPUTED_VALUE"""),FALSE)</f>
        <v>0</v>
      </c>
      <c r="N1327" s="35" t="b">
        <f>IFERROR(__xludf.DUMMYFUNCTION("""COMPUTED_VALUE"""),FALSE)</f>
        <v>0</v>
      </c>
      <c r="O1327" s="35">
        <f>IFERROR(__xludf.DUMMYFUNCTION("""COMPUTED_VALUE"""),48.1776975235849)</f>
        <v>48.17769752</v>
      </c>
      <c r="P1327" s="35">
        <f>IFERROR(__xludf.DUMMYFUNCTION("""COMPUTED_VALUE"""),52294.0)</f>
        <v>52294</v>
      </c>
      <c r="Q1327" s="35">
        <f>IFERROR(__xludf.DUMMYFUNCTION("""COMPUTED_VALUE"""),108536.0)</f>
        <v>108536</v>
      </c>
    </row>
    <row r="1328">
      <c r="A1328" s="35">
        <f>IFERROR(__xludf.DUMMYFUNCTION("""COMPUTED_VALUE"""),1462.0)</f>
        <v>1462</v>
      </c>
      <c r="B1328" s="35" t="str">
        <f>IFERROR(__xludf.DUMMYFUNCTION("""COMPUTED_VALUE"""),"List the Products Ordered in a Period")</f>
        <v>List the Products Ordered in a Period</v>
      </c>
      <c r="C1328" s="35" t="str">
        <f>IFERROR(__xludf.DUMMYFUNCTION("""COMPUTED_VALUE"""),"list-the-products-ordered-in-a-period")</f>
        <v>list-the-products-ordered-in-a-period</v>
      </c>
      <c r="D1328" s="35" t="b">
        <f>IFERROR(__xludf.DUMMYFUNCTION("""COMPUTED_VALUE"""),TRUE)</f>
        <v>1</v>
      </c>
      <c r="E1328" s="35" t="str">
        <f>IFERROR(__xludf.DUMMYFUNCTION("""COMPUTED_VALUE"""),"Easy")</f>
        <v>Easy</v>
      </c>
      <c r="F1328" s="35">
        <f>IFERROR(__xludf.DUMMYFUNCTION("""COMPUTED_VALUE"""),77.0)</f>
        <v>77</v>
      </c>
      <c r="G1328" s="35">
        <f>IFERROR(__xludf.DUMMYFUNCTION("""COMPUTED_VALUE"""),18.0)</f>
        <v>18</v>
      </c>
      <c r="H1328" s="35" t="str">
        <f>IFERROR(__xludf.DUMMYFUNCTION("""COMPUTED_VALUE"""),"Database")</f>
        <v>Database</v>
      </c>
      <c r="I1328" s="35">
        <f>IFERROR(__xludf.DUMMYFUNCTION("""COMPUTED_VALUE"""),0.774)</f>
        <v>0.774</v>
      </c>
      <c r="J1328" s="35">
        <f>IFERROR(__xludf.DUMMYFUNCTION("""COMPUTED_VALUE"""),1327.0)</f>
        <v>1327</v>
      </c>
      <c r="K1328" s="35" t="b">
        <f>IFERROR(__xludf.DUMMYFUNCTION("""COMPUTED_VALUE"""),TRUE)</f>
        <v>1</v>
      </c>
      <c r="L1328" s="35" t="str">
        <f>IFERROR(__xludf.DUMMYFUNCTION("""COMPUTED_VALUE"""),"Database;")</f>
        <v>Database;</v>
      </c>
      <c r="M1328" s="35" t="b">
        <f>IFERROR(__xludf.DUMMYFUNCTION("""COMPUTED_VALUE"""),FALSE)</f>
        <v>0</v>
      </c>
      <c r="N1328" s="35" t="b">
        <f>IFERROR(__xludf.DUMMYFUNCTION("""COMPUTED_VALUE"""),FALSE)</f>
        <v>0</v>
      </c>
      <c r="O1328" s="35">
        <f>IFERROR(__xludf.DUMMYFUNCTION("""COMPUTED_VALUE"""),77.3508242396099)</f>
        <v>77.35082424</v>
      </c>
      <c r="P1328" s="35">
        <f>IFERROR(__xludf.DUMMYFUNCTION("""COMPUTED_VALUE"""),26652.0)</f>
        <v>26652</v>
      </c>
      <c r="Q1328" s="35">
        <f>IFERROR(__xludf.DUMMYFUNCTION("""COMPUTED_VALUE"""),34456.0)</f>
        <v>34456</v>
      </c>
    </row>
    <row r="1329">
      <c r="A1329" s="35">
        <f>IFERROR(__xludf.DUMMYFUNCTION("""COMPUTED_VALUE"""),1252.0)</f>
        <v>1252</v>
      </c>
      <c r="B1329" s="35" t="str">
        <f>IFERROR(__xludf.DUMMYFUNCTION("""COMPUTED_VALUE"""),"Break a Palindrome")</f>
        <v>Break a Palindrome</v>
      </c>
      <c r="C1329" s="35" t="str">
        <f>IFERROR(__xludf.DUMMYFUNCTION("""COMPUTED_VALUE"""),"break-a-palindrome")</f>
        <v>break-a-palindrome</v>
      </c>
      <c r="D1329" s="35" t="b">
        <f>IFERROR(__xludf.DUMMYFUNCTION("""COMPUTED_VALUE"""),FALSE)</f>
        <v>0</v>
      </c>
      <c r="E1329" s="35" t="str">
        <f>IFERROR(__xludf.DUMMYFUNCTION("""COMPUTED_VALUE"""),"Medium")</f>
        <v>Medium</v>
      </c>
      <c r="F1329" s="35">
        <f>IFERROR(__xludf.DUMMYFUNCTION("""COMPUTED_VALUE"""),702.0)</f>
        <v>702</v>
      </c>
      <c r="G1329" s="35">
        <f>IFERROR(__xludf.DUMMYFUNCTION("""COMPUTED_VALUE"""),429.0)</f>
        <v>429</v>
      </c>
      <c r="H1329" s="35" t="str">
        <f>IFERROR(__xludf.DUMMYFUNCTION("""COMPUTED_VALUE"""),"Algorithms")</f>
        <v>Algorithms</v>
      </c>
      <c r="I1329" s="35">
        <f>IFERROR(__xludf.DUMMYFUNCTION("""COMPUTED_VALUE"""),0.524)</f>
        <v>0.524</v>
      </c>
      <c r="J1329" s="35">
        <f>IFERROR(__xludf.DUMMYFUNCTION("""COMPUTED_VALUE"""),1328.0)</f>
        <v>1328</v>
      </c>
      <c r="K1329" s="35" t="b">
        <f>IFERROR(__xludf.DUMMYFUNCTION("""COMPUTED_VALUE"""),FALSE)</f>
        <v>0</v>
      </c>
      <c r="L1329" s="35" t="str">
        <f>IFERROR(__xludf.DUMMYFUNCTION("""COMPUTED_VALUE"""),"String;Greedy;")</f>
        <v>String;Greedy;</v>
      </c>
      <c r="M1329" s="35" t="b">
        <f>IFERROR(__xludf.DUMMYFUNCTION("""COMPUTED_VALUE"""),TRUE)</f>
        <v>1</v>
      </c>
      <c r="N1329" s="35" t="b">
        <f>IFERROR(__xludf.DUMMYFUNCTION("""COMPUTED_VALUE"""),FALSE)</f>
        <v>0</v>
      </c>
      <c r="O1329" s="35">
        <f>IFERROR(__xludf.DUMMYFUNCTION("""COMPUTED_VALUE"""),52.4077791619389)</f>
        <v>52.40777916</v>
      </c>
      <c r="P1329" s="35">
        <f>IFERROR(__xludf.DUMMYFUNCTION("""COMPUTED_VALUE"""),66049.0)</f>
        <v>66049</v>
      </c>
      <c r="Q1329" s="35">
        <f>IFERROR(__xludf.DUMMYFUNCTION("""COMPUTED_VALUE"""),126029.0)</f>
        <v>126029</v>
      </c>
    </row>
    <row r="1330">
      <c r="A1330" s="35">
        <f>IFERROR(__xludf.DUMMYFUNCTION("""COMPUTED_VALUE"""),1253.0)</f>
        <v>1253</v>
      </c>
      <c r="B1330" s="35" t="str">
        <f>IFERROR(__xludf.DUMMYFUNCTION("""COMPUTED_VALUE"""),"Sort the Matrix Diagonally")</f>
        <v>Sort the Matrix Diagonally</v>
      </c>
      <c r="C1330" s="35" t="str">
        <f>IFERROR(__xludf.DUMMYFUNCTION("""COMPUTED_VALUE"""),"sort-the-matrix-diagonally")</f>
        <v>sort-the-matrix-diagonally</v>
      </c>
      <c r="D1330" s="35" t="b">
        <f>IFERROR(__xludf.DUMMYFUNCTION("""COMPUTED_VALUE"""),FALSE)</f>
        <v>0</v>
      </c>
      <c r="E1330" s="35" t="str">
        <f>IFERROR(__xludf.DUMMYFUNCTION("""COMPUTED_VALUE"""),"Medium")</f>
        <v>Medium</v>
      </c>
      <c r="F1330" s="35">
        <f>IFERROR(__xludf.DUMMYFUNCTION("""COMPUTED_VALUE"""),1533.0)</f>
        <v>1533</v>
      </c>
      <c r="G1330" s="35">
        <f>IFERROR(__xludf.DUMMYFUNCTION("""COMPUTED_VALUE"""),173.0)</f>
        <v>173</v>
      </c>
      <c r="H1330" s="35" t="str">
        <f>IFERROR(__xludf.DUMMYFUNCTION("""COMPUTED_VALUE"""),"Algorithms")</f>
        <v>Algorithms</v>
      </c>
      <c r="I1330" s="35">
        <f>IFERROR(__xludf.DUMMYFUNCTION("""COMPUTED_VALUE"""),0.814)</f>
        <v>0.814</v>
      </c>
      <c r="J1330" s="35">
        <f>IFERROR(__xludf.DUMMYFUNCTION("""COMPUTED_VALUE"""),1329.0)</f>
        <v>1329</v>
      </c>
      <c r="K1330" s="35" t="b">
        <f>IFERROR(__xludf.DUMMYFUNCTION("""COMPUTED_VALUE"""),FALSE)</f>
        <v>0</v>
      </c>
      <c r="L1330" s="35" t="str">
        <f>IFERROR(__xludf.DUMMYFUNCTION("""COMPUTED_VALUE"""),"Array;Sorting;Matrix;")</f>
        <v>Array;Sorting;Matrix;</v>
      </c>
      <c r="M1330" s="35" t="b">
        <f>IFERROR(__xludf.DUMMYFUNCTION("""COMPUTED_VALUE"""),TRUE)</f>
        <v>1</v>
      </c>
      <c r="N1330" s="35" t="b">
        <f>IFERROR(__xludf.DUMMYFUNCTION("""COMPUTED_VALUE"""),TRUE)</f>
        <v>1</v>
      </c>
      <c r="O1330" s="35">
        <f>IFERROR(__xludf.DUMMYFUNCTION("""COMPUTED_VALUE"""),81.3546323299393)</f>
        <v>81.35463233</v>
      </c>
      <c r="P1330" s="35">
        <f>IFERROR(__xludf.DUMMYFUNCTION("""COMPUTED_VALUE"""),80620.0)</f>
        <v>80620</v>
      </c>
      <c r="Q1330" s="35">
        <f>IFERROR(__xludf.DUMMYFUNCTION("""COMPUTED_VALUE"""),99097.0)</f>
        <v>99097</v>
      </c>
    </row>
    <row r="1331">
      <c r="A1331" s="35">
        <f>IFERROR(__xludf.DUMMYFUNCTION("""COMPUTED_VALUE"""),1255.0)</f>
        <v>1255</v>
      </c>
      <c r="B1331" s="35" t="str">
        <f>IFERROR(__xludf.DUMMYFUNCTION("""COMPUTED_VALUE"""),"Reverse Subarray To Maximize Array Value")</f>
        <v>Reverse Subarray To Maximize Array Value</v>
      </c>
      <c r="C1331" s="35" t="str">
        <f>IFERROR(__xludf.DUMMYFUNCTION("""COMPUTED_VALUE"""),"reverse-subarray-to-maximize-array-value")</f>
        <v>reverse-subarray-to-maximize-array-value</v>
      </c>
      <c r="D1331" s="35" t="b">
        <f>IFERROR(__xludf.DUMMYFUNCTION("""COMPUTED_VALUE"""),FALSE)</f>
        <v>0</v>
      </c>
      <c r="E1331" s="35" t="str">
        <f>IFERROR(__xludf.DUMMYFUNCTION("""COMPUTED_VALUE"""),"Hard")</f>
        <v>Hard</v>
      </c>
      <c r="F1331" s="35">
        <f>IFERROR(__xludf.DUMMYFUNCTION("""COMPUTED_VALUE"""),318.0)</f>
        <v>318</v>
      </c>
      <c r="G1331" s="35">
        <f>IFERROR(__xludf.DUMMYFUNCTION("""COMPUTED_VALUE"""),32.0)</f>
        <v>32</v>
      </c>
      <c r="H1331" s="35" t="str">
        <f>IFERROR(__xludf.DUMMYFUNCTION("""COMPUTED_VALUE"""),"Algorithms")</f>
        <v>Algorithms</v>
      </c>
      <c r="I1331" s="35">
        <f>IFERROR(__xludf.DUMMYFUNCTION("""COMPUTED_VALUE"""),0.388)</f>
        <v>0.388</v>
      </c>
      <c r="J1331" s="35">
        <f>IFERROR(__xludf.DUMMYFUNCTION("""COMPUTED_VALUE"""),1330.0)</f>
        <v>1330</v>
      </c>
      <c r="K1331" s="35" t="b">
        <f>IFERROR(__xludf.DUMMYFUNCTION("""COMPUTED_VALUE"""),FALSE)</f>
        <v>0</v>
      </c>
      <c r="L1331" s="35" t="str">
        <f>IFERROR(__xludf.DUMMYFUNCTION("""COMPUTED_VALUE"""),"Array;Math;Greedy;")</f>
        <v>Array;Math;Greedy;</v>
      </c>
      <c r="M1331" s="35" t="b">
        <f>IFERROR(__xludf.DUMMYFUNCTION("""COMPUTED_VALUE"""),FALSE)</f>
        <v>0</v>
      </c>
      <c r="N1331" s="35" t="b">
        <f>IFERROR(__xludf.DUMMYFUNCTION("""COMPUTED_VALUE"""),FALSE)</f>
        <v>0</v>
      </c>
      <c r="O1331" s="35">
        <f>IFERROR(__xludf.DUMMYFUNCTION("""COMPUTED_VALUE"""),38.7950566426364)</f>
        <v>38.79505664</v>
      </c>
      <c r="P1331" s="35">
        <f>IFERROR(__xludf.DUMMYFUNCTION("""COMPUTED_VALUE"""),3767.0)</f>
        <v>3767</v>
      </c>
      <c r="Q1331" s="35">
        <f>IFERROR(__xludf.DUMMYFUNCTION("""COMPUTED_VALUE"""),9710.0)</f>
        <v>9710</v>
      </c>
    </row>
    <row r="1332">
      <c r="A1332" s="35">
        <f>IFERROR(__xludf.DUMMYFUNCTION("""COMPUTED_VALUE"""),1256.0)</f>
        <v>1256</v>
      </c>
      <c r="B1332" s="35" t="str">
        <f>IFERROR(__xludf.DUMMYFUNCTION("""COMPUTED_VALUE"""),"Rank Transform of an Array")</f>
        <v>Rank Transform of an Array</v>
      </c>
      <c r="C1332" s="35" t="str">
        <f>IFERROR(__xludf.DUMMYFUNCTION("""COMPUTED_VALUE"""),"rank-transform-of-an-array")</f>
        <v>rank-transform-of-an-array</v>
      </c>
      <c r="D1332" s="35" t="b">
        <f>IFERROR(__xludf.DUMMYFUNCTION("""COMPUTED_VALUE"""),FALSE)</f>
        <v>0</v>
      </c>
      <c r="E1332" s="35" t="str">
        <f>IFERROR(__xludf.DUMMYFUNCTION("""COMPUTED_VALUE"""),"Easy")</f>
        <v>Easy</v>
      </c>
      <c r="F1332" s="35">
        <f>IFERROR(__xludf.DUMMYFUNCTION("""COMPUTED_VALUE"""),849.0)</f>
        <v>849</v>
      </c>
      <c r="G1332" s="35">
        <f>IFERROR(__xludf.DUMMYFUNCTION("""COMPUTED_VALUE"""),54.0)</f>
        <v>54</v>
      </c>
      <c r="H1332" s="35" t="str">
        <f>IFERROR(__xludf.DUMMYFUNCTION("""COMPUTED_VALUE"""),"Algorithms")</f>
        <v>Algorithms</v>
      </c>
      <c r="I1332" s="35">
        <f>IFERROR(__xludf.DUMMYFUNCTION("""COMPUTED_VALUE"""),0.584)</f>
        <v>0.584</v>
      </c>
      <c r="J1332" s="35">
        <f>IFERROR(__xludf.DUMMYFUNCTION("""COMPUTED_VALUE"""),1331.0)</f>
        <v>1331</v>
      </c>
      <c r="K1332" s="35" t="b">
        <f>IFERROR(__xludf.DUMMYFUNCTION("""COMPUTED_VALUE"""),FALSE)</f>
        <v>0</v>
      </c>
      <c r="L1332" s="35" t="str">
        <f>IFERROR(__xludf.DUMMYFUNCTION("""COMPUTED_VALUE"""),"Array;Hash Table;Sorting;")</f>
        <v>Array;Hash Table;Sorting;</v>
      </c>
      <c r="M1332" s="35" t="b">
        <f>IFERROR(__xludf.DUMMYFUNCTION("""COMPUTED_VALUE"""),FALSE)</f>
        <v>0</v>
      </c>
      <c r="N1332" s="35" t="b">
        <f>IFERROR(__xludf.DUMMYFUNCTION("""COMPUTED_VALUE"""),FALSE)</f>
        <v>0</v>
      </c>
      <c r="O1332" s="35">
        <f>IFERROR(__xludf.DUMMYFUNCTION("""COMPUTED_VALUE"""),58.3935460494063)</f>
        <v>58.39354605</v>
      </c>
      <c r="P1332" s="35">
        <f>IFERROR(__xludf.DUMMYFUNCTION("""COMPUTED_VALUE"""),54792.0)</f>
        <v>54792</v>
      </c>
      <c r="Q1332" s="35">
        <f>IFERROR(__xludf.DUMMYFUNCTION("""COMPUTED_VALUE"""),93831.0)</f>
        <v>93831</v>
      </c>
    </row>
    <row r="1333">
      <c r="A1333" s="35">
        <f>IFERROR(__xludf.DUMMYFUNCTION("""COMPUTED_VALUE"""),1454.0)</f>
        <v>1454</v>
      </c>
      <c r="B1333" s="35" t="str">
        <f>IFERROR(__xludf.DUMMYFUNCTION("""COMPUTED_VALUE"""),"Remove Palindromic Subsequences")</f>
        <v>Remove Palindromic Subsequences</v>
      </c>
      <c r="C1333" s="35" t="str">
        <f>IFERROR(__xludf.DUMMYFUNCTION("""COMPUTED_VALUE"""),"remove-palindromic-subsequences")</f>
        <v>remove-palindromic-subsequences</v>
      </c>
      <c r="D1333" s="35" t="b">
        <f>IFERROR(__xludf.DUMMYFUNCTION("""COMPUTED_VALUE"""),FALSE)</f>
        <v>0</v>
      </c>
      <c r="E1333" s="35" t="str">
        <f>IFERROR(__xludf.DUMMYFUNCTION("""COMPUTED_VALUE"""),"Easy")</f>
        <v>Easy</v>
      </c>
      <c r="F1333" s="35">
        <f>IFERROR(__xludf.DUMMYFUNCTION("""COMPUTED_VALUE"""),178.0)</f>
        <v>178</v>
      </c>
      <c r="G1333" s="35">
        <f>IFERROR(__xludf.DUMMYFUNCTION("""COMPUTED_VALUE"""),280.0)</f>
        <v>280</v>
      </c>
      <c r="H1333" s="35" t="str">
        <f>IFERROR(__xludf.DUMMYFUNCTION("""COMPUTED_VALUE"""),"Algorithms")</f>
        <v>Algorithms</v>
      </c>
      <c r="I1333" s="35">
        <f>IFERROR(__xludf.DUMMYFUNCTION("""COMPUTED_VALUE"""),0.695)</f>
        <v>0.695</v>
      </c>
      <c r="J1333" s="35">
        <f>IFERROR(__xludf.DUMMYFUNCTION("""COMPUTED_VALUE"""),1332.0)</f>
        <v>1332</v>
      </c>
      <c r="K1333" s="35" t="b">
        <f>IFERROR(__xludf.DUMMYFUNCTION("""COMPUTED_VALUE"""),FALSE)</f>
        <v>0</v>
      </c>
      <c r="L1333" s="35" t="str">
        <f>IFERROR(__xludf.DUMMYFUNCTION("""COMPUTED_VALUE"""),"Two Pointers;String;")</f>
        <v>Two Pointers;String;</v>
      </c>
      <c r="M1333" s="35" t="b">
        <f>IFERROR(__xludf.DUMMYFUNCTION("""COMPUTED_VALUE"""),TRUE)</f>
        <v>1</v>
      </c>
      <c r="N1333" s="35" t="b">
        <f>IFERROR(__xludf.DUMMYFUNCTION("""COMPUTED_VALUE"""),FALSE)</f>
        <v>0</v>
      </c>
      <c r="O1333" s="35">
        <f>IFERROR(__xludf.DUMMYFUNCTION("""COMPUTED_VALUE"""),69.4641382835126)</f>
        <v>69.46413828</v>
      </c>
      <c r="P1333" s="35">
        <f>IFERROR(__xludf.DUMMYFUNCTION("""COMPUTED_VALUE"""),53006.0)</f>
        <v>53006</v>
      </c>
      <c r="Q1333" s="35">
        <f>IFERROR(__xludf.DUMMYFUNCTION("""COMPUTED_VALUE"""),76307.0)</f>
        <v>76307</v>
      </c>
    </row>
    <row r="1334">
      <c r="A1334" s="35">
        <f>IFERROR(__xludf.DUMMYFUNCTION("""COMPUTED_VALUE"""),1455.0)</f>
        <v>1455</v>
      </c>
      <c r="B1334" s="35" t="str">
        <f>IFERROR(__xludf.DUMMYFUNCTION("""COMPUTED_VALUE"""),"Filter Restaurants by Vegan-Friendly, Price and Distance")</f>
        <v>Filter Restaurants by Vegan-Friendly, Price and Distance</v>
      </c>
      <c r="C1334" s="35" t="str">
        <f>IFERROR(__xludf.DUMMYFUNCTION("""COMPUTED_VALUE"""),"filter-restaurants-by-vegan-friendly-price-and-distance")</f>
        <v>filter-restaurants-by-vegan-friendly-price-and-distance</v>
      </c>
      <c r="D1334" s="35" t="b">
        <f>IFERROR(__xludf.DUMMYFUNCTION("""COMPUTED_VALUE"""),FALSE)</f>
        <v>0</v>
      </c>
      <c r="E1334" s="35" t="str">
        <f>IFERROR(__xludf.DUMMYFUNCTION("""COMPUTED_VALUE"""),"Medium")</f>
        <v>Medium</v>
      </c>
      <c r="F1334" s="35">
        <f>IFERROR(__xludf.DUMMYFUNCTION("""COMPUTED_VALUE"""),200.0)</f>
        <v>200</v>
      </c>
      <c r="G1334" s="35">
        <f>IFERROR(__xludf.DUMMYFUNCTION("""COMPUTED_VALUE"""),171.0)</f>
        <v>171</v>
      </c>
      <c r="H1334" s="35" t="str">
        <f>IFERROR(__xludf.DUMMYFUNCTION("""COMPUTED_VALUE"""),"Algorithms")</f>
        <v>Algorithms</v>
      </c>
      <c r="I1334" s="35">
        <f>IFERROR(__xludf.DUMMYFUNCTION("""COMPUTED_VALUE"""),0.586)</f>
        <v>0.586</v>
      </c>
      <c r="J1334" s="35">
        <f>IFERROR(__xludf.DUMMYFUNCTION("""COMPUTED_VALUE"""),1333.0)</f>
        <v>1333</v>
      </c>
      <c r="K1334" s="35" t="b">
        <f>IFERROR(__xludf.DUMMYFUNCTION("""COMPUTED_VALUE"""),FALSE)</f>
        <v>0</v>
      </c>
      <c r="L1334" s="35" t="str">
        <f>IFERROR(__xludf.DUMMYFUNCTION("""COMPUTED_VALUE"""),"Array;Sorting;")</f>
        <v>Array;Sorting;</v>
      </c>
      <c r="M1334" s="35" t="b">
        <f>IFERROR(__xludf.DUMMYFUNCTION("""COMPUTED_VALUE"""),FALSE)</f>
        <v>0</v>
      </c>
      <c r="N1334" s="35" t="b">
        <f>IFERROR(__xludf.DUMMYFUNCTION("""COMPUTED_VALUE"""),FALSE)</f>
        <v>0</v>
      </c>
      <c r="O1334" s="35">
        <f>IFERROR(__xludf.DUMMYFUNCTION("""COMPUTED_VALUE"""),58.6233544006844)</f>
        <v>58.6233544</v>
      </c>
      <c r="P1334" s="35">
        <f>IFERROR(__xludf.DUMMYFUNCTION("""COMPUTED_VALUE"""),21241.0)</f>
        <v>21241</v>
      </c>
      <c r="Q1334" s="35">
        <f>IFERROR(__xludf.DUMMYFUNCTION("""COMPUTED_VALUE"""),36233.0)</f>
        <v>36233</v>
      </c>
    </row>
    <row r="1335">
      <c r="A1335" s="35">
        <f>IFERROR(__xludf.DUMMYFUNCTION("""COMPUTED_VALUE"""),1456.0)</f>
        <v>1456</v>
      </c>
      <c r="B1335" s="35" t="str">
        <f>IFERROR(__xludf.DUMMYFUNCTION("""COMPUTED_VALUE"""),"Find the City With the Smallest Number of Neighbors at a Threshold Distance")</f>
        <v>Find the City With the Smallest Number of Neighbors at a Threshold Distance</v>
      </c>
      <c r="C1335" s="35" t="str">
        <f>IFERROR(__xludf.DUMMYFUNCTION("""COMPUTED_VALUE"""),"find-the-city-with-the-smallest-number-of-neighbors-at-a-threshold-distance")</f>
        <v>find-the-city-with-the-smallest-number-of-neighbors-at-a-threshold-distance</v>
      </c>
      <c r="D1335" s="35" t="b">
        <f>IFERROR(__xludf.DUMMYFUNCTION("""COMPUTED_VALUE"""),FALSE)</f>
        <v>0</v>
      </c>
      <c r="E1335" s="35" t="str">
        <f>IFERROR(__xludf.DUMMYFUNCTION("""COMPUTED_VALUE"""),"Medium")</f>
        <v>Medium</v>
      </c>
      <c r="F1335" s="35">
        <f>IFERROR(__xludf.DUMMYFUNCTION("""COMPUTED_VALUE"""),1058.0)</f>
        <v>1058</v>
      </c>
      <c r="G1335" s="35">
        <f>IFERROR(__xludf.DUMMYFUNCTION("""COMPUTED_VALUE"""),56.0)</f>
        <v>56</v>
      </c>
      <c r="H1335" s="35" t="str">
        <f>IFERROR(__xludf.DUMMYFUNCTION("""COMPUTED_VALUE"""),"Algorithms")</f>
        <v>Algorithms</v>
      </c>
      <c r="I1335" s="35">
        <f>IFERROR(__xludf.DUMMYFUNCTION("""COMPUTED_VALUE"""),0.508)</f>
        <v>0.508</v>
      </c>
      <c r="J1335" s="35">
        <f>IFERROR(__xludf.DUMMYFUNCTION("""COMPUTED_VALUE"""),1334.0)</f>
        <v>1334</v>
      </c>
      <c r="K1335" s="35" t="b">
        <f>IFERROR(__xludf.DUMMYFUNCTION("""COMPUTED_VALUE"""),FALSE)</f>
        <v>0</v>
      </c>
      <c r="L1335" s="35" t="str">
        <f>IFERROR(__xludf.DUMMYFUNCTION("""COMPUTED_VALUE"""),"Dynamic Programming;Graph;Shortest Path;")</f>
        <v>Dynamic Programming;Graph;Shortest Path;</v>
      </c>
      <c r="M1335" s="35" t="b">
        <f>IFERROR(__xludf.DUMMYFUNCTION("""COMPUTED_VALUE"""),FALSE)</f>
        <v>0</v>
      </c>
      <c r="N1335" s="35" t="b">
        <f>IFERROR(__xludf.DUMMYFUNCTION("""COMPUTED_VALUE"""),FALSE)</f>
        <v>0</v>
      </c>
      <c r="O1335" s="35">
        <f>IFERROR(__xludf.DUMMYFUNCTION("""COMPUTED_VALUE"""),50.8430537123699)</f>
        <v>50.84305371</v>
      </c>
      <c r="P1335" s="35">
        <f>IFERROR(__xludf.DUMMYFUNCTION("""COMPUTED_VALUE"""),36396.0)</f>
        <v>36396</v>
      </c>
      <c r="Q1335" s="35">
        <f>IFERROR(__xludf.DUMMYFUNCTION("""COMPUTED_VALUE"""),71585.0)</f>
        <v>71585</v>
      </c>
    </row>
    <row r="1336">
      <c r="A1336" s="35">
        <f>IFERROR(__xludf.DUMMYFUNCTION("""COMPUTED_VALUE"""),1457.0)</f>
        <v>1457</v>
      </c>
      <c r="B1336" s="35" t="str">
        <f>IFERROR(__xludf.DUMMYFUNCTION("""COMPUTED_VALUE"""),"Minimum Difficulty of a Job Schedule")</f>
        <v>Minimum Difficulty of a Job Schedule</v>
      </c>
      <c r="C1336" s="35" t="str">
        <f>IFERROR(__xludf.DUMMYFUNCTION("""COMPUTED_VALUE"""),"minimum-difficulty-of-a-job-schedule")</f>
        <v>minimum-difficulty-of-a-job-schedule</v>
      </c>
      <c r="D1336" s="35" t="b">
        <f>IFERROR(__xludf.DUMMYFUNCTION("""COMPUTED_VALUE"""),FALSE)</f>
        <v>0</v>
      </c>
      <c r="E1336" s="35" t="str">
        <f>IFERROR(__xludf.DUMMYFUNCTION("""COMPUTED_VALUE"""),"Hard")</f>
        <v>Hard</v>
      </c>
      <c r="F1336" s="35">
        <f>IFERROR(__xludf.DUMMYFUNCTION("""COMPUTED_VALUE"""),1171.0)</f>
        <v>1171</v>
      </c>
      <c r="G1336" s="35">
        <f>IFERROR(__xludf.DUMMYFUNCTION("""COMPUTED_VALUE"""),136.0)</f>
        <v>136</v>
      </c>
      <c r="H1336" s="35" t="str">
        <f>IFERROR(__xludf.DUMMYFUNCTION("""COMPUTED_VALUE"""),"Algorithms")</f>
        <v>Algorithms</v>
      </c>
      <c r="I1336" s="35">
        <f>IFERROR(__xludf.DUMMYFUNCTION("""COMPUTED_VALUE"""),0.568)</f>
        <v>0.568</v>
      </c>
      <c r="J1336" s="35">
        <f>IFERROR(__xludf.DUMMYFUNCTION("""COMPUTED_VALUE"""),1335.0)</f>
        <v>1335</v>
      </c>
      <c r="K1336" s="35" t="b">
        <f>IFERROR(__xludf.DUMMYFUNCTION("""COMPUTED_VALUE"""),FALSE)</f>
        <v>0</v>
      </c>
      <c r="L1336" s="35" t="str">
        <f>IFERROR(__xludf.DUMMYFUNCTION("""COMPUTED_VALUE"""),"Array;Dynamic Programming;")</f>
        <v>Array;Dynamic Programming;</v>
      </c>
      <c r="M1336" s="35" t="b">
        <f>IFERROR(__xludf.DUMMYFUNCTION("""COMPUTED_VALUE"""),FALSE)</f>
        <v>0</v>
      </c>
      <c r="N1336" s="35" t="b">
        <f>IFERROR(__xludf.DUMMYFUNCTION("""COMPUTED_VALUE"""),FALSE)</f>
        <v>0</v>
      </c>
      <c r="O1336" s="35">
        <f>IFERROR(__xludf.DUMMYFUNCTION("""COMPUTED_VALUE"""),56.7655783753511)</f>
        <v>56.76557838</v>
      </c>
      <c r="P1336" s="35">
        <f>IFERROR(__xludf.DUMMYFUNCTION("""COMPUTED_VALUE"""),64870.0)</f>
        <v>64870</v>
      </c>
      <c r="Q1336" s="35">
        <f>IFERROR(__xludf.DUMMYFUNCTION("""COMPUTED_VALUE"""),114274.0)</f>
        <v>114274</v>
      </c>
    </row>
    <row r="1337">
      <c r="A1337" s="35">
        <f>IFERROR(__xludf.DUMMYFUNCTION("""COMPUTED_VALUE"""),1467.0)</f>
        <v>1467</v>
      </c>
      <c r="B1337" s="35" t="str">
        <f>IFERROR(__xludf.DUMMYFUNCTION("""COMPUTED_VALUE"""),"Number of Transactions per Visit")</f>
        <v>Number of Transactions per Visit</v>
      </c>
      <c r="C1337" s="35" t="str">
        <f>IFERROR(__xludf.DUMMYFUNCTION("""COMPUTED_VALUE"""),"number-of-transactions-per-visit")</f>
        <v>number-of-transactions-per-visit</v>
      </c>
      <c r="D1337" s="35" t="b">
        <f>IFERROR(__xludf.DUMMYFUNCTION("""COMPUTED_VALUE"""),TRUE)</f>
        <v>1</v>
      </c>
      <c r="E1337" s="35" t="str">
        <f>IFERROR(__xludf.DUMMYFUNCTION("""COMPUTED_VALUE"""),"Hard")</f>
        <v>Hard</v>
      </c>
      <c r="F1337" s="35">
        <f>IFERROR(__xludf.DUMMYFUNCTION("""COMPUTED_VALUE"""),57.0)</f>
        <v>57</v>
      </c>
      <c r="G1337" s="35">
        <f>IFERROR(__xludf.DUMMYFUNCTION("""COMPUTED_VALUE"""),235.0)</f>
        <v>235</v>
      </c>
      <c r="H1337" s="35" t="str">
        <f>IFERROR(__xludf.DUMMYFUNCTION("""COMPUTED_VALUE"""),"Database")</f>
        <v>Database</v>
      </c>
      <c r="I1337" s="35">
        <f>IFERROR(__xludf.DUMMYFUNCTION("""COMPUTED_VALUE"""),0.513)</f>
        <v>0.513</v>
      </c>
      <c r="J1337" s="35">
        <f>IFERROR(__xludf.DUMMYFUNCTION("""COMPUTED_VALUE"""),1336.0)</f>
        <v>1336</v>
      </c>
      <c r="K1337" s="35" t="b">
        <f>IFERROR(__xludf.DUMMYFUNCTION("""COMPUTED_VALUE"""),TRUE)</f>
        <v>1</v>
      </c>
      <c r="L1337" s="35" t="str">
        <f>IFERROR(__xludf.DUMMYFUNCTION("""COMPUTED_VALUE"""),"Database;")</f>
        <v>Database;</v>
      </c>
      <c r="M1337" s="35" t="b">
        <f>IFERROR(__xludf.DUMMYFUNCTION("""COMPUTED_VALUE"""),FALSE)</f>
        <v>0</v>
      </c>
      <c r="N1337" s="35" t="b">
        <f>IFERROR(__xludf.DUMMYFUNCTION("""COMPUTED_VALUE"""),FALSE)</f>
        <v>0</v>
      </c>
      <c r="O1337" s="35">
        <f>IFERROR(__xludf.DUMMYFUNCTION("""COMPUTED_VALUE"""),51.2512147716229)</f>
        <v>51.25121477</v>
      </c>
      <c r="P1337" s="35">
        <f>IFERROR(__xludf.DUMMYFUNCTION("""COMPUTED_VALUE"""),8438.0)</f>
        <v>8438</v>
      </c>
      <c r="Q1337" s="35">
        <f>IFERROR(__xludf.DUMMYFUNCTION("""COMPUTED_VALUE"""),16464.0)</f>
        <v>16464</v>
      </c>
    </row>
    <row r="1338">
      <c r="A1338" s="35">
        <f>IFERROR(__xludf.DUMMYFUNCTION("""COMPUTED_VALUE"""),1463.0)</f>
        <v>1463</v>
      </c>
      <c r="B1338" s="35" t="str">
        <f>IFERROR(__xludf.DUMMYFUNCTION("""COMPUTED_VALUE"""),"The K Weakest Rows in a Matrix")</f>
        <v>The K Weakest Rows in a Matrix</v>
      </c>
      <c r="C1338" s="35" t="str">
        <f>IFERROR(__xludf.DUMMYFUNCTION("""COMPUTED_VALUE"""),"the-k-weakest-rows-in-a-matrix")</f>
        <v>the-k-weakest-rows-in-a-matrix</v>
      </c>
      <c r="D1338" s="35" t="b">
        <f>IFERROR(__xludf.DUMMYFUNCTION("""COMPUTED_VALUE"""),FALSE)</f>
        <v>0</v>
      </c>
      <c r="E1338" s="35" t="str">
        <f>IFERROR(__xludf.DUMMYFUNCTION("""COMPUTED_VALUE"""),"Easy")</f>
        <v>Easy</v>
      </c>
      <c r="F1338" s="35">
        <f>IFERROR(__xludf.DUMMYFUNCTION("""COMPUTED_VALUE"""),1481.0)</f>
        <v>1481</v>
      </c>
      <c r="G1338" s="35">
        <f>IFERROR(__xludf.DUMMYFUNCTION("""COMPUTED_VALUE"""),88.0)</f>
        <v>88</v>
      </c>
      <c r="H1338" s="35" t="str">
        <f>IFERROR(__xludf.DUMMYFUNCTION("""COMPUTED_VALUE"""),"Algorithms")</f>
        <v>Algorithms</v>
      </c>
      <c r="I1338" s="35">
        <f>IFERROR(__xludf.DUMMYFUNCTION("""COMPUTED_VALUE"""),0.722)</f>
        <v>0.722</v>
      </c>
      <c r="J1338" s="35">
        <f>IFERROR(__xludf.DUMMYFUNCTION("""COMPUTED_VALUE"""),1337.0)</f>
        <v>1337</v>
      </c>
      <c r="K1338" s="35" t="b">
        <f>IFERROR(__xludf.DUMMYFUNCTION("""COMPUTED_VALUE"""),FALSE)</f>
        <v>0</v>
      </c>
      <c r="L1338" s="35" t="str">
        <f>IFERROR(__xludf.DUMMYFUNCTION("""COMPUTED_VALUE"""),"Array;Binary Search;Sorting;Heap (Priority Queue);Matrix;")</f>
        <v>Array;Binary Search;Sorting;Heap (Priority Queue);Matrix;</v>
      </c>
      <c r="M1338" s="35" t="b">
        <f>IFERROR(__xludf.DUMMYFUNCTION("""COMPUTED_VALUE"""),TRUE)</f>
        <v>1</v>
      </c>
      <c r="N1338" s="35" t="b">
        <f>IFERROR(__xludf.DUMMYFUNCTION("""COMPUTED_VALUE"""),FALSE)</f>
        <v>0</v>
      </c>
      <c r="O1338" s="35">
        <f>IFERROR(__xludf.DUMMYFUNCTION("""COMPUTED_VALUE"""),72.2226046255506)</f>
        <v>72.22260463</v>
      </c>
      <c r="P1338" s="35">
        <f>IFERROR(__xludf.DUMMYFUNCTION("""COMPUTED_VALUE"""),104923.0)</f>
        <v>104923</v>
      </c>
      <c r="Q1338" s="35">
        <f>IFERROR(__xludf.DUMMYFUNCTION("""COMPUTED_VALUE"""),145278.0)</f>
        <v>145278</v>
      </c>
    </row>
    <row r="1339">
      <c r="A1339" s="35">
        <f>IFERROR(__xludf.DUMMYFUNCTION("""COMPUTED_VALUE"""),1464.0)</f>
        <v>1464</v>
      </c>
      <c r="B1339" s="35" t="str">
        <f>IFERROR(__xludf.DUMMYFUNCTION("""COMPUTED_VALUE"""),"Reduce Array Size to The Half")</f>
        <v>Reduce Array Size to The Half</v>
      </c>
      <c r="C1339" s="35" t="str">
        <f>IFERROR(__xludf.DUMMYFUNCTION("""COMPUTED_VALUE"""),"reduce-array-size-to-the-half")</f>
        <v>reduce-array-size-to-the-half</v>
      </c>
      <c r="D1339" s="35" t="b">
        <f>IFERROR(__xludf.DUMMYFUNCTION("""COMPUTED_VALUE"""),FALSE)</f>
        <v>0</v>
      </c>
      <c r="E1339" s="35" t="str">
        <f>IFERROR(__xludf.DUMMYFUNCTION("""COMPUTED_VALUE"""),"Medium")</f>
        <v>Medium</v>
      </c>
      <c r="F1339" s="35">
        <f>IFERROR(__xludf.DUMMYFUNCTION("""COMPUTED_VALUE"""),1180.0)</f>
        <v>1180</v>
      </c>
      <c r="G1339" s="35">
        <f>IFERROR(__xludf.DUMMYFUNCTION("""COMPUTED_VALUE"""),81.0)</f>
        <v>81</v>
      </c>
      <c r="H1339" s="35" t="str">
        <f>IFERROR(__xludf.DUMMYFUNCTION("""COMPUTED_VALUE"""),"Algorithms")</f>
        <v>Algorithms</v>
      </c>
      <c r="I1339" s="35">
        <f>IFERROR(__xludf.DUMMYFUNCTION("""COMPUTED_VALUE"""),0.685)</f>
        <v>0.685</v>
      </c>
      <c r="J1339" s="35">
        <f>IFERROR(__xludf.DUMMYFUNCTION("""COMPUTED_VALUE"""),1338.0)</f>
        <v>1338</v>
      </c>
      <c r="K1339" s="35" t="b">
        <f>IFERROR(__xludf.DUMMYFUNCTION("""COMPUTED_VALUE"""),FALSE)</f>
        <v>0</v>
      </c>
      <c r="L1339" s="35" t="str">
        <f>IFERROR(__xludf.DUMMYFUNCTION("""COMPUTED_VALUE"""),"Array;Hash Table;Greedy;Sorting;Heap (Priority Queue);")</f>
        <v>Array;Hash Table;Greedy;Sorting;Heap (Priority Queue);</v>
      </c>
      <c r="M1339" s="35" t="b">
        <f>IFERROR(__xludf.DUMMYFUNCTION("""COMPUTED_VALUE"""),TRUE)</f>
        <v>1</v>
      </c>
      <c r="N1339" s="35" t="b">
        <f>IFERROR(__xludf.DUMMYFUNCTION("""COMPUTED_VALUE"""),FALSE)</f>
        <v>0</v>
      </c>
      <c r="O1339" s="35">
        <f>IFERROR(__xludf.DUMMYFUNCTION("""COMPUTED_VALUE"""),68.4538768648875)</f>
        <v>68.45387686</v>
      </c>
      <c r="P1339" s="35">
        <f>IFERROR(__xludf.DUMMYFUNCTION("""COMPUTED_VALUE"""),81443.0)</f>
        <v>81443</v>
      </c>
      <c r="Q1339" s="35">
        <f>IFERROR(__xludf.DUMMYFUNCTION("""COMPUTED_VALUE"""),118975.0)</f>
        <v>118975</v>
      </c>
    </row>
    <row r="1340">
      <c r="A1340" s="35">
        <f>IFERROR(__xludf.DUMMYFUNCTION("""COMPUTED_VALUE"""),1465.0)</f>
        <v>1465</v>
      </c>
      <c r="B1340" s="35" t="str">
        <f>IFERROR(__xludf.DUMMYFUNCTION("""COMPUTED_VALUE"""),"Maximum Product of Splitted Binary Tree")</f>
        <v>Maximum Product of Splitted Binary Tree</v>
      </c>
      <c r="C1340" s="35" t="str">
        <f>IFERROR(__xludf.DUMMYFUNCTION("""COMPUTED_VALUE"""),"maximum-product-of-splitted-binary-tree")</f>
        <v>maximum-product-of-splitted-binary-tree</v>
      </c>
      <c r="D1340" s="35" t="b">
        <f>IFERROR(__xludf.DUMMYFUNCTION("""COMPUTED_VALUE"""),FALSE)</f>
        <v>0</v>
      </c>
      <c r="E1340" s="35" t="str">
        <f>IFERROR(__xludf.DUMMYFUNCTION("""COMPUTED_VALUE"""),"Medium")</f>
        <v>Medium</v>
      </c>
      <c r="F1340" s="35">
        <f>IFERROR(__xludf.DUMMYFUNCTION("""COMPUTED_VALUE"""),1182.0)</f>
        <v>1182</v>
      </c>
      <c r="G1340" s="35">
        <f>IFERROR(__xludf.DUMMYFUNCTION("""COMPUTED_VALUE"""),52.0)</f>
        <v>52</v>
      </c>
      <c r="H1340" s="35" t="str">
        <f>IFERROR(__xludf.DUMMYFUNCTION("""COMPUTED_VALUE"""),"Algorithms")</f>
        <v>Algorithms</v>
      </c>
      <c r="I1340" s="35">
        <f>IFERROR(__xludf.DUMMYFUNCTION("""COMPUTED_VALUE"""),0.428)</f>
        <v>0.428</v>
      </c>
      <c r="J1340" s="35">
        <f>IFERROR(__xludf.DUMMYFUNCTION("""COMPUTED_VALUE"""),1339.0)</f>
        <v>1339</v>
      </c>
      <c r="K1340" s="35" t="b">
        <f>IFERROR(__xludf.DUMMYFUNCTION("""COMPUTED_VALUE"""),FALSE)</f>
        <v>0</v>
      </c>
      <c r="L1340" s="35" t="str">
        <f>IFERROR(__xludf.DUMMYFUNCTION("""COMPUTED_VALUE"""),"Tree;Depth-First Search;Binary Tree;")</f>
        <v>Tree;Depth-First Search;Binary Tree;</v>
      </c>
      <c r="M1340" s="35" t="b">
        <f>IFERROR(__xludf.DUMMYFUNCTION("""COMPUTED_VALUE"""),TRUE)</f>
        <v>1</v>
      </c>
      <c r="N1340" s="35" t="b">
        <f>IFERROR(__xludf.DUMMYFUNCTION("""COMPUTED_VALUE"""),FALSE)</f>
        <v>0</v>
      </c>
      <c r="O1340" s="35">
        <f>IFERROR(__xludf.DUMMYFUNCTION("""COMPUTED_VALUE"""),42.837918192345)</f>
        <v>42.83791819</v>
      </c>
      <c r="P1340" s="35">
        <f>IFERROR(__xludf.DUMMYFUNCTION("""COMPUTED_VALUE"""),54751.0)</f>
        <v>54751</v>
      </c>
      <c r="Q1340" s="35">
        <f>IFERROR(__xludf.DUMMYFUNCTION("""COMPUTED_VALUE"""),127811.0)</f>
        <v>127811</v>
      </c>
    </row>
    <row r="1341">
      <c r="A1341" s="35">
        <f>IFERROR(__xludf.DUMMYFUNCTION("""COMPUTED_VALUE"""),1466.0)</f>
        <v>1466</v>
      </c>
      <c r="B1341" s="35" t="str">
        <f>IFERROR(__xludf.DUMMYFUNCTION("""COMPUTED_VALUE"""),"Jump Game V")</f>
        <v>Jump Game V</v>
      </c>
      <c r="C1341" s="35" t="str">
        <f>IFERROR(__xludf.DUMMYFUNCTION("""COMPUTED_VALUE"""),"jump-game-v")</f>
        <v>jump-game-v</v>
      </c>
      <c r="D1341" s="35" t="b">
        <f>IFERROR(__xludf.DUMMYFUNCTION("""COMPUTED_VALUE"""),FALSE)</f>
        <v>0</v>
      </c>
      <c r="E1341" s="35" t="str">
        <f>IFERROR(__xludf.DUMMYFUNCTION("""COMPUTED_VALUE"""),"Hard")</f>
        <v>Hard</v>
      </c>
      <c r="F1341" s="35">
        <f>IFERROR(__xludf.DUMMYFUNCTION("""COMPUTED_VALUE"""),615.0)</f>
        <v>615</v>
      </c>
      <c r="G1341" s="35">
        <f>IFERROR(__xludf.DUMMYFUNCTION("""COMPUTED_VALUE"""),22.0)</f>
        <v>22</v>
      </c>
      <c r="H1341" s="35" t="str">
        <f>IFERROR(__xludf.DUMMYFUNCTION("""COMPUTED_VALUE"""),"Algorithms")</f>
        <v>Algorithms</v>
      </c>
      <c r="I1341" s="35">
        <f>IFERROR(__xludf.DUMMYFUNCTION("""COMPUTED_VALUE"""),0.62)</f>
        <v>0.62</v>
      </c>
      <c r="J1341" s="35">
        <f>IFERROR(__xludf.DUMMYFUNCTION("""COMPUTED_VALUE"""),1340.0)</f>
        <v>1340</v>
      </c>
      <c r="K1341" s="35" t="b">
        <f>IFERROR(__xludf.DUMMYFUNCTION("""COMPUTED_VALUE"""),FALSE)</f>
        <v>0</v>
      </c>
      <c r="L1341" s="35" t="str">
        <f>IFERROR(__xludf.DUMMYFUNCTION("""COMPUTED_VALUE"""),"Array;Dynamic Programming;Sorting;")</f>
        <v>Array;Dynamic Programming;Sorting;</v>
      </c>
      <c r="M1341" s="35" t="b">
        <f>IFERROR(__xludf.DUMMYFUNCTION("""COMPUTED_VALUE"""),FALSE)</f>
        <v>0</v>
      </c>
      <c r="N1341" s="35" t="b">
        <f>IFERROR(__xludf.DUMMYFUNCTION("""COMPUTED_VALUE"""),FALSE)</f>
        <v>0</v>
      </c>
      <c r="O1341" s="35">
        <f>IFERROR(__xludf.DUMMYFUNCTION("""COMPUTED_VALUE"""),61.9549443715016)</f>
        <v>61.95494437</v>
      </c>
      <c r="P1341" s="35">
        <f>IFERROR(__xludf.DUMMYFUNCTION("""COMPUTED_VALUE"""),17928.0)</f>
        <v>17928</v>
      </c>
      <c r="Q1341" s="35">
        <f>IFERROR(__xludf.DUMMYFUNCTION("""COMPUTED_VALUE"""),28939.0)</f>
        <v>28939</v>
      </c>
    </row>
    <row r="1342">
      <c r="A1342" s="35">
        <f>IFERROR(__xludf.DUMMYFUNCTION("""COMPUTED_VALUE"""),1480.0)</f>
        <v>1480</v>
      </c>
      <c r="B1342" s="35" t="str">
        <f>IFERROR(__xludf.DUMMYFUNCTION("""COMPUTED_VALUE"""),"Movie Rating")</f>
        <v>Movie Rating</v>
      </c>
      <c r="C1342" s="35" t="str">
        <f>IFERROR(__xludf.DUMMYFUNCTION("""COMPUTED_VALUE"""),"movie-rating")</f>
        <v>movie-rating</v>
      </c>
      <c r="D1342" s="35" t="b">
        <f>IFERROR(__xludf.DUMMYFUNCTION("""COMPUTED_VALUE"""),TRUE)</f>
        <v>1</v>
      </c>
      <c r="E1342" s="35" t="str">
        <f>IFERROR(__xludf.DUMMYFUNCTION("""COMPUTED_VALUE"""),"Medium")</f>
        <v>Medium</v>
      </c>
      <c r="F1342" s="35">
        <f>IFERROR(__xludf.DUMMYFUNCTION("""COMPUTED_VALUE"""),86.0)</f>
        <v>86</v>
      </c>
      <c r="G1342" s="35">
        <f>IFERROR(__xludf.DUMMYFUNCTION("""COMPUTED_VALUE"""),59.0)</f>
        <v>59</v>
      </c>
      <c r="H1342" s="35" t="str">
        <f>IFERROR(__xludf.DUMMYFUNCTION("""COMPUTED_VALUE"""),"Database")</f>
        <v>Database</v>
      </c>
      <c r="I1342" s="35">
        <f>IFERROR(__xludf.DUMMYFUNCTION("""COMPUTED_VALUE"""),0.58)</f>
        <v>0.58</v>
      </c>
      <c r="J1342" s="35">
        <f>IFERROR(__xludf.DUMMYFUNCTION("""COMPUTED_VALUE"""),1341.0)</f>
        <v>1341</v>
      </c>
      <c r="K1342" s="35" t="b">
        <f>IFERROR(__xludf.DUMMYFUNCTION("""COMPUTED_VALUE"""),TRUE)</f>
        <v>1</v>
      </c>
      <c r="L1342" s="35" t="str">
        <f>IFERROR(__xludf.DUMMYFUNCTION("""COMPUTED_VALUE"""),"Database;")</f>
        <v>Database;</v>
      </c>
      <c r="M1342" s="35" t="b">
        <f>IFERROR(__xludf.DUMMYFUNCTION("""COMPUTED_VALUE"""),FALSE)</f>
        <v>0</v>
      </c>
      <c r="N1342" s="35" t="b">
        <f>IFERROR(__xludf.DUMMYFUNCTION("""COMPUTED_VALUE"""),FALSE)</f>
        <v>0</v>
      </c>
      <c r="O1342" s="35">
        <f>IFERROR(__xludf.DUMMYFUNCTION("""COMPUTED_VALUE"""),57.9639866808909)</f>
        <v>57.96398668</v>
      </c>
      <c r="P1342" s="35">
        <f>IFERROR(__xludf.DUMMYFUNCTION("""COMPUTED_VALUE"""),17930.0)</f>
        <v>17930</v>
      </c>
      <c r="Q1342" s="35">
        <f>IFERROR(__xludf.DUMMYFUNCTION("""COMPUTED_VALUE"""),30933.0)</f>
        <v>30933</v>
      </c>
    </row>
    <row r="1343">
      <c r="A1343" s="35">
        <f>IFERROR(__xludf.DUMMYFUNCTION("""COMPUTED_VALUE"""),1444.0)</f>
        <v>1444</v>
      </c>
      <c r="B1343" s="35" t="str">
        <f>IFERROR(__xludf.DUMMYFUNCTION("""COMPUTED_VALUE"""),"Number of Steps to Reduce a Number to Zero")</f>
        <v>Number of Steps to Reduce a Number to Zero</v>
      </c>
      <c r="C1343" s="35" t="str">
        <f>IFERROR(__xludf.DUMMYFUNCTION("""COMPUTED_VALUE"""),"number-of-steps-to-reduce-a-number-to-zero")</f>
        <v>number-of-steps-to-reduce-a-number-to-zero</v>
      </c>
      <c r="D1343" s="35" t="b">
        <f>IFERROR(__xludf.DUMMYFUNCTION("""COMPUTED_VALUE"""),FALSE)</f>
        <v>0</v>
      </c>
      <c r="E1343" s="35" t="str">
        <f>IFERROR(__xludf.DUMMYFUNCTION("""COMPUTED_VALUE"""),"Easy")</f>
        <v>Easy</v>
      </c>
      <c r="F1343" s="35">
        <f>IFERROR(__xludf.DUMMYFUNCTION("""COMPUTED_VALUE"""),1515.0)</f>
        <v>1515</v>
      </c>
      <c r="G1343" s="35">
        <f>IFERROR(__xludf.DUMMYFUNCTION("""COMPUTED_VALUE"""),103.0)</f>
        <v>103</v>
      </c>
      <c r="H1343" s="35" t="str">
        <f>IFERROR(__xludf.DUMMYFUNCTION("""COMPUTED_VALUE"""),"Algorithms")</f>
        <v>Algorithms</v>
      </c>
      <c r="I1343" s="35">
        <f>IFERROR(__xludf.DUMMYFUNCTION("""COMPUTED_VALUE"""),0.857)</f>
        <v>0.857</v>
      </c>
      <c r="J1343" s="35">
        <f>IFERROR(__xludf.DUMMYFUNCTION("""COMPUTED_VALUE"""),1342.0)</f>
        <v>1342</v>
      </c>
      <c r="K1343" s="35" t="b">
        <f>IFERROR(__xludf.DUMMYFUNCTION("""COMPUTED_VALUE"""),FALSE)</f>
        <v>0</v>
      </c>
      <c r="L1343" s="35" t="str">
        <f>IFERROR(__xludf.DUMMYFUNCTION("""COMPUTED_VALUE"""),"Math;Bit Manipulation;")</f>
        <v>Math;Bit Manipulation;</v>
      </c>
      <c r="M1343" s="35" t="b">
        <f>IFERROR(__xludf.DUMMYFUNCTION("""COMPUTED_VALUE"""),TRUE)</f>
        <v>1</v>
      </c>
      <c r="N1343" s="35" t="b">
        <f>IFERROR(__xludf.DUMMYFUNCTION("""COMPUTED_VALUE"""),FALSE)</f>
        <v>0</v>
      </c>
      <c r="O1343" s="35">
        <f>IFERROR(__xludf.DUMMYFUNCTION("""COMPUTED_VALUE"""),85.7087275621186)</f>
        <v>85.70872756</v>
      </c>
      <c r="P1343" s="35">
        <f>IFERROR(__xludf.DUMMYFUNCTION("""COMPUTED_VALUE"""),242318.0)</f>
        <v>242318</v>
      </c>
      <c r="Q1343" s="35">
        <f>IFERROR(__xludf.DUMMYFUNCTION("""COMPUTED_VALUE"""),282722.0)</f>
        <v>282722</v>
      </c>
    </row>
    <row r="1344">
      <c r="A1344" s="35">
        <f>IFERROR(__xludf.DUMMYFUNCTION("""COMPUTED_VALUE"""),1445.0)</f>
        <v>1445</v>
      </c>
      <c r="B1344" s="35" t="str">
        <f>IFERROR(__xludf.DUMMYFUNCTION("""COMPUTED_VALUE"""),"Number of Sub-arrays of Size K and Average Greater than or Equal to Threshold")</f>
        <v>Number of Sub-arrays of Size K and Average Greater than or Equal to Threshold</v>
      </c>
      <c r="C1344" s="35" t="str">
        <f>IFERROR(__xludf.DUMMYFUNCTION("""COMPUTED_VALUE"""),"number-of-sub-arrays-of-size-k-and-average-greater-than-or-equal-to-threshold")</f>
        <v>number-of-sub-arrays-of-size-k-and-average-greater-than-or-equal-to-threshold</v>
      </c>
      <c r="D1344" s="35" t="b">
        <f>IFERROR(__xludf.DUMMYFUNCTION("""COMPUTED_VALUE"""),FALSE)</f>
        <v>0</v>
      </c>
      <c r="E1344" s="35" t="str">
        <f>IFERROR(__xludf.DUMMYFUNCTION("""COMPUTED_VALUE"""),"Medium")</f>
        <v>Medium</v>
      </c>
      <c r="F1344" s="35">
        <f>IFERROR(__xludf.DUMMYFUNCTION("""COMPUTED_VALUE"""),540.0)</f>
        <v>540</v>
      </c>
      <c r="G1344" s="35">
        <f>IFERROR(__xludf.DUMMYFUNCTION("""COMPUTED_VALUE"""),56.0)</f>
        <v>56</v>
      </c>
      <c r="H1344" s="35" t="str">
        <f>IFERROR(__xludf.DUMMYFUNCTION("""COMPUTED_VALUE"""),"Algorithms")</f>
        <v>Algorithms</v>
      </c>
      <c r="I1344" s="35">
        <f>IFERROR(__xludf.DUMMYFUNCTION("""COMPUTED_VALUE"""),0.679)</f>
        <v>0.679</v>
      </c>
      <c r="J1344" s="35">
        <f>IFERROR(__xludf.DUMMYFUNCTION("""COMPUTED_VALUE"""),1343.0)</f>
        <v>1343</v>
      </c>
      <c r="K1344" s="35" t="b">
        <f>IFERROR(__xludf.DUMMYFUNCTION("""COMPUTED_VALUE"""),FALSE)</f>
        <v>0</v>
      </c>
      <c r="L1344" s="35" t="str">
        <f>IFERROR(__xludf.DUMMYFUNCTION("""COMPUTED_VALUE"""),"Array;Sliding Window;")</f>
        <v>Array;Sliding Window;</v>
      </c>
      <c r="M1344" s="35" t="b">
        <f>IFERROR(__xludf.DUMMYFUNCTION("""COMPUTED_VALUE"""),FALSE)</f>
        <v>0</v>
      </c>
      <c r="N1344" s="35" t="b">
        <f>IFERROR(__xludf.DUMMYFUNCTION("""COMPUTED_VALUE"""),FALSE)</f>
        <v>0</v>
      </c>
      <c r="O1344" s="35">
        <f>IFERROR(__xludf.DUMMYFUNCTION("""COMPUTED_VALUE"""),67.8635270231501)</f>
        <v>67.86352702</v>
      </c>
      <c r="P1344" s="35">
        <f>IFERROR(__xludf.DUMMYFUNCTION("""COMPUTED_VALUE"""),30751.0)</f>
        <v>30751</v>
      </c>
      <c r="Q1344" s="35">
        <f>IFERROR(__xludf.DUMMYFUNCTION("""COMPUTED_VALUE"""),45311.0)</f>
        <v>45311</v>
      </c>
    </row>
    <row r="1345">
      <c r="A1345" s="35">
        <f>IFERROR(__xludf.DUMMYFUNCTION("""COMPUTED_VALUE"""),1446.0)</f>
        <v>1446</v>
      </c>
      <c r="B1345" s="35" t="str">
        <f>IFERROR(__xludf.DUMMYFUNCTION("""COMPUTED_VALUE"""),"Angle Between Hands of a Clock")</f>
        <v>Angle Between Hands of a Clock</v>
      </c>
      <c r="C1345" s="35" t="str">
        <f>IFERROR(__xludf.DUMMYFUNCTION("""COMPUTED_VALUE"""),"angle-between-hands-of-a-clock")</f>
        <v>angle-between-hands-of-a-clock</v>
      </c>
      <c r="D1345" s="35" t="b">
        <f>IFERROR(__xludf.DUMMYFUNCTION("""COMPUTED_VALUE"""),FALSE)</f>
        <v>0</v>
      </c>
      <c r="E1345" s="35" t="str">
        <f>IFERROR(__xludf.DUMMYFUNCTION("""COMPUTED_VALUE"""),"Medium")</f>
        <v>Medium</v>
      </c>
      <c r="F1345" s="35">
        <f>IFERROR(__xludf.DUMMYFUNCTION("""COMPUTED_VALUE"""),878.0)</f>
        <v>878</v>
      </c>
      <c r="G1345" s="35">
        <f>IFERROR(__xludf.DUMMYFUNCTION("""COMPUTED_VALUE"""),182.0)</f>
        <v>182</v>
      </c>
      <c r="H1345" s="35" t="str">
        <f>IFERROR(__xludf.DUMMYFUNCTION("""COMPUTED_VALUE"""),"Algorithms")</f>
        <v>Algorithms</v>
      </c>
      <c r="I1345" s="35">
        <f>IFERROR(__xludf.DUMMYFUNCTION("""COMPUTED_VALUE"""),0.629)</f>
        <v>0.629</v>
      </c>
      <c r="J1345" s="35">
        <f>IFERROR(__xludf.DUMMYFUNCTION("""COMPUTED_VALUE"""),1344.0)</f>
        <v>1344</v>
      </c>
      <c r="K1345" s="35" t="b">
        <f>IFERROR(__xludf.DUMMYFUNCTION("""COMPUTED_VALUE"""),FALSE)</f>
        <v>0</v>
      </c>
      <c r="L1345" s="35" t="str">
        <f>IFERROR(__xludf.DUMMYFUNCTION("""COMPUTED_VALUE"""),"Math;")</f>
        <v>Math;</v>
      </c>
      <c r="M1345" s="35" t="b">
        <f>IFERROR(__xludf.DUMMYFUNCTION("""COMPUTED_VALUE"""),TRUE)</f>
        <v>1</v>
      </c>
      <c r="N1345" s="35" t="b">
        <f>IFERROR(__xludf.DUMMYFUNCTION("""COMPUTED_VALUE"""),FALSE)</f>
        <v>0</v>
      </c>
      <c r="O1345" s="35">
        <f>IFERROR(__xludf.DUMMYFUNCTION("""COMPUTED_VALUE"""),62.9496402877697)</f>
        <v>62.94964029</v>
      </c>
      <c r="P1345" s="35">
        <f>IFERROR(__xludf.DUMMYFUNCTION("""COMPUTED_VALUE"""),85223.0)</f>
        <v>85223</v>
      </c>
      <c r="Q1345" s="35">
        <f>IFERROR(__xludf.DUMMYFUNCTION("""COMPUTED_VALUE"""),135383.0)</f>
        <v>135383</v>
      </c>
    </row>
    <row r="1346">
      <c r="A1346" s="35">
        <f>IFERROR(__xludf.DUMMYFUNCTION("""COMPUTED_VALUE"""),1447.0)</f>
        <v>1447</v>
      </c>
      <c r="B1346" s="35" t="str">
        <f>IFERROR(__xludf.DUMMYFUNCTION("""COMPUTED_VALUE"""),"Jump Game IV")</f>
        <v>Jump Game IV</v>
      </c>
      <c r="C1346" s="35" t="str">
        <f>IFERROR(__xludf.DUMMYFUNCTION("""COMPUTED_VALUE"""),"jump-game-iv")</f>
        <v>jump-game-iv</v>
      </c>
      <c r="D1346" s="35" t="b">
        <f>IFERROR(__xludf.DUMMYFUNCTION("""COMPUTED_VALUE"""),FALSE)</f>
        <v>0</v>
      </c>
      <c r="E1346" s="35" t="str">
        <f>IFERROR(__xludf.DUMMYFUNCTION("""COMPUTED_VALUE"""),"Hard")</f>
        <v>Hard</v>
      </c>
      <c r="F1346" s="35">
        <f>IFERROR(__xludf.DUMMYFUNCTION("""COMPUTED_VALUE"""),1746.0)</f>
        <v>1746</v>
      </c>
      <c r="G1346" s="35">
        <f>IFERROR(__xludf.DUMMYFUNCTION("""COMPUTED_VALUE"""),69.0)</f>
        <v>69</v>
      </c>
      <c r="H1346" s="35" t="str">
        <f>IFERROR(__xludf.DUMMYFUNCTION("""COMPUTED_VALUE"""),"Algorithms")</f>
        <v>Algorithms</v>
      </c>
      <c r="I1346" s="35">
        <f>IFERROR(__xludf.DUMMYFUNCTION("""COMPUTED_VALUE"""),0.444)</f>
        <v>0.444</v>
      </c>
      <c r="J1346" s="35">
        <f>IFERROR(__xludf.DUMMYFUNCTION("""COMPUTED_VALUE"""),1345.0)</f>
        <v>1345</v>
      </c>
      <c r="K1346" s="35" t="b">
        <f>IFERROR(__xludf.DUMMYFUNCTION("""COMPUTED_VALUE"""),FALSE)</f>
        <v>0</v>
      </c>
      <c r="L1346" s="35" t="str">
        <f>IFERROR(__xludf.DUMMYFUNCTION("""COMPUTED_VALUE"""),"Array;Hash Table;Breadth-First Search;")</f>
        <v>Array;Hash Table;Breadth-First Search;</v>
      </c>
      <c r="M1346" s="35" t="b">
        <f>IFERROR(__xludf.DUMMYFUNCTION("""COMPUTED_VALUE"""),TRUE)</f>
        <v>1</v>
      </c>
      <c r="N1346" s="35" t="b">
        <f>IFERROR(__xludf.DUMMYFUNCTION("""COMPUTED_VALUE"""),FALSE)</f>
        <v>0</v>
      </c>
      <c r="O1346" s="35">
        <f>IFERROR(__xludf.DUMMYFUNCTION("""COMPUTED_VALUE"""),44.3993072768124)</f>
        <v>44.39930728</v>
      </c>
      <c r="P1346" s="35">
        <f>IFERROR(__xludf.DUMMYFUNCTION("""COMPUTED_VALUE"""),68964.0)</f>
        <v>68964</v>
      </c>
      <c r="Q1346" s="35">
        <f>IFERROR(__xludf.DUMMYFUNCTION("""COMPUTED_VALUE"""),155328.0)</f>
        <v>155328</v>
      </c>
    </row>
    <row r="1347">
      <c r="A1347" s="35">
        <f>IFERROR(__xludf.DUMMYFUNCTION("""COMPUTED_VALUE"""),1468.0)</f>
        <v>1468</v>
      </c>
      <c r="B1347" s="35" t="str">
        <f>IFERROR(__xludf.DUMMYFUNCTION("""COMPUTED_VALUE"""),"Check If N and Its Double Exist")</f>
        <v>Check If N and Its Double Exist</v>
      </c>
      <c r="C1347" s="35" t="str">
        <f>IFERROR(__xludf.DUMMYFUNCTION("""COMPUTED_VALUE"""),"check-if-n-and-its-double-exist")</f>
        <v>check-if-n-and-its-double-exist</v>
      </c>
      <c r="D1347" s="35" t="b">
        <f>IFERROR(__xludf.DUMMYFUNCTION("""COMPUTED_VALUE"""),FALSE)</f>
        <v>0</v>
      </c>
      <c r="E1347" s="35" t="str">
        <f>IFERROR(__xludf.DUMMYFUNCTION("""COMPUTED_VALUE"""),"Easy")</f>
        <v>Easy</v>
      </c>
      <c r="F1347" s="35">
        <f>IFERROR(__xludf.DUMMYFUNCTION("""COMPUTED_VALUE"""),771.0)</f>
        <v>771</v>
      </c>
      <c r="G1347" s="35">
        <f>IFERROR(__xludf.DUMMYFUNCTION("""COMPUTED_VALUE"""),103.0)</f>
        <v>103</v>
      </c>
      <c r="H1347" s="35" t="str">
        <f>IFERROR(__xludf.DUMMYFUNCTION("""COMPUTED_VALUE"""),"Algorithms")</f>
        <v>Algorithms</v>
      </c>
      <c r="I1347" s="35">
        <f>IFERROR(__xludf.DUMMYFUNCTION("""COMPUTED_VALUE"""),0.355)</f>
        <v>0.355</v>
      </c>
      <c r="J1347" s="35">
        <f>IFERROR(__xludf.DUMMYFUNCTION("""COMPUTED_VALUE"""),1346.0)</f>
        <v>1346</v>
      </c>
      <c r="K1347" s="35" t="b">
        <f>IFERROR(__xludf.DUMMYFUNCTION("""COMPUTED_VALUE"""),FALSE)</f>
        <v>0</v>
      </c>
      <c r="L1347" s="35" t="str">
        <f>IFERROR(__xludf.DUMMYFUNCTION("""COMPUTED_VALUE"""),"Array;Hash Table;Two Pointers;Binary Search;Sorting;")</f>
        <v>Array;Hash Table;Two Pointers;Binary Search;Sorting;</v>
      </c>
      <c r="M1347" s="35" t="b">
        <f>IFERROR(__xludf.DUMMYFUNCTION("""COMPUTED_VALUE"""),FALSE)</f>
        <v>0</v>
      </c>
      <c r="N1347" s="35" t="b">
        <f>IFERROR(__xludf.DUMMYFUNCTION("""COMPUTED_VALUE"""),FALSE)</f>
        <v>0</v>
      </c>
      <c r="O1347" s="35">
        <f>IFERROR(__xludf.DUMMYFUNCTION("""COMPUTED_VALUE"""),35.4566269959715)</f>
        <v>35.456627</v>
      </c>
      <c r="P1347" s="35">
        <f>IFERROR(__xludf.DUMMYFUNCTION("""COMPUTED_VALUE"""),176990.0)</f>
        <v>176990</v>
      </c>
      <c r="Q1347" s="35">
        <f>IFERROR(__xludf.DUMMYFUNCTION("""COMPUTED_VALUE"""),499177.0)</f>
        <v>499177</v>
      </c>
    </row>
    <row r="1348">
      <c r="A1348" s="35">
        <f>IFERROR(__xludf.DUMMYFUNCTION("""COMPUTED_VALUE"""),1469.0)</f>
        <v>1469</v>
      </c>
      <c r="B1348" s="35" t="str">
        <f>IFERROR(__xludf.DUMMYFUNCTION("""COMPUTED_VALUE"""),"Minimum Number of Steps to Make Two Strings Anagram")</f>
        <v>Minimum Number of Steps to Make Two Strings Anagram</v>
      </c>
      <c r="C1348" s="35" t="str">
        <f>IFERROR(__xludf.DUMMYFUNCTION("""COMPUTED_VALUE"""),"minimum-number-of-steps-to-make-two-strings-anagram")</f>
        <v>minimum-number-of-steps-to-make-two-strings-anagram</v>
      </c>
      <c r="D1348" s="35" t="b">
        <f>IFERROR(__xludf.DUMMYFUNCTION("""COMPUTED_VALUE"""),FALSE)</f>
        <v>0</v>
      </c>
      <c r="E1348" s="35" t="str">
        <f>IFERROR(__xludf.DUMMYFUNCTION("""COMPUTED_VALUE"""),"Medium")</f>
        <v>Medium</v>
      </c>
      <c r="F1348" s="35">
        <f>IFERROR(__xludf.DUMMYFUNCTION("""COMPUTED_VALUE"""),1141.0)</f>
        <v>1141</v>
      </c>
      <c r="G1348" s="35">
        <f>IFERROR(__xludf.DUMMYFUNCTION("""COMPUTED_VALUE"""),56.0)</f>
        <v>56</v>
      </c>
      <c r="H1348" s="35" t="str">
        <f>IFERROR(__xludf.DUMMYFUNCTION("""COMPUTED_VALUE"""),"Algorithms")</f>
        <v>Algorithms</v>
      </c>
      <c r="I1348" s="35">
        <f>IFERROR(__xludf.DUMMYFUNCTION("""COMPUTED_VALUE"""),0.761)</f>
        <v>0.761</v>
      </c>
      <c r="J1348" s="35">
        <f>IFERROR(__xludf.DUMMYFUNCTION("""COMPUTED_VALUE"""),1347.0)</f>
        <v>1347</v>
      </c>
      <c r="K1348" s="35" t="b">
        <f>IFERROR(__xludf.DUMMYFUNCTION("""COMPUTED_VALUE"""),FALSE)</f>
        <v>0</v>
      </c>
      <c r="L1348" s="35" t="str">
        <f>IFERROR(__xludf.DUMMYFUNCTION("""COMPUTED_VALUE"""),"Hash Table;String;Counting;")</f>
        <v>Hash Table;String;Counting;</v>
      </c>
      <c r="M1348" s="35" t="b">
        <f>IFERROR(__xludf.DUMMYFUNCTION("""COMPUTED_VALUE"""),FALSE)</f>
        <v>0</v>
      </c>
      <c r="N1348" s="35" t="b">
        <f>IFERROR(__xludf.DUMMYFUNCTION("""COMPUTED_VALUE"""),FALSE)</f>
        <v>0</v>
      </c>
      <c r="O1348" s="35">
        <f>IFERROR(__xludf.DUMMYFUNCTION("""COMPUTED_VALUE"""),76.1203092008083)</f>
        <v>76.1203092</v>
      </c>
      <c r="P1348" s="35">
        <f>IFERROR(__xludf.DUMMYFUNCTION("""COMPUTED_VALUE"""),83997.0)</f>
        <v>83997</v>
      </c>
      <c r="Q1348" s="35">
        <f>IFERROR(__xludf.DUMMYFUNCTION("""COMPUTED_VALUE"""),110348.0)</f>
        <v>110348</v>
      </c>
    </row>
    <row r="1349">
      <c r="A1349" s="35">
        <f>IFERROR(__xludf.DUMMYFUNCTION("""COMPUTED_VALUE"""),1470.0)</f>
        <v>1470</v>
      </c>
      <c r="B1349" s="35" t="str">
        <f>IFERROR(__xludf.DUMMYFUNCTION("""COMPUTED_VALUE"""),"Tweet Counts Per Frequency")</f>
        <v>Tweet Counts Per Frequency</v>
      </c>
      <c r="C1349" s="35" t="str">
        <f>IFERROR(__xludf.DUMMYFUNCTION("""COMPUTED_VALUE"""),"tweet-counts-per-frequency")</f>
        <v>tweet-counts-per-frequency</v>
      </c>
      <c r="D1349" s="35" t="b">
        <f>IFERROR(__xludf.DUMMYFUNCTION("""COMPUTED_VALUE"""),FALSE)</f>
        <v>0</v>
      </c>
      <c r="E1349" s="35" t="str">
        <f>IFERROR(__xludf.DUMMYFUNCTION("""COMPUTED_VALUE"""),"Medium")</f>
        <v>Medium</v>
      </c>
      <c r="F1349" s="35">
        <f>IFERROR(__xludf.DUMMYFUNCTION("""COMPUTED_VALUE"""),99.0)</f>
        <v>99</v>
      </c>
      <c r="G1349" s="35">
        <f>IFERROR(__xludf.DUMMYFUNCTION("""COMPUTED_VALUE"""),184.0)</f>
        <v>184</v>
      </c>
      <c r="H1349" s="35" t="str">
        <f>IFERROR(__xludf.DUMMYFUNCTION("""COMPUTED_VALUE"""),"Algorithms")</f>
        <v>Algorithms</v>
      </c>
      <c r="I1349" s="35">
        <f>IFERROR(__xludf.DUMMYFUNCTION("""COMPUTED_VALUE"""),0.427)</f>
        <v>0.427</v>
      </c>
      <c r="J1349" s="35">
        <f>IFERROR(__xludf.DUMMYFUNCTION("""COMPUTED_VALUE"""),1348.0)</f>
        <v>1348</v>
      </c>
      <c r="K1349" s="35" t="b">
        <f>IFERROR(__xludf.DUMMYFUNCTION("""COMPUTED_VALUE"""),FALSE)</f>
        <v>0</v>
      </c>
      <c r="L1349" s="35" t="str">
        <f>IFERROR(__xludf.DUMMYFUNCTION("""COMPUTED_VALUE"""),"Hash Table;Binary Search;Design;Sorting;Ordered Set;")</f>
        <v>Hash Table;Binary Search;Design;Sorting;Ordered Set;</v>
      </c>
      <c r="M1349" s="35" t="b">
        <f>IFERROR(__xludf.DUMMYFUNCTION("""COMPUTED_VALUE"""),FALSE)</f>
        <v>0</v>
      </c>
      <c r="N1349" s="35" t="b">
        <f>IFERROR(__xludf.DUMMYFUNCTION("""COMPUTED_VALUE"""),FALSE)</f>
        <v>0</v>
      </c>
      <c r="O1349" s="35">
        <f>IFERROR(__xludf.DUMMYFUNCTION("""COMPUTED_VALUE"""),42.7443515683191)</f>
        <v>42.74435157</v>
      </c>
      <c r="P1349" s="35">
        <f>IFERROR(__xludf.DUMMYFUNCTION("""COMPUTED_VALUE"""),25823.0)</f>
        <v>25823</v>
      </c>
      <c r="Q1349" s="35">
        <f>IFERROR(__xludf.DUMMYFUNCTION("""COMPUTED_VALUE"""),60414.0)</f>
        <v>60414</v>
      </c>
    </row>
    <row r="1350">
      <c r="A1350" s="35">
        <f>IFERROR(__xludf.DUMMYFUNCTION("""COMPUTED_VALUE"""),1471.0)</f>
        <v>1471</v>
      </c>
      <c r="B1350" s="35" t="str">
        <f>IFERROR(__xludf.DUMMYFUNCTION("""COMPUTED_VALUE"""),"Maximum Students Taking Exam")</f>
        <v>Maximum Students Taking Exam</v>
      </c>
      <c r="C1350" s="35" t="str">
        <f>IFERROR(__xludf.DUMMYFUNCTION("""COMPUTED_VALUE"""),"maximum-students-taking-exam")</f>
        <v>maximum-students-taking-exam</v>
      </c>
      <c r="D1350" s="35" t="b">
        <f>IFERROR(__xludf.DUMMYFUNCTION("""COMPUTED_VALUE"""),FALSE)</f>
        <v>0</v>
      </c>
      <c r="E1350" s="35" t="str">
        <f>IFERROR(__xludf.DUMMYFUNCTION("""COMPUTED_VALUE"""),"Hard")</f>
        <v>Hard</v>
      </c>
      <c r="F1350" s="35">
        <f>IFERROR(__xludf.DUMMYFUNCTION("""COMPUTED_VALUE"""),542.0)</f>
        <v>542</v>
      </c>
      <c r="G1350" s="35">
        <f>IFERROR(__xludf.DUMMYFUNCTION("""COMPUTED_VALUE"""),10.0)</f>
        <v>10</v>
      </c>
      <c r="H1350" s="35" t="str">
        <f>IFERROR(__xludf.DUMMYFUNCTION("""COMPUTED_VALUE"""),"Algorithms")</f>
        <v>Algorithms</v>
      </c>
      <c r="I1350" s="35">
        <f>IFERROR(__xludf.DUMMYFUNCTION("""COMPUTED_VALUE"""),0.466)</f>
        <v>0.466</v>
      </c>
      <c r="J1350" s="35">
        <f>IFERROR(__xludf.DUMMYFUNCTION("""COMPUTED_VALUE"""),1349.0)</f>
        <v>1349</v>
      </c>
      <c r="K1350" s="35" t="b">
        <f>IFERROR(__xludf.DUMMYFUNCTION("""COMPUTED_VALUE"""),FALSE)</f>
        <v>0</v>
      </c>
      <c r="L1350" s="35" t="str">
        <f>IFERROR(__xludf.DUMMYFUNCTION("""COMPUTED_VALUE"""),"Array;Dynamic Programming;Bit Manipulation;Matrix;Bitmask;")</f>
        <v>Array;Dynamic Programming;Bit Manipulation;Matrix;Bitmask;</v>
      </c>
      <c r="M1350" s="35" t="b">
        <f>IFERROR(__xludf.DUMMYFUNCTION("""COMPUTED_VALUE"""),FALSE)</f>
        <v>0</v>
      </c>
      <c r="N1350" s="35" t="b">
        <f>IFERROR(__xludf.DUMMYFUNCTION("""COMPUTED_VALUE"""),FALSE)</f>
        <v>0</v>
      </c>
      <c r="O1350" s="35">
        <f>IFERROR(__xludf.DUMMYFUNCTION("""COMPUTED_VALUE"""),46.6079252732437)</f>
        <v>46.60792527</v>
      </c>
      <c r="P1350" s="35">
        <f>IFERROR(__xludf.DUMMYFUNCTION("""COMPUTED_VALUE"""),9680.0)</f>
        <v>9680</v>
      </c>
      <c r="Q1350" s="35">
        <f>IFERROR(__xludf.DUMMYFUNCTION("""COMPUTED_VALUE"""),20769.0)</f>
        <v>20769</v>
      </c>
    </row>
    <row r="1351">
      <c r="A1351" s="35">
        <f>IFERROR(__xludf.DUMMYFUNCTION("""COMPUTED_VALUE"""),1481.0)</f>
        <v>1481</v>
      </c>
      <c r="B1351" s="35" t="str">
        <f>IFERROR(__xludf.DUMMYFUNCTION("""COMPUTED_VALUE"""),"Students With Invalid Departments")</f>
        <v>Students With Invalid Departments</v>
      </c>
      <c r="C1351" s="35" t="str">
        <f>IFERROR(__xludf.DUMMYFUNCTION("""COMPUTED_VALUE"""),"students-with-invalid-departments")</f>
        <v>students-with-invalid-departments</v>
      </c>
      <c r="D1351" s="35" t="b">
        <f>IFERROR(__xludf.DUMMYFUNCTION("""COMPUTED_VALUE"""),TRUE)</f>
        <v>1</v>
      </c>
      <c r="E1351" s="35" t="str">
        <f>IFERROR(__xludf.DUMMYFUNCTION("""COMPUTED_VALUE"""),"Easy")</f>
        <v>Easy</v>
      </c>
      <c r="F1351" s="35">
        <f>IFERROR(__xludf.DUMMYFUNCTION("""COMPUTED_VALUE"""),126.0)</f>
        <v>126</v>
      </c>
      <c r="G1351" s="35">
        <f>IFERROR(__xludf.DUMMYFUNCTION("""COMPUTED_VALUE"""),7.0)</f>
        <v>7</v>
      </c>
      <c r="H1351" s="35" t="str">
        <f>IFERROR(__xludf.DUMMYFUNCTION("""COMPUTED_VALUE"""),"Database")</f>
        <v>Database</v>
      </c>
      <c r="I1351" s="35">
        <f>IFERROR(__xludf.DUMMYFUNCTION("""COMPUTED_VALUE"""),0.905)</f>
        <v>0.905</v>
      </c>
      <c r="J1351" s="35">
        <f>IFERROR(__xludf.DUMMYFUNCTION("""COMPUTED_VALUE"""),1350.0)</f>
        <v>1350</v>
      </c>
      <c r="K1351" s="35" t="b">
        <f>IFERROR(__xludf.DUMMYFUNCTION("""COMPUTED_VALUE"""),TRUE)</f>
        <v>1</v>
      </c>
      <c r="L1351" s="35" t="str">
        <f>IFERROR(__xludf.DUMMYFUNCTION("""COMPUTED_VALUE"""),"Database;")</f>
        <v>Database;</v>
      </c>
      <c r="M1351" s="35" t="b">
        <f>IFERROR(__xludf.DUMMYFUNCTION("""COMPUTED_VALUE"""),FALSE)</f>
        <v>0</v>
      </c>
      <c r="N1351" s="35" t="b">
        <f>IFERROR(__xludf.DUMMYFUNCTION("""COMPUTED_VALUE"""),FALSE)</f>
        <v>0</v>
      </c>
      <c r="O1351" s="35">
        <f>IFERROR(__xludf.DUMMYFUNCTION("""COMPUTED_VALUE"""),90.4617079362038)</f>
        <v>90.46170794</v>
      </c>
      <c r="P1351" s="35">
        <f>IFERROR(__xludf.DUMMYFUNCTION("""COMPUTED_VALUE"""),37775.0)</f>
        <v>37775</v>
      </c>
      <c r="Q1351" s="35">
        <f>IFERROR(__xludf.DUMMYFUNCTION("""COMPUTED_VALUE"""),41758.0)</f>
        <v>41758</v>
      </c>
    </row>
    <row r="1352">
      <c r="A1352" s="35">
        <f>IFERROR(__xludf.DUMMYFUNCTION("""COMPUTED_VALUE"""),1476.0)</f>
        <v>1476</v>
      </c>
      <c r="B1352" s="35" t="str">
        <f>IFERROR(__xludf.DUMMYFUNCTION("""COMPUTED_VALUE"""),"Count Negative Numbers in a Sorted Matrix")</f>
        <v>Count Negative Numbers in a Sorted Matrix</v>
      </c>
      <c r="C1352" s="35" t="str">
        <f>IFERROR(__xludf.DUMMYFUNCTION("""COMPUTED_VALUE"""),"count-negative-numbers-in-a-sorted-matrix")</f>
        <v>count-negative-numbers-in-a-sorted-matrix</v>
      </c>
      <c r="D1352" s="35" t="b">
        <f>IFERROR(__xludf.DUMMYFUNCTION("""COMPUTED_VALUE"""),FALSE)</f>
        <v>0</v>
      </c>
      <c r="E1352" s="35" t="str">
        <f>IFERROR(__xludf.DUMMYFUNCTION("""COMPUTED_VALUE"""),"Easy")</f>
        <v>Easy</v>
      </c>
      <c r="F1352" s="35">
        <f>IFERROR(__xludf.DUMMYFUNCTION("""COMPUTED_VALUE"""),1950.0)</f>
        <v>1950</v>
      </c>
      <c r="G1352" s="35">
        <f>IFERROR(__xludf.DUMMYFUNCTION("""COMPUTED_VALUE"""),68.0)</f>
        <v>68</v>
      </c>
      <c r="H1352" s="35" t="str">
        <f>IFERROR(__xludf.DUMMYFUNCTION("""COMPUTED_VALUE"""),"Algorithms")</f>
        <v>Algorithms</v>
      </c>
      <c r="I1352" s="35">
        <f>IFERROR(__xludf.DUMMYFUNCTION("""COMPUTED_VALUE"""),0.751)</f>
        <v>0.751</v>
      </c>
      <c r="J1352" s="35">
        <f>IFERROR(__xludf.DUMMYFUNCTION("""COMPUTED_VALUE"""),1351.0)</f>
        <v>1351</v>
      </c>
      <c r="K1352" s="35" t="b">
        <f>IFERROR(__xludf.DUMMYFUNCTION("""COMPUTED_VALUE"""),FALSE)</f>
        <v>0</v>
      </c>
      <c r="L1352" s="35" t="str">
        <f>IFERROR(__xludf.DUMMYFUNCTION("""COMPUTED_VALUE"""),"Array;Binary Search;Matrix;")</f>
        <v>Array;Binary Search;Matrix;</v>
      </c>
      <c r="M1352" s="35" t="b">
        <f>IFERROR(__xludf.DUMMYFUNCTION("""COMPUTED_VALUE"""),FALSE)</f>
        <v>0</v>
      </c>
      <c r="N1352" s="35" t="b">
        <f>IFERROR(__xludf.DUMMYFUNCTION("""COMPUTED_VALUE"""),FALSE)</f>
        <v>0</v>
      </c>
      <c r="O1352" s="35">
        <f>IFERROR(__xludf.DUMMYFUNCTION("""COMPUTED_VALUE"""),75.148259622202)</f>
        <v>75.14825962</v>
      </c>
      <c r="P1352" s="35">
        <f>IFERROR(__xludf.DUMMYFUNCTION("""COMPUTED_VALUE"""),160042.0)</f>
        <v>160042</v>
      </c>
      <c r="Q1352" s="35">
        <f>IFERROR(__xludf.DUMMYFUNCTION("""COMPUTED_VALUE"""),212969.0)</f>
        <v>212969</v>
      </c>
    </row>
    <row r="1353">
      <c r="A1353" s="35">
        <f>IFERROR(__xludf.DUMMYFUNCTION("""COMPUTED_VALUE"""),1477.0)</f>
        <v>1477</v>
      </c>
      <c r="B1353" s="35" t="str">
        <f>IFERROR(__xludf.DUMMYFUNCTION("""COMPUTED_VALUE"""),"Product of the Last K Numbers")</f>
        <v>Product of the Last K Numbers</v>
      </c>
      <c r="C1353" s="35" t="str">
        <f>IFERROR(__xludf.DUMMYFUNCTION("""COMPUTED_VALUE"""),"product-of-the-last-k-numbers")</f>
        <v>product-of-the-last-k-numbers</v>
      </c>
      <c r="D1353" s="35" t="b">
        <f>IFERROR(__xludf.DUMMYFUNCTION("""COMPUTED_VALUE"""),FALSE)</f>
        <v>0</v>
      </c>
      <c r="E1353" s="35" t="str">
        <f>IFERROR(__xludf.DUMMYFUNCTION("""COMPUTED_VALUE"""),"Medium")</f>
        <v>Medium</v>
      </c>
      <c r="F1353" s="35">
        <f>IFERROR(__xludf.DUMMYFUNCTION("""COMPUTED_VALUE"""),843.0)</f>
        <v>843</v>
      </c>
      <c r="G1353" s="35">
        <f>IFERROR(__xludf.DUMMYFUNCTION("""COMPUTED_VALUE"""),48.0)</f>
        <v>48</v>
      </c>
      <c r="H1353" s="35" t="str">
        <f>IFERROR(__xludf.DUMMYFUNCTION("""COMPUTED_VALUE"""),"Algorithms")</f>
        <v>Algorithms</v>
      </c>
      <c r="I1353" s="35">
        <f>IFERROR(__xludf.DUMMYFUNCTION("""COMPUTED_VALUE"""),0.476)</f>
        <v>0.476</v>
      </c>
      <c r="J1353" s="35">
        <f>IFERROR(__xludf.DUMMYFUNCTION("""COMPUTED_VALUE"""),1352.0)</f>
        <v>1352</v>
      </c>
      <c r="K1353" s="35" t="b">
        <f>IFERROR(__xludf.DUMMYFUNCTION("""COMPUTED_VALUE"""),FALSE)</f>
        <v>0</v>
      </c>
      <c r="L1353" s="35" t="str">
        <f>IFERROR(__xludf.DUMMYFUNCTION("""COMPUTED_VALUE"""),"Array;Math;Design;Queue;Data Stream;")</f>
        <v>Array;Math;Design;Queue;Data Stream;</v>
      </c>
      <c r="M1353" s="35" t="b">
        <f>IFERROR(__xludf.DUMMYFUNCTION("""COMPUTED_VALUE"""),FALSE)</f>
        <v>0</v>
      </c>
      <c r="N1353" s="35" t="b">
        <f>IFERROR(__xludf.DUMMYFUNCTION("""COMPUTED_VALUE"""),FALSE)</f>
        <v>0</v>
      </c>
      <c r="O1353" s="35">
        <f>IFERROR(__xludf.DUMMYFUNCTION("""COMPUTED_VALUE"""),47.5521973396194)</f>
        <v>47.55219734</v>
      </c>
      <c r="P1353" s="35">
        <f>IFERROR(__xludf.DUMMYFUNCTION("""COMPUTED_VALUE"""),45185.0)</f>
        <v>45185</v>
      </c>
      <c r="Q1353" s="35">
        <f>IFERROR(__xludf.DUMMYFUNCTION("""COMPUTED_VALUE"""),95023.0)</f>
        <v>95023</v>
      </c>
    </row>
    <row r="1354">
      <c r="A1354" s="35">
        <f>IFERROR(__xludf.DUMMYFUNCTION("""COMPUTED_VALUE"""),1478.0)</f>
        <v>1478</v>
      </c>
      <c r="B1354" s="35" t="str">
        <f>IFERROR(__xludf.DUMMYFUNCTION("""COMPUTED_VALUE"""),"Maximum Number of Events That Can Be Attended")</f>
        <v>Maximum Number of Events That Can Be Attended</v>
      </c>
      <c r="C1354" s="35" t="str">
        <f>IFERROR(__xludf.DUMMYFUNCTION("""COMPUTED_VALUE"""),"maximum-number-of-events-that-can-be-attended")</f>
        <v>maximum-number-of-events-that-can-be-attended</v>
      </c>
      <c r="D1354" s="35" t="b">
        <f>IFERROR(__xludf.DUMMYFUNCTION("""COMPUTED_VALUE"""),FALSE)</f>
        <v>0</v>
      </c>
      <c r="E1354" s="35" t="str">
        <f>IFERROR(__xludf.DUMMYFUNCTION("""COMPUTED_VALUE"""),"Medium")</f>
        <v>Medium</v>
      </c>
      <c r="F1354" s="35">
        <f>IFERROR(__xludf.DUMMYFUNCTION("""COMPUTED_VALUE"""),1667.0)</f>
        <v>1667</v>
      </c>
      <c r="G1354" s="35">
        <f>IFERROR(__xludf.DUMMYFUNCTION("""COMPUTED_VALUE"""),233.0)</f>
        <v>233</v>
      </c>
      <c r="H1354" s="35" t="str">
        <f>IFERROR(__xludf.DUMMYFUNCTION("""COMPUTED_VALUE"""),"Algorithms")</f>
        <v>Algorithms</v>
      </c>
      <c r="I1354" s="35">
        <f>IFERROR(__xludf.DUMMYFUNCTION("""COMPUTED_VALUE"""),0.333)</f>
        <v>0.333</v>
      </c>
      <c r="J1354" s="35">
        <f>IFERROR(__xludf.DUMMYFUNCTION("""COMPUTED_VALUE"""),1353.0)</f>
        <v>1353</v>
      </c>
      <c r="K1354" s="35" t="b">
        <f>IFERROR(__xludf.DUMMYFUNCTION("""COMPUTED_VALUE"""),FALSE)</f>
        <v>0</v>
      </c>
      <c r="L1354" s="35" t="str">
        <f>IFERROR(__xludf.DUMMYFUNCTION("""COMPUTED_VALUE"""),"Array;Greedy;Heap (Priority Queue);")</f>
        <v>Array;Greedy;Heap (Priority Queue);</v>
      </c>
      <c r="M1354" s="35" t="b">
        <f>IFERROR(__xludf.DUMMYFUNCTION("""COMPUTED_VALUE"""),FALSE)</f>
        <v>0</v>
      </c>
      <c r="N1354" s="35" t="b">
        <f>IFERROR(__xludf.DUMMYFUNCTION("""COMPUTED_VALUE"""),FALSE)</f>
        <v>0</v>
      </c>
      <c r="O1354" s="35">
        <f>IFERROR(__xludf.DUMMYFUNCTION("""COMPUTED_VALUE"""),33.3236660801866)</f>
        <v>33.32366608</v>
      </c>
      <c r="P1354" s="35">
        <f>IFERROR(__xludf.DUMMYFUNCTION("""COMPUTED_VALUE"""),51705.0)</f>
        <v>51705</v>
      </c>
      <c r="Q1354" s="35">
        <f>IFERROR(__xludf.DUMMYFUNCTION("""COMPUTED_VALUE"""),155162.0)</f>
        <v>155162</v>
      </c>
    </row>
    <row r="1355">
      <c r="A1355" s="35">
        <f>IFERROR(__xludf.DUMMYFUNCTION("""COMPUTED_VALUE"""),1479.0)</f>
        <v>1479</v>
      </c>
      <c r="B1355" s="35" t="str">
        <f>IFERROR(__xludf.DUMMYFUNCTION("""COMPUTED_VALUE"""),"Construct Target Array With Multiple Sums")</f>
        <v>Construct Target Array With Multiple Sums</v>
      </c>
      <c r="C1355" s="35" t="str">
        <f>IFERROR(__xludf.DUMMYFUNCTION("""COMPUTED_VALUE"""),"construct-target-array-with-multiple-sums")</f>
        <v>construct-target-array-with-multiple-sums</v>
      </c>
      <c r="D1355" s="35" t="b">
        <f>IFERROR(__xludf.DUMMYFUNCTION("""COMPUTED_VALUE"""),FALSE)</f>
        <v>0</v>
      </c>
      <c r="E1355" s="35" t="str">
        <f>IFERROR(__xludf.DUMMYFUNCTION("""COMPUTED_VALUE"""),"Hard")</f>
        <v>Hard</v>
      </c>
      <c r="F1355" s="35">
        <f>IFERROR(__xludf.DUMMYFUNCTION("""COMPUTED_VALUE"""),631.0)</f>
        <v>631</v>
      </c>
      <c r="G1355" s="35">
        <f>IFERROR(__xludf.DUMMYFUNCTION("""COMPUTED_VALUE"""),73.0)</f>
        <v>73</v>
      </c>
      <c r="H1355" s="35" t="str">
        <f>IFERROR(__xludf.DUMMYFUNCTION("""COMPUTED_VALUE"""),"Algorithms")</f>
        <v>Algorithms</v>
      </c>
      <c r="I1355" s="35">
        <f>IFERROR(__xludf.DUMMYFUNCTION("""COMPUTED_VALUE"""),0.312)</f>
        <v>0.312</v>
      </c>
      <c r="J1355" s="35">
        <f>IFERROR(__xludf.DUMMYFUNCTION("""COMPUTED_VALUE"""),1354.0)</f>
        <v>1354</v>
      </c>
      <c r="K1355" s="35" t="b">
        <f>IFERROR(__xludf.DUMMYFUNCTION("""COMPUTED_VALUE"""),FALSE)</f>
        <v>0</v>
      </c>
      <c r="L1355" s="35" t="str">
        <f>IFERROR(__xludf.DUMMYFUNCTION("""COMPUTED_VALUE"""),"Array;Heap (Priority Queue);")</f>
        <v>Array;Heap (Priority Queue);</v>
      </c>
      <c r="M1355" s="35" t="b">
        <f>IFERROR(__xludf.DUMMYFUNCTION("""COMPUTED_VALUE"""),TRUE)</f>
        <v>1</v>
      </c>
      <c r="N1355" s="35" t="b">
        <f>IFERROR(__xludf.DUMMYFUNCTION("""COMPUTED_VALUE"""),FALSE)</f>
        <v>0</v>
      </c>
      <c r="O1355" s="35">
        <f>IFERROR(__xludf.DUMMYFUNCTION("""COMPUTED_VALUE"""),31.206872971864)</f>
        <v>31.20687297</v>
      </c>
      <c r="P1355" s="35">
        <f>IFERROR(__xludf.DUMMYFUNCTION("""COMPUTED_VALUE"""),25100.0)</f>
        <v>25100</v>
      </c>
      <c r="Q1355" s="35">
        <f>IFERROR(__xludf.DUMMYFUNCTION("""COMPUTED_VALUE"""),80431.0)</f>
        <v>80431</v>
      </c>
    </row>
    <row r="1356">
      <c r="A1356" s="35">
        <f>IFERROR(__xludf.DUMMYFUNCTION("""COMPUTED_VALUE"""),1494.0)</f>
        <v>1494</v>
      </c>
      <c r="B1356" s="35" t="str">
        <f>IFERROR(__xludf.DUMMYFUNCTION("""COMPUTED_VALUE"""),"Activity Participants")</f>
        <v>Activity Participants</v>
      </c>
      <c r="C1356" s="35" t="str">
        <f>IFERROR(__xludf.DUMMYFUNCTION("""COMPUTED_VALUE"""),"activity-participants")</f>
        <v>activity-participants</v>
      </c>
      <c r="D1356" s="35" t="b">
        <f>IFERROR(__xludf.DUMMYFUNCTION("""COMPUTED_VALUE"""),TRUE)</f>
        <v>1</v>
      </c>
      <c r="E1356" s="35" t="str">
        <f>IFERROR(__xludf.DUMMYFUNCTION("""COMPUTED_VALUE"""),"Medium")</f>
        <v>Medium</v>
      </c>
      <c r="F1356" s="35">
        <f>IFERROR(__xludf.DUMMYFUNCTION("""COMPUTED_VALUE"""),91.0)</f>
        <v>91</v>
      </c>
      <c r="G1356" s="35">
        <f>IFERROR(__xludf.DUMMYFUNCTION("""COMPUTED_VALUE"""),34.0)</f>
        <v>34</v>
      </c>
      <c r="H1356" s="35" t="str">
        <f>IFERROR(__xludf.DUMMYFUNCTION("""COMPUTED_VALUE"""),"Database")</f>
        <v>Database</v>
      </c>
      <c r="I1356" s="35">
        <f>IFERROR(__xludf.DUMMYFUNCTION("""COMPUTED_VALUE"""),0.745)</f>
        <v>0.745</v>
      </c>
      <c r="J1356" s="35">
        <f>IFERROR(__xludf.DUMMYFUNCTION("""COMPUTED_VALUE"""),1355.0)</f>
        <v>1355</v>
      </c>
      <c r="K1356" s="35" t="b">
        <f>IFERROR(__xludf.DUMMYFUNCTION("""COMPUTED_VALUE"""),TRUE)</f>
        <v>1</v>
      </c>
      <c r="L1356" s="35" t="str">
        <f>IFERROR(__xludf.DUMMYFUNCTION("""COMPUTED_VALUE"""),"Database;")</f>
        <v>Database;</v>
      </c>
      <c r="M1356" s="35" t="b">
        <f>IFERROR(__xludf.DUMMYFUNCTION("""COMPUTED_VALUE"""),FALSE)</f>
        <v>0</v>
      </c>
      <c r="N1356" s="35" t="b">
        <f>IFERROR(__xludf.DUMMYFUNCTION("""COMPUTED_VALUE"""),FALSE)</f>
        <v>0</v>
      </c>
      <c r="O1356" s="35">
        <f>IFERROR(__xludf.DUMMYFUNCTION("""COMPUTED_VALUE"""),74.4933771085701)</f>
        <v>74.49337711</v>
      </c>
      <c r="P1356" s="35">
        <f>IFERROR(__xludf.DUMMYFUNCTION("""COMPUTED_VALUE"""),19740.0)</f>
        <v>19740</v>
      </c>
      <c r="Q1356" s="35">
        <f>IFERROR(__xludf.DUMMYFUNCTION("""COMPUTED_VALUE"""),26499.0)</f>
        <v>26499</v>
      </c>
    </row>
    <row r="1357">
      <c r="A1357" s="35">
        <f>IFERROR(__xludf.DUMMYFUNCTION("""COMPUTED_VALUE"""),1458.0)</f>
        <v>1458</v>
      </c>
      <c r="B1357" s="35" t="str">
        <f>IFERROR(__xludf.DUMMYFUNCTION("""COMPUTED_VALUE"""),"Sort Integers by The Number of 1 Bits")</f>
        <v>Sort Integers by The Number of 1 Bits</v>
      </c>
      <c r="C1357" s="35" t="str">
        <f>IFERROR(__xludf.DUMMYFUNCTION("""COMPUTED_VALUE"""),"sort-integers-by-the-number-of-1-bits")</f>
        <v>sort-integers-by-the-number-of-1-bits</v>
      </c>
      <c r="D1357" s="35" t="b">
        <f>IFERROR(__xludf.DUMMYFUNCTION("""COMPUTED_VALUE"""),FALSE)</f>
        <v>0</v>
      </c>
      <c r="E1357" s="35" t="str">
        <f>IFERROR(__xludf.DUMMYFUNCTION("""COMPUTED_VALUE"""),"Easy")</f>
        <v>Easy</v>
      </c>
      <c r="F1357" s="35">
        <f>IFERROR(__xludf.DUMMYFUNCTION("""COMPUTED_VALUE"""),914.0)</f>
        <v>914</v>
      </c>
      <c r="G1357" s="35">
        <f>IFERROR(__xludf.DUMMYFUNCTION("""COMPUTED_VALUE"""),42.0)</f>
        <v>42</v>
      </c>
      <c r="H1357" s="35" t="str">
        <f>IFERROR(__xludf.DUMMYFUNCTION("""COMPUTED_VALUE"""),"Algorithms")</f>
        <v>Algorithms</v>
      </c>
      <c r="I1357" s="35">
        <f>IFERROR(__xludf.DUMMYFUNCTION("""COMPUTED_VALUE"""),0.711)</f>
        <v>0.711</v>
      </c>
      <c r="J1357" s="35">
        <f>IFERROR(__xludf.DUMMYFUNCTION("""COMPUTED_VALUE"""),1356.0)</f>
        <v>1356</v>
      </c>
      <c r="K1357" s="35" t="b">
        <f>IFERROR(__xludf.DUMMYFUNCTION("""COMPUTED_VALUE"""),FALSE)</f>
        <v>0</v>
      </c>
      <c r="L1357" s="35" t="str">
        <f>IFERROR(__xludf.DUMMYFUNCTION("""COMPUTED_VALUE"""),"Array;Bit Manipulation;Sorting;Counting;")</f>
        <v>Array;Bit Manipulation;Sorting;Counting;</v>
      </c>
      <c r="M1357" s="35" t="b">
        <f>IFERROR(__xludf.DUMMYFUNCTION("""COMPUTED_VALUE"""),FALSE)</f>
        <v>0</v>
      </c>
      <c r="N1357" s="35" t="b">
        <f>IFERROR(__xludf.DUMMYFUNCTION("""COMPUTED_VALUE"""),FALSE)</f>
        <v>0</v>
      </c>
      <c r="O1357" s="35">
        <f>IFERROR(__xludf.DUMMYFUNCTION("""COMPUTED_VALUE"""),71.0678397886493)</f>
        <v>71.06783979</v>
      </c>
      <c r="P1357" s="35">
        <f>IFERROR(__xludf.DUMMYFUNCTION("""COMPUTED_VALUE"""),60255.0)</f>
        <v>60255</v>
      </c>
      <c r="Q1357" s="35">
        <f>IFERROR(__xludf.DUMMYFUNCTION("""COMPUTED_VALUE"""),84786.0)</f>
        <v>84786</v>
      </c>
    </row>
    <row r="1358">
      <c r="A1358" s="35">
        <f>IFERROR(__xludf.DUMMYFUNCTION("""COMPUTED_VALUE"""),1459.0)</f>
        <v>1459</v>
      </c>
      <c r="B1358" s="35" t="str">
        <f>IFERROR(__xludf.DUMMYFUNCTION("""COMPUTED_VALUE"""),"Apply Discount Every n Orders")</f>
        <v>Apply Discount Every n Orders</v>
      </c>
      <c r="C1358" s="35" t="str">
        <f>IFERROR(__xludf.DUMMYFUNCTION("""COMPUTED_VALUE"""),"apply-discount-every-n-orders")</f>
        <v>apply-discount-every-n-orders</v>
      </c>
      <c r="D1358" s="35" t="b">
        <f>IFERROR(__xludf.DUMMYFUNCTION("""COMPUTED_VALUE"""),FALSE)</f>
        <v>0</v>
      </c>
      <c r="E1358" s="35" t="str">
        <f>IFERROR(__xludf.DUMMYFUNCTION("""COMPUTED_VALUE"""),"Medium")</f>
        <v>Medium</v>
      </c>
      <c r="F1358" s="35">
        <f>IFERROR(__xludf.DUMMYFUNCTION("""COMPUTED_VALUE"""),113.0)</f>
        <v>113</v>
      </c>
      <c r="G1358" s="35">
        <f>IFERROR(__xludf.DUMMYFUNCTION("""COMPUTED_VALUE"""),156.0)</f>
        <v>156</v>
      </c>
      <c r="H1358" s="35" t="str">
        <f>IFERROR(__xludf.DUMMYFUNCTION("""COMPUTED_VALUE"""),"Algorithms")</f>
        <v>Algorithms</v>
      </c>
      <c r="I1358" s="35">
        <f>IFERROR(__xludf.DUMMYFUNCTION("""COMPUTED_VALUE"""),0.687)</f>
        <v>0.687</v>
      </c>
      <c r="J1358" s="35">
        <f>IFERROR(__xludf.DUMMYFUNCTION("""COMPUTED_VALUE"""),1357.0)</f>
        <v>1357</v>
      </c>
      <c r="K1358" s="35" t="b">
        <f>IFERROR(__xludf.DUMMYFUNCTION("""COMPUTED_VALUE"""),FALSE)</f>
        <v>0</v>
      </c>
      <c r="L1358" s="35" t="str">
        <f>IFERROR(__xludf.DUMMYFUNCTION("""COMPUTED_VALUE"""),"Array;Hash Table;Design;")</f>
        <v>Array;Hash Table;Design;</v>
      </c>
      <c r="M1358" s="35" t="b">
        <f>IFERROR(__xludf.DUMMYFUNCTION("""COMPUTED_VALUE"""),FALSE)</f>
        <v>0</v>
      </c>
      <c r="N1358" s="35" t="b">
        <f>IFERROR(__xludf.DUMMYFUNCTION("""COMPUTED_VALUE"""),FALSE)</f>
        <v>0</v>
      </c>
      <c r="O1358" s="35">
        <f>IFERROR(__xludf.DUMMYFUNCTION("""COMPUTED_VALUE"""),68.7000049074937)</f>
        <v>68.70000491</v>
      </c>
      <c r="P1358" s="35">
        <f>IFERROR(__xludf.DUMMYFUNCTION("""COMPUTED_VALUE"""),13999.0)</f>
        <v>13999</v>
      </c>
      <c r="Q1358" s="35">
        <f>IFERROR(__xludf.DUMMYFUNCTION("""COMPUTED_VALUE"""),20377.0)</f>
        <v>20377</v>
      </c>
    </row>
    <row r="1359">
      <c r="A1359" s="35">
        <f>IFERROR(__xludf.DUMMYFUNCTION("""COMPUTED_VALUE"""),1460.0)</f>
        <v>1460</v>
      </c>
      <c r="B1359" s="35" t="str">
        <f>IFERROR(__xludf.DUMMYFUNCTION("""COMPUTED_VALUE"""),"Number of Substrings Containing All Three Characters")</f>
        <v>Number of Substrings Containing All Three Characters</v>
      </c>
      <c r="C1359" s="35" t="str">
        <f>IFERROR(__xludf.DUMMYFUNCTION("""COMPUTED_VALUE"""),"number-of-substrings-containing-all-three-characters")</f>
        <v>number-of-substrings-containing-all-three-characters</v>
      </c>
      <c r="D1359" s="35" t="b">
        <f>IFERROR(__xludf.DUMMYFUNCTION("""COMPUTED_VALUE"""),FALSE)</f>
        <v>0</v>
      </c>
      <c r="E1359" s="35" t="str">
        <f>IFERROR(__xludf.DUMMYFUNCTION("""COMPUTED_VALUE"""),"Medium")</f>
        <v>Medium</v>
      </c>
      <c r="F1359" s="35">
        <f>IFERROR(__xludf.DUMMYFUNCTION("""COMPUTED_VALUE"""),1321.0)</f>
        <v>1321</v>
      </c>
      <c r="G1359" s="35">
        <f>IFERROR(__xludf.DUMMYFUNCTION("""COMPUTED_VALUE"""),24.0)</f>
        <v>24</v>
      </c>
      <c r="H1359" s="35" t="str">
        <f>IFERROR(__xludf.DUMMYFUNCTION("""COMPUTED_VALUE"""),"Algorithms")</f>
        <v>Algorithms</v>
      </c>
      <c r="I1359" s="35">
        <f>IFERROR(__xludf.DUMMYFUNCTION("""COMPUTED_VALUE"""),0.621)</f>
        <v>0.621</v>
      </c>
      <c r="J1359" s="35">
        <f>IFERROR(__xludf.DUMMYFUNCTION("""COMPUTED_VALUE"""),1358.0)</f>
        <v>1358</v>
      </c>
      <c r="K1359" s="35" t="b">
        <f>IFERROR(__xludf.DUMMYFUNCTION("""COMPUTED_VALUE"""),FALSE)</f>
        <v>0</v>
      </c>
      <c r="L1359" s="35" t="str">
        <f>IFERROR(__xludf.DUMMYFUNCTION("""COMPUTED_VALUE"""),"Hash Table;String;Sliding Window;")</f>
        <v>Hash Table;String;Sliding Window;</v>
      </c>
      <c r="M1359" s="35" t="b">
        <f>IFERROR(__xludf.DUMMYFUNCTION("""COMPUTED_VALUE"""),FALSE)</f>
        <v>0</v>
      </c>
      <c r="N1359" s="35" t="b">
        <f>IFERROR(__xludf.DUMMYFUNCTION("""COMPUTED_VALUE"""),FALSE)</f>
        <v>0</v>
      </c>
      <c r="O1359" s="35">
        <f>IFERROR(__xludf.DUMMYFUNCTION("""COMPUTED_VALUE"""),62.0967596516219)</f>
        <v>62.09675965</v>
      </c>
      <c r="P1359" s="35">
        <f>IFERROR(__xludf.DUMMYFUNCTION("""COMPUTED_VALUE"""),34437.0)</f>
        <v>34437</v>
      </c>
      <c r="Q1359" s="35">
        <f>IFERROR(__xludf.DUMMYFUNCTION("""COMPUTED_VALUE"""),55454.0)</f>
        <v>55454</v>
      </c>
    </row>
    <row r="1360">
      <c r="A1360" s="35">
        <f>IFERROR(__xludf.DUMMYFUNCTION("""COMPUTED_VALUE"""),1461.0)</f>
        <v>1461</v>
      </c>
      <c r="B1360" s="35" t="str">
        <f>IFERROR(__xludf.DUMMYFUNCTION("""COMPUTED_VALUE"""),"Count All Valid Pickup and Delivery Options")</f>
        <v>Count All Valid Pickup and Delivery Options</v>
      </c>
      <c r="C1360" s="35" t="str">
        <f>IFERROR(__xludf.DUMMYFUNCTION("""COMPUTED_VALUE"""),"count-all-valid-pickup-and-delivery-options")</f>
        <v>count-all-valid-pickup-and-delivery-options</v>
      </c>
      <c r="D1360" s="35" t="b">
        <f>IFERROR(__xludf.DUMMYFUNCTION("""COMPUTED_VALUE"""),FALSE)</f>
        <v>0</v>
      </c>
      <c r="E1360" s="35" t="str">
        <f>IFERROR(__xludf.DUMMYFUNCTION("""COMPUTED_VALUE"""),"Hard")</f>
        <v>Hard</v>
      </c>
      <c r="F1360" s="35">
        <f>IFERROR(__xludf.DUMMYFUNCTION("""COMPUTED_VALUE"""),1462.0)</f>
        <v>1462</v>
      </c>
      <c r="G1360" s="35">
        <f>IFERROR(__xludf.DUMMYFUNCTION("""COMPUTED_VALUE"""),132.0)</f>
        <v>132</v>
      </c>
      <c r="H1360" s="35" t="str">
        <f>IFERROR(__xludf.DUMMYFUNCTION("""COMPUTED_VALUE"""),"Algorithms")</f>
        <v>Algorithms</v>
      </c>
      <c r="I1360" s="35">
        <f>IFERROR(__xludf.DUMMYFUNCTION("""COMPUTED_VALUE"""),0.633)</f>
        <v>0.633</v>
      </c>
      <c r="J1360" s="35">
        <f>IFERROR(__xludf.DUMMYFUNCTION("""COMPUTED_VALUE"""),1359.0)</f>
        <v>1359</v>
      </c>
      <c r="K1360" s="35" t="b">
        <f>IFERROR(__xludf.DUMMYFUNCTION("""COMPUTED_VALUE"""),FALSE)</f>
        <v>0</v>
      </c>
      <c r="L1360" s="35" t="str">
        <f>IFERROR(__xludf.DUMMYFUNCTION("""COMPUTED_VALUE"""),"Math;Dynamic Programming;Combinatorics;")</f>
        <v>Math;Dynamic Programming;Combinatorics;</v>
      </c>
      <c r="M1360" s="35" t="b">
        <f>IFERROR(__xludf.DUMMYFUNCTION("""COMPUTED_VALUE"""),TRUE)</f>
        <v>1</v>
      </c>
      <c r="N1360" s="35" t="b">
        <f>IFERROR(__xludf.DUMMYFUNCTION("""COMPUTED_VALUE"""),FALSE)</f>
        <v>0</v>
      </c>
      <c r="O1360" s="35">
        <f>IFERROR(__xludf.DUMMYFUNCTION("""COMPUTED_VALUE"""),63.3188387261798)</f>
        <v>63.31883873</v>
      </c>
      <c r="P1360" s="35">
        <f>IFERROR(__xludf.DUMMYFUNCTION("""COMPUTED_VALUE"""),49508.0)</f>
        <v>49508</v>
      </c>
      <c r="Q1360" s="35">
        <f>IFERROR(__xludf.DUMMYFUNCTION("""COMPUTED_VALUE"""),78188.0)</f>
        <v>78188</v>
      </c>
    </row>
    <row r="1361">
      <c r="A1361" s="35">
        <f>IFERROR(__xludf.DUMMYFUNCTION("""COMPUTED_VALUE"""),1274.0)</f>
        <v>1274</v>
      </c>
      <c r="B1361" s="35" t="str">
        <f>IFERROR(__xludf.DUMMYFUNCTION("""COMPUTED_VALUE"""),"Number of Days Between Two Dates")</f>
        <v>Number of Days Between Two Dates</v>
      </c>
      <c r="C1361" s="35" t="str">
        <f>IFERROR(__xludf.DUMMYFUNCTION("""COMPUTED_VALUE"""),"number-of-days-between-two-dates")</f>
        <v>number-of-days-between-two-dates</v>
      </c>
      <c r="D1361" s="35" t="b">
        <f>IFERROR(__xludf.DUMMYFUNCTION("""COMPUTED_VALUE"""),FALSE)</f>
        <v>0</v>
      </c>
      <c r="E1361" s="35" t="str">
        <f>IFERROR(__xludf.DUMMYFUNCTION("""COMPUTED_VALUE"""),"Easy")</f>
        <v>Easy</v>
      </c>
      <c r="F1361" s="35">
        <f>IFERROR(__xludf.DUMMYFUNCTION("""COMPUTED_VALUE"""),178.0)</f>
        <v>178</v>
      </c>
      <c r="G1361" s="35">
        <f>IFERROR(__xludf.DUMMYFUNCTION("""COMPUTED_VALUE"""),770.0)</f>
        <v>770</v>
      </c>
      <c r="H1361" s="35" t="str">
        <f>IFERROR(__xludf.DUMMYFUNCTION("""COMPUTED_VALUE"""),"Algorithms")</f>
        <v>Algorithms</v>
      </c>
      <c r="I1361" s="35">
        <f>IFERROR(__xludf.DUMMYFUNCTION("""COMPUTED_VALUE"""),0.467)</f>
        <v>0.467</v>
      </c>
      <c r="J1361" s="35">
        <f>IFERROR(__xludf.DUMMYFUNCTION("""COMPUTED_VALUE"""),1360.0)</f>
        <v>1360</v>
      </c>
      <c r="K1361" s="35" t="b">
        <f>IFERROR(__xludf.DUMMYFUNCTION("""COMPUTED_VALUE"""),FALSE)</f>
        <v>0</v>
      </c>
      <c r="L1361" s="35" t="str">
        <f>IFERROR(__xludf.DUMMYFUNCTION("""COMPUTED_VALUE"""),"Math;String;")</f>
        <v>Math;String;</v>
      </c>
      <c r="M1361" s="35" t="b">
        <f>IFERROR(__xludf.DUMMYFUNCTION("""COMPUTED_VALUE"""),FALSE)</f>
        <v>0</v>
      </c>
      <c r="N1361" s="35" t="b">
        <f>IFERROR(__xludf.DUMMYFUNCTION("""COMPUTED_VALUE"""),FALSE)</f>
        <v>0</v>
      </c>
      <c r="O1361" s="35">
        <f>IFERROR(__xludf.DUMMYFUNCTION("""COMPUTED_VALUE"""),46.7011336948992)</f>
        <v>46.70113369</v>
      </c>
      <c r="P1361" s="35">
        <f>IFERROR(__xludf.DUMMYFUNCTION("""COMPUTED_VALUE"""),27641.0)</f>
        <v>27641</v>
      </c>
      <c r="Q1361" s="35">
        <f>IFERROR(__xludf.DUMMYFUNCTION("""COMPUTED_VALUE"""),59187.0)</f>
        <v>59187</v>
      </c>
    </row>
    <row r="1362">
      <c r="A1362" s="35">
        <f>IFERROR(__xludf.DUMMYFUNCTION("""COMPUTED_VALUE"""),1275.0)</f>
        <v>1275</v>
      </c>
      <c r="B1362" s="35" t="str">
        <f>IFERROR(__xludf.DUMMYFUNCTION("""COMPUTED_VALUE"""),"Validate Binary Tree Nodes")</f>
        <v>Validate Binary Tree Nodes</v>
      </c>
      <c r="C1362" s="35" t="str">
        <f>IFERROR(__xludf.DUMMYFUNCTION("""COMPUTED_VALUE"""),"validate-binary-tree-nodes")</f>
        <v>validate-binary-tree-nodes</v>
      </c>
      <c r="D1362" s="35" t="b">
        <f>IFERROR(__xludf.DUMMYFUNCTION("""COMPUTED_VALUE"""),FALSE)</f>
        <v>0</v>
      </c>
      <c r="E1362" s="35" t="str">
        <f>IFERROR(__xludf.DUMMYFUNCTION("""COMPUTED_VALUE"""),"Medium")</f>
        <v>Medium</v>
      </c>
      <c r="F1362" s="35">
        <f>IFERROR(__xludf.DUMMYFUNCTION("""COMPUTED_VALUE"""),711.0)</f>
        <v>711</v>
      </c>
      <c r="G1362" s="35">
        <f>IFERROR(__xludf.DUMMYFUNCTION("""COMPUTED_VALUE"""),240.0)</f>
        <v>240</v>
      </c>
      <c r="H1362" s="35" t="str">
        <f>IFERROR(__xludf.DUMMYFUNCTION("""COMPUTED_VALUE"""),"Algorithms")</f>
        <v>Algorithms</v>
      </c>
      <c r="I1362" s="35">
        <f>IFERROR(__xludf.DUMMYFUNCTION("""COMPUTED_VALUE"""),0.416)</f>
        <v>0.416</v>
      </c>
      <c r="J1362" s="35">
        <f>IFERROR(__xludf.DUMMYFUNCTION("""COMPUTED_VALUE"""),1361.0)</f>
        <v>1361</v>
      </c>
      <c r="K1362" s="35" t="b">
        <f>IFERROR(__xludf.DUMMYFUNCTION("""COMPUTED_VALUE"""),FALSE)</f>
        <v>0</v>
      </c>
      <c r="L1362" s="35" t="str">
        <f>IFERROR(__xludf.DUMMYFUNCTION("""COMPUTED_VALUE"""),"Tree;Depth-First Search;Breadth-First Search;Union Find;Graph;Binary Tree;")</f>
        <v>Tree;Depth-First Search;Breadth-First Search;Union Find;Graph;Binary Tree;</v>
      </c>
      <c r="M1362" s="35" t="b">
        <f>IFERROR(__xludf.DUMMYFUNCTION("""COMPUTED_VALUE"""),FALSE)</f>
        <v>0</v>
      </c>
      <c r="N1362" s="35" t="b">
        <f>IFERROR(__xludf.DUMMYFUNCTION("""COMPUTED_VALUE"""),FALSE)</f>
        <v>0</v>
      </c>
      <c r="O1362" s="35">
        <f>IFERROR(__xludf.DUMMYFUNCTION("""COMPUTED_VALUE"""),41.5978270349742)</f>
        <v>41.59782703</v>
      </c>
      <c r="P1362" s="35">
        <f>IFERROR(__xludf.DUMMYFUNCTION("""COMPUTED_VALUE"""),33385.0)</f>
        <v>33385</v>
      </c>
      <c r="Q1362" s="35">
        <f>IFERROR(__xludf.DUMMYFUNCTION("""COMPUTED_VALUE"""),80258.0)</f>
        <v>80258</v>
      </c>
    </row>
    <row r="1363">
      <c r="A1363" s="35">
        <f>IFERROR(__xludf.DUMMYFUNCTION("""COMPUTED_VALUE"""),1276.0)</f>
        <v>1276</v>
      </c>
      <c r="B1363" s="35" t="str">
        <f>IFERROR(__xludf.DUMMYFUNCTION("""COMPUTED_VALUE"""),"Closest Divisors")</f>
        <v>Closest Divisors</v>
      </c>
      <c r="C1363" s="35" t="str">
        <f>IFERROR(__xludf.DUMMYFUNCTION("""COMPUTED_VALUE"""),"closest-divisors")</f>
        <v>closest-divisors</v>
      </c>
      <c r="D1363" s="35" t="b">
        <f>IFERROR(__xludf.DUMMYFUNCTION("""COMPUTED_VALUE"""),FALSE)</f>
        <v>0</v>
      </c>
      <c r="E1363" s="35" t="str">
        <f>IFERROR(__xludf.DUMMYFUNCTION("""COMPUTED_VALUE"""),"Medium")</f>
        <v>Medium</v>
      </c>
      <c r="F1363" s="35">
        <f>IFERROR(__xludf.DUMMYFUNCTION("""COMPUTED_VALUE"""),175.0)</f>
        <v>175</v>
      </c>
      <c r="G1363" s="35">
        <f>IFERROR(__xludf.DUMMYFUNCTION("""COMPUTED_VALUE"""),80.0)</f>
        <v>80</v>
      </c>
      <c r="H1363" s="35" t="str">
        <f>IFERROR(__xludf.DUMMYFUNCTION("""COMPUTED_VALUE"""),"Algorithms")</f>
        <v>Algorithms</v>
      </c>
      <c r="I1363" s="35">
        <f>IFERROR(__xludf.DUMMYFUNCTION("""COMPUTED_VALUE"""),0.591)</f>
        <v>0.591</v>
      </c>
      <c r="J1363" s="35">
        <f>IFERROR(__xludf.DUMMYFUNCTION("""COMPUTED_VALUE"""),1362.0)</f>
        <v>1362</v>
      </c>
      <c r="K1363" s="35" t="b">
        <f>IFERROR(__xludf.DUMMYFUNCTION("""COMPUTED_VALUE"""),FALSE)</f>
        <v>0</v>
      </c>
      <c r="L1363" s="35" t="str">
        <f>IFERROR(__xludf.DUMMYFUNCTION("""COMPUTED_VALUE"""),"Math;")</f>
        <v>Math;</v>
      </c>
      <c r="M1363" s="35" t="b">
        <f>IFERROR(__xludf.DUMMYFUNCTION("""COMPUTED_VALUE"""),FALSE)</f>
        <v>0</v>
      </c>
      <c r="N1363" s="35" t="b">
        <f>IFERROR(__xludf.DUMMYFUNCTION("""COMPUTED_VALUE"""),FALSE)</f>
        <v>0</v>
      </c>
      <c r="O1363" s="35">
        <f>IFERROR(__xludf.DUMMYFUNCTION("""COMPUTED_VALUE"""),59.1033138401559)</f>
        <v>59.10331384</v>
      </c>
      <c r="P1363" s="35">
        <f>IFERROR(__xludf.DUMMYFUNCTION("""COMPUTED_VALUE"""),15160.0)</f>
        <v>15160</v>
      </c>
      <c r="Q1363" s="35">
        <f>IFERROR(__xludf.DUMMYFUNCTION("""COMPUTED_VALUE"""),25650.0)</f>
        <v>25650</v>
      </c>
    </row>
    <row r="1364">
      <c r="A1364" s="35">
        <f>IFERROR(__xludf.DUMMYFUNCTION("""COMPUTED_VALUE"""),1277.0)</f>
        <v>1277</v>
      </c>
      <c r="B1364" s="35" t="str">
        <f>IFERROR(__xludf.DUMMYFUNCTION("""COMPUTED_VALUE"""),"Largest Multiple of Three")</f>
        <v>Largest Multiple of Three</v>
      </c>
      <c r="C1364" s="35" t="str">
        <f>IFERROR(__xludf.DUMMYFUNCTION("""COMPUTED_VALUE"""),"largest-multiple-of-three")</f>
        <v>largest-multiple-of-three</v>
      </c>
      <c r="D1364" s="35" t="b">
        <f>IFERROR(__xludf.DUMMYFUNCTION("""COMPUTED_VALUE"""),FALSE)</f>
        <v>0</v>
      </c>
      <c r="E1364" s="35" t="str">
        <f>IFERROR(__xludf.DUMMYFUNCTION("""COMPUTED_VALUE"""),"Hard")</f>
        <v>Hard</v>
      </c>
      <c r="F1364" s="35">
        <f>IFERROR(__xludf.DUMMYFUNCTION("""COMPUTED_VALUE"""),373.0)</f>
        <v>373</v>
      </c>
      <c r="G1364" s="35">
        <f>IFERROR(__xludf.DUMMYFUNCTION("""COMPUTED_VALUE"""),53.0)</f>
        <v>53</v>
      </c>
      <c r="H1364" s="35" t="str">
        <f>IFERROR(__xludf.DUMMYFUNCTION("""COMPUTED_VALUE"""),"Algorithms")</f>
        <v>Algorithms</v>
      </c>
      <c r="I1364" s="35">
        <f>IFERROR(__xludf.DUMMYFUNCTION("""COMPUTED_VALUE"""),0.343)</f>
        <v>0.343</v>
      </c>
      <c r="J1364" s="35">
        <f>IFERROR(__xludf.DUMMYFUNCTION("""COMPUTED_VALUE"""),1363.0)</f>
        <v>1363</v>
      </c>
      <c r="K1364" s="35" t="b">
        <f>IFERROR(__xludf.DUMMYFUNCTION("""COMPUTED_VALUE"""),FALSE)</f>
        <v>0</v>
      </c>
      <c r="L1364" s="35" t="str">
        <f>IFERROR(__xludf.DUMMYFUNCTION("""COMPUTED_VALUE"""),"Array;Dynamic Programming;Greedy;")</f>
        <v>Array;Dynamic Programming;Greedy;</v>
      </c>
      <c r="M1364" s="35" t="b">
        <f>IFERROR(__xludf.DUMMYFUNCTION("""COMPUTED_VALUE"""),FALSE)</f>
        <v>0</v>
      </c>
      <c r="N1364" s="35" t="b">
        <f>IFERROR(__xludf.DUMMYFUNCTION("""COMPUTED_VALUE"""),FALSE)</f>
        <v>0</v>
      </c>
      <c r="O1364" s="35">
        <f>IFERROR(__xludf.DUMMYFUNCTION("""COMPUTED_VALUE"""),34.3336933600781)</f>
        <v>34.33369336</v>
      </c>
      <c r="P1364" s="35">
        <f>IFERROR(__xludf.DUMMYFUNCTION("""COMPUTED_VALUE"""),13351.0)</f>
        <v>13351</v>
      </c>
      <c r="Q1364" s="35">
        <f>IFERROR(__xludf.DUMMYFUNCTION("""COMPUTED_VALUE"""),38886.0)</f>
        <v>38886</v>
      </c>
    </row>
    <row r="1365">
      <c r="A1365" s="35">
        <f>IFERROR(__xludf.DUMMYFUNCTION("""COMPUTED_VALUE"""),1495.0)</f>
        <v>1495</v>
      </c>
      <c r="B1365" s="35" t="str">
        <f>IFERROR(__xludf.DUMMYFUNCTION("""COMPUTED_VALUE"""),"Number of Trusted Contacts of a Customer")</f>
        <v>Number of Trusted Contacts of a Customer</v>
      </c>
      <c r="C1365" s="35" t="str">
        <f>IFERROR(__xludf.DUMMYFUNCTION("""COMPUTED_VALUE"""),"number-of-trusted-contacts-of-a-customer")</f>
        <v>number-of-trusted-contacts-of-a-customer</v>
      </c>
      <c r="D1365" s="35" t="b">
        <f>IFERROR(__xludf.DUMMYFUNCTION("""COMPUTED_VALUE"""),TRUE)</f>
        <v>1</v>
      </c>
      <c r="E1365" s="35" t="str">
        <f>IFERROR(__xludf.DUMMYFUNCTION("""COMPUTED_VALUE"""),"Medium")</f>
        <v>Medium</v>
      </c>
      <c r="F1365" s="35">
        <f>IFERROR(__xludf.DUMMYFUNCTION("""COMPUTED_VALUE"""),52.0)</f>
        <v>52</v>
      </c>
      <c r="G1365" s="35">
        <f>IFERROR(__xludf.DUMMYFUNCTION("""COMPUTED_VALUE"""),265.0)</f>
        <v>265</v>
      </c>
      <c r="H1365" s="35" t="str">
        <f>IFERROR(__xludf.DUMMYFUNCTION("""COMPUTED_VALUE"""),"Database")</f>
        <v>Database</v>
      </c>
      <c r="I1365" s="35">
        <f>IFERROR(__xludf.DUMMYFUNCTION("""COMPUTED_VALUE"""),0.786)</f>
        <v>0.786</v>
      </c>
      <c r="J1365" s="35">
        <f>IFERROR(__xludf.DUMMYFUNCTION("""COMPUTED_VALUE"""),1364.0)</f>
        <v>1364</v>
      </c>
      <c r="K1365" s="35" t="b">
        <f>IFERROR(__xludf.DUMMYFUNCTION("""COMPUTED_VALUE"""),TRUE)</f>
        <v>1</v>
      </c>
      <c r="L1365" s="35" t="str">
        <f>IFERROR(__xludf.DUMMYFUNCTION("""COMPUTED_VALUE"""),"Database;")</f>
        <v>Database;</v>
      </c>
      <c r="M1365" s="35" t="b">
        <f>IFERROR(__xludf.DUMMYFUNCTION("""COMPUTED_VALUE"""),FALSE)</f>
        <v>0</v>
      </c>
      <c r="N1365" s="35" t="b">
        <f>IFERROR(__xludf.DUMMYFUNCTION("""COMPUTED_VALUE"""),FALSE)</f>
        <v>0</v>
      </c>
      <c r="O1365" s="35">
        <f>IFERROR(__xludf.DUMMYFUNCTION("""COMPUTED_VALUE"""),78.5714285714285)</f>
        <v>78.57142857</v>
      </c>
      <c r="P1365" s="35">
        <f>IFERROR(__xludf.DUMMYFUNCTION("""COMPUTED_VALUE"""),12386.0)</f>
        <v>12386</v>
      </c>
      <c r="Q1365" s="35">
        <f>IFERROR(__xludf.DUMMYFUNCTION("""COMPUTED_VALUE"""),15764.0)</f>
        <v>15764</v>
      </c>
    </row>
    <row r="1366">
      <c r="A1366" s="35">
        <f>IFERROR(__xludf.DUMMYFUNCTION("""COMPUTED_VALUE"""),1482.0)</f>
        <v>1482</v>
      </c>
      <c r="B1366" s="35" t="str">
        <f>IFERROR(__xludf.DUMMYFUNCTION("""COMPUTED_VALUE"""),"How Many Numbers Are Smaller Than the Current Number")</f>
        <v>How Many Numbers Are Smaller Than the Current Number</v>
      </c>
      <c r="C1366" s="35" t="str">
        <f>IFERROR(__xludf.DUMMYFUNCTION("""COMPUTED_VALUE"""),"how-many-numbers-are-smaller-than-the-current-number")</f>
        <v>how-many-numbers-are-smaller-than-the-current-number</v>
      </c>
      <c r="D1366" s="35" t="b">
        <f>IFERROR(__xludf.DUMMYFUNCTION("""COMPUTED_VALUE"""),FALSE)</f>
        <v>0</v>
      </c>
      <c r="E1366" s="35" t="str">
        <f>IFERROR(__xludf.DUMMYFUNCTION("""COMPUTED_VALUE"""),"Easy")</f>
        <v>Easy</v>
      </c>
      <c r="F1366" s="35">
        <f>IFERROR(__xludf.DUMMYFUNCTION("""COMPUTED_VALUE"""),2902.0)</f>
        <v>2902</v>
      </c>
      <c r="G1366" s="35">
        <f>IFERROR(__xludf.DUMMYFUNCTION("""COMPUTED_VALUE"""),60.0)</f>
        <v>60</v>
      </c>
      <c r="H1366" s="35" t="str">
        <f>IFERROR(__xludf.DUMMYFUNCTION("""COMPUTED_VALUE"""),"Algorithms")</f>
        <v>Algorithms</v>
      </c>
      <c r="I1366" s="35">
        <f>IFERROR(__xludf.DUMMYFUNCTION("""COMPUTED_VALUE"""),0.863)</f>
        <v>0.863</v>
      </c>
      <c r="J1366" s="35">
        <f>IFERROR(__xludf.DUMMYFUNCTION("""COMPUTED_VALUE"""),1365.0)</f>
        <v>1365</v>
      </c>
      <c r="K1366" s="35" t="b">
        <f>IFERROR(__xludf.DUMMYFUNCTION("""COMPUTED_VALUE"""),FALSE)</f>
        <v>0</v>
      </c>
      <c r="L1366" s="35" t="str">
        <f>IFERROR(__xludf.DUMMYFUNCTION("""COMPUTED_VALUE"""),"Array;Hash Table;Sorting;Counting;")</f>
        <v>Array;Hash Table;Sorting;Counting;</v>
      </c>
      <c r="M1366" s="35" t="b">
        <f>IFERROR(__xludf.DUMMYFUNCTION("""COMPUTED_VALUE"""),FALSE)</f>
        <v>0</v>
      </c>
      <c r="N1366" s="35" t="b">
        <f>IFERROR(__xludf.DUMMYFUNCTION("""COMPUTED_VALUE"""),FALSE)</f>
        <v>0</v>
      </c>
      <c r="O1366" s="35">
        <f>IFERROR(__xludf.DUMMYFUNCTION("""COMPUTED_VALUE"""),86.2511645018305)</f>
        <v>86.2511645</v>
      </c>
      <c r="P1366" s="35">
        <f>IFERROR(__xludf.DUMMYFUNCTION("""COMPUTED_VALUE"""),290706.0)</f>
        <v>290706</v>
      </c>
      <c r="Q1366" s="35">
        <f>IFERROR(__xludf.DUMMYFUNCTION("""COMPUTED_VALUE"""),337046.0)</f>
        <v>337046</v>
      </c>
    </row>
    <row r="1367">
      <c r="A1367" s="35">
        <f>IFERROR(__xludf.DUMMYFUNCTION("""COMPUTED_VALUE"""),1483.0)</f>
        <v>1483</v>
      </c>
      <c r="B1367" s="35" t="str">
        <f>IFERROR(__xludf.DUMMYFUNCTION("""COMPUTED_VALUE"""),"Rank Teams by Votes")</f>
        <v>Rank Teams by Votes</v>
      </c>
      <c r="C1367" s="35" t="str">
        <f>IFERROR(__xludf.DUMMYFUNCTION("""COMPUTED_VALUE"""),"rank-teams-by-votes")</f>
        <v>rank-teams-by-votes</v>
      </c>
      <c r="D1367" s="35" t="b">
        <f>IFERROR(__xludf.DUMMYFUNCTION("""COMPUTED_VALUE"""),FALSE)</f>
        <v>0</v>
      </c>
      <c r="E1367" s="35" t="str">
        <f>IFERROR(__xludf.DUMMYFUNCTION("""COMPUTED_VALUE"""),"Medium")</f>
        <v>Medium</v>
      </c>
      <c r="F1367" s="35">
        <f>IFERROR(__xludf.DUMMYFUNCTION("""COMPUTED_VALUE"""),750.0)</f>
        <v>750</v>
      </c>
      <c r="G1367" s="35">
        <f>IFERROR(__xludf.DUMMYFUNCTION("""COMPUTED_VALUE"""),81.0)</f>
        <v>81</v>
      </c>
      <c r="H1367" s="35" t="str">
        <f>IFERROR(__xludf.DUMMYFUNCTION("""COMPUTED_VALUE"""),"Algorithms")</f>
        <v>Algorithms</v>
      </c>
      <c r="I1367" s="35">
        <f>IFERROR(__xludf.DUMMYFUNCTION("""COMPUTED_VALUE"""),0.587)</f>
        <v>0.587</v>
      </c>
      <c r="J1367" s="35">
        <f>IFERROR(__xludf.DUMMYFUNCTION("""COMPUTED_VALUE"""),1366.0)</f>
        <v>1366</v>
      </c>
      <c r="K1367" s="35" t="b">
        <f>IFERROR(__xludf.DUMMYFUNCTION("""COMPUTED_VALUE"""),FALSE)</f>
        <v>0</v>
      </c>
      <c r="L1367" s="35" t="str">
        <f>IFERROR(__xludf.DUMMYFUNCTION("""COMPUTED_VALUE"""),"Array;Hash Table;String;Sorting;Counting;")</f>
        <v>Array;Hash Table;String;Sorting;Counting;</v>
      </c>
      <c r="M1367" s="35" t="b">
        <f>IFERROR(__xludf.DUMMYFUNCTION("""COMPUTED_VALUE"""),FALSE)</f>
        <v>0</v>
      </c>
      <c r="N1367" s="35" t="b">
        <f>IFERROR(__xludf.DUMMYFUNCTION("""COMPUTED_VALUE"""),FALSE)</f>
        <v>0</v>
      </c>
      <c r="O1367" s="35">
        <f>IFERROR(__xludf.DUMMYFUNCTION("""COMPUTED_VALUE"""),58.7133605998636)</f>
        <v>58.7133606</v>
      </c>
      <c r="P1367" s="35">
        <f>IFERROR(__xludf.DUMMYFUNCTION("""COMPUTED_VALUE"""),34451.0)</f>
        <v>34451</v>
      </c>
      <c r="Q1367" s="35">
        <f>IFERROR(__xludf.DUMMYFUNCTION("""COMPUTED_VALUE"""),58678.0)</f>
        <v>58678</v>
      </c>
    </row>
    <row r="1368">
      <c r="A1368" s="35">
        <f>IFERROR(__xludf.DUMMYFUNCTION("""COMPUTED_VALUE"""),1484.0)</f>
        <v>1484</v>
      </c>
      <c r="B1368" s="35" t="str">
        <f>IFERROR(__xludf.DUMMYFUNCTION("""COMPUTED_VALUE"""),"Linked List in Binary Tree")</f>
        <v>Linked List in Binary Tree</v>
      </c>
      <c r="C1368" s="35" t="str">
        <f>IFERROR(__xludf.DUMMYFUNCTION("""COMPUTED_VALUE"""),"linked-list-in-binary-tree")</f>
        <v>linked-list-in-binary-tree</v>
      </c>
      <c r="D1368" s="35" t="b">
        <f>IFERROR(__xludf.DUMMYFUNCTION("""COMPUTED_VALUE"""),FALSE)</f>
        <v>0</v>
      </c>
      <c r="E1368" s="35" t="str">
        <f>IFERROR(__xludf.DUMMYFUNCTION("""COMPUTED_VALUE"""),"Medium")</f>
        <v>Medium</v>
      </c>
      <c r="F1368" s="35">
        <f>IFERROR(__xludf.DUMMYFUNCTION("""COMPUTED_VALUE"""),1279.0)</f>
        <v>1279</v>
      </c>
      <c r="G1368" s="35">
        <f>IFERROR(__xludf.DUMMYFUNCTION("""COMPUTED_VALUE"""),46.0)</f>
        <v>46</v>
      </c>
      <c r="H1368" s="35" t="str">
        <f>IFERROR(__xludf.DUMMYFUNCTION("""COMPUTED_VALUE"""),"Algorithms")</f>
        <v>Algorithms</v>
      </c>
      <c r="I1368" s="35">
        <f>IFERROR(__xludf.DUMMYFUNCTION("""COMPUTED_VALUE"""),0.424)</f>
        <v>0.424</v>
      </c>
      <c r="J1368" s="35">
        <f>IFERROR(__xludf.DUMMYFUNCTION("""COMPUTED_VALUE"""),1367.0)</f>
        <v>1367</v>
      </c>
      <c r="K1368" s="35" t="b">
        <f>IFERROR(__xludf.DUMMYFUNCTION("""COMPUTED_VALUE"""),FALSE)</f>
        <v>0</v>
      </c>
      <c r="L1368" s="35" t="str">
        <f>IFERROR(__xludf.DUMMYFUNCTION("""COMPUTED_VALUE"""),"Linked List;Tree;Depth-First Search;Breadth-First Search;Binary Tree;")</f>
        <v>Linked List;Tree;Depth-First Search;Breadth-First Search;Binary Tree;</v>
      </c>
      <c r="M1368" s="35" t="b">
        <f>IFERROR(__xludf.DUMMYFUNCTION("""COMPUTED_VALUE"""),FALSE)</f>
        <v>0</v>
      </c>
      <c r="N1368" s="35" t="b">
        <f>IFERROR(__xludf.DUMMYFUNCTION("""COMPUTED_VALUE"""),FALSE)</f>
        <v>0</v>
      </c>
      <c r="O1368" s="35">
        <f>IFERROR(__xludf.DUMMYFUNCTION("""COMPUTED_VALUE"""),42.438080495356)</f>
        <v>42.4380805</v>
      </c>
      <c r="P1368" s="35">
        <f>IFERROR(__xludf.DUMMYFUNCTION("""COMPUTED_VALUE"""),43864.0)</f>
        <v>43864</v>
      </c>
      <c r="Q1368" s="35">
        <f>IFERROR(__xludf.DUMMYFUNCTION("""COMPUTED_VALUE"""),103360.0)</f>
        <v>103360</v>
      </c>
    </row>
    <row r="1369">
      <c r="A1369" s="35">
        <f>IFERROR(__xludf.DUMMYFUNCTION("""COMPUTED_VALUE"""),1485.0)</f>
        <v>1485</v>
      </c>
      <c r="B1369" s="35" t="str">
        <f>IFERROR(__xludf.DUMMYFUNCTION("""COMPUTED_VALUE"""),"Minimum Cost to Make at Least One Valid Path in a Grid")</f>
        <v>Minimum Cost to Make at Least One Valid Path in a Grid</v>
      </c>
      <c r="C1369" s="35" t="str">
        <f>IFERROR(__xludf.DUMMYFUNCTION("""COMPUTED_VALUE"""),"minimum-cost-to-make-at-least-one-valid-path-in-a-grid")</f>
        <v>minimum-cost-to-make-at-least-one-valid-path-in-a-grid</v>
      </c>
      <c r="D1369" s="35" t="b">
        <f>IFERROR(__xludf.DUMMYFUNCTION("""COMPUTED_VALUE"""),FALSE)</f>
        <v>0</v>
      </c>
      <c r="E1369" s="35" t="str">
        <f>IFERROR(__xludf.DUMMYFUNCTION("""COMPUTED_VALUE"""),"Hard")</f>
        <v>Hard</v>
      </c>
      <c r="F1369" s="35">
        <f>IFERROR(__xludf.DUMMYFUNCTION("""COMPUTED_VALUE"""),964.0)</f>
        <v>964</v>
      </c>
      <c r="G1369" s="35">
        <f>IFERROR(__xludf.DUMMYFUNCTION("""COMPUTED_VALUE"""),7.0)</f>
        <v>7</v>
      </c>
      <c r="H1369" s="35" t="str">
        <f>IFERROR(__xludf.DUMMYFUNCTION("""COMPUTED_VALUE"""),"Algorithms")</f>
        <v>Algorithms</v>
      </c>
      <c r="I1369" s="35">
        <f>IFERROR(__xludf.DUMMYFUNCTION("""COMPUTED_VALUE"""),0.604)</f>
        <v>0.604</v>
      </c>
      <c r="J1369" s="35">
        <f>IFERROR(__xludf.DUMMYFUNCTION("""COMPUTED_VALUE"""),1368.0)</f>
        <v>1368</v>
      </c>
      <c r="K1369" s="35" t="b">
        <f>IFERROR(__xludf.DUMMYFUNCTION("""COMPUTED_VALUE"""),FALSE)</f>
        <v>0</v>
      </c>
      <c r="L1369" s="35" t="str">
        <f>IFERROR(__xludf.DUMMYFUNCTION("""COMPUTED_VALUE"""),"Array;Breadth-First Search;Graph;Heap (Priority Queue);Matrix;Shortest Path;")</f>
        <v>Array;Breadth-First Search;Graph;Heap (Priority Queue);Matrix;Shortest Path;</v>
      </c>
      <c r="M1369" s="35" t="b">
        <f>IFERROR(__xludf.DUMMYFUNCTION("""COMPUTED_VALUE"""),FALSE)</f>
        <v>0</v>
      </c>
      <c r="N1369" s="35" t="b">
        <f>IFERROR(__xludf.DUMMYFUNCTION("""COMPUTED_VALUE"""),FALSE)</f>
        <v>0</v>
      </c>
      <c r="O1369" s="35">
        <f>IFERROR(__xludf.DUMMYFUNCTION("""COMPUTED_VALUE"""),60.3680701244209)</f>
        <v>60.36807012</v>
      </c>
      <c r="P1369" s="35">
        <f>IFERROR(__xludf.DUMMYFUNCTION("""COMPUTED_VALUE"""),29063.0)</f>
        <v>29063</v>
      </c>
      <c r="Q1369" s="35">
        <f>IFERROR(__xludf.DUMMYFUNCTION("""COMPUTED_VALUE"""),48143.0)</f>
        <v>48143</v>
      </c>
    </row>
    <row r="1370">
      <c r="A1370" s="35">
        <f>IFERROR(__xludf.DUMMYFUNCTION("""COMPUTED_VALUE"""),1504.0)</f>
        <v>1504</v>
      </c>
      <c r="B1370" s="35" t="str">
        <f>IFERROR(__xludf.DUMMYFUNCTION("""COMPUTED_VALUE"""),"Get the Second Most Recent Activity")</f>
        <v>Get the Second Most Recent Activity</v>
      </c>
      <c r="C1370" s="35" t="str">
        <f>IFERROR(__xludf.DUMMYFUNCTION("""COMPUTED_VALUE"""),"get-the-second-most-recent-activity")</f>
        <v>get-the-second-most-recent-activity</v>
      </c>
      <c r="D1370" s="35" t="b">
        <f>IFERROR(__xludf.DUMMYFUNCTION("""COMPUTED_VALUE"""),TRUE)</f>
        <v>1</v>
      </c>
      <c r="E1370" s="35" t="str">
        <f>IFERROR(__xludf.DUMMYFUNCTION("""COMPUTED_VALUE"""),"Hard")</f>
        <v>Hard</v>
      </c>
      <c r="F1370" s="35">
        <f>IFERROR(__xludf.DUMMYFUNCTION("""COMPUTED_VALUE"""),101.0)</f>
        <v>101</v>
      </c>
      <c r="G1370" s="35">
        <f>IFERROR(__xludf.DUMMYFUNCTION("""COMPUTED_VALUE"""),8.0)</f>
        <v>8</v>
      </c>
      <c r="H1370" s="35" t="str">
        <f>IFERROR(__xludf.DUMMYFUNCTION("""COMPUTED_VALUE"""),"Database")</f>
        <v>Database</v>
      </c>
      <c r="I1370" s="35">
        <f>IFERROR(__xludf.DUMMYFUNCTION("""COMPUTED_VALUE"""),0.688)</f>
        <v>0.688</v>
      </c>
      <c r="J1370" s="35">
        <f>IFERROR(__xludf.DUMMYFUNCTION("""COMPUTED_VALUE"""),1369.0)</f>
        <v>1369</v>
      </c>
      <c r="K1370" s="35" t="b">
        <f>IFERROR(__xludf.DUMMYFUNCTION("""COMPUTED_VALUE"""),TRUE)</f>
        <v>1</v>
      </c>
      <c r="L1370" s="35" t="str">
        <f>IFERROR(__xludf.DUMMYFUNCTION("""COMPUTED_VALUE"""),"Database;")</f>
        <v>Database;</v>
      </c>
      <c r="M1370" s="35" t="b">
        <f>IFERROR(__xludf.DUMMYFUNCTION("""COMPUTED_VALUE"""),FALSE)</f>
        <v>0</v>
      </c>
      <c r="N1370" s="35" t="b">
        <f>IFERROR(__xludf.DUMMYFUNCTION("""COMPUTED_VALUE"""),FALSE)</f>
        <v>0</v>
      </c>
      <c r="O1370" s="35">
        <f>IFERROR(__xludf.DUMMYFUNCTION("""COMPUTED_VALUE"""),68.8046964178942)</f>
        <v>68.80469642</v>
      </c>
      <c r="P1370" s="35">
        <f>IFERROR(__xludf.DUMMYFUNCTION("""COMPUTED_VALUE"""),12658.0)</f>
        <v>12658</v>
      </c>
      <c r="Q1370" s="35">
        <f>IFERROR(__xludf.DUMMYFUNCTION("""COMPUTED_VALUE"""),18397.0)</f>
        <v>18397</v>
      </c>
    </row>
    <row r="1371">
      <c r="A1371" s="35">
        <f>IFERROR(__xludf.DUMMYFUNCTION("""COMPUTED_VALUE"""),1472.0)</f>
        <v>1472</v>
      </c>
      <c r="B1371" s="35" t="str">
        <f>IFERROR(__xludf.DUMMYFUNCTION("""COMPUTED_VALUE"""),"Increasing Decreasing String")</f>
        <v>Increasing Decreasing String</v>
      </c>
      <c r="C1371" s="35" t="str">
        <f>IFERROR(__xludf.DUMMYFUNCTION("""COMPUTED_VALUE"""),"increasing-decreasing-string")</f>
        <v>increasing-decreasing-string</v>
      </c>
      <c r="D1371" s="35" t="b">
        <f>IFERROR(__xludf.DUMMYFUNCTION("""COMPUTED_VALUE"""),FALSE)</f>
        <v>0</v>
      </c>
      <c r="E1371" s="35" t="str">
        <f>IFERROR(__xludf.DUMMYFUNCTION("""COMPUTED_VALUE"""),"Easy")</f>
        <v>Easy</v>
      </c>
      <c r="F1371" s="35">
        <f>IFERROR(__xludf.DUMMYFUNCTION("""COMPUTED_VALUE"""),489.0)</f>
        <v>489</v>
      </c>
      <c r="G1371" s="35">
        <f>IFERROR(__xludf.DUMMYFUNCTION("""COMPUTED_VALUE"""),585.0)</f>
        <v>585</v>
      </c>
      <c r="H1371" s="35" t="str">
        <f>IFERROR(__xludf.DUMMYFUNCTION("""COMPUTED_VALUE"""),"Algorithms")</f>
        <v>Algorithms</v>
      </c>
      <c r="I1371" s="35">
        <f>IFERROR(__xludf.DUMMYFUNCTION("""COMPUTED_VALUE"""),0.777)</f>
        <v>0.777</v>
      </c>
      <c r="J1371" s="35">
        <f>IFERROR(__xludf.DUMMYFUNCTION("""COMPUTED_VALUE"""),1370.0)</f>
        <v>1370</v>
      </c>
      <c r="K1371" s="35" t="b">
        <f>IFERROR(__xludf.DUMMYFUNCTION("""COMPUTED_VALUE"""),FALSE)</f>
        <v>0</v>
      </c>
      <c r="L1371" s="35" t="str">
        <f>IFERROR(__xludf.DUMMYFUNCTION("""COMPUTED_VALUE"""),"Hash Table;String;Counting;")</f>
        <v>Hash Table;String;Counting;</v>
      </c>
      <c r="M1371" s="35" t="b">
        <f>IFERROR(__xludf.DUMMYFUNCTION("""COMPUTED_VALUE"""),FALSE)</f>
        <v>0</v>
      </c>
      <c r="N1371" s="35" t="b">
        <f>IFERROR(__xludf.DUMMYFUNCTION("""COMPUTED_VALUE"""),FALSE)</f>
        <v>0</v>
      </c>
      <c r="O1371" s="35">
        <f>IFERROR(__xludf.DUMMYFUNCTION("""COMPUTED_VALUE"""),77.7364694729982)</f>
        <v>77.73646947</v>
      </c>
      <c r="P1371" s="35">
        <f>IFERROR(__xludf.DUMMYFUNCTION("""COMPUTED_VALUE"""),52482.0)</f>
        <v>52482</v>
      </c>
      <c r="Q1371" s="35">
        <f>IFERROR(__xludf.DUMMYFUNCTION("""COMPUTED_VALUE"""),67513.0)</f>
        <v>67513</v>
      </c>
    </row>
    <row r="1372">
      <c r="A1372" s="35">
        <f>IFERROR(__xludf.DUMMYFUNCTION("""COMPUTED_VALUE"""),1473.0)</f>
        <v>1473</v>
      </c>
      <c r="B1372" s="35" t="str">
        <f>IFERROR(__xludf.DUMMYFUNCTION("""COMPUTED_VALUE"""),"Find the Longest Substring Containing Vowels in Even Counts")</f>
        <v>Find the Longest Substring Containing Vowels in Even Counts</v>
      </c>
      <c r="C1372" s="35" t="str">
        <f>IFERROR(__xludf.DUMMYFUNCTION("""COMPUTED_VALUE"""),"find-the-longest-substring-containing-vowels-in-even-counts")</f>
        <v>find-the-longest-substring-containing-vowels-in-even-counts</v>
      </c>
      <c r="D1372" s="35" t="b">
        <f>IFERROR(__xludf.DUMMYFUNCTION("""COMPUTED_VALUE"""),FALSE)</f>
        <v>0</v>
      </c>
      <c r="E1372" s="35" t="str">
        <f>IFERROR(__xludf.DUMMYFUNCTION("""COMPUTED_VALUE"""),"Medium")</f>
        <v>Medium</v>
      </c>
      <c r="F1372" s="35">
        <f>IFERROR(__xludf.DUMMYFUNCTION("""COMPUTED_VALUE"""),1054.0)</f>
        <v>1054</v>
      </c>
      <c r="G1372" s="35">
        <f>IFERROR(__xludf.DUMMYFUNCTION("""COMPUTED_VALUE"""),40.0)</f>
        <v>40</v>
      </c>
      <c r="H1372" s="35" t="str">
        <f>IFERROR(__xludf.DUMMYFUNCTION("""COMPUTED_VALUE"""),"Algorithms")</f>
        <v>Algorithms</v>
      </c>
      <c r="I1372" s="35">
        <f>IFERROR(__xludf.DUMMYFUNCTION("""COMPUTED_VALUE"""),0.623)</f>
        <v>0.623</v>
      </c>
      <c r="J1372" s="35">
        <f>IFERROR(__xludf.DUMMYFUNCTION("""COMPUTED_VALUE"""),1371.0)</f>
        <v>1371</v>
      </c>
      <c r="K1372" s="35" t="b">
        <f>IFERROR(__xludf.DUMMYFUNCTION("""COMPUTED_VALUE"""),FALSE)</f>
        <v>0</v>
      </c>
      <c r="L1372" s="35" t="str">
        <f>IFERROR(__xludf.DUMMYFUNCTION("""COMPUTED_VALUE"""),"Hash Table;String;Bit Manipulation;Prefix Sum;")</f>
        <v>Hash Table;String;Bit Manipulation;Prefix Sum;</v>
      </c>
      <c r="M1372" s="35" t="b">
        <f>IFERROR(__xludf.DUMMYFUNCTION("""COMPUTED_VALUE"""),FALSE)</f>
        <v>0</v>
      </c>
      <c r="N1372" s="35" t="b">
        <f>IFERROR(__xludf.DUMMYFUNCTION("""COMPUTED_VALUE"""),FALSE)</f>
        <v>0</v>
      </c>
      <c r="O1372" s="35">
        <f>IFERROR(__xludf.DUMMYFUNCTION("""COMPUTED_VALUE"""),62.3463491507617)</f>
        <v>62.34634915</v>
      </c>
      <c r="P1372" s="35">
        <f>IFERROR(__xludf.DUMMYFUNCTION("""COMPUTED_VALUE"""),17803.0)</f>
        <v>17803</v>
      </c>
      <c r="Q1372" s="35">
        <f>IFERROR(__xludf.DUMMYFUNCTION("""COMPUTED_VALUE"""),28555.0)</f>
        <v>28555</v>
      </c>
    </row>
    <row r="1373">
      <c r="A1373" s="35">
        <f>IFERROR(__xludf.DUMMYFUNCTION("""COMPUTED_VALUE"""),1474.0)</f>
        <v>1474</v>
      </c>
      <c r="B1373" s="35" t="str">
        <f>IFERROR(__xludf.DUMMYFUNCTION("""COMPUTED_VALUE"""),"Longest ZigZag Path in a Binary Tree")</f>
        <v>Longest ZigZag Path in a Binary Tree</v>
      </c>
      <c r="C1373" s="35" t="str">
        <f>IFERROR(__xludf.DUMMYFUNCTION("""COMPUTED_VALUE"""),"longest-zigzag-path-in-a-binary-tree")</f>
        <v>longest-zigzag-path-in-a-binary-tree</v>
      </c>
      <c r="D1373" s="35" t="b">
        <f>IFERROR(__xludf.DUMMYFUNCTION("""COMPUTED_VALUE"""),FALSE)</f>
        <v>0</v>
      </c>
      <c r="E1373" s="35" t="str">
        <f>IFERROR(__xludf.DUMMYFUNCTION("""COMPUTED_VALUE"""),"Medium")</f>
        <v>Medium</v>
      </c>
      <c r="F1373" s="35">
        <f>IFERROR(__xludf.DUMMYFUNCTION("""COMPUTED_VALUE"""),1016.0)</f>
        <v>1016</v>
      </c>
      <c r="G1373" s="35">
        <f>IFERROR(__xludf.DUMMYFUNCTION("""COMPUTED_VALUE"""),20.0)</f>
        <v>20</v>
      </c>
      <c r="H1373" s="35" t="str">
        <f>IFERROR(__xludf.DUMMYFUNCTION("""COMPUTED_VALUE"""),"Algorithms")</f>
        <v>Algorithms</v>
      </c>
      <c r="I1373" s="35">
        <f>IFERROR(__xludf.DUMMYFUNCTION("""COMPUTED_VALUE"""),0.579)</f>
        <v>0.579</v>
      </c>
      <c r="J1373" s="35">
        <f>IFERROR(__xludf.DUMMYFUNCTION("""COMPUTED_VALUE"""),1372.0)</f>
        <v>1372</v>
      </c>
      <c r="K1373" s="35" t="b">
        <f>IFERROR(__xludf.DUMMYFUNCTION("""COMPUTED_VALUE"""),FALSE)</f>
        <v>0</v>
      </c>
      <c r="L1373" s="35" t="str">
        <f>IFERROR(__xludf.DUMMYFUNCTION("""COMPUTED_VALUE"""),"Dynamic Programming;Tree;Depth-First Search;Binary Tree;")</f>
        <v>Dynamic Programming;Tree;Depth-First Search;Binary Tree;</v>
      </c>
      <c r="M1373" s="35" t="b">
        <f>IFERROR(__xludf.DUMMYFUNCTION("""COMPUTED_VALUE"""),FALSE)</f>
        <v>0</v>
      </c>
      <c r="N1373" s="35" t="b">
        <f>IFERROR(__xludf.DUMMYFUNCTION("""COMPUTED_VALUE"""),FALSE)</f>
        <v>0</v>
      </c>
      <c r="O1373" s="35">
        <f>IFERROR(__xludf.DUMMYFUNCTION("""COMPUTED_VALUE"""),57.8780851714034)</f>
        <v>57.87808517</v>
      </c>
      <c r="P1373" s="35">
        <f>IFERROR(__xludf.DUMMYFUNCTION("""COMPUTED_VALUE"""),32194.0)</f>
        <v>32194</v>
      </c>
      <c r="Q1373" s="35">
        <f>IFERROR(__xludf.DUMMYFUNCTION("""COMPUTED_VALUE"""),55623.0)</f>
        <v>55623</v>
      </c>
    </row>
    <row r="1374">
      <c r="A1374" s="35">
        <f>IFERROR(__xludf.DUMMYFUNCTION("""COMPUTED_VALUE"""),1475.0)</f>
        <v>1475</v>
      </c>
      <c r="B1374" s="35" t="str">
        <f>IFERROR(__xludf.DUMMYFUNCTION("""COMPUTED_VALUE"""),"Maximum Sum BST in Binary Tree")</f>
        <v>Maximum Sum BST in Binary Tree</v>
      </c>
      <c r="C1374" s="35" t="str">
        <f>IFERROR(__xludf.DUMMYFUNCTION("""COMPUTED_VALUE"""),"maximum-sum-bst-in-binary-tree")</f>
        <v>maximum-sum-bst-in-binary-tree</v>
      </c>
      <c r="D1374" s="35" t="b">
        <f>IFERROR(__xludf.DUMMYFUNCTION("""COMPUTED_VALUE"""),FALSE)</f>
        <v>0</v>
      </c>
      <c r="E1374" s="35" t="str">
        <f>IFERROR(__xludf.DUMMYFUNCTION("""COMPUTED_VALUE"""),"Hard")</f>
        <v>Hard</v>
      </c>
      <c r="F1374" s="35">
        <f>IFERROR(__xludf.DUMMYFUNCTION("""COMPUTED_VALUE"""),1006.0)</f>
        <v>1006</v>
      </c>
      <c r="G1374" s="35">
        <f>IFERROR(__xludf.DUMMYFUNCTION("""COMPUTED_VALUE"""),117.0)</f>
        <v>117</v>
      </c>
      <c r="H1374" s="35" t="str">
        <f>IFERROR(__xludf.DUMMYFUNCTION("""COMPUTED_VALUE"""),"Algorithms")</f>
        <v>Algorithms</v>
      </c>
      <c r="I1374" s="35">
        <f>IFERROR(__xludf.DUMMYFUNCTION("""COMPUTED_VALUE"""),0.386)</f>
        <v>0.386</v>
      </c>
      <c r="J1374" s="35">
        <f>IFERROR(__xludf.DUMMYFUNCTION("""COMPUTED_VALUE"""),1373.0)</f>
        <v>1373</v>
      </c>
      <c r="K1374" s="35" t="b">
        <f>IFERROR(__xludf.DUMMYFUNCTION("""COMPUTED_VALUE"""),FALSE)</f>
        <v>0</v>
      </c>
      <c r="L1374" s="35" t="str">
        <f>IFERROR(__xludf.DUMMYFUNCTION("""COMPUTED_VALUE"""),"Dynamic Programming;Tree;Depth-First Search;Binary Search Tree;Binary Tree;")</f>
        <v>Dynamic Programming;Tree;Depth-First Search;Binary Search Tree;Binary Tree;</v>
      </c>
      <c r="M1374" s="35" t="b">
        <f>IFERROR(__xludf.DUMMYFUNCTION("""COMPUTED_VALUE"""),FALSE)</f>
        <v>0</v>
      </c>
      <c r="N1374" s="35" t="b">
        <f>IFERROR(__xludf.DUMMYFUNCTION("""COMPUTED_VALUE"""),FALSE)</f>
        <v>0</v>
      </c>
      <c r="O1374" s="35">
        <f>IFERROR(__xludf.DUMMYFUNCTION("""COMPUTED_VALUE"""),38.5519705836656)</f>
        <v>38.55197058</v>
      </c>
      <c r="P1374" s="35">
        <f>IFERROR(__xludf.DUMMYFUNCTION("""COMPUTED_VALUE"""),29776.0)</f>
        <v>29776</v>
      </c>
      <c r="Q1374" s="35">
        <f>IFERROR(__xludf.DUMMYFUNCTION("""COMPUTED_VALUE"""),77236.0)</f>
        <v>77236</v>
      </c>
    </row>
    <row r="1375">
      <c r="A1375" s="35">
        <f>IFERROR(__xludf.DUMMYFUNCTION("""COMPUTED_VALUE"""),1490.0)</f>
        <v>1490</v>
      </c>
      <c r="B1375" s="35" t="str">
        <f>IFERROR(__xludf.DUMMYFUNCTION("""COMPUTED_VALUE"""),"Generate a String With Characters That Have Odd Counts")</f>
        <v>Generate a String With Characters That Have Odd Counts</v>
      </c>
      <c r="C1375" s="35" t="str">
        <f>IFERROR(__xludf.DUMMYFUNCTION("""COMPUTED_VALUE"""),"generate-a-string-with-characters-that-have-odd-counts")</f>
        <v>generate-a-string-with-characters-that-have-odd-counts</v>
      </c>
      <c r="D1375" s="35" t="b">
        <f>IFERROR(__xludf.DUMMYFUNCTION("""COMPUTED_VALUE"""),FALSE)</f>
        <v>0</v>
      </c>
      <c r="E1375" s="35" t="str">
        <f>IFERROR(__xludf.DUMMYFUNCTION("""COMPUTED_VALUE"""),"Easy")</f>
        <v>Easy</v>
      </c>
      <c r="F1375" s="35">
        <f>IFERROR(__xludf.DUMMYFUNCTION("""COMPUTED_VALUE"""),293.0)</f>
        <v>293</v>
      </c>
      <c r="G1375" s="35">
        <f>IFERROR(__xludf.DUMMYFUNCTION("""COMPUTED_VALUE"""),963.0)</f>
        <v>963</v>
      </c>
      <c r="H1375" s="35" t="str">
        <f>IFERROR(__xludf.DUMMYFUNCTION("""COMPUTED_VALUE"""),"Algorithms")</f>
        <v>Algorithms</v>
      </c>
      <c r="I1375" s="35">
        <f>IFERROR(__xludf.DUMMYFUNCTION("""COMPUTED_VALUE"""),0.773)</f>
        <v>0.773</v>
      </c>
      <c r="J1375" s="35">
        <f>IFERROR(__xludf.DUMMYFUNCTION("""COMPUTED_VALUE"""),1374.0)</f>
        <v>1374</v>
      </c>
      <c r="K1375" s="35" t="b">
        <f>IFERROR(__xludf.DUMMYFUNCTION("""COMPUTED_VALUE"""),FALSE)</f>
        <v>0</v>
      </c>
      <c r="L1375" s="35" t="str">
        <f>IFERROR(__xludf.DUMMYFUNCTION("""COMPUTED_VALUE"""),"String;")</f>
        <v>String;</v>
      </c>
      <c r="M1375" s="35" t="b">
        <f>IFERROR(__xludf.DUMMYFUNCTION("""COMPUTED_VALUE"""),FALSE)</f>
        <v>0</v>
      </c>
      <c r="N1375" s="35" t="b">
        <f>IFERROR(__xludf.DUMMYFUNCTION("""COMPUTED_VALUE"""),FALSE)</f>
        <v>0</v>
      </c>
      <c r="O1375" s="35">
        <f>IFERROR(__xludf.DUMMYFUNCTION("""COMPUTED_VALUE"""),77.3113837929777)</f>
        <v>77.31138379</v>
      </c>
      <c r="P1375" s="35">
        <f>IFERROR(__xludf.DUMMYFUNCTION("""COMPUTED_VALUE"""),63634.0)</f>
        <v>63634</v>
      </c>
      <c r="Q1375" s="35">
        <f>IFERROR(__xludf.DUMMYFUNCTION("""COMPUTED_VALUE"""),82309.0)</f>
        <v>82309</v>
      </c>
    </row>
    <row r="1376">
      <c r="A1376" s="35">
        <f>IFERROR(__xludf.DUMMYFUNCTION("""COMPUTED_VALUE"""),1491.0)</f>
        <v>1491</v>
      </c>
      <c r="B1376" s="35" t="str">
        <f>IFERROR(__xludf.DUMMYFUNCTION("""COMPUTED_VALUE"""),"Number of Times Binary String Is Prefix-Aligned")</f>
        <v>Number of Times Binary String Is Prefix-Aligned</v>
      </c>
      <c r="C1376" s="35" t="str">
        <f>IFERROR(__xludf.DUMMYFUNCTION("""COMPUTED_VALUE"""),"number-of-times-binary-string-is-prefix-aligned")</f>
        <v>number-of-times-binary-string-is-prefix-aligned</v>
      </c>
      <c r="D1376" s="35" t="b">
        <f>IFERROR(__xludf.DUMMYFUNCTION("""COMPUTED_VALUE"""),FALSE)</f>
        <v>0</v>
      </c>
      <c r="E1376" s="35" t="str">
        <f>IFERROR(__xludf.DUMMYFUNCTION("""COMPUTED_VALUE"""),"Medium")</f>
        <v>Medium</v>
      </c>
      <c r="F1376" s="35">
        <f>IFERROR(__xludf.DUMMYFUNCTION("""COMPUTED_VALUE"""),683.0)</f>
        <v>683</v>
      </c>
      <c r="G1376" s="35">
        <f>IFERROR(__xludf.DUMMYFUNCTION("""COMPUTED_VALUE"""),108.0)</f>
        <v>108</v>
      </c>
      <c r="H1376" s="35" t="str">
        <f>IFERROR(__xludf.DUMMYFUNCTION("""COMPUTED_VALUE"""),"Algorithms")</f>
        <v>Algorithms</v>
      </c>
      <c r="I1376" s="35">
        <f>IFERROR(__xludf.DUMMYFUNCTION("""COMPUTED_VALUE"""),0.655)</f>
        <v>0.655</v>
      </c>
      <c r="J1376" s="35">
        <f>IFERROR(__xludf.DUMMYFUNCTION("""COMPUTED_VALUE"""),1375.0)</f>
        <v>1375</v>
      </c>
      <c r="K1376" s="35" t="b">
        <f>IFERROR(__xludf.DUMMYFUNCTION("""COMPUTED_VALUE"""),FALSE)</f>
        <v>0</v>
      </c>
      <c r="L1376" s="35" t="str">
        <f>IFERROR(__xludf.DUMMYFUNCTION("""COMPUTED_VALUE"""),"Array;")</f>
        <v>Array;</v>
      </c>
      <c r="M1376" s="35" t="b">
        <f>IFERROR(__xludf.DUMMYFUNCTION("""COMPUTED_VALUE"""),FALSE)</f>
        <v>0</v>
      </c>
      <c r="N1376" s="35" t="b">
        <f>IFERROR(__xludf.DUMMYFUNCTION("""COMPUTED_VALUE"""),FALSE)</f>
        <v>0</v>
      </c>
      <c r="O1376" s="35">
        <f>IFERROR(__xludf.DUMMYFUNCTION("""COMPUTED_VALUE"""),65.5495724878283)</f>
        <v>65.54957249</v>
      </c>
      <c r="P1376" s="35">
        <f>IFERROR(__xludf.DUMMYFUNCTION("""COMPUTED_VALUE"""),38101.0)</f>
        <v>38101</v>
      </c>
      <c r="Q1376" s="35">
        <f>IFERROR(__xludf.DUMMYFUNCTION("""COMPUTED_VALUE"""),58126.0)</f>
        <v>58126</v>
      </c>
    </row>
    <row r="1377">
      <c r="A1377" s="35">
        <f>IFERROR(__xludf.DUMMYFUNCTION("""COMPUTED_VALUE"""),1492.0)</f>
        <v>1492</v>
      </c>
      <c r="B1377" s="35" t="str">
        <f>IFERROR(__xludf.DUMMYFUNCTION("""COMPUTED_VALUE"""),"Time Needed to Inform All Employees")</f>
        <v>Time Needed to Inform All Employees</v>
      </c>
      <c r="C1377" s="35" t="str">
        <f>IFERROR(__xludf.DUMMYFUNCTION("""COMPUTED_VALUE"""),"time-needed-to-inform-all-employees")</f>
        <v>time-needed-to-inform-all-employees</v>
      </c>
      <c r="D1377" s="35" t="b">
        <f>IFERROR(__xludf.DUMMYFUNCTION("""COMPUTED_VALUE"""),FALSE)</f>
        <v>0</v>
      </c>
      <c r="E1377" s="35" t="str">
        <f>IFERROR(__xludf.DUMMYFUNCTION("""COMPUTED_VALUE"""),"Medium")</f>
        <v>Medium</v>
      </c>
      <c r="F1377" s="35">
        <f>IFERROR(__xludf.DUMMYFUNCTION("""COMPUTED_VALUE"""),1523.0)</f>
        <v>1523</v>
      </c>
      <c r="G1377" s="35">
        <f>IFERROR(__xludf.DUMMYFUNCTION("""COMPUTED_VALUE"""),89.0)</f>
        <v>89</v>
      </c>
      <c r="H1377" s="35" t="str">
        <f>IFERROR(__xludf.DUMMYFUNCTION("""COMPUTED_VALUE"""),"Algorithms")</f>
        <v>Algorithms</v>
      </c>
      <c r="I1377" s="35">
        <f>IFERROR(__xludf.DUMMYFUNCTION("""COMPUTED_VALUE"""),0.579)</f>
        <v>0.579</v>
      </c>
      <c r="J1377" s="35">
        <f>IFERROR(__xludf.DUMMYFUNCTION("""COMPUTED_VALUE"""),1376.0)</f>
        <v>1376</v>
      </c>
      <c r="K1377" s="35" t="b">
        <f>IFERROR(__xludf.DUMMYFUNCTION("""COMPUTED_VALUE"""),FALSE)</f>
        <v>0</v>
      </c>
      <c r="L1377" s="35" t="str">
        <f>IFERROR(__xludf.DUMMYFUNCTION("""COMPUTED_VALUE"""),"Tree;Depth-First Search;Breadth-First Search;")</f>
        <v>Tree;Depth-First Search;Breadth-First Search;</v>
      </c>
      <c r="M1377" s="35" t="b">
        <f>IFERROR(__xludf.DUMMYFUNCTION("""COMPUTED_VALUE"""),FALSE)</f>
        <v>0</v>
      </c>
      <c r="N1377" s="35" t="b">
        <f>IFERROR(__xludf.DUMMYFUNCTION("""COMPUTED_VALUE"""),FALSE)</f>
        <v>0</v>
      </c>
      <c r="O1377" s="35">
        <f>IFERROR(__xludf.DUMMYFUNCTION("""COMPUTED_VALUE"""),57.8534329420135)</f>
        <v>57.85343294</v>
      </c>
      <c r="P1377" s="35">
        <f>IFERROR(__xludf.DUMMYFUNCTION("""COMPUTED_VALUE"""),81283.0)</f>
        <v>81283</v>
      </c>
      <c r="Q1377" s="35">
        <f>IFERROR(__xludf.DUMMYFUNCTION("""COMPUTED_VALUE"""),140495.0)</f>
        <v>140495</v>
      </c>
    </row>
    <row r="1378">
      <c r="A1378" s="35">
        <f>IFERROR(__xludf.DUMMYFUNCTION("""COMPUTED_VALUE"""),1493.0)</f>
        <v>1493</v>
      </c>
      <c r="B1378" s="35" t="str">
        <f>IFERROR(__xludf.DUMMYFUNCTION("""COMPUTED_VALUE"""),"Frog Position After T Seconds")</f>
        <v>Frog Position After T Seconds</v>
      </c>
      <c r="C1378" s="35" t="str">
        <f>IFERROR(__xludf.DUMMYFUNCTION("""COMPUTED_VALUE"""),"frog-position-after-t-seconds")</f>
        <v>frog-position-after-t-seconds</v>
      </c>
      <c r="D1378" s="35" t="b">
        <f>IFERROR(__xludf.DUMMYFUNCTION("""COMPUTED_VALUE"""),FALSE)</f>
        <v>0</v>
      </c>
      <c r="E1378" s="35" t="str">
        <f>IFERROR(__xludf.DUMMYFUNCTION("""COMPUTED_VALUE"""),"Hard")</f>
        <v>Hard</v>
      </c>
      <c r="F1378" s="35">
        <f>IFERROR(__xludf.DUMMYFUNCTION("""COMPUTED_VALUE"""),388.0)</f>
        <v>388</v>
      </c>
      <c r="G1378" s="35">
        <f>IFERROR(__xludf.DUMMYFUNCTION("""COMPUTED_VALUE"""),90.0)</f>
        <v>90</v>
      </c>
      <c r="H1378" s="35" t="str">
        <f>IFERROR(__xludf.DUMMYFUNCTION("""COMPUTED_VALUE"""),"Algorithms")</f>
        <v>Algorithms</v>
      </c>
      <c r="I1378" s="35">
        <f>IFERROR(__xludf.DUMMYFUNCTION("""COMPUTED_VALUE"""),0.363)</f>
        <v>0.363</v>
      </c>
      <c r="J1378" s="35">
        <f>IFERROR(__xludf.DUMMYFUNCTION("""COMPUTED_VALUE"""),1377.0)</f>
        <v>1377</v>
      </c>
      <c r="K1378" s="35" t="b">
        <f>IFERROR(__xludf.DUMMYFUNCTION("""COMPUTED_VALUE"""),FALSE)</f>
        <v>0</v>
      </c>
      <c r="L1378" s="35" t="str">
        <f>IFERROR(__xludf.DUMMYFUNCTION("""COMPUTED_VALUE"""),"Tree;Depth-First Search;Breadth-First Search;Graph;")</f>
        <v>Tree;Depth-First Search;Breadth-First Search;Graph;</v>
      </c>
      <c r="M1378" s="35" t="b">
        <f>IFERROR(__xludf.DUMMYFUNCTION("""COMPUTED_VALUE"""),FALSE)</f>
        <v>0</v>
      </c>
      <c r="N1378" s="35" t="b">
        <f>IFERROR(__xludf.DUMMYFUNCTION("""COMPUTED_VALUE"""),FALSE)</f>
        <v>0</v>
      </c>
      <c r="O1378" s="35">
        <f>IFERROR(__xludf.DUMMYFUNCTION("""COMPUTED_VALUE"""),36.2578768783325)</f>
        <v>36.25787688</v>
      </c>
      <c r="P1378" s="35">
        <f>IFERROR(__xludf.DUMMYFUNCTION("""COMPUTED_VALUE"""),18699.0)</f>
        <v>18699</v>
      </c>
      <c r="Q1378" s="35">
        <f>IFERROR(__xludf.DUMMYFUNCTION("""COMPUTED_VALUE"""),51573.0)</f>
        <v>51573</v>
      </c>
    </row>
    <row r="1379">
      <c r="A1379" s="35">
        <f>IFERROR(__xludf.DUMMYFUNCTION("""COMPUTED_VALUE"""),1509.0)</f>
        <v>1509</v>
      </c>
      <c r="B1379" s="35" t="str">
        <f>IFERROR(__xludf.DUMMYFUNCTION("""COMPUTED_VALUE"""),"Replace Employee ID With The Unique Identifier")</f>
        <v>Replace Employee ID With The Unique Identifier</v>
      </c>
      <c r="C1379" s="35" t="str">
        <f>IFERROR(__xludf.DUMMYFUNCTION("""COMPUTED_VALUE"""),"replace-employee-id-with-the-unique-identifier")</f>
        <v>replace-employee-id-with-the-unique-identifier</v>
      </c>
      <c r="D1379" s="35" t="b">
        <f>IFERROR(__xludf.DUMMYFUNCTION("""COMPUTED_VALUE"""),TRUE)</f>
        <v>1</v>
      </c>
      <c r="E1379" s="35" t="str">
        <f>IFERROR(__xludf.DUMMYFUNCTION("""COMPUTED_VALUE"""),"Easy")</f>
        <v>Easy</v>
      </c>
      <c r="F1379" s="35">
        <f>IFERROR(__xludf.DUMMYFUNCTION("""COMPUTED_VALUE"""),58.0)</f>
        <v>58</v>
      </c>
      <c r="G1379" s="35">
        <f>IFERROR(__xludf.DUMMYFUNCTION("""COMPUTED_VALUE"""),30.0)</f>
        <v>30</v>
      </c>
      <c r="H1379" s="35" t="str">
        <f>IFERROR(__xludf.DUMMYFUNCTION("""COMPUTED_VALUE"""),"Database")</f>
        <v>Database</v>
      </c>
      <c r="I1379" s="35">
        <f>IFERROR(__xludf.DUMMYFUNCTION("""COMPUTED_VALUE"""),0.911)</f>
        <v>0.911</v>
      </c>
      <c r="J1379" s="35">
        <f>IFERROR(__xludf.DUMMYFUNCTION("""COMPUTED_VALUE"""),1378.0)</f>
        <v>1378</v>
      </c>
      <c r="K1379" s="35" t="b">
        <f>IFERROR(__xludf.DUMMYFUNCTION("""COMPUTED_VALUE"""),TRUE)</f>
        <v>1</v>
      </c>
      <c r="L1379" s="35" t="str">
        <f>IFERROR(__xludf.DUMMYFUNCTION("""COMPUTED_VALUE"""),"Database;")</f>
        <v>Database;</v>
      </c>
      <c r="M1379" s="35" t="b">
        <f>IFERROR(__xludf.DUMMYFUNCTION("""COMPUTED_VALUE"""),FALSE)</f>
        <v>0</v>
      </c>
      <c r="N1379" s="35" t="b">
        <f>IFERROR(__xludf.DUMMYFUNCTION("""COMPUTED_VALUE"""),FALSE)</f>
        <v>0</v>
      </c>
      <c r="O1379" s="35">
        <f>IFERROR(__xludf.DUMMYFUNCTION("""COMPUTED_VALUE"""),91.0732263910329)</f>
        <v>91.07322639</v>
      </c>
      <c r="P1379" s="35">
        <f>IFERROR(__xludf.DUMMYFUNCTION("""COMPUTED_VALUE"""),27138.0)</f>
        <v>27138</v>
      </c>
      <c r="Q1379" s="35">
        <f>IFERROR(__xludf.DUMMYFUNCTION("""COMPUTED_VALUE"""),29798.0)</f>
        <v>29798</v>
      </c>
    </row>
    <row r="1380">
      <c r="A1380" s="35">
        <f>IFERROR(__xludf.DUMMYFUNCTION("""COMPUTED_VALUE"""),1498.0)</f>
        <v>1498</v>
      </c>
      <c r="B1380" s="35" t="str">
        <f>IFERROR(__xludf.DUMMYFUNCTION("""COMPUTED_VALUE"""),"Find a Corresponding Node of a Binary Tree in a Clone of That Tree")</f>
        <v>Find a Corresponding Node of a Binary Tree in a Clone of That Tree</v>
      </c>
      <c r="C1380" s="35" t="str">
        <f>IFERROR(__xludf.DUMMYFUNCTION("""COMPUTED_VALUE"""),"find-a-corresponding-node-of-a-binary-tree-in-a-clone-of-that-tree")</f>
        <v>find-a-corresponding-node-of-a-binary-tree-in-a-clone-of-that-tree</v>
      </c>
      <c r="D1380" s="35" t="b">
        <f>IFERROR(__xludf.DUMMYFUNCTION("""COMPUTED_VALUE"""),FALSE)</f>
        <v>0</v>
      </c>
      <c r="E1380" s="35" t="str">
        <f>IFERROR(__xludf.DUMMYFUNCTION("""COMPUTED_VALUE"""),"Medium")</f>
        <v>Medium</v>
      </c>
      <c r="F1380" s="35">
        <f>IFERROR(__xludf.DUMMYFUNCTION("""COMPUTED_VALUE"""),693.0)</f>
        <v>693</v>
      </c>
      <c r="G1380" s="35">
        <f>IFERROR(__xludf.DUMMYFUNCTION("""COMPUTED_VALUE"""),905.0)</f>
        <v>905</v>
      </c>
      <c r="H1380" s="35" t="str">
        <f>IFERROR(__xludf.DUMMYFUNCTION("""COMPUTED_VALUE"""),"Algorithms")</f>
        <v>Algorithms</v>
      </c>
      <c r="I1380" s="35">
        <f>IFERROR(__xludf.DUMMYFUNCTION("""COMPUTED_VALUE"""),0.854)</f>
        <v>0.854</v>
      </c>
      <c r="J1380" s="35">
        <f>IFERROR(__xludf.DUMMYFUNCTION("""COMPUTED_VALUE"""),1379.0)</f>
        <v>1379</v>
      </c>
      <c r="K1380" s="35" t="b">
        <f>IFERROR(__xludf.DUMMYFUNCTION("""COMPUTED_VALUE"""),FALSE)</f>
        <v>0</v>
      </c>
      <c r="L1380" s="35" t="str">
        <f>IFERROR(__xludf.DUMMYFUNCTION("""COMPUTED_VALUE"""),"Tree;Depth-First Search;Breadth-First Search;Binary Tree;")</f>
        <v>Tree;Depth-First Search;Breadth-First Search;Binary Tree;</v>
      </c>
      <c r="M1380" s="35" t="b">
        <f>IFERROR(__xludf.DUMMYFUNCTION("""COMPUTED_VALUE"""),TRUE)</f>
        <v>1</v>
      </c>
      <c r="N1380" s="35" t="b">
        <f>IFERROR(__xludf.DUMMYFUNCTION("""COMPUTED_VALUE"""),FALSE)</f>
        <v>0</v>
      </c>
      <c r="O1380" s="35">
        <f>IFERROR(__xludf.DUMMYFUNCTION("""COMPUTED_VALUE"""),85.4234702186565)</f>
        <v>85.42347022</v>
      </c>
      <c r="P1380" s="35">
        <f>IFERROR(__xludf.DUMMYFUNCTION("""COMPUTED_VALUE"""),99661.0)</f>
        <v>99661</v>
      </c>
      <c r="Q1380" s="35">
        <f>IFERROR(__xludf.DUMMYFUNCTION("""COMPUTED_VALUE"""),116667.0)</f>
        <v>116667</v>
      </c>
    </row>
    <row r="1381">
      <c r="A1381" s="35">
        <f>IFERROR(__xludf.DUMMYFUNCTION("""COMPUTED_VALUE"""),1496.0)</f>
        <v>1496</v>
      </c>
      <c r="B1381" s="35" t="str">
        <f>IFERROR(__xludf.DUMMYFUNCTION("""COMPUTED_VALUE"""),"Lucky Numbers in a Matrix")</f>
        <v>Lucky Numbers in a Matrix</v>
      </c>
      <c r="C1381" s="35" t="str">
        <f>IFERROR(__xludf.DUMMYFUNCTION("""COMPUTED_VALUE"""),"lucky-numbers-in-a-matrix")</f>
        <v>lucky-numbers-in-a-matrix</v>
      </c>
      <c r="D1381" s="35" t="b">
        <f>IFERROR(__xludf.DUMMYFUNCTION("""COMPUTED_VALUE"""),FALSE)</f>
        <v>0</v>
      </c>
      <c r="E1381" s="35" t="str">
        <f>IFERROR(__xludf.DUMMYFUNCTION("""COMPUTED_VALUE"""),"Easy")</f>
        <v>Easy</v>
      </c>
      <c r="F1381" s="35">
        <f>IFERROR(__xludf.DUMMYFUNCTION("""COMPUTED_VALUE"""),870.0)</f>
        <v>870</v>
      </c>
      <c r="G1381" s="35">
        <f>IFERROR(__xludf.DUMMYFUNCTION("""COMPUTED_VALUE"""),63.0)</f>
        <v>63</v>
      </c>
      <c r="H1381" s="35" t="str">
        <f>IFERROR(__xludf.DUMMYFUNCTION("""COMPUTED_VALUE"""),"Algorithms")</f>
        <v>Algorithms</v>
      </c>
      <c r="I1381" s="35">
        <f>IFERROR(__xludf.DUMMYFUNCTION("""COMPUTED_VALUE"""),0.709)</f>
        <v>0.709</v>
      </c>
      <c r="J1381" s="35">
        <f>IFERROR(__xludf.DUMMYFUNCTION("""COMPUTED_VALUE"""),1380.0)</f>
        <v>1380</v>
      </c>
      <c r="K1381" s="35" t="b">
        <f>IFERROR(__xludf.DUMMYFUNCTION("""COMPUTED_VALUE"""),FALSE)</f>
        <v>0</v>
      </c>
      <c r="L1381" s="35" t="str">
        <f>IFERROR(__xludf.DUMMYFUNCTION("""COMPUTED_VALUE"""),"Array;Matrix;")</f>
        <v>Array;Matrix;</v>
      </c>
      <c r="M1381" s="35" t="b">
        <f>IFERROR(__xludf.DUMMYFUNCTION("""COMPUTED_VALUE"""),FALSE)</f>
        <v>0</v>
      </c>
      <c r="N1381" s="35" t="b">
        <f>IFERROR(__xludf.DUMMYFUNCTION("""COMPUTED_VALUE"""),FALSE)</f>
        <v>0</v>
      </c>
      <c r="O1381" s="35">
        <f>IFERROR(__xludf.DUMMYFUNCTION("""COMPUTED_VALUE"""),70.9354288301045)</f>
        <v>70.93542883</v>
      </c>
      <c r="P1381" s="35">
        <f>IFERROR(__xludf.DUMMYFUNCTION("""COMPUTED_VALUE"""),61113.0)</f>
        <v>61113</v>
      </c>
      <c r="Q1381" s="35">
        <f>IFERROR(__xludf.DUMMYFUNCTION("""COMPUTED_VALUE"""),86153.0)</f>
        <v>86153</v>
      </c>
    </row>
    <row r="1382">
      <c r="A1382" s="35">
        <f>IFERROR(__xludf.DUMMYFUNCTION("""COMPUTED_VALUE"""),1497.0)</f>
        <v>1497</v>
      </c>
      <c r="B1382" s="35" t="str">
        <f>IFERROR(__xludf.DUMMYFUNCTION("""COMPUTED_VALUE"""),"Design a Stack With Increment Operation")</f>
        <v>Design a Stack With Increment Operation</v>
      </c>
      <c r="C1382" s="35" t="str">
        <f>IFERROR(__xludf.DUMMYFUNCTION("""COMPUTED_VALUE"""),"design-a-stack-with-increment-operation")</f>
        <v>design-a-stack-with-increment-operation</v>
      </c>
      <c r="D1382" s="35" t="b">
        <f>IFERROR(__xludf.DUMMYFUNCTION("""COMPUTED_VALUE"""),FALSE)</f>
        <v>0</v>
      </c>
      <c r="E1382" s="35" t="str">
        <f>IFERROR(__xludf.DUMMYFUNCTION("""COMPUTED_VALUE"""),"Medium")</f>
        <v>Medium</v>
      </c>
      <c r="F1382" s="35">
        <f>IFERROR(__xludf.DUMMYFUNCTION("""COMPUTED_VALUE"""),1049.0)</f>
        <v>1049</v>
      </c>
      <c r="G1382" s="35">
        <f>IFERROR(__xludf.DUMMYFUNCTION("""COMPUTED_VALUE"""),66.0)</f>
        <v>66</v>
      </c>
      <c r="H1382" s="35" t="str">
        <f>IFERROR(__xludf.DUMMYFUNCTION("""COMPUTED_VALUE"""),"Algorithms")</f>
        <v>Algorithms</v>
      </c>
      <c r="I1382" s="35">
        <f>IFERROR(__xludf.DUMMYFUNCTION("""COMPUTED_VALUE"""),0.771)</f>
        <v>0.771</v>
      </c>
      <c r="J1382" s="35">
        <f>IFERROR(__xludf.DUMMYFUNCTION("""COMPUTED_VALUE"""),1381.0)</f>
        <v>1381</v>
      </c>
      <c r="K1382" s="35" t="b">
        <f>IFERROR(__xludf.DUMMYFUNCTION("""COMPUTED_VALUE"""),FALSE)</f>
        <v>0</v>
      </c>
      <c r="L1382" s="35" t="str">
        <f>IFERROR(__xludf.DUMMYFUNCTION("""COMPUTED_VALUE"""),"Array;Stack;Design;")</f>
        <v>Array;Stack;Design;</v>
      </c>
      <c r="M1382" s="35" t="b">
        <f>IFERROR(__xludf.DUMMYFUNCTION("""COMPUTED_VALUE"""),FALSE)</f>
        <v>0</v>
      </c>
      <c r="N1382" s="35" t="b">
        <f>IFERROR(__xludf.DUMMYFUNCTION("""COMPUTED_VALUE"""),FALSE)</f>
        <v>0</v>
      </c>
      <c r="O1382" s="35">
        <f>IFERROR(__xludf.DUMMYFUNCTION("""COMPUTED_VALUE"""),77.0583266913312)</f>
        <v>77.05832669</v>
      </c>
      <c r="P1382" s="35">
        <f>IFERROR(__xludf.DUMMYFUNCTION("""COMPUTED_VALUE"""),64774.0)</f>
        <v>64774</v>
      </c>
      <c r="Q1382" s="35">
        <f>IFERROR(__xludf.DUMMYFUNCTION("""COMPUTED_VALUE"""),84059.0)</f>
        <v>84059</v>
      </c>
    </row>
    <row r="1383">
      <c r="A1383" s="35">
        <f>IFERROR(__xludf.DUMMYFUNCTION("""COMPUTED_VALUE"""),1285.0)</f>
        <v>1285</v>
      </c>
      <c r="B1383" s="35" t="str">
        <f>IFERROR(__xludf.DUMMYFUNCTION("""COMPUTED_VALUE"""),"Balance a Binary Search Tree")</f>
        <v>Balance a Binary Search Tree</v>
      </c>
      <c r="C1383" s="35" t="str">
        <f>IFERROR(__xludf.DUMMYFUNCTION("""COMPUTED_VALUE"""),"balance-a-binary-search-tree")</f>
        <v>balance-a-binary-search-tree</v>
      </c>
      <c r="D1383" s="35" t="b">
        <f>IFERROR(__xludf.DUMMYFUNCTION("""COMPUTED_VALUE"""),FALSE)</f>
        <v>0</v>
      </c>
      <c r="E1383" s="35" t="str">
        <f>IFERROR(__xludf.DUMMYFUNCTION("""COMPUTED_VALUE"""),"Medium")</f>
        <v>Medium</v>
      </c>
      <c r="F1383" s="35">
        <f>IFERROR(__xludf.DUMMYFUNCTION("""COMPUTED_VALUE"""),1664.0)</f>
        <v>1664</v>
      </c>
      <c r="G1383" s="35">
        <f>IFERROR(__xludf.DUMMYFUNCTION("""COMPUTED_VALUE"""),54.0)</f>
        <v>54</v>
      </c>
      <c r="H1383" s="35" t="str">
        <f>IFERROR(__xludf.DUMMYFUNCTION("""COMPUTED_VALUE"""),"Algorithms")</f>
        <v>Algorithms</v>
      </c>
      <c r="I1383" s="35">
        <f>IFERROR(__xludf.DUMMYFUNCTION("""COMPUTED_VALUE"""),0.801)</f>
        <v>0.801</v>
      </c>
      <c r="J1383" s="35">
        <f>IFERROR(__xludf.DUMMYFUNCTION("""COMPUTED_VALUE"""),1382.0)</f>
        <v>1382</v>
      </c>
      <c r="K1383" s="35" t="b">
        <f>IFERROR(__xludf.DUMMYFUNCTION("""COMPUTED_VALUE"""),FALSE)</f>
        <v>0</v>
      </c>
      <c r="L1383" s="35" t="str">
        <f>IFERROR(__xludf.DUMMYFUNCTION("""COMPUTED_VALUE"""),"Divide and Conquer;Greedy;Tree;Depth-First Search;Binary Search Tree;Binary Tree;")</f>
        <v>Divide and Conquer;Greedy;Tree;Depth-First Search;Binary Search Tree;Binary Tree;</v>
      </c>
      <c r="M1383" s="35" t="b">
        <f>IFERROR(__xludf.DUMMYFUNCTION("""COMPUTED_VALUE"""),FALSE)</f>
        <v>0</v>
      </c>
      <c r="N1383" s="35" t="b">
        <f>IFERROR(__xludf.DUMMYFUNCTION("""COMPUTED_VALUE"""),FALSE)</f>
        <v>0</v>
      </c>
      <c r="O1383" s="35">
        <f>IFERROR(__xludf.DUMMYFUNCTION("""COMPUTED_VALUE"""),80.1486409034961)</f>
        <v>80.1486409</v>
      </c>
      <c r="P1383" s="35">
        <f>IFERROR(__xludf.DUMMYFUNCTION("""COMPUTED_VALUE"""),85301.0)</f>
        <v>85301</v>
      </c>
      <c r="Q1383" s="35">
        <f>IFERROR(__xludf.DUMMYFUNCTION("""COMPUTED_VALUE"""),106429.0)</f>
        <v>106429</v>
      </c>
    </row>
    <row r="1384">
      <c r="A1384" s="35">
        <f>IFERROR(__xludf.DUMMYFUNCTION("""COMPUTED_VALUE"""),1499.0)</f>
        <v>1499</v>
      </c>
      <c r="B1384" s="35" t="str">
        <f>IFERROR(__xludf.DUMMYFUNCTION("""COMPUTED_VALUE"""),"Maximum Performance of a Team")</f>
        <v>Maximum Performance of a Team</v>
      </c>
      <c r="C1384" s="35" t="str">
        <f>IFERROR(__xludf.DUMMYFUNCTION("""COMPUTED_VALUE"""),"maximum-performance-of-a-team")</f>
        <v>maximum-performance-of-a-team</v>
      </c>
      <c r="D1384" s="35" t="b">
        <f>IFERROR(__xludf.DUMMYFUNCTION("""COMPUTED_VALUE"""),FALSE)</f>
        <v>0</v>
      </c>
      <c r="E1384" s="35" t="str">
        <f>IFERROR(__xludf.DUMMYFUNCTION("""COMPUTED_VALUE"""),"Hard")</f>
        <v>Hard</v>
      </c>
      <c r="F1384" s="35">
        <f>IFERROR(__xludf.DUMMYFUNCTION("""COMPUTED_VALUE"""),1119.0)</f>
        <v>1119</v>
      </c>
      <c r="G1384" s="35">
        <f>IFERROR(__xludf.DUMMYFUNCTION("""COMPUTED_VALUE"""),39.0)</f>
        <v>39</v>
      </c>
      <c r="H1384" s="35" t="str">
        <f>IFERROR(__xludf.DUMMYFUNCTION("""COMPUTED_VALUE"""),"Algorithms")</f>
        <v>Algorithms</v>
      </c>
      <c r="I1384" s="35">
        <f>IFERROR(__xludf.DUMMYFUNCTION("""COMPUTED_VALUE"""),0.414)</f>
        <v>0.414</v>
      </c>
      <c r="J1384" s="35">
        <f>IFERROR(__xludf.DUMMYFUNCTION("""COMPUTED_VALUE"""),1383.0)</f>
        <v>1383</v>
      </c>
      <c r="K1384" s="35" t="b">
        <f>IFERROR(__xludf.DUMMYFUNCTION("""COMPUTED_VALUE"""),FALSE)</f>
        <v>0</v>
      </c>
      <c r="L1384" s="35" t="str">
        <f>IFERROR(__xludf.DUMMYFUNCTION("""COMPUTED_VALUE"""),"Array;Greedy;Sorting;Heap (Priority Queue);")</f>
        <v>Array;Greedy;Sorting;Heap (Priority Queue);</v>
      </c>
      <c r="M1384" s="35" t="b">
        <f>IFERROR(__xludf.DUMMYFUNCTION("""COMPUTED_VALUE"""),TRUE)</f>
        <v>1</v>
      </c>
      <c r="N1384" s="35" t="b">
        <f>IFERROR(__xludf.DUMMYFUNCTION("""COMPUTED_VALUE"""),FALSE)</f>
        <v>0</v>
      </c>
      <c r="O1384" s="35">
        <f>IFERROR(__xludf.DUMMYFUNCTION("""COMPUTED_VALUE"""),41.4267629919025)</f>
        <v>41.42676299</v>
      </c>
      <c r="P1384" s="35">
        <f>IFERROR(__xludf.DUMMYFUNCTION("""COMPUTED_VALUE"""),37960.0)</f>
        <v>37960</v>
      </c>
      <c r="Q1384" s="35">
        <f>IFERROR(__xludf.DUMMYFUNCTION("""COMPUTED_VALUE"""),91632.0)</f>
        <v>91632</v>
      </c>
    </row>
    <row r="1385">
      <c r="A1385" s="35">
        <f>IFERROR(__xludf.DUMMYFUNCTION("""COMPUTED_VALUE"""),1518.0)</f>
        <v>1518</v>
      </c>
      <c r="B1385" s="35" t="str">
        <f>IFERROR(__xludf.DUMMYFUNCTION("""COMPUTED_VALUE"""),"Total Sales Amount by Year")</f>
        <v>Total Sales Amount by Year</v>
      </c>
      <c r="C1385" s="35" t="str">
        <f>IFERROR(__xludf.DUMMYFUNCTION("""COMPUTED_VALUE"""),"total-sales-amount-by-year")</f>
        <v>total-sales-amount-by-year</v>
      </c>
      <c r="D1385" s="35" t="b">
        <f>IFERROR(__xludf.DUMMYFUNCTION("""COMPUTED_VALUE"""),TRUE)</f>
        <v>1</v>
      </c>
      <c r="E1385" s="35" t="str">
        <f>IFERROR(__xludf.DUMMYFUNCTION("""COMPUTED_VALUE"""),"Hard")</f>
        <v>Hard</v>
      </c>
      <c r="F1385" s="35">
        <f>IFERROR(__xludf.DUMMYFUNCTION("""COMPUTED_VALUE"""),132.0)</f>
        <v>132</v>
      </c>
      <c r="G1385" s="35">
        <f>IFERROR(__xludf.DUMMYFUNCTION("""COMPUTED_VALUE"""),64.0)</f>
        <v>64</v>
      </c>
      <c r="H1385" s="35" t="str">
        <f>IFERROR(__xludf.DUMMYFUNCTION("""COMPUTED_VALUE"""),"Database")</f>
        <v>Database</v>
      </c>
      <c r="I1385" s="35">
        <f>IFERROR(__xludf.DUMMYFUNCTION("""COMPUTED_VALUE"""),0.659)</f>
        <v>0.659</v>
      </c>
      <c r="J1385" s="35">
        <f>IFERROR(__xludf.DUMMYFUNCTION("""COMPUTED_VALUE"""),1384.0)</f>
        <v>1384</v>
      </c>
      <c r="K1385" s="35" t="b">
        <f>IFERROR(__xludf.DUMMYFUNCTION("""COMPUTED_VALUE"""),TRUE)</f>
        <v>1</v>
      </c>
      <c r="L1385" s="35" t="str">
        <f>IFERROR(__xludf.DUMMYFUNCTION("""COMPUTED_VALUE"""),"Database;")</f>
        <v>Database;</v>
      </c>
      <c r="M1385" s="35" t="b">
        <f>IFERROR(__xludf.DUMMYFUNCTION("""COMPUTED_VALUE"""),FALSE)</f>
        <v>0</v>
      </c>
      <c r="N1385" s="35" t="b">
        <f>IFERROR(__xludf.DUMMYFUNCTION("""COMPUTED_VALUE"""),FALSE)</f>
        <v>0</v>
      </c>
      <c r="O1385" s="35">
        <f>IFERROR(__xludf.DUMMYFUNCTION("""COMPUTED_VALUE"""),65.8906733461028)</f>
        <v>65.89067335</v>
      </c>
      <c r="P1385" s="35">
        <f>IFERROR(__xludf.DUMMYFUNCTION("""COMPUTED_VALUE"""),8944.0)</f>
        <v>8944</v>
      </c>
      <c r="Q1385" s="35">
        <f>IFERROR(__xludf.DUMMYFUNCTION("""COMPUTED_VALUE"""),13574.0)</f>
        <v>13574</v>
      </c>
    </row>
    <row r="1386">
      <c r="A1386" s="35">
        <f>IFERROR(__xludf.DUMMYFUNCTION("""COMPUTED_VALUE"""),1486.0)</f>
        <v>1486</v>
      </c>
      <c r="B1386" s="35" t="str">
        <f>IFERROR(__xludf.DUMMYFUNCTION("""COMPUTED_VALUE"""),"Find the Distance Value Between Two Arrays")</f>
        <v>Find the Distance Value Between Two Arrays</v>
      </c>
      <c r="C1386" s="35" t="str">
        <f>IFERROR(__xludf.DUMMYFUNCTION("""COMPUTED_VALUE"""),"find-the-distance-value-between-two-arrays")</f>
        <v>find-the-distance-value-between-two-arrays</v>
      </c>
      <c r="D1386" s="35" t="b">
        <f>IFERROR(__xludf.DUMMYFUNCTION("""COMPUTED_VALUE"""),FALSE)</f>
        <v>0</v>
      </c>
      <c r="E1386" s="35" t="str">
        <f>IFERROR(__xludf.DUMMYFUNCTION("""COMPUTED_VALUE"""),"Easy")</f>
        <v>Easy</v>
      </c>
      <c r="F1386" s="35">
        <f>IFERROR(__xludf.DUMMYFUNCTION("""COMPUTED_VALUE"""),297.0)</f>
        <v>297</v>
      </c>
      <c r="G1386" s="35">
        <f>IFERROR(__xludf.DUMMYFUNCTION("""COMPUTED_VALUE"""),1162.0)</f>
        <v>1162</v>
      </c>
      <c r="H1386" s="35" t="str">
        <f>IFERROR(__xludf.DUMMYFUNCTION("""COMPUTED_VALUE"""),"Algorithms")</f>
        <v>Algorithms</v>
      </c>
      <c r="I1386" s="35">
        <f>IFERROR(__xludf.DUMMYFUNCTION("""COMPUTED_VALUE"""),0.661)</f>
        <v>0.661</v>
      </c>
      <c r="J1386" s="35">
        <f>IFERROR(__xludf.DUMMYFUNCTION("""COMPUTED_VALUE"""),1385.0)</f>
        <v>1385</v>
      </c>
      <c r="K1386" s="35" t="b">
        <f>IFERROR(__xludf.DUMMYFUNCTION("""COMPUTED_VALUE"""),FALSE)</f>
        <v>0</v>
      </c>
      <c r="L1386" s="35" t="str">
        <f>IFERROR(__xludf.DUMMYFUNCTION("""COMPUTED_VALUE"""),"Array;Two Pointers;Binary Search;Sorting;")</f>
        <v>Array;Two Pointers;Binary Search;Sorting;</v>
      </c>
      <c r="M1386" s="35" t="b">
        <f>IFERROR(__xludf.DUMMYFUNCTION("""COMPUTED_VALUE"""),FALSE)</f>
        <v>0</v>
      </c>
      <c r="N1386" s="35" t="b">
        <f>IFERROR(__xludf.DUMMYFUNCTION("""COMPUTED_VALUE"""),FALSE)</f>
        <v>0</v>
      </c>
      <c r="O1386" s="35">
        <f>IFERROR(__xludf.DUMMYFUNCTION("""COMPUTED_VALUE"""),66.1135928525845)</f>
        <v>66.11359285</v>
      </c>
      <c r="P1386" s="35">
        <f>IFERROR(__xludf.DUMMYFUNCTION("""COMPUTED_VALUE"""),38332.0)</f>
        <v>38332</v>
      </c>
      <c r="Q1386" s="35">
        <f>IFERROR(__xludf.DUMMYFUNCTION("""COMPUTED_VALUE"""),57979.0)</f>
        <v>57979</v>
      </c>
    </row>
    <row r="1387">
      <c r="A1387" s="35">
        <f>IFERROR(__xludf.DUMMYFUNCTION("""COMPUTED_VALUE"""),1487.0)</f>
        <v>1487</v>
      </c>
      <c r="B1387" s="35" t="str">
        <f>IFERROR(__xludf.DUMMYFUNCTION("""COMPUTED_VALUE"""),"Cinema Seat Allocation")</f>
        <v>Cinema Seat Allocation</v>
      </c>
      <c r="C1387" s="35" t="str">
        <f>IFERROR(__xludf.DUMMYFUNCTION("""COMPUTED_VALUE"""),"cinema-seat-allocation")</f>
        <v>cinema-seat-allocation</v>
      </c>
      <c r="D1387" s="35" t="b">
        <f>IFERROR(__xludf.DUMMYFUNCTION("""COMPUTED_VALUE"""),FALSE)</f>
        <v>0</v>
      </c>
      <c r="E1387" s="35" t="str">
        <f>IFERROR(__xludf.DUMMYFUNCTION("""COMPUTED_VALUE"""),"Medium")</f>
        <v>Medium</v>
      </c>
      <c r="F1387" s="35">
        <f>IFERROR(__xludf.DUMMYFUNCTION("""COMPUTED_VALUE"""),431.0)</f>
        <v>431</v>
      </c>
      <c r="G1387" s="35">
        <f>IFERROR(__xludf.DUMMYFUNCTION("""COMPUTED_VALUE"""),235.0)</f>
        <v>235</v>
      </c>
      <c r="H1387" s="35" t="str">
        <f>IFERROR(__xludf.DUMMYFUNCTION("""COMPUTED_VALUE"""),"Algorithms")</f>
        <v>Algorithms</v>
      </c>
      <c r="I1387" s="35">
        <f>IFERROR(__xludf.DUMMYFUNCTION("""COMPUTED_VALUE"""),0.391)</f>
        <v>0.391</v>
      </c>
      <c r="J1387" s="35">
        <f>IFERROR(__xludf.DUMMYFUNCTION("""COMPUTED_VALUE"""),1386.0)</f>
        <v>1386</v>
      </c>
      <c r="K1387" s="35" t="b">
        <f>IFERROR(__xludf.DUMMYFUNCTION("""COMPUTED_VALUE"""),FALSE)</f>
        <v>0</v>
      </c>
      <c r="L1387" s="35" t="str">
        <f>IFERROR(__xludf.DUMMYFUNCTION("""COMPUTED_VALUE"""),"Array;Hash Table;Greedy;Bit Manipulation;")</f>
        <v>Array;Hash Table;Greedy;Bit Manipulation;</v>
      </c>
      <c r="M1387" s="35" t="b">
        <f>IFERROR(__xludf.DUMMYFUNCTION("""COMPUTED_VALUE"""),FALSE)</f>
        <v>0</v>
      </c>
      <c r="N1387" s="35" t="b">
        <f>IFERROR(__xludf.DUMMYFUNCTION("""COMPUTED_VALUE"""),FALSE)</f>
        <v>0</v>
      </c>
      <c r="O1387" s="35">
        <f>IFERROR(__xludf.DUMMYFUNCTION("""COMPUTED_VALUE"""),39.1446209747687)</f>
        <v>39.14462097</v>
      </c>
      <c r="P1387" s="35">
        <f>IFERROR(__xludf.DUMMYFUNCTION("""COMPUTED_VALUE"""),21115.0)</f>
        <v>21115</v>
      </c>
      <c r="Q1387" s="35">
        <f>IFERROR(__xludf.DUMMYFUNCTION("""COMPUTED_VALUE"""),53941.0)</f>
        <v>53941</v>
      </c>
    </row>
    <row r="1388">
      <c r="A1388" s="35">
        <f>IFERROR(__xludf.DUMMYFUNCTION("""COMPUTED_VALUE"""),1488.0)</f>
        <v>1488</v>
      </c>
      <c r="B1388" s="35" t="str">
        <f>IFERROR(__xludf.DUMMYFUNCTION("""COMPUTED_VALUE"""),"Sort Integers by The Power Value")</f>
        <v>Sort Integers by The Power Value</v>
      </c>
      <c r="C1388" s="35" t="str">
        <f>IFERROR(__xludf.DUMMYFUNCTION("""COMPUTED_VALUE"""),"sort-integers-by-the-power-value")</f>
        <v>sort-integers-by-the-power-value</v>
      </c>
      <c r="D1388" s="35" t="b">
        <f>IFERROR(__xludf.DUMMYFUNCTION("""COMPUTED_VALUE"""),FALSE)</f>
        <v>0</v>
      </c>
      <c r="E1388" s="35" t="str">
        <f>IFERROR(__xludf.DUMMYFUNCTION("""COMPUTED_VALUE"""),"Medium")</f>
        <v>Medium</v>
      </c>
      <c r="F1388" s="35">
        <f>IFERROR(__xludf.DUMMYFUNCTION("""COMPUTED_VALUE"""),791.0)</f>
        <v>791</v>
      </c>
      <c r="G1388" s="35">
        <f>IFERROR(__xludf.DUMMYFUNCTION("""COMPUTED_VALUE"""),89.0)</f>
        <v>89</v>
      </c>
      <c r="H1388" s="35" t="str">
        <f>IFERROR(__xludf.DUMMYFUNCTION("""COMPUTED_VALUE"""),"Algorithms")</f>
        <v>Algorithms</v>
      </c>
      <c r="I1388" s="35">
        <f>IFERROR(__xludf.DUMMYFUNCTION("""COMPUTED_VALUE"""),0.701)</f>
        <v>0.701</v>
      </c>
      <c r="J1388" s="35">
        <f>IFERROR(__xludf.DUMMYFUNCTION("""COMPUTED_VALUE"""),1387.0)</f>
        <v>1387</v>
      </c>
      <c r="K1388" s="35" t="b">
        <f>IFERROR(__xludf.DUMMYFUNCTION("""COMPUTED_VALUE"""),FALSE)</f>
        <v>0</v>
      </c>
      <c r="L1388" s="35" t="str">
        <f>IFERROR(__xludf.DUMMYFUNCTION("""COMPUTED_VALUE"""),"Dynamic Programming;Memoization;Sorting;")</f>
        <v>Dynamic Programming;Memoization;Sorting;</v>
      </c>
      <c r="M1388" s="35" t="b">
        <f>IFERROR(__xludf.DUMMYFUNCTION("""COMPUTED_VALUE"""),FALSE)</f>
        <v>0</v>
      </c>
      <c r="N1388" s="35" t="b">
        <f>IFERROR(__xludf.DUMMYFUNCTION("""COMPUTED_VALUE"""),FALSE)</f>
        <v>0</v>
      </c>
      <c r="O1388" s="35">
        <f>IFERROR(__xludf.DUMMYFUNCTION("""COMPUTED_VALUE"""),70.0615947595569)</f>
        <v>70.06159476</v>
      </c>
      <c r="P1388" s="35">
        <f>IFERROR(__xludf.DUMMYFUNCTION("""COMPUTED_VALUE"""),50161.0)</f>
        <v>50161</v>
      </c>
      <c r="Q1388" s="35">
        <f>IFERROR(__xludf.DUMMYFUNCTION("""COMPUTED_VALUE"""),71594.0)</f>
        <v>71594</v>
      </c>
    </row>
    <row r="1389">
      <c r="A1389" s="35">
        <f>IFERROR(__xludf.DUMMYFUNCTION("""COMPUTED_VALUE"""),1489.0)</f>
        <v>1489</v>
      </c>
      <c r="B1389" s="35" t="str">
        <f>IFERROR(__xludf.DUMMYFUNCTION("""COMPUTED_VALUE"""),"Pizza With 3n Slices")</f>
        <v>Pizza With 3n Slices</v>
      </c>
      <c r="C1389" s="35" t="str">
        <f>IFERROR(__xludf.DUMMYFUNCTION("""COMPUTED_VALUE"""),"pizza-with-3n-slices")</f>
        <v>pizza-with-3n-slices</v>
      </c>
      <c r="D1389" s="35" t="b">
        <f>IFERROR(__xludf.DUMMYFUNCTION("""COMPUTED_VALUE"""),FALSE)</f>
        <v>0</v>
      </c>
      <c r="E1389" s="35" t="str">
        <f>IFERROR(__xludf.DUMMYFUNCTION("""COMPUTED_VALUE"""),"Hard")</f>
        <v>Hard</v>
      </c>
      <c r="F1389" s="35">
        <f>IFERROR(__xludf.DUMMYFUNCTION("""COMPUTED_VALUE"""),511.0)</f>
        <v>511</v>
      </c>
      <c r="G1389" s="35">
        <f>IFERROR(__xludf.DUMMYFUNCTION("""COMPUTED_VALUE"""),9.0)</f>
        <v>9</v>
      </c>
      <c r="H1389" s="35" t="str">
        <f>IFERROR(__xludf.DUMMYFUNCTION("""COMPUTED_VALUE"""),"Algorithms")</f>
        <v>Algorithms</v>
      </c>
      <c r="I1389" s="35">
        <f>IFERROR(__xludf.DUMMYFUNCTION("""COMPUTED_VALUE"""),0.484)</f>
        <v>0.484</v>
      </c>
      <c r="J1389" s="35">
        <f>IFERROR(__xludf.DUMMYFUNCTION("""COMPUTED_VALUE"""),1388.0)</f>
        <v>1388</v>
      </c>
      <c r="K1389" s="35" t="b">
        <f>IFERROR(__xludf.DUMMYFUNCTION("""COMPUTED_VALUE"""),FALSE)</f>
        <v>0</v>
      </c>
      <c r="L1389" s="35" t="str">
        <f>IFERROR(__xludf.DUMMYFUNCTION("""COMPUTED_VALUE"""),"Array;Dynamic Programming;Greedy;Heap (Priority Queue);")</f>
        <v>Array;Dynamic Programming;Greedy;Heap (Priority Queue);</v>
      </c>
      <c r="M1389" s="35" t="b">
        <f>IFERROR(__xludf.DUMMYFUNCTION("""COMPUTED_VALUE"""),FALSE)</f>
        <v>0</v>
      </c>
      <c r="N1389" s="35" t="b">
        <f>IFERROR(__xludf.DUMMYFUNCTION("""COMPUTED_VALUE"""),FALSE)</f>
        <v>0</v>
      </c>
      <c r="O1389" s="35">
        <f>IFERROR(__xludf.DUMMYFUNCTION("""COMPUTED_VALUE"""),48.3933604760413)</f>
        <v>48.39336048</v>
      </c>
      <c r="P1389" s="35">
        <f>IFERROR(__xludf.DUMMYFUNCTION("""COMPUTED_VALUE"""),7726.0)</f>
        <v>7726</v>
      </c>
      <c r="Q1389" s="35">
        <f>IFERROR(__xludf.DUMMYFUNCTION("""COMPUTED_VALUE"""),15965.0)</f>
        <v>15965</v>
      </c>
    </row>
    <row r="1390">
      <c r="A1390" s="35">
        <f>IFERROR(__xludf.DUMMYFUNCTION("""COMPUTED_VALUE"""),1505.0)</f>
        <v>1505</v>
      </c>
      <c r="B1390" s="35" t="str">
        <f>IFERROR(__xludf.DUMMYFUNCTION("""COMPUTED_VALUE"""),"Create Target Array in the Given Order")</f>
        <v>Create Target Array in the Given Order</v>
      </c>
      <c r="C1390" s="35" t="str">
        <f>IFERROR(__xludf.DUMMYFUNCTION("""COMPUTED_VALUE"""),"create-target-array-in-the-given-order")</f>
        <v>create-target-array-in-the-given-order</v>
      </c>
      <c r="D1390" s="35" t="b">
        <f>IFERROR(__xludf.DUMMYFUNCTION("""COMPUTED_VALUE"""),FALSE)</f>
        <v>0</v>
      </c>
      <c r="E1390" s="35" t="str">
        <f>IFERROR(__xludf.DUMMYFUNCTION("""COMPUTED_VALUE"""),"Easy")</f>
        <v>Easy</v>
      </c>
      <c r="F1390" s="35">
        <f>IFERROR(__xludf.DUMMYFUNCTION("""COMPUTED_VALUE"""),945.0)</f>
        <v>945</v>
      </c>
      <c r="G1390" s="35">
        <f>IFERROR(__xludf.DUMMYFUNCTION("""COMPUTED_VALUE"""),1112.0)</f>
        <v>1112</v>
      </c>
      <c r="H1390" s="35" t="str">
        <f>IFERROR(__xludf.DUMMYFUNCTION("""COMPUTED_VALUE"""),"Algorithms")</f>
        <v>Algorithms</v>
      </c>
      <c r="I1390" s="35">
        <f>IFERROR(__xludf.DUMMYFUNCTION("""COMPUTED_VALUE"""),0.855)</f>
        <v>0.855</v>
      </c>
      <c r="J1390" s="35">
        <f>IFERROR(__xludf.DUMMYFUNCTION("""COMPUTED_VALUE"""),1389.0)</f>
        <v>1389</v>
      </c>
      <c r="K1390" s="35" t="b">
        <f>IFERROR(__xludf.DUMMYFUNCTION("""COMPUTED_VALUE"""),FALSE)</f>
        <v>0</v>
      </c>
      <c r="L1390" s="35" t="str">
        <f>IFERROR(__xludf.DUMMYFUNCTION("""COMPUTED_VALUE"""),"Array;Simulation;")</f>
        <v>Array;Simulation;</v>
      </c>
      <c r="M1390" s="35" t="b">
        <f>IFERROR(__xludf.DUMMYFUNCTION("""COMPUTED_VALUE"""),FALSE)</f>
        <v>0</v>
      </c>
      <c r="N1390" s="35" t="b">
        <f>IFERROR(__xludf.DUMMYFUNCTION("""COMPUTED_VALUE"""),FALSE)</f>
        <v>0</v>
      </c>
      <c r="O1390" s="35">
        <f>IFERROR(__xludf.DUMMYFUNCTION("""COMPUTED_VALUE"""),85.5223485182989)</f>
        <v>85.52234852</v>
      </c>
      <c r="P1390" s="35">
        <f>IFERROR(__xludf.DUMMYFUNCTION("""COMPUTED_VALUE"""),135579.0)</f>
        <v>135579</v>
      </c>
      <c r="Q1390" s="35">
        <f>IFERROR(__xludf.DUMMYFUNCTION("""COMPUTED_VALUE"""),158531.0)</f>
        <v>158531</v>
      </c>
    </row>
    <row r="1391">
      <c r="A1391" s="35">
        <f>IFERROR(__xludf.DUMMYFUNCTION("""COMPUTED_VALUE"""),1284.0)</f>
        <v>1284</v>
      </c>
      <c r="B1391" s="35" t="str">
        <f>IFERROR(__xludf.DUMMYFUNCTION("""COMPUTED_VALUE"""),"Four Divisors")</f>
        <v>Four Divisors</v>
      </c>
      <c r="C1391" s="35" t="str">
        <f>IFERROR(__xludf.DUMMYFUNCTION("""COMPUTED_VALUE"""),"four-divisors")</f>
        <v>four-divisors</v>
      </c>
      <c r="D1391" s="35" t="b">
        <f>IFERROR(__xludf.DUMMYFUNCTION("""COMPUTED_VALUE"""),FALSE)</f>
        <v>0</v>
      </c>
      <c r="E1391" s="35" t="str">
        <f>IFERROR(__xludf.DUMMYFUNCTION("""COMPUTED_VALUE"""),"Medium")</f>
        <v>Medium</v>
      </c>
      <c r="F1391" s="35">
        <f>IFERROR(__xludf.DUMMYFUNCTION("""COMPUTED_VALUE"""),196.0)</f>
        <v>196</v>
      </c>
      <c r="G1391" s="35">
        <f>IFERROR(__xludf.DUMMYFUNCTION("""COMPUTED_VALUE"""),143.0)</f>
        <v>143</v>
      </c>
      <c r="H1391" s="35" t="str">
        <f>IFERROR(__xludf.DUMMYFUNCTION("""COMPUTED_VALUE"""),"Algorithms")</f>
        <v>Algorithms</v>
      </c>
      <c r="I1391" s="35">
        <f>IFERROR(__xludf.DUMMYFUNCTION("""COMPUTED_VALUE"""),0.407)</f>
        <v>0.407</v>
      </c>
      <c r="J1391" s="35">
        <f>IFERROR(__xludf.DUMMYFUNCTION("""COMPUTED_VALUE"""),1390.0)</f>
        <v>1390</v>
      </c>
      <c r="K1391" s="35" t="b">
        <f>IFERROR(__xludf.DUMMYFUNCTION("""COMPUTED_VALUE"""),FALSE)</f>
        <v>0</v>
      </c>
      <c r="L1391" s="35" t="str">
        <f>IFERROR(__xludf.DUMMYFUNCTION("""COMPUTED_VALUE"""),"Array;Math;")</f>
        <v>Array;Math;</v>
      </c>
      <c r="M1391" s="35" t="b">
        <f>IFERROR(__xludf.DUMMYFUNCTION("""COMPUTED_VALUE"""),FALSE)</f>
        <v>0</v>
      </c>
      <c r="N1391" s="35" t="b">
        <f>IFERROR(__xludf.DUMMYFUNCTION("""COMPUTED_VALUE"""),FALSE)</f>
        <v>0</v>
      </c>
      <c r="O1391" s="35">
        <f>IFERROR(__xludf.DUMMYFUNCTION("""COMPUTED_VALUE"""),40.6529730627842)</f>
        <v>40.65297306</v>
      </c>
      <c r="P1391" s="35">
        <f>IFERROR(__xludf.DUMMYFUNCTION("""COMPUTED_VALUE"""),19574.0)</f>
        <v>19574</v>
      </c>
      <c r="Q1391" s="35">
        <f>IFERROR(__xludf.DUMMYFUNCTION("""COMPUTED_VALUE"""),48149.0)</f>
        <v>48149</v>
      </c>
    </row>
    <row r="1392">
      <c r="A1392" s="35">
        <f>IFERROR(__xludf.DUMMYFUNCTION("""COMPUTED_VALUE"""),1507.0)</f>
        <v>1507</v>
      </c>
      <c r="B1392" s="35" t="str">
        <f>IFERROR(__xludf.DUMMYFUNCTION("""COMPUTED_VALUE"""),"Check if There is a Valid Path in a Grid")</f>
        <v>Check if There is a Valid Path in a Grid</v>
      </c>
      <c r="C1392" s="35" t="str">
        <f>IFERROR(__xludf.DUMMYFUNCTION("""COMPUTED_VALUE"""),"check-if-there-is-a-valid-path-in-a-grid")</f>
        <v>check-if-there-is-a-valid-path-in-a-grid</v>
      </c>
      <c r="D1392" s="35" t="b">
        <f>IFERROR(__xludf.DUMMYFUNCTION("""COMPUTED_VALUE"""),FALSE)</f>
        <v>0</v>
      </c>
      <c r="E1392" s="35" t="str">
        <f>IFERROR(__xludf.DUMMYFUNCTION("""COMPUTED_VALUE"""),"Medium")</f>
        <v>Medium</v>
      </c>
      <c r="F1392" s="35">
        <f>IFERROR(__xludf.DUMMYFUNCTION("""COMPUTED_VALUE"""),528.0)</f>
        <v>528</v>
      </c>
      <c r="G1392" s="35">
        <f>IFERROR(__xludf.DUMMYFUNCTION("""COMPUTED_VALUE"""),237.0)</f>
        <v>237</v>
      </c>
      <c r="H1392" s="35" t="str">
        <f>IFERROR(__xludf.DUMMYFUNCTION("""COMPUTED_VALUE"""),"Algorithms")</f>
        <v>Algorithms</v>
      </c>
      <c r="I1392" s="35">
        <f>IFERROR(__xludf.DUMMYFUNCTION("""COMPUTED_VALUE"""),0.465)</f>
        <v>0.465</v>
      </c>
      <c r="J1392" s="35">
        <f>IFERROR(__xludf.DUMMYFUNCTION("""COMPUTED_VALUE"""),1391.0)</f>
        <v>1391</v>
      </c>
      <c r="K1392" s="35" t="b">
        <f>IFERROR(__xludf.DUMMYFUNCTION("""COMPUTED_VALUE"""),FALSE)</f>
        <v>0</v>
      </c>
      <c r="L1392" s="35" t="str">
        <f>IFERROR(__xludf.DUMMYFUNCTION("""COMPUTED_VALUE"""),"Array;Depth-First Search;Breadth-First Search;Union Find;Matrix;")</f>
        <v>Array;Depth-First Search;Breadth-First Search;Union Find;Matrix;</v>
      </c>
      <c r="M1392" s="35" t="b">
        <f>IFERROR(__xludf.DUMMYFUNCTION("""COMPUTED_VALUE"""),FALSE)</f>
        <v>0</v>
      </c>
      <c r="N1392" s="35" t="b">
        <f>IFERROR(__xludf.DUMMYFUNCTION("""COMPUTED_VALUE"""),FALSE)</f>
        <v>0</v>
      </c>
      <c r="O1392" s="35">
        <f>IFERROR(__xludf.DUMMYFUNCTION("""COMPUTED_VALUE"""),46.483392193523)</f>
        <v>46.48339219</v>
      </c>
      <c r="P1392" s="35">
        <f>IFERROR(__xludf.DUMMYFUNCTION("""COMPUTED_VALUE"""),20138.0)</f>
        <v>20138</v>
      </c>
      <c r="Q1392" s="35">
        <f>IFERROR(__xludf.DUMMYFUNCTION("""COMPUTED_VALUE"""),43323.0)</f>
        <v>43323</v>
      </c>
    </row>
    <row r="1393">
      <c r="A1393" s="35">
        <f>IFERROR(__xludf.DUMMYFUNCTION("""COMPUTED_VALUE"""),1508.0)</f>
        <v>1508</v>
      </c>
      <c r="B1393" s="35" t="str">
        <f>IFERROR(__xludf.DUMMYFUNCTION("""COMPUTED_VALUE"""),"Longest Happy Prefix")</f>
        <v>Longest Happy Prefix</v>
      </c>
      <c r="C1393" s="35" t="str">
        <f>IFERROR(__xludf.DUMMYFUNCTION("""COMPUTED_VALUE"""),"longest-happy-prefix")</f>
        <v>longest-happy-prefix</v>
      </c>
      <c r="D1393" s="35" t="b">
        <f>IFERROR(__xludf.DUMMYFUNCTION("""COMPUTED_VALUE"""),FALSE)</f>
        <v>0</v>
      </c>
      <c r="E1393" s="35" t="str">
        <f>IFERROR(__xludf.DUMMYFUNCTION("""COMPUTED_VALUE"""),"Hard")</f>
        <v>Hard</v>
      </c>
      <c r="F1393" s="35">
        <f>IFERROR(__xludf.DUMMYFUNCTION("""COMPUTED_VALUE"""),599.0)</f>
        <v>599</v>
      </c>
      <c r="G1393" s="35">
        <f>IFERROR(__xludf.DUMMYFUNCTION("""COMPUTED_VALUE"""),23.0)</f>
        <v>23</v>
      </c>
      <c r="H1393" s="35" t="str">
        <f>IFERROR(__xludf.DUMMYFUNCTION("""COMPUTED_VALUE"""),"Algorithms")</f>
        <v>Algorithms</v>
      </c>
      <c r="I1393" s="35">
        <f>IFERROR(__xludf.DUMMYFUNCTION("""COMPUTED_VALUE"""),0.443)</f>
        <v>0.443</v>
      </c>
      <c r="J1393" s="35">
        <f>IFERROR(__xludf.DUMMYFUNCTION("""COMPUTED_VALUE"""),1392.0)</f>
        <v>1392</v>
      </c>
      <c r="K1393" s="35" t="b">
        <f>IFERROR(__xludf.DUMMYFUNCTION("""COMPUTED_VALUE"""),FALSE)</f>
        <v>0</v>
      </c>
      <c r="L1393" s="35" t="str">
        <f>IFERROR(__xludf.DUMMYFUNCTION("""COMPUTED_VALUE"""),"String;Rolling Hash;String Matching;Hash Function;")</f>
        <v>String;Rolling Hash;String Matching;Hash Function;</v>
      </c>
      <c r="M1393" s="35" t="b">
        <f>IFERROR(__xludf.DUMMYFUNCTION("""COMPUTED_VALUE"""),FALSE)</f>
        <v>0</v>
      </c>
      <c r="N1393" s="35" t="b">
        <f>IFERROR(__xludf.DUMMYFUNCTION("""COMPUTED_VALUE"""),FALSE)</f>
        <v>0</v>
      </c>
      <c r="O1393" s="35">
        <f>IFERROR(__xludf.DUMMYFUNCTION("""COMPUTED_VALUE"""),44.2597282984112)</f>
        <v>44.2597283</v>
      </c>
      <c r="P1393" s="35">
        <f>IFERROR(__xludf.DUMMYFUNCTION("""COMPUTED_VALUE"""),19222.0)</f>
        <v>19222</v>
      </c>
      <c r="Q1393" s="35">
        <f>IFERROR(__xludf.DUMMYFUNCTION("""COMPUTED_VALUE"""),43430.0)</f>
        <v>43430</v>
      </c>
    </row>
    <row r="1394">
      <c r="A1394" s="35">
        <f>IFERROR(__xludf.DUMMYFUNCTION("""COMPUTED_VALUE"""),1523.0)</f>
        <v>1523</v>
      </c>
      <c r="B1394" s="35" t="str">
        <f>IFERROR(__xludf.DUMMYFUNCTION("""COMPUTED_VALUE"""),"Capital Gain/Loss")</f>
        <v>Capital Gain/Loss</v>
      </c>
      <c r="C1394" s="35" t="str">
        <f>IFERROR(__xludf.DUMMYFUNCTION("""COMPUTED_VALUE"""),"capital-gainloss")</f>
        <v>capital-gainloss</v>
      </c>
      <c r="D1394" s="35" t="b">
        <f>IFERROR(__xludf.DUMMYFUNCTION("""COMPUTED_VALUE"""),TRUE)</f>
        <v>1</v>
      </c>
      <c r="E1394" s="35" t="str">
        <f>IFERROR(__xludf.DUMMYFUNCTION("""COMPUTED_VALUE"""),"Medium")</f>
        <v>Medium</v>
      </c>
      <c r="F1394" s="35">
        <f>IFERROR(__xludf.DUMMYFUNCTION("""COMPUTED_VALUE"""),121.0)</f>
        <v>121</v>
      </c>
      <c r="G1394" s="35">
        <f>IFERROR(__xludf.DUMMYFUNCTION("""COMPUTED_VALUE"""),19.0)</f>
        <v>19</v>
      </c>
      <c r="H1394" s="35" t="str">
        <f>IFERROR(__xludf.DUMMYFUNCTION("""COMPUTED_VALUE"""),"Database")</f>
        <v>Database</v>
      </c>
      <c r="I1394" s="35">
        <f>IFERROR(__xludf.DUMMYFUNCTION("""COMPUTED_VALUE"""),0.914)</f>
        <v>0.914</v>
      </c>
      <c r="J1394" s="35">
        <f>IFERROR(__xludf.DUMMYFUNCTION("""COMPUTED_VALUE"""),1393.0)</f>
        <v>1393</v>
      </c>
      <c r="K1394" s="35" t="b">
        <f>IFERROR(__xludf.DUMMYFUNCTION("""COMPUTED_VALUE"""),TRUE)</f>
        <v>1</v>
      </c>
      <c r="L1394" s="35" t="str">
        <f>IFERROR(__xludf.DUMMYFUNCTION("""COMPUTED_VALUE"""),"Database;")</f>
        <v>Database;</v>
      </c>
      <c r="M1394" s="35" t="b">
        <f>IFERROR(__xludf.DUMMYFUNCTION("""COMPUTED_VALUE"""),FALSE)</f>
        <v>0</v>
      </c>
      <c r="N1394" s="35" t="b">
        <f>IFERROR(__xludf.DUMMYFUNCTION("""COMPUTED_VALUE"""),FALSE)</f>
        <v>0</v>
      </c>
      <c r="O1394" s="35">
        <f>IFERROR(__xludf.DUMMYFUNCTION("""COMPUTED_VALUE"""),91.3571795310628)</f>
        <v>91.35717953</v>
      </c>
      <c r="P1394" s="35">
        <f>IFERROR(__xludf.DUMMYFUNCTION("""COMPUTED_VALUE"""),21352.0)</f>
        <v>21352</v>
      </c>
      <c r="Q1394" s="35">
        <f>IFERROR(__xludf.DUMMYFUNCTION("""COMPUTED_VALUE"""),23372.0)</f>
        <v>23372</v>
      </c>
    </row>
    <row r="1395">
      <c r="A1395" s="35">
        <f>IFERROR(__xludf.DUMMYFUNCTION("""COMPUTED_VALUE"""),1510.0)</f>
        <v>1510</v>
      </c>
      <c r="B1395" s="35" t="str">
        <f>IFERROR(__xludf.DUMMYFUNCTION("""COMPUTED_VALUE"""),"Find Lucky Integer in an Array")</f>
        <v>Find Lucky Integer in an Array</v>
      </c>
      <c r="C1395" s="35" t="str">
        <f>IFERROR(__xludf.DUMMYFUNCTION("""COMPUTED_VALUE"""),"find-lucky-integer-in-an-array")</f>
        <v>find-lucky-integer-in-an-array</v>
      </c>
      <c r="D1395" s="35" t="b">
        <f>IFERROR(__xludf.DUMMYFUNCTION("""COMPUTED_VALUE"""),FALSE)</f>
        <v>0</v>
      </c>
      <c r="E1395" s="35" t="str">
        <f>IFERROR(__xludf.DUMMYFUNCTION("""COMPUTED_VALUE"""),"Easy")</f>
        <v>Easy</v>
      </c>
      <c r="F1395" s="35">
        <f>IFERROR(__xludf.DUMMYFUNCTION("""COMPUTED_VALUE"""),595.0)</f>
        <v>595</v>
      </c>
      <c r="G1395" s="35">
        <f>IFERROR(__xludf.DUMMYFUNCTION("""COMPUTED_VALUE"""),19.0)</f>
        <v>19</v>
      </c>
      <c r="H1395" s="35" t="str">
        <f>IFERROR(__xludf.DUMMYFUNCTION("""COMPUTED_VALUE"""),"Algorithms")</f>
        <v>Algorithms</v>
      </c>
      <c r="I1395" s="35">
        <f>IFERROR(__xludf.DUMMYFUNCTION("""COMPUTED_VALUE"""),0.635)</f>
        <v>0.635</v>
      </c>
      <c r="J1395" s="35">
        <f>IFERROR(__xludf.DUMMYFUNCTION("""COMPUTED_VALUE"""),1394.0)</f>
        <v>1394</v>
      </c>
      <c r="K1395" s="35" t="b">
        <f>IFERROR(__xludf.DUMMYFUNCTION("""COMPUTED_VALUE"""),FALSE)</f>
        <v>0</v>
      </c>
      <c r="L1395" s="35" t="str">
        <f>IFERROR(__xludf.DUMMYFUNCTION("""COMPUTED_VALUE"""),"Array;Hash Table;Counting;")</f>
        <v>Array;Hash Table;Counting;</v>
      </c>
      <c r="M1395" s="35" t="b">
        <f>IFERROR(__xludf.DUMMYFUNCTION("""COMPUTED_VALUE"""),TRUE)</f>
        <v>1</v>
      </c>
      <c r="N1395" s="35" t="b">
        <f>IFERROR(__xludf.DUMMYFUNCTION("""COMPUTED_VALUE"""),FALSE)</f>
        <v>0</v>
      </c>
      <c r="O1395" s="35">
        <f>IFERROR(__xludf.DUMMYFUNCTION("""COMPUTED_VALUE"""),63.5455260985582)</f>
        <v>63.5455261</v>
      </c>
      <c r="P1395" s="35">
        <f>IFERROR(__xludf.DUMMYFUNCTION("""COMPUTED_VALUE"""),66203.0)</f>
        <v>66203</v>
      </c>
      <c r="Q1395" s="35">
        <f>IFERROR(__xludf.DUMMYFUNCTION("""COMPUTED_VALUE"""),104182.0)</f>
        <v>104182</v>
      </c>
    </row>
    <row r="1396">
      <c r="A1396" s="35">
        <f>IFERROR(__xludf.DUMMYFUNCTION("""COMPUTED_VALUE"""),1511.0)</f>
        <v>1511</v>
      </c>
      <c r="B1396" s="35" t="str">
        <f>IFERROR(__xludf.DUMMYFUNCTION("""COMPUTED_VALUE"""),"Count Number of Teams")</f>
        <v>Count Number of Teams</v>
      </c>
      <c r="C1396" s="35" t="str">
        <f>IFERROR(__xludf.DUMMYFUNCTION("""COMPUTED_VALUE"""),"count-number-of-teams")</f>
        <v>count-number-of-teams</v>
      </c>
      <c r="D1396" s="35" t="b">
        <f>IFERROR(__xludf.DUMMYFUNCTION("""COMPUTED_VALUE"""),FALSE)</f>
        <v>0</v>
      </c>
      <c r="E1396" s="35" t="str">
        <f>IFERROR(__xludf.DUMMYFUNCTION("""COMPUTED_VALUE"""),"Medium")</f>
        <v>Medium</v>
      </c>
      <c r="F1396" s="35">
        <f>IFERROR(__xludf.DUMMYFUNCTION("""COMPUTED_VALUE"""),1799.0)</f>
        <v>1799</v>
      </c>
      <c r="G1396" s="35">
        <f>IFERROR(__xludf.DUMMYFUNCTION("""COMPUTED_VALUE"""),158.0)</f>
        <v>158</v>
      </c>
      <c r="H1396" s="35" t="str">
        <f>IFERROR(__xludf.DUMMYFUNCTION("""COMPUTED_VALUE"""),"Algorithms")</f>
        <v>Algorithms</v>
      </c>
      <c r="I1396" s="35">
        <f>IFERROR(__xludf.DUMMYFUNCTION("""COMPUTED_VALUE"""),0.697)</f>
        <v>0.697</v>
      </c>
      <c r="J1396" s="35">
        <f>IFERROR(__xludf.DUMMYFUNCTION("""COMPUTED_VALUE"""),1395.0)</f>
        <v>1395</v>
      </c>
      <c r="K1396" s="35" t="b">
        <f>IFERROR(__xludf.DUMMYFUNCTION("""COMPUTED_VALUE"""),FALSE)</f>
        <v>0</v>
      </c>
      <c r="L1396" s="35" t="str">
        <f>IFERROR(__xludf.DUMMYFUNCTION("""COMPUTED_VALUE"""),"Array;Dynamic Programming;Binary Indexed Tree;")</f>
        <v>Array;Dynamic Programming;Binary Indexed Tree;</v>
      </c>
      <c r="M1396" s="35" t="b">
        <f>IFERROR(__xludf.DUMMYFUNCTION("""COMPUTED_VALUE"""),FALSE)</f>
        <v>0</v>
      </c>
      <c r="N1396" s="35" t="b">
        <f>IFERROR(__xludf.DUMMYFUNCTION("""COMPUTED_VALUE"""),FALSE)</f>
        <v>0</v>
      </c>
      <c r="O1396" s="35">
        <f>IFERROR(__xludf.DUMMYFUNCTION("""COMPUTED_VALUE"""),69.7009810903424)</f>
        <v>69.70098109</v>
      </c>
      <c r="P1396" s="35">
        <f>IFERROR(__xludf.DUMMYFUNCTION("""COMPUTED_VALUE"""),83191.0)</f>
        <v>83191</v>
      </c>
      <c r="Q1396" s="35">
        <f>IFERROR(__xludf.DUMMYFUNCTION("""COMPUTED_VALUE"""),119355.0)</f>
        <v>119355</v>
      </c>
    </row>
    <row r="1397">
      <c r="A1397" s="35">
        <f>IFERROR(__xludf.DUMMYFUNCTION("""COMPUTED_VALUE"""),1512.0)</f>
        <v>1512</v>
      </c>
      <c r="B1397" s="35" t="str">
        <f>IFERROR(__xludf.DUMMYFUNCTION("""COMPUTED_VALUE"""),"Design Underground System")</f>
        <v>Design Underground System</v>
      </c>
      <c r="C1397" s="35" t="str">
        <f>IFERROR(__xludf.DUMMYFUNCTION("""COMPUTED_VALUE"""),"design-underground-system")</f>
        <v>design-underground-system</v>
      </c>
      <c r="D1397" s="35" t="b">
        <f>IFERROR(__xludf.DUMMYFUNCTION("""COMPUTED_VALUE"""),FALSE)</f>
        <v>0</v>
      </c>
      <c r="E1397" s="35" t="str">
        <f>IFERROR(__xludf.DUMMYFUNCTION("""COMPUTED_VALUE"""),"Medium")</f>
        <v>Medium</v>
      </c>
      <c r="F1397" s="35">
        <f>IFERROR(__xludf.DUMMYFUNCTION("""COMPUTED_VALUE"""),1163.0)</f>
        <v>1163</v>
      </c>
      <c r="G1397" s="35">
        <f>IFERROR(__xludf.DUMMYFUNCTION("""COMPUTED_VALUE"""),65.0)</f>
        <v>65</v>
      </c>
      <c r="H1397" s="35" t="str">
        <f>IFERROR(__xludf.DUMMYFUNCTION("""COMPUTED_VALUE"""),"Algorithms")</f>
        <v>Algorithms</v>
      </c>
      <c r="I1397" s="35">
        <f>IFERROR(__xludf.DUMMYFUNCTION("""COMPUTED_VALUE"""),0.718)</f>
        <v>0.718</v>
      </c>
      <c r="J1397" s="35">
        <f>IFERROR(__xludf.DUMMYFUNCTION("""COMPUTED_VALUE"""),1396.0)</f>
        <v>1396</v>
      </c>
      <c r="K1397" s="35" t="b">
        <f>IFERROR(__xludf.DUMMYFUNCTION("""COMPUTED_VALUE"""),FALSE)</f>
        <v>0</v>
      </c>
      <c r="L1397" s="35" t="str">
        <f>IFERROR(__xludf.DUMMYFUNCTION("""COMPUTED_VALUE"""),"Hash Table;String;Design;")</f>
        <v>Hash Table;String;Design;</v>
      </c>
      <c r="M1397" s="35" t="b">
        <f>IFERROR(__xludf.DUMMYFUNCTION("""COMPUTED_VALUE"""),TRUE)</f>
        <v>1</v>
      </c>
      <c r="N1397" s="35" t="b">
        <f>IFERROR(__xludf.DUMMYFUNCTION("""COMPUTED_VALUE"""),FALSE)</f>
        <v>0</v>
      </c>
      <c r="O1397" s="35">
        <f>IFERROR(__xludf.DUMMYFUNCTION("""COMPUTED_VALUE"""),71.8365840055927)</f>
        <v>71.83658401</v>
      </c>
      <c r="P1397" s="35">
        <f>IFERROR(__xludf.DUMMYFUNCTION("""COMPUTED_VALUE"""),91452.0)</f>
        <v>91452</v>
      </c>
      <c r="Q1397" s="35">
        <f>IFERROR(__xludf.DUMMYFUNCTION("""COMPUTED_VALUE"""),127305.0)</f>
        <v>127305</v>
      </c>
    </row>
    <row r="1398">
      <c r="A1398" s="35">
        <f>IFERROR(__xludf.DUMMYFUNCTION("""COMPUTED_VALUE"""),1513.0)</f>
        <v>1513</v>
      </c>
      <c r="B1398" s="35" t="str">
        <f>IFERROR(__xludf.DUMMYFUNCTION("""COMPUTED_VALUE"""),"Find All Good Strings")</f>
        <v>Find All Good Strings</v>
      </c>
      <c r="C1398" s="35" t="str">
        <f>IFERROR(__xludf.DUMMYFUNCTION("""COMPUTED_VALUE"""),"find-all-good-strings")</f>
        <v>find-all-good-strings</v>
      </c>
      <c r="D1398" s="35" t="b">
        <f>IFERROR(__xludf.DUMMYFUNCTION("""COMPUTED_VALUE"""),FALSE)</f>
        <v>0</v>
      </c>
      <c r="E1398" s="35" t="str">
        <f>IFERROR(__xludf.DUMMYFUNCTION("""COMPUTED_VALUE"""),"Hard")</f>
        <v>Hard</v>
      </c>
      <c r="F1398" s="35">
        <f>IFERROR(__xludf.DUMMYFUNCTION("""COMPUTED_VALUE"""),270.0)</f>
        <v>270</v>
      </c>
      <c r="G1398" s="35">
        <f>IFERROR(__xludf.DUMMYFUNCTION("""COMPUTED_VALUE"""),100.0)</f>
        <v>100</v>
      </c>
      <c r="H1398" s="35" t="str">
        <f>IFERROR(__xludf.DUMMYFUNCTION("""COMPUTED_VALUE"""),"Algorithms")</f>
        <v>Algorithms</v>
      </c>
      <c r="I1398" s="35">
        <f>IFERROR(__xludf.DUMMYFUNCTION("""COMPUTED_VALUE"""),0.405)</f>
        <v>0.405</v>
      </c>
      <c r="J1398" s="35">
        <f>IFERROR(__xludf.DUMMYFUNCTION("""COMPUTED_VALUE"""),1397.0)</f>
        <v>1397</v>
      </c>
      <c r="K1398" s="35" t="b">
        <f>IFERROR(__xludf.DUMMYFUNCTION("""COMPUTED_VALUE"""),FALSE)</f>
        <v>0</v>
      </c>
      <c r="L1398" s="35" t="str">
        <f>IFERROR(__xludf.DUMMYFUNCTION("""COMPUTED_VALUE"""),"String;Dynamic Programming;String Matching;")</f>
        <v>String;Dynamic Programming;String Matching;</v>
      </c>
      <c r="M1398" s="35" t="b">
        <f>IFERROR(__xludf.DUMMYFUNCTION("""COMPUTED_VALUE"""),FALSE)</f>
        <v>0</v>
      </c>
      <c r="N1398" s="35" t="b">
        <f>IFERROR(__xludf.DUMMYFUNCTION("""COMPUTED_VALUE"""),FALSE)</f>
        <v>0</v>
      </c>
      <c r="O1398" s="35">
        <f>IFERROR(__xludf.DUMMYFUNCTION("""COMPUTED_VALUE"""),40.5321649925197)</f>
        <v>40.53216499</v>
      </c>
      <c r="P1398" s="35">
        <f>IFERROR(__xludf.DUMMYFUNCTION("""COMPUTED_VALUE"""),3793.0)</f>
        <v>3793</v>
      </c>
      <c r="Q1398" s="35">
        <f>IFERROR(__xludf.DUMMYFUNCTION("""COMPUTED_VALUE"""),9358.0)</f>
        <v>9358</v>
      </c>
    </row>
    <row r="1399">
      <c r="A1399" s="35">
        <f>IFERROR(__xludf.DUMMYFUNCTION("""COMPUTED_VALUE"""),1536.0)</f>
        <v>1536</v>
      </c>
      <c r="B1399" s="35" t="str">
        <f>IFERROR(__xludf.DUMMYFUNCTION("""COMPUTED_VALUE"""),"Customers Who Bought Products A and B but Not C")</f>
        <v>Customers Who Bought Products A and B but Not C</v>
      </c>
      <c r="C1399" s="35" t="str">
        <f>IFERROR(__xludf.DUMMYFUNCTION("""COMPUTED_VALUE"""),"customers-who-bought-products-a-and-b-but-not-c")</f>
        <v>customers-who-bought-products-a-and-b-but-not-c</v>
      </c>
      <c r="D1399" s="35" t="b">
        <f>IFERROR(__xludf.DUMMYFUNCTION("""COMPUTED_VALUE"""),TRUE)</f>
        <v>1</v>
      </c>
      <c r="E1399" s="35" t="str">
        <f>IFERROR(__xludf.DUMMYFUNCTION("""COMPUTED_VALUE"""),"Medium")</f>
        <v>Medium</v>
      </c>
      <c r="F1399" s="35">
        <f>IFERROR(__xludf.DUMMYFUNCTION("""COMPUTED_VALUE"""),153.0)</f>
        <v>153</v>
      </c>
      <c r="G1399" s="35">
        <f>IFERROR(__xludf.DUMMYFUNCTION("""COMPUTED_VALUE"""),7.0)</f>
        <v>7</v>
      </c>
      <c r="H1399" s="35" t="str">
        <f>IFERROR(__xludf.DUMMYFUNCTION("""COMPUTED_VALUE"""),"Database")</f>
        <v>Database</v>
      </c>
      <c r="I1399" s="35">
        <f>IFERROR(__xludf.DUMMYFUNCTION("""COMPUTED_VALUE"""),0.79)</f>
        <v>0.79</v>
      </c>
      <c r="J1399" s="35">
        <f>IFERROR(__xludf.DUMMYFUNCTION("""COMPUTED_VALUE"""),1398.0)</f>
        <v>1398</v>
      </c>
      <c r="K1399" s="35" t="b">
        <f>IFERROR(__xludf.DUMMYFUNCTION("""COMPUTED_VALUE"""),TRUE)</f>
        <v>1</v>
      </c>
      <c r="L1399" s="35" t="str">
        <f>IFERROR(__xludf.DUMMYFUNCTION("""COMPUTED_VALUE"""),"Database;")</f>
        <v>Database;</v>
      </c>
      <c r="M1399" s="35" t="b">
        <f>IFERROR(__xludf.DUMMYFUNCTION("""COMPUTED_VALUE"""),FALSE)</f>
        <v>0</v>
      </c>
      <c r="N1399" s="35" t="b">
        <f>IFERROR(__xludf.DUMMYFUNCTION("""COMPUTED_VALUE"""),FALSE)</f>
        <v>0</v>
      </c>
      <c r="O1399" s="35">
        <f>IFERROR(__xludf.DUMMYFUNCTION("""COMPUTED_VALUE"""),79.0349717582021)</f>
        <v>79.03497176</v>
      </c>
      <c r="P1399" s="35">
        <f>IFERROR(__xludf.DUMMYFUNCTION("""COMPUTED_VALUE"""),26306.0)</f>
        <v>26306</v>
      </c>
      <c r="Q1399" s="35">
        <f>IFERROR(__xludf.DUMMYFUNCTION("""COMPUTED_VALUE"""),33284.0)</f>
        <v>33284</v>
      </c>
    </row>
    <row r="1400">
      <c r="A1400" s="35">
        <f>IFERROR(__xludf.DUMMYFUNCTION("""COMPUTED_VALUE"""),1500.0)</f>
        <v>1500</v>
      </c>
      <c r="B1400" s="35" t="str">
        <f>IFERROR(__xludf.DUMMYFUNCTION("""COMPUTED_VALUE"""),"Count Largest Group")</f>
        <v>Count Largest Group</v>
      </c>
      <c r="C1400" s="35" t="str">
        <f>IFERROR(__xludf.DUMMYFUNCTION("""COMPUTED_VALUE"""),"count-largest-group")</f>
        <v>count-largest-group</v>
      </c>
      <c r="D1400" s="35" t="b">
        <f>IFERROR(__xludf.DUMMYFUNCTION("""COMPUTED_VALUE"""),FALSE)</f>
        <v>0</v>
      </c>
      <c r="E1400" s="35" t="str">
        <f>IFERROR(__xludf.DUMMYFUNCTION("""COMPUTED_VALUE"""),"Easy")</f>
        <v>Easy</v>
      </c>
      <c r="F1400" s="35">
        <f>IFERROR(__xludf.DUMMYFUNCTION("""COMPUTED_VALUE"""),254.0)</f>
        <v>254</v>
      </c>
      <c r="G1400" s="35">
        <f>IFERROR(__xludf.DUMMYFUNCTION("""COMPUTED_VALUE"""),637.0)</f>
        <v>637</v>
      </c>
      <c r="H1400" s="35" t="str">
        <f>IFERROR(__xludf.DUMMYFUNCTION("""COMPUTED_VALUE"""),"Algorithms")</f>
        <v>Algorithms</v>
      </c>
      <c r="I1400" s="35">
        <f>IFERROR(__xludf.DUMMYFUNCTION("""COMPUTED_VALUE"""),0.666)</f>
        <v>0.666</v>
      </c>
      <c r="J1400" s="35">
        <f>IFERROR(__xludf.DUMMYFUNCTION("""COMPUTED_VALUE"""),1399.0)</f>
        <v>1399</v>
      </c>
      <c r="K1400" s="35" t="b">
        <f>IFERROR(__xludf.DUMMYFUNCTION("""COMPUTED_VALUE"""),FALSE)</f>
        <v>0</v>
      </c>
      <c r="L1400" s="35" t="str">
        <f>IFERROR(__xludf.DUMMYFUNCTION("""COMPUTED_VALUE"""),"Hash Table;Math;")</f>
        <v>Hash Table;Math;</v>
      </c>
      <c r="M1400" s="35" t="b">
        <f>IFERROR(__xludf.DUMMYFUNCTION("""COMPUTED_VALUE"""),FALSE)</f>
        <v>0</v>
      </c>
      <c r="N1400" s="35" t="b">
        <f>IFERROR(__xludf.DUMMYFUNCTION("""COMPUTED_VALUE"""),FALSE)</f>
        <v>0</v>
      </c>
      <c r="O1400" s="35">
        <f>IFERROR(__xludf.DUMMYFUNCTION("""COMPUTED_VALUE"""),66.6412110866537)</f>
        <v>66.64121109</v>
      </c>
      <c r="P1400" s="35">
        <f>IFERROR(__xludf.DUMMYFUNCTION("""COMPUTED_VALUE"""),29670.0)</f>
        <v>29670</v>
      </c>
      <c r="Q1400" s="35">
        <f>IFERROR(__xludf.DUMMYFUNCTION("""COMPUTED_VALUE"""),44522.0)</f>
        <v>44522</v>
      </c>
    </row>
    <row r="1401">
      <c r="A1401" s="35">
        <f>IFERROR(__xludf.DUMMYFUNCTION("""COMPUTED_VALUE"""),1502.0)</f>
        <v>1502</v>
      </c>
      <c r="B1401" s="35" t="str">
        <f>IFERROR(__xludf.DUMMYFUNCTION("""COMPUTED_VALUE"""),"Construct K Palindrome Strings")</f>
        <v>Construct K Palindrome Strings</v>
      </c>
      <c r="C1401" s="35" t="str">
        <f>IFERROR(__xludf.DUMMYFUNCTION("""COMPUTED_VALUE"""),"construct-k-palindrome-strings")</f>
        <v>construct-k-palindrome-strings</v>
      </c>
      <c r="D1401" s="35" t="b">
        <f>IFERROR(__xludf.DUMMYFUNCTION("""COMPUTED_VALUE"""),FALSE)</f>
        <v>0</v>
      </c>
      <c r="E1401" s="35" t="str">
        <f>IFERROR(__xludf.DUMMYFUNCTION("""COMPUTED_VALUE"""),"Medium")</f>
        <v>Medium</v>
      </c>
      <c r="F1401" s="35">
        <f>IFERROR(__xludf.DUMMYFUNCTION("""COMPUTED_VALUE"""),658.0)</f>
        <v>658</v>
      </c>
      <c r="G1401" s="35">
        <f>IFERROR(__xludf.DUMMYFUNCTION("""COMPUTED_VALUE"""),67.0)</f>
        <v>67</v>
      </c>
      <c r="H1401" s="35" t="str">
        <f>IFERROR(__xludf.DUMMYFUNCTION("""COMPUTED_VALUE"""),"Algorithms")</f>
        <v>Algorithms</v>
      </c>
      <c r="I1401" s="35">
        <f>IFERROR(__xludf.DUMMYFUNCTION("""COMPUTED_VALUE"""),0.638)</f>
        <v>0.638</v>
      </c>
      <c r="J1401" s="35">
        <f>IFERROR(__xludf.DUMMYFUNCTION("""COMPUTED_VALUE"""),1400.0)</f>
        <v>1400</v>
      </c>
      <c r="K1401" s="35" t="b">
        <f>IFERROR(__xludf.DUMMYFUNCTION("""COMPUTED_VALUE"""),FALSE)</f>
        <v>0</v>
      </c>
      <c r="L1401" s="35" t="str">
        <f>IFERROR(__xludf.DUMMYFUNCTION("""COMPUTED_VALUE"""),"Hash Table;String;Greedy;Counting;")</f>
        <v>Hash Table;String;Greedy;Counting;</v>
      </c>
      <c r="M1401" s="35" t="b">
        <f>IFERROR(__xludf.DUMMYFUNCTION("""COMPUTED_VALUE"""),FALSE)</f>
        <v>0</v>
      </c>
      <c r="N1401" s="35" t="b">
        <f>IFERROR(__xludf.DUMMYFUNCTION("""COMPUTED_VALUE"""),FALSE)</f>
        <v>0</v>
      </c>
      <c r="O1401" s="35">
        <f>IFERROR(__xludf.DUMMYFUNCTION("""COMPUTED_VALUE"""),63.833339586538)</f>
        <v>63.83333959</v>
      </c>
      <c r="P1401" s="35">
        <f>IFERROR(__xludf.DUMMYFUNCTION("""COMPUTED_VALUE"""),34027.0)</f>
        <v>34027</v>
      </c>
      <c r="Q1401" s="35">
        <f>IFERROR(__xludf.DUMMYFUNCTION("""COMPUTED_VALUE"""),53306.0)</f>
        <v>53306</v>
      </c>
    </row>
    <row r="1402">
      <c r="A1402" s="35">
        <f>IFERROR(__xludf.DUMMYFUNCTION("""COMPUTED_VALUE"""),1501.0)</f>
        <v>1501</v>
      </c>
      <c r="B1402" s="35" t="str">
        <f>IFERROR(__xludf.DUMMYFUNCTION("""COMPUTED_VALUE"""),"Circle and Rectangle Overlapping")</f>
        <v>Circle and Rectangle Overlapping</v>
      </c>
      <c r="C1402" s="35" t="str">
        <f>IFERROR(__xludf.DUMMYFUNCTION("""COMPUTED_VALUE"""),"circle-and-rectangle-overlapping")</f>
        <v>circle-and-rectangle-overlapping</v>
      </c>
      <c r="D1402" s="35" t="b">
        <f>IFERROR(__xludf.DUMMYFUNCTION("""COMPUTED_VALUE"""),FALSE)</f>
        <v>0</v>
      </c>
      <c r="E1402" s="35" t="str">
        <f>IFERROR(__xludf.DUMMYFUNCTION("""COMPUTED_VALUE"""),"Medium")</f>
        <v>Medium</v>
      </c>
      <c r="F1402" s="35">
        <f>IFERROR(__xludf.DUMMYFUNCTION("""COMPUTED_VALUE"""),217.0)</f>
        <v>217</v>
      </c>
      <c r="G1402" s="35">
        <f>IFERROR(__xludf.DUMMYFUNCTION("""COMPUTED_VALUE"""),55.0)</f>
        <v>55</v>
      </c>
      <c r="H1402" s="35" t="str">
        <f>IFERROR(__xludf.DUMMYFUNCTION("""COMPUTED_VALUE"""),"Algorithms")</f>
        <v>Algorithms</v>
      </c>
      <c r="I1402" s="35">
        <f>IFERROR(__xludf.DUMMYFUNCTION("""COMPUTED_VALUE"""),0.436)</f>
        <v>0.436</v>
      </c>
      <c r="J1402" s="35">
        <f>IFERROR(__xludf.DUMMYFUNCTION("""COMPUTED_VALUE"""),1401.0)</f>
        <v>1401</v>
      </c>
      <c r="K1402" s="35" t="b">
        <f>IFERROR(__xludf.DUMMYFUNCTION("""COMPUTED_VALUE"""),FALSE)</f>
        <v>0</v>
      </c>
      <c r="L1402" s="35" t="str">
        <f>IFERROR(__xludf.DUMMYFUNCTION("""COMPUTED_VALUE"""),"Math;Geometry;")</f>
        <v>Math;Geometry;</v>
      </c>
      <c r="M1402" s="35" t="b">
        <f>IFERROR(__xludf.DUMMYFUNCTION("""COMPUTED_VALUE"""),FALSE)</f>
        <v>0</v>
      </c>
      <c r="N1402" s="35" t="b">
        <f>IFERROR(__xludf.DUMMYFUNCTION("""COMPUTED_VALUE"""),FALSE)</f>
        <v>0</v>
      </c>
      <c r="O1402" s="35">
        <f>IFERROR(__xludf.DUMMYFUNCTION("""COMPUTED_VALUE"""),43.6347754126247)</f>
        <v>43.63477541</v>
      </c>
      <c r="P1402" s="35">
        <f>IFERROR(__xludf.DUMMYFUNCTION("""COMPUTED_VALUE"""),9491.0)</f>
        <v>9491</v>
      </c>
      <c r="Q1402" s="35">
        <f>IFERROR(__xludf.DUMMYFUNCTION("""COMPUTED_VALUE"""),21751.0)</f>
        <v>21751</v>
      </c>
    </row>
    <row r="1403">
      <c r="A1403" s="35">
        <f>IFERROR(__xludf.DUMMYFUNCTION("""COMPUTED_VALUE"""),1503.0)</f>
        <v>1503</v>
      </c>
      <c r="B1403" s="35" t="str">
        <f>IFERROR(__xludf.DUMMYFUNCTION("""COMPUTED_VALUE"""),"Reducing Dishes")</f>
        <v>Reducing Dishes</v>
      </c>
      <c r="C1403" s="35" t="str">
        <f>IFERROR(__xludf.DUMMYFUNCTION("""COMPUTED_VALUE"""),"reducing-dishes")</f>
        <v>reducing-dishes</v>
      </c>
      <c r="D1403" s="35" t="b">
        <f>IFERROR(__xludf.DUMMYFUNCTION("""COMPUTED_VALUE"""),FALSE)</f>
        <v>0</v>
      </c>
      <c r="E1403" s="35" t="str">
        <f>IFERROR(__xludf.DUMMYFUNCTION("""COMPUTED_VALUE"""),"Hard")</f>
        <v>Hard</v>
      </c>
      <c r="F1403" s="35">
        <f>IFERROR(__xludf.DUMMYFUNCTION("""COMPUTED_VALUE"""),873.0)</f>
        <v>873</v>
      </c>
      <c r="G1403" s="35">
        <f>IFERROR(__xludf.DUMMYFUNCTION("""COMPUTED_VALUE"""),133.0)</f>
        <v>133</v>
      </c>
      <c r="H1403" s="35" t="str">
        <f>IFERROR(__xludf.DUMMYFUNCTION("""COMPUTED_VALUE"""),"Algorithms")</f>
        <v>Algorithms</v>
      </c>
      <c r="I1403" s="35">
        <f>IFERROR(__xludf.DUMMYFUNCTION("""COMPUTED_VALUE"""),0.725)</f>
        <v>0.725</v>
      </c>
      <c r="J1403" s="35">
        <f>IFERROR(__xludf.DUMMYFUNCTION("""COMPUTED_VALUE"""),1402.0)</f>
        <v>1402</v>
      </c>
      <c r="K1403" s="35" t="b">
        <f>IFERROR(__xludf.DUMMYFUNCTION("""COMPUTED_VALUE"""),FALSE)</f>
        <v>0</v>
      </c>
      <c r="L1403" s="35" t="str">
        <f>IFERROR(__xludf.DUMMYFUNCTION("""COMPUTED_VALUE"""),"Array;Dynamic Programming;Greedy;Sorting;")</f>
        <v>Array;Dynamic Programming;Greedy;Sorting;</v>
      </c>
      <c r="M1403" s="35" t="b">
        <f>IFERROR(__xludf.DUMMYFUNCTION("""COMPUTED_VALUE"""),FALSE)</f>
        <v>0</v>
      </c>
      <c r="N1403" s="35" t="b">
        <f>IFERROR(__xludf.DUMMYFUNCTION("""COMPUTED_VALUE"""),FALSE)</f>
        <v>0</v>
      </c>
      <c r="O1403" s="35">
        <f>IFERROR(__xludf.DUMMYFUNCTION("""COMPUTED_VALUE"""),72.4904807732541)</f>
        <v>72.49048077</v>
      </c>
      <c r="P1403" s="35">
        <f>IFERROR(__xludf.DUMMYFUNCTION("""COMPUTED_VALUE"""),34649.0)</f>
        <v>34649</v>
      </c>
      <c r="Q1403" s="35">
        <f>IFERROR(__xludf.DUMMYFUNCTION("""COMPUTED_VALUE"""),47798.0)</f>
        <v>47798</v>
      </c>
    </row>
    <row r="1404">
      <c r="A1404" s="35">
        <f>IFERROR(__xludf.DUMMYFUNCTION("""COMPUTED_VALUE"""),1519.0)</f>
        <v>1519</v>
      </c>
      <c r="B1404" s="35" t="str">
        <f>IFERROR(__xludf.DUMMYFUNCTION("""COMPUTED_VALUE"""),"Minimum Subsequence in Non-Increasing Order")</f>
        <v>Minimum Subsequence in Non-Increasing Order</v>
      </c>
      <c r="C1404" s="35" t="str">
        <f>IFERROR(__xludf.DUMMYFUNCTION("""COMPUTED_VALUE"""),"minimum-subsequence-in-non-increasing-order")</f>
        <v>minimum-subsequence-in-non-increasing-order</v>
      </c>
      <c r="D1404" s="35" t="b">
        <f>IFERROR(__xludf.DUMMYFUNCTION("""COMPUTED_VALUE"""),FALSE)</f>
        <v>0</v>
      </c>
      <c r="E1404" s="35" t="str">
        <f>IFERROR(__xludf.DUMMYFUNCTION("""COMPUTED_VALUE"""),"Easy")</f>
        <v>Easy</v>
      </c>
      <c r="F1404" s="35">
        <f>IFERROR(__xludf.DUMMYFUNCTION("""COMPUTED_VALUE"""),334.0)</f>
        <v>334</v>
      </c>
      <c r="G1404" s="35">
        <f>IFERROR(__xludf.DUMMYFUNCTION("""COMPUTED_VALUE"""),370.0)</f>
        <v>370</v>
      </c>
      <c r="H1404" s="35" t="str">
        <f>IFERROR(__xludf.DUMMYFUNCTION("""COMPUTED_VALUE"""),"Algorithms")</f>
        <v>Algorithms</v>
      </c>
      <c r="I1404" s="35">
        <f>IFERROR(__xludf.DUMMYFUNCTION("""COMPUTED_VALUE"""),0.721)</f>
        <v>0.721</v>
      </c>
      <c r="J1404" s="35">
        <f>IFERROR(__xludf.DUMMYFUNCTION("""COMPUTED_VALUE"""),1403.0)</f>
        <v>1403</v>
      </c>
      <c r="K1404" s="35" t="b">
        <f>IFERROR(__xludf.DUMMYFUNCTION("""COMPUTED_VALUE"""),FALSE)</f>
        <v>0</v>
      </c>
      <c r="L1404" s="35" t="str">
        <f>IFERROR(__xludf.DUMMYFUNCTION("""COMPUTED_VALUE"""),"Array;Greedy;Sorting;")</f>
        <v>Array;Greedy;Sorting;</v>
      </c>
      <c r="M1404" s="35" t="b">
        <f>IFERROR(__xludf.DUMMYFUNCTION("""COMPUTED_VALUE"""),FALSE)</f>
        <v>0</v>
      </c>
      <c r="N1404" s="35" t="b">
        <f>IFERROR(__xludf.DUMMYFUNCTION("""COMPUTED_VALUE"""),FALSE)</f>
        <v>0</v>
      </c>
      <c r="O1404" s="35">
        <f>IFERROR(__xludf.DUMMYFUNCTION("""COMPUTED_VALUE"""),72.1303400304505)</f>
        <v>72.13034003</v>
      </c>
      <c r="P1404" s="35">
        <f>IFERROR(__xludf.DUMMYFUNCTION("""COMPUTED_VALUE"""),48323.0)</f>
        <v>48323</v>
      </c>
      <c r="Q1404" s="35">
        <f>IFERROR(__xludf.DUMMYFUNCTION("""COMPUTED_VALUE"""),66994.0)</f>
        <v>66994</v>
      </c>
    </row>
    <row r="1405">
      <c r="A1405" s="35">
        <f>IFERROR(__xludf.DUMMYFUNCTION("""COMPUTED_VALUE"""),1520.0)</f>
        <v>1520</v>
      </c>
      <c r="B1405" s="35" t="str">
        <f>IFERROR(__xludf.DUMMYFUNCTION("""COMPUTED_VALUE"""),"Number of Steps to Reduce a Number in Binary Representation to One")</f>
        <v>Number of Steps to Reduce a Number in Binary Representation to One</v>
      </c>
      <c r="C1405" s="35" t="str">
        <f>IFERROR(__xludf.DUMMYFUNCTION("""COMPUTED_VALUE"""),"number-of-steps-to-reduce-a-number-in-binary-representation-to-one")</f>
        <v>number-of-steps-to-reduce-a-number-in-binary-representation-to-one</v>
      </c>
      <c r="D1405" s="35" t="b">
        <f>IFERROR(__xludf.DUMMYFUNCTION("""COMPUTED_VALUE"""),FALSE)</f>
        <v>0</v>
      </c>
      <c r="E1405" s="35" t="str">
        <f>IFERROR(__xludf.DUMMYFUNCTION("""COMPUTED_VALUE"""),"Medium")</f>
        <v>Medium</v>
      </c>
      <c r="F1405" s="35">
        <f>IFERROR(__xludf.DUMMYFUNCTION("""COMPUTED_VALUE"""),448.0)</f>
        <v>448</v>
      </c>
      <c r="G1405" s="35">
        <f>IFERROR(__xludf.DUMMYFUNCTION("""COMPUTED_VALUE"""),41.0)</f>
        <v>41</v>
      </c>
      <c r="H1405" s="35" t="str">
        <f>IFERROR(__xludf.DUMMYFUNCTION("""COMPUTED_VALUE"""),"Algorithms")</f>
        <v>Algorithms</v>
      </c>
      <c r="I1405" s="35">
        <f>IFERROR(__xludf.DUMMYFUNCTION("""COMPUTED_VALUE"""),0.507)</f>
        <v>0.507</v>
      </c>
      <c r="J1405" s="35">
        <f>IFERROR(__xludf.DUMMYFUNCTION("""COMPUTED_VALUE"""),1404.0)</f>
        <v>1404</v>
      </c>
      <c r="K1405" s="35" t="b">
        <f>IFERROR(__xludf.DUMMYFUNCTION("""COMPUTED_VALUE"""),FALSE)</f>
        <v>0</v>
      </c>
      <c r="L1405" s="35" t="str">
        <f>IFERROR(__xludf.DUMMYFUNCTION("""COMPUTED_VALUE"""),"String;Bit Manipulation;")</f>
        <v>String;Bit Manipulation;</v>
      </c>
      <c r="M1405" s="35" t="b">
        <f>IFERROR(__xludf.DUMMYFUNCTION("""COMPUTED_VALUE"""),FALSE)</f>
        <v>0</v>
      </c>
      <c r="N1405" s="35" t="b">
        <f>IFERROR(__xludf.DUMMYFUNCTION("""COMPUTED_VALUE"""),FALSE)</f>
        <v>0</v>
      </c>
      <c r="O1405" s="35">
        <f>IFERROR(__xludf.DUMMYFUNCTION("""COMPUTED_VALUE"""),50.7136595562948)</f>
        <v>50.71365956</v>
      </c>
      <c r="P1405" s="35">
        <f>IFERROR(__xludf.DUMMYFUNCTION("""COMPUTED_VALUE"""),22562.0)</f>
        <v>22562</v>
      </c>
      <c r="Q1405" s="35">
        <f>IFERROR(__xludf.DUMMYFUNCTION("""COMPUTED_VALUE"""),44489.0)</f>
        <v>44489</v>
      </c>
    </row>
    <row r="1406">
      <c r="A1406" s="35">
        <f>IFERROR(__xludf.DUMMYFUNCTION("""COMPUTED_VALUE"""),1304.0)</f>
        <v>1304</v>
      </c>
      <c r="B1406" s="35" t="str">
        <f>IFERROR(__xludf.DUMMYFUNCTION("""COMPUTED_VALUE"""),"Longest Happy String")</f>
        <v>Longest Happy String</v>
      </c>
      <c r="C1406" s="35" t="str">
        <f>IFERROR(__xludf.DUMMYFUNCTION("""COMPUTED_VALUE"""),"longest-happy-string")</f>
        <v>longest-happy-string</v>
      </c>
      <c r="D1406" s="35" t="b">
        <f>IFERROR(__xludf.DUMMYFUNCTION("""COMPUTED_VALUE"""),FALSE)</f>
        <v>0</v>
      </c>
      <c r="E1406" s="35" t="str">
        <f>IFERROR(__xludf.DUMMYFUNCTION("""COMPUTED_VALUE"""),"Medium")</f>
        <v>Medium</v>
      </c>
      <c r="F1406" s="35">
        <f>IFERROR(__xludf.DUMMYFUNCTION("""COMPUTED_VALUE"""),1019.0)</f>
        <v>1019</v>
      </c>
      <c r="G1406" s="35">
        <f>IFERROR(__xludf.DUMMYFUNCTION("""COMPUTED_VALUE"""),171.0)</f>
        <v>171</v>
      </c>
      <c r="H1406" s="35" t="str">
        <f>IFERROR(__xludf.DUMMYFUNCTION("""COMPUTED_VALUE"""),"Algorithms")</f>
        <v>Algorithms</v>
      </c>
      <c r="I1406" s="35">
        <f>IFERROR(__xludf.DUMMYFUNCTION("""COMPUTED_VALUE"""),0.562)</f>
        <v>0.562</v>
      </c>
      <c r="J1406" s="35">
        <f>IFERROR(__xludf.DUMMYFUNCTION("""COMPUTED_VALUE"""),1405.0)</f>
        <v>1405</v>
      </c>
      <c r="K1406" s="35" t="b">
        <f>IFERROR(__xludf.DUMMYFUNCTION("""COMPUTED_VALUE"""),FALSE)</f>
        <v>0</v>
      </c>
      <c r="L1406" s="35" t="str">
        <f>IFERROR(__xludf.DUMMYFUNCTION("""COMPUTED_VALUE"""),"String;Greedy;Heap (Priority Queue);")</f>
        <v>String;Greedy;Heap (Priority Queue);</v>
      </c>
      <c r="M1406" s="35" t="b">
        <f>IFERROR(__xludf.DUMMYFUNCTION("""COMPUTED_VALUE"""),FALSE)</f>
        <v>0</v>
      </c>
      <c r="N1406" s="35" t="b">
        <f>IFERROR(__xludf.DUMMYFUNCTION("""COMPUTED_VALUE"""),FALSE)</f>
        <v>0</v>
      </c>
      <c r="O1406" s="35">
        <f>IFERROR(__xludf.DUMMYFUNCTION("""COMPUTED_VALUE"""),56.1879811491964)</f>
        <v>56.18798115</v>
      </c>
      <c r="P1406" s="35">
        <f>IFERROR(__xludf.DUMMYFUNCTION("""COMPUTED_VALUE"""),38389.0)</f>
        <v>38389</v>
      </c>
      <c r="Q1406" s="35">
        <f>IFERROR(__xludf.DUMMYFUNCTION("""COMPUTED_VALUE"""),68324.0)</f>
        <v>68324</v>
      </c>
    </row>
    <row r="1407">
      <c r="A1407" s="35">
        <f>IFERROR(__xludf.DUMMYFUNCTION("""COMPUTED_VALUE"""),1522.0)</f>
        <v>1522</v>
      </c>
      <c r="B1407" s="35" t="str">
        <f>IFERROR(__xludf.DUMMYFUNCTION("""COMPUTED_VALUE"""),"Stone Game III")</f>
        <v>Stone Game III</v>
      </c>
      <c r="C1407" s="35" t="str">
        <f>IFERROR(__xludf.DUMMYFUNCTION("""COMPUTED_VALUE"""),"stone-game-iii")</f>
        <v>stone-game-iii</v>
      </c>
      <c r="D1407" s="35" t="b">
        <f>IFERROR(__xludf.DUMMYFUNCTION("""COMPUTED_VALUE"""),FALSE)</f>
        <v>0</v>
      </c>
      <c r="E1407" s="35" t="str">
        <f>IFERROR(__xludf.DUMMYFUNCTION("""COMPUTED_VALUE"""),"Hard")</f>
        <v>Hard</v>
      </c>
      <c r="F1407" s="35">
        <f>IFERROR(__xludf.DUMMYFUNCTION("""COMPUTED_VALUE"""),929.0)</f>
        <v>929</v>
      </c>
      <c r="G1407" s="35">
        <f>IFERROR(__xludf.DUMMYFUNCTION("""COMPUTED_VALUE"""),21.0)</f>
        <v>21</v>
      </c>
      <c r="H1407" s="35" t="str">
        <f>IFERROR(__xludf.DUMMYFUNCTION("""COMPUTED_VALUE"""),"Algorithms")</f>
        <v>Algorithms</v>
      </c>
      <c r="I1407" s="35">
        <f>IFERROR(__xludf.DUMMYFUNCTION("""COMPUTED_VALUE"""),0.603)</f>
        <v>0.603</v>
      </c>
      <c r="J1407" s="35">
        <f>IFERROR(__xludf.DUMMYFUNCTION("""COMPUTED_VALUE"""),1406.0)</f>
        <v>1406</v>
      </c>
      <c r="K1407" s="35" t="b">
        <f>IFERROR(__xludf.DUMMYFUNCTION("""COMPUTED_VALUE"""),FALSE)</f>
        <v>0</v>
      </c>
      <c r="L1407" s="35" t="str">
        <f>IFERROR(__xludf.DUMMYFUNCTION("""COMPUTED_VALUE"""),"Array;Math;Dynamic Programming;Game Theory;")</f>
        <v>Array;Math;Dynamic Programming;Game Theory;</v>
      </c>
      <c r="M1407" s="35" t="b">
        <f>IFERROR(__xludf.DUMMYFUNCTION("""COMPUTED_VALUE"""),FALSE)</f>
        <v>0</v>
      </c>
      <c r="N1407" s="35" t="b">
        <f>IFERROR(__xludf.DUMMYFUNCTION("""COMPUTED_VALUE"""),FALSE)</f>
        <v>0</v>
      </c>
      <c r="O1407" s="35">
        <f>IFERROR(__xludf.DUMMYFUNCTION("""COMPUTED_VALUE"""),60.2928928373126)</f>
        <v>60.29289284</v>
      </c>
      <c r="P1407" s="35">
        <f>IFERROR(__xludf.DUMMYFUNCTION("""COMPUTED_VALUE"""),34747.0)</f>
        <v>34747</v>
      </c>
      <c r="Q1407" s="35">
        <f>IFERROR(__xludf.DUMMYFUNCTION("""COMPUTED_VALUE"""),57631.0)</f>
        <v>57631</v>
      </c>
    </row>
    <row r="1408">
      <c r="A1408" s="35">
        <f>IFERROR(__xludf.DUMMYFUNCTION("""COMPUTED_VALUE"""),1541.0)</f>
        <v>1541</v>
      </c>
      <c r="B1408" s="35" t="str">
        <f>IFERROR(__xludf.DUMMYFUNCTION("""COMPUTED_VALUE"""),"Top Travellers")</f>
        <v>Top Travellers</v>
      </c>
      <c r="C1408" s="35" t="str">
        <f>IFERROR(__xludf.DUMMYFUNCTION("""COMPUTED_VALUE"""),"top-travellers")</f>
        <v>top-travellers</v>
      </c>
      <c r="D1408" s="35" t="b">
        <f>IFERROR(__xludf.DUMMYFUNCTION("""COMPUTED_VALUE"""),TRUE)</f>
        <v>1</v>
      </c>
      <c r="E1408" s="35" t="str">
        <f>IFERROR(__xludf.DUMMYFUNCTION("""COMPUTED_VALUE"""),"Easy")</f>
        <v>Easy</v>
      </c>
      <c r="F1408" s="35">
        <f>IFERROR(__xludf.DUMMYFUNCTION("""COMPUTED_VALUE"""),95.0)</f>
        <v>95</v>
      </c>
      <c r="G1408" s="35">
        <f>IFERROR(__xludf.DUMMYFUNCTION("""COMPUTED_VALUE"""),9.0)</f>
        <v>9</v>
      </c>
      <c r="H1408" s="35" t="str">
        <f>IFERROR(__xludf.DUMMYFUNCTION("""COMPUTED_VALUE"""),"Database")</f>
        <v>Database</v>
      </c>
      <c r="I1408" s="35">
        <f>IFERROR(__xludf.DUMMYFUNCTION("""COMPUTED_VALUE"""),0.834)</f>
        <v>0.834</v>
      </c>
      <c r="J1408" s="35">
        <f>IFERROR(__xludf.DUMMYFUNCTION("""COMPUTED_VALUE"""),1407.0)</f>
        <v>1407</v>
      </c>
      <c r="K1408" s="35" t="b">
        <f>IFERROR(__xludf.DUMMYFUNCTION("""COMPUTED_VALUE"""),TRUE)</f>
        <v>1</v>
      </c>
      <c r="L1408" s="35" t="str">
        <f>IFERROR(__xludf.DUMMYFUNCTION("""COMPUTED_VALUE"""),"Database;")</f>
        <v>Database;</v>
      </c>
      <c r="M1408" s="35" t="b">
        <f>IFERROR(__xludf.DUMMYFUNCTION("""COMPUTED_VALUE"""),FALSE)</f>
        <v>0</v>
      </c>
      <c r="N1408" s="35" t="b">
        <f>IFERROR(__xludf.DUMMYFUNCTION("""COMPUTED_VALUE"""),FALSE)</f>
        <v>0</v>
      </c>
      <c r="O1408" s="35">
        <f>IFERROR(__xludf.DUMMYFUNCTION("""COMPUTED_VALUE"""),83.3938487825715)</f>
        <v>83.39384878</v>
      </c>
      <c r="P1408" s="35">
        <f>IFERROR(__xludf.DUMMYFUNCTION("""COMPUTED_VALUE"""),23427.0)</f>
        <v>23427</v>
      </c>
      <c r="Q1408" s="35">
        <f>IFERROR(__xludf.DUMMYFUNCTION("""COMPUTED_VALUE"""),28092.0)</f>
        <v>28092</v>
      </c>
    </row>
    <row r="1409">
      <c r="A1409" s="35">
        <f>IFERROR(__xludf.DUMMYFUNCTION("""COMPUTED_VALUE"""),1524.0)</f>
        <v>1524</v>
      </c>
      <c r="B1409" s="35" t="str">
        <f>IFERROR(__xludf.DUMMYFUNCTION("""COMPUTED_VALUE"""),"String Matching in an Array")</f>
        <v>String Matching in an Array</v>
      </c>
      <c r="C1409" s="35" t="str">
        <f>IFERROR(__xludf.DUMMYFUNCTION("""COMPUTED_VALUE"""),"string-matching-in-an-array")</f>
        <v>string-matching-in-an-array</v>
      </c>
      <c r="D1409" s="35" t="b">
        <f>IFERROR(__xludf.DUMMYFUNCTION("""COMPUTED_VALUE"""),FALSE)</f>
        <v>0</v>
      </c>
      <c r="E1409" s="35" t="str">
        <f>IFERROR(__xludf.DUMMYFUNCTION("""COMPUTED_VALUE"""),"Easy")</f>
        <v>Easy</v>
      </c>
      <c r="F1409" s="35">
        <f>IFERROR(__xludf.DUMMYFUNCTION("""COMPUTED_VALUE"""),486.0)</f>
        <v>486</v>
      </c>
      <c r="G1409" s="35">
        <f>IFERROR(__xludf.DUMMYFUNCTION("""COMPUTED_VALUE"""),70.0)</f>
        <v>70</v>
      </c>
      <c r="H1409" s="35" t="str">
        <f>IFERROR(__xludf.DUMMYFUNCTION("""COMPUTED_VALUE"""),"Algorithms")</f>
        <v>Algorithms</v>
      </c>
      <c r="I1409" s="35">
        <f>IFERROR(__xludf.DUMMYFUNCTION("""COMPUTED_VALUE"""),0.638)</f>
        <v>0.638</v>
      </c>
      <c r="J1409" s="35">
        <f>IFERROR(__xludf.DUMMYFUNCTION("""COMPUTED_VALUE"""),1408.0)</f>
        <v>1408</v>
      </c>
      <c r="K1409" s="35" t="b">
        <f>IFERROR(__xludf.DUMMYFUNCTION("""COMPUTED_VALUE"""),FALSE)</f>
        <v>0</v>
      </c>
      <c r="L1409" s="35" t="str">
        <f>IFERROR(__xludf.DUMMYFUNCTION("""COMPUTED_VALUE"""),"String;String Matching;")</f>
        <v>String;String Matching;</v>
      </c>
      <c r="M1409" s="35" t="b">
        <f>IFERROR(__xludf.DUMMYFUNCTION("""COMPUTED_VALUE"""),FALSE)</f>
        <v>0</v>
      </c>
      <c r="N1409" s="35" t="b">
        <f>IFERROR(__xludf.DUMMYFUNCTION("""COMPUTED_VALUE"""),FALSE)</f>
        <v>0</v>
      </c>
      <c r="O1409" s="35">
        <f>IFERROR(__xludf.DUMMYFUNCTION("""COMPUTED_VALUE"""),63.8243238332869)</f>
        <v>63.82432383</v>
      </c>
      <c r="P1409" s="35">
        <f>IFERROR(__xludf.DUMMYFUNCTION("""COMPUTED_VALUE"""),52694.0)</f>
        <v>52694</v>
      </c>
      <c r="Q1409" s="35">
        <f>IFERROR(__xludf.DUMMYFUNCTION("""COMPUTED_VALUE"""),82561.0)</f>
        <v>82561</v>
      </c>
    </row>
    <row r="1410">
      <c r="A1410" s="35">
        <f>IFERROR(__xludf.DUMMYFUNCTION("""COMPUTED_VALUE"""),1525.0)</f>
        <v>1525</v>
      </c>
      <c r="B1410" s="35" t="str">
        <f>IFERROR(__xludf.DUMMYFUNCTION("""COMPUTED_VALUE"""),"Queries on a Permutation With Key")</f>
        <v>Queries on a Permutation With Key</v>
      </c>
      <c r="C1410" s="35" t="str">
        <f>IFERROR(__xludf.DUMMYFUNCTION("""COMPUTED_VALUE"""),"queries-on-a-permutation-with-key")</f>
        <v>queries-on-a-permutation-with-key</v>
      </c>
      <c r="D1410" s="35" t="b">
        <f>IFERROR(__xludf.DUMMYFUNCTION("""COMPUTED_VALUE"""),FALSE)</f>
        <v>0</v>
      </c>
      <c r="E1410" s="35" t="str">
        <f>IFERROR(__xludf.DUMMYFUNCTION("""COMPUTED_VALUE"""),"Medium")</f>
        <v>Medium</v>
      </c>
      <c r="F1410" s="35">
        <f>IFERROR(__xludf.DUMMYFUNCTION("""COMPUTED_VALUE"""),318.0)</f>
        <v>318</v>
      </c>
      <c r="G1410" s="35">
        <f>IFERROR(__xludf.DUMMYFUNCTION("""COMPUTED_VALUE"""),514.0)</f>
        <v>514</v>
      </c>
      <c r="H1410" s="35" t="str">
        <f>IFERROR(__xludf.DUMMYFUNCTION("""COMPUTED_VALUE"""),"Algorithms")</f>
        <v>Algorithms</v>
      </c>
      <c r="I1410" s="35">
        <f>IFERROR(__xludf.DUMMYFUNCTION("""COMPUTED_VALUE"""),0.827)</f>
        <v>0.827</v>
      </c>
      <c r="J1410" s="35">
        <f>IFERROR(__xludf.DUMMYFUNCTION("""COMPUTED_VALUE"""),1409.0)</f>
        <v>1409</v>
      </c>
      <c r="K1410" s="35" t="b">
        <f>IFERROR(__xludf.DUMMYFUNCTION("""COMPUTED_VALUE"""),FALSE)</f>
        <v>0</v>
      </c>
      <c r="L1410" s="35" t="str">
        <f>IFERROR(__xludf.DUMMYFUNCTION("""COMPUTED_VALUE"""),"Array;Binary Indexed Tree;Simulation;")</f>
        <v>Array;Binary Indexed Tree;Simulation;</v>
      </c>
      <c r="M1410" s="35" t="b">
        <f>IFERROR(__xludf.DUMMYFUNCTION("""COMPUTED_VALUE"""),FALSE)</f>
        <v>0</v>
      </c>
      <c r="N1410" s="35" t="b">
        <f>IFERROR(__xludf.DUMMYFUNCTION("""COMPUTED_VALUE"""),FALSE)</f>
        <v>0</v>
      </c>
      <c r="O1410" s="35">
        <f>IFERROR(__xludf.DUMMYFUNCTION("""COMPUTED_VALUE"""),82.710449927431)</f>
        <v>82.71044993</v>
      </c>
      <c r="P1410" s="35">
        <f>IFERROR(__xludf.DUMMYFUNCTION("""COMPUTED_VALUE"""),36472.0)</f>
        <v>36472</v>
      </c>
      <c r="Q1410" s="35">
        <f>IFERROR(__xludf.DUMMYFUNCTION("""COMPUTED_VALUE"""),44096.0)</f>
        <v>44096</v>
      </c>
    </row>
    <row r="1411">
      <c r="A1411" s="35">
        <f>IFERROR(__xludf.DUMMYFUNCTION("""COMPUTED_VALUE"""),1526.0)</f>
        <v>1526</v>
      </c>
      <c r="B1411" s="35" t="str">
        <f>IFERROR(__xludf.DUMMYFUNCTION("""COMPUTED_VALUE"""),"HTML Entity Parser")</f>
        <v>HTML Entity Parser</v>
      </c>
      <c r="C1411" s="35" t="str">
        <f>IFERROR(__xludf.DUMMYFUNCTION("""COMPUTED_VALUE"""),"html-entity-parser")</f>
        <v>html-entity-parser</v>
      </c>
      <c r="D1411" s="35" t="b">
        <f>IFERROR(__xludf.DUMMYFUNCTION("""COMPUTED_VALUE"""),FALSE)</f>
        <v>0</v>
      </c>
      <c r="E1411" s="35" t="str">
        <f>IFERROR(__xludf.DUMMYFUNCTION("""COMPUTED_VALUE"""),"Medium")</f>
        <v>Medium</v>
      </c>
      <c r="F1411" s="35">
        <f>IFERROR(__xludf.DUMMYFUNCTION("""COMPUTED_VALUE"""),130.0)</f>
        <v>130</v>
      </c>
      <c r="G1411" s="35">
        <f>IFERROR(__xludf.DUMMYFUNCTION("""COMPUTED_VALUE"""),251.0)</f>
        <v>251</v>
      </c>
      <c r="H1411" s="35" t="str">
        <f>IFERROR(__xludf.DUMMYFUNCTION("""COMPUTED_VALUE"""),"Algorithms")</f>
        <v>Algorithms</v>
      </c>
      <c r="I1411" s="35">
        <f>IFERROR(__xludf.DUMMYFUNCTION("""COMPUTED_VALUE"""),0.527)</f>
        <v>0.527</v>
      </c>
      <c r="J1411" s="35">
        <f>IFERROR(__xludf.DUMMYFUNCTION("""COMPUTED_VALUE"""),1410.0)</f>
        <v>1410</v>
      </c>
      <c r="K1411" s="35" t="b">
        <f>IFERROR(__xludf.DUMMYFUNCTION("""COMPUTED_VALUE"""),FALSE)</f>
        <v>0</v>
      </c>
      <c r="L1411" s="35" t="str">
        <f>IFERROR(__xludf.DUMMYFUNCTION("""COMPUTED_VALUE"""),"Hash Table;String;")</f>
        <v>Hash Table;String;</v>
      </c>
      <c r="M1411" s="35" t="b">
        <f>IFERROR(__xludf.DUMMYFUNCTION("""COMPUTED_VALUE"""),FALSE)</f>
        <v>0</v>
      </c>
      <c r="N1411" s="35" t="b">
        <f>IFERROR(__xludf.DUMMYFUNCTION("""COMPUTED_VALUE"""),FALSE)</f>
        <v>0</v>
      </c>
      <c r="O1411" s="35">
        <f>IFERROR(__xludf.DUMMYFUNCTION("""COMPUTED_VALUE"""),52.7356531140637)</f>
        <v>52.73565311</v>
      </c>
      <c r="P1411" s="35">
        <f>IFERROR(__xludf.DUMMYFUNCTION("""COMPUTED_VALUE"""),18535.0)</f>
        <v>18535</v>
      </c>
      <c r="Q1411" s="35">
        <f>IFERROR(__xludf.DUMMYFUNCTION("""COMPUTED_VALUE"""),35147.0)</f>
        <v>35147</v>
      </c>
    </row>
    <row r="1412">
      <c r="A1412" s="35">
        <f>IFERROR(__xludf.DUMMYFUNCTION("""COMPUTED_VALUE"""),1527.0)</f>
        <v>1527</v>
      </c>
      <c r="B1412" s="35" t="str">
        <f>IFERROR(__xludf.DUMMYFUNCTION("""COMPUTED_VALUE"""),"Number of Ways to Paint N × 3 Grid")</f>
        <v>Number of Ways to Paint N × 3 Grid</v>
      </c>
      <c r="C1412" s="35" t="str">
        <f>IFERROR(__xludf.DUMMYFUNCTION("""COMPUTED_VALUE"""),"number-of-ways-to-paint-n-3-grid")</f>
        <v>number-of-ways-to-paint-n-3-grid</v>
      </c>
      <c r="D1412" s="35" t="b">
        <f>IFERROR(__xludf.DUMMYFUNCTION("""COMPUTED_VALUE"""),FALSE)</f>
        <v>0</v>
      </c>
      <c r="E1412" s="35" t="str">
        <f>IFERROR(__xludf.DUMMYFUNCTION("""COMPUTED_VALUE"""),"Hard")</f>
        <v>Hard</v>
      </c>
      <c r="F1412" s="35">
        <f>IFERROR(__xludf.DUMMYFUNCTION("""COMPUTED_VALUE"""),735.0)</f>
        <v>735</v>
      </c>
      <c r="G1412" s="35">
        <f>IFERROR(__xludf.DUMMYFUNCTION("""COMPUTED_VALUE"""),33.0)</f>
        <v>33</v>
      </c>
      <c r="H1412" s="35" t="str">
        <f>IFERROR(__xludf.DUMMYFUNCTION("""COMPUTED_VALUE"""),"Algorithms")</f>
        <v>Algorithms</v>
      </c>
      <c r="I1412" s="35">
        <f>IFERROR(__xludf.DUMMYFUNCTION("""COMPUTED_VALUE"""),0.618)</f>
        <v>0.618</v>
      </c>
      <c r="J1412" s="35">
        <f>IFERROR(__xludf.DUMMYFUNCTION("""COMPUTED_VALUE"""),1411.0)</f>
        <v>1411</v>
      </c>
      <c r="K1412" s="35" t="b">
        <f>IFERROR(__xludf.DUMMYFUNCTION("""COMPUTED_VALUE"""),FALSE)</f>
        <v>0</v>
      </c>
      <c r="L1412" s="35" t="str">
        <f>IFERROR(__xludf.DUMMYFUNCTION("""COMPUTED_VALUE"""),"Dynamic Programming;")</f>
        <v>Dynamic Programming;</v>
      </c>
      <c r="M1412" s="35" t="b">
        <f>IFERROR(__xludf.DUMMYFUNCTION("""COMPUTED_VALUE"""),FALSE)</f>
        <v>0</v>
      </c>
      <c r="N1412" s="35" t="b">
        <f>IFERROR(__xludf.DUMMYFUNCTION("""COMPUTED_VALUE"""),FALSE)</f>
        <v>0</v>
      </c>
      <c r="O1412" s="35">
        <f>IFERROR(__xludf.DUMMYFUNCTION("""COMPUTED_VALUE"""),61.8007334009518)</f>
        <v>61.8007334</v>
      </c>
      <c r="P1412" s="35">
        <f>IFERROR(__xludf.DUMMYFUNCTION("""COMPUTED_VALUE"""),23762.0)</f>
        <v>23762</v>
      </c>
      <c r="Q1412" s="35">
        <f>IFERROR(__xludf.DUMMYFUNCTION("""COMPUTED_VALUE"""),38450.0)</f>
        <v>38450</v>
      </c>
    </row>
    <row r="1413">
      <c r="A1413" s="35">
        <f>IFERROR(__xludf.DUMMYFUNCTION("""COMPUTED_VALUE"""),1546.0)</f>
        <v>1546</v>
      </c>
      <c r="B1413" s="35" t="str">
        <f>IFERROR(__xludf.DUMMYFUNCTION("""COMPUTED_VALUE"""),"Find the Quiet Students in All Exams")</f>
        <v>Find the Quiet Students in All Exams</v>
      </c>
      <c r="C1413" s="35" t="str">
        <f>IFERROR(__xludf.DUMMYFUNCTION("""COMPUTED_VALUE"""),"find-the-quiet-students-in-all-exams")</f>
        <v>find-the-quiet-students-in-all-exams</v>
      </c>
      <c r="D1413" s="35" t="b">
        <f>IFERROR(__xludf.DUMMYFUNCTION("""COMPUTED_VALUE"""),TRUE)</f>
        <v>1</v>
      </c>
      <c r="E1413" s="35" t="str">
        <f>IFERROR(__xludf.DUMMYFUNCTION("""COMPUTED_VALUE"""),"Hard")</f>
        <v>Hard</v>
      </c>
      <c r="F1413" s="35">
        <f>IFERROR(__xludf.DUMMYFUNCTION("""COMPUTED_VALUE"""),141.0)</f>
        <v>141</v>
      </c>
      <c r="G1413" s="35">
        <f>IFERROR(__xludf.DUMMYFUNCTION("""COMPUTED_VALUE"""),11.0)</f>
        <v>11</v>
      </c>
      <c r="H1413" s="35" t="str">
        <f>IFERROR(__xludf.DUMMYFUNCTION("""COMPUTED_VALUE"""),"Database")</f>
        <v>Database</v>
      </c>
      <c r="I1413" s="35">
        <f>IFERROR(__xludf.DUMMYFUNCTION("""COMPUTED_VALUE"""),0.626)</f>
        <v>0.626</v>
      </c>
      <c r="J1413" s="35">
        <f>IFERROR(__xludf.DUMMYFUNCTION("""COMPUTED_VALUE"""),1412.0)</f>
        <v>1412</v>
      </c>
      <c r="K1413" s="35" t="b">
        <f>IFERROR(__xludf.DUMMYFUNCTION("""COMPUTED_VALUE"""),TRUE)</f>
        <v>1</v>
      </c>
      <c r="L1413" s="35" t="str">
        <f>IFERROR(__xludf.DUMMYFUNCTION("""COMPUTED_VALUE"""),"Database;")</f>
        <v>Database;</v>
      </c>
      <c r="M1413" s="35" t="b">
        <f>IFERROR(__xludf.DUMMYFUNCTION("""COMPUTED_VALUE"""),FALSE)</f>
        <v>0</v>
      </c>
      <c r="N1413" s="35" t="b">
        <f>IFERROR(__xludf.DUMMYFUNCTION("""COMPUTED_VALUE"""),FALSE)</f>
        <v>0</v>
      </c>
      <c r="O1413" s="35">
        <f>IFERROR(__xludf.DUMMYFUNCTION("""COMPUTED_VALUE"""),62.6371457889336)</f>
        <v>62.63714579</v>
      </c>
      <c r="P1413" s="35">
        <f>IFERROR(__xludf.DUMMYFUNCTION("""COMPUTED_VALUE"""),15869.0)</f>
        <v>15869</v>
      </c>
      <c r="Q1413" s="35">
        <f>IFERROR(__xludf.DUMMYFUNCTION("""COMPUTED_VALUE"""),25336.0)</f>
        <v>25336</v>
      </c>
    </row>
    <row r="1414">
      <c r="A1414" s="35">
        <f>IFERROR(__xludf.DUMMYFUNCTION("""COMPUTED_VALUE"""),1514.0)</f>
        <v>1514</v>
      </c>
      <c r="B1414" s="35" t="str">
        <f>IFERROR(__xludf.DUMMYFUNCTION("""COMPUTED_VALUE"""),"Minimum Value to Get Positive Step by Step Sum")</f>
        <v>Minimum Value to Get Positive Step by Step Sum</v>
      </c>
      <c r="C1414" s="35" t="str">
        <f>IFERROR(__xludf.DUMMYFUNCTION("""COMPUTED_VALUE"""),"minimum-value-to-get-positive-step-by-step-sum")</f>
        <v>minimum-value-to-get-positive-step-by-step-sum</v>
      </c>
      <c r="D1414" s="35" t="b">
        <f>IFERROR(__xludf.DUMMYFUNCTION("""COMPUTED_VALUE"""),FALSE)</f>
        <v>0</v>
      </c>
      <c r="E1414" s="35" t="str">
        <f>IFERROR(__xludf.DUMMYFUNCTION("""COMPUTED_VALUE"""),"Easy")</f>
        <v>Easy</v>
      </c>
      <c r="F1414" s="35">
        <f>IFERROR(__xludf.DUMMYFUNCTION("""COMPUTED_VALUE"""),972.0)</f>
        <v>972</v>
      </c>
      <c r="G1414" s="35">
        <f>IFERROR(__xludf.DUMMYFUNCTION("""COMPUTED_VALUE"""),223.0)</f>
        <v>223</v>
      </c>
      <c r="H1414" s="35" t="str">
        <f>IFERROR(__xludf.DUMMYFUNCTION("""COMPUTED_VALUE"""),"Algorithms")</f>
        <v>Algorithms</v>
      </c>
      <c r="I1414" s="35">
        <f>IFERROR(__xludf.DUMMYFUNCTION("""COMPUTED_VALUE"""),0.687)</f>
        <v>0.687</v>
      </c>
      <c r="J1414" s="35">
        <f>IFERROR(__xludf.DUMMYFUNCTION("""COMPUTED_VALUE"""),1413.0)</f>
        <v>1413</v>
      </c>
      <c r="K1414" s="35" t="b">
        <f>IFERROR(__xludf.DUMMYFUNCTION("""COMPUTED_VALUE"""),FALSE)</f>
        <v>0</v>
      </c>
      <c r="L1414" s="35" t="str">
        <f>IFERROR(__xludf.DUMMYFUNCTION("""COMPUTED_VALUE"""),"Array;Prefix Sum;")</f>
        <v>Array;Prefix Sum;</v>
      </c>
      <c r="M1414" s="35" t="b">
        <f>IFERROR(__xludf.DUMMYFUNCTION("""COMPUTED_VALUE"""),TRUE)</f>
        <v>1</v>
      </c>
      <c r="N1414" s="35" t="b">
        <f>IFERROR(__xludf.DUMMYFUNCTION("""COMPUTED_VALUE"""),FALSE)</f>
        <v>0</v>
      </c>
      <c r="O1414" s="35">
        <f>IFERROR(__xludf.DUMMYFUNCTION("""COMPUTED_VALUE"""),68.701185405655)</f>
        <v>68.70118541</v>
      </c>
      <c r="P1414" s="35">
        <f>IFERROR(__xludf.DUMMYFUNCTION("""COMPUTED_VALUE"""),66937.0)</f>
        <v>66937</v>
      </c>
      <c r="Q1414" s="35">
        <f>IFERROR(__xludf.DUMMYFUNCTION("""COMPUTED_VALUE"""),97432.0)</f>
        <v>97432</v>
      </c>
    </row>
    <row r="1415">
      <c r="A1415" s="35">
        <f>IFERROR(__xludf.DUMMYFUNCTION("""COMPUTED_VALUE"""),1515.0)</f>
        <v>1515</v>
      </c>
      <c r="B1415" s="35" t="str">
        <f>IFERROR(__xludf.DUMMYFUNCTION("""COMPUTED_VALUE"""),"Find the Minimum Number of Fibonacci Numbers Whose Sum Is K")</f>
        <v>Find the Minimum Number of Fibonacci Numbers Whose Sum Is K</v>
      </c>
      <c r="C1415" s="35" t="str">
        <f>IFERROR(__xludf.DUMMYFUNCTION("""COMPUTED_VALUE"""),"find-the-minimum-number-of-fibonacci-numbers-whose-sum-is-k")</f>
        <v>find-the-minimum-number-of-fibonacci-numbers-whose-sum-is-k</v>
      </c>
      <c r="D1415" s="35" t="b">
        <f>IFERROR(__xludf.DUMMYFUNCTION("""COMPUTED_VALUE"""),FALSE)</f>
        <v>0</v>
      </c>
      <c r="E1415" s="35" t="str">
        <f>IFERROR(__xludf.DUMMYFUNCTION("""COMPUTED_VALUE"""),"Medium")</f>
        <v>Medium</v>
      </c>
      <c r="F1415" s="35">
        <f>IFERROR(__xludf.DUMMYFUNCTION("""COMPUTED_VALUE"""),646.0)</f>
        <v>646</v>
      </c>
      <c r="G1415" s="35">
        <f>IFERROR(__xludf.DUMMYFUNCTION("""COMPUTED_VALUE"""),51.0)</f>
        <v>51</v>
      </c>
      <c r="H1415" s="35" t="str">
        <f>IFERROR(__xludf.DUMMYFUNCTION("""COMPUTED_VALUE"""),"Algorithms")</f>
        <v>Algorithms</v>
      </c>
      <c r="I1415" s="35">
        <f>IFERROR(__xludf.DUMMYFUNCTION("""COMPUTED_VALUE"""),0.651)</f>
        <v>0.651</v>
      </c>
      <c r="J1415" s="35">
        <f>IFERROR(__xludf.DUMMYFUNCTION("""COMPUTED_VALUE"""),1414.0)</f>
        <v>1414</v>
      </c>
      <c r="K1415" s="35" t="b">
        <f>IFERROR(__xludf.DUMMYFUNCTION("""COMPUTED_VALUE"""),FALSE)</f>
        <v>0</v>
      </c>
      <c r="L1415" s="35" t="str">
        <f>IFERROR(__xludf.DUMMYFUNCTION("""COMPUTED_VALUE"""),"Greedy;")</f>
        <v>Greedy;</v>
      </c>
      <c r="M1415" s="35" t="b">
        <f>IFERROR(__xludf.DUMMYFUNCTION("""COMPUTED_VALUE"""),FALSE)</f>
        <v>0</v>
      </c>
      <c r="N1415" s="35" t="b">
        <f>IFERROR(__xludf.DUMMYFUNCTION("""COMPUTED_VALUE"""),FALSE)</f>
        <v>0</v>
      </c>
      <c r="O1415" s="35">
        <f>IFERROR(__xludf.DUMMYFUNCTION("""COMPUTED_VALUE"""),65.1368513247208)</f>
        <v>65.13685132</v>
      </c>
      <c r="P1415" s="35">
        <f>IFERROR(__xludf.DUMMYFUNCTION("""COMPUTED_VALUE"""),29748.0)</f>
        <v>29748</v>
      </c>
      <c r="Q1415" s="35">
        <f>IFERROR(__xludf.DUMMYFUNCTION("""COMPUTED_VALUE"""),45670.0)</f>
        <v>45670</v>
      </c>
    </row>
    <row r="1416">
      <c r="A1416" s="35">
        <f>IFERROR(__xludf.DUMMYFUNCTION("""COMPUTED_VALUE"""),1516.0)</f>
        <v>1516</v>
      </c>
      <c r="B1416" s="35" t="str">
        <f>IFERROR(__xludf.DUMMYFUNCTION("""COMPUTED_VALUE"""),"The k-th Lexicographical String of All Happy Strings of Length n")</f>
        <v>The k-th Lexicographical String of All Happy Strings of Length n</v>
      </c>
      <c r="C1416" s="35" t="str">
        <f>IFERROR(__xludf.DUMMYFUNCTION("""COMPUTED_VALUE"""),"the-k-th-lexicographical-string-of-all-happy-strings-of-length-n")</f>
        <v>the-k-th-lexicographical-string-of-all-happy-strings-of-length-n</v>
      </c>
      <c r="D1416" s="35" t="b">
        <f>IFERROR(__xludf.DUMMYFUNCTION("""COMPUTED_VALUE"""),FALSE)</f>
        <v>0</v>
      </c>
      <c r="E1416" s="35" t="str">
        <f>IFERROR(__xludf.DUMMYFUNCTION("""COMPUTED_VALUE"""),"Medium")</f>
        <v>Medium</v>
      </c>
      <c r="F1416" s="35">
        <f>IFERROR(__xludf.DUMMYFUNCTION("""COMPUTED_VALUE"""),632.0)</f>
        <v>632</v>
      </c>
      <c r="G1416" s="35">
        <f>IFERROR(__xludf.DUMMYFUNCTION("""COMPUTED_VALUE"""),16.0)</f>
        <v>16</v>
      </c>
      <c r="H1416" s="35" t="str">
        <f>IFERROR(__xludf.DUMMYFUNCTION("""COMPUTED_VALUE"""),"Algorithms")</f>
        <v>Algorithms</v>
      </c>
      <c r="I1416" s="35">
        <f>IFERROR(__xludf.DUMMYFUNCTION("""COMPUTED_VALUE"""),0.713)</f>
        <v>0.713</v>
      </c>
      <c r="J1416" s="35">
        <f>IFERROR(__xludf.DUMMYFUNCTION("""COMPUTED_VALUE"""),1415.0)</f>
        <v>1415</v>
      </c>
      <c r="K1416" s="35" t="b">
        <f>IFERROR(__xludf.DUMMYFUNCTION("""COMPUTED_VALUE"""),FALSE)</f>
        <v>0</v>
      </c>
      <c r="L1416" s="35" t="str">
        <f>IFERROR(__xludf.DUMMYFUNCTION("""COMPUTED_VALUE"""),"String;Backtracking;")</f>
        <v>String;Backtracking;</v>
      </c>
      <c r="M1416" s="35" t="b">
        <f>IFERROR(__xludf.DUMMYFUNCTION("""COMPUTED_VALUE"""),FALSE)</f>
        <v>0</v>
      </c>
      <c r="N1416" s="35" t="b">
        <f>IFERROR(__xludf.DUMMYFUNCTION("""COMPUTED_VALUE"""),FALSE)</f>
        <v>0</v>
      </c>
      <c r="O1416" s="35">
        <f>IFERROR(__xludf.DUMMYFUNCTION("""COMPUTED_VALUE"""),71.260401867262)</f>
        <v>71.26040187</v>
      </c>
      <c r="P1416" s="35">
        <f>IFERROR(__xludf.DUMMYFUNCTION("""COMPUTED_VALUE"""),24576.0)</f>
        <v>24576</v>
      </c>
      <c r="Q1416" s="35">
        <f>IFERROR(__xludf.DUMMYFUNCTION("""COMPUTED_VALUE"""),34488.0)</f>
        <v>34488</v>
      </c>
    </row>
    <row r="1417">
      <c r="A1417" s="35">
        <f>IFERROR(__xludf.DUMMYFUNCTION("""COMPUTED_VALUE"""),1517.0)</f>
        <v>1517</v>
      </c>
      <c r="B1417" s="35" t="str">
        <f>IFERROR(__xludf.DUMMYFUNCTION("""COMPUTED_VALUE"""),"Restore The Array")</f>
        <v>Restore The Array</v>
      </c>
      <c r="C1417" s="35" t="str">
        <f>IFERROR(__xludf.DUMMYFUNCTION("""COMPUTED_VALUE"""),"restore-the-array")</f>
        <v>restore-the-array</v>
      </c>
      <c r="D1417" s="35" t="b">
        <f>IFERROR(__xludf.DUMMYFUNCTION("""COMPUTED_VALUE"""),FALSE)</f>
        <v>0</v>
      </c>
      <c r="E1417" s="35" t="str">
        <f>IFERROR(__xludf.DUMMYFUNCTION("""COMPUTED_VALUE"""),"Hard")</f>
        <v>Hard</v>
      </c>
      <c r="F1417" s="35">
        <f>IFERROR(__xludf.DUMMYFUNCTION("""COMPUTED_VALUE"""),340.0)</f>
        <v>340</v>
      </c>
      <c r="G1417" s="35">
        <f>IFERROR(__xludf.DUMMYFUNCTION("""COMPUTED_VALUE"""),13.0)</f>
        <v>13</v>
      </c>
      <c r="H1417" s="35" t="str">
        <f>IFERROR(__xludf.DUMMYFUNCTION("""COMPUTED_VALUE"""),"Algorithms")</f>
        <v>Algorithms</v>
      </c>
      <c r="I1417" s="35">
        <f>IFERROR(__xludf.DUMMYFUNCTION("""COMPUTED_VALUE"""),0.378)</f>
        <v>0.378</v>
      </c>
      <c r="J1417" s="35">
        <f>IFERROR(__xludf.DUMMYFUNCTION("""COMPUTED_VALUE"""),1416.0)</f>
        <v>1416</v>
      </c>
      <c r="K1417" s="35" t="b">
        <f>IFERROR(__xludf.DUMMYFUNCTION("""COMPUTED_VALUE"""),FALSE)</f>
        <v>0</v>
      </c>
      <c r="L1417" s="35" t="str">
        <f>IFERROR(__xludf.DUMMYFUNCTION("""COMPUTED_VALUE"""),"String;Dynamic Programming;")</f>
        <v>String;Dynamic Programming;</v>
      </c>
      <c r="M1417" s="35" t="b">
        <f>IFERROR(__xludf.DUMMYFUNCTION("""COMPUTED_VALUE"""),FALSE)</f>
        <v>0</v>
      </c>
      <c r="N1417" s="35" t="b">
        <f>IFERROR(__xludf.DUMMYFUNCTION("""COMPUTED_VALUE"""),FALSE)</f>
        <v>0</v>
      </c>
      <c r="O1417" s="35">
        <f>IFERROR(__xludf.DUMMYFUNCTION("""COMPUTED_VALUE"""),37.7847426411192)</f>
        <v>37.78474264</v>
      </c>
      <c r="P1417" s="35">
        <f>IFERROR(__xludf.DUMMYFUNCTION("""COMPUTED_VALUE"""),11694.0)</f>
        <v>11694</v>
      </c>
      <c r="Q1417" s="35">
        <f>IFERROR(__xludf.DUMMYFUNCTION("""COMPUTED_VALUE"""),30949.0)</f>
        <v>30949</v>
      </c>
    </row>
    <row r="1418">
      <c r="A1418" s="35">
        <f>IFERROR(__xludf.DUMMYFUNCTION("""COMPUTED_VALUE"""),1532.0)</f>
        <v>1532</v>
      </c>
      <c r="B1418" s="35" t="str">
        <f>IFERROR(__xludf.DUMMYFUNCTION("""COMPUTED_VALUE"""),"Reformat The String")</f>
        <v>Reformat The String</v>
      </c>
      <c r="C1418" s="35" t="str">
        <f>IFERROR(__xludf.DUMMYFUNCTION("""COMPUTED_VALUE"""),"reformat-the-string")</f>
        <v>reformat-the-string</v>
      </c>
      <c r="D1418" s="35" t="b">
        <f>IFERROR(__xludf.DUMMYFUNCTION("""COMPUTED_VALUE"""),FALSE)</f>
        <v>0</v>
      </c>
      <c r="E1418" s="35" t="str">
        <f>IFERROR(__xludf.DUMMYFUNCTION("""COMPUTED_VALUE"""),"Easy")</f>
        <v>Easy</v>
      </c>
      <c r="F1418" s="35">
        <f>IFERROR(__xludf.DUMMYFUNCTION("""COMPUTED_VALUE"""),379.0)</f>
        <v>379</v>
      </c>
      <c r="G1418" s="35">
        <f>IFERROR(__xludf.DUMMYFUNCTION("""COMPUTED_VALUE"""),73.0)</f>
        <v>73</v>
      </c>
      <c r="H1418" s="35" t="str">
        <f>IFERROR(__xludf.DUMMYFUNCTION("""COMPUTED_VALUE"""),"Algorithms")</f>
        <v>Algorithms</v>
      </c>
      <c r="I1418" s="35">
        <f>IFERROR(__xludf.DUMMYFUNCTION("""COMPUTED_VALUE"""),0.564)</f>
        <v>0.564</v>
      </c>
      <c r="J1418" s="35">
        <f>IFERROR(__xludf.DUMMYFUNCTION("""COMPUTED_VALUE"""),1417.0)</f>
        <v>1417</v>
      </c>
      <c r="K1418" s="35" t="b">
        <f>IFERROR(__xludf.DUMMYFUNCTION("""COMPUTED_VALUE"""),FALSE)</f>
        <v>0</v>
      </c>
      <c r="L1418" s="35" t="str">
        <f>IFERROR(__xludf.DUMMYFUNCTION("""COMPUTED_VALUE"""),"String;")</f>
        <v>String;</v>
      </c>
      <c r="M1418" s="35" t="b">
        <f>IFERROR(__xludf.DUMMYFUNCTION("""COMPUTED_VALUE"""),FALSE)</f>
        <v>0</v>
      </c>
      <c r="N1418" s="35" t="b">
        <f>IFERROR(__xludf.DUMMYFUNCTION("""COMPUTED_VALUE"""),FALSE)</f>
        <v>0</v>
      </c>
      <c r="O1418" s="35">
        <f>IFERROR(__xludf.DUMMYFUNCTION("""COMPUTED_VALUE"""),56.4150686794505)</f>
        <v>56.41506868</v>
      </c>
      <c r="P1418" s="35">
        <f>IFERROR(__xludf.DUMMYFUNCTION("""COMPUTED_VALUE"""),41482.0)</f>
        <v>41482</v>
      </c>
      <c r="Q1418" s="35">
        <f>IFERROR(__xludf.DUMMYFUNCTION("""COMPUTED_VALUE"""),73530.0)</f>
        <v>73530</v>
      </c>
    </row>
    <row r="1419">
      <c r="A1419" s="35">
        <f>IFERROR(__xludf.DUMMYFUNCTION("""COMPUTED_VALUE"""),1533.0)</f>
        <v>1533</v>
      </c>
      <c r="B1419" s="35" t="str">
        <f>IFERROR(__xludf.DUMMYFUNCTION("""COMPUTED_VALUE"""),"Display Table of Food Orders in a Restaurant")</f>
        <v>Display Table of Food Orders in a Restaurant</v>
      </c>
      <c r="C1419" s="35" t="str">
        <f>IFERROR(__xludf.DUMMYFUNCTION("""COMPUTED_VALUE"""),"display-table-of-food-orders-in-a-restaurant")</f>
        <v>display-table-of-food-orders-in-a-restaurant</v>
      </c>
      <c r="D1419" s="35" t="b">
        <f>IFERROR(__xludf.DUMMYFUNCTION("""COMPUTED_VALUE"""),FALSE)</f>
        <v>0</v>
      </c>
      <c r="E1419" s="35" t="str">
        <f>IFERROR(__xludf.DUMMYFUNCTION("""COMPUTED_VALUE"""),"Medium")</f>
        <v>Medium</v>
      </c>
      <c r="F1419" s="35">
        <f>IFERROR(__xludf.DUMMYFUNCTION("""COMPUTED_VALUE"""),188.0)</f>
        <v>188</v>
      </c>
      <c r="G1419" s="35">
        <f>IFERROR(__xludf.DUMMYFUNCTION("""COMPUTED_VALUE"""),327.0)</f>
        <v>327</v>
      </c>
      <c r="H1419" s="35" t="str">
        <f>IFERROR(__xludf.DUMMYFUNCTION("""COMPUTED_VALUE"""),"Algorithms")</f>
        <v>Algorithms</v>
      </c>
      <c r="I1419" s="35">
        <f>IFERROR(__xludf.DUMMYFUNCTION("""COMPUTED_VALUE"""),0.721)</f>
        <v>0.721</v>
      </c>
      <c r="J1419" s="35">
        <f>IFERROR(__xludf.DUMMYFUNCTION("""COMPUTED_VALUE"""),1418.0)</f>
        <v>1418</v>
      </c>
      <c r="K1419" s="35" t="b">
        <f>IFERROR(__xludf.DUMMYFUNCTION("""COMPUTED_VALUE"""),FALSE)</f>
        <v>0</v>
      </c>
      <c r="L1419" s="35" t="str">
        <f>IFERROR(__xludf.DUMMYFUNCTION("""COMPUTED_VALUE"""),"Array;Hash Table;String;Sorting;Ordered Set;")</f>
        <v>Array;Hash Table;String;Sorting;Ordered Set;</v>
      </c>
      <c r="M1419" s="35" t="b">
        <f>IFERROR(__xludf.DUMMYFUNCTION("""COMPUTED_VALUE"""),FALSE)</f>
        <v>0</v>
      </c>
      <c r="N1419" s="35" t="b">
        <f>IFERROR(__xludf.DUMMYFUNCTION("""COMPUTED_VALUE"""),FALSE)</f>
        <v>0</v>
      </c>
      <c r="O1419" s="35">
        <f>IFERROR(__xludf.DUMMYFUNCTION("""COMPUTED_VALUE"""),72.095969593792)</f>
        <v>72.09596959</v>
      </c>
      <c r="P1419" s="35">
        <f>IFERROR(__xludf.DUMMYFUNCTION("""COMPUTED_VALUE"""),18210.0)</f>
        <v>18210</v>
      </c>
      <c r="Q1419" s="35">
        <f>IFERROR(__xludf.DUMMYFUNCTION("""COMPUTED_VALUE"""),25258.0)</f>
        <v>25258</v>
      </c>
    </row>
    <row r="1420">
      <c r="A1420" s="35">
        <f>IFERROR(__xludf.DUMMYFUNCTION("""COMPUTED_VALUE"""),1534.0)</f>
        <v>1534</v>
      </c>
      <c r="B1420" s="35" t="str">
        <f>IFERROR(__xludf.DUMMYFUNCTION("""COMPUTED_VALUE"""),"Minimum Number of Frogs Croaking")</f>
        <v>Minimum Number of Frogs Croaking</v>
      </c>
      <c r="C1420" s="35" t="str">
        <f>IFERROR(__xludf.DUMMYFUNCTION("""COMPUTED_VALUE"""),"minimum-number-of-frogs-croaking")</f>
        <v>minimum-number-of-frogs-croaking</v>
      </c>
      <c r="D1420" s="35" t="b">
        <f>IFERROR(__xludf.DUMMYFUNCTION("""COMPUTED_VALUE"""),FALSE)</f>
        <v>0</v>
      </c>
      <c r="E1420" s="35" t="str">
        <f>IFERROR(__xludf.DUMMYFUNCTION("""COMPUTED_VALUE"""),"Medium")</f>
        <v>Medium</v>
      </c>
      <c r="F1420" s="35">
        <f>IFERROR(__xludf.DUMMYFUNCTION("""COMPUTED_VALUE"""),612.0)</f>
        <v>612</v>
      </c>
      <c r="G1420" s="35">
        <f>IFERROR(__xludf.DUMMYFUNCTION("""COMPUTED_VALUE"""),38.0)</f>
        <v>38</v>
      </c>
      <c r="H1420" s="35" t="str">
        <f>IFERROR(__xludf.DUMMYFUNCTION("""COMPUTED_VALUE"""),"Algorithms")</f>
        <v>Algorithms</v>
      </c>
      <c r="I1420" s="35">
        <f>IFERROR(__xludf.DUMMYFUNCTION("""COMPUTED_VALUE"""),0.496)</f>
        <v>0.496</v>
      </c>
      <c r="J1420" s="35">
        <f>IFERROR(__xludf.DUMMYFUNCTION("""COMPUTED_VALUE"""),1419.0)</f>
        <v>1419</v>
      </c>
      <c r="K1420" s="35" t="b">
        <f>IFERROR(__xludf.DUMMYFUNCTION("""COMPUTED_VALUE"""),FALSE)</f>
        <v>0</v>
      </c>
      <c r="L1420" s="35" t="str">
        <f>IFERROR(__xludf.DUMMYFUNCTION("""COMPUTED_VALUE"""),"String;Counting;")</f>
        <v>String;Counting;</v>
      </c>
      <c r="M1420" s="35" t="b">
        <f>IFERROR(__xludf.DUMMYFUNCTION("""COMPUTED_VALUE"""),FALSE)</f>
        <v>0</v>
      </c>
      <c r="N1420" s="35" t="b">
        <f>IFERROR(__xludf.DUMMYFUNCTION("""COMPUTED_VALUE"""),FALSE)</f>
        <v>0</v>
      </c>
      <c r="O1420" s="35">
        <f>IFERROR(__xludf.DUMMYFUNCTION("""COMPUTED_VALUE"""),49.5942584512498)</f>
        <v>49.59425845</v>
      </c>
      <c r="P1420" s="35">
        <f>IFERROR(__xludf.DUMMYFUNCTION("""COMPUTED_VALUE"""),24324.0)</f>
        <v>24324</v>
      </c>
      <c r="Q1420" s="35">
        <f>IFERROR(__xludf.DUMMYFUNCTION("""COMPUTED_VALUE"""),49046.0)</f>
        <v>49046</v>
      </c>
    </row>
    <row r="1421">
      <c r="A1421" s="35">
        <f>IFERROR(__xludf.DUMMYFUNCTION("""COMPUTED_VALUE"""),1535.0)</f>
        <v>1535</v>
      </c>
      <c r="B1421" s="35" t="str">
        <f>IFERROR(__xludf.DUMMYFUNCTION("""COMPUTED_VALUE"""),"Build Array Where You Can Find The Maximum Exactly K Comparisons")</f>
        <v>Build Array Where You Can Find The Maximum Exactly K Comparisons</v>
      </c>
      <c r="C1421" s="35" t="str">
        <f>IFERROR(__xludf.DUMMYFUNCTION("""COMPUTED_VALUE"""),"build-array-where-you-can-find-the-maximum-exactly-k-comparisons")</f>
        <v>build-array-where-you-can-find-the-maximum-exactly-k-comparisons</v>
      </c>
      <c r="D1421" s="35" t="b">
        <f>IFERROR(__xludf.DUMMYFUNCTION("""COMPUTED_VALUE"""),FALSE)</f>
        <v>0</v>
      </c>
      <c r="E1421" s="35" t="str">
        <f>IFERROR(__xludf.DUMMYFUNCTION("""COMPUTED_VALUE"""),"Hard")</f>
        <v>Hard</v>
      </c>
      <c r="F1421" s="35">
        <f>IFERROR(__xludf.DUMMYFUNCTION("""COMPUTED_VALUE"""),393.0)</f>
        <v>393</v>
      </c>
      <c r="G1421" s="35">
        <f>IFERROR(__xludf.DUMMYFUNCTION("""COMPUTED_VALUE"""),10.0)</f>
        <v>10</v>
      </c>
      <c r="H1421" s="35" t="str">
        <f>IFERROR(__xludf.DUMMYFUNCTION("""COMPUTED_VALUE"""),"Algorithms")</f>
        <v>Algorithms</v>
      </c>
      <c r="I1421" s="35">
        <f>IFERROR(__xludf.DUMMYFUNCTION("""COMPUTED_VALUE"""),0.646)</f>
        <v>0.646</v>
      </c>
      <c r="J1421" s="35">
        <f>IFERROR(__xludf.DUMMYFUNCTION("""COMPUTED_VALUE"""),1420.0)</f>
        <v>1420</v>
      </c>
      <c r="K1421" s="35" t="b">
        <f>IFERROR(__xludf.DUMMYFUNCTION("""COMPUTED_VALUE"""),FALSE)</f>
        <v>0</v>
      </c>
      <c r="L1421" s="35" t="str">
        <f>IFERROR(__xludf.DUMMYFUNCTION("""COMPUTED_VALUE"""),"Dynamic Programming;")</f>
        <v>Dynamic Programming;</v>
      </c>
      <c r="M1421" s="35" t="b">
        <f>IFERROR(__xludf.DUMMYFUNCTION("""COMPUTED_VALUE"""),FALSE)</f>
        <v>0</v>
      </c>
      <c r="N1421" s="35" t="b">
        <f>IFERROR(__xludf.DUMMYFUNCTION("""COMPUTED_VALUE"""),FALSE)</f>
        <v>0</v>
      </c>
      <c r="O1421" s="35">
        <f>IFERROR(__xludf.DUMMYFUNCTION("""COMPUTED_VALUE"""),64.6416144745998)</f>
        <v>64.64161447</v>
      </c>
      <c r="P1421" s="35">
        <f>IFERROR(__xludf.DUMMYFUNCTION("""COMPUTED_VALUE"""),9289.0)</f>
        <v>9289</v>
      </c>
      <c r="Q1421" s="35">
        <f>IFERROR(__xludf.DUMMYFUNCTION("""COMPUTED_VALUE"""),14370.0)</f>
        <v>14370</v>
      </c>
    </row>
    <row r="1422">
      <c r="A1422" s="35">
        <f>IFERROR(__xludf.DUMMYFUNCTION("""COMPUTED_VALUE"""),1551.0)</f>
        <v>1551</v>
      </c>
      <c r="B1422" s="35" t="str">
        <f>IFERROR(__xludf.DUMMYFUNCTION("""COMPUTED_VALUE"""),"NPV Queries")</f>
        <v>NPV Queries</v>
      </c>
      <c r="C1422" s="35" t="str">
        <f>IFERROR(__xludf.DUMMYFUNCTION("""COMPUTED_VALUE"""),"npv-queries")</f>
        <v>npv-queries</v>
      </c>
      <c r="D1422" s="35" t="b">
        <f>IFERROR(__xludf.DUMMYFUNCTION("""COMPUTED_VALUE"""),TRUE)</f>
        <v>1</v>
      </c>
      <c r="E1422" s="35" t="str">
        <f>IFERROR(__xludf.DUMMYFUNCTION("""COMPUTED_VALUE"""),"Easy")</f>
        <v>Easy</v>
      </c>
      <c r="F1422" s="35">
        <f>IFERROR(__xludf.DUMMYFUNCTION("""COMPUTED_VALUE"""),26.0)</f>
        <v>26</v>
      </c>
      <c r="G1422" s="35">
        <f>IFERROR(__xludf.DUMMYFUNCTION("""COMPUTED_VALUE"""),233.0)</f>
        <v>233</v>
      </c>
      <c r="H1422" s="35" t="str">
        <f>IFERROR(__xludf.DUMMYFUNCTION("""COMPUTED_VALUE"""),"Database")</f>
        <v>Database</v>
      </c>
      <c r="I1422" s="35">
        <f>IFERROR(__xludf.DUMMYFUNCTION("""COMPUTED_VALUE"""),0.834)</f>
        <v>0.834</v>
      </c>
      <c r="J1422" s="35">
        <f>IFERROR(__xludf.DUMMYFUNCTION("""COMPUTED_VALUE"""),1421.0)</f>
        <v>1421</v>
      </c>
      <c r="K1422" s="35" t="b">
        <f>IFERROR(__xludf.DUMMYFUNCTION("""COMPUTED_VALUE"""),TRUE)</f>
        <v>1</v>
      </c>
      <c r="L1422" s="35" t="str">
        <f>IFERROR(__xludf.DUMMYFUNCTION("""COMPUTED_VALUE"""),"Database;")</f>
        <v>Database;</v>
      </c>
      <c r="M1422" s="35" t="b">
        <f>IFERROR(__xludf.DUMMYFUNCTION("""COMPUTED_VALUE"""),FALSE)</f>
        <v>0</v>
      </c>
      <c r="N1422" s="35" t="b">
        <f>IFERROR(__xludf.DUMMYFUNCTION("""COMPUTED_VALUE"""),FALSE)</f>
        <v>0</v>
      </c>
      <c r="O1422" s="35">
        <f>IFERROR(__xludf.DUMMYFUNCTION("""COMPUTED_VALUE"""),83.4075186357054)</f>
        <v>83.40751864</v>
      </c>
      <c r="P1422" s="35">
        <f>IFERROR(__xludf.DUMMYFUNCTION("""COMPUTED_VALUE"""),15553.0)</f>
        <v>15553</v>
      </c>
      <c r="Q1422" s="35">
        <f>IFERROR(__xludf.DUMMYFUNCTION("""COMPUTED_VALUE"""),18647.0)</f>
        <v>18647</v>
      </c>
    </row>
    <row r="1423">
      <c r="A1423" s="35">
        <f>IFERROR(__xludf.DUMMYFUNCTION("""COMPUTED_VALUE"""),1537.0)</f>
        <v>1537</v>
      </c>
      <c r="B1423" s="35" t="str">
        <f>IFERROR(__xludf.DUMMYFUNCTION("""COMPUTED_VALUE"""),"Maximum Score After Splitting a String")</f>
        <v>Maximum Score After Splitting a String</v>
      </c>
      <c r="C1423" s="35" t="str">
        <f>IFERROR(__xludf.DUMMYFUNCTION("""COMPUTED_VALUE"""),"maximum-score-after-splitting-a-string")</f>
        <v>maximum-score-after-splitting-a-string</v>
      </c>
      <c r="D1423" s="35" t="b">
        <f>IFERROR(__xludf.DUMMYFUNCTION("""COMPUTED_VALUE"""),FALSE)</f>
        <v>0</v>
      </c>
      <c r="E1423" s="35" t="str">
        <f>IFERROR(__xludf.DUMMYFUNCTION("""COMPUTED_VALUE"""),"Easy")</f>
        <v>Easy</v>
      </c>
      <c r="F1423" s="35">
        <f>IFERROR(__xludf.DUMMYFUNCTION("""COMPUTED_VALUE"""),472.0)</f>
        <v>472</v>
      </c>
      <c r="G1423" s="35">
        <f>IFERROR(__xludf.DUMMYFUNCTION("""COMPUTED_VALUE"""),24.0)</f>
        <v>24</v>
      </c>
      <c r="H1423" s="35" t="str">
        <f>IFERROR(__xludf.DUMMYFUNCTION("""COMPUTED_VALUE"""),"Algorithms")</f>
        <v>Algorithms</v>
      </c>
      <c r="I1423" s="35">
        <f>IFERROR(__xludf.DUMMYFUNCTION("""COMPUTED_VALUE"""),0.577)</f>
        <v>0.577</v>
      </c>
      <c r="J1423" s="35">
        <f>IFERROR(__xludf.DUMMYFUNCTION("""COMPUTED_VALUE"""),1422.0)</f>
        <v>1422</v>
      </c>
      <c r="K1423" s="35" t="b">
        <f>IFERROR(__xludf.DUMMYFUNCTION("""COMPUTED_VALUE"""),FALSE)</f>
        <v>0</v>
      </c>
      <c r="L1423" s="35" t="str">
        <f>IFERROR(__xludf.DUMMYFUNCTION("""COMPUTED_VALUE"""),"String;")</f>
        <v>String;</v>
      </c>
      <c r="M1423" s="35" t="b">
        <f>IFERROR(__xludf.DUMMYFUNCTION("""COMPUTED_VALUE"""),FALSE)</f>
        <v>0</v>
      </c>
      <c r="N1423" s="35" t="b">
        <f>IFERROR(__xludf.DUMMYFUNCTION("""COMPUTED_VALUE"""),FALSE)</f>
        <v>0</v>
      </c>
      <c r="O1423" s="35">
        <f>IFERROR(__xludf.DUMMYFUNCTION("""COMPUTED_VALUE"""),57.7458063124817)</f>
        <v>57.74580631</v>
      </c>
      <c r="P1423" s="35">
        <f>IFERROR(__xludf.DUMMYFUNCTION("""COMPUTED_VALUE"""),37488.0)</f>
        <v>37488</v>
      </c>
      <c r="Q1423" s="35">
        <f>IFERROR(__xludf.DUMMYFUNCTION("""COMPUTED_VALUE"""),64919.0)</f>
        <v>64919</v>
      </c>
    </row>
    <row r="1424">
      <c r="A1424" s="35">
        <f>IFERROR(__xludf.DUMMYFUNCTION("""COMPUTED_VALUE"""),1538.0)</f>
        <v>1538</v>
      </c>
      <c r="B1424" s="35" t="str">
        <f>IFERROR(__xludf.DUMMYFUNCTION("""COMPUTED_VALUE"""),"Maximum Points You Can Obtain from Cards")</f>
        <v>Maximum Points You Can Obtain from Cards</v>
      </c>
      <c r="C1424" s="35" t="str">
        <f>IFERROR(__xludf.DUMMYFUNCTION("""COMPUTED_VALUE"""),"maximum-points-you-can-obtain-from-cards")</f>
        <v>maximum-points-you-can-obtain-from-cards</v>
      </c>
      <c r="D1424" s="35" t="b">
        <f>IFERROR(__xludf.DUMMYFUNCTION("""COMPUTED_VALUE"""),FALSE)</f>
        <v>0</v>
      </c>
      <c r="E1424" s="35" t="str">
        <f>IFERROR(__xludf.DUMMYFUNCTION("""COMPUTED_VALUE"""),"Medium")</f>
        <v>Medium</v>
      </c>
      <c r="F1424" s="35">
        <f>IFERROR(__xludf.DUMMYFUNCTION("""COMPUTED_VALUE"""),2642.0)</f>
        <v>2642</v>
      </c>
      <c r="G1424" s="35">
        <f>IFERROR(__xludf.DUMMYFUNCTION("""COMPUTED_VALUE"""),107.0)</f>
        <v>107</v>
      </c>
      <c r="H1424" s="35" t="str">
        <f>IFERROR(__xludf.DUMMYFUNCTION("""COMPUTED_VALUE"""),"Algorithms")</f>
        <v>Algorithms</v>
      </c>
      <c r="I1424" s="35">
        <f>IFERROR(__xludf.DUMMYFUNCTION("""COMPUTED_VALUE"""),0.499)</f>
        <v>0.499</v>
      </c>
      <c r="J1424" s="35">
        <f>IFERROR(__xludf.DUMMYFUNCTION("""COMPUTED_VALUE"""),1423.0)</f>
        <v>1423</v>
      </c>
      <c r="K1424" s="35" t="b">
        <f>IFERROR(__xludf.DUMMYFUNCTION("""COMPUTED_VALUE"""),FALSE)</f>
        <v>0</v>
      </c>
      <c r="L1424" s="35" t="str">
        <f>IFERROR(__xludf.DUMMYFUNCTION("""COMPUTED_VALUE"""),"Array;Sliding Window;Prefix Sum;")</f>
        <v>Array;Sliding Window;Prefix Sum;</v>
      </c>
      <c r="M1424" s="35" t="b">
        <f>IFERROR(__xludf.DUMMYFUNCTION("""COMPUTED_VALUE"""),TRUE)</f>
        <v>1</v>
      </c>
      <c r="N1424" s="35" t="b">
        <f>IFERROR(__xludf.DUMMYFUNCTION("""COMPUTED_VALUE"""),FALSE)</f>
        <v>0</v>
      </c>
      <c r="O1424" s="35">
        <f>IFERROR(__xludf.DUMMYFUNCTION("""COMPUTED_VALUE"""),49.8912053952326)</f>
        <v>49.8912054</v>
      </c>
      <c r="P1424" s="35">
        <f>IFERROR(__xludf.DUMMYFUNCTION("""COMPUTED_VALUE"""),122207.0)</f>
        <v>122207</v>
      </c>
      <c r="Q1424" s="35">
        <f>IFERROR(__xludf.DUMMYFUNCTION("""COMPUTED_VALUE"""),244950.0)</f>
        <v>244950</v>
      </c>
    </row>
    <row r="1425">
      <c r="A1425" s="35">
        <f>IFERROR(__xludf.DUMMYFUNCTION("""COMPUTED_VALUE"""),1539.0)</f>
        <v>1539</v>
      </c>
      <c r="B1425" s="35" t="str">
        <f>IFERROR(__xludf.DUMMYFUNCTION("""COMPUTED_VALUE"""),"Diagonal Traverse II")</f>
        <v>Diagonal Traverse II</v>
      </c>
      <c r="C1425" s="35" t="str">
        <f>IFERROR(__xludf.DUMMYFUNCTION("""COMPUTED_VALUE"""),"diagonal-traverse-ii")</f>
        <v>diagonal-traverse-ii</v>
      </c>
      <c r="D1425" s="35" t="b">
        <f>IFERROR(__xludf.DUMMYFUNCTION("""COMPUTED_VALUE"""),FALSE)</f>
        <v>0</v>
      </c>
      <c r="E1425" s="35" t="str">
        <f>IFERROR(__xludf.DUMMYFUNCTION("""COMPUTED_VALUE"""),"Medium")</f>
        <v>Medium</v>
      </c>
      <c r="F1425" s="35">
        <f>IFERROR(__xludf.DUMMYFUNCTION("""COMPUTED_VALUE"""),780.0)</f>
        <v>780</v>
      </c>
      <c r="G1425" s="35">
        <f>IFERROR(__xludf.DUMMYFUNCTION("""COMPUTED_VALUE"""),74.0)</f>
        <v>74</v>
      </c>
      <c r="H1425" s="35" t="str">
        <f>IFERROR(__xludf.DUMMYFUNCTION("""COMPUTED_VALUE"""),"Algorithms")</f>
        <v>Algorithms</v>
      </c>
      <c r="I1425" s="35">
        <f>IFERROR(__xludf.DUMMYFUNCTION("""COMPUTED_VALUE"""),0.497)</f>
        <v>0.497</v>
      </c>
      <c r="J1425" s="35">
        <f>IFERROR(__xludf.DUMMYFUNCTION("""COMPUTED_VALUE"""),1424.0)</f>
        <v>1424</v>
      </c>
      <c r="K1425" s="35" t="b">
        <f>IFERROR(__xludf.DUMMYFUNCTION("""COMPUTED_VALUE"""),FALSE)</f>
        <v>0</v>
      </c>
      <c r="L1425" s="35" t="str">
        <f>IFERROR(__xludf.DUMMYFUNCTION("""COMPUTED_VALUE"""),"Array;Sorting;Heap (Priority Queue);")</f>
        <v>Array;Sorting;Heap (Priority Queue);</v>
      </c>
      <c r="M1425" s="35" t="b">
        <f>IFERROR(__xludf.DUMMYFUNCTION("""COMPUTED_VALUE"""),FALSE)</f>
        <v>0</v>
      </c>
      <c r="N1425" s="35" t="b">
        <f>IFERROR(__xludf.DUMMYFUNCTION("""COMPUTED_VALUE"""),FALSE)</f>
        <v>0</v>
      </c>
      <c r="O1425" s="35">
        <f>IFERROR(__xludf.DUMMYFUNCTION("""COMPUTED_VALUE"""),49.7041344494855)</f>
        <v>49.70413445</v>
      </c>
      <c r="P1425" s="35">
        <f>IFERROR(__xludf.DUMMYFUNCTION("""COMPUTED_VALUE"""),38891.0)</f>
        <v>38891</v>
      </c>
      <c r="Q1425" s="35">
        <f>IFERROR(__xludf.DUMMYFUNCTION("""COMPUTED_VALUE"""),78245.0)</f>
        <v>78245</v>
      </c>
    </row>
    <row r="1426">
      <c r="A1426" s="35">
        <f>IFERROR(__xludf.DUMMYFUNCTION("""COMPUTED_VALUE"""),1286.0)</f>
        <v>1286</v>
      </c>
      <c r="B1426" s="35" t="str">
        <f>IFERROR(__xludf.DUMMYFUNCTION("""COMPUTED_VALUE"""),"Constrained Subsequence Sum")</f>
        <v>Constrained Subsequence Sum</v>
      </c>
      <c r="C1426" s="35" t="str">
        <f>IFERROR(__xludf.DUMMYFUNCTION("""COMPUTED_VALUE"""),"constrained-subsequence-sum")</f>
        <v>constrained-subsequence-sum</v>
      </c>
      <c r="D1426" s="35" t="b">
        <f>IFERROR(__xludf.DUMMYFUNCTION("""COMPUTED_VALUE"""),FALSE)</f>
        <v>0</v>
      </c>
      <c r="E1426" s="35" t="str">
        <f>IFERROR(__xludf.DUMMYFUNCTION("""COMPUTED_VALUE"""),"Hard")</f>
        <v>Hard</v>
      </c>
      <c r="F1426" s="35">
        <f>IFERROR(__xludf.DUMMYFUNCTION("""COMPUTED_VALUE"""),747.0)</f>
        <v>747</v>
      </c>
      <c r="G1426" s="35">
        <f>IFERROR(__xludf.DUMMYFUNCTION("""COMPUTED_VALUE"""),30.0)</f>
        <v>30</v>
      </c>
      <c r="H1426" s="35" t="str">
        <f>IFERROR(__xludf.DUMMYFUNCTION("""COMPUTED_VALUE"""),"Algorithms")</f>
        <v>Algorithms</v>
      </c>
      <c r="I1426" s="35">
        <f>IFERROR(__xludf.DUMMYFUNCTION("""COMPUTED_VALUE"""),0.464)</f>
        <v>0.464</v>
      </c>
      <c r="J1426" s="35">
        <f>IFERROR(__xludf.DUMMYFUNCTION("""COMPUTED_VALUE"""),1425.0)</f>
        <v>1425</v>
      </c>
      <c r="K1426" s="35" t="b">
        <f>IFERROR(__xludf.DUMMYFUNCTION("""COMPUTED_VALUE"""),FALSE)</f>
        <v>0</v>
      </c>
      <c r="L1426" s="35" t="str">
        <f>IFERROR(__xludf.DUMMYFUNCTION("""COMPUTED_VALUE"""),"Array;Dynamic Programming;Queue;Sliding Window;Heap (Priority Queue);Monotonic Queue;")</f>
        <v>Array;Dynamic Programming;Queue;Sliding Window;Heap (Priority Queue);Monotonic Queue;</v>
      </c>
      <c r="M1426" s="35" t="b">
        <f>IFERROR(__xludf.DUMMYFUNCTION("""COMPUTED_VALUE"""),FALSE)</f>
        <v>0</v>
      </c>
      <c r="N1426" s="35" t="b">
        <f>IFERROR(__xludf.DUMMYFUNCTION("""COMPUTED_VALUE"""),FALSE)</f>
        <v>0</v>
      </c>
      <c r="O1426" s="35">
        <f>IFERROR(__xludf.DUMMYFUNCTION("""COMPUTED_VALUE"""),46.405315969257)</f>
        <v>46.40531597</v>
      </c>
      <c r="P1426" s="35">
        <f>IFERROR(__xludf.DUMMYFUNCTION("""COMPUTED_VALUE"""),17387.0)</f>
        <v>17387</v>
      </c>
      <c r="Q1426" s="35">
        <f>IFERROR(__xludf.DUMMYFUNCTION("""COMPUTED_VALUE"""),37469.0)</f>
        <v>37469</v>
      </c>
    </row>
    <row r="1427">
      <c r="A1427" s="35">
        <f>IFERROR(__xludf.DUMMYFUNCTION("""COMPUTED_VALUE"""),1391.0)</f>
        <v>1391</v>
      </c>
      <c r="B1427" s="35" t="str">
        <f>IFERROR(__xludf.DUMMYFUNCTION("""COMPUTED_VALUE"""),"Counting Elements")</f>
        <v>Counting Elements</v>
      </c>
      <c r="C1427" s="35" t="str">
        <f>IFERROR(__xludf.DUMMYFUNCTION("""COMPUTED_VALUE"""),"counting-elements")</f>
        <v>counting-elements</v>
      </c>
      <c r="D1427" s="35" t="b">
        <f>IFERROR(__xludf.DUMMYFUNCTION("""COMPUTED_VALUE"""),TRUE)</f>
        <v>1</v>
      </c>
      <c r="E1427" s="35" t="str">
        <f>IFERROR(__xludf.DUMMYFUNCTION("""COMPUTED_VALUE"""),"Easy")</f>
        <v>Easy</v>
      </c>
      <c r="F1427" s="35">
        <f>IFERROR(__xludf.DUMMYFUNCTION("""COMPUTED_VALUE"""),83.0)</f>
        <v>83</v>
      </c>
      <c r="G1427" s="35">
        <f>IFERROR(__xludf.DUMMYFUNCTION("""COMPUTED_VALUE"""),16.0)</f>
        <v>16</v>
      </c>
      <c r="H1427" s="35" t="str">
        <f>IFERROR(__xludf.DUMMYFUNCTION("""COMPUTED_VALUE"""),"Algorithms")</f>
        <v>Algorithms</v>
      </c>
      <c r="I1427" s="35">
        <f>IFERROR(__xludf.DUMMYFUNCTION("""COMPUTED_VALUE"""),0.595)</f>
        <v>0.595</v>
      </c>
      <c r="J1427" s="35">
        <f>IFERROR(__xludf.DUMMYFUNCTION("""COMPUTED_VALUE"""),1426.0)</f>
        <v>1426</v>
      </c>
      <c r="K1427" s="35" t="b">
        <f>IFERROR(__xludf.DUMMYFUNCTION("""COMPUTED_VALUE"""),TRUE)</f>
        <v>1</v>
      </c>
      <c r="L1427" s="35" t="str">
        <f>IFERROR(__xludf.DUMMYFUNCTION("""COMPUTED_VALUE"""),"Array;Hash Table;")</f>
        <v>Array;Hash Table;</v>
      </c>
      <c r="M1427" s="35" t="b">
        <f>IFERROR(__xludf.DUMMYFUNCTION("""COMPUTED_VALUE"""),TRUE)</f>
        <v>1</v>
      </c>
      <c r="N1427" s="35" t="b">
        <f>IFERROR(__xludf.DUMMYFUNCTION("""COMPUTED_VALUE"""),FALSE)</f>
        <v>0</v>
      </c>
      <c r="O1427" s="35">
        <f>IFERROR(__xludf.DUMMYFUNCTION("""COMPUTED_VALUE"""),59.4589737274766)</f>
        <v>59.45897373</v>
      </c>
      <c r="P1427" s="35">
        <f>IFERROR(__xludf.DUMMYFUNCTION("""COMPUTED_VALUE"""),89327.0)</f>
        <v>89327</v>
      </c>
      <c r="Q1427" s="35">
        <f>IFERROR(__xludf.DUMMYFUNCTION("""COMPUTED_VALUE"""),150233.0)</f>
        <v>150233</v>
      </c>
    </row>
    <row r="1428">
      <c r="A1428" s="35">
        <f>IFERROR(__xludf.DUMMYFUNCTION("""COMPUTED_VALUE"""),1345.0)</f>
        <v>1345</v>
      </c>
      <c r="B1428" s="35" t="str">
        <f>IFERROR(__xludf.DUMMYFUNCTION("""COMPUTED_VALUE"""),"Perform String Shifts")</f>
        <v>Perform String Shifts</v>
      </c>
      <c r="C1428" s="35" t="str">
        <f>IFERROR(__xludf.DUMMYFUNCTION("""COMPUTED_VALUE"""),"perform-string-shifts")</f>
        <v>perform-string-shifts</v>
      </c>
      <c r="D1428" s="35" t="b">
        <f>IFERROR(__xludf.DUMMYFUNCTION("""COMPUTED_VALUE"""),TRUE)</f>
        <v>1</v>
      </c>
      <c r="E1428" s="35" t="str">
        <f>IFERROR(__xludf.DUMMYFUNCTION("""COMPUTED_VALUE"""),"Easy")</f>
        <v>Easy</v>
      </c>
      <c r="F1428" s="35">
        <f>IFERROR(__xludf.DUMMYFUNCTION("""COMPUTED_VALUE"""),138.0)</f>
        <v>138</v>
      </c>
      <c r="G1428" s="35">
        <f>IFERROR(__xludf.DUMMYFUNCTION("""COMPUTED_VALUE"""),2.0)</f>
        <v>2</v>
      </c>
      <c r="H1428" s="35" t="str">
        <f>IFERROR(__xludf.DUMMYFUNCTION("""COMPUTED_VALUE"""),"Algorithms")</f>
        <v>Algorithms</v>
      </c>
      <c r="I1428" s="35">
        <f>IFERROR(__xludf.DUMMYFUNCTION("""COMPUTED_VALUE"""),0.54)</f>
        <v>0.54</v>
      </c>
      <c r="J1428" s="35">
        <f>IFERROR(__xludf.DUMMYFUNCTION("""COMPUTED_VALUE"""),1427.0)</f>
        <v>1427</v>
      </c>
      <c r="K1428" s="35" t="b">
        <f>IFERROR(__xludf.DUMMYFUNCTION("""COMPUTED_VALUE"""),TRUE)</f>
        <v>1</v>
      </c>
      <c r="L1428" s="35" t="str">
        <f>IFERROR(__xludf.DUMMYFUNCTION("""COMPUTED_VALUE"""),"Array;Math;String;")</f>
        <v>Array;Math;String;</v>
      </c>
      <c r="M1428" s="35" t="b">
        <f>IFERROR(__xludf.DUMMYFUNCTION("""COMPUTED_VALUE"""),TRUE)</f>
        <v>1</v>
      </c>
      <c r="N1428" s="35" t="b">
        <f>IFERROR(__xludf.DUMMYFUNCTION("""COMPUTED_VALUE"""),FALSE)</f>
        <v>0</v>
      </c>
      <c r="O1428" s="35">
        <f>IFERROR(__xludf.DUMMYFUNCTION("""COMPUTED_VALUE"""),53.9776047876195)</f>
        <v>53.97760479</v>
      </c>
      <c r="P1428" s="35">
        <f>IFERROR(__xludf.DUMMYFUNCTION("""COMPUTED_VALUE"""),69270.0)</f>
        <v>69270</v>
      </c>
      <c r="Q1428" s="35">
        <f>IFERROR(__xludf.DUMMYFUNCTION("""COMPUTED_VALUE"""),128331.0)</f>
        <v>128331</v>
      </c>
    </row>
    <row r="1429">
      <c r="A1429" s="35">
        <f>IFERROR(__xludf.DUMMYFUNCTION("""COMPUTED_VALUE"""),1374.0)</f>
        <v>1374</v>
      </c>
      <c r="B1429" s="35" t="str">
        <f>IFERROR(__xludf.DUMMYFUNCTION("""COMPUTED_VALUE"""),"Leftmost Column with at Least a One")</f>
        <v>Leftmost Column with at Least a One</v>
      </c>
      <c r="C1429" s="35" t="str">
        <f>IFERROR(__xludf.DUMMYFUNCTION("""COMPUTED_VALUE"""),"leftmost-column-with-at-least-a-one")</f>
        <v>leftmost-column-with-at-least-a-one</v>
      </c>
      <c r="D1429" s="35" t="b">
        <f>IFERROR(__xludf.DUMMYFUNCTION("""COMPUTED_VALUE"""),TRUE)</f>
        <v>1</v>
      </c>
      <c r="E1429" s="35" t="str">
        <f>IFERROR(__xludf.DUMMYFUNCTION("""COMPUTED_VALUE"""),"Medium")</f>
        <v>Medium</v>
      </c>
      <c r="F1429" s="35">
        <f>IFERROR(__xludf.DUMMYFUNCTION("""COMPUTED_VALUE"""),902.0)</f>
        <v>902</v>
      </c>
      <c r="G1429" s="35">
        <f>IFERROR(__xludf.DUMMYFUNCTION("""COMPUTED_VALUE"""),111.0)</f>
        <v>111</v>
      </c>
      <c r="H1429" s="35" t="str">
        <f>IFERROR(__xludf.DUMMYFUNCTION("""COMPUTED_VALUE"""),"Algorithms")</f>
        <v>Algorithms</v>
      </c>
      <c r="I1429" s="35">
        <f>IFERROR(__xludf.DUMMYFUNCTION("""COMPUTED_VALUE"""),0.524)</f>
        <v>0.524</v>
      </c>
      <c r="J1429" s="35">
        <f>IFERROR(__xludf.DUMMYFUNCTION("""COMPUTED_VALUE"""),1428.0)</f>
        <v>1428</v>
      </c>
      <c r="K1429" s="35" t="b">
        <f>IFERROR(__xludf.DUMMYFUNCTION("""COMPUTED_VALUE"""),TRUE)</f>
        <v>1</v>
      </c>
      <c r="L1429" s="35" t="str">
        <f>IFERROR(__xludf.DUMMYFUNCTION("""COMPUTED_VALUE"""),"Array;Binary Search;Matrix;Interactive;")</f>
        <v>Array;Binary Search;Matrix;Interactive;</v>
      </c>
      <c r="M1429" s="35" t="b">
        <f>IFERROR(__xludf.DUMMYFUNCTION("""COMPUTED_VALUE"""),TRUE)</f>
        <v>1</v>
      </c>
      <c r="N1429" s="35" t="b">
        <f>IFERROR(__xludf.DUMMYFUNCTION("""COMPUTED_VALUE"""),FALSE)</f>
        <v>0</v>
      </c>
      <c r="O1429" s="35">
        <f>IFERROR(__xludf.DUMMYFUNCTION("""COMPUTED_VALUE"""),52.3543525114695)</f>
        <v>52.35435251</v>
      </c>
      <c r="P1429" s="35">
        <f>IFERROR(__xludf.DUMMYFUNCTION("""COMPUTED_VALUE"""),141618.0)</f>
        <v>141618</v>
      </c>
      <c r="Q1429" s="35">
        <f>IFERROR(__xludf.DUMMYFUNCTION("""COMPUTED_VALUE"""),270499.0)</f>
        <v>270499</v>
      </c>
    </row>
    <row r="1430">
      <c r="A1430" s="35">
        <f>IFERROR(__xludf.DUMMYFUNCTION("""COMPUTED_VALUE"""),1366.0)</f>
        <v>1366</v>
      </c>
      <c r="B1430" s="35" t="str">
        <f>IFERROR(__xludf.DUMMYFUNCTION("""COMPUTED_VALUE"""),"First Unique Number")</f>
        <v>First Unique Number</v>
      </c>
      <c r="C1430" s="35" t="str">
        <f>IFERROR(__xludf.DUMMYFUNCTION("""COMPUTED_VALUE"""),"first-unique-number")</f>
        <v>first-unique-number</v>
      </c>
      <c r="D1430" s="35" t="b">
        <f>IFERROR(__xludf.DUMMYFUNCTION("""COMPUTED_VALUE"""),TRUE)</f>
        <v>1</v>
      </c>
      <c r="E1430" s="35" t="str">
        <f>IFERROR(__xludf.DUMMYFUNCTION("""COMPUTED_VALUE"""),"Medium")</f>
        <v>Medium</v>
      </c>
      <c r="F1430" s="35">
        <f>IFERROR(__xludf.DUMMYFUNCTION("""COMPUTED_VALUE"""),419.0)</f>
        <v>419</v>
      </c>
      <c r="G1430" s="35">
        <f>IFERROR(__xludf.DUMMYFUNCTION("""COMPUTED_VALUE"""),20.0)</f>
        <v>20</v>
      </c>
      <c r="H1430" s="35" t="str">
        <f>IFERROR(__xludf.DUMMYFUNCTION("""COMPUTED_VALUE"""),"Algorithms")</f>
        <v>Algorithms</v>
      </c>
      <c r="I1430" s="35">
        <f>IFERROR(__xludf.DUMMYFUNCTION("""COMPUTED_VALUE"""),0.521)</f>
        <v>0.521</v>
      </c>
      <c r="J1430" s="35">
        <f>IFERROR(__xludf.DUMMYFUNCTION("""COMPUTED_VALUE"""),1429.0)</f>
        <v>1429</v>
      </c>
      <c r="K1430" s="35" t="b">
        <f>IFERROR(__xludf.DUMMYFUNCTION("""COMPUTED_VALUE"""),TRUE)</f>
        <v>1</v>
      </c>
      <c r="L1430" s="35" t="str">
        <f>IFERROR(__xludf.DUMMYFUNCTION("""COMPUTED_VALUE"""),"Array;Hash Table;Design;Queue;Data Stream;")</f>
        <v>Array;Hash Table;Design;Queue;Data Stream;</v>
      </c>
      <c r="M1430" s="35" t="b">
        <f>IFERROR(__xludf.DUMMYFUNCTION("""COMPUTED_VALUE"""),TRUE)</f>
        <v>1</v>
      </c>
      <c r="N1430" s="35" t="b">
        <f>IFERROR(__xludf.DUMMYFUNCTION("""COMPUTED_VALUE"""),FALSE)</f>
        <v>0</v>
      </c>
      <c r="O1430" s="35">
        <f>IFERROR(__xludf.DUMMYFUNCTION("""COMPUTED_VALUE"""),52.1412370593827)</f>
        <v>52.14123706</v>
      </c>
      <c r="P1430" s="35">
        <f>IFERROR(__xludf.DUMMYFUNCTION("""COMPUTED_VALUE"""),69656.0)</f>
        <v>69656</v>
      </c>
      <c r="Q1430" s="35">
        <f>IFERROR(__xludf.DUMMYFUNCTION("""COMPUTED_VALUE"""),133591.0)</f>
        <v>133591</v>
      </c>
    </row>
    <row r="1431">
      <c r="A1431" s="35">
        <f>IFERROR(__xludf.DUMMYFUNCTION("""COMPUTED_VALUE"""),1432.0)</f>
        <v>1432</v>
      </c>
      <c r="B1431" s="35" t="str">
        <f>IFERROR(__xludf.DUMMYFUNCTION("""COMPUTED_VALUE"""),"Check If a String Is a Valid Sequence from Root to Leaves Path in a Binary Tree")</f>
        <v>Check If a String Is a Valid Sequence from Root to Leaves Path in a Binary Tree</v>
      </c>
      <c r="C1431" s="35" t="str">
        <f>IFERROR(__xludf.DUMMYFUNCTION("""COMPUTED_VALUE"""),"check-if-a-string-is-a-valid-sequence-from-root-to-leaves-path-in-a-binary-tree")</f>
        <v>check-if-a-string-is-a-valid-sequence-from-root-to-leaves-path-in-a-binary-tree</v>
      </c>
      <c r="D1431" s="35" t="b">
        <f>IFERROR(__xludf.DUMMYFUNCTION("""COMPUTED_VALUE"""),TRUE)</f>
        <v>1</v>
      </c>
      <c r="E1431" s="35" t="str">
        <f>IFERROR(__xludf.DUMMYFUNCTION("""COMPUTED_VALUE"""),"Medium")</f>
        <v>Medium</v>
      </c>
      <c r="F1431" s="35">
        <f>IFERROR(__xludf.DUMMYFUNCTION("""COMPUTED_VALUE"""),140.0)</f>
        <v>140</v>
      </c>
      <c r="G1431" s="35">
        <f>IFERROR(__xludf.DUMMYFUNCTION("""COMPUTED_VALUE"""),9.0)</f>
        <v>9</v>
      </c>
      <c r="H1431" s="35" t="str">
        <f>IFERROR(__xludf.DUMMYFUNCTION("""COMPUTED_VALUE"""),"Algorithms")</f>
        <v>Algorithms</v>
      </c>
      <c r="I1431" s="35">
        <f>IFERROR(__xludf.DUMMYFUNCTION("""COMPUTED_VALUE"""),0.456)</f>
        <v>0.456</v>
      </c>
      <c r="J1431" s="35">
        <f>IFERROR(__xludf.DUMMYFUNCTION("""COMPUTED_VALUE"""),1430.0)</f>
        <v>1430</v>
      </c>
      <c r="K1431" s="35" t="b">
        <f>IFERROR(__xludf.DUMMYFUNCTION("""COMPUTED_VALUE"""),TRUE)</f>
        <v>1</v>
      </c>
      <c r="L1431" s="35" t="str">
        <f>IFERROR(__xludf.DUMMYFUNCTION("""COMPUTED_VALUE"""),"Tree;Depth-First Search;Breadth-First Search;Binary Tree;")</f>
        <v>Tree;Depth-First Search;Breadth-First Search;Binary Tree;</v>
      </c>
      <c r="M1431" s="35" t="b">
        <f>IFERROR(__xludf.DUMMYFUNCTION("""COMPUTED_VALUE"""),FALSE)</f>
        <v>0</v>
      </c>
      <c r="N1431" s="35" t="b">
        <f>IFERROR(__xludf.DUMMYFUNCTION("""COMPUTED_VALUE"""),FALSE)</f>
        <v>0</v>
      </c>
      <c r="O1431" s="35">
        <f>IFERROR(__xludf.DUMMYFUNCTION("""COMPUTED_VALUE"""),45.647094558284)</f>
        <v>45.64709456</v>
      </c>
      <c r="P1431" s="35">
        <f>IFERROR(__xludf.DUMMYFUNCTION("""COMPUTED_VALUE"""),39073.0)</f>
        <v>39073</v>
      </c>
      <c r="Q1431" s="35">
        <f>IFERROR(__xludf.DUMMYFUNCTION("""COMPUTED_VALUE"""),85598.0)</f>
        <v>85598</v>
      </c>
    </row>
    <row r="1432">
      <c r="A1432" s="35">
        <f>IFERROR(__xludf.DUMMYFUNCTION("""COMPUTED_VALUE"""),1528.0)</f>
        <v>1528</v>
      </c>
      <c r="B1432" s="35" t="str">
        <f>IFERROR(__xludf.DUMMYFUNCTION("""COMPUTED_VALUE"""),"Kids With the Greatest Number of Candies")</f>
        <v>Kids With the Greatest Number of Candies</v>
      </c>
      <c r="C1432" s="35" t="str">
        <f>IFERROR(__xludf.DUMMYFUNCTION("""COMPUTED_VALUE"""),"kids-with-the-greatest-number-of-candies")</f>
        <v>kids-with-the-greatest-number-of-candies</v>
      </c>
      <c r="D1432" s="35" t="b">
        <f>IFERROR(__xludf.DUMMYFUNCTION("""COMPUTED_VALUE"""),FALSE)</f>
        <v>0</v>
      </c>
      <c r="E1432" s="35" t="str">
        <f>IFERROR(__xludf.DUMMYFUNCTION("""COMPUTED_VALUE"""),"Easy")</f>
        <v>Easy</v>
      </c>
      <c r="F1432" s="35">
        <f>IFERROR(__xludf.DUMMYFUNCTION("""COMPUTED_VALUE"""),1441.0)</f>
        <v>1441</v>
      </c>
      <c r="G1432" s="35">
        <f>IFERROR(__xludf.DUMMYFUNCTION("""COMPUTED_VALUE"""),264.0)</f>
        <v>264</v>
      </c>
      <c r="H1432" s="35" t="str">
        <f>IFERROR(__xludf.DUMMYFUNCTION("""COMPUTED_VALUE"""),"Algorithms")</f>
        <v>Algorithms</v>
      </c>
      <c r="I1432" s="35">
        <f>IFERROR(__xludf.DUMMYFUNCTION("""COMPUTED_VALUE"""),0.878)</f>
        <v>0.878</v>
      </c>
      <c r="J1432" s="35">
        <f>IFERROR(__xludf.DUMMYFUNCTION("""COMPUTED_VALUE"""),1431.0)</f>
        <v>1431</v>
      </c>
      <c r="K1432" s="35" t="b">
        <f>IFERROR(__xludf.DUMMYFUNCTION("""COMPUTED_VALUE"""),FALSE)</f>
        <v>0</v>
      </c>
      <c r="L1432" s="35" t="str">
        <f>IFERROR(__xludf.DUMMYFUNCTION("""COMPUTED_VALUE"""),"Array;")</f>
        <v>Array;</v>
      </c>
      <c r="M1432" s="35" t="b">
        <f>IFERROR(__xludf.DUMMYFUNCTION("""COMPUTED_VALUE"""),FALSE)</f>
        <v>0</v>
      </c>
      <c r="N1432" s="35" t="b">
        <f>IFERROR(__xludf.DUMMYFUNCTION("""COMPUTED_VALUE"""),FALSE)</f>
        <v>0</v>
      </c>
      <c r="O1432" s="35">
        <f>IFERROR(__xludf.DUMMYFUNCTION("""COMPUTED_VALUE"""),87.7763437031762)</f>
        <v>87.7763437</v>
      </c>
      <c r="P1432" s="35">
        <f>IFERROR(__xludf.DUMMYFUNCTION("""COMPUTED_VALUE"""),295837.0)</f>
        <v>295837</v>
      </c>
      <c r="Q1432" s="35">
        <f>IFERROR(__xludf.DUMMYFUNCTION("""COMPUTED_VALUE"""),337035.0)</f>
        <v>337035</v>
      </c>
    </row>
    <row r="1433">
      <c r="A1433" s="35">
        <f>IFERROR(__xludf.DUMMYFUNCTION("""COMPUTED_VALUE"""),1529.0)</f>
        <v>1529</v>
      </c>
      <c r="B1433" s="35" t="str">
        <f>IFERROR(__xludf.DUMMYFUNCTION("""COMPUTED_VALUE"""),"Max Difference You Can Get From Changing an Integer")</f>
        <v>Max Difference You Can Get From Changing an Integer</v>
      </c>
      <c r="C1433" s="35" t="str">
        <f>IFERROR(__xludf.DUMMYFUNCTION("""COMPUTED_VALUE"""),"max-difference-you-can-get-from-changing-an-integer")</f>
        <v>max-difference-you-can-get-from-changing-an-integer</v>
      </c>
      <c r="D1433" s="35" t="b">
        <f>IFERROR(__xludf.DUMMYFUNCTION("""COMPUTED_VALUE"""),FALSE)</f>
        <v>0</v>
      </c>
      <c r="E1433" s="35" t="str">
        <f>IFERROR(__xludf.DUMMYFUNCTION("""COMPUTED_VALUE"""),"Medium")</f>
        <v>Medium</v>
      </c>
      <c r="F1433" s="35">
        <f>IFERROR(__xludf.DUMMYFUNCTION("""COMPUTED_VALUE"""),136.0)</f>
        <v>136</v>
      </c>
      <c r="G1433" s="35">
        <f>IFERROR(__xludf.DUMMYFUNCTION("""COMPUTED_VALUE"""),183.0)</f>
        <v>183</v>
      </c>
      <c r="H1433" s="35" t="str">
        <f>IFERROR(__xludf.DUMMYFUNCTION("""COMPUTED_VALUE"""),"Algorithms")</f>
        <v>Algorithms</v>
      </c>
      <c r="I1433" s="35">
        <f>IFERROR(__xludf.DUMMYFUNCTION("""COMPUTED_VALUE"""),0.433)</f>
        <v>0.433</v>
      </c>
      <c r="J1433" s="35">
        <f>IFERROR(__xludf.DUMMYFUNCTION("""COMPUTED_VALUE"""),1432.0)</f>
        <v>1432</v>
      </c>
      <c r="K1433" s="35" t="b">
        <f>IFERROR(__xludf.DUMMYFUNCTION("""COMPUTED_VALUE"""),FALSE)</f>
        <v>0</v>
      </c>
      <c r="L1433" s="35" t="str">
        <f>IFERROR(__xludf.DUMMYFUNCTION("""COMPUTED_VALUE"""),"Math;Greedy;")</f>
        <v>Math;Greedy;</v>
      </c>
      <c r="M1433" s="35" t="b">
        <f>IFERROR(__xludf.DUMMYFUNCTION("""COMPUTED_VALUE"""),FALSE)</f>
        <v>0</v>
      </c>
      <c r="N1433" s="35" t="b">
        <f>IFERROR(__xludf.DUMMYFUNCTION("""COMPUTED_VALUE"""),FALSE)</f>
        <v>0</v>
      </c>
      <c r="O1433" s="35">
        <f>IFERROR(__xludf.DUMMYFUNCTION("""COMPUTED_VALUE"""),43.3237410071942)</f>
        <v>43.32374101</v>
      </c>
      <c r="P1433" s="35">
        <f>IFERROR(__xludf.DUMMYFUNCTION("""COMPUTED_VALUE"""),12044.0)</f>
        <v>12044</v>
      </c>
      <c r="Q1433" s="35">
        <f>IFERROR(__xludf.DUMMYFUNCTION("""COMPUTED_VALUE"""),27800.0)</f>
        <v>27800</v>
      </c>
    </row>
    <row r="1434">
      <c r="A1434" s="35">
        <f>IFERROR(__xludf.DUMMYFUNCTION("""COMPUTED_VALUE"""),1530.0)</f>
        <v>1530</v>
      </c>
      <c r="B1434" s="35" t="str">
        <f>IFERROR(__xludf.DUMMYFUNCTION("""COMPUTED_VALUE"""),"Check If a String Can Break Another String")</f>
        <v>Check If a String Can Break Another String</v>
      </c>
      <c r="C1434" s="35" t="str">
        <f>IFERROR(__xludf.DUMMYFUNCTION("""COMPUTED_VALUE"""),"check-if-a-string-can-break-another-string")</f>
        <v>check-if-a-string-can-break-another-string</v>
      </c>
      <c r="D1434" s="35" t="b">
        <f>IFERROR(__xludf.DUMMYFUNCTION("""COMPUTED_VALUE"""),FALSE)</f>
        <v>0</v>
      </c>
      <c r="E1434" s="35" t="str">
        <f>IFERROR(__xludf.DUMMYFUNCTION("""COMPUTED_VALUE"""),"Medium")</f>
        <v>Medium</v>
      </c>
      <c r="F1434" s="35">
        <f>IFERROR(__xludf.DUMMYFUNCTION("""COMPUTED_VALUE"""),481.0)</f>
        <v>481</v>
      </c>
      <c r="G1434" s="35">
        <f>IFERROR(__xludf.DUMMYFUNCTION("""COMPUTED_VALUE"""),108.0)</f>
        <v>108</v>
      </c>
      <c r="H1434" s="35" t="str">
        <f>IFERROR(__xludf.DUMMYFUNCTION("""COMPUTED_VALUE"""),"Algorithms")</f>
        <v>Algorithms</v>
      </c>
      <c r="I1434" s="35">
        <f>IFERROR(__xludf.DUMMYFUNCTION("""COMPUTED_VALUE"""),0.684)</f>
        <v>0.684</v>
      </c>
      <c r="J1434" s="35">
        <f>IFERROR(__xludf.DUMMYFUNCTION("""COMPUTED_VALUE"""),1433.0)</f>
        <v>1433</v>
      </c>
      <c r="K1434" s="35" t="b">
        <f>IFERROR(__xludf.DUMMYFUNCTION("""COMPUTED_VALUE"""),FALSE)</f>
        <v>0</v>
      </c>
      <c r="L1434" s="35" t="str">
        <f>IFERROR(__xludf.DUMMYFUNCTION("""COMPUTED_VALUE"""),"String;Greedy;Sorting;")</f>
        <v>String;Greedy;Sorting;</v>
      </c>
      <c r="M1434" s="35" t="b">
        <f>IFERROR(__xludf.DUMMYFUNCTION("""COMPUTED_VALUE"""),FALSE)</f>
        <v>0</v>
      </c>
      <c r="N1434" s="35" t="b">
        <f>IFERROR(__xludf.DUMMYFUNCTION("""COMPUTED_VALUE"""),FALSE)</f>
        <v>0</v>
      </c>
      <c r="O1434" s="35">
        <f>IFERROR(__xludf.DUMMYFUNCTION("""COMPUTED_VALUE"""),68.3571240704875)</f>
        <v>68.35712407</v>
      </c>
      <c r="P1434" s="35">
        <f>IFERROR(__xludf.DUMMYFUNCTION("""COMPUTED_VALUE"""),28589.0)</f>
        <v>28589</v>
      </c>
      <c r="Q1434" s="35">
        <f>IFERROR(__xludf.DUMMYFUNCTION("""COMPUTED_VALUE"""),41823.0)</f>
        <v>41823</v>
      </c>
    </row>
    <row r="1435">
      <c r="A1435" s="35">
        <f>IFERROR(__xludf.DUMMYFUNCTION("""COMPUTED_VALUE"""),1531.0)</f>
        <v>1531</v>
      </c>
      <c r="B1435" s="35" t="str">
        <f>IFERROR(__xludf.DUMMYFUNCTION("""COMPUTED_VALUE"""),"Number of Ways to Wear Different Hats to Each Other")</f>
        <v>Number of Ways to Wear Different Hats to Each Other</v>
      </c>
      <c r="C1435" s="35" t="str">
        <f>IFERROR(__xludf.DUMMYFUNCTION("""COMPUTED_VALUE"""),"number-of-ways-to-wear-different-hats-to-each-other")</f>
        <v>number-of-ways-to-wear-different-hats-to-each-other</v>
      </c>
      <c r="D1435" s="35" t="b">
        <f>IFERROR(__xludf.DUMMYFUNCTION("""COMPUTED_VALUE"""),FALSE)</f>
        <v>0</v>
      </c>
      <c r="E1435" s="35" t="str">
        <f>IFERROR(__xludf.DUMMYFUNCTION("""COMPUTED_VALUE"""),"Hard")</f>
        <v>Hard</v>
      </c>
      <c r="F1435" s="35">
        <f>IFERROR(__xludf.DUMMYFUNCTION("""COMPUTED_VALUE"""),572.0)</f>
        <v>572</v>
      </c>
      <c r="G1435" s="35">
        <f>IFERROR(__xludf.DUMMYFUNCTION("""COMPUTED_VALUE"""),7.0)</f>
        <v>7</v>
      </c>
      <c r="H1435" s="35" t="str">
        <f>IFERROR(__xludf.DUMMYFUNCTION("""COMPUTED_VALUE"""),"Algorithms")</f>
        <v>Algorithms</v>
      </c>
      <c r="I1435" s="35">
        <f>IFERROR(__xludf.DUMMYFUNCTION("""COMPUTED_VALUE"""),0.417)</f>
        <v>0.417</v>
      </c>
      <c r="J1435" s="35">
        <f>IFERROR(__xludf.DUMMYFUNCTION("""COMPUTED_VALUE"""),1434.0)</f>
        <v>1434</v>
      </c>
      <c r="K1435" s="35" t="b">
        <f>IFERROR(__xludf.DUMMYFUNCTION("""COMPUTED_VALUE"""),FALSE)</f>
        <v>0</v>
      </c>
      <c r="L1435" s="35" t="str">
        <f>IFERROR(__xludf.DUMMYFUNCTION("""COMPUTED_VALUE"""),"Array;Dynamic Programming;Bit Manipulation;Bitmask;")</f>
        <v>Array;Dynamic Programming;Bit Manipulation;Bitmask;</v>
      </c>
      <c r="M1435" s="35" t="b">
        <f>IFERROR(__xludf.DUMMYFUNCTION("""COMPUTED_VALUE"""),FALSE)</f>
        <v>0</v>
      </c>
      <c r="N1435" s="35" t="b">
        <f>IFERROR(__xludf.DUMMYFUNCTION("""COMPUTED_VALUE"""),FALSE)</f>
        <v>0</v>
      </c>
      <c r="O1435" s="35">
        <f>IFERROR(__xludf.DUMMYFUNCTION("""COMPUTED_VALUE"""),41.742963716514)</f>
        <v>41.74296372</v>
      </c>
      <c r="P1435" s="35">
        <f>IFERROR(__xludf.DUMMYFUNCTION("""COMPUTED_VALUE"""),8617.0)</f>
        <v>8617</v>
      </c>
      <c r="Q1435" s="35">
        <f>IFERROR(__xludf.DUMMYFUNCTION("""COMPUTED_VALUE"""),20643.0)</f>
        <v>20643</v>
      </c>
    </row>
    <row r="1436">
      <c r="A1436" s="35">
        <f>IFERROR(__xludf.DUMMYFUNCTION("""COMPUTED_VALUE"""),1564.0)</f>
        <v>1564</v>
      </c>
      <c r="B1436" s="35" t="str">
        <f>IFERROR(__xludf.DUMMYFUNCTION("""COMPUTED_VALUE"""),"Create a Session Bar Chart")</f>
        <v>Create a Session Bar Chart</v>
      </c>
      <c r="C1436" s="35" t="str">
        <f>IFERROR(__xludf.DUMMYFUNCTION("""COMPUTED_VALUE"""),"create-a-session-bar-chart")</f>
        <v>create-a-session-bar-chart</v>
      </c>
      <c r="D1436" s="35" t="b">
        <f>IFERROR(__xludf.DUMMYFUNCTION("""COMPUTED_VALUE"""),TRUE)</f>
        <v>1</v>
      </c>
      <c r="E1436" s="35" t="str">
        <f>IFERROR(__xludf.DUMMYFUNCTION("""COMPUTED_VALUE"""),"Easy")</f>
        <v>Easy</v>
      </c>
      <c r="F1436" s="35">
        <f>IFERROR(__xludf.DUMMYFUNCTION("""COMPUTED_VALUE"""),104.0)</f>
        <v>104</v>
      </c>
      <c r="G1436" s="35">
        <f>IFERROR(__xludf.DUMMYFUNCTION("""COMPUTED_VALUE"""),181.0)</f>
        <v>181</v>
      </c>
      <c r="H1436" s="35" t="str">
        <f>IFERROR(__xludf.DUMMYFUNCTION("""COMPUTED_VALUE"""),"Database")</f>
        <v>Database</v>
      </c>
      <c r="I1436" s="35">
        <f>IFERROR(__xludf.DUMMYFUNCTION("""COMPUTED_VALUE"""),0.783)</f>
        <v>0.783</v>
      </c>
      <c r="J1436" s="35">
        <f>IFERROR(__xludf.DUMMYFUNCTION("""COMPUTED_VALUE"""),1435.0)</f>
        <v>1435</v>
      </c>
      <c r="K1436" s="35" t="b">
        <f>IFERROR(__xludf.DUMMYFUNCTION("""COMPUTED_VALUE"""),TRUE)</f>
        <v>1</v>
      </c>
      <c r="L1436" s="35" t="str">
        <f>IFERROR(__xludf.DUMMYFUNCTION("""COMPUTED_VALUE"""),"Database;")</f>
        <v>Database;</v>
      </c>
      <c r="M1436" s="35" t="b">
        <f>IFERROR(__xludf.DUMMYFUNCTION("""COMPUTED_VALUE"""),FALSE)</f>
        <v>0</v>
      </c>
      <c r="N1436" s="35" t="b">
        <f>IFERROR(__xludf.DUMMYFUNCTION("""COMPUTED_VALUE"""),FALSE)</f>
        <v>0</v>
      </c>
      <c r="O1436" s="35">
        <f>IFERROR(__xludf.DUMMYFUNCTION("""COMPUTED_VALUE"""),78.3315107014529)</f>
        <v>78.3315107</v>
      </c>
      <c r="P1436" s="35">
        <f>IFERROR(__xludf.DUMMYFUNCTION("""COMPUTED_VALUE"""),15042.0)</f>
        <v>15042</v>
      </c>
      <c r="Q1436" s="35">
        <f>IFERROR(__xludf.DUMMYFUNCTION("""COMPUTED_VALUE"""),19203.0)</f>
        <v>19203</v>
      </c>
    </row>
    <row r="1437">
      <c r="A1437" s="35">
        <f>IFERROR(__xludf.DUMMYFUNCTION("""COMPUTED_VALUE"""),1547.0)</f>
        <v>1547</v>
      </c>
      <c r="B1437" s="35" t="str">
        <f>IFERROR(__xludf.DUMMYFUNCTION("""COMPUTED_VALUE"""),"Destination City")</f>
        <v>Destination City</v>
      </c>
      <c r="C1437" s="35" t="str">
        <f>IFERROR(__xludf.DUMMYFUNCTION("""COMPUTED_VALUE"""),"destination-city")</f>
        <v>destination-city</v>
      </c>
      <c r="D1437" s="35" t="b">
        <f>IFERROR(__xludf.DUMMYFUNCTION("""COMPUTED_VALUE"""),FALSE)</f>
        <v>0</v>
      </c>
      <c r="E1437" s="35" t="str">
        <f>IFERROR(__xludf.DUMMYFUNCTION("""COMPUTED_VALUE"""),"Easy")</f>
        <v>Easy</v>
      </c>
      <c r="F1437" s="35">
        <f>IFERROR(__xludf.DUMMYFUNCTION("""COMPUTED_VALUE"""),906.0)</f>
        <v>906</v>
      </c>
      <c r="G1437" s="35">
        <f>IFERROR(__xludf.DUMMYFUNCTION("""COMPUTED_VALUE"""),59.0)</f>
        <v>59</v>
      </c>
      <c r="H1437" s="35" t="str">
        <f>IFERROR(__xludf.DUMMYFUNCTION("""COMPUTED_VALUE"""),"Algorithms")</f>
        <v>Algorithms</v>
      </c>
      <c r="I1437" s="35">
        <f>IFERROR(__xludf.DUMMYFUNCTION("""COMPUTED_VALUE"""),0.777)</f>
        <v>0.777</v>
      </c>
      <c r="J1437" s="35">
        <f>IFERROR(__xludf.DUMMYFUNCTION("""COMPUTED_VALUE"""),1436.0)</f>
        <v>1436</v>
      </c>
      <c r="K1437" s="35" t="b">
        <f>IFERROR(__xludf.DUMMYFUNCTION("""COMPUTED_VALUE"""),FALSE)</f>
        <v>0</v>
      </c>
      <c r="L1437" s="35" t="str">
        <f>IFERROR(__xludf.DUMMYFUNCTION("""COMPUTED_VALUE"""),"Hash Table;String;")</f>
        <v>Hash Table;String;</v>
      </c>
      <c r="M1437" s="35" t="b">
        <f>IFERROR(__xludf.DUMMYFUNCTION("""COMPUTED_VALUE"""),FALSE)</f>
        <v>0</v>
      </c>
      <c r="N1437" s="35" t="b">
        <f>IFERROR(__xludf.DUMMYFUNCTION("""COMPUTED_VALUE"""),FALSE)</f>
        <v>0</v>
      </c>
      <c r="O1437" s="35">
        <f>IFERROR(__xludf.DUMMYFUNCTION("""COMPUTED_VALUE"""),77.6610357966345)</f>
        <v>77.6610358</v>
      </c>
      <c r="P1437" s="35">
        <f>IFERROR(__xludf.DUMMYFUNCTION("""COMPUTED_VALUE"""),94981.0)</f>
        <v>94981</v>
      </c>
      <c r="Q1437" s="35">
        <f>IFERROR(__xludf.DUMMYFUNCTION("""COMPUTED_VALUE"""),122302.0)</f>
        <v>122302</v>
      </c>
    </row>
    <row r="1438">
      <c r="A1438" s="35">
        <f>IFERROR(__xludf.DUMMYFUNCTION("""COMPUTED_VALUE"""),1548.0)</f>
        <v>1548</v>
      </c>
      <c r="B1438" s="35" t="str">
        <f>IFERROR(__xludf.DUMMYFUNCTION("""COMPUTED_VALUE"""),"Check If All 1's Are at Least Length K Places Away")</f>
        <v>Check If All 1's Are at Least Length K Places Away</v>
      </c>
      <c r="C1438" s="35" t="str">
        <f>IFERROR(__xludf.DUMMYFUNCTION("""COMPUTED_VALUE"""),"check-if-all-1s-are-at-least-length-k-places-away")</f>
        <v>check-if-all-1s-are-at-least-length-k-places-away</v>
      </c>
      <c r="D1438" s="35" t="b">
        <f>IFERROR(__xludf.DUMMYFUNCTION("""COMPUTED_VALUE"""),FALSE)</f>
        <v>0</v>
      </c>
      <c r="E1438" s="35" t="str">
        <f>IFERROR(__xludf.DUMMYFUNCTION("""COMPUTED_VALUE"""),"Easy")</f>
        <v>Easy</v>
      </c>
      <c r="F1438" s="35">
        <f>IFERROR(__xludf.DUMMYFUNCTION("""COMPUTED_VALUE"""),378.0)</f>
        <v>378</v>
      </c>
      <c r="G1438" s="35">
        <f>IFERROR(__xludf.DUMMYFUNCTION("""COMPUTED_VALUE"""),192.0)</f>
        <v>192</v>
      </c>
      <c r="H1438" s="35" t="str">
        <f>IFERROR(__xludf.DUMMYFUNCTION("""COMPUTED_VALUE"""),"Algorithms")</f>
        <v>Algorithms</v>
      </c>
      <c r="I1438" s="35">
        <f>IFERROR(__xludf.DUMMYFUNCTION("""COMPUTED_VALUE"""),0.601)</f>
        <v>0.601</v>
      </c>
      <c r="J1438" s="35">
        <f>IFERROR(__xludf.DUMMYFUNCTION("""COMPUTED_VALUE"""),1437.0)</f>
        <v>1437</v>
      </c>
      <c r="K1438" s="35" t="b">
        <f>IFERROR(__xludf.DUMMYFUNCTION("""COMPUTED_VALUE"""),FALSE)</f>
        <v>0</v>
      </c>
      <c r="L1438" s="35" t="str">
        <f>IFERROR(__xludf.DUMMYFUNCTION("""COMPUTED_VALUE"""),"Array;")</f>
        <v>Array;</v>
      </c>
      <c r="M1438" s="35" t="b">
        <f>IFERROR(__xludf.DUMMYFUNCTION("""COMPUTED_VALUE"""),TRUE)</f>
        <v>1</v>
      </c>
      <c r="N1438" s="35" t="b">
        <f>IFERROR(__xludf.DUMMYFUNCTION("""COMPUTED_VALUE"""),FALSE)</f>
        <v>0</v>
      </c>
      <c r="O1438" s="35">
        <f>IFERROR(__xludf.DUMMYFUNCTION("""COMPUTED_VALUE"""),60.1153056557211)</f>
        <v>60.11530566</v>
      </c>
      <c r="P1438" s="35">
        <f>IFERROR(__xludf.DUMMYFUNCTION("""COMPUTED_VALUE"""),56514.0)</f>
        <v>56514</v>
      </c>
      <c r="Q1438" s="35">
        <f>IFERROR(__xludf.DUMMYFUNCTION("""COMPUTED_VALUE"""),94009.0)</f>
        <v>94009</v>
      </c>
    </row>
    <row r="1439">
      <c r="A1439" s="35">
        <f>IFERROR(__xludf.DUMMYFUNCTION("""COMPUTED_VALUE"""),1549.0)</f>
        <v>1549</v>
      </c>
      <c r="B1439" s="35" t="str">
        <f>IFERROR(__xludf.DUMMYFUNCTION("""COMPUTED_VALUE"""),"Longest Continuous Subarray With Absolute Diff Less Than or Equal to Limit")</f>
        <v>Longest Continuous Subarray With Absolute Diff Less Than or Equal to Limit</v>
      </c>
      <c r="C1439" s="35" t="str">
        <f>IFERROR(__xludf.DUMMYFUNCTION("""COMPUTED_VALUE"""),"longest-continuous-subarray-with-absolute-diff-less-than-or-equal-to-limit")</f>
        <v>longest-continuous-subarray-with-absolute-diff-less-than-or-equal-to-limit</v>
      </c>
      <c r="D1439" s="35" t="b">
        <f>IFERROR(__xludf.DUMMYFUNCTION("""COMPUTED_VALUE"""),FALSE)</f>
        <v>0</v>
      </c>
      <c r="E1439" s="35" t="str">
        <f>IFERROR(__xludf.DUMMYFUNCTION("""COMPUTED_VALUE"""),"Medium")</f>
        <v>Medium</v>
      </c>
      <c r="F1439" s="35">
        <f>IFERROR(__xludf.DUMMYFUNCTION("""COMPUTED_VALUE"""),1973.0)</f>
        <v>1973</v>
      </c>
      <c r="G1439" s="35">
        <f>IFERROR(__xludf.DUMMYFUNCTION("""COMPUTED_VALUE"""),83.0)</f>
        <v>83</v>
      </c>
      <c r="H1439" s="35" t="str">
        <f>IFERROR(__xludf.DUMMYFUNCTION("""COMPUTED_VALUE"""),"Algorithms")</f>
        <v>Algorithms</v>
      </c>
      <c r="I1439" s="35">
        <f>IFERROR(__xludf.DUMMYFUNCTION("""COMPUTED_VALUE"""),0.459)</f>
        <v>0.459</v>
      </c>
      <c r="J1439" s="35">
        <f>IFERROR(__xludf.DUMMYFUNCTION("""COMPUTED_VALUE"""),1438.0)</f>
        <v>1438</v>
      </c>
      <c r="K1439" s="35" t="b">
        <f>IFERROR(__xludf.DUMMYFUNCTION("""COMPUTED_VALUE"""),FALSE)</f>
        <v>0</v>
      </c>
      <c r="L1439" s="35" t="str">
        <f>IFERROR(__xludf.DUMMYFUNCTION("""COMPUTED_VALUE"""),"Array;Queue;Sliding Window;Heap (Priority Queue);Ordered Set;Monotonic Queue;")</f>
        <v>Array;Queue;Sliding Window;Heap (Priority Queue);Ordered Set;Monotonic Queue;</v>
      </c>
      <c r="M1439" s="35" t="b">
        <f>IFERROR(__xludf.DUMMYFUNCTION("""COMPUTED_VALUE"""),FALSE)</f>
        <v>0</v>
      </c>
      <c r="N1439" s="35" t="b">
        <f>IFERROR(__xludf.DUMMYFUNCTION("""COMPUTED_VALUE"""),FALSE)</f>
        <v>0</v>
      </c>
      <c r="O1439" s="35">
        <f>IFERROR(__xludf.DUMMYFUNCTION("""COMPUTED_VALUE"""),45.9410794994859)</f>
        <v>45.9410795</v>
      </c>
      <c r="P1439" s="35">
        <f>IFERROR(__xludf.DUMMYFUNCTION("""COMPUTED_VALUE"""),75521.0)</f>
        <v>75521</v>
      </c>
      <c r="Q1439" s="35">
        <f>IFERROR(__xludf.DUMMYFUNCTION("""COMPUTED_VALUE"""),164389.0)</f>
        <v>164389</v>
      </c>
    </row>
    <row r="1440">
      <c r="A1440" s="35">
        <f>IFERROR(__xludf.DUMMYFUNCTION("""COMPUTED_VALUE"""),1550.0)</f>
        <v>1550</v>
      </c>
      <c r="B1440" s="35" t="str">
        <f>IFERROR(__xludf.DUMMYFUNCTION("""COMPUTED_VALUE"""),"Find the Kth Smallest Sum of a Matrix With Sorted Rows")</f>
        <v>Find the Kth Smallest Sum of a Matrix With Sorted Rows</v>
      </c>
      <c r="C1440" s="35" t="str">
        <f>IFERROR(__xludf.DUMMYFUNCTION("""COMPUTED_VALUE"""),"find-the-kth-smallest-sum-of-a-matrix-with-sorted-rows")</f>
        <v>find-the-kth-smallest-sum-of-a-matrix-with-sorted-rows</v>
      </c>
      <c r="D1440" s="35" t="b">
        <f>IFERROR(__xludf.DUMMYFUNCTION("""COMPUTED_VALUE"""),FALSE)</f>
        <v>0</v>
      </c>
      <c r="E1440" s="35" t="str">
        <f>IFERROR(__xludf.DUMMYFUNCTION("""COMPUTED_VALUE"""),"Hard")</f>
        <v>Hard</v>
      </c>
      <c r="F1440" s="35">
        <f>IFERROR(__xludf.DUMMYFUNCTION("""COMPUTED_VALUE"""),808.0)</f>
        <v>808</v>
      </c>
      <c r="G1440" s="35">
        <f>IFERROR(__xludf.DUMMYFUNCTION("""COMPUTED_VALUE"""),9.0)</f>
        <v>9</v>
      </c>
      <c r="H1440" s="35" t="str">
        <f>IFERROR(__xludf.DUMMYFUNCTION("""COMPUTED_VALUE"""),"Algorithms")</f>
        <v>Algorithms</v>
      </c>
      <c r="I1440" s="35">
        <f>IFERROR(__xludf.DUMMYFUNCTION("""COMPUTED_VALUE"""),0.615)</f>
        <v>0.615</v>
      </c>
      <c r="J1440" s="35">
        <f>IFERROR(__xludf.DUMMYFUNCTION("""COMPUTED_VALUE"""),1439.0)</f>
        <v>1439</v>
      </c>
      <c r="K1440" s="35" t="b">
        <f>IFERROR(__xludf.DUMMYFUNCTION("""COMPUTED_VALUE"""),FALSE)</f>
        <v>0</v>
      </c>
      <c r="L1440" s="35" t="str">
        <f>IFERROR(__xludf.DUMMYFUNCTION("""COMPUTED_VALUE"""),"Array;Binary Search;Heap (Priority Queue);Matrix;")</f>
        <v>Array;Binary Search;Heap (Priority Queue);Matrix;</v>
      </c>
      <c r="M1440" s="35" t="b">
        <f>IFERROR(__xludf.DUMMYFUNCTION("""COMPUTED_VALUE"""),FALSE)</f>
        <v>0</v>
      </c>
      <c r="N1440" s="35" t="b">
        <f>IFERROR(__xludf.DUMMYFUNCTION("""COMPUTED_VALUE"""),FALSE)</f>
        <v>0</v>
      </c>
      <c r="O1440" s="35">
        <f>IFERROR(__xludf.DUMMYFUNCTION("""COMPUTED_VALUE"""),61.4792945381089)</f>
        <v>61.47929454</v>
      </c>
      <c r="P1440" s="35">
        <f>IFERROR(__xludf.DUMMYFUNCTION("""COMPUTED_VALUE"""),23738.0)</f>
        <v>23738</v>
      </c>
      <c r="Q1440" s="35">
        <f>IFERROR(__xludf.DUMMYFUNCTION("""COMPUTED_VALUE"""),38612.0)</f>
        <v>38612</v>
      </c>
    </row>
    <row r="1441">
      <c r="A1441" s="35">
        <f>IFERROR(__xludf.DUMMYFUNCTION("""COMPUTED_VALUE"""),1565.0)</f>
        <v>1565</v>
      </c>
      <c r="B1441" s="35" t="str">
        <f>IFERROR(__xludf.DUMMYFUNCTION("""COMPUTED_VALUE"""),"Evaluate Boolean Expression")</f>
        <v>Evaluate Boolean Expression</v>
      </c>
      <c r="C1441" s="35" t="str">
        <f>IFERROR(__xludf.DUMMYFUNCTION("""COMPUTED_VALUE"""),"evaluate-boolean-expression")</f>
        <v>evaluate-boolean-expression</v>
      </c>
      <c r="D1441" s="35" t="b">
        <f>IFERROR(__xludf.DUMMYFUNCTION("""COMPUTED_VALUE"""),TRUE)</f>
        <v>1</v>
      </c>
      <c r="E1441" s="35" t="str">
        <f>IFERROR(__xludf.DUMMYFUNCTION("""COMPUTED_VALUE"""),"Medium")</f>
        <v>Medium</v>
      </c>
      <c r="F1441" s="35">
        <f>IFERROR(__xludf.DUMMYFUNCTION("""COMPUTED_VALUE"""),106.0)</f>
        <v>106</v>
      </c>
      <c r="G1441" s="35">
        <f>IFERROR(__xludf.DUMMYFUNCTION("""COMPUTED_VALUE"""),6.0)</f>
        <v>6</v>
      </c>
      <c r="H1441" s="35" t="str">
        <f>IFERROR(__xludf.DUMMYFUNCTION("""COMPUTED_VALUE"""),"Database")</f>
        <v>Database</v>
      </c>
      <c r="I1441" s="35">
        <f>IFERROR(__xludf.DUMMYFUNCTION("""COMPUTED_VALUE"""),0.755)</f>
        <v>0.755</v>
      </c>
      <c r="J1441" s="35">
        <f>IFERROR(__xludf.DUMMYFUNCTION("""COMPUTED_VALUE"""),1440.0)</f>
        <v>1440</v>
      </c>
      <c r="K1441" s="35" t="b">
        <f>IFERROR(__xludf.DUMMYFUNCTION("""COMPUTED_VALUE"""),TRUE)</f>
        <v>1</v>
      </c>
      <c r="L1441" s="35" t="str">
        <f>IFERROR(__xludf.DUMMYFUNCTION("""COMPUTED_VALUE"""),"Database;")</f>
        <v>Database;</v>
      </c>
      <c r="M1441" s="35" t="b">
        <f>IFERROR(__xludf.DUMMYFUNCTION("""COMPUTED_VALUE"""),FALSE)</f>
        <v>0</v>
      </c>
      <c r="N1441" s="35" t="b">
        <f>IFERROR(__xludf.DUMMYFUNCTION("""COMPUTED_VALUE"""),FALSE)</f>
        <v>0</v>
      </c>
      <c r="O1441" s="35">
        <f>IFERROR(__xludf.DUMMYFUNCTION("""COMPUTED_VALUE"""),75.5253480430785)</f>
        <v>75.52534804</v>
      </c>
      <c r="P1441" s="35">
        <f>IFERROR(__xludf.DUMMYFUNCTION("""COMPUTED_VALUE"""),11500.0)</f>
        <v>11500</v>
      </c>
      <c r="Q1441" s="35">
        <f>IFERROR(__xludf.DUMMYFUNCTION("""COMPUTED_VALUE"""),15227.0)</f>
        <v>15227</v>
      </c>
    </row>
    <row r="1442">
      <c r="A1442" s="35">
        <f>IFERROR(__xludf.DUMMYFUNCTION("""COMPUTED_VALUE"""),1552.0)</f>
        <v>1552</v>
      </c>
      <c r="B1442" s="35" t="str">
        <f>IFERROR(__xludf.DUMMYFUNCTION("""COMPUTED_VALUE"""),"Build an Array With Stack Operations")</f>
        <v>Build an Array With Stack Operations</v>
      </c>
      <c r="C1442" s="35" t="str">
        <f>IFERROR(__xludf.DUMMYFUNCTION("""COMPUTED_VALUE"""),"build-an-array-with-stack-operations")</f>
        <v>build-an-array-with-stack-operations</v>
      </c>
      <c r="D1442" s="35" t="b">
        <f>IFERROR(__xludf.DUMMYFUNCTION("""COMPUTED_VALUE"""),FALSE)</f>
        <v>0</v>
      </c>
      <c r="E1442" s="35" t="str">
        <f>IFERROR(__xludf.DUMMYFUNCTION("""COMPUTED_VALUE"""),"Easy")</f>
        <v>Easy</v>
      </c>
      <c r="F1442" s="35">
        <f>IFERROR(__xludf.DUMMYFUNCTION("""COMPUTED_VALUE"""),438.0)</f>
        <v>438</v>
      </c>
      <c r="G1442" s="35">
        <f>IFERROR(__xludf.DUMMYFUNCTION("""COMPUTED_VALUE"""),728.0)</f>
        <v>728</v>
      </c>
      <c r="H1442" s="35" t="str">
        <f>IFERROR(__xludf.DUMMYFUNCTION("""COMPUTED_VALUE"""),"Algorithms")</f>
        <v>Algorithms</v>
      </c>
      <c r="I1442" s="35">
        <f>IFERROR(__xludf.DUMMYFUNCTION("""COMPUTED_VALUE"""),0.709)</f>
        <v>0.709</v>
      </c>
      <c r="J1442" s="35">
        <f>IFERROR(__xludf.DUMMYFUNCTION("""COMPUTED_VALUE"""),1441.0)</f>
        <v>1441</v>
      </c>
      <c r="K1442" s="35" t="b">
        <f>IFERROR(__xludf.DUMMYFUNCTION("""COMPUTED_VALUE"""),FALSE)</f>
        <v>0</v>
      </c>
      <c r="L1442" s="35" t="str">
        <f>IFERROR(__xludf.DUMMYFUNCTION("""COMPUTED_VALUE"""),"Array;Stack;Simulation;")</f>
        <v>Array;Stack;Simulation;</v>
      </c>
      <c r="M1442" s="35" t="b">
        <f>IFERROR(__xludf.DUMMYFUNCTION("""COMPUTED_VALUE"""),FALSE)</f>
        <v>0</v>
      </c>
      <c r="N1442" s="35" t="b">
        <f>IFERROR(__xludf.DUMMYFUNCTION("""COMPUTED_VALUE"""),FALSE)</f>
        <v>0</v>
      </c>
      <c r="O1442" s="35">
        <f>IFERROR(__xludf.DUMMYFUNCTION("""COMPUTED_VALUE"""),70.8510372406898)</f>
        <v>70.85103724</v>
      </c>
      <c r="P1442" s="35">
        <f>IFERROR(__xludf.DUMMYFUNCTION("""COMPUTED_VALUE"""),56693.0)</f>
        <v>56693</v>
      </c>
      <c r="Q1442" s="35">
        <f>IFERROR(__xludf.DUMMYFUNCTION("""COMPUTED_VALUE"""),80018.0)</f>
        <v>80018</v>
      </c>
    </row>
    <row r="1443">
      <c r="A1443" s="35">
        <f>IFERROR(__xludf.DUMMYFUNCTION("""COMPUTED_VALUE"""),1553.0)</f>
        <v>1553</v>
      </c>
      <c r="B1443" s="35" t="str">
        <f>IFERROR(__xludf.DUMMYFUNCTION("""COMPUTED_VALUE"""),"Count Triplets That Can Form Two Arrays of Equal XOR")</f>
        <v>Count Triplets That Can Form Two Arrays of Equal XOR</v>
      </c>
      <c r="C1443" s="35" t="str">
        <f>IFERROR(__xludf.DUMMYFUNCTION("""COMPUTED_VALUE"""),"count-triplets-that-can-form-two-arrays-of-equal-xor")</f>
        <v>count-triplets-that-can-form-two-arrays-of-equal-xor</v>
      </c>
      <c r="D1443" s="35" t="b">
        <f>IFERROR(__xludf.DUMMYFUNCTION("""COMPUTED_VALUE"""),FALSE)</f>
        <v>0</v>
      </c>
      <c r="E1443" s="35" t="str">
        <f>IFERROR(__xludf.DUMMYFUNCTION("""COMPUTED_VALUE"""),"Medium")</f>
        <v>Medium</v>
      </c>
      <c r="F1443" s="35">
        <f>IFERROR(__xludf.DUMMYFUNCTION("""COMPUTED_VALUE"""),854.0)</f>
        <v>854</v>
      </c>
      <c r="G1443" s="35">
        <f>IFERROR(__xludf.DUMMYFUNCTION("""COMPUTED_VALUE"""),43.0)</f>
        <v>43</v>
      </c>
      <c r="H1443" s="35" t="str">
        <f>IFERROR(__xludf.DUMMYFUNCTION("""COMPUTED_VALUE"""),"Algorithms")</f>
        <v>Algorithms</v>
      </c>
      <c r="I1443" s="35">
        <f>IFERROR(__xludf.DUMMYFUNCTION("""COMPUTED_VALUE"""),0.745)</f>
        <v>0.745</v>
      </c>
      <c r="J1443" s="35">
        <f>IFERROR(__xludf.DUMMYFUNCTION("""COMPUTED_VALUE"""),1442.0)</f>
        <v>1442</v>
      </c>
      <c r="K1443" s="35" t="b">
        <f>IFERROR(__xludf.DUMMYFUNCTION("""COMPUTED_VALUE"""),FALSE)</f>
        <v>0</v>
      </c>
      <c r="L1443" s="35" t="str">
        <f>IFERROR(__xludf.DUMMYFUNCTION("""COMPUTED_VALUE"""),"Array;Hash Table;Math;Bit Manipulation;Prefix Sum;")</f>
        <v>Array;Hash Table;Math;Bit Manipulation;Prefix Sum;</v>
      </c>
      <c r="M1443" s="35" t="b">
        <f>IFERROR(__xludf.DUMMYFUNCTION("""COMPUTED_VALUE"""),FALSE)</f>
        <v>0</v>
      </c>
      <c r="N1443" s="35" t="b">
        <f>IFERROR(__xludf.DUMMYFUNCTION("""COMPUTED_VALUE"""),FALSE)</f>
        <v>0</v>
      </c>
      <c r="O1443" s="35">
        <f>IFERROR(__xludf.DUMMYFUNCTION("""COMPUTED_VALUE"""),74.4890895410082)</f>
        <v>74.48908954</v>
      </c>
      <c r="P1443" s="35">
        <f>IFERROR(__xludf.DUMMYFUNCTION("""COMPUTED_VALUE"""),24748.0)</f>
        <v>24748</v>
      </c>
      <c r="Q1443" s="35">
        <f>IFERROR(__xludf.DUMMYFUNCTION("""COMPUTED_VALUE"""),33224.0)</f>
        <v>33224</v>
      </c>
    </row>
    <row r="1444">
      <c r="A1444" s="35">
        <f>IFERROR(__xludf.DUMMYFUNCTION("""COMPUTED_VALUE"""),1554.0)</f>
        <v>1554</v>
      </c>
      <c r="B1444" s="35" t="str">
        <f>IFERROR(__xludf.DUMMYFUNCTION("""COMPUTED_VALUE"""),"Minimum Time to Collect All Apples in a Tree")</f>
        <v>Minimum Time to Collect All Apples in a Tree</v>
      </c>
      <c r="C1444" s="35" t="str">
        <f>IFERROR(__xludf.DUMMYFUNCTION("""COMPUTED_VALUE"""),"minimum-time-to-collect-all-apples-in-a-tree")</f>
        <v>minimum-time-to-collect-all-apples-in-a-tree</v>
      </c>
      <c r="D1444" s="35" t="b">
        <f>IFERROR(__xludf.DUMMYFUNCTION("""COMPUTED_VALUE"""),FALSE)</f>
        <v>0</v>
      </c>
      <c r="E1444" s="35" t="str">
        <f>IFERROR(__xludf.DUMMYFUNCTION("""COMPUTED_VALUE"""),"Medium")</f>
        <v>Medium</v>
      </c>
      <c r="F1444" s="35">
        <f>IFERROR(__xludf.DUMMYFUNCTION("""COMPUTED_VALUE"""),888.0)</f>
        <v>888</v>
      </c>
      <c r="G1444" s="35">
        <f>IFERROR(__xludf.DUMMYFUNCTION("""COMPUTED_VALUE"""),86.0)</f>
        <v>86</v>
      </c>
      <c r="H1444" s="35" t="str">
        <f>IFERROR(__xludf.DUMMYFUNCTION("""COMPUTED_VALUE"""),"Algorithms")</f>
        <v>Algorithms</v>
      </c>
      <c r="I1444" s="35">
        <f>IFERROR(__xludf.DUMMYFUNCTION("""COMPUTED_VALUE"""),0.555)</f>
        <v>0.555</v>
      </c>
      <c r="J1444" s="35">
        <f>IFERROR(__xludf.DUMMYFUNCTION("""COMPUTED_VALUE"""),1443.0)</f>
        <v>1443</v>
      </c>
      <c r="K1444" s="35" t="b">
        <f>IFERROR(__xludf.DUMMYFUNCTION("""COMPUTED_VALUE"""),FALSE)</f>
        <v>0</v>
      </c>
      <c r="L1444" s="35" t="str">
        <f>IFERROR(__xludf.DUMMYFUNCTION("""COMPUTED_VALUE"""),"Hash Table;Tree;Depth-First Search;Breadth-First Search;")</f>
        <v>Hash Table;Tree;Depth-First Search;Breadth-First Search;</v>
      </c>
      <c r="M1444" s="35" t="b">
        <f>IFERROR(__xludf.DUMMYFUNCTION("""COMPUTED_VALUE"""),FALSE)</f>
        <v>0</v>
      </c>
      <c r="N1444" s="35" t="b">
        <f>IFERROR(__xludf.DUMMYFUNCTION("""COMPUTED_VALUE"""),FALSE)</f>
        <v>0</v>
      </c>
      <c r="O1444" s="35">
        <f>IFERROR(__xludf.DUMMYFUNCTION("""COMPUTED_VALUE"""),55.5226449456641)</f>
        <v>55.52264495</v>
      </c>
      <c r="P1444" s="35">
        <f>IFERROR(__xludf.DUMMYFUNCTION("""COMPUTED_VALUE"""),27742.0)</f>
        <v>27742</v>
      </c>
      <c r="Q1444" s="35">
        <f>IFERROR(__xludf.DUMMYFUNCTION("""COMPUTED_VALUE"""),49965.0)</f>
        <v>49965</v>
      </c>
    </row>
    <row r="1445">
      <c r="A1445" s="35">
        <f>IFERROR(__xludf.DUMMYFUNCTION("""COMPUTED_VALUE"""),1555.0)</f>
        <v>1555</v>
      </c>
      <c r="B1445" s="35" t="str">
        <f>IFERROR(__xludf.DUMMYFUNCTION("""COMPUTED_VALUE"""),"Number of Ways of Cutting a Pizza")</f>
        <v>Number of Ways of Cutting a Pizza</v>
      </c>
      <c r="C1445" s="35" t="str">
        <f>IFERROR(__xludf.DUMMYFUNCTION("""COMPUTED_VALUE"""),"number-of-ways-of-cutting-a-pizza")</f>
        <v>number-of-ways-of-cutting-a-pizza</v>
      </c>
      <c r="D1445" s="35" t="b">
        <f>IFERROR(__xludf.DUMMYFUNCTION("""COMPUTED_VALUE"""),FALSE)</f>
        <v>0</v>
      </c>
      <c r="E1445" s="35" t="str">
        <f>IFERROR(__xludf.DUMMYFUNCTION("""COMPUTED_VALUE"""),"Hard")</f>
        <v>Hard</v>
      </c>
      <c r="F1445" s="35">
        <f>IFERROR(__xludf.DUMMYFUNCTION("""COMPUTED_VALUE"""),421.0)</f>
        <v>421</v>
      </c>
      <c r="G1445" s="35">
        <f>IFERROR(__xludf.DUMMYFUNCTION("""COMPUTED_VALUE"""),16.0)</f>
        <v>16</v>
      </c>
      <c r="H1445" s="35" t="str">
        <f>IFERROR(__xludf.DUMMYFUNCTION("""COMPUTED_VALUE"""),"Algorithms")</f>
        <v>Algorithms</v>
      </c>
      <c r="I1445" s="35">
        <f>IFERROR(__xludf.DUMMYFUNCTION("""COMPUTED_VALUE"""),0.553)</f>
        <v>0.553</v>
      </c>
      <c r="J1445" s="35">
        <f>IFERROR(__xludf.DUMMYFUNCTION("""COMPUTED_VALUE"""),1444.0)</f>
        <v>1444</v>
      </c>
      <c r="K1445" s="35" t="b">
        <f>IFERROR(__xludf.DUMMYFUNCTION("""COMPUTED_VALUE"""),FALSE)</f>
        <v>0</v>
      </c>
      <c r="L1445" s="35" t="str">
        <f>IFERROR(__xludf.DUMMYFUNCTION("""COMPUTED_VALUE"""),"Array;Dynamic Programming;Memoization;Matrix;")</f>
        <v>Array;Dynamic Programming;Memoization;Matrix;</v>
      </c>
      <c r="M1445" s="35" t="b">
        <f>IFERROR(__xludf.DUMMYFUNCTION("""COMPUTED_VALUE"""),FALSE)</f>
        <v>0</v>
      </c>
      <c r="N1445" s="35" t="b">
        <f>IFERROR(__xludf.DUMMYFUNCTION("""COMPUTED_VALUE"""),FALSE)</f>
        <v>0</v>
      </c>
      <c r="O1445" s="35">
        <f>IFERROR(__xludf.DUMMYFUNCTION("""COMPUTED_VALUE"""),55.3248788131028)</f>
        <v>55.32487881</v>
      </c>
      <c r="P1445" s="35">
        <f>IFERROR(__xludf.DUMMYFUNCTION("""COMPUTED_VALUE"""),11299.0)</f>
        <v>11299</v>
      </c>
      <c r="Q1445" s="35">
        <f>IFERROR(__xludf.DUMMYFUNCTION("""COMPUTED_VALUE"""),20423.0)</f>
        <v>20423</v>
      </c>
    </row>
    <row r="1446">
      <c r="A1446" s="35">
        <f>IFERROR(__xludf.DUMMYFUNCTION("""COMPUTED_VALUE"""),1578.0)</f>
        <v>1578</v>
      </c>
      <c r="B1446" s="35" t="str">
        <f>IFERROR(__xludf.DUMMYFUNCTION("""COMPUTED_VALUE"""),"Apples &amp; Oranges")</f>
        <v>Apples &amp; Oranges</v>
      </c>
      <c r="C1446" s="35" t="str">
        <f>IFERROR(__xludf.DUMMYFUNCTION("""COMPUTED_VALUE"""),"apples-oranges")</f>
        <v>apples-oranges</v>
      </c>
      <c r="D1446" s="35" t="b">
        <f>IFERROR(__xludf.DUMMYFUNCTION("""COMPUTED_VALUE"""),TRUE)</f>
        <v>1</v>
      </c>
      <c r="E1446" s="35" t="str">
        <f>IFERROR(__xludf.DUMMYFUNCTION("""COMPUTED_VALUE"""),"Medium")</f>
        <v>Medium</v>
      </c>
      <c r="F1446" s="35">
        <f>IFERROR(__xludf.DUMMYFUNCTION("""COMPUTED_VALUE"""),123.0)</f>
        <v>123</v>
      </c>
      <c r="G1446" s="35">
        <f>IFERROR(__xludf.DUMMYFUNCTION("""COMPUTED_VALUE"""),17.0)</f>
        <v>17</v>
      </c>
      <c r="H1446" s="35" t="str">
        <f>IFERROR(__xludf.DUMMYFUNCTION("""COMPUTED_VALUE"""),"Database")</f>
        <v>Database</v>
      </c>
      <c r="I1446" s="35">
        <f>IFERROR(__xludf.DUMMYFUNCTION("""COMPUTED_VALUE"""),0.915)</f>
        <v>0.915</v>
      </c>
      <c r="J1446" s="35">
        <f>IFERROR(__xludf.DUMMYFUNCTION("""COMPUTED_VALUE"""),1445.0)</f>
        <v>1445</v>
      </c>
      <c r="K1446" s="35" t="b">
        <f>IFERROR(__xludf.DUMMYFUNCTION("""COMPUTED_VALUE"""),TRUE)</f>
        <v>1</v>
      </c>
      <c r="L1446" s="35" t="str">
        <f>IFERROR(__xludf.DUMMYFUNCTION("""COMPUTED_VALUE"""),"Database;")</f>
        <v>Database;</v>
      </c>
      <c r="M1446" s="35" t="b">
        <f>IFERROR(__xludf.DUMMYFUNCTION("""COMPUTED_VALUE"""),FALSE)</f>
        <v>0</v>
      </c>
      <c r="N1446" s="35" t="b">
        <f>IFERROR(__xludf.DUMMYFUNCTION("""COMPUTED_VALUE"""),FALSE)</f>
        <v>0</v>
      </c>
      <c r="O1446" s="35">
        <f>IFERROR(__xludf.DUMMYFUNCTION("""COMPUTED_VALUE"""),91.5030686539854)</f>
        <v>91.50306865</v>
      </c>
      <c r="P1446" s="35">
        <f>IFERROR(__xludf.DUMMYFUNCTION("""COMPUTED_VALUE"""),24003.0)</f>
        <v>24003</v>
      </c>
      <c r="Q1446" s="35">
        <f>IFERROR(__xludf.DUMMYFUNCTION("""COMPUTED_VALUE"""),26232.0)</f>
        <v>26232</v>
      </c>
    </row>
    <row r="1447">
      <c r="A1447" s="35">
        <f>IFERROR(__xludf.DUMMYFUNCTION("""COMPUTED_VALUE"""),1542.0)</f>
        <v>1542</v>
      </c>
      <c r="B1447" s="35" t="str">
        <f>IFERROR(__xludf.DUMMYFUNCTION("""COMPUTED_VALUE"""),"Consecutive Characters")</f>
        <v>Consecutive Characters</v>
      </c>
      <c r="C1447" s="35" t="str">
        <f>IFERROR(__xludf.DUMMYFUNCTION("""COMPUTED_VALUE"""),"consecutive-characters")</f>
        <v>consecutive-characters</v>
      </c>
      <c r="D1447" s="35" t="b">
        <f>IFERROR(__xludf.DUMMYFUNCTION("""COMPUTED_VALUE"""),FALSE)</f>
        <v>0</v>
      </c>
      <c r="E1447" s="35" t="str">
        <f>IFERROR(__xludf.DUMMYFUNCTION("""COMPUTED_VALUE"""),"Easy")</f>
        <v>Easy</v>
      </c>
      <c r="F1447" s="35">
        <f>IFERROR(__xludf.DUMMYFUNCTION("""COMPUTED_VALUE"""),1179.0)</f>
        <v>1179</v>
      </c>
      <c r="G1447" s="35">
        <f>IFERROR(__xludf.DUMMYFUNCTION("""COMPUTED_VALUE"""),24.0)</f>
        <v>24</v>
      </c>
      <c r="H1447" s="35" t="str">
        <f>IFERROR(__xludf.DUMMYFUNCTION("""COMPUTED_VALUE"""),"Algorithms")</f>
        <v>Algorithms</v>
      </c>
      <c r="I1447" s="35">
        <f>IFERROR(__xludf.DUMMYFUNCTION("""COMPUTED_VALUE"""),0.62)</f>
        <v>0.62</v>
      </c>
      <c r="J1447" s="35">
        <f>IFERROR(__xludf.DUMMYFUNCTION("""COMPUTED_VALUE"""),1446.0)</f>
        <v>1446</v>
      </c>
      <c r="K1447" s="35" t="b">
        <f>IFERROR(__xludf.DUMMYFUNCTION("""COMPUTED_VALUE"""),FALSE)</f>
        <v>0</v>
      </c>
      <c r="L1447" s="35" t="str">
        <f>IFERROR(__xludf.DUMMYFUNCTION("""COMPUTED_VALUE"""),"String;")</f>
        <v>String;</v>
      </c>
      <c r="M1447" s="35" t="b">
        <f>IFERROR(__xludf.DUMMYFUNCTION("""COMPUTED_VALUE"""),TRUE)</f>
        <v>1</v>
      </c>
      <c r="N1447" s="35" t="b">
        <f>IFERROR(__xludf.DUMMYFUNCTION("""COMPUTED_VALUE"""),FALSE)</f>
        <v>0</v>
      </c>
      <c r="O1447" s="35">
        <f>IFERROR(__xludf.DUMMYFUNCTION("""COMPUTED_VALUE"""),61.9804860246447)</f>
        <v>61.98048602</v>
      </c>
      <c r="P1447" s="35">
        <f>IFERROR(__xludf.DUMMYFUNCTION("""COMPUTED_VALUE"""),115487.0)</f>
        <v>115487</v>
      </c>
      <c r="Q1447" s="35">
        <f>IFERROR(__xludf.DUMMYFUNCTION("""COMPUTED_VALUE"""),186328.0)</f>
        <v>186328</v>
      </c>
    </row>
    <row r="1448">
      <c r="A1448" s="35">
        <f>IFERROR(__xludf.DUMMYFUNCTION("""COMPUTED_VALUE"""),1543.0)</f>
        <v>1543</v>
      </c>
      <c r="B1448" s="35" t="str">
        <f>IFERROR(__xludf.DUMMYFUNCTION("""COMPUTED_VALUE"""),"Simplified Fractions")</f>
        <v>Simplified Fractions</v>
      </c>
      <c r="C1448" s="35" t="str">
        <f>IFERROR(__xludf.DUMMYFUNCTION("""COMPUTED_VALUE"""),"simplified-fractions")</f>
        <v>simplified-fractions</v>
      </c>
      <c r="D1448" s="35" t="b">
        <f>IFERROR(__xludf.DUMMYFUNCTION("""COMPUTED_VALUE"""),FALSE)</f>
        <v>0</v>
      </c>
      <c r="E1448" s="35" t="str">
        <f>IFERROR(__xludf.DUMMYFUNCTION("""COMPUTED_VALUE"""),"Medium")</f>
        <v>Medium</v>
      </c>
      <c r="F1448" s="35">
        <f>IFERROR(__xludf.DUMMYFUNCTION("""COMPUTED_VALUE"""),226.0)</f>
        <v>226</v>
      </c>
      <c r="G1448" s="35">
        <f>IFERROR(__xludf.DUMMYFUNCTION("""COMPUTED_VALUE"""),31.0)</f>
        <v>31</v>
      </c>
      <c r="H1448" s="35" t="str">
        <f>IFERROR(__xludf.DUMMYFUNCTION("""COMPUTED_VALUE"""),"Algorithms")</f>
        <v>Algorithms</v>
      </c>
      <c r="I1448" s="35">
        <f>IFERROR(__xludf.DUMMYFUNCTION("""COMPUTED_VALUE"""),0.638)</f>
        <v>0.638</v>
      </c>
      <c r="J1448" s="35">
        <f>IFERROR(__xludf.DUMMYFUNCTION("""COMPUTED_VALUE"""),1447.0)</f>
        <v>1447</v>
      </c>
      <c r="K1448" s="35" t="b">
        <f>IFERROR(__xludf.DUMMYFUNCTION("""COMPUTED_VALUE"""),FALSE)</f>
        <v>0</v>
      </c>
      <c r="L1448" s="35" t="str">
        <f>IFERROR(__xludf.DUMMYFUNCTION("""COMPUTED_VALUE"""),"Math;String;Number Theory;")</f>
        <v>Math;String;Number Theory;</v>
      </c>
      <c r="M1448" s="35" t="b">
        <f>IFERROR(__xludf.DUMMYFUNCTION("""COMPUTED_VALUE"""),FALSE)</f>
        <v>0</v>
      </c>
      <c r="N1448" s="35" t="b">
        <f>IFERROR(__xludf.DUMMYFUNCTION("""COMPUTED_VALUE"""),FALSE)</f>
        <v>0</v>
      </c>
      <c r="O1448" s="35">
        <f>IFERROR(__xludf.DUMMYFUNCTION("""COMPUTED_VALUE"""),63.7820512820512)</f>
        <v>63.78205128</v>
      </c>
      <c r="P1448" s="35">
        <f>IFERROR(__xludf.DUMMYFUNCTION("""COMPUTED_VALUE"""),19900.0)</f>
        <v>19900</v>
      </c>
      <c r="Q1448" s="35">
        <f>IFERROR(__xludf.DUMMYFUNCTION("""COMPUTED_VALUE"""),31200.0)</f>
        <v>31200</v>
      </c>
    </row>
    <row r="1449">
      <c r="A1449" s="35">
        <f>IFERROR(__xludf.DUMMYFUNCTION("""COMPUTED_VALUE"""),1544.0)</f>
        <v>1544</v>
      </c>
      <c r="B1449" s="35" t="str">
        <f>IFERROR(__xludf.DUMMYFUNCTION("""COMPUTED_VALUE"""),"Count Good Nodes in Binary Tree")</f>
        <v>Count Good Nodes in Binary Tree</v>
      </c>
      <c r="C1449" s="35" t="str">
        <f>IFERROR(__xludf.DUMMYFUNCTION("""COMPUTED_VALUE"""),"count-good-nodes-in-binary-tree")</f>
        <v>count-good-nodes-in-binary-tree</v>
      </c>
      <c r="D1449" s="35" t="b">
        <f>IFERROR(__xludf.DUMMYFUNCTION("""COMPUTED_VALUE"""),FALSE)</f>
        <v>0</v>
      </c>
      <c r="E1449" s="35" t="str">
        <f>IFERROR(__xludf.DUMMYFUNCTION("""COMPUTED_VALUE"""),"Medium")</f>
        <v>Medium</v>
      </c>
      <c r="F1449" s="35">
        <f>IFERROR(__xludf.DUMMYFUNCTION("""COMPUTED_VALUE"""),2148.0)</f>
        <v>2148</v>
      </c>
      <c r="G1449" s="35">
        <f>IFERROR(__xludf.DUMMYFUNCTION("""COMPUTED_VALUE"""),71.0)</f>
        <v>71</v>
      </c>
      <c r="H1449" s="35" t="str">
        <f>IFERROR(__xludf.DUMMYFUNCTION("""COMPUTED_VALUE"""),"Algorithms")</f>
        <v>Algorithms</v>
      </c>
      <c r="I1449" s="35">
        <f>IFERROR(__xludf.DUMMYFUNCTION("""COMPUTED_VALUE"""),0.73)</f>
        <v>0.73</v>
      </c>
      <c r="J1449" s="35">
        <f>IFERROR(__xludf.DUMMYFUNCTION("""COMPUTED_VALUE"""),1448.0)</f>
        <v>1448</v>
      </c>
      <c r="K1449" s="35" t="b">
        <f>IFERROR(__xludf.DUMMYFUNCTION("""COMPUTED_VALUE"""),FALSE)</f>
        <v>0</v>
      </c>
      <c r="L1449" s="35" t="str">
        <f>IFERROR(__xludf.DUMMYFUNCTION("""COMPUTED_VALUE"""),"Tree;Depth-First Search;Breadth-First Search;Binary Tree;")</f>
        <v>Tree;Depth-First Search;Breadth-First Search;Binary Tree;</v>
      </c>
      <c r="M1449" s="35" t="b">
        <f>IFERROR(__xludf.DUMMYFUNCTION("""COMPUTED_VALUE"""),TRUE)</f>
        <v>1</v>
      </c>
      <c r="N1449" s="35" t="b">
        <f>IFERROR(__xludf.DUMMYFUNCTION("""COMPUTED_VALUE"""),TRUE)</f>
        <v>1</v>
      </c>
      <c r="O1449" s="35">
        <f>IFERROR(__xludf.DUMMYFUNCTION("""COMPUTED_VALUE"""),72.9729080025962)</f>
        <v>72.972908</v>
      </c>
      <c r="P1449" s="35">
        <f>IFERROR(__xludf.DUMMYFUNCTION("""COMPUTED_VALUE"""),151775.0)</f>
        <v>151775</v>
      </c>
      <c r="Q1449" s="35">
        <f>IFERROR(__xludf.DUMMYFUNCTION("""COMPUTED_VALUE"""),207989.0)</f>
        <v>207989</v>
      </c>
    </row>
    <row r="1450">
      <c r="A1450" s="35">
        <f>IFERROR(__xludf.DUMMYFUNCTION("""COMPUTED_VALUE"""),1545.0)</f>
        <v>1545</v>
      </c>
      <c r="B1450" s="35" t="str">
        <f>IFERROR(__xludf.DUMMYFUNCTION("""COMPUTED_VALUE"""),"Form Largest Integer With Digits That Add up to Target")</f>
        <v>Form Largest Integer With Digits That Add up to Target</v>
      </c>
      <c r="C1450" s="35" t="str">
        <f>IFERROR(__xludf.DUMMYFUNCTION("""COMPUTED_VALUE"""),"form-largest-integer-with-digits-that-add-up-to-target")</f>
        <v>form-largest-integer-with-digits-that-add-up-to-target</v>
      </c>
      <c r="D1450" s="35" t="b">
        <f>IFERROR(__xludf.DUMMYFUNCTION("""COMPUTED_VALUE"""),FALSE)</f>
        <v>0</v>
      </c>
      <c r="E1450" s="35" t="str">
        <f>IFERROR(__xludf.DUMMYFUNCTION("""COMPUTED_VALUE"""),"Hard")</f>
        <v>Hard</v>
      </c>
      <c r="F1450" s="35">
        <f>IFERROR(__xludf.DUMMYFUNCTION("""COMPUTED_VALUE"""),478.0)</f>
        <v>478</v>
      </c>
      <c r="G1450" s="35">
        <f>IFERROR(__xludf.DUMMYFUNCTION("""COMPUTED_VALUE"""),8.0)</f>
        <v>8</v>
      </c>
      <c r="H1450" s="35" t="str">
        <f>IFERROR(__xludf.DUMMYFUNCTION("""COMPUTED_VALUE"""),"Algorithms")</f>
        <v>Algorithms</v>
      </c>
      <c r="I1450" s="35">
        <f>IFERROR(__xludf.DUMMYFUNCTION("""COMPUTED_VALUE"""),0.462)</f>
        <v>0.462</v>
      </c>
      <c r="J1450" s="35">
        <f>IFERROR(__xludf.DUMMYFUNCTION("""COMPUTED_VALUE"""),1449.0)</f>
        <v>1449</v>
      </c>
      <c r="K1450" s="35" t="b">
        <f>IFERROR(__xludf.DUMMYFUNCTION("""COMPUTED_VALUE"""),FALSE)</f>
        <v>0</v>
      </c>
      <c r="L1450" s="35" t="str">
        <f>IFERROR(__xludf.DUMMYFUNCTION("""COMPUTED_VALUE"""),"Array;Dynamic Programming;")</f>
        <v>Array;Dynamic Programming;</v>
      </c>
      <c r="M1450" s="35" t="b">
        <f>IFERROR(__xludf.DUMMYFUNCTION("""COMPUTED_VALUE"""),FALSE)</f>
        <v>0</v>
      </c>
      <c r="N1450" s="35" t="b">
        <f>IFERROR(__xludf.DUMMYFUNCTION("""COMPUTED_VALUE"""),FALSE)</f>
        <v>0</v>
      </c>
      <c r="O1450" s="35">
        <f>IFERROR(__xludf.DUMMYFUNCTION("""COMPUTED_VALUE"""),46.2066516747544)</f>
        <v>46.20665167</v>
      </c>
      <c r="P1450" s="35">
        <f>IFERROR(__xludf.DUMMYFUNCTION("""COMPUTED_VALUE"""),11712.0)</f>
        <v>11712</v>
      </c>
      <c r="Q1450" s="35">
        <f>IFERROR(__xludf.DUMMYFUNCTION("""COMPUTED_VALUE"""),25347.0)</f>
        <v>25347</v>
      </c>
    </row>
    <row r="1451">
      <c r="A1451" s="35">
        <f>IFERROR(__xludf.DUMMYFUNCTION("""COMPUTED_VALUE"""),1560.0)</f>
        <v>1560</v>
      </c>
      <c r="B1451" s="35" t="str">
        <f>IFERROR(__xludf.DUMMYFUNCTION("""COMPUTED_VALUE"""),"Number of Students Doing Homework at a Given Time")</f>
        <v>Number of Students Doing Homework at a Given Time</v>
      </c>
      <c r="C1451" s="35" t="str">
        <f>IFERROR(__xludf.DUMMYFUNCTION("""COMPUTED_VALUE"""),"number-of-students-doing-homework-at-a-given-time")</f>
        <v>number-of-students-doing-homework-at-a-given-time</v>
      </c>
      <c r="D1451" s="35" t="b">
        <f>IFERROR(__xludf.DUMMYFUNCTION("""COMPUTED_VALUE"""),FALSE)</f>
        <v>0</v>
      </c>
      <c r="E1451" s="35" t="str">
        <f>IFERROR(__xludf.DUMMYFUNCTION("""COMPUTED_VALUE"""),"Easy")</f>
        <v>Easy</v>
      </c>
      <c r="F1451" s="35">
        <f>IFERROR(__xludf.DUMMYFUNCTION("""COMPUTED_VALUE"""),543.0)</f>
        <v>543</v>
      </c>
      <c r="G1451" s="35">
        <f>IFERROR(__xludf.DUMMYFUNCTION("""COMPUTED_VALUE"""),127.0)</f>
        <v>127</v>
      </c>
      <c r="H1451" s="35" t="str">
        <f>IFERROR(__xludf.DUMMYFUNCTION("""COMPUTED_VALUE"""),"Algorithms")</f>
        <v>Algorithms</v>
      </c>
      <c r="I1451" s="35">
        <f>IFERROR(__xludf.DUMMYFUNCTION("""COMPUTED_VALUE"""),0.765)</f>
        <v>0.765</v>
      </c>
      <c r="J1451" s="35">
        <f>IFERROR(__xludf.DUMMYFUNCTION("""COMPUTED_VALUE"""),1450.0)</f>
        <v>1450</v>
      </c>
      <c r="K1451" s="35" t="b">
        <f>IFERROR(__xludf.DUMMYFUNCTION("""COMPUTED_VALUE"""),FALSE)</f>
        <v>0</v>
      </c>
      <c r="L1451" s="35" t="str">
        <f>IFERROR(__xludf.DUMMYFUNCTION("""COMPUTED_VALUE"""),"Array;")</f>
        <v>Array;</v>
      </c>
      <c r="M1451" s="35" t="b">
        <f>IFERROR(__xludf.DUMMYFUNCTION("""COMPUTED_VALUE"""),FALSE)</f>
        <v>0</v>
      </c>
      <c r="N1451" s="35" t="b">
        <f>IFERROR(__xludf.DUMMYFUNCTION("""COMPUTED_VALUE"""),FALSE)</f>
        <v>0</v>
      </c>
      <c r="O1451" s="35">
        <f>IFERROR(__xludf.DUMMYFUNCTION("""COMPUTED_VALUE"""),76.4844731052845)</f>
        <v>76.48447311</v>
      </c>
      <c r="P1451" s="35">
        <f>IFERROR(__xludf.DUMMYFUNCTION("""COMPUTED_VALUE"""),81006.0)</f>
        <v>81006</v>
      </c>
      <c r="Q1451" s="35">
        <f>IFERROR(__xludf.DUMMYFUNCTION("""COMPUTED_VALUE"""),105912.0)</f>
        <v>105912</v>
      </c>
    </row>
    <row r="1452">
      <c r="A1452" s="35">
        <f>IFERROR(__xludf.DUMMYFUNCTION("""COMPUTED_VALUE"""),1561.0)</f>
        <v>1561</v>
      </c>
      <c r="B1452" s="35" t="str">
        <f>IFERROR(__xludf.DUMMYFUNCTION("""COMPUTED_VALUE"""),"Rearrange Words in a Sentence")</f>
        <v>Rearrange Words in a Sentence</v>
      </c>
      <c r="C1452" s="35" t="str">
        <f>IFERROR(__xludf.DUMMYFUNCTION("""COMPUTED_VALUE"""),"rearrange-words-in-a-sentence")</f>
        <v>rearrange-words-in-a-sentence</v>
      </c>
      <c r="D1452" s="35" t="b">
        <f>IFERROR(__xludf.DUMMYFUNCTION("""COMPUTED_VALUE"""),FALSE)</f>
        <v>0</v>
      </c>
      <c r="E1452" s="35" t="str">
        <f>IFERROR(__xludf.DUMMYFUNCTION("""COMPUTED_VALUE"""),"Medium")</f>
        <v>Medium</v>
      </c>
      <c r="F1452" s="35">
        <f>IFERROR(__xludf.DUMMYFUNCTION("""COMPUTED_VALUE"""),457.0)</f>
        <v>457</v>
      </c>
      <c r="G1452" s="35">
        <f>IFERROR(__xludf.DUMMYFUNCTION("""COMPUTED_VALUE"""),63.0)</f>
        <v>63</v>
      </c>
      <c r="H1452" s="35" t="str">
        <f>IFERROR(__xludf.DUMMYFUNCTION("""COMPUTED_VALUE"""),"Algorithms")</f>
        <v>Algorithms</v>
      </c>
      <c r="I1452" s="35">
        <f>IFERROR(__xludf.DUMMYFUNCTION("""COMPUTED_VALUE"""),0.617)</f>
        <v>0.617</v>
      </c>
      <c r="J1452" s="35">
        <f>IFERROR(__xludf.DUMMYFUNCTION("""COMPUTED_VALUE"""),1451.0)</f>
        <v>1451</v>
      </c>
      <c r="K1452" s="35" t="b">
        <f>IFERROR(__xludf.DUMMYFUNCTION("""COMPUTED_VALUE"""),FALSE)</f>
        <v>0</v>
      </c>
      <c r="L1452" s="35" t="str">
        <f>IFERROR(__xludf.DUMMYFUNCTION("""COMPUTED_VALUE"""),"String;Sorting;")</f>
        <v>String;Sorting;</v>
      </c>
      <c r="M1452" s="35" t="b">
        <f>IFERROR(__xludf.DUMMYFUNCTION("""COMPUTED_VALUE"""),FALSE)</f>
        <v>0</v>
      </c>
      <c r="N1452" s="35" t="b">
        <f>IFERROR(__xludf.DUMMYFUNCTION("""COMPUTED_VALUE"""),FALSE)</f>
        <v>0</v>
      </c>
      <c r="O1452" s="35">
        <f>IFERROR(__xludf.DUMMYFUNCTION("""COMPUTED_VALUE"""),61.7414203194019)</f>
        <v>61.74142032</v>
      </c>
      <c r="P1452" s="35">
        <f>IFERROR(__xludf.DUMMYFUNCTION("""COMPUTED_VALUE"""),36341.0)</f>
        <v>36341</v>
      </c>
      <c r="Q1452" s="35">
        <f>IFERROR(__xludf.DUMMYFUNCTION("""COMPUTED_VALUE"""),58860.0)</f>
        <v>58860</v>
      </c>
    </row>
    <row r="1453">
      <c r="A1453" s="35">
        <f>IFERROR(__xludf.DUMMYFUNCTION("""COMPUTED_VALUE"""),1562.0)</f>
        <v>1562</v>
      </c>
      <c r="B1453" s="35" t="str">
        <f>IFERROR(__xludf.DUMMYFUNCTION("""COMPUTED_VALUE"""),"People Whose List of Favorite Companies Is Not a Subset of Another List")</f>
        <v>People Whose List of Favorite Companies Is Not a Subset of Another List</v>
      </c>
      <c r="C1453" s="35" t="str">
        <f>IFERROR(__xludf.DUMMYFUNCTION("""COMPUTED_VALUE"""),"people-whose-list-of-favorite-companies-is-not-a-subset-of-another-list")</f>
        <v>people-whose-list-of-favorite-companies-is-not-a-subset-of-another-list</v>
      </c>
      <c r="D1453" s="35" t="b">
        <f>IFERROR(__xludf.DUMMYFUNCTION("""COMPUTED_VALUE"""),FALSE)</f>
        <v>0</v>
      </c>
      <c r="E1453" s="35" t="str">
        <f>IFERROR(__xludf.DUMMYFUNCTION("""COMPUTED_VALUE"""),"Medium")</f>
        <v>Medium</v>
      </c>
      <c r="F1453" s="35">
        <f>IFERROR(__xludf.DUMMYFUNCTION("""COMPUTED_VALUE"""),241.0)</f>
        <v>241</v>
      </c>
      <c r="G1453" s="35">
        <f>IFERROR(__xludf.DUMMYFUNCTION("""COMPUTED_VALUE"""),190.0)</f>
        <v>190</v>
      </c>
      <c r="H1453" s="35" t="str">
        <f>IFERROR(__xludf.DUMMYFUNCTION("""COMPUTED_VALUE"""),"Algorithms")</f>
        <v>Algorithms</v>
      </c>
      <c r="I1453" s="35">
        <f>IFERROR(__xludf.DUMMYFUNCTION("""COMPUTED_VALUE"""),0.565)</f>
        <v>0.565</v>
      </c>
      <c r="J1453" s="35">
        <f>IFERROR(__xludf.DUMMYFUNCTION("""COMPUTED_VALUE"""),1452.0)</f>
        <v>1452</v>
      </c>
      <c r="K1453" s="35" t="b">
        <f>IFERROR(__xludf.DUMMYFUNCTION("""COMPUTED_VALUE"""),FALSE)</f>
        <v>0</v>
      </c>
      <c r="L1453" s="35" t="str">
        <f>IFERROR(__xludf.DUMMYFUNCTION("""COMPUTED_VALUE"""),"Array;Hash Table;String;")</f>
        <v>Array;Hash Table;String;</v>
      </c>
      <c r="M1453" s="35" t="b">
        <f>IFERROR(__xludf.DUMMYFUNCTION("""COMPUTED_VALUE"""),FALSE)</f>
        <v>0</v>
      </c>
      <c r="N1453" s="35" t="b">
        <f>IFERROR(__xludf.DUMMYFUNCTION("""COMPUTED_VALUE"""),FALSE)</f>
        <v>0</v>
      </c>
      <c r="O1453" s="35">
        <f>IFERROR(__xludf.DUMMYFUNCTION("""COMPUTED_VALUE"""),56.5203965043387)</f>
        <v>56.5203965</v>
      </c>
      <c r="P1453" s="35">
        <f>IFERROR(__xludf.DUMMYFUNCTION("""COMPUTED_VALUE"""),18303.0)</f>
        <v>18303</v>
      </c>
      <c r="Q1453" s="35">
        <f>IFERROR(__xludf.DUMMYFUNCTION("""COMPUTED_VALUE"""),32383.0)</f>
        <v>32383</v>
      </c>
    </row>
    <row r="1454">
      <c r="A1454" s="35">
        <f>IFERROR(__xludf.DUMMYFUNCTION("""COMPUTED_VALUE"""),1563.0)</f>
        <v>1563</v>
      </c>
      <c r="B1454" s="35" t="str">
        <f>IFERROR(__xludf.DUMMYFUNCTION("""COMPUTED_VALUE"""),"Maximum Number of Darts Inside of a Circular Dartboard")</f>
        <v>Maximum Number of Darts Inside of a Circular Dartboard</v>
      </c>
      <c r="C1454" s="35" t="str">
        <f>IFERROR(__xludf.DUMMYFUNCTION("""COMPUTED_VALUE"""),"maximum-number-of-darts-inside-of-a-circular-dartboard")</f>
        <v>maximum-number-of-darts-inside-of-a-circular-dartboard</v>
      </c>
      <c r="D1454" s="35" t="b">
        <f>IFERROR(__xludf.DUMMYFUNCTION("""COMPUTED_VALUE"""),FALSE)</f>
        <v>0</v>
      </c>
      <c r="E1454" s="35" t="str">
        <f>IFERROR(__xludf.DUMMYFUNCTION("""COMPUTED_VALUE"""),"Hard")</f>
        <v>Hard</v>
      </c>
      <c r="F1454" s="35">
        <f>IFERROR(__xludf.DUMMYFUNCTION("""COMPUTED_VALUE"""),108.0)</f>
        <v>108</v>
      </c>
      <c r="G1454" s="35">
        <f>IFERROR(__xludf.DUMMYFUNCTION("""COMPUTED_VALUE"""),237.0)</f>
        <v>237</v>
      </c>
      <c r="H1454" s="35" t="str">
        <f>IFERROR(__xludf.DUMMYFUNCTION("""COMPUTED_VALUE"""),"Algorithms")</f>
        <v>Algorithms</v>
      </c>
      <c r="I1454" s="35">
        <f>IFERROR(__xludf.DUMMYFUNCTION("""COMPUTED_VALUE"""),0.363)</f>
        <v>0.363</v>
      </c>
      <c r="J1454" s="35">
        <f>IFERROR(__xludf.DUMMYFUNCTION("""COMPUTED_VALUE"""),1453.0)</f>
        <v>1453</v>
      </c>
      <c r="K1454" s="35" t="b">
        <f>IFERROR(__xludf.DUMMYFUNCTION("""COMPUTED_VALUE"""),FALSE)</f>
        <v>0</v>
      </c>
      <c r="L1454" s="35" t="str">
        <f>IFERROR(__xludf.DUMMYFUNCTION("""COMPUTED_VALUE"""),"Array;Math;Geometry;")</f>
        <v>Array;Math;Geometry;</v>
      </c>
      <c r="M1454" s="35" t="b">
        <f>IFERROR(__xludf.DUMMYFUNCTION("""COMPUTED_VALUE"""),FALSE)</f>
        <v>0</v>
      </c>
      <c r="N1454" s="35" t="b">
        <f>IFERROR(__xludf.DUMMYFUNCTION("""COMPUTED_VALUE"""),FALSE)</f>
        <v>0</v>
      </c>
      <c r="O1454" s="35">
        <f>IFERROR(__xludf.DUMMYFUNCTION("""COMPUTED_VALUE"""),36.2967157417893)</f>
        <v>36.29671574</v>
      </c>
      <c r="P1454" s="35">
        <f>IFERROR(__xludf.DUMMYFUNCTION("""COMPUTED_VALUE"""),4487.0)</f>
        <v>4487</v>
      </c>
      <c r="Q1454" s="35">
        <f>IFERROR(__xludf.DUMMYFUNCTION("""COMPUTED_VALUE"""),12362.0)</f>
        <v>12362</v>
      </c>
    </row>
    <row r="1455">
      <c r="A1455" s="35">
        <f>IFERROR(__xludf.DUMMYFUNCTION("""COMPUTED_VALUE"""),1579.0)</f>
        <v>1579</v>
      </c>
      <c r="B1455" s="35" t="str">
        <f>IFERROR(__xludf.DUMMYFUNCTION("""COMPUTED_VALUE"""),"Active Users")</f>
        <v>Active Users</v>
      </c>
      <c r="C1455" s="35" t="str">
        <f>IFERROR(__xludf.DUMMYFUNCTION("""COMPUTED_VALUE"""),"active-users")</f>
        <v>active-users</v>
      </c>
      <c r="D1455" s="35" t="b">
        <f>IFERROR(__xludf.DUMMYFUNCTION("""COMPUTED_VALUE"""),TRUE)</f>
        <v>1</v>
      </c>
      <c r="E1455" s="35" t="str">
        <f>IFERROR(__xludf.DUMMYFUNCTION("""COMPUTED_VALUE"""),"Medium")</f>
        <v>Medium</v>
      </c>
      <c r="F1455" s="35">
        <f>IFERROR(__xludf.DUMMYFUNCTION("""COMPUTED_VALUE"""),265.0)</f>
        <v>265</v>
      </c>
      <c r="G1455" s="35">
        <f>IFERROR(__xludf.DUMMYFUNCTION("""COMPUTED_VALUE"""),26.0)</f>
        <v>26</v>
      </c>
      <c r="H1455" s="35" t="str">
        <f>IFERROR(__xludf.DUMMYFUNCTION("""COMPUTED_VALUE"""),"Database")</f>
        <v>Database</v>
      </c>
      <c r="I1455" s="35">
        <f>IFERROR(__xludf.DUMMYFUNCTION("""COMPUTED_VALUE"""),0.384)</f>
        <v>0.384</v>
      </c>
      <c r="J1455" s="35">
        <f>IFERROR(__xludf.DUMMYFUNCTION("""COMPUTED_VALUE"""),1454.0)</f>
        <v>1454</v>
      </c>
      <c r="K1455" s="35" t="b">
        <f>IFERROR(__xludf.DUMMYFUNCTION("""COMPUTED_VALUE"""),TRUE)</f>
        <v>1</v>
      </c>
      <c r="L1455" s="35" t="str">
        <f>IFERROR(__xludf.DUMMYFUNCTION("""COMPUTED_VALUE"""),"Database;")</f>
        <v>Database;</v>
      </c>
      <c r="M1455" s="35" t="b">
        <f>IFERROR(__xludf.DUMMYFUNCTION("""COMPUTED_VALUE"""),FALSE)</f>
        <v>0</v>
      </c>
      <c r="N1455" s="35" t="b">
        <f>IFERROR(__xludf.DUMMYFUNCTION("""COMPUTED_VALUE"""),FALSE)</f>
        <v>0</v>
      </c>
      <c r="O1455" s="35">
        <f>IFERROR(__xludf.DUMMYFUNCTION("""COMPUTED_VALUE"""),38.385553047404)</f>
        <v>38.38555305</v>
      </c>
      <c r="P1455" s="35">
        <f>IFERROR(__xludf.DUMMYFUNCTION("""COMPUTED_VALUE"""),21255.0)</f>
        <v>21255</v>
      </c>
      <c r="Q1455" s="35">
        <f>IFERROR(__xludf.DUMMYFUNCTION("""COMPUTED_VALUE"""),55373.0)</f>
        <v>55373</v>
      </c>
    </row>
    <row r="1456">
      <c r="A1456" s="35">
        <f>IFERROR(__xludf.DUMMYFUNCTION("""COMPUTED_VALUE"""),1566.0)</f>
        <v>1566</v>
      </c>
      <c r="B1456" s="35" t="str">
        <f>IFERROR(__xludf.DUMMYFUNCTION("""COMPUTED_VALUE"""),"Check If a Word Occurs As a Prefix of Any Word in a Sentence")</f>
        <v>Check If a Word Occurs As a Prefix of Any Word in a Sentence</v>
      </c>
      <c r="C1456" s="35" t="str">
        <f>IFERROR(__xludf.DUMMYFUNCTION("""COMPUTED_VALUE"""),"check-if-a-word-occurs-as-a-prefix-of-any-word-in-a-sentence")</f>
        <v>check-if-a-word-occurs-as-a-prefix-of-any-word-in-a-sentence</v>
      </c>
      <c r="D1456" s="35" t="b">
        <f>IFERROR(__xludf.DUMMYFUNCTION("""COMPUTED_VALUE"""),FALSE)</f>
        <v>0</v>
      </c>
      <c r="E1456" s="35" t="str">
        <f>IFERROR(__xludf.DUMMYFUNCTION("""COMPUTED_VALUE"""),"Easy")</f>
        <v>Easy</v>
      </c>
      <c r="F1456" s="35">
        <f>IFERROR(__xludf.DUMMYFUNCTION("""COMPUTED_VALUE"""),473.0)</f>
        <v>473</v>
      </c>
      <c r="G1456" s="35">
        <f>IFERROR(__xludf.DUMMYFUNCTION("""COMPUTED_VALUE"""),23.0)</f>
        <v>23</v>
      </c>
      <c r="H1456" s="35" t="str">
        <f>IFERROR(__xludf.DUMMYFUNCTION("""COMPUTED_VALUE"""),"Algorithms")</f>
        <v>Algorithms</v>
      </c>
      <c r="I1456" s="35">
        <f>IFERROR(__xludf.DUMMYFUNCTION("""COMPUTED_VALUE"""),0.646)</f>
        <v>0.646</v>
      </c>
      <c r="J1456" s="35">
        <f>IFERROR(__xludf.DUMMYFUNCTION("""COMPUTED_VALUE"""),1455.0)</f>
        <v>1455</v>
      </c>
      <c r="K1456" s="35" t="b">
        <f>IFERROR(__xludf.DUMMYFUNCTION("""COMPUTED_VALUE"""),FALSE)</f>
        <v>0</v>
      </c>
      <c r="L1456" s="35" t="str">
        <f>IFERROR(__xludf.DUMMYFUNCTION("""COMPUTED_VALUE"""),"String;String Matching;")</f>
        <v>String;String Matching;</v>
      </c>
      <c r="M1456" s="35" t="b">
        <f>IFERROR(__xludf.DUMMYFUNCTION("""COMPUTED_VALUE"""),FALSE)</f>
        <v>0</v>
      </c>
      <c r="N1456" s="35" t="b">
        <f>IFERROR(__xludf.DUMMYFUNCTION("""COMPUTED_VALUE"""),FALSE)</f>
        <v>0</v>
      </c>
      <c r="O1456" s="35">
        <f>IFERROR(__xludf.DUMMYFUNCTION("""COMPUTED_VALUE"""),64.5603458857867)</f>
        <v>64.56034589</v>
      </c>
      <c r="P1456" s="35">
        <f>IFERROR(__xludf.DUMMYFUNCTION("""COMPUTED_VALUE"""),47335.0)</f>
        <v>47335</v>
      </c>
      <c r="Q1456" s="35">
        <f>IFERROR(__xludf.DUMMYFUNCTION("""COMPUTED_VALUE"""),73319.0)</f>
        <v>73319</v>
      </c>
    </row>
    <row r="1457">
      <c r="A1457" s="35">
        <f>IFERROR(__xludf.DUMMYFUNCTION("""COMPUTED_VALUE"""),1567.0)</f>
        <v>1567</v>
      </c>
      <c r="B1457" s="35" t="str">
        <f>IFERROR(__xludf.DUMMYFUNCTION("""COMPUTED_VALUE"""),"Maximum Number of Vowels in a Substring of Given Length")</f>
        <v>Maximum Number of Vowels in a Substring of Given Length</v>
      </c>
      <c r="C1457" s="35" t="str">
        <f>IFERROR(__xludf.DUMMYFUNCTION("""COMPUTED_VALUE"""),"maximum-number-of-vowels-in-a-substring-of-given-length")</f>
        <v>maximum-number-of-vowels-in-a-substring-of-given-length</v>
      </c>
      <c r="D1457" s="35" t="b">
        <f>IFERROR(__xludf.DUMMYFUNCTION("""COMPUTED_VALUE"""),FALSE)</f>
        <v>0</v>
      </c>
      <c r="E1457" s="35" t="str">
        <f>IFERROR(__xludf.DUMMYFUNCTION("""COMPUTED_VALUE"""),"Medium")</f>
        <v>Medium</v>
      </c>
      <c r="F1457" s="35">
        <f>IFERROR(__xludf.DUMMYFUNCTION("""COMPUTED_VALUE"""),663.0)</f>
        <v>663</v>
      </c>
      <c r="G1457" s="35">
        <f>IFERROR(__xludf.DUMMYFUNCTION("""COMPUTED_VALUE"""),37.0)</f>
        <v>37</v>
      </c>
      <c r="H1457" s="35" t="str">
        <f>IFERROR(__xludf.DUMMYFUNCTION("""COMPUTED_VALUE"""),"Algorithms")</f>
        <v>Algorithms</v>
      </c>
      <c r="I1457" s="35">
        <f>IFERROR(__xludf.DUMMYFUNCTION("""COMPUTED_VALUE"""),0.572)</f>
        <v>0.572</v>
      </c>
      <c r="J1457" s="35">
        <f>IFERROR(__xludf.DUMMYFUNCTION("""COMPUTED_VALUE"""),1456.0)</f>
        <v>1456</v>
      </c>
      <c r="K1457" s="35" t="b">
        <f>IFERROR(__xludf.DUMMYFUNCTION("""COMPUTED_VALUE"""),FALSE)</f>
        <v>0</v>
      </c>
      <c r="L1457" s="35" t="str">
        <f>IFERROR(__xludf.DUMMYFUNCTION("""COMPUTED_VALUE"""),"String;Sliding Window;")</f>
        <v>String;Sliding Window;</v>
      </c>
      <c r="M1457" s="35" t="b">
        <f>IFERROR(__xludf.DUMMYFUNCTION("""COMPUTED_VALUE"""),FALSE)</f>
        <v>0</v>
      </c>
      <c r="N1457" s="35" t="b">
        <f>IFERROR(__xludf.DUMMYFUNCTION("""COMPUTED_VALUE"""),FALSE)</f>
        <v>0</v>
      </c>
      <c r="O1457" s="35">
        <f>IFERROR(__xludf.DUMMYFUNCTION("""COMPUTED_VALUE"""),57.2342971641666)</f>
        <v>57.23429716</v>
      </c>
      <c r="P1457" s="35">
        <f>IFERROR(__xludf.DUMMYFUNCTION("""COMPUTED_VALUE"""),41131.0)</f>
        <v>41131</v>
      </c>
      <c r="Q1457" s="35">
        <f>IFERROR(__xludf.DUMMYFUNCTION("""COMPUTED_VALUE"""),71864.0)</f>
        <v>71864</v>
      </c>
    </row>
    <row r="1458">
      <c r="A1458" s="35">
        <f>IFERROR(__xludf.DUMMYFUNCTION("""COMPUTED_VALUE"""),1568.0)</f>
        <v>1568</v>
      </c>
      <c r="B1458" s="35" t="str">
        <f>IFERROR(__xludf.DUMMYFUNCTION("""COMPUTED_VALUE"""),"Pseudo-Palindromic Paths in a Binary Tree")</f>
        <v>Pseudo-Palindromic Paths in a Binary Tree</v>
      </c>
      <c r="C1458" s="35" t="str">
        <f>IFERROR(__xludf.DUMMYFUNCTION("""COMPUTED_VALUE"""),"pseudo-palindromic-paths-in-a-binary-tree")</f>
        <v>pseudo-palindromic-paths-in-a-binary-tree</v>
      </c>
      <c r="D1458" s="35" t="b">
        <f>IFERROR(__xludf.DUMMYFUNCTION("""COMPUTED_VALUE"""),FALSE)</f>
        <v>0</v>
      </c>
      <c r="E1458" s="35" t="str">
        <f>IFERROR(__xludf.DUMMYFUNCTION("""COMPUTED_VALUE"""),"Medium")</f>
        <v>Medium</v>
      </c>
      <c r="F1458" s="35">
        <f>IFERROR(__xludf.DUMMYFUNCTION("""COMPUTED_VALUE"""),936.0)</f>
        <v>936</v>
      </c>
      <c r="G1458" s="35">
        <f>IFERROR(__xludf.DUMMYFUNCTION("""COMPUTED_VALUE"""),34.0)</f>
        <v>34</v>
      </c>
      <c r="H1458" s="35" t="str">
        <f>IFERROR(__xludf.DUMMYFUNCTION("""COMPUTED_VALUE"""),"Algorithms")</f>
        <v>Algorithms</v>
      </c>
      <c r="I1458" s="35">
        <f>IFERROR(__xludf.DUMMYFUNCTION("""COMPUTED_VALUE"""),0.674)</f>
        <v>0.674</v>
      </c>
      <c r="J1458" s="35">
        <f>IFERROR(__xludf.DUMMYFUNCTION("""COMPUTED_VALUE"""),1457.0)</f>
        <v>1457</v>
      </c>
      <c r="K1458" s="35" t="b">
        <f>IFERROR(__xludf.DUMMYFUNCTION("""COMPUTED_VALUE"""),FALSE)</f>
        <v>0</v>
      </c>
      <c r="L1458" s="35" t="str">
        <f>IFERROR(__xludf.DUMMYFUNCTION("""COMPUTED_VALUE"""),"Bit Manipulation;Tree;Depth-First Search;Breadth-First Search;Binary Tree;")</f>
        <v>Bit Manipulation;Tree;Depth-First Search;Breadth-First Search;Binary Tree;</v>
      </c>
      <c r="M1458" s="35" t="b">
        <f>IFERROR(__xludf.DUMMYFUNCTION("""COMPUTED_VALUE"""),TRUE)</f>
        <v>1</v>
      </c>
      <c r="N1458" s="35" t="b">
        <f>IFERROR(__xludf.DUMMYFUNCTION("""COMPUTED_VALUE"""),FALSE)</f>
        <v>0</v>
      </c>
      <c r="O1458" s="35">
        <f>IFERROR(__xludf.DUMMYFUNCTION("""COMPUTED_VALUE"""),67.4126232581981)</f>
        <v>67.41262326</v>
      </c>
      <c r="P1458" s="35">
        <f>IFERROR(__xludf.DUMMYFUNCTION("""COMPUTED_VALUE"""),49975.0)</f>
        <v>49975</v>
      </c>
      <c r="Q1458" s="35">
        <f>IFERROR(__xludf.DUMMYFUNCTION("""COMPUTED_VALUE"""),74133.0)</f>
        <v>74133</v>
      </c>
    </row>
    <row r="1459">
      <c r="A1459" s="35">
        <f>IFERROR(__xludf.DUMMYFUNCTION("""COMPUTED_VALUE"""),1569.0)</f>
        <v>1569</v>
      </c>
      <c r="B1459" s="35" t="str">
        <f>IFERROR(__xludf.DUMMYFUNCTION("""COMPUTED_VALUE"""),"Max Dot Product of Two Subsequences")</f>
        <v>Max Dot Product of Two Subsequences</v>
      </c>
      <c r="C1459" s="35" t="str">
        <f>IFERROR(__xludf.DUMMYFUNCTION("""COMPUTED_VALUE"""),"max-dot-product-of-two-subsequences")</f>
        <v>max-dot-product-of-two-subsequences</v>
      </c>
      <c r="D1459" s="35" t="b">
        <f>IFERROR(__xludf.DUMMYFUNCTION("""COMPUTED_VALUE"""),FALSE)</f>
        <v>0</v>
      </c>
      <c r="E1459" s="35" t="str">
        <f>IFERROR(__xludf.DUMMYFUNCTION("""COMPUTED_VALUE"""),"Hard")</f>
        <v>Hard</v>
      </c>
      <c r="F1459" s="35">
        <f>IFERROR(__xludf.DUMMYFUNCTION("""COMPUTED_VALUE"""),552.0)</f>
        <v>552</v>
      </c>
      <c r="G1459" s="35">
        <f>IFERROR(__xludf.DUMMYFUNCTION("""COMPUTED_VALUE"""),11.0)</f>
        <v>11</v>
      </c>
      <c r="H1459" s="35" t="str">
        <f>IFERROR(__xludf.DUMMYFUNCTION("""COMPUTED_VALUE"""),"Algorithms")</f>
        <v>Algorithms</v>
      </c>
      <c r="I1459" s="35">
        <f>IFERROR(__xludf.DUMMYFUNCTION("""COMPUTED_VALUE"""),0.45)</f>
        <v>0.45</v>
      </c>
      <c r="J1459" s="35">
        <f>IFERROR(__xludf.DUMMYFUNCTION("""COMPUTED_VALUE"""),1458.0)</f>
        <v>1458</v>
      </c>
      <c r="K1459" s="35" t="b">
        <f>IFERROR(__xludf.DUMMYFUNCTION("""COMPUTED_VALUE"""),FALSE)</f>
        <v>0</v>
      </c>
      <c r="L1459" s="35" t="str">
        <f>IFERROR(__xludf.DUMMYFUNCTION("""COMPUTED_VALUE"""),"Array;Dynamic Programming;")</f>
        <v>Array;Dynamic Programming;</v>
      </c>
      <c r="M1459" s="35" t="b">
        <f>IFERROR(__xludf.DUMMYFUNCTION("""COMPUTED_VALUE"""),FALSE)</f>
        <v>0</v>
      </c>
      <c r="N1459" s="35" t="b">
        <f>IFERROR(__xludf.DUMMYFUNCTION("""COMPUTED_VALUE"""),FALSE)</f>
        <v>0</v>
      </c>
      <c r="O1459" s="35">
        <f>IFERROR(__xludf.DUMMYFUNCTION("""COMPUTED_VALUE"""),45.0208286421977)</f>
        <v>45.02082864</v>
      </c>
      <c r="P1459" s="35">
        <f>IFERROR(__xludf.DUMMYFUNCTION("""COMPUTED_VALUE"""),15994.0)</f>
        <v>15994</v>
      </c>
      <c r="Q1459" s="35">
        <f>IFERROR(__xludf.DUMMYFUNCTION("""COMPUTED_VALUE"""),35527.0)</f>
        <v>35527</v>
      </c>
    </row>
    <row r="1460">
      <c r="A1460" s="35">
        <f>IFERROR(__xludf.DUMMYFUNCTION("""COMPUTED_VALUE"""),1607.0)</f>
        <v>1607</v>
      </c>
      <c r="B1460" s="35" t="str">
        <f>IFERROR(__xludf.DUMMYFUNCTION("""COMPUTED_VALUE"""),"Rectangles Area")</f>
        <v>Rectangles Area</v>
      </c>
      <c r="C1460" s="35" t="str">
        <f>IFERROR(__xludf.DUMMYFUNCTION("""COMPUTED_VALUE"""),"rectangles-area")</f>
        <v>rectangles-area</v>
      </c>
      <c r="D1460" s="35" t="b">
        <f>IFERROR(__xludf.DUMMYFUNCTION("""COMPUTED_VALUE"""),TRUE)</f>
        <v>1</v>
      </c>
      <c r="E1460" s="35" t="str">
        <f>IFERROR(__xludf.DUMMYFUNCTION("""COMPUTED_VALUE"""),"Medium")</f>
        <v>Medium</v>
      </c>
      <c r="F1460" s="35">
        <f>IFERROR(__xludf.DUMMYFUNCTION("""COMPUTED_VALUE"""),49.0)</f>
        <v>49</v>
      </c>
      <c r="G1460" s="35">
        <f>IFERROR(__xludf.DUMMYFUNCTION("""COMPUTED_VALUE"""),87.0)</f>
        <v>87</v>
      </c>
      <c r="H1460" s="35" t="str">
        <f>IFERROR(__xludf.DUMMYFUNCTION("""COMPUTED_VALUE"""),"Database")</f>
        <v>Database</v>
      </c>
      <c r="I1460" s="35">
        <f>IFERROR(__xludf.DUMMYFUNCTION("""COMPUTED_VALUE"""),0.682)</f>
        <v>0.682</v>
      </c>
      <c r="J1460" s="35">
        <f>IFERROR(__xludf.DUMMYFUNCTION("""COMPUTED_VALUE"""),1459.0)</f>
        <v>1459</v>
      </c>
      <c r="K1460" s="35" t="b">
        <f>IFERROR(__xludf.DUMMYFUNCTION("""COMPUTED_VALUE"""),TRUE)</f>
        <v>1</v>
      </c>
      <c r="L1460" s="35" t="str">
        <f>IFERROR(__xludf.DUMMYFUNCTION("""COMPUTED_VALUE"""),"Database;")</f>
        <v>Database;</v>
      </c>
      <c r="M1460" s="35" t="b">
        <f>IFERROR(__xludf.DUMMYFUNCTION("""COMPUTED_VALUE"""),FALSE)</f>
        <v>0</v>
      </c>
      <c r="N1460" s="35" t="b">
        <f>IFERROR(__xludf.DUMMYFUNCTION("""COMPUTED_VALUE"""),FALSE)</f>
        <v>0</v>
      </c>
      <c r="O1460" s="35">
        <f>IFERROR(__xludf.DUMMYFUNCTION("""COMPUTED_VALUE"""),68.2403088306257)</f>
        <v>68.24030883</v>
      </c>
      <c r="P1460" s="35">
        <f>IFERROR(__xludf.DUMMYFUNCTION("""COMPUTED_VALUE"""),8480.0)</f>
        <v>8480</v>
      </c>
      <c r="Q1460" s="35">
        <f>IFERROR(__xludf.DUMMYFUNCTION("""COMPUTED_VALUE"""),12429.0)</f>
        <v>12429</v>
      </c>
    </row>
    <row r="1461">
      <c r="A1461" s="35">
        <f>IFERROR(__xludf.DUMMYFUNCTION("""COMPUTED_VALUE"""),1556.0)</f>
        <v>1556</v>
      </c>
      <c r="B1461" s="35" t="str">
        <f>IFERROR(__xludf.DUMMYFUNCTION("""COMPUTED_VALUE"""),"Make Two Arrays Equal by Reversing Sub-arrays")</f>
        <v>Make Two Arrays Equal by Reversing Sub-arrays</v>
      </c>
      <c r="C1461" s="35" t="str">
        <f>IFERROR(__xludf.DUMMYFUNCTION("""COMPUTED_VALUE"""),"make-two-arrays-equal-by-reversing-sub-arrays")</f>
        <v>make-two-arrays-equal-by-reversing-sub-arrays</v>
      </c>
      <c r="D1461" s="35" t="b">
        <f>IFERROR(__xludf.DUMMYFUNCTION("""COMPUTED_VALUE"""),FALSE)</f>
        <v>0</v>
      </c>
      <c r="E1461" s="35" t="str">
        <f>IFERROR(__xludf.DUMMYFUNCTION("""COMPUTED_VALUE"""),"Easy")</f>
        <v>Easy</v>
      </c>
      <c r="F1461" s="35">
        <f>IFERROR(__xludf.DUMMYFUNCTION("""COMPUTED_VALUE"""),677.0)</f>
        <v>677</v>
      </c>
      <c r="G1461" s="35">
        <f>IFERROR(__xludf.DUMMYFUNCTION("""COMPUTED_VALUE"""),107.0)</f>
        <v>107</v>
      </c>
      <c r="H1461" s="35" t="str">
        <f>IFERROR(__xludf.DUMMYFUNCTION("""COMPUTED_VALUE"""),"Algorithms")</f>
        <v>Algorithms</v>
      </c>
      <c r="I1461" s="35">
        <f>IFERROR(__xludf.DUMMYFUNCTION("""COMPUTED_VALUE"""),0.725)</f>
        <v>0.725</v>
      </c>
      <c r="J1461" s="35">
        <f>IFERROR(__xludf.DUMMYFUNCTION("""COMPUTED_VALUE"""),1460.0)</f>
        <v>1460</v>
      </c>
      <c r="K1461" s="35" t="b">
        <f>IFERROR(__xludf.DUMMYFUNCTION("""COMPUTED_VALUE"""),FALSE)</f>
        <v>0</v>
      </c>
      <c r="L1461" s="35" t="str">
        <f>IFERROR(__xludf.DUMMYFUNCTION("""COMPUTED_VALUE"""),"Array;Hash Table;Sorting;")</f>
        <v>Array;Hash Table;Sorting;</v>
      </c>
      <c r="M1461" s="35" t="b">
        <f>IFERROR(__xludf.DUMMYFUNCTION("""COMPUTED_VALUE"""),FALSE)</f>
        <v>0</v>
      </c>
      <c r="N1461" s="35" t="b">
        <f>IFERROR(__xludf.DUMMYFUNCTION("""COMPUTED_VALUE"""),FALSE)</f>
        <v>0</v>
      </c>
      <c r="O1461" s="35">
        <f>IFERROR(__xludf.DUMMYFUNCTION("""COMPUTED_VALUE"""),72.5518929883034)</f>
        <v>72.55189299</v>
      </c>
      <c r="P1461" s="35">
        <f>IFERROR(__xludf.DUMMYFUNCTION("""COMPUTED_VALUE"""),81182.0)</f>
        <v>81182</v>
      </c>
      <c r="Q1461" s="35">
        <f>IFERROR(__xludf.DUMMYFUNCTION("""COMPUTED_VALUE"""),111900.0)</f>
        <v>111900</v>
      </c>
    </row>
    <row r="1462">
      <c r="A1462" s="35">
        <f>IFERROR(__xludf.DUMMYFUNCTION("""COMPUTED_VALUE"""),1557.0)</f>
        <v>1557</v>
      </c>
      <c r="B1462" s="35" t="str">
        <f>IFERROR(__xludf.DUMMYFUNCTION("""COMPUTED_VALUE"""),"Check If a String Contains All Binary Codes of Size K")</f>
        <v>Check If a String Contains All Binary Codes of Size K</v>
      </c>
      <c r="C1462" s="35" t="str">
        <f>IFERROR(__xludf.DUMMYFUNCTION("""COMPUTED_VALUE"""),"check-if-a-string-contains-all-binary-codes-of-size-k")</f>
        <v>check-if-a-string-contains-all-binary-codes-of-size-k</v>
      </c>
      <c r="D1462" s="35" t="b">
        <f>IFERROR(__xludf.DUMMYFUNCTION("""COMPUTED_VALUE"""),FALSE)</f>
        <v>0</v>
      </c>
      <c r="E1462" s="35" t="str">
        <f>IFERROR(__xludf.DUMMYFUNCTION("""COMPUTED_VALUE"""),"Medium")</f>
        <v>Medium</v>
      </c>
      <c r="F1462" s="35">
        <f>IFERROR(__xludf.DUMMYFUNCTION("""COMPUTED_VALUE"""),677.0)</f>
        <v>677</v>
      </c>
      <c r="G1462" s="35">
        <f>IFERROR(__xludf.DUMMYFUNCTION("""COMPUTED_VALUE"""),66.0)</f>
        <v>66</v>
      </c>
      <c r="H1462" s="35" t="str">
        <f>IFERROR(__xludf.DUMMYFUNCTION("""COMPUTED_VALUE"""),"Algorithms")</f>
        <v>Algorithms</v>
      </c>
      <c r="I1462" s="35">
        <f>IFERROR(__xludf.DUMMYFUNCTION("""COMPUTED_VALUE"""),0.544)</f>
        <v>0.544</v>
      </c>
      <c r="J1462" s="35">
        <f>IFERROR(__xludf.DUMMYFUNCTION("""COMPUTED_VALUE"""),1461.0)</f>
        <v>1461</v>
      </c>
      <c r="K1462" s="35" t="b">
        <f>IFERROR(__xludf.DUMMYFUNCTION("""COMPUTED_VALUE"""),FALSE)</f>
        <v>0</v>
      </c>
      <c r="L1462" s="35" t="str">
        <f>IFERROR(__xludf.DUMMYFUNCTION("""COMPUTED_VALUE"""),"Hash Table;String;Bit Manipulation;Rolling Hash;Hash Function;")</f>
        <v>Hash Table;String;Bit Manipulation;Rolling Hash;Hash Function;</v>
      </c>
      <c r="M1462" s="35" t="b">
        <f>IFERROR(__xludf.DUMMYFUNCTION("""COMPUTED_VALUE"""),TRUE)</f>
        <v>1</v>
      </c>
      <c r="N1462" s="35" t="b">
        <f>IFERROR(__xludf.DUMMYFUNCTION("""COMPUTED_VALUE"""),FALSE)</f>
        <v>0</v>
      </c>
      <c r="O1462" s="35">
        <f>IFERROR(__xludf.DUMMYFUNCTION("""COMPUTED_VALUE"""),54.4435808498544)</f>
        <v>54.44358085</v>
      </c>
      <c r="P1462" s="35">
        <f>IFERROR(__xludf.DUMMYFUNCTION("""COMPUTED_VALUE"""),46932.0)</f>
        <v>46932</v>
      </c>
      <c r="Q1462" s="35">
        <f>IFERROR(__xludf.DUMMYFUNCTION("""COMPUTED_VALUE"""),86203.0)</f>
        <v>86203</v>
      </c>
    </row>
    <row r="1463">
      <c r="A1463" s="35">
        <f>IFERROR(__xludf.DUMMYFUNCTION("""COMPUTED_VALUE"""),1558.0)</f>
        <v>1558</v>
      </c>
      <c r="B1463" s="35" t="str">
        <f>IFERROR(__xludf.DUMMYFUNCTION("""COMPUTED_VALUE"""),"Course Schedule IV")</f>
        <v>Course Schedule IV</v>
      </c>
      <c r="C1463" s="35" t="str">
        <f>IFERROR(__xludf.DUMMYFUNCTION("""COMPUTED_VALUE"""),"course-schedule-iv")</f>
        <v>course-schedule-iv</v>
      </c>
      <c r="D1463" s="35" t="b">
        <f>IFERROR(__xludf.DUMMYFUNCTION("""COMPUTED_VALUE"""),FALSE)</f>
        <v>0</v>
      </c>
      <c r="E1463" s="35" t="str">
        <f>IFERROR(__xludf.DUMMYFUNCTION("""COMPUTED_VALUE"""),"Medium")</f>
        <v>Medium</v>
      </c>
      <c r="F1463" s="35">
        <f>IFERROR(__xludf.DUMMYFUNCTION("""COMPUTED_VALUE"""),735.0)</f>
        <v>735</v>
      </c>
      <c r="G1463" s="35">
        <f>IFERROR(__xludf.DUMMYFUNCTION("""COMPUTED_VALUE"""),46.0)</f>
        <v>46</v>
      </c>
      <c r="H1463" s="35" t="str">
        <f>IFERROR(__xludf.DUMMYFUNCTION("""COMPUTED_VALUE"""),"Algorithms")</f>
        <v>Algorithms</v>
      </c>
      <c r="I1463" s="35">
        <f>IFERROR(__xludf.DUMMYFUNCTION("""COMPUTED_VALUE"""),0.476)</f>
        <v>0.476</v>
      </c>
      <c r="J1463" s="35">
        <f>IFERROR(__xludf.DUMMYFUNCTION("""COMPUTED_VALUE"""),1462.0)</f>
        <v>1462</v>
      </c>
      <c r="K1463" s="35" t="b">
        <f>IFERROR(__xludf.DUMMYFUNCTION("""COMPUTED_VALUE"""),FALSE)</f>
        <v>0</v>
      </c>
      <c r="L1463" s="35" t="str">
        <f>IFERROR(__xludf.DUMMYFUNCTION("""COMPUTED_VALUE"""),"Depth-First Search;Breadth-First Search;Graph;Topological Sort;")</f>
        <v>Depth-First Search;Breadth-First Search;Graph;Topological Sort;</v>
      </c>
      <c r="M1463" s="35" t="b">
        <f>IFERROR(__xludf.DUMMYFUNCTION("""COMPUTED_VALUE"""),FALSE)</f>
        <v>0</v>
      </c>
      <c r="N1463" s="35" t="b">
        <f>IFERROR(__xludf.DUMMYFUNCTION("""COMPUTED_VALUE"""),FALSE)</f>
        <v>0</v>
      </c>
      <c r="O1463" s="35">
        <f>IFERROR(__xludf.DUMMYFUNCTION("""COMPUTED_VALUE"""),47.6166663978191)</f>
        <v>47.6166664</v>
      </c>
      <c r="P1463" s="35">
        <f>IFERROR(__xludf.DUMMYFUNCTION("""COMPUTED_VALUE"""),29518.0)</f>
        <v>29518</v>
      </c>
      <c r="Q1463" s="35">
        <f>IFERROR(__xludf.DUMMYFUNCTION("""COMPUTED_VALUE"""),61991.0)</f>
        <v>61991</v>
      </c>
    </row>
    <row r="1464">
      <c r="A1464" s="35">
        <f>IFERROR(__xludf.DUMMYFUNCTION("""COMPUTED_VALUE"""),1559.0)</f>
        <v>1559</v>
      </c>
      <c r="B1464" s="35" t="str">
        <f>IFERROR(__xludf.DUMMYFUNCTION("""COMPUTED_VALUE"""),"Cherry Pickup II")</f>
        <v>Cherry Pickup II</v>
      </c>
      <c r="C1464" s="35" t="str">
        <f>IFERROR(__xludf.DUMMYFUNCTION("""COMPUTED_VALUE"""),"cherry-pickup-ii")</f>
        <v>cherry-pickup-ii</v>
      </c>
      <c r="D1464" s="35" t="b">
        <f>IFERROR(__xludf.DUMMYFUNCTION("""COMPUTED_VALUE"""),FALSE)</f>
        <v>0</v>
      </c>
      <c r="E1464" s="35" t="str">
        <f>IFERROR(__xludf.DUMMYFUNCTION("""COMPUTED_VALUE"""),"Hard")</f>
        <v>Hard</v>
      </c>
      <c r="F1464" s="35">
        <f>IFERROR(__xludf.DUMMYFUNCTION("""COMPUTED_VALUE"""),1849.0)</f>
        <v>1849</v>
      </c>
      <c r="G1464" s="35">
        <f>IFERROR(__xludf.DUMMYFUNCTION("""COMPUTED_VALUE"""),18.0)</f>
        <v>18</v>
      </c>
      <c r="H1464" s="35" t="str">
        <f>IFERROR(__xludf.DUMMYFUNCTION("""COMPUTED_VALUE"""),"Algorithms")</f>
        <v>Algorithms</v>
      </c>
      <c r="I1464" s="35">
        <f>IFERROR(__xludf.DUMMYFUNCTION("""COMPUTED_VALUE"""),0.709)</f>
        <v>0.709</v>
      </c>
      <c r="J1464" s="35">
        <f>IFERROR(__xludf.DUMMYFUNCTION("""COMPUTED_VALUE"""),1463.0)</f>
        <v>1463</v>
      </c>
      <c r="K1464" s="35" t="b">
        <f>IFERROR(__xludf.DUMMYFUNCTION("""COMPUTED_VALUE"""),FALSE)</f>
        <v>0</v>
      </c>
      <c r="L1464" s="35" t="str">
        <f>IFERROR(__xludf.DUMMYFUNCTION("""COMPUTED_VALUE"""),"Array;Dynamic Programming;Matrix;")</f>
        <v>Array;Dynamic Programming;Matrix;</v>
      </c>
      <c r="M1464" s="35" t="b">
        <f>IFERROR(__xludf.DUMMYFUNCTION("""COMPUTED_VALUE"""),TRUE)</f>
        <v>1</v>
      </c>
      <c r="N1464" s="35" t="b">
        <f>IFERROR(__xludf.DUMMYFUNCTION("""COMPUTED_VALUE"""),FALSE)</f>
        <v>0</v>
      </c>
      <c r="O1464" s="35">
        <f>IFERROR(__xludf.DUMMYFUNCTION("""COMPUTED_VALUE"""),70.862456158058)</f>
        <v>70.86245616</v>
      </c>
      <c r="P1464" s="35">
        <f>IFERROR(__xludf.DUMMYFUNCTION("""COMPUTED_VALUE"""),56167.0)</f>
        <v>56167</v>
      </c>
      <c r="Q1464" s="35">
        <f>IFERROR(__xludf.DUMMYFUNCTION("""COMPUTED_VALUE"""),79262.0)</f>
        <v>79262</v>
      </c>
    </row>
    <row r="1465">
      <c r="A1465" s="35">
        <f>IFERROR(__xludf.DUMMYFUNCTION("""COMPUTED_VALUE"""),1574.0)</f>
        <v>1574</v>
      </c>
      <c r="B1465" s="35" t="str">
        <f>IFERROR(__xludf.DUMMYFUNCTION("""COMPUTED_VALUE"""),"Maximum Product of Two Elements in an Array")</f>
        <v>Maximum Product of Two Elements in an Array</v>
      </c>
      <c r="C1465" s="35" t="str">
        <f>IFERROR(__xludf.DUMMYFUNCTION("""COMPUTED_VALUE"""),"maximum-product-of-two-elements-in-an-array")</f>
        <v>maximum-product-of-two-elements-in-an-array</v>
      </c>
      <c r="D1465" s="35" t="b">
        <f>IFERROR(__xludf.DUMMYFUNCTION("""COMPUTED_VALUE"""),FALSE)</f>
        <v>0</v>
      </c>
      <c r="E1465" s="35" t="str">
        <f>IFERROR(__xludf.DUMMYFUNCTION("""COMPUTED_VALUE"""),"Easy")</f>
        <v>Easy</v>
      </c>
      <c r="F1465" s="35">
        <f>IFERROR(__xludf.DUMMYFUNCTION("""COMPUTED_VALUE"""),851.0)</f>
        <v>851</v>
      </c>
      <c r="G1465" s="35">
        <f>IFERROR(__xludf.DUMMYFUNCTION("""COMPUTED_VALUE"""),147.0)</f>
        <v>147</v>
      </c>
      <c r="H1465" s="35" t="str">
        <f>IFERROR(__xludf.DUMMYFUNCTION("""COMPUTED_VALUE"""),"Algorithms")</f>
        <v>Algorithms</v>
      </c>
      <c r="I1465" s="35">
        <f>IFERROR(__xludf.DUMMYFUNCTION("""COMPUTED_VALUE"""),0.783)</f>
        <v>0.783</v>
      </c>
      <c r="J1465" s="35">
        <f>IFERROR(__xludf.DUMMYFUNCTION("""COMPUTED_VALUE"""),1464.0)</f>
        <v>1464</v>
      </c>
      <c r="K1465" s="35" t="b">
        <f>IFERROR(__xludf.DUMMYFUNCTION("""COMPUTED_VALUE"""),FALSE)</f>
        <v>0</v>
      </c>
      <c r="L1465" s="35" t="str">
        <f>IFERROR(__xludf.DUMMYFUNCTION("""COMPUTED_VALUE"""),"Array;Sorting;Heap (Priority Queue);")</f>
        <v>Array;Sorting;Heap (Priority Queue);</v>
      </c>
      <c r="M1465" s="35" t="b">
        <f>IFERROR(__xludf.DUMMYFUNCTION("""COMPUTED_VALUE"""),FALSE)</f>
        <v>0</v>
      </c>
      <c r="N1465" s="35" t="b">
        <f>IFERROR(__xludf.DUMMYFUNCTION("""COMPUTED_VALUE"""),FALSE)</f>
        <v>0</v>
      </c>
      <c r="O1465" s="35">
        <f>IFERROR(__xludf.DUMMYFUNCTION("""COMPUTED_VALUE"""),78.2561825847892)</f>
        <v>78.25618258</v>
      </c>
      <c r="P1465" s="35">
        <f>IFERROR(__xludf.DUMMYFUNCTION("""COMPUTED_VALUE"""),122682.0)</f>
        <v>122682</v>
      </c>
      <c r="Q1465" s="35">
        <f>IFERROR(__xludf.DUMMYFUNCTION("""COMPUTED_VALUE"""),156770.0)</f>
        <v>156770</v>
      </c>
    </row>
    <row r="1466">
      <c r="A1466" s="35">
        <f>IFERROR(__xludf.DUMMYFUNCTION("""COMPUTED_VALUE"""),1575.0)</f>
        <v>1575</v>
      </c>
      <c r="B1466" s="35" t="str">
        <f>IFERROR(__xludf.DUMMYFUNCTION("""COMPUTED_VALUE"""),"Maximum Area of a Piece of Cake After Horizontal and Vertical Cuts")</f>
        <v>Maximum Area of a Piece of Cake After Horizontal and Vertical Cuts</v>
      </c>
      <c r="C1466" s="35" t="str">
        <f>IFERROR(__xludf.DUMMYFUNCTION("""COMPUTED_VALUE"""),"maximum-area-of-a-piece-of-cake-after-horizontal-and-vertical-cuts")</f>
        <v>maximum-area-of-a-piece-of-cake-after-horizontal-and-vertical-cuts</v>
      </c>
      <c r="D1466" s="35" t="b">
        <f>IFERROR(__xludf.DUMMYFUNCTION("""COMPUTED_VALUE"""),FALSE)</f>
        <v>0</v>
      </c>
      <c r="E1466" s="35" t="str">
        <f>IFERROR(__xludf.DUMMYFUNCTION("""COMPUTED_VALUE"""),"Medium")</f>
        <v>Medium</v>
      </c>
      <c r="F1466" s="35">
        <f>IFERROR(__xludf.DUMMYFUNCTION("""COMPUTED_VALUE"""),1003.0)</f>
        <v>1003</v>
      </c>
      <c r="G1466" s="35">
        <f>IFERROR(__xludf.DUMMYFUNCTION("""COMPUTED_VALUE"""),231.0)</f>
        <v>231</v>
      </c>
      <c r="H1466" s="35" t="str">
        <f>IFERROR(__xludf.DUMMYFUNCTION("""COMPUTED_VALUE"""),"Algorithms")</f>
        <v>Algorithms</v>
      </c>
      <c r="I1466" s="35">
        <f>IFERROR(__xludf.DUMMYFUNCTION("""COMPUTED_VALUE"""),0.371)</f>
        <v>0.371</v>
      </c>
      <c r="J1466" s="35">
        <f>IFERROR(__xludf.DUMMYFUNCTION("""COMPUTED_VALUE"""),1465.0)</f>
        <v>1465</v>
      </c>
      <c r="K1466" s="35" t="b">
        <f>IFERROR(__xludf.DUMMYFUNCTION("""COMPUTED_VALUE"""),FALSE)</f>
        <v>0</v>
      </c>
      <c r="L1466" s="35" t="str">
        <f>IFERROR(__xludf.DUMMYFUNCTION("""COMPUTED_VALUE"""),"Array;Greedy;Sorting;")</f>
        <v>Array;Greedy;Sorting;</v>
      </c>
      <c r="M1466" s="35" t="b">
        <f>IFERROR(__xludf.DUMMYFUNCTION("""COMPUTED_VALUE"""),TRUE)</f>
        <v>1</v>
      </c>
      <c r="N1466" s="35" t="b">
        <f>IFERROR(__xludf.DUMMYFUNCTION("""COMPUTED_VALUE"""),FALSE)</f>
        <v>0</v>
      </c>
      <c r="O1466" s="35">
        <f>IFERROR(__xludf.DUMMYFUNCTION("""COMPUTED_VALUE"""),37.0914944326363)</f>
        <v>37.09149443</v>
      </c>
      <c r="P1466" s="35">
        <f>IFERROR(__xludf.DUMMYFUNCTION("""COMPUTED_VALUE"""),89173.0)</f>
        <v>89173</v>
      </c>
      <c r="Q1466" s="35">
        <f>IFERROR(__xludf.DUMMYFUNCTION("""COMPUTED_VALUE"""),240411.0)</f>
        <v>240411</v>
      </c>
    </row>
    <row r="1467">
      <c r="A1467" s="35">
        <f>IFERROR(__xludf.DUMMYFUNCTION("""COMPUTED_VALUE"""),1576.0)</f>
        <v>1576</v>
      </c>
      <c r="B1467" s="35" t="str">
        <f>IFERROR(__xludf.DUMMYFUNCTION("""COMPUTED_VALUE"""),"Reorder Routes to Make All Paths Lead to the City Zero")</f>
        <v>Reorder Routes to Make All Paths Lead to the City Zero</v>
      </c>
      <c r="C1467" s="35" t="str">
        <f>IFERROR(__xludf.DUMMYFUNCTION("""COMPUTED_VALUE"""),"reorder-routes-to-make-all-paths-lead-to-the-city-zero")</f>
        <v>reorder-routes-to-make-all-paths-lead-to-the-city-zero</v>
      </c>
      <c r="D1467" s="35" t="b">
        <f>IFERROR(__xludf.DUMMYFUNCTION("""COMPUTED_VALUE"""),FALSE)</f>
        <v>0</v>
      </c>
      <c r="E1467" s="35" t="str">
        <f>IFERROR(__xludf.DUMMYFUNCTION("""COMPUTED_VALUE"""),"Medium")</f>
        <v>Medium</v>
      </c>
      <c r="F1467" s="35">
        <f>IFERROR(__xludf.DUMMYFUNCTION("""COMPUTED_VALUE"""),1327.0)</f>
        <v>1327</v>
      </c>
      <c r="G1467" s="35">
        <f>IFERROR(__xludf.DUMMYFUNCTION("""COMPUTED_VALUE"""),33.0)</f>
        <v>33</v>
      </c>
      <c r="H1467" s="35" t="str">
        <f>IFERROR(__xludf.DUMMYFUNCTION("""COMPUTED_VALUE"""),"Algorithms")</f>
        <v>Algorithms</v>
      </c>
      <c r="I1467" s="35">
        <f>IFERROR(__xludf.DUMMYFUNCTION("""COMPUTED_VALUE"""),0.607)</f>
        <v>0.607</v>
      </c>
      <c r="J1467" s="35">
        <f>IFERROR(__xludf.DUMMYFUNCTION("""COMPUTED_VALUE"""),1466.0)</f>
        <v>1466</v>
      </c>
      <c r="K1467" s="35" t="b">
        <f>IFERROR(__xludf.DUMMYFUNCTION("""COMPUTED_VALUE"""),FALSE)</f>
        <v>0</v>
      </c>
      <c r="L1467" s="35" t="str">
        <f>IFERROR(__xludf.DUMMYFUNCTION("""COMPUTED_VALUE"""),"Depth-First Search;Breadth-First Search;Graph;")</f>
        <v>Depth-First Search;Breadth-First Search;Graph;</v>
      </c>
      <c r="M1467" s="35" t="b">
        <f>IFERROR(__xludf.DUMMYFUNCTION("""COMPUTED_VALUE"""),FALSE)</f>
        <v>0</v>
      </c>
      <c r="N1467" s="35" t="b">
        <f>IFERROR(__xludf.DUMMYFUNCTION("""COMPUTED_VALUE"""),FALSE)</f>
        <v>0</v>
      </c>
      <c r="O1467" s="35">
        <f>IFERROR(__xludf.DUMMYFUNCTION("""COMPUTED_VALUE"""),60.7104032360005)</f>
        <v>60.71040324</v>
      </c>
      <c r="P1467" s="35">
        <f>IFERROR(__xludf.DUMMYFUNCTION("""COMPUTED_VALUE"""),48027.0)</f>
        <v>48027</v>
      </c>
      <c r="Q1467" s="35">
        <f>IFERROR(__xludf.DUMMYFUNCTION("""COMPUTED_VALUE"""),79106.0)</f>
        <v>79106</v>
      </c>
    </row>
    <row r="1468">
      <c r="A1468" s="35">
        <f>IFERROR(__xludf.DUMMYFUNCTION("""COMPUTED_VALUE"""),1577.0)</f>
        <v>1577</v>
      </c>
      <c r="B1468" s="35" t="str">
        <f>IFERROR(__xludf.DUMMYFUNCTION("""COMPUTED_VALUE"""),"Probability of a Two Boxes Having The Same Number of Distinct Balls")</f>
        <v>Probability of a Two Boxes Having The Same Number of Distinct Balls</v>
      </c>
      <c r="C1468" s="35" t="str">
        <f>IFERROR(__xludf.DUMMYFUNCTION("""COMPUTED_VALUE"""),"probability-of-a-two-boxes-having-the-same-number-of-distinct-balls")</f>
        <v>probability-of-a-two-boxes-having-the-same-number-of-distinct-balls</v>
      </c>
      <c r="D1468" s="35" t="b">
        <f>IFERROR(__xludf.DUMMYFUNCTION("""COMPUTED_VALUE"""),FALSE)</f>
        <v>0</v>
      </c>
      <c r="E1468" s="35" t="str">
        <f>IFERROR(__xludf.DUMMYFUNCTION("""COMPUTED_VALUE"""),"Hard")</f>
        <v>Hard</v>
      </c>
      <c r="F1468" s="35">
        <f>IFERROR(__xludf.DUMMYFUNCTION("""COMPUTED_VALUE"""),191.0)</f>
        <v>191</v>
      </c>
      <c r="G1468" s="35">
        <f>IFERROR(__xludf.DUMMYFUNCTION("""COMPUTED_VALUE"""),140.0)</f>
        <v>140</v>
      </c>
      <c r="H1468" s="35" t="str">
        <f>IFERROR(__xludf.DUMMYFUNCTION("""COMPUTED_VALUE"""),"Algorithms")</f>
        <v>Algorithms</v>
      </c>
      <c r="I1468" s="35">
        <f>IFERROR(__xludf.DUMMYFUNCTION("""COMPUTED_VALUE"""),0.608)</f>
        <v>0.608</v>
      </c>
      <c r="J1468" s="35">
        <f>IFERROR(__xludf.DUMMYFUNCTION("""COMPUTED_VALUE"""),1467.0)</f>
        <v>1467</v>
      </c>
      <c r="K1468" s="35" t="b">
        <f>IFERROR(__xludf.DUMMYFUNCTION("""COMPUTED_VALUE"""),FALSE)</f>
        <v>0</v>
      </c>
      <c r="L1468" s="35" t="str">
        <f>IFERROR(__xludf.DUMMYFUNCTION("""COMPUTED_VALUE"""),"Math;Dynamic Programming;Backtracking;Combinatorics;Probability and Statistics;")</f>
        <v>Math;Dynamic Programming;Backtracking;Combinatorics;Probability and Statistics;</v>
      </c>
      <c r="M1468" s="35" t="b">
        <f>IFERROR(__xludf.DUMMYFUNCTION("""COMPUTED_VALUE"""),FALSE)</f>
        <v>0</v>
      </c>
      <c r="N1468" s="35" t="b">
        <f>IFERROR(__xludf.DUMMYFUNCTION("""COMPUTED_VALUE"""),FALSE)</f>
        <v>0</v>
      </c>
      <c r="O1468" s="35">
        <f>IFERROR(__xludf.DUMMYFUNCTION("""COMPUTED_VALUE"""),60.7753230512713)</f>
        <v>60.77532305</v>
      </c>
      <c r="P1468" s="35">
        <f>IFERROR(__xludf.DUMMYFUNCTION("""COMPUTED_VALUE"""),5832.0)</f>
        <v>5832</v>
      </c>
      <c r="Q1468" s="35">
        <f>IFERROR(__xludf.DUMMYFUNCTION("""COMPUTED_VALUE"""),9596.0)</f>
        <v>9596</v>
      </c>
    </row>
    <row r="1469">
      <c r="A1469" s="35">
        <f>IFERROR(__xludf.DUMMYFUNCTION("""COMPUTED_VALUE"""),1608.0)</f>
        <v>1608</v>
      </c>
      <c r="B1469" s="35" t="str">
        <f>IFERROR(__xludf.DUMMYFUNCTION("""COMPUTED_VALUE"""),"Calculate Salaries")</f>
        <v>Calculate Salaries</v>
      </c>
      <c r="C1469" s="35" t="str">
        <f>IFERROR(__xludf.DUMMYFUNCTION("""COMPUTED_VALUE"""),"calculate-salaries")</f>
        <v>calculate-salaries</v>
      </c>
      <c r="D1469" s="35" t="b">
        <f>IFERROR(__xludf.DUMMYFUNCTION("""COMPUTED_VALUE"""),TRUE)</f>
        <v>1</v>
      </c>
      <c r="E1469" s="35" t="str">
        <f>IFERROR(__xludf.DUMMYFUNCTION("""COMPUTED_VALUE"""),"Medium")</f>
        <v>Medium</v>
      </c>
      <c r="F1469" s="35">
        <f>IFERROR(__xludf.DUMMYFUNCTION("""COMPUTED_VALUE"""),77.0)</f>
        <v>77</v>
      </c>
      <c r="G1469" s="35">
        <f>IFERROR(__xludf.DUMMYFUNCTION("""COMPUTED_VALUE"""),16.0)</f>
        <v>16</v>
      </c>
      <c r="H1469" s="35" t="str">
        <f>IFERROR(__xludf.DUMMYFUNCTION("""COMPUTED_VALUE"""),"Database")</f>
        <v>Database</v>
      </c>
      <c r="I1469" s="35">
        <f>IFERROR(__xludf.DUMMYFUNCTION("""COMPUTED_VALUE"""),0.824)</f>
        <v>0.824</v>
      </c>
      <c r="J1469" s="35">
        <f>IFERROR(__xludf.DUMMYFUNCTION("""COMPUTED_VALUE"""),1468.0)</f>
        <v>1468</v>
      </c>
      <c r="K1469" s="35" t="b">
        <f>IFERROR(__xludf.DUMMYFUNCTION("""COMPUTED_VALUE"""),TRUE)</f>
        <v>1</v>
      </c>
      <c r="L1469" s="35" t="str">
        <f>IFERROR(__xludf.DUMMYFUNCTION("""COMPUTED_VALUE"""),"Database;")</f>
        <v>Database;</v>
      </c>
      <c r="M1469" s="35" t="b">
        <f>IFERROR(__xludf.DUMMYFUNCTION("""COMPUTED_VALUE"""),FALSE)</f>
        <v>0</v>
      </c>
      <c r="N1469" s="35" t="b">
        <f>IFERROR(__xludf.DUMMYFUNCTION("""COMPUTED_VALUE"""),FALSE)</f>
        <v>0</v>
      </c>
      <c r="O1469" s="35">
        <f>IFERROR(__xludf.DUMMYFUNCTION("""COMPUTED_VALUE"""),82.4172661870503)</f>
        <v>82.41726619</v>
      </c>
      <c r="P1469" s="35">
        <f>IFERROR(__xludf.DUMMYFUNCTION("""COMPUTED_VALUE"""),14319.0)</f>
        <v>14319</v>
      </c>
      <c r="Q1469" s="35">
        <f>IFERROR(__xludf.DUMMYFUNCTION("""COMPUTED_VALUE"""),17374.0)</f>
        <v>17374</v>
      </c>
    </row>
    <row r="1470">
      <c r="A1470" s="35">
        <f>IFERROR(__xludf.DUMMYFUNCTION("""COMPUTED_VALUE"""),1609.0)</f>
        <v>1609</v>
      </c>
      <c r="B1470" s="35" t="str">
        <f>IFERROR(__xludf.DUMMYFUNCTION("""COMPUTED_VALUE"""),"Find All The Lonely Nodes")</f>
        <v>Find All The Lonely Nodes</v>
      </c>
      <c r="C1470" s="35" t="str">
        <f>IFERROR(__xludf.DUMMYFUNCTION("""COMPUTED_VALUE"""),"find-all-the-lonely-nodes")</f>
        <v>find-all-the-lonely-nodes</v>
      </c>
      <c r="D1470" s="35" t="b">
        <f>IFERROR(__xludf.DUMMYFUNCTION("""COMPUTED_VALUE"""),TRUE)</f>
        <v>1</v>
      </c>
      <c r="E1470" s="35" t="str">
        <f>IFERROR(__xludf.DUMMYFUNCTION("""COMPUTED_VALUE"""),"Easy")</f>
        <v>Easy</v>
      </c>
      <c r="F1470" s="35">
        <f>IFERROR(__xludf.DUMMYFUNCTION("""COMPUTED_VALUE"""),350.0)</f>
        <v>350</v>
      </c>
      <c r="G1470" s="35">
        <f>IFERROR(__xludf.DUMMYFUNCTION("""COMPUTED_VALUE"""),7.0)</f>
        <v>7</v>
      </c>
      <c r="H1470" s="35" t="str">
        <f>IFERROR(__xludf.DUMMYFUNCTION("""COMPUTED_VALUE"""),"Algorithms")</f>
        <v>Algorithms</v>
      </c>
      <c r="I1470" s="35">
        <f>IFERROR(__xludf.DUMMYFUNCTION("""COMPUTED_VALUE"""),0.816)</f>
        <v>0.816</v>
      </c>
      <c r="J1470" s="35">
        <f>IFERROR(__xludf.DUMMYFUNCTION("""COMPUTED_VALUE"""),1469.0)</f>
        <v>1469</v>
      </c>
      <c r="K1470" s="35" t="b">
        <f>IFERROR(__xludf.DUMMYFUNCTION("""COMPUTED_VALUE"""),TRUE)</f>
        <v>1</v>
      </c>
      <c r="L1470" s="35" t="str">
        <f>IFERROR(__xludf.DUMMYFUNCTION("""COMPUTED_VALUE"""),"Tree;Depth-First Search;Breadth-First Search;Binary Tree;")</f>
        <v>Tree;Depth-First Search;Breadth-First Search;Binary Tree;</v>
      </c>
      <c r="M1470" s="35" t="b">
        <f>IFERROR(__xludf.DUMMYFUNCTION("""COMPUTED_VALUE"""),FALSE)</f>
        <v>0</v>
      </c>
      <c r="N1470" s="35" t="b">
        <f>IFERROR(__xludf.DUMMYFUNCTION("""COMPUTED_VALUE"""),FALSE)</f>
        <v>0</v>
      </c>
      <c r="O1470" s="35">
        <f>IFERROR(__xludf.DUMMYFUNCTION("""COMPUTED_VALUE"""),81.6150186447216)</f>
        <v>81.61501864</v>
      </c>
      <c r="P1470" s="35">
        <f>IFERROR(__xludf.DUMMYFUNCTION("""COMPUTED_VALUE"""),31736.0)</f>
        <v>31736</v>
      </c>
      <c r="Q1470" s="35">
        <f>IFERROR(__xludf.DUMMYFUNCTION("""COMPUTED_VALUE"""),38885.0)</f>
        <v>38885</v>
      </c>
    </row>
    <row r="1471">
      <c r="A1471" s="35">
        <f>IFERROR(__xludf.DUMMYFUNCTION("""COMPUTED_VALUE"""),1580.0)</f>
        <v>1580</v>
      </c>
      <c r="B1471" s="35" t="str">
        <f>IFERROR(__xludf.DUMMYFUNCTION("""COMPUTED_VALUE"""),"Shuffle the Array")</f>
        <v>Shuffle the Array</v>
      </c>
      <c r="C1471" s="35" t="str">
        <f>IFERROR(__xludf.DUMMYFUNCTION("""COMPUTED_VALUE"""),"shuffle-the-array")</f>
        <v>shuffle-the-array</v>
      </c>
      <c r="D1471" s="35" t="b">
        <f>IFERROR(__xludf.DUMMYFUNCTION("""COMPUTED_VALUE"""),FALSE)</f>
        <v>0</v>
      </c>
      <c r="E1471" s="35" t="str">
        <f>IFERROR(__xludf.DUMMYFUNCTION("""COMPUTED_VALUE"""),"Easy")</f>
        <v>Easy</v>
      </c>
      <c r="F1471" s="35">
        <f>IFERROR(__xludf.DUMMYFUNCTION("""COMPUTED_VALUE"""),2150.0)</f>
        <v>2150</v>
      </c>
      <c r="G1471" s="35">
        <f>IFERROR(__xludf.DUMMYFUNCTION("""COMPUTED_VALUE"""),169.0)</f>
        <v>169</v>
      </c>
      <c r="H1471" s="35" t="str">
        <f>IFERROR(__xludf.DUMMYFUNCTION("""COMPUTED_VALUE"""),"Algorithms")</f>
        <v>Algorithms</v>
      </c>
      <c r="I1471" s="35">
        <f>IFERROR(__xludf.DUMMYFUNCTION("""COMPUTED_VALUE"""),0.883)</f>
        <v>0.883</v>
      </c>
      <c r="J1471" s="35">
        <f>IFERROR(__xludf.DUMMYFUNCTION("""COMPUTED_VALUE"""),1470.0)</f>
        <v>1470</v>
      </c>
      <c r="K1471" s="35" t="b">
        <f>IFERROR(__xludf.DUMMYFUNCTION("""COMPUTED_VALUE"""),FALSE)</f>
        <v>0</v>
      </c>
      <c r="L1471" s="35" t="str">
        <f>IFERROR(__xludf.DUMMYFUNCTION("""COMPUTED_VALUE"""),"Array;")</f>
        <v>Array;</v>
      </c>
      <c r="M1471" s="35" t="b">
        <f>IFERROR(__xludf.DUMMYFUNCTION("""COMPUTED_VALUE"""),FALSE)</f>
        <v>0</v>
      </c>
      <c r="N1471" s="35" t="b">
        <f>IFERROR(__xludf.DUMMYFUNCTION("""COMPUTED_VALUE"""),FALSE)</f>
        <v>0</v>
      </c>
      <c r="O1471" s="35">
        <f>IFERROR(__xludf.DUMMYFUNCTION("""COMPUTED_VALUE"""),88.3164537077379)</f>
        <v>88.31645371</v>
      </c>
      <c r="P1471" s="35">
        <f>IFERROR(__xludf.DUMMYFUNCTION("""COMPUTED_VALUE"""),297967.0)</f>
        <v>297967</v>
      </c>
      <c r="Q1471" s="35">
        <f>IFERROR(__xludf.DUMMYFUNCTION("""COMPUTED_VALUE"""),337386.0)</f>
        <v>337386</v>
      </c>
    </row>
    <row r="1472">
      <c r="A1472" s="35">
        <f>IFERROR(__xludf.DUMMYFUNCTION("""COMPUTED_VALUE"""),1581.0)</f>
        <v>1581</v>
      </c>
      <c r="B1472" s="35" t="str">
        <f>IFERROR(__xludf.DUMMYFUNCTION("""COMPUTED_VALUE"""),"The k Strongest Values in an Array")</f>
        <v>The k Strongest Values in an Array</v>
      </c>
      <c r="C1472" s="35" t="str">
        <f>IFERROR(__xludf.DUMMYFUNCTION("""COMPUTED_VALUE"""),"the-k-strongest-values-in-an-array")</f>
        <v>the-k-strongest-values-in-an-array</v>
      </c>
      <c r="D1472" s="35" t="b">
        <f>IFERROR(__xludf.DUMMYFUNCTION("""COMPUTED_VALUE"""),FALSE)</f>
        <v>0</v>
      </c>
      <c r="E1472" s="35" t="str">
        <f>IFERROR(__xludf.DUMMYFUNCTION("""COMPUTED_VALUE"""),"Medium")</f>
        <v>Medium</v>
      </c>
      <c r="F1472" s="35">
        <f>IFERROR(__xludf.DUMMYFUNCTION("""COMPUTED_VALUE"""),392.0)</f>
        <v>392</v>
      </c>
      <c r="G1472" s="35">
        <f>IFERROR(__xludf.DUMMYFUNCTION("""COMPUTED_VALUE"""),92.0)</f>
        <v>92</v>
      </c>
      <c r="H1472" s="35" t="str">
        <f>IFERROR(__xludf.DUMMYFUNCTION("""COMPUTED_VALUE"""),"Algorithms")</f>
        <v>Algorithms</v>
      </c>
      <c r="I1472" s="35">
        <f>IFERROR(__xludf.DUMMYFUNCTION("""COMPUTED_VALUE"""),0.597)</f>
        <v>0.597</v>
      </c>
      <c r="J1472" s="35">
        <f>IFERROR(__xludf.DUMMYFUNCTION("""COMPUTED_VALUE"""),1471.0)</f>
        <v>1471</v>
      </c>
      <c r="K1472" s="35" t="b">
        <f>IFERROR(__xludf.DUMMYFUNCTION("""COMPUTED_VALUE"""),FALSE)</f>
        <v>0</v>
      </c>
      <c r="L1472" s="35" t="str">
        <f>IFERROR(__xludf.DUMMYFUNCTION("""COMPUTED_VALUE"""),"Array;Two Pointers;Sorting;")</f>
        <v>Array;Two Pointers;Sorting;</v>
      </c>
      <c r="M1472" s="35" t="b">
        <f>IFERROR(__xludf.DUMMYFUNCTION("""COMPUTED_VALUE"""),FALSE)</f>
        <v>0</v>
      </c>
      <c r="N1472" s="35" t="b">
        <f>IFERROR(__xludf.DUMMYFUNCTION("""COMPUTED_VALUE"""),FALSE)</f>
        <v>0</v>
      </c>
      <c r="O1472" s="35">
        <f>IFERROR(__xludf.DUMMYFUNCTION("""COMPUTED_VALUE"""),59.693284449611)</f>
        <v>59.69328445</v>
      </c>
      <c r="P1472" s="35">
        <f>IFERROR(__xludf.DUMMYFUNCTION("""COMPUTED_VALUE"""),26702.0)</f>
        <v>26702</v>
      </c>
      <c r="Q1472" s="35">
        <f>IFERROR(__xludf.DUMMYFUNCTION("""COMPUTED_VALUE"""),44732.0)</f>
        <v>44732</v>
      </c>
    </row>
    <row r="1473">
      <c r="A1473" s="35">
        <f>IFERROR(__xludf.DUMMYFUNCTION("""COMPUTED_VALUE"""),1582.0)</f>
        <v>1582</v>
      </c>
      <c r="B1473" s="35" t="str">
        <f>IFERROR(__xludf.DUMMYFUNCTION("""COMPUTED_VALUE"""),"Design Browser History")</f>
        <v>Design Browser History</v>
      </c>
      <c r="C1473" s="35" t="str">
        <f>IFERROR(__xludf.DUMMYFUNCTION("""COMPUTED_VALUE"""),"design-browser-history")</f>
        <v>design-browser-history</v>
      </c>
      <c r="D1473" s="35" t="b">
        <f>IFERROR(__xludf.DUMMYFUNCTION("""COMPUTED_VALUE"""),FALSE)</f>
        <v>0</v>
      </c>
      <c r="E1473" s="35" t="str">
        <f>IFERROR(__xludf.DUMMYFUNCTION("""COMPUTED_VALUE"""),"Medium")</f>
        <v>Medium</v>
      </c>
      <c r="F1473" s="35">
        <f>IFERROR(__xludf.DUMMYFUNCTION("""COMPUTED_VALUE"""),1132.0)</f>
        <v>1132</v>
      </c>
      <c r="G1473" s="35">
        <f>IFERROR(__xludf.DUMMYFUNCTION("""COMPUTED_VALUE"""),99.0)</f>
        <v>99</v>
      </c>
      <c r="H1473" s="35" t="str">
        <f>IFERROR(__xludf.DUMMYFUNCTION("""COMPUTED_VALUE"""),"Algorithms")</f>
        <v>Algorithms</v>
      </c>
      <c r="I1473" s="35">
        <f>IFERROR(__xludf.DUMMYFUNCTION("""COMPUTED_VALUE"""),0.746)</f>
        <v>0.746</v>
      </c>
      <c r="J1473" s="35">
        <f>IFERROR(__xludf.DUMMYFUNCTION("""COMPUTED_VALUE"""),1472.0)</f>
        <v>1472</v>
      </c>
      <c r="K1473" s="35" t="b">
        <f>IFERROR(__xludf.DUMMYFUNCTION("""COMPUTED_VALUE"""),FALSE)</f>
        <v>0</v>
      </c>
      <c r="L1473" s="35" t="str">
        <f>IFERROR(__xludf.DUMMYFUNCTION("""COMPUTED_VALUE"""),"Array;Linked List;Stack;Design;Doubly-Linked List;Data Stream;")</f>
        <v>Array;Linked List;Stack;Design;Doubly-Linked List;Data Stream;</v>
      </c>
      <c r="M1473" s="35" t="b">
        <f>IFERROR(__xludf.DUMMYFUNCTION("""COMPUTED_VALUE"""),FALSE)</f>
        <v>0</v>
      </c>
      <c r="N1473" s="35" t="b">
        <f>IFERROR(__xludf.DUMMYFUNCTION("""COMPUTED_VALUE"""),FALSE)</f>
        <v>0</v>
      </c>
      <c r="O1473" s="35">
        <f>IFERROR(__xludf.DUMMYFUNCTION("""COMPUTED_VALUE"""),74.6437144525421)</f>
        <v>74.64371445</v>
      </c>
      <c r="P1473" s="35">
        <f>IFERROR(__xludf.DUMMYFUNCTION("""COMPUTED_VALUE"""),69028.0)</f>
        <v>69028</v>
      </c>
      <c r="Q1473" s="35">
        <f>IFERROR(__xludf.DUMMYFUNCTION("""COMPUTED_VALUE"""),92477.0)</f>
        <v>92477</v>
      </c>
    </row>
    <row r="1474">
      <c r="A1474" s="35">
        <f>IFERROR(__xludf.DUMMYFUNCTION("""COMPUTED_VALUE"""),1583.0)</f>
        <v>1583</v>
      </c>
      <c r="B1474" s="35" t="str">
        <f>IFERROR(__xludf.DUMMYFUNCTION("""COMPUTED_VALUE"""),"Paint House III")</f>
        <v>Paint House III</v>
      </c>
      <c r="C1474" s="35" t="str">
        <f>IFERROR(__xludf.DUMMYFUNCTION("""COMPUTED_VALUE"""),"paint-house-iii")</f>
        <v>paint-house-iii</v>
      </c>
      <c r="D1474" s="35" t="b">
        <f>IFERROR(__xludf.DUMMYFUNCTION("""COMPUTED_VALUE"""),FALSE)</f>
        <v>0</v>
      </c>
      <c r="E1474" s="35" t="str">
        <f>IFERROR(__xludf.DUMMYFUNCTION("""COMPUTED_VALUE"""),"Hard")</f>
        <v>Hard</v>
      </c>
      <c r="F1474" s="35">
        <f>IFERROR(__xludf.DUMMYFUNCTION("""COMPUTED_VALUE"""),539.0)</f>
        <v>539</v>
      </c>
      <c r="G1474" s="35">
        <f>IFERROR(__xludf.DUMMYFUNCTION("""COMPUTED_VALUE"""),28.0)</f>
        <v>28</v>
      </c>
      <c r="H1474" s="35" t="str">
        <f>IFERROR(__xludf.DUMMYFUNCTION("""COMPUTED_VALUE"""),"Algorithms")</f>
        <v>Algorithms</v>
      </c>
      <c r="I1474" s="35">
        <f>IFERROR(__xludf.DUMMYFUNCTION("""COMPUTED_VALUE"""),0.506)</f>
        <v>0.506</v>
      </c>
      <c r="J1474" s="35">
        <f>IFERROR(__xludf.DUMMYFUNCTION("""COMPUTED_VALUE"""),1473.0)</f>
        <v>1473</v>
      </c>
      <c r="K1474" s="35" t="b">
        <f>IFERROR(__xludf.DUMMYFUNCTION("""COMPUTED_VALUE"""),FALSE)</f>
        <v>0</v>
      </c>
      <c r="L1474" s="35" t="str">
        <f>IFERROR(__xludf.DUMMYFUNCTION("""COMPUTED_VALUE"""),"Array;Dynamic Programming;")</f>
        <v>Array;Dynamic Programming;</v>
      </c>
      <c r="M1474" s="35" t="b">
        <f>IFERROR(__xludf.DUMMYFUNCTION("""COMPUTED_VALUE"""),TRUE)</f>
        <v>1</v>
      </c>
      <c r="N1474" s="35" t="b">
        <f>IFERROR(__xludf.DUMMYFUNCTION("""COMPUTED_VALUE"""),FALSE)</f>
        <v>0</v>
      </c>
      <c r="O1474" s="35">
        <f>IFERROR(__xludf.DUMMYFUNCTION("""COMPUTED_VALUE"""),50.5854397685791)</f>
        <v>50.58543977</v>
      </c>
      <c r="P1474" s="35">
        <f>IFERROR(__xludf.DUMMYFUNCTION("""COMPUTED_VALUE"""),14689.0)</f>
        <v>14689</v>
      </c>
      <c r="Q1474" s="35">
        <f>IFERROR(__xludf.DUMMYFUNCTION("""COMPUTED_VALUE"""),29038.0)</f>
        <v>29038</v>
      </c>
    </row>
    <row r="1475">
      <c r="A1475" s="35">
        <f>IFERROR(__xludf.DUMMYFUNCTION("""COMPUTED_VALUE"""),1618.0)</f>
        <v>1618</v>
      </c>
      <c r="B1475" s="35" t="str">
        <f>IFERROR(__xludf.DUMMYFUNCTION("""COMPUTED_VALUE"""),"Delete N Nodes After M Nodes of a Linked List")</f>
        <v>Delete N Nodes After M Nodes of a Linked List</v>
      </c>
      <c r="C1475" s="35" t="str">
        <f>IFERROR(__xludf.DUMMYFUNCTION("""COMPUTED_VALUE"""),"delete-n-nodes-after-m-nodes-of-a-linked-list")</f>
        <v>delete-n-nodes-after-m-nodes-of-a-linked-list</v>
      </c>
      <c r="D1475" s="35" t="b">
        <f>IFERROR(__xludf.DUMMYFUNCTION("""COMPUTED_VALUE"""),TRUE)</f>
        <v>1</v>
      </c>
      <c r="E1475" s="35" t="str">
        <f>IFERROR(__xludf.DUMMYFUNCTION("""COMPUTED_VALUE"""),"Easy")</f>
        <v>Easy</v>
      </c>
      <c r="F1475" s="35">
        <f>IFERROR(__xludf.DUMMYFUNCTION("""COMPUTED_VALUE"""),275.0)</f>
        <v>275</v>
      </c>
      <c r="G1475" s="35">
        <f>IFERROR(__xludf.DUMMYFUNCTION("""COMPUTED_VALUE"""),8.0)</f>
        <v>8</v>
      </c>
      <c r="H1475" s="35" t="str">
        <f>IFERROR(__xludf.DUMMYFUNCTION("""COMPUTED_VALUE"""),"Algorithms")</f>
        <v>Algorithms</v>
      </c>
      <c r="I1475" s="35">
        <f>IFERROR(__xludf.DUMMYFUNCTION("""COMPUTED_VALUE"""),0.736)</f>
        <v>0.736</v>
      </c>
      <c r="J1475" s="35">
        <f>IFERROR(__xludf.DUMMYFUNCTION("""COMPUTED_VALUE"""),1474.0)</f>
        <v>1474</v>
      </c>
      <c r="K1475" s="35" t="b">
        <f>IFERROR(__xludf.DUMMYFUNCTION("""COMPUTED_VALUE"""),TRUE)</f>
        <v>1</v>
      </c>
      <c r="L1475" s="35" t="str">
        <f>IFERROR(__xludf.DUMMYFUNCTION("""COMPUTED_VALUE"""),"Linked List;")</f>
        <v>Linked List;</v>
      </c>
      <c r="M1475" s="35" t="b">
        <f>IFERROR(__xludf.DUMMYFUNCTION("""COMPUTED_VALUE"""),TRUE)</f>
        <v>1</v>
      </c>
      <c r="N1475" s="35" t="b">
        <f>IFERROR(__xludf.DUMMYFUNCTION("""COMPUTED_VALUE"""),FALSE)</f>
        <v>0</v>
      </c>
      <c r="O1475" s="35">
        <f>IFERROR(__xludf.DUMMYFUNCTION("""COMPUTED_VALUE"""),73.5653403511528)</f>
        <v>73.56534035</v>
      </c>
      <c r="P1475" s="35">
        <f>IFERROR(__xludf.DUMMYFUNCTION("""COMPUTED_VALUE"""),18729.0)</f>
        <v>18729</v>
      </c>
      <c r="Q1475" s="35">
        <f>IFERROR(__xludf.DUMMYFUNCTION("""COMPUTED_VALUE"""),25459.0)</f>
        <v>25459</v>
      </c>
    </row>
    <row r="1476">
      <c r="A1476" s="35">
        <f>IFERROR(__xludf.DUMMYFUNCTION("""COMPUTED_VALUE"""),1570.0)</f>
        <v>1570</v>
      </c>
      <c r="B1476" s="35" t="str">
        <f>IFERROR(__xludf.DUMMYFUNCTION("""COMPUTED_VALUE"""),"Final Prices With a Special Discount in a Shop")</f>
        <v>Final Prices With a Special Discount in a Shop</v>
      </c>
      <c r="C1476" s="35" t="str">
        <f>IFERROR(__xludf.DUMMYFUNCTION("""COMPUTED_VALUE"""),"final-prices-with-a-special-discount-in-a-shop")</f>
        <v>final-prices-with-a-special-discount-in-a-shop</v>
      </c>
      <c r="D1476" s="35" t="b">
        <f>IFERROR(__xludf.DUMMYFUNCTION("""COMPUTED_VALUE"""),FALSE)</f>
        <v>0</v>
      </c>
      <c r="E1476" s="35" t="str">
        <f>IFERROR(__xludf.DUMMYFUNCTION("""COMPUTED_VALUE"""),"Easy")</f>
        <v>Easy</v>
      </c>
      <c r="F1476" s="35">
        <f>IFERROR(__xludf.DUMMYFUNCTION("""COMPUTED_VALUE"""),968.0)</f>
        <v>968</v>
      </c>
      <c r="G1476" s="35">
        <f>IFERROR(__xludf.DUMMYFUNCTION("""COMPUTED_VALUE"""),64.0)</f>
        <v>64</v>
      </c>
      <c r="H1476" s="35" t="str">
        <f>IFERROR(__xludf.DUMMYFUNCTION("""COMPUTED_VALUE"""),"Algorithms")</f>
        <v>Algorithms</v>
      </c>
      <c r="I1476" s="35">
        <f>IFERROR(__xludf.DUMMYFUNCTION("""COMPUTED_VALUE"""),0.751)</f>
        <v>0.751</v>
      </c>
      <c r="J1476" s="35">
        <f>IFERROR(__xludf.DUMMYFUNCTION("""COMPUTED_VALUE"""),1475.0)</f>
        <v>1475</v>
      </c>
      <c r="K1476" s="35" t="b">
        <f>IFERROR(__xludf.DUMMYFUNCTION("""COMPUTED_VALUE"""),FALSE)</f>
        <v>0</v>
      </c>
      <c r="L1476" s="35" t="str">
        <f>IFERROR(__xludf.DUMMYFUNCTION("""COMPUTED_VALUE"""),"Array;Stack;Monotonic Stack;")</f>
        <v>Array;Stack;Monotonic Stack;</v>
      </c>
      <c r="M1476" s="35" t="b">
        <f>IFERROR(__xludf.DUMMYFUNCTION("""COMPUTED_VALUE"""),FALSE)</f>
        <v>0</v>
      </c>
      <c r="N1476" s="35" t="b">
        <f>IFERROR(__xludf.DUMMYFUNCTION("""COMPUTED_VALUE"""),FALSE)</f>
        <v>0</v>
      </c>
      <c r="O1476" s="35">
        <f>IFERROR(__xludf.DUMMYFUNCTION("""COMPUTED_VALUE"""),75.1192326808582)</f>
        <v>75.11923268</v>
      </c>
      <c r="P1476" s="35">
        <f>IFERROR(__xludf.DUMMYFUNCTION("""COMPUTED_VALUE"""),71031.0)</f>
        <v>71031</v>
      </c>
      <c r="Q1476" s="35">
        <f>IFERROR(__xludf.DUMMYFUNCTION("""COMPUTED_VALUE"""),94558.0)</f>
        <v>94558</v>
      </c>
    </row>
    <row r="1477">
      <c r="A1477" s="35">
        <f>IFERROR(__xludf.DUMMYFUNCTION("""COMPUTED_VALUE"""),1572.0)</f>
        <v>1572</v>
      </c>
      <c r="B1477" s="35" t="str">
        <f>IFERROR(__xludf.DUMMYFUNCTION("""COMPUTED_VALUE"""),"Subrectangle Queries")</f>
        <v>Subrectangle Queries</v>
      </c>
      <c r="C1477" s="35" t="str">
        <f>IFERROR(__xludf.DUMMYFUNCTION("""COMPUTED_VALUE"""),"subrectangle-queries")</f>
        <v>subrectangle-queries</v>
      </c>
      <c r="D1477" s="35" t="b">
        <f>IFERROR(__xludf.DUMMYFUNCTION("""COMPUTED_VALUE"""),FALSE)</f>
        <v>0</v>
      </c>
      <c r="E1477" s="35" t="str">
        <f>IFERROR(__xludf.DUMMYFUNCTION("""COMPUTED_VALUE"""),"Medium")</f>
        <v>Medium</v>
      </c>
      <c r="F1477" s="35">
        <f>IFERROR(__xludf.DUMMYFUNCTION("""COMPUTED_VALUE"""),355.0)</f>
        <v>355</v>
      </c>
      <c r="G1477" s="35">
        <f>IFERROR(__xludf.DUMMYFUNCTION("""COMPUTED_VALUE"""),942.0)</f>
        <v>942</v>
      </c>
      <c r="H1477" s="35" t="str">
        <f>IFERROR(__xludf.DUMMYFUNCTION("""COMPUTED_VALUE"""),"Algorithms")</f>
        <v>Algorithms</v>
      </c>
      <c r="I1477" s="35">
        <f>IFERROR(__xludf.DUMMYFUNCTION("""COMPUTED_VALUE"""),0.882)</f>
        <v>0.882</v>
      </c>
      <c r="J1477" s="35">
        <f>IFERROR(__xludf.DUMMYFUNCTION("""COMPUTED_VALUE"""),1476.0)</f>
        <v>1476</v>
      </c>
      <c r="K1477" s="35" t="b">
        <f>IFERROR(__xludf.DUMMYFUNCTION("""COMPUTED_VALUE"""),FALSE)</f>
        <v>0</v>
      </c>
      <c r="L1477" s="35" t="str">
        <f>IFERROR(__xludf.DUMMYFUNCTION("""COMPUTED_VALUE"""),"Array;Design;Matrix;")</f>
        <v>Array;Design;Matrix;</v>
      </c>
      <c r="M1477" s="35" t="b">
        <f>IFERROR(__xludf.DUMMYFUNCTION("""COMPUTED_VALUE"""),FALSE)</f>
        <v>0</v>
      </c>
      <c r="N1477" s="35" t="b">
        <f>IFERROR(__xludf.DUMMYFUNCTION("""COMPUTED_VALUE"""),FALSE)</f>
        <v>0</v>
      </c>
      <c r="O1477" s="35">
        <f>IFERROR(__xludf.DUMMYFUNCTION("""COMPUTED_VALUE"""),88.242488000526)</f>
        <v>88.242488</v>
      </c>
      <c r="P1477" s="35">
        <f>IFERROR(__xludf.DUMMYFUNCTION("""COMPUTED_VALUE"""),67104.0)</f>
        <v>67104</v>
      </c>
      <c r="Q1477" s="35">
        <f>IFERROR(__xludf.DUMMYFUNCTION("""COMPUTED_VALUE"""),76045.0)</f>
        <v>76045</v>
      </c>
    </row>
    <row r="1478">
      <c r="A1478" s="35">
        <f>IFERROR(__xludf.DUMMYFUNCTION("""COMPUTED_VALUE"""),1573.0)</f>
        <v>1573</v>
      </c>
      <c r="B1478" s="35" t="str">
        <f>IFERROR(__xludf.DUMMYFUNCTION("""COMPUTED_VALUE"""),"Find Two Non-overlapping Sub-arrays Each With Target Sum")</f>
        <v>Find Two Non-overlapping Sub-arrays Each With Target Sum</v>
      </c>
      <c r="C1478" s="35" t="str">
        <f>IFERROR(__xludf.DUMMYFUNCTION("""COMPUTED_VALUE"""),"find-two-non-overlapping-sub-arrays-each-with-target-sum")</f>
        <v>find-two-non-overlapping-sub-arrays-each-with-target-sum</v>
      </c>
      <c r="D1478" s="35" t="b">
        <f>IFERROR(__xludf.DUMMYFUNCTION("""COMPUTED_VALUE"""),FALSE)</f>
        <v>0</v>
      </c>
      <c r="E1478" s="35" t="str">
        <f>IFERROR(__xludf.DUMMYFUNCTION("""COMPUTED_VALUE"""),"Medium")</f>
        <v>Medium</v>
      </c>
      <c r="F1478" s="35">
        <f>IFERROR(__xludf.DUMMYFUNCTION("""COMPUTED_VALUE"""),1137.0)</f>
        <v>1137</v>
      </c>
      <c r="G1478" s="35">
        <f>IFERROR(__xludf.DUMMYFUNCTION("""COMPUTED_VALUE"""),57.0)</f>
        <v>57</v>
      </c>
      <c r="H1478" s="35" t="str">
        <f>IFERROR(__xludf.DUMMYFUNCTION("""COMPUTED_VALUE"""),"Algorithms")</f>
        <v>Algorithms</v>
      </c>
      <c r="I1478" s="35">
        <f>IFERROR(__xludf.DUMMYFUNCTION("""COMPUTED_VALUE"""),0.366)</f>
        <v>0.366</v>
      </c>
      <c r="J1478" s="35">
        <f>IFERROR(__xludf.DUMMYFUNCTION("""COMPUTED_VALUE"""),1477.0)</f>
        <v>1477</v>
      </c>
      <c r="K1478" s="35" t="b">
        <f>IFERROR(__xludf.DUMMYFUNCTION("""COMPUTED_VALUE"""),FALSE)</f>
        <v>0</v>
      </c>
      <c r="L1478" s="35" t="str">
        <f>IFERROR(__xludf.DUMMYFUNCTION("""COMPUTED_VALUE"""),"Array;Hash Table;Binary Search;Dynamic Programming;Sliding Window;")</f>
        <v>Array;Hash Table;Binary Search;Dynamic Programming;Sliding Window;</v>
      </c>
      <c r="M1478" s="35" t="b">
        <f>IFERROR(__xludf.DUMMYFUNCTION("""COMPUTED_VALUE"""),FALSE)</f>
        <v>0</v>
      </c>
      <c r="N1478" s="35" t="b">
        <f>IFERROR(__xludf.DUMMYFUNCTION("""COMPUTED_VALUE"""),FALSE)</f>
        <v>0</v>
      </c>
      <c r="O1478" s="35">
        <f>IFERROR(__xludf.DUMMYFUNCTION("""COMPUTED_VALUE"""),36.5824572414875)</f>
        <v>36.58245724</v>
      </c>
      <c r="P1478" s="35">
        <f>IFERROR(__xludf.DUMMYFUNCTION("""COMPUTED_VALUE"""),34971.0)</f>
        <v>34971</v>
      </c>
      <c r="Q1478" s="35">
        <f>IFERROR(__xludf.DUMMYFUNCTION("""COMPUTED_VALUE"""),95595.0)</f>
        <v>95595</v>
      </c>
    </row>
    <row r="1479">
      <c r="A1479" s="35">
        <f>IFERROR(__xludf.DUMMYFUNCTION("""COMPUTED_VALUE"""),1571.0)</f>
        <v>1571</v>
      </c>
      <c r="B1479" s="35" t="str">
        <f>IFERROR(__xludf.DUMMYFUNCTION("""COMPUTED_VALUE"""),"Allocate Mailboxes")</f>
        <v>Allocate Mailboxes</v>
      </c>
      <c r="C1479" s="35" t="str">
        <f>IFERROR(__xludf.DUMMYFUNCTION("""COMPUTED_VALUE"""),"allocate-mailboxes")</f>
        <v>allocate-mailboxes</v>
      </c>
      <c r="D1479" s="35" t="b">
        <f>IFERROR(__xludf.DUMMYFUNCTION("""COMPUTED_VALUE"""),FALSE)</f>
        <v>0</v>
      </c>
      <c r="E1479" s="35" t="str">
        <f>IFERROR(__xludf.DUMMYFUNCTION("""COMPUTED_VALUE"""),"Hard")</f>
        <v>Hard</v>
      </c>
      <c r="F1479" s="35">
        <f>IFERROR(__xludf.DUMMYFUNCTION("""COMPUTED_VALUE"""),669.0)</f>
        <v>669</v>
      </c>
      <c r="G1479" s="35">
        <f>IFERROR(__xludf.DUMMYFUNCTION("""COMPUTED_VALUE"""),12.0)</f>
        <v>12</v>
      </c>
      <c r="H1479" s="35" t="str">
        <f>IFERROR(__xludf.DUMMYFUNCTION("""COMPUTED_VALUE"""),"Algorithms")</f>
        <v>Algorithms</v>
      </c>
      <c r="I1479" s="35">
        <f>IFERROR(__xludf.DUMMYFUNCTION("""COMPUTED_VALUE"""),0.554)</f>
        <v>0.554</v>
      </c>
      <c r="J1479" s="35">
        <f>IFERROR(__xludf.DUMMYFUNCTION("""COMPUTED_VALUE"""),1478.0)</f>
        <v>1478</v>
      </c>
      <c r="K1479" s="35" t="b">
        <f>IFERROR(__xludf.DUMMYFUNCTION("""COMPUTED_VALUE"""),FALSE)</f>
        <v>0</v>
      </c>
      <c r="L1479" s="35" t="str">
        <f>IFERROR(__xludf.DUMMYFUNCTION("""COMPUTED_VALUE"""),"Array;Math;Dynamic Programming;Sorting;")</f>
        <v>Array;Math;Dynamic Programming;Sorting;</v>
      </c>
      <c r="M1479" s="35" t="b">
        <f>IFERROR(__xludf.DUMMYFUNCTION("""COMPUTED_VALUE"""),FALSE)</f>
        <v>0</v>
      </c>
      <c r="N1479" s="35" t="b">
        <f>IFERROR(__xludf.DUMMYFUNCTION("""COMPUTED_VALUE"""),FALSE)</f>
        <v>0</v>
      </c>
      <c r="O1479" s="35">
        <f>IFERROR(__xludf.DUMMYFUNCTION("""COMPUTED_VALUE"""),55.3948706360863)</f>
        <v>55.39487064</v>
      </c>
      <c r="P1479" s="35">
        <f>IFERROR(__xludf.DUMMYFUNCTION("""COMPUTED_VALUE"""),14709.0)</f>
        <v>14709</v>
      </c>
      <c r="Q1479" s="35">
        <f>IFERROR(__xludf.DUMMYFUNCTION("""COMPUTED_VALUE"""),26553.0)</f>
        <v>26553</v>
      </c>
    </row>
    <row r="1480">
      <c r="A1480" s="35">
        <f>IFERROR(__xludf.DUMMYFUNCTION("""COMPUTED_VALUE"""),1623.0)</f>
        <v>1623</v>
      </c>
      <c r="B1480" s="35" t="str">
        <f>IFERROR(__xludf.DUMMYFUNCTION("""COMPUTED_VALUE"""),"Sales by Day of the Week")</f>
        <v>Sales by Day of the Week</v>
      </c>
      <c r="C1480" s="35" t="str">
        <f>IFERROR(__xludf.DUMMYFUNCTION("""COMPUTED_VALUE"""),"sales-by-day-of-the-week")</f>
        <v>sales-by-day-of-the-week</v>
      </c>
      <c r="D1480" s="35" t="b">
        <f>IFERROR(__xludf.DUMMYFUNCTION("""COMPUTED_VALUE"""),TRUE)</f>
        <v>1</v>
      </c>
      <c r="E1480" s="35" t="str">
        <f>IFERROR(__xludf.DUMMYFUNCTION("""COMPUTED_VALUE"""),"Hard")</f>
        <v>Hard</v>
      </c>
      <c r="F1480" s="35">
        <f>IFERROR(__xludf.DUMMYFUNCTION("""COMPUTED_VALUE"""),92.0)</f>
        <v>92</v>
      </c>
      <c r="G1480" s="35">
        <f>IFERROR(__xludf.DUMMYFUNCTION("""COMPUTED_VALUE"""),33.0)</f>
        <v>33</v>
      </c>
      <c r="H1480" s="35" t="str">
        <f>IFERROR(__xludf.DUMMYFUNCTION("""COMPUTED_VALUE"""),"Database")</f>
        <v>Database</v>
      </c>
      <c r="I1480" s="35">
        <f>IFERROR(__xludf.DUMMYFUNCTION("""COMPUTED_VALUE"""),0.824)</f>
        <v>0.824</v>
      </c>
      <c r="J1480" s="35">
        <f>IFERROR(__xludf.DUMMYFUNCTION("""COMPUTED_VALUE"""),1479.0)</f>
        <v>1479</v>
      </c>
      <c r="K1480" s="35" t="b">
        <f>IFERROR(__xludf.DUMMYFUNCTION("""COMPUTED_VALUE"""),TRUE)</f>
        <v>1</v>
      </c>
      <c r="L1480" s="35" t="str">
        <f>IFERROR(__xludf.DUMMYFUNCTION("""COMPUTED_VALUE"""),"Database;")</f>
        <v>Database;</v>
      </c>
      <c r="M1480" s="35" t="b">
        <f>IFERROR(__xludf.DUMMYFUNCTION("""COMPUTED_VALUE"""),FALSE)</f>
        <v>0</v>
      </c>
      <c r="N1480" s="35" t="b">
        <f>IFERROR(__xludf.DUMMYFUNCTION("""COMPUTED_VALUE"""),FALSE)</f>
        <v>0</v>
      </c>
      <c r="O1480" s="35">
        <f>IFERROR(__xludf.DUMMYFUNCTION("""COMPUTED_VALUE"""),82.4126113776559)</f>
        <v>82.41261138</v>
      </c>
      <c r="P1480" s="35">
        <f>IFERROR(__xludf.DUMMYFUNCTION("""COMPUTED_VALUE"""),12024.0)</f>
        <v>12024</v>
      </c>
      <c r="Q1480" s="35">
        <f>IFERROR(__xludf.DUMMYFUNCTION("""COMPUTED_VALUE"""),14590.0)</f>
        <v>14590</v>
      </c>
    </row>
    <row r="1481">
      <c r="A1481" s="35">
        <f>IFERROR(__xludf.DUMMYFUNCTION("""COMPUTED_VALUE"""),1603.0)</f>
        <v>1603</v>
      </c>
      <c r="B1481" s="35" t="str">
        <f>IFERROR(__xludf.DUMMYFUNCTION("""COMPUTED_VALUE"""),"Running Sum of 1d Array")</f>
        <v>Running Sum of 1d Array</v>
      </c>
      <c r="C1481" s="35" t="str">
        <f>IFERROR(__xludf.DUMMYFUNCTION("""COMPUTED_VALUE"""),"running-sum-of-1d-array")</f>
        <v>running-sum-of-1d-array</v>
      </c>
      <c r="D1481" s="35" t="b">
        <f>IFERROR(__xludf.DUMMYFUNCTION("""COMPUTED_VALUE"""),FALSE)</f>
        <v>0</v>
      </c>
      <c r="E1481" s="35" t="str">
        <f>IFERROR(__xludf.DUMMYFUNCTION("""COMPUTED_VALUE"""),"Easy")</f>
        <v>Easy</v>
      </c>
      <c r="F1481" s="35">
        <f>IFERROR(__xludf.DUMMYFUNCTION("""COMPUTED_VALUE"""),2381.0)</f>
        <v>2381</v>
      </c>
      <c r="G1481" s="35">
        <f>IFERROR(__xludf.DUMMYFUNCTION("""COMPUTED_VALUE"""),176.0)</f>
        <v>176</v>
      </c>
      <c r="H1481" s="35" t="str">
        <f>IFERROR(__xludf.DUMMYFUNCTION("""COMPUTED_VALUE"""),"Algorithms")</f>
        <v>Algorithms</v>
      </c>
      <c r="I1481" s="35">
        <f>IFERROR(__xludf.DUMMYFUNCTION("""COMPUTED_VALUE"""),0.895)</f>
        <v>0.895</v>
      </c>
      <c r="J1481" s="35">
        <f>IFERROR(__xludf.DUMMYFUNCTION("""COMPUTED_VALUE"""),1480.0)</f>
        <v>1480</v>
      </c>
      <c r="K1481" s="35" t="b">
        <f>IFERROR(__xludf.DUMMYFUNCTION("""COMPUTED_VALUE"""),FALSE)</f>
        <v>0</v>
      </c>
      <c r="L1481" s="35" t="str">
        <f>IFERROR(__xludf.DUMMYFUNCTION("""COMPUTED_VALUE"""),"Array;Prefix Sum;")</f>
        <v>Array;Prefix Sum;</v>
      </c>
      <c r="M1481" s="35" t="b">
        <f>IFERROR(__xludf.DUMMYFUNCTION("""COMPUTED_VALUE"""),TRUE)</f>
        <v>1</v>
      </c>
      <c r="N1481" s="35" t="b">
        <f>IFERROR(__xludf.DUMMYFUNCTION("""COMPUTED_VALUE"""),FALSE)</f>
        <v>0</v>
      </c>
      <c r="O1481" s="35">
        <f>IFERROR(__xludf.DUMMYFUNCTION("""COMPUTED_VALUE"""),89.4973857955196)</f>
        <v>89.4973858</v>
      </c>
      <c r="P1481" s="35">
        <f>IFERROR(__xludf.DUMMYFUNCTION("""COMPUTED_VALUE"""),492461.0)</f>
        <v>492461</v>
      </c>
      <c r="Q1481" s="35">
        <f>IFERROR(__xludf.DUMMYFUNCTION("""COMPUTED_VALUE"""),550252.0)</f>
        <v>550252</v>
      </c>
    </row>
    <row r="1482">
      <c r="A1482" s="35">
        <f>IFERROR(__xludf.DUMMYFUNCTION("""COMPUTED_VALUE"""),1604.0)</f>
        <v>1604</v>
      </c>
      <c r="B1482" s="35" t="str">
        <f>IFERROR(__xludf.DUMMYFUNCTION("""COMPUTED_VALUE"""),"Least Number of Unique Integers after K Removals")</f>
        <v>Least Number of Unique Integers after K Removals</v>
      </c>
      <c r="C1482" s="35" t="str">
        <f>IFERROR(__xludf.DUMMYFUNCTION("""COMPUTED_VALUE"""),"least-number-of-unique-integers-after-k-removals")</f>
        <v>least-number-of-unique-integers-after-k-removals</v>
      </c>
      <c r="D1482" s="35" t="b">
        <f>IFERROR(__xludf.DUMMYFUNCTION("""COMPUTED_VALUE"""),FALSE)</f>
        <v>0</v>
      </c>
      <c r="E1482" s="35" t="str">
        <f>IFERROR(__xludf.DUMMYFUNCTION("""COMPUTED_VALUE"""),"Medium")</f>
        <v>Medium</v>
      </c>
      <c r="F1482" s="35">
        <f>IFERROR(__xludf.DUMMYFUNCTION("""COMPUTED_VALUE"""),821.0)</f>
        <v>821</v>
      </c>
      <c r="G1482" s="35">
        <f>IFERROR(__xludf.DUMMYFUNCTION("""COMPUTED_VALUE"""),62.0)</f>
        <v>62</v>
      </c>
      <c r="H1482" s="35" t="str">
        <f>IFERROR(__xludf.DUMMYFUNCTION("""COMPUTED_VALUE"""),"Algorithms")</f>
        <v>Algorithms</v>
      </c>
      <c r="I1482" s="35">
        <f>IFERROR(__xludf.DUMMYFUNCTION("""COMPUTED_VALUE"""),0.6)</f>
        <v>0.6</v>
      </c>
      <c r="J1482" s="35">
        <f>IFERROR(__xludf.DUMMYFUNCTION("""COMPUTED_VALUE"""),1481.0)</f>
        <v>1481</v>
      </c>
      <c r="K1482" s="35" t="b">
        <f>IFERROR(__xludf.DUMMYFUNCTION("""COMPUTED_VALUE"""),FALSE)</f>
        <v>0</v>
      </c>
      <c r="L1482" s="35" t="str">
        <f>IFERROR(__xludf.DUMMYFUNCTION("""COMPUTED_VALUE"""),"Array;Hash Table;Greedy;Sorting;Counting;")</f>
        <v>Array;Hash Table;Greedy;Sorting;Counting;</v>
      </c>
      <c r="M1482" s="35" t="b">
        <f>IFERROR(__xludf.DUMMYFUNCTION("""COMPUTED_VALUE"""),FALSE)</f>
        <v>0</v>
      </c>
      <c r="N1482" s="35" t="b">
        <f>IFERROR(__xludf.DUMMYFUNCTION("""COMPUTED_VALUE"""),FALSE)</f>
        <v>0</v>
      </c>
      <c r="O1482" s="35">
        <f>IFERROR(__xludf.DUMMYFUNCTION("""COMPUTED_VALUE"""),59.9998193755813)</f>
        <v>59.99981938</v>
      </c>
      <c r="P1482" s="35">
        <f>IFERROR(__xludf.DUMMYFUNCTION("""COMPUTED_VALUE"""),66436.0)</f>
        <v>66436</v>
      </c>
      <c r="Q1482" s="35">
        <f>IFERROR(__xludf.DUMMYFUNCTION("""COMPUTED_VALUE"""),110727.0)</f>
        <v>110727</v>
      </c>
    </row>
    <row r="1483">
      <c r="A1483" s="35">
        <f>IFERROR(__xludf.DUMMYFUNCTION("""COMPUTED_VALUE"""),1605.0)</f>
        <v>1605</v>
      </c>
      <c r="B1483" s="35" t="str">
        <f>IFERROR(__xludf.DUMMYFUNCTION("""COMPUTED_VALUE"""),"Minimum Number of Days to Make m Bouquets")</f>
        <v>Minimum Number of Days to Make m Bouquets</v>
      </c>
      <c r="C1483" s="35" t="str">
        <f>IFERROR(__xludf.DUMMYFUNCTION("""COMPUTED_VALUE"""),"minimum-number-of-days-to-make-m-bouquets")</f>
        <v>minimum-number-of-days-to-make-m-bouquets</v>
      </c>
      <c r="D1483" s="35" t="b">
        <f>IFERROR(__xludf.DUMMYFUNCTION("""COMPUTED_VALUE"""),FALSE)</f>
        <v>0</v>
      </c>
      <c r="E1483" s="35" t="str">
        <f>IFERROR(__xludf.DUMMYFUNCTION("""COMPUTED_VALUE"""),"Medium")</f>
        <v>Medium</v>
      </c>
      <c r="F1483" s="35">
        <f>IFERROR(__xludf.DUMMYFUNCTION("""COMPUTED_VALUE"""),1487.0)</f>
        <v>1487</v>
      </c>
      <c r="G1483" s="35">
        <f>IFERROR(__xludf.DUMMYFUNCTION("""COMPUTED_VALUE"""),37.0)</f>
        <v>37</v>
      </c>
      <c r="H1483" s="35" t="str">
        <f>IFERROR(__xludf.DUMMYFUNCTION("""COMPUTED_VALUE"""),"Algorithms")</f>
        <v>Algorithms</v>
      </c>
      <c r="I1483" s="35">
        <f>IFERROR(__xludf.DUMMYFUNCTION("""COMPUTED_VALUE"""),0.552)</f>
        <v>0.552</v>
      </c>
      <c r="J1483" s="35">
        <f>IFERROR(__xludf.DUMMYFUNCTION("""COMPUTED_VALUE"""),1482.0)</f>
        <v>1482</v>
      </c>
      <c r="K1483" s="35" t="b">
        <f>IFERROR(__xludf.DUMMYFUNCTION("""COMPUTED_VALUE"""),FALSE)</f>
        <v>0</v>
      </c>
      <c r="L1483" s="35" t="str">
        <f>IFERROR(__xludf.DUMMYFUNCTION("""COMPUTED_VALUE"""),"Array;Binary Search;")</f>
        <v>Array;Binary Search;</v>
      </c>
      <c r="M1483" s="35" t="b">
        <f>IFERROR(__xludf.DUMMYFUNCTION("""COMPUTED_VALUE"""),FALSE)</f>
        <v>0</v>
      </c>
      <c r="N1483" s="35" t="b">
        <f>IFERROR(__xludf.DUMMYFUNCTION("""COMPUTED_VALUE"""),FALSE)</f>
        <v>0</v>
      </c>
      <c r="O1483" s="35">
        <f>IFERROR(__xludf.DUMMYFUNCTION("""COMPUTED_VALUE"""),55.2298028883998)</f>
        <v>55.22980289</v>
      </c>
      <c r="P1483" s="35">
        <f>IFERROR(__xludf.DUMMYFUNCTION("""COMPUTED_VALUE"""),34379.0)</f>
        <v>34379</v>
      </c>
      <c r="Q1483" s="35">
        <f>IFERROR(__xludf.DUMMYFUNCTION("""COMPUTED_VALUE"""),62247.0)</f>
        <v>62247</v>
      </c>
    </row>
    <row r="1484">
      <c r="A1484" s="35">
        <f>IFERROR(__xludf.DUMMYFUNCTION("""COMPUTED_VALUE"""),1296.0)</f>
        <v>1296</v>
      </c>
      <c r="B1484" s="35" t="str">
        <f>IFERROR(__xludf.DUMMYFUNCTION("""COMPUTED_VALUE"""),"Kth Ancestor of a Tree Node")</f>
        <v>Kth Ancestor of a Tree Node</v>
      </c>
      <c r="C1484" s="35" t="str">
        <f>IFERROR(__xludf.DUMMYFUNCTION("""COMPUTED_VALUE"""),"kth-ancestor-of-a-tree-node")</f>
        <v>kth-ancestor-of-a-tree-node</v>
      </c>
      <c r="D1484" s="35" t="b">
        <f>IFERROR(__xludf.DUMMYFUNCTION("""COMPUTED_VALUE"""),FALSE)</f>
        <v>0</v>
      </c>
      <c r="E1484" s="35" t="str">
        <f>IFERROR(__xludf.DUMMYFUNCTION("""COMPUTED_VALUE"""),"Hard")</f>
        <v>Hard</v>
      </c>
      <c r="F1484" s="35">
        <f>IFERROR(__xludf.DUMMYFUNCTION("""COMPUTED_VALUE"""),926.0)</f>
        <v>926</v>
      </c>
      <c r="G1484" s="35">
        <f>IFERROR(__xludf.DUMMYFUNCTION("""COMPUTED_VALUE"""),80.0)</f>
        <v>80</v>
      </c>
      <c r="H1484" s="35" t="str">
        <f>IFERROR(__xludf.DUMMYFUNCTION("""COMPUTED_VALUE"""),"Algorithms")</f>
        <v>Algorithms</v>
      </c>
      <c r="I1484" s="35">
        <f>IFERROR(__xludf.DUMMYFUNCTION("""COMPUTED_VALUE"""),0.334)</f>
        <v>0.334</v>
      </c>
      <c r="J1484" s="35">
        <f>IFERROR(__xludf.DUMMYFUNCTION("""COMPUTED_VALUE"""),1483.0)</f>
        <v>1483</v>
      </c>
      <c r="K1484" s="35" t="b">
        <f>IFERROR(__xludf.DUMMYFUNCTION("""COMPUTED_VALUE"""),FALSE)</f>
        <v>0</v>
      </c>
      <c r="L1484" s="35" t="str">
        <f>IFERROR(__xludf.DUMMYFUNCTION("""COMPUTED_VALUE"""),"Binary Search;Dynamic Programming;Tree;Depth-First Search;Breadth-First Search;Design;")</f>
        <v>Binary Search;Dynamic Programming;Tree;Depth-First Search;Breadth-First Search;Design;</v>
      </c>
      <c r="M1484" s="35" t="b">
        <f>IFERROR(__xludf.DUMMYFUNCTION("""COMPUTED_VALUE"""),FALSE)</f>
        <v>0</v>
      </c>
      <c r="N1484" s="35" t="b">
        <f>IFERROR(__xludf.DUMMYFUNCTION("""COMPUTED_VALUE"""),FALSE)</f>
        <v>0</v>
      </c>
      <c r="O1484" s="35">
        <f>IFERROR(__xludf.DUMMYFUNCTION("""COMPUTED_VALUE"""),33.3896755721899)</f>
        <v>33.38967557</v>
      </c>
      <c r="P1484" s="35">
        <f>IFERROR(__xludf.DUMMYFUNCTION("""COMPUTED_VALUE"""),19359.0)</f>
        <v>19359</v>
      </c>
      <c r="Q1484" s="35">
        <f>IFERROR(__xludf.DUMMYFUNCTION("""COMPUTED_VALUE"""),57979.0)</f>
        <v>57979</v>
      </c>
    </row>
    <row r="1485">
      <c r="A1485" s="35">
        <f>IFERROR(__xludf.DUMMYFUNCTION("""COMPUTED_VALUE"""),1625.0)</f>
        <v>1625</v>
      </c>
      <c r="B1485" s="35" t="str">
        <f>IFERROR(__xludf.DUMMYFUNCTION("""COMPUTED_VALUE"""),"Group Sold Products By The Date")</f>
        <v>Group Sold Products By The Date</v>
      </c>
      <c r="C1485" s="35" t="str">
        <f>IFERROR(__xludf.DUMMYFUNCTION("""COMPUTED_VALUE"""),"group-sold-products-by-the-date")</f>
        <v>group-sold-products-by-the-date</v>
      </c>
      <c r="D1485" s="35" t="b">
        <f>IFERROR(__xludf.DUMMYFUNCTION("""COMPUTED_VALUE"""),TRUE)</f>
        <v>1</v>
      </c>
      <c r="E1485" s="35" t="str">
        <f>IFERROR(__xludf.DUMMYFUNCTION("""COMPUTED_VALUE"""),"Easy")</f>
        <v>Easy</v>
      </c>
      <c r="F1485" s="35">
        <f>IFERROR(__xludf.DUMMYFUNCTION("""COMPUTED_VALUE"""),202.0)</f>
        <v>202</v>
      </c>
      <c r="G1485" s="35">
        <f>IFERROR(__xludf.DUMMYFUNCTION("""COMPUTED_VALUE"""),13.0)</f>
        <v>13</v>
      </c>
      <c r="H1485" s="35" t="str">
        <f>IFERROR(__xludf.DUMMYFUNCTION("""COMPUTED_VALUE"""),"Database")</f>
        <v>Database</v>
      </c>
      <c r="I1485" s="35">
        <f>IFERROR(__xludf.DUMMYFUNCTION("""COMPUTED_VALUE"""),0.85)</f>
        <v>0.85</v>
      </c>
      <c r="J1485" s="35">
        <f>IFERROR(__xludf.DUMMYFUNCTION("""COMPUTED_VALUE"""),1484.0)</f>
        <v>1484</v>
      </c>
      <c r="K1485" s="35" t="b">
        <f>IFERROR(__xludf.DUMMYFUNCTION("""COMPUTED_VALUE"""),TRUE)</f>
        <v>1</v>
      </c>
      <c r="L1485" s="35" t="str">
        <f>IFERROR(__xludf.DUMMYFUNCTION("""COMPUTED_VALUE"""),"Database;")</f>
        <v>Database;</v>
      </c>
      <c r="M1485" s="35" t="b">
        <f>IFERROR(__xludf.DUMMYFUNCTION("""COMPUTED_VALUE"""),FALSE)</f>
        <v>0</v>
      </c>
      <c r="N1485" s="35" t="b">
        <f>IFERROR(__xludf.DUMMYFUNCTION("""COMPUTED_VALUE"""),FALSE)</f>
        <v>0</v>
      </c>
      <c r="O1485" s="35">
        <f>IFERROR(__xludf.DUMMYFUNCTION("""COMPUTED_VALUE"""),84.9832510578279)</f>
        <v>84.98325106</v>
      </c>
      <c r="P1485" s="35">
        <f>IFERROR(__xludf.DUMMYFUNCTION("""COMPUTED_VALUE"""),19280.0)</f>
        <v>19280</v>
      </c>
      <c r="Q1485" s="35">
        <f>IFERROR(__xludf.DUMMYFUNCTION("""COMPUTED_VALUE"""),22687.0)</f>
        <v>22687</v>
      </c>
    </row>
    <row r="1486">
      <c r="A1486" s="35">
        <f>IFERROR(__xludf.DUMMYFUNCTION("""COMPUTED_VALUE"""),1624.0)</f>
        <v>1624</v>
      </c>
      <c r="B1486" s="35" t="str">
        <f>IFERROR(__xludf.DUMMYFUNCTION("""COMPUTED_VALUE"""),"Clone Binary Tree With Random Pointer")</f>
        <v>Clone Binary Tree With Random Pointer</v>
      </c>
      <c r="C1486" s="35" t="str">
        <f>IFERROR(__xludf.DUMMYFUNCTION("""COMPUTED_VALUE"""),"clone-binary-tree-with-random-pointer")</f>
        <v>clone-binary-tree-with-random-pointer</v>
      </c>
      <c r="D1486" s="35" t="b">
        <f>IFERROR(__xludf.DUMMYFUNCTION("""COMPUTED_VALUE"""),TRUE)</f>
        <v>1</v>
      </c>
      <c r="E1486" s="35" t="str">
        <f>IFERROR(__xludf.DUMMYFUNCTION("""COMPUTED_VALUE"""),"Medium")</f>
        <v>Medium</v>
      </c>
      <c r="F1486" s="35">
        <f>IFERROR(__xludf.DUMMYFUNCTION("""COMPUTED_VALUE"""),270.0)</f>
        <v>270</v>
      </c>
      <c r="G1486" s="35">
        <f>IFERROR(__xludf.DUMMYFUNCTION("""COMPUTED_VALUE"""),43.0)</f>
        <v>43</v>
      </c>
      <c r="H1486" s="35" t="str">
        <f>IFERROR(__xludf.DUMMYFUNCTION("""COMPUTED_VALUE"""),"Algorithms")</f>
        <v>Algorithms</v>
      </c>
      <c r="I1486" s="35">
        <f>IFERROR(__xludf.DUMMYFUNCTION("""COMPUTED_VALUE"""),0.798)</f>
        <v>0.798</v>
      </c>
      <c r="J1486" s="35">
        <f>IFERROR(__xludf.DUMMYFUNCTION("""COMPUTED_VALUE"""),1485.0)</f>
        <v>1485</v>
      </c>
      <c r="K1486" s="35" t="b">
        <f>IFERROR(__xludf.DUMMYFUNCTION("""COMPUTED_VALUE"""),TRUE)</f>
        <v>1</v>
      </c>
      <c r="L1486" s="35" t="str">
        <f>IFERROR(__xludf.DUMMYFUNCTION("""COMPUTED_VALUE"""),"Hash Table;Tree;Depth-First Search;Breadth-First Search;Binary Tree;")</f>
        <v>Hash Table;Tree;Depth-First Search;Breadth-First Search;Binary Tree;</v>
      </c>
      <c r="M1486" s="35" t="b">
        <f>IFERROR(__xludf.DUMMYFUNCTION("""COMPUTED_VALUE"""),TRUE)</f>
        <v>1</v>
      </c>
      <c r="N1486" s="35" t="b">
        <f>IFERROR(__xludf.DUMMYFUNCTION("""COMPUTED_VALUE"""),FALSE)</f>
        <v>0</v>
      </c>
      <c r="O1486" s="35">
        <f>IFERROR(__xludf.DUMMYFUNCTION("""COMPUTED_VALUE"""),79.8434340816009)</f>
        <v>79.84343408</v>
      </c>
      <c r="P1486" s="35">
        <f>IFERROR(__xludf.DUMMYFUNCTION("""COMPUTED_VALUE"""),15401.0)</f>
        <v>15401</v>
      </c>
      <c r="Q1486" s="35">
        <f>IFERROR(__xludf.DUMMYFUNCTION("""COMPUTED_VALUE"""),19289.0)</f>
        <v>19289</v>
      </c>
    </row>
    <row r="1487">
      <c r="A1487" s="35">
        <f>IFERROR(__xludf.DUMMYFUNCTION("""COMPUTED_VALUE"""),1610.0)</f>
        <v>1610</v>
      </c>
      <c r="B1487" s="35" t="str">
        <f>IFERROR(__xludf.DUMMYFUNCTION("""COMPUTED_VALUE"""),"XOR Operation in an Array")</f>
        <v>XOR Operation in an Array</v>
      </c>
      <c r="C1487" s="35" t="str">
        <f>IFERROR(__xludf.DUMMYFUNCTION("""COMPUTED_VALUE"""),"xor-operation-in-an-array")</f>
        <v>xor-operation-in-an-array</v>
      </c>
      <c r="D1487" s="35" t="b">
        <f>IFERROR(__xludf.DUMMYFUNCTION("""COMPUTED_VALUE"""),FALSE)</f>
        <v>0</v>
      </c>
      <c r="E1487" s="35" t="str">
        <f>IFERROR(__xludf.DUMMYFUNCTION("""COMPUTED_VALUE"""),"Easy")</f>
        <v>Easy</v>
      </c>
      <c r="F1487" s="35">
        <f>IFERROR(__xludf.DUMMYFUNCTION("""COMPUTED_VALUE"""),766.0)</f>
        <v>766</v>
      </c>
      <c r="G1487" s="35">
        <f>IFERROR(__xludf.DUMMYFUNCTION("""COMPUTED_VALUE"""),280.0)</f>
        <v>280</v>
      </c>
      <c r="H1487" s="35" t="str">
        <f>IFERROR(__xludf.DUMMYFUNCTION("""COMPUTED_VALUE"""),"Algorithms")</f>
        <v>Algorithms</v>
      </c>
      <c r="I1487" s="35">
        <f>IFERROR(__xludf.DUMMYFUNCTION("""COMPUTED_VALUE"""),0.842)</f>
        <v>0.842</v>
      </c>
      <c r="J1487" s="35">
        <f>IFERROR(__xludf.DUMMYFUNCTION("""COMPUTED_VALUE"""),1486.0)</f>
        <v>1486</v>
      </c>
      <c r="K1487" s="35" t="b">
        <f>IFERROR(__xludf.DUMMYFUNCTION("""COMPUTED_VALUE"""),FALSE)</f>
        <v>0</v>
      </c>
      <c r="L1487" s="35" t="str">
        <f>IFERROR(__xludf.DUMMYFUNCTION("""COMPUTED_VALUE"""),"Math;Bit Manipulation;")</f>
        <v>Math;Bit Manipulation;</v>
      </c>
      <c r="M1487" s="35" t="b">
        <f>IFERROR(__xludf.DUMMYFUNCTION("""COMPUTED_VALUE"""),FALSE)</f>
        <v>0</v>
      </c>
      <c r="N1487" s="35" t="b">
        <f>IFERROR(__xludf.DUMMYFUNCTION("""COMPUTED_VALUE"""),FALSE)</f>
        <v>0</v>
      </c>
      <c r="O1487" s="35">
        <f>IFERROR(__xludf.DUMMYFUNCTION("""COMPUTED_VALUE"""),84.1616614805702)</f>
        <v>84.16166148</v>
      </c>
      <c r="P1487" s="35">
        <f>IFERROR(__xludf.DUMMYFUNCTION("""COMPUTED_VALUE"""),116302.0)</f>
        <v>116302</v>
      </c>
      <c r="Q1487" s="35">
        <f>IFERROR(__xludf.DUMMYFUNCTION("""COMPUTED_VALUE"""),138189.0)</f>
        <v>138189</v>
      </c>
    </row>
    <row r="1488">
      <c r="A1488" s="35">
        <f>IFERROR(__xludf.DUMMYFUNCTION("""COMPUTED_VALUE"""),1611.0)</f>
        <v>1611</v>
      </c>
      <c r="B1488" s="35" t="str">
        <f>IFERROR(__xludf.DUMMYFUNCTION("""COMPUTED_VALUE"""),"Making File Names Unique")</f>
        <v>Making File Names Unique</v>
      </c>
      <c r="C1488" s="35" t="str">
        <f>IFERROR(__xludf.DUMMYFUNCTION("""COMPUTED_VALUE"""),"making-file-names-unique")</f>
        <v>making-file-names-unique</v>
      </c>
      <c r="D1488" s="35" t="b">
        <f>IFERROR(__xludf.DUMMYFUNCTION("""COMPUTED_VALUE"""),FALSE)</f>
        <v>0</v>
      </c>
      <c r="E1488" s="35" t="str">
        <f>IFERROR(__xludf.DUMMYFUNCTION("""COMPUTED_VALUE"""),"Medium")</f>
        <v>Medium</v>
      </c>
      <c r="F1488" s="35">
        <f>IFERROR(__xludf.DUMMYFUNCTION("""COMPUTED_VALUE"""),315.0)</f>
        <v>315</v>
      </c>
      <c r="G1488" s="35">
        <f>IFERROR(__xludf.DUMMYFUNCTION("""COMPUTED_VALUE"""),486.0)</f>
        <v>486</v>
      </c>
      <c r="H1488" s="35" t="str">
        <f>IFERROR(__xludf.DUMMYFUNCTION("""COMPUTED_VALUE"""),"Algorithms")</f>
        <v>Algorithms</v>
      </c>
      <c r="I1488" s="35">
        <f>IFERROR(__xludf.DUMMYFUNCTION("""COMPUTED_VALUE"""),0.346)</f>
        <v>0.346</v>
      </c>
      <c r="J1488" s="35">
        <f>IFERROR(__xludf.DUMMYFUNCTION("""COMPUTED_VALUE"""),1487.0)</f>
        <v>1487</v>
      </c>
      <c r="K1488" s="35" t="b">
        <f>IFERROR(__xludf.DUMMYFUNCTION("""COMPUTED_VALUE"""),FALSE)</f>
        <v>0</v>
      </c>
      <c r="L1488" s="35" t="str">
        <f>IFERROR(__xludf.DUMMYFUNCTION("""COMPUTED_VALUE"""),"Array;Hash Table;String;")</f>
        <v>Array;Hash Table;String;</v>
      </c>
      <c r="M1488" s="35" t="b">
        <f>IFERROR(__xludf.DUMMYFUNCTION("""COMPUTED_VALUE"""),FALSE)</f>
        <v>0</v>
      </c>
      <c r="N1488" s="35" t="b">
        <f>IFERROR(__xludf.DUMMYFUNCTION("""COMPUTED_VALUE"""),FALSE)</f>
        <v>0</v>
      </c>
      <c r="O1488" s="35">
        <f>IFERROR(__xludf.DUMMYFUNCTION("""COMPUTED_VALUE"""),34.605322931842)</f>
        <v>34.60532293</v>
      </c>
      <c r="P1488" s="35">
        <f>IFERROR(__xludf.DUMMYFUNCTION("""COMPUTED_VALUE"""),22091.0)</f>
        <v>22091</v>
      </c>
      <c r="Q1488" s="35">
        <f>IFERROR(__xludf.DUMMYFUNCTION("""COMPUTED_VALUE"""),63837.0)</f>
        <v>63837</v>
      </c>
    </row>
    <row r="1489">
      <c r="A1489" s="35">
        <f>IFERROR(__xludf.DUMMYFUNCTION("""COMPUTED_VALUE"""),1612.0)</f>
        <v>1612</v>
      </c>
      <c r="B1489" s="35" t="str">
        <f>IFERROR(__xludf.DUMMYFUNCTION("""COMPUTED_VALUE"""),"Avoid Flood in The City")</f>
        <v>Avoid Flood in The City</v>
      </c>
      <c r="C1489" s="35" t="str">
        <f>IFERROR(__xludf.DUMMYFUNCTION("""COMPUTED_VALUE"""),"avoid-flood-in-the-city")</f>
        <v>avoid-flood-in-the-city</v>
      </c>
      <c r="D1489" s="35" t="b">
        <f>IFERROR(__xludf.DUMMYFUNCTION("""COMPUTED_VALUE"""),FALSE)</f>
        <v>0</v>
      </c>
      <c r="E1489" s="35" t="str">
        <f>IFERROR(__xludf.DUMMYFUNCTION("""COMPUTED_VALUE"""),"Medium")</f>
        <v>Medium</v>
      </c>
      <c r="F1489" s="35">
        <f>IFERROR(__xludf.DUMMYFUNCTION("""COMPUTED_VALUE"""),928.0)</f>
        <v>928</v>
      </c>
      <c r="G1489" s="35">
        <f>IFERROR(__xludf.DUMMYFUNCTION("""COMPUTED_VALUE"""),186.0)</f>
        <v>186</v>
      </c>
      <c r="H1489" s="35" t="str">
        <f>IFERROR(__xludf.DUMMYFUNCTION("""COMPUTED_VALUE"""),"Algorithms")</f>
        <v>Algorithms</v>
      </c>
      <c r="I1489" s="35">
        <f>IFERROR(__xludf.DUMMYFUNCTION("""COMPUTED_VALUE"""),0.253)</f>
        <v>0.253</v>
      </c>
      <c r="J1489" s="35">
        <f>IFERROR(__xludf.DUMMYFUNCTION("""COMPUTED_VALUE"""),1488.0)</f>
        <v>1488</v>
      </c>
      <c r="K1489" s="35" t="b">
        <f>IFERROR(__xludf.DUMMYFUNCTION("""COMPUTED_VALUE"""),FALSE)</f>
        <v>0</v>
      </c>
      <c r="L1489" s="35" t="str">
        <f>IFERROR(__xludf.DUMMYFUNCTION("""COMPUTED_VALUE"""),"Array;Hash Table;Binary Search;Greedy;Heap (Priority Queue);")</f>
        <v>Array;Hash Table;Binary Search;Greedy;Heap (Priority Queue);</v>
      </c>
      <c r="M1489" s="35" t="b">
        <f>IFERROR(__xludf.DUMMYFUNCTION("""COMPUTED_VALUE"""),FALSE)</f>
        <v>0</v>
      </c>
      <c r="N1489" s="35" t="b">
        <f>IFERROR(__xludf.DUMMYFUNCTION("""COMPUTED_VALUE"""),FALSE)</f>
        <v>0</v>
      </c>
      <c r="O1489" s="35">
        <f>IFERROR(__xludf.DUMMYFUNCTION("""COMPUTED_VALUE"""),25.2757831789249)</f>
        <v>25.27578318</v>
      </c>
      <c r="P1489" s="35">
        <f>IFERROR(__xludf.DUMMYFUNCTION("""COMPUTED_VALUE"""),22317.0)</f>
        <v>22317</v>
      </c>
      <c r="Q1489" s="35">
        <f>IFERROR(__xludf.DUMMYFUNCTION("""COMPUTED_VALUE"""),88294.0)</f>
        <v>88294</v>
      </c>
    </row>
    <row r="1490">
      <c r="A1490" s="35">
        <f>IFERROR(__xludf.DUMMYFUNCTION("""COMPUTED_VALUE"""),1613.0)</f>
        <v>1613</v>
      </c>
      <c r="B1490" s="35" t="str">
        <f>IFERROR(__xludf.DUMMYFUNCTION("""COMPUTED_VALUE"""),"Find Critical and Pseudo-Critical Edges in Minimum Spanning Tree")</f>
        <v>Find Critical and Pseudo-Critical Edges in Minimum Spanning Tree</v>
      </c>
      <c r="C1490" s="35" t="str">
        <f>IFERROR(__xludf.DUMMYFUNCTION("""COMPUTED_VALUE"""),"find-critical-and-pseudo-critical-edges-in-minimum-spanning-tree")</f>
        <v>find-critical-and-pseudo-critical-edges-in-minimum-spanning-tree</v>
      </c>
      <c r="D1490" s="35" t="b">
        <f>IFERROR(__xludf.DUMMYFUNCTION("""COMPUTED_VALUE"""),FALSE)</f>
        <v>0</v>
      </c>
      <c r="E1490" s="35" t="str">
        <f>IFERROR(__xludf.DUMMYFUNCTION("""COMPUTED_VALUE"""),"Hard")</f>
        <v>Hard</v>
      </c>
      <c r="F1490" s="35">
        <f>IFERROR(__xludf.DUMMYFUNCTION("""COMPUTED_VALUE"""),420.0)</f>
        <v>420</v>
      </c>
      <c r="G1490" s="35">
        <f>IFERROR(__xludf.DUMMYFUNCTION("""COMPUTED_VALUE"""),40.0)</f>
        <v>40</v>
      </c>
      <c r="H1490" s="35" t="str">
        <f>IFERROR(__xludf.DUMMYFUNCTION("""COMPUTED_VALUE"""),"Algorithms")</f>
        <v>Algorithms</v>
      </c>
      <c r="I1490" s="35">
        <f>IFERROR(__xludf.DUMMYFUNCTION("""COMPUTED_VALUE"""),0.527)</f>
        <v>0.527</v>
      </c>
      <c r="J1490" s="35">
        <f>IFERROR(__xludf.DUMMYFUNCTION("""COMPUTED_VALUE"""),1489.0)</f>
        <v>1489</v>
      </c>
      <c r="K1490" s="35" t="b">
        <f>IFERROR(__xludf.DUMMYFUNCTION("""COMPUTED_VALUE"""),FALSE)</f>
        <v>0</v>
      </c>
      <c r="L1490" s="35" t="str">
        <f>IFERROR(__xludf.DUMMYFUNCTION("""COMPUTED_VALUE"""),"Union Find;Graph;Sorting;Minimum Spanning Tree;Strongly Connected Component;")</f>
        <v>Union Find;Graph;Sorting;Minimum Spanning Tree;Strongly Connected Component;</v>
      </c>
      <c r="M1490" s="35" t="b">
        <f>IFERROR(__xludf.DUMMYFUNCTION("""COMPUTED_VALUE"""),FALSE)</f>
        <v>0</v>
      </c>
      <c r="N1490" s="35" t="b">
        <f>IFERROR(__xludf.DUMMYFUNCTION("""COMPUTED_VALUE"""),FALSE)</f>
        <v>0</v>
      </c>
      <c r="O1490" s="35">
        <f>IFERROR(__xludf.DUMMYFUNCTION("""COMPUTED_VALUE"""),52.6556046663285)</f>
        <v>52.65560467</v>
      </c>
      <c r="P1490" s="35">
        <f>IFERROR(__xludf.DUMMYFUNCTION("""COMPUTED_VALUE"""),7267.0)</f>
        <v>7267</v>
      </c>
      <c r="Q1490" s="35">
        <f>IFERROR(__xludf.DUMMYFUNCTION("""COMPUTED_VALUE"""),13801.0)</f>
        <v>13801</v>
      </c>
    </row>
    <row r="1491">
      <c r="A1491" s="35">
        <f>IFERROR(__xludf.DUMMYFUNCTION("""COMPUTED_VALUE"""),1634.0)</f>
        <v>1634</v>
      </c>
      <c r="B1491" s="35" t="str">
        <f>IFERROR(__xludf.DUMMYFUNCTION("""COMPUTED_VALUE"""),"Clone N-ary Tree")</f>
        <v>Clone N-ary Tree</v>
      </c>
      <c r="C1491" s="35" t="str">
        <f>IFERROR(__xludf.DUMMYFUNCTION("""COMPUTED_VALUE"""),"clone-n-ary-tree")</f>
        <v>clone-n-ary-tree</v>
      </c>
      <c r="D1491" s="35" t="b">
        <f>IFERROR(__xludf.DUMMYFUNCTION("""COMPUTED_VALUE"""),TRUE)</f>
        <v>1</v>
      </c>
      <c r="E1491" s="35" t="str">
        <f>IFERROR(__xludf.DUMMYFUNCTION("""COMPUTED_VALUE"""),"Medium")</f>
        <v>Medium</v>
      </c>
      <c r="F1491" s="35">
        <f>IFERROR(__xludf.DUMMYFUNCTION("""COMPUTED_VALUE"""),290.0)</f>
        <v>290</v>
      </c>
      <c r="G1491" s="35">
        <f>IFERROR(__xludf.DUMMYFUNCTION("""COMPUTED_VALUE"""),13.0)</f>
        <v>13</v>
      </c>
      <c r="H1491" s="35" t="str">
        <f>IFERROR(__xludf.DUMMYFUNCTION("""COMPUTED_VALUE"""),"Algorithms")</f>
        <v>Algorithms</v>
      </c>
      <c r="I1491" s="35">
        <f>IFERROR(__xludf.DUMMYFUNCTION("""COMPUTED_VALUE"""),0.836)</f>
        <v>0.836</v>
      </c>
      <c r="J1491" s="35">
        <f>IFERROR(__xludf.DUMMYFUNCTION("""COMPUTED_VALUE"""),1490.0)</f>
        <v>1490</v>
      </c>
      <c r="K1491" s="35" t="b">
        <f>IFERROR(__xludf.DUMMYFUNCTION("""COMPUTED_VALUE"""),TRUE)</f>
        <v>1</v>
      </c>
      <c r="L1491" s="35" t="str">
        <f>IFERROR(__xludf.DUMMYFUNCTION("""COMPUTED_VALUE"""),"Hash Table;Tree;Depth-First Search;Breadth-First Search;")</f>
        <v>Hash Table;Tree;Depth-First Search;Breadth-First Search;</v>
      </c>
      <c r="M1491" s="35" t="b">
        <f>IFERROR(__xludf.DUMMYFUNCTION("""COMPUTED_VALUE"""),TRUE)</f>
        <v>1</v>
      </c>
      <c r="N1491" s="35" t="b">
        <f>IFERROR(__xludf.DUMMYFUNCTION("""COMPUTED_VALUE"""),FALSE)</f>
        <v>0</v>
      </c>
      <c r="O1491" s="35">
        <f>IFERROR(__xludf.DUMMYFUNCTION("""COMPUTED_VALUE"""),83.6217976180276)</f>
        <v>83.62179762</v>
      </c>
      <c r="P1491" s="35">
        <f>IFERROR(__xludf.DUMMYFUNCTION("""COMPUTED_VALUE"""),19519.0)</f>
        <v>19519</v>
      </c>
      <c r="Q1491" s="35">
        <f>IFERROR(__xludf.DUMMYFUNCTION("""COMPUTED_VALUE"""),23342.0)</f>
        <v>23342</v>
      </c>
    </row>
    <row r="1492">
      <c r="A1492" s="35">
        <f>IFERROR(__xludf.DUMMYFUNCTION("""COMPUTED_VALUE"""),1584.0)</f>
        <v>1584</v>
      </c>
      <c r="B1492" s="35" t="str">
        <f>IFERROR(__xludf.DUMMYFUNCTION("""COMPUTED_VALUE"""),"Average Salary Excluding the Minimum and Maximum Salary")</f>
        <v>Average Salary Excluding the Minimum and Maximum Salary</v>
      </c>
      <c r="C1492" s="35" t="str">
        <f>IFERROR(__xludf.DUMMYFUNCTION("""COMPUTED_VALUE"""),"average-salary-excluding-the-minimum-and-maximum-salary")</f>
        <v>average-salary-excluding-the-minimum-and-maximum-salary</v>
      </c>
      <c r="D1492" s="35" t="b">
        <f>IFERROR(__xludf.DUMMYFUNCTION("""COMPUTED_VALUE"""),FALSE)</f>
        <v>0</v>
      </c>
      <c r="E1492" s="35" t="str">
        <f>IFERROR(__xludf.DUMMYFUNCTION("""COMPUTED_VALUE"""),"Easy")</f>
        <v>Easy</v>
      </c>
      <c r="F1492" s="35">
        <f>IFERROR(__xludf.DUMMYFUNCTION("""COMPUTED_VALUE"""),527.0)</f>
        <v>527</v>
      </c>
      <c r="G1492" s="35">
        <f>IFERROR(__xludf.DUMMYFUNCTION("""COMPUTED_VALUE"""),80.0)</f>
        <v>80</v>
      </c>
      <c r="H1492" s="35" t="str">
        <f>IFERROR(__xludf.DUMMYFUNCTION("""COMPUTED_VALUE"""),"Algorithms")</f>
        <v>Algorithms</v>
      </c>
      <c r="I1492" s="35">
        <f>IFERROR(__xludf.DUMMYFUNCTION("""COMPUTED_VALUE"""),0.664)</f>
        <v>0.664</v>
      </c>
      <c r="J1492" s="35">
        <f>IFERROR(__xludf.DUMMYFUNCTION("""COMPUTED_VALUE"""),1491.0)</f>
        <v>1491</v>
      </c>
      <c r="K1492" s="35" t="b">
        <f>IFERROR(__xludf.DUMMYFUNCTION("""COMPUTED_VALUE"""),FALSE)</f>
        <v>0</v>
      </c>
      <c r="L1492" s="35" t="str">
        <f>IFERROR(__xludf.DUMMYFUNCTION("""COMPUTED_VALUE"""),"Array;Sorting;")</f>
        <v>Array;Sorting;</v>
      </c>
      <c r="M1492" s="35" t="b">
        <f>IFERROR(__xludf.DUMMYFUNCTION("""COMPUTED_VALUE"""),FALSE)</f>
        <v>0</v>
      </c>
      <c r="N1492" s="35" t="b">
        <f>IFERROR(__xludf.DUMMYFUNCTION("""COMPUTED_VALUE"""),FALSE)</f>
        <v>0</v>
      </c>
      <c r="O1492" s="35">
        <f>IFERROR(__xludf.DUMMYFUNCTION("""COMPUTED_VALUE"""),66.4083731178847)</f>
        <v>66.40837312</v>
      </c>
      <c r="P1492" s="35">
        <f>IFERROR(__xludf.DUMMYFUNCTION("""COMPUTED_VALUE"""),72311.0)</f>
        <v>72311</v>
      </c>
      <c r="Q1492" s="35">
        <f>IFERROR(__xludf.DUMMYFUNCTION("""COMPUTED_VALUE"""),108893.0)</f>
        <v>108893</v>
      </c>
    </row>
    <row r="1493">
      <c r="A1493" s="35">
        <f>IFERROR(__xludf.DUMMYFUNCTION("""COMPUTED_VALUE"""),1585.0)</f>
        <v>1585</v>
      </c>
      <c r="B1493" s="35" t="str">
        <f>IFERROR(__xludf.DUMMYFUNCTION("""COMPUTED_VALUE"""),"The kth Factor of n")</f>
        <v>The kth Factor of n</v>
      </c>
      <c r="C1493" s="35" t="str">
        <f>IFERROR(__xludf.DUMMYFUNCTION("""COMPUTED_VALUE"""),"the-kth-factor-of-n")</f>
        <v>the-kth-factor-of-n</v>
      </c>
      <c r="D1493" s="35" t="b">
        <f>IFERROR(__xludf.DUMMYFUNCTION("""COMPUTED_VALUE"""),FALSE)</f>
        <v>0</v>
      </c>
      <c r="E1493" s="35" t="str">
        <f>IFERROR(__xludf.DUMMYFUNCTION("""COMPUTED_VALUE"""),"Medium")</f>
        <v>Medium</v>
      </c>
      <c r="F1493" s="35">
        <f>IFERROR(__xludf.DUMMYFUNCTION("""COMPUTED_VALUE"""),672.0)</f>
        <v>672</v>
      </c>
      <c r="G1493" s="35">
        <f>IFERROR(__xludf.DUMMYFUNCTION("""COMPUTED_VALUE"""),195.0)</f>
        <v>195</v>
      </c>
      <c r="H1493" s="35" t="str">
        <f>IFERROR(__xludf.DUMMYFUNCTION("""COMPUTED_VALUE"""),"Algorithms")</f>
        <v>Algorithms</v>
      </c>
      <c r="I1493" s="35">
        <f>IFERROR(__xludf.DUMMYFUNCTION("""COMPUTED_VALUE"""),0.621)</f>
        <v>0.621</v>
      </c>
      <c r="J1493" s="35">
        <f>IFERROR(__xludf.DUMMYFUNCTION("""COMPUTED_VALUE"""),1492.0)</f>
        <v>1492</v>
      </c>
      <c r="K1493" s="35" t="b">
        <f>IFERROR(__xludf.DUMMYFUNCTION("""COMPUTED_VALUE"""),FALSE)</f>
        <v>0</v>
      </c>
      <c r="L1493" s="35" t="str">
        <f>IFERROR(__xludf.DUMMYFUNCTION("""COMPUTED_VALUE"""),"Math;")</f>
        <v>Math;</v>
      </c>
      <c r="M1493" s="35" t="b">
        <f>IFERROR(__xludf.DUMMYFUNCTION("""COMPUTED_VALUE"""),TRUE)</f>
        <v>1</v>
      </c>
      <c r="N1493" s="35" t="b">
        <f>IFERROR(__xludf.DUMMYFUNCTION("""COMPUTED_VALUE"""),FALSE)</f>
        <v>0</v>
      </c>
      <c r="O1493" s="35">
        <f>IFERROR(__xludf.DUMMYFUNCTION("""COMPUTED_VALUE"""),62.0887704812866)</f>
        <v>62.08877048</v>
      </c>
      <c r="P1493" s="35">
        <f>IFERROR(__xludf.DUMMYFUNCTION("""COMPUTED_VALUE"""),82266.0)</f>
        <v>82266</v>
      </c>
      <c r="Q1493" s="35">
        <f>IFERROR(__xludf.DUMMYFUNCTION("""COMPUTED_VALUE"""),132486.0)</f>
        <v>132486</v>
      </c>
    </row>
    <row r="1494">
      <c r="A1494" s="35">
        <f>IFERROR(__xludf.DUMMYFUNCTION("""COMPUTED_VALUE"""),1586.0)</f>
        <v>1586</v>
      </c>
      <c r="B1494" s="35" t="str">
        <f>IFERROR(__xludf.DUMMYFUNCTION("""COMPUTED_VALUE"""),"Longest Subarray of 1's After Deleting One Element")</f>
        <v>Longest Subarray of 1's After Deleting One Element</v>
      </c>
      <c r="C1494" s="35" t="str">
        <f>IFERROR(__xludf.DUMMYFUNCTION("""COMPUTED_VALUE"""),"longest-subarray-of-1s-after-deleting-one-element")</f>
        <v>longest-subarray-of-1s-after-deleting-one-element</v>
      </c>
      <c r="D1494" s="35" t="b">
        <f>IFERROR(__xludf.DUMMYFUNCTION("""COMPUTED_VALUE"""),FALSE)</f>
        <v>0</v>
      </c>
      <c r="E1494" s="35" t="str">
        <f>IFERROR(__xludf.DUMMYFUNCTION("""COMPUTED_VALUE"""),"Medium")</f>
        <v>Medium</v>
      </c>
      <c r="F1494" s="35">
        <f>IFERROR(__xludf.DUMMYFUNCTION("""COMPUTED_VALUE"""),810.0)</f>
        <v>810</v>
      </c>
      <c r="G1494" s="35">
        <f>IFERROR(__xludf.DUMMYFUNCTION("""COMPUTED_VALUE"""),19.0)</f>
        <v>19</v>
      </c>
      <c r="H1494" s="35" t="str">
        <f>IFERROR(__xludf.DUMMYFUNCTION("""COMPUTED_VALUE"""),"Algorithms")</f>
        <v>Algorithms</v>
      </c>
      <c r="I1494" s="35">
        <f>IFERROR(__xludf.DUMMYFUNCTION("""COMPUTED_VALUE"""),0.6)</f>
        <v>0.6</v>
      </c>
      <c r="J1494" s="35">
        <f>IFERROR(__xludf.DUMMYFUNCTION("""COMPUTED_VALUE"""),1493.0)</f>
        <v>1493</v>
      </c>
      <c r="K1494" s="35" t="b">
        <f>IFERROR(__xludf.DUMMYFUNCTION("""COMPUTED_VALUE"""),FALSE)</f>
        <v>0</v>
      </c>
      <c r="L1494" s="35" t="str">
        <f>IFERROR(__xludf.DUMMYFUNCTION("""COMPUTED_VALUE"""),"Math;Dynamic Programming;Sliding Window;")</f>
        <v>Math;Dynamic Programming;Sliding Window;</v>
      </c>
      <c r="M1494" s="35" t="b">
        <f>IFERROR(__xludf.DUMMYFUNCTION("""COMPUTED_VALUE"""),FALSE)</f>
        <v>0</v>
      </c>
      <c r="N1494" s="35" t="b">
        <f>IFERROR(__xludf.DUMMYFUNCTION("""COMPUTED_VALUE"""),FALSE)</f>
        <v>0</v>
      </c>
      <c r="O1494" s="35">
        <f>IFERROR(__xludf.DUMMYFUNCTION("""COMPUTED_VALUE"""),60.0260479475182)</f>
        <v>60.02604795</v>
      </c>
      <c r="P1494" s="35">
        <f>IFERROR(__xludf.DUMMYFUNCTION("""COMPUTED_VALUE"""),37332.0)</f>
        <v>37332</v>
      </c>
      <c r="Q1494" s="35">
        <f>IFERROR(__xludf.DUMMYFUNCTION("""COMPUTED_VALUE"""),62193.0)</f>
        <v>62193</v>
      </c>
    </row>
    <row r="1495">
      <c r="A1495" s="35">
        <f>IFERROR(__xludf.DUMMYFUNCTION("""COMPUTED_VALUE"""),1587.0)</f>
        <v>1587</v>
      </c>
      <c r="B1495" s="35" t="str">
        <f>IFERROR(__xludf.DUMMYFUNCTION("""COMPUTED_VALUE"""),"Parallel Courses II")</f>
        <v>Parallel Courses II</v>
      </c>
      <c r="C1495" s="35" t="str">
        <f>IFERROR(__xludf.DUMMYFUNCTION("""COMPUTED_VALUE"""),"parallel-courses-ii")</f>
        <v>parallel-courses-ii</v>
      </c>
      <c r="D1495" s="35" t="b">
        <f>IFERROR(__xludf.DUMMYFUNCTION("""COMPUTED_VALUE"""),FALSE)</f>
        <v>0</v>
      </c>
      <c r="E1495" s="35" t="str">
        <f>IFERROR(__xludf.DUMMYFUNCTION("""COMPUTED_VALUE"""),"Hard")</f>
        <v>Hard</v>
      </c>
      <c r="F1495" s="35">
        <f>IFERROR(__xludf.DUMMYFUNCTION("""COMPUTED_VALUE"""),570.0)</f>
        <v>570</v>
      </c>
      <c r="G1495" s="35">
        <f>IFERROR(__xludf.DUMMYFUNCTION("""COMPUTED_VALUE"""),44.0)</f>
        <v>44</v>
      </c>
      <c r="H1495" s="35" t="str">
        <f>IFERROR(__xludf.DUMMYFUNCTION("""COMPUTED_VALUE"""),"Algorithms")</f>
        <v>Algorithms</v>
      </c>
      <c r="I1495" s="35">
        <f>IFERROR(__xludf.DUMMYFUNCTION("""COMPUTED_VALUE"""),0.317)</f>
        <v>0.317</v>
      </c>
      <c r="J1495" s="35">
        <f>IFERROR(__xludf.DUMMYFUNCTION("""COMPUTED_VALUE"""),1494.0)</f>
        <v>1494</v>
      </c>
      <c r="K1495" s="35" t="b">
        <f>IFERROR(__xludf.DUMMYFUNCTION("""COMPUTED_VALUE"""),FALSE)</f>
        <v>0</v>
      </c>
      <c r="L1495" s="35" t="str">
        <f>IFERROR(__xludf.DUMMYFUNCTION("""COMPUTED_VALUE"""),"Dynamic Programming;Bit Manipulation;Graph;Bitmask;")</f>
        <v>Dynamic Programming;Bit Manipulation;Graph;Bitmask;</v>
      </c>
      <c r="M1495" s="35" t="b">
        <f>IFERROR(__xludf.DUMMYFUNCTION("""COMPUTED_VALUE"""),FALSE)</f>
        <v>0</v>
      </c>
      <c r="N1495" s="35" t="b">
        <f>IFERROR(__xludf.DUMMYFUNCTION("""COMPUTED_VALUE"""),FALSE)</f>
        <v>0</v>
      </c>
      <c r="O1495" s="35">
        <f>IFERROR(__xludf.DUMMYFUNCTION("""COMPUTED_VALUE"""),31.745982599003)</f>
        <v>31.7459826</v>
      </c>
      <c r="P1495" s="35">
        <f>IFERROR(__xludf.DUMMYFUNCTION("""COMPUTED_VALUE"""),10253.0)</f>
        <v>10253</v>
      </c>
      <c r="Q1495" s="35">
        <f>IFERROR(__xludf.DUMMYFUNCTION("""COMPUTED_VALUE"""),32297.0)</f>
        <v>32297</v>
      </c>
    </row>
    <row r="1496">
      <c r="A1496" s="35">
        <f>IFERROR(__xludf.DUMMYFUNCTION("""COMPUTED_VALUE"""),1639.0)</f>
        <v>1639</v>
      </c>
      <c r="B1496" s="35" t="str">
        <f>IFERROR(__xludf.DUMMYFUNCTION("""COMPUTED_VALUE"""),"Friendly Movies Streamed Last Month")</f>
        <v>Friendly Movies Streamed Last Month</v>
      </c>
      <c r="C1496" s="35" t="str">
        <f>IFERROR(__xludf.DUMMYFUNCTION("""COMPUTED_VALUE"""),"friendly-movies-streamed-last-month")</f>
        <v>friendly-movies-streamed-last-month</v>
      </c>
      <c r="D1496" s="35" t="b">
        <f>IFERROR(__xludf.DUMMYFUNCTION("""COMPUTED_VALUE"""),TRUE)</f>
        <v>1</v>
      </c>
      <c r="E1496" s="35" t="str">
        <f>IFERROR(__xludf.DUMMYFUNCTION("""COMPUTED_VALUE"""),"Easy")</f>
        <v>Easy</v>
      </c>
      <c r="F1496" s="35">
        <f>IFERROR(__xludf.DUMMYFUNCTION("""COMPUTED_VALUE"""),50.0)</f>
        <v>50</v>
      </c>
      <c r="G1496" s="35">
        <f>IFERROR(__xludf.DUMMYFUNCTION("""COMPUTED_VALUE"""),8.0)</f>
        <v>8</v>
      </c>
      <c r="H1496" s="35" t="str">
        <f>IFERROR(__xludf.DUMMYFUNCTION("""COMPUTED_VALUE"""),"Database")</f>
        <v>Database</v>
      </c>
      <c r="I1496" s="35">
        <f>IFERROR(__xludf.DUMMYFUNCTION("""COMPUTED_VALUE"""),0.504)</f>
        <v>0.504</v>
      </c>
      <c r="J1496" s="35">
        <f>IFERROR(__xludf.DUMMYFUNCTION("""COMPUTED_VALUE"""),1495.0)</f>
        <v>1495</v>
      </c>
      <c r="K1496" s="35" t="b">
        <f>IFERROR(__xludf.DUMMYFUNCTION("""COMPUTED_VALUE"""),TRUE)</f>
        <v>1</v>
      </c>
      <c r="L1496" s="35" t="str">
        <f>IFERROR(__xludf.DUMMYFUNCTION("""COMPUTED_VALUE"""),"Database;")</f>
        <v>Database;</v>
      </c>
      <c r="M1496" s="35" t="b">
        <f>IFERROR(__xludf.DUMMYFUNCTION("""COMPUTED_VALUE"""),FALSE)</f>
        <v>0</v>
      </c>
      <c r="N1496" s="35" t="b">
        <f>IFERROR(__xludf.DUMMYFUNCTION("""COMPUTED_VALUE"""),FALSE)</f>
        <v>0</v>
      </c>
      <c r="O1496" s="35">
        <f>IFERROR(__xludf.DUMMYFUNCTION("""COMPUTED_VALUE"""),50.4465194752305)</f>
        <v>50.44651948</v>
      </c>
      <c r="P1496" s="35">
        <f>IFERROR(__xludf.DUMMYFUNCTION("""COMPUTED_VALUE"""),17342.0)</f>
        <v>17342</v>
      </c>
      <c r="Q1496" s="35">
        <f>IFERROR(__xludf.DUMMYFUNCTION("""COMPUTED_VALUE"""),34377.0)</f>
        <v>34377</v>
      </c>
    </row>
    <row r="1497">
      <c r="A1497" s="35">
        <f>IFERROR(__xludf.DUMMYFUNCTION("""COMPUTED_VALUE"""),1619.0)</f>
        <v>1619</v>
      </c>
      <c r="B1497" s="35" t="str">
        <f>IFERROR(__xludf.DUMMYFUNCTION("""COMPUTED_VALUE"""),"Path Crossing")</f>
        <v>Path Crossing</v>
      </c>
      <c r="C1497" s="35" t="str">
        <f>IFERROR(__xludf.DUMMYFUNCTION("""COMPUTED_VALUE"""),"path-crossing")</f>
        <v>path-crossing</v>
      </c>
      <c r="D1497" s="35" t="b">
        <f>IFERROR(__xludf.DUMMYFUNCTION("""COMPUTED_VALUE"""),FALSE)</f>
        <v>0</v>
      </c>
      <c r="E1497" s="35" t="str">
        <f>IFERROR(__xludf.DUMMYFUNCTION("""COMPUTED_VALUE"""),"Easy")</f>
        <v>Easy</v>
      </c>
      <c r="F1497" s="35">
        <f>IFERROR(__xludf.DUMMYFUNCTION("""COMPUTED_VALUE"""),460.0)</f>
        <v>460</v>
      </c>
      <c r="G1497" s="35">
        <f>IFERROR(__xludf.DUMMYFUNCTION("""COMPUTED_VALUE"""),8.0)</f>
        <v>8</v>
      </c>
      <c r="H1497" s="35" t="str">
        <f>IFERROR(__xludf.DUMMYFUNCTION("""COMPUTED_VALUE"""),"Algorithms")</f>
        <v>Algorithms</v>
      </c>
      <c r="I1497" s="35">
        <f>IFERROR(__xludf.DUMMYFUNCTION("""COMPUTED_VALUE"""),0.557)</f>
        <v>0.557</v>
      </c>
      <c r="J1497" s="35">
        <f>IFERROR(__xludf.DUMMYFUNCTION("""COMPUTED_VALUE"""),1496.0)</f>
        <v>1496</v>
      </c>
      <c r="K1497" s="35" t="b">
        <f>IFERROR(__xludf.DUMMYFUNCTION("""COMPUTED_VALUE"""),FALSE)</f>
        <v>0</v>
      </c>
      <c r="L1497" s="35" t="str">
        <f>IFERROR(__xludf.DUMMYFUNCTION("""COMPUTED_VALUE"""),"Hash Table;String;")</f>
        <v>Hash Table;String;</v>
      </c>
      <c r="M1497" s="35" t="b">
        <f>IFERROR(__xludf.DUMMYFUNCTION("""COMPUTED_VALUE"""),FALSE)</f>
        <v>0</v>
      </c>
      <c r="N1497" s="35" t="b">
        <f>IFERROR(__xludf.DUMMYFUNCTION("""COMPUTED_VALUE"""),FALSE)</f>
        <v>0</v>
      </c>
      <c r="O1497" s="35">
        <f>IFERROR(__xludf.DUMMYFUNCTION("""COMPUTED_VALUE"""),55.7054076918071)</f>
        <v>55.70540769</v>
      </c>
      <c r="P1497" s="35">
        <f>IFERROR(__xludf.DUMMYFUNCTION("""COMPUTED_VALUE"""),34241.0)</f>
        <v>34241</v>
      </c>
      <c r="Q1497" s="35">
        <f>IFERROR(__xludf.DUMMYFUNCTION("""COMPUTED_VALUE"""),61468.0)</f>
        <v>61468</v>
      </c>
    </row>
    <row r="1498">
      <c r="A1498" s="35">
        <f>IFERROR(__xludf.DUMMYFUNCTION("""COMPUTED_VALUE"""),1620.0)</f>
        <v>1620</v>
      </c>
      <c r="B1498" s="35" t="str">
        <f>IFERROR(__xludf.DUMMYFUNCTION("""COMPUTED_VALUE"""),"Check If Array Pairs Are Divisible by k")</f>
        <v>Check If Array Pairs Are Divisible by k</v>
      </c>
      <c r="C1498" s="35" t="str">
        <f>IFERROR(__xludf.DUMMYFUNCTION("""COMPUTED_VALUE"""),"check-if-array-pairs-are-divisible-by-k")</f>
        <v>check-if-array-pairs-are-divisible-by-k</v>
      </c>
      <c r="D1498" s="35" t="b">
        <f>IFERROR(__xludf.DUMMYFUNCTION("""COMPUTED_VALUE"""),FALSE)</f>
        <v>0</v>
      </c>
      <c r="E1498" s="35" t="str">
        <f>IFERROR(__xludf.DUMMYFUNCTION("""COMPUTED_VALUE"""),"Medium")</f>
        <v>Medium</v>
      </c>
      <c r="F1498" s="35">
        <f>IFERROR(__xludf.DUMMYFUNCTION("""COMPUTED_VALUE"""),873.0)</f>
        <v>873</v>
      </c>
      <c r="G1498" s="35">
        <f>IFERROR(__xludf.DUMMYFUNCTION("""COMPUTED_VALUE"""),53.0)</f>
        <v>53</v>
      </c>
      <c r="H1498" s="35" t="str">
        <f>IFERROR(__xludf.DUMMYFUNCTION("""COMPUTED_VALUE"""),"Algorithms")</f>
        <v>Algorithms</v>
      </c>
      <c r="I1498" s="35">
        <f>IFERROR(__xludf.DUMMYFUNCTION("""COMPUTED_VALUE"""),0.405)</f>
        <v>0.405</v>
      </c>
      <c r="J1498" s="35">
        <f>IFERROR(__xludf.DUMMYFUNCTION("""COMPUTED_VALUE"""),1497.0)</f>
        <v>1497</v>
      </c>
      <c r="K1498" s="35" t="b">
        <f>IFERROR(__xludf.DUMMYFUNCTION("""COMPUTED_VALUE"""),FALSE)</f>
        <v>0</v>
      </c>
      <c r="L1498" s="35" t="str">
        <f>IFERROR(__xludf.DUMMYFUNCTION("""COMPUTED_VALUE"""),"Array;Hash Table;Counting;")</f>
        <v>Array;Hash Table;Counting;</v>
      </c>
      <c r="M1498" s="35" t="b">
        <f>IFERROR(__xludf.DUMMYFUNCTION("""COMPUTED_VALUE"""),FALSE)</f>
        <v>0</v>
      </c>
      <c r="N1498" s="35" t="b">
        <f>IFERROR(__xludf.DUMMYFUNCTION("""COMPUTED_VALUE"""),FALSE)</f>
        <v>0</v>
      </c>
      <c r="O1498" s="35">
        <f>IFERROR(__xludf.DUMMYFUNCTION("""COMPUTED_VALUE"""),40.4694770470171)</f>
        <v>40.46947705</v>
      </c>
      <c r="P1498" s="35">
        <f>IFERROR(__xludf.DUMMYFUNCTION("""COMPUTED_VALUE"""),29136.0)</f>
        <v>29136</v>
      </c>
      <c r="Q1498" s="35">
        <f>IFERROR(__xludf.DUMMYFUNCTION("""COMPUTED_VALUE"""),71995.0)</f>
        <v>71995</v>
      </c>
    </row>
    <row r="1499">
      <c r="A1499" s="35">
        <f>IFERROR(__xludf.DUMMYFUNCTION("""COMPUTED_VALUE"""),1621.0)</f>
        <v>1621</v>
      </c>
      <c r="B1499" s="35" t="str">
        <f>IFERROR(__xludf.DUMMYFUNCTION("""COMPUTED_VALUE"""),"Number of Subsequences That Satisfy the Given Sum Condition")</f>
        <v>Number of Subsequences That Satisfy the Given Sum Condition</v>
      </c>
      <c r="C1499" s="35" t="str">
        <f>IFERROR(__xludf.DUMMYFUNCTION("""COMPUTED_VALUE"""),"number-of-subsequences-that-satisfy-the-given-sum-condition")</f>
        <v>number-of-subsequences-that-satisfy-the-given-sum-condition</v>
      </c>
      <c r="D1499" s="35" t="b">
        <f>IFERROR(__xludf.DUMMYFUNCTION("""COMPUTED_VALUE"""),FALSE)</f>
        <v>0</v>
      </c>
      <c r="E1499" s="35" t="str">
        <f>IFERROR(__xludf.DUMMYFUNCTION("""COMPUTED_VALUE"""),"Medium")</f>
        <v>Medium</v>
      </c>
      <c r="F1499" s="35">
        <f>IFERROR(__xludf.DUMMYFUNCTION("""COMPUTED_VALUE"""),1038.0)</f>
        <v>1038</v>
      </c>
      <c r="G1499" s="35">
        <f>IFERROR(__xludf.DUMMYFUNCTION("""COMPUTED_VALUE"""),99.0)</f>
        <v>99</v>
      </c>
      <c r="H1499" s="35" t="str">
        <f>IFERROR(__xludf.DUMMYFUNCTION("""COMPUTED_VALUE"""),"Algorithms")</f>
        <v>Algorithms</v>
      </c>
      <c r="I1499" s="35">
        <f>IFERROR(__xludf.DUMMYFUNCTION("""COMPUTED_VALUE"""),0.392)</f>
        <v>0.392</v>
      </c>
      <c r="J1499" s="35">
        <f>IFERROR(__xludf.DUMMYFUNCTION("""COMPUTED_VALUE"""),1498.0)</f>
        <v>1498</v>
      </c>
      <c r="K1499" s="35" t="b">
        <f>IFERROR(__xludf.DUMMYFUNCTION("""COMPUTED_VALUE"""),FALSE)</f>
        <v>0</v>
      </c>
      <c r="L1499" s="35" t="str">
        <f>IFERROR(__xludf.DUMMYFUNCTION("""COMPUTED_VALUE"""),"Array;Two Pointers;Binary Search;Sorting;")</f>
        <v>Array;Two Pointers;Binary Search;Sorting;</v>
      </c>
      <c r="M1499" s="35" t="b">
        <f>IFERROR(__xludf.DUMMYFUNCTION("""COMPUTED_VALUE"""),FALSE)</f>
        <v>0</v>
      </c>
      <c r="N1499" s="35" t="b">
        <f>IFERROR(__xludf.DUMMYFUNCTION("""COMPUTED_VALUE"""),FALSE)</f>
        <v>0</v>
      </c>
      <c r="O1499" s="35">
        <f>IFERROR(__xludf.DUMMYFUNCTION("""COMPUTED_VALUE"""),39.1659852820932)</f>
        <v>39.16598528</v>
      </c>
      <c r="P1499" s="35">
        <f>IFERROR(__xludf.DUMMYFUNCTION("""COMPUTED_VALUE"""),26345.0)</f>
        <v>26345</v>
      </c>
      <c r="Q1499" s="35">
        <f>IFERROR(__xludf.DUMMYFUNCTION("""COMPUTED_VALUE"""),67265.0)</f>
        <v>67265</v>
      </c>
    </row>
    <row r="1500">
      <c r="A1500" s="35">
        <f>IFERROR(__xludf.DUMMYFUNCTION("""COMPUTED_VALUE"""),1622.0)</f>
        <v>1622</v>
      </c>
      <c r="B1500" s="35" t="str">
        <f>IFERROR(__xludf.DUMMYFUNCTION("""COMPUTED_VALUE"""),"Max Value of Equation")</f>
        <v>Max Value of Equation</v>
      </c>
      <c r="C1500" s="35" t="str">
        <f>IFERROR(__xludf.DUMMYFUNCTION("""COMPUTED_VALUE"""),"max-value-of-equation")</f>
        <v>max-value-of-equation</v>
      </c>
      <c r="D1500" s="35" t="b">
        <f>IFERROR(__xludf.DUMMYFUNCTION("""COMPUTED_VALUE"""),FALSE)</f>
        <v>0</v>
      </c>
      <c r="E1500" s="35" t="str">
        <f>IFERROR(__xludf.DUMMYFUNCTION("""COMPUTED_VALUE"""),"Hard")</f>
        <v>Hard</v>
      </c>
      <c r="F1500" s="35">
        <f>IFERROR(__xludf.DUMMYFUNCTION("""COMPUTED_VALUE"""),766.0)</f>
        <v>766</v>
      </c>
      <c r="G1500" s="35">
        <f>IFERROR(__xludf.DUMMYFUNCTION("""COMPUTED_VALUE"""),27.0)</f>
        <v>27</v>
      </c>
      <c r="H1500" s="35" t="str">
        <f>IFERROR(__xludf.DUMMYFUNCTION("""COMPUTED_VALUE"""),"Algorithms")</f>
        <v>Algorithms</v>
      </c>
      <c r="I1500" s="35">
        <f>IFERROR(__xludf.DUMMYFUNCTION("""COMPUTED_VALUE"""),0.469)</f>
        <v>0.469</v>
      </c>
      <c r="J1500" s="35">
        <f>IFERROR(__xludf.DUMMYFUNCTION("""COMPUTED_VALUE"""),1499.0)</f>
        <v>1499</v>
      </c>
      <c r="K1500" s="35" t="b">
        <f>IFERROR(__xludf.DUMMYFUNCTION("""COMPUTED_VALUE"""),FALSE)</f>
        <v>0</v>
      </c>
      <c r="L1500" s="35" t="str">
        <f>IFERROR(__xludf.DUMMYFUNCTION("""COMPUTED_VALUE"""),"Array;Queue;Sliding Window;Heap (Priority Queue);Monotonic Queue;")</f>
        <v>Array;Queue;Sliding Window;Heap (Priority Queue);Monotonic Queue;</v>
      </c>
      <c r="M1500" s="35" t="b">
        <f>IFERROR(__xludf.DUMMYFUNCTION("""COMPUTED_VALUE"""),FALSE)</f>
        <v>0</v>
      </c>
      <c r="N1500" s="35" t="b">
        <f>IFERROR(__xludf.DUMMYFUNCTION("""COMPUTED_VALUE"""),FALSE)</f>
        <v>0</v>
      </c>
      <c r="O1500" s="35">
        <f>IFERROR(__xludf.DUMMYFUNCTION("""COMPUTED_VALUE"""),46.8522727272727)</f>
        <v>46.85227273</v>
      </c>
      <c r="P1500" s="35">
        <f>IFERROR(__xludf.DUMMYFUNCTION("""COMPUTED_VALUE"""),28860.0)</f>
        <v>28860</v>
      </c>
      <c r="Q1500" s="35">
        <f>IFERROR(__xludf.DUMMYFUNCTION("""COMPUTED_VALUE"""),61598.0)</f>
        <v>61598</v>
      </c>
    </row>
    <row r="1501">
      <c r="A1501" s="35">
        <f>IFERROR(__xludf.DUMMYFUNCTION("""COMPUTED_VALUE"""),1640.0)</f>
        <v>1640</v>
      </c>
      <c r="B1501" s="35" t="str">
        <f>IFERROR(__xludf.DUMMYFUNCTION("""COMPUTED_VALUE"""),"Design a File Sharing System")</f>
        <v>Design a File Sharing System</v>
      </c>
      <c r="C1501" s="35" t="str">
        <f>IFERROR(__xludf.DUMMYFUNCTION("""COMPUTED_VALUE"""),"design-a-file-sharing-system")</f>
        <v>design-a-file-sharing-system</v>
      </c>
      <c r="D1501" s="35" t="b">
        <f>IFERROR(__xludf.DUMMYFUNCTION("""COMPUTED_VALUE"""),TRUE)</f>
        <v>1</v>
      </c>
      <c r="E1501" s="35" t="str">
        <f>IFERROR(__xludf.DUMMYFUNCTION("""COMPUTED_VALUE"""),"Medium")</f>
        <v>Medium</v>
      </c>
      <c r="F1501" s="35">
        <f>IFERROR(__xludf.DUMMYFUNCTION("""COMPUTED_VALUE"""),37.0)</f>
        <v>37</v>
      </c>
      <c r="G1501" s="35">
        <f>IFERROR(__xludf.DUMMYFUNCTION("""COMPUTED_VALUE"""),87.0)</f>
        <v>87</v>
      </c>
      <c r="H1501" s="35" t="str">
        <f>IFERROR(__xludf.DUMMYFUNCTION("""COMPUTED_VALUE"""),"Algorithms")</f>
        <v>Algorithms</v>
      </c>
      <c r="I1501" s="35">
        <f>IFERROR(__xludf.DUMMYFUNCTION("""COMPUTED_VALUE"""),0.451)</f>
        <v>0.451</v>
      </c>
      <c r="J1501" s="35">
        <f>IFERROR(__xludf.DUMMYFUNCTION("""COMPUTED_VALUE"""),1500.0)</f>
        <v>1500</v>
      </c>
      <c r="K1501" s="35" t="b">
        <f>IFERROR(__xludf.DUMMYFUNCTION("""COMPUTED_VALUE"""),TRUE)</f>
        <v>1</v>
      </c>
      <c r="L1501" s="35" t="str">
        <f>IFERROR(__xludf.DUMMYFUNCTION("""COMPUTED_VALUE"""),"Hash Table;Design;Heap (Priority Queue);Data Stream;")</f>
        <v>Hash Table;Design;Heap (Priority Queue);Data Stream;</v>
      </c>
      <c r="M1501" s="35" t="b">
        <f>IFERROR(__xludf.DUMMYFUNCTION("""COMPUTED_VALUE"""),FALSE)</f>
        <v>0</v>
      </c>
      <c r="N1501" s="35" t="b">
        <f>IFERROR(__xludf.DUMMYFUNCTION("""COMPUTED_VALUE"""),FALSE)</f>
        <v>0</v>
      </c>
      <c r="O1501" s="35">
        <f>IFERROR(__xludf.DUMMYFUNCTION("""COMPUTED_VALUE"""),45.0822315382134)</f>
        <v>45.08223154</v>
      </c>
      <c r="P1501" s="35">
        <f>IFERROR(__xludf.DUMMYFUNCTION("""COMPUTED_VALUE"""),2796.0)</f>
        <v>2796</v>
      </c>
      <c r="Q1501" s="35">
        <f>IFERROR(__xludf.DUMMYFUNCTION("""COMPUTED_VALUE"""),6202.0)</f>
        <v>6202</v>
      </c>
    </row>
    <row r="1502">
      <c r="A1502" s="35">
        <f>IFERROR(__xludf.DUMMYFUNCTION("""COMPUTED_VALUE"""),1641.0)</f>
        <v>1641</v>
      </c>
      <c r="B1502" s="35" t="str">
        <f>IFERROR(__xludf.DUMMYFUNCTION("""COMPUTED_VALUE"""),"Countries You Can Safely Invest In")</f>
        <v>Countries You Can Safely Invest In</v>
      </c>
      <c r="C1502" s="35" t="str">
        <f>IFERROR(__xludf.DUMMYFUNCTION("""COMPUTED_VALUE"""),"countries-you-can-safely-invest-in")</f>
        <v>countries-you-can-safely-invest-in</v>
      </c>
      <c r="D1502" s="35" t="b">
        <f>IFERROR(__xludf.DUMMYFUNCTION("""COMPUTED_VALUE"""),TRUE)</f>
        <v>1</v>
      </c>
      <c r="E1502" s="35" t="str">
        <f>IFERROR(__xludf.DUMMYFUNCTION("""COMPUTED_VALUE"""),"Medium")</f>
        <v>Medium</v>
      </c>
      <c r="F1502" s="35">
        <f>IFERROR(__xludf.DUMMYFUNCTION("""COMPUTED_VALUE"""),147.0)</f>
        <v>147</v>
      </c>
      <c r="G1502" s="35">
        <f>IFERROR(__xludf.DUMMYFUNCTION("""COMPUTED_VALUE"""),19.0)</f>
        <v>19</v>
      </c>
      <c r="H1502" s="35" t="str">
        <f>IFERROR(__xludf.DUMMYFUNCTION("""COMPUTED_VALUE"""),"Database")</f>
        <v>Database</v>
      </c>
      <c r="I1502" s="35">
        <f>IFERROR(__xludf.DUMMYFUNCTION("""COMPUTED_VALUE"""),0.583)</f>
        <v>0.583</v>
      </c>
      <c r="J1502" s="35">
        <f>IFERROR(__xludf.DUMMYFUNCTION("""COMPUTED_VALUE"""),1501.0)</f>
        <v>1501</v>
      </c>
      <c r="K1502" s="35" t="b">
        <f>IFERROR(__xludf.DUMMYFUNCTION("""COMPUTED_VALUE"""),TRUE)</f>
        <v>1</v>
      </c>
      <c r="L1502" s="35" t="str">
        <f>IFERROR(__xludf.DUMMYFUNCTION("""COMPUTED_VALUE"""),"Database;")</f>
        <v>Database;</v>
      </c>
      <c r="M1502" s="35" t="b">
        <f>IFERROR(__xludf.DUMMYFUNCTION("""COMPUTED_VALUE"""),FALSE)</f>
        <v>0</v>
      </c>
      <c r="N1502" s="35" t="b">
        <f>IFERROR(__xludf.DUMMYFUNCTION("""COMPUTED_VALUE"""),FALSE)</f>
        <v>0</v>
      </c>
      <c r="O1502" s="35">
        <f>IFERROR(__xludf.DUMMYFUNCTION("""COMPUTED_VALUE"""),58.273466487724)</f>
        <v>58.27346649</v>
      </c>
      <c r="P1502" s="35">
        <f>IFERROR(__xludf.DUMMYFUNCTION("""COMPUTED_VALUE"""),14762.0)</f>
        <v>14762</v>
      </c>
      <c r="Q1502" s="35">
        <f>IFERROR(__xludf.DUMMYFUNCTION("""COMPUTED_VALUE"""),25333.0)</f>
        <v>25333</v>
      </c>
    </row>
    <row r="1503">
      <c r="A1503" s="35">
        <f>IFERROR(__xludf.DUMMYFUNCTION("""COMPUTED_VALUE"""),1626.0)</f>
        <v>1626</v>
      </c>
      <c r="B1503" s="35" t="str">
        <f>IFERROR(__xludf.DUMMYFUNCTION("""COMPUTED_VALUE"""),"Can Make Arithmetic Progression From Sequence")</f>
        <v>Can Make Arithmetic Progression From Sequence</v>
      </c>
      <c r="C1503" s="35" t="str">
        <f>IFERROR(__xludf.DUMMYFUNCTION("""COMPUTED_VALUE"""),"can-make-arithmetic-progression-from-sequence")</f>
        <v>can-make-arithmetic-progression-from-sequence</v>
      </c>
      <c r="D1503" s="35" t="b">
        <f>IFERROR(__xludf.DUMMYFUNCTION("""COMPUTED_VALUE"""),FALSE)</f>
        <v>0</v>
      </c>
      <c r="E1503" s="35" t="str">
        <f>IFERROR(__xludf.DUMMYFUNCTION("""COMPUTED_VALUE"""),"Easy")</f>
        <v>Easy</v>
      </c>
      <c r="F1503" s="35">
        <f>IFERROR(__xludf.DUMMYFUNCTION("""COMPUTED_VALUE"""),587.0)</f>
        <v>587</v>
      </c>
      <c r="G1503" s="35">
        <f>IFERROR(__xludf.DUMMYFUNCTION("""COMPUTED_VALUE"""),38.0)</f>
        <v>38</v>
      </c>
      <c r="H1503" s="35" t="str">
        <f>IFERROR(__xludf.DUMMYFUNCTION("""COMPUTED_VALUE"""),"Algorithms")</f>
        <v>Algorithms</v>
      </c>
      <c r="I1503" s="35">
        <f>IFERROR(__xludf.DUMMYFUNCTION("""COMPUTED_VALUE"""),0.704)</f>
        <v>0.704</v>
      </c>
      <c r="J1503" s="35">
        <f>IFERROR(__xludf.DUMMYFUNCTION("""COMPUTED_VALUE"""),1502.0)</f>
        <v>1502</v>
      </c>
      <c r="K1503" s="35" t="b">
        <f>IFERROR(__xludf.DUMMYFUNCTION("""COMPUTED_VALUE"""),FALSE)</f>
        <v>0</v>
      </c>
      <c r="L1503" s="35" t="str">
        <f>IFERROR(__xludf.DUMMYFUNCTION("""COMPUTED_VALUE"""),"Array;Sorting;")</f>
        <v>Array;Sorting;</v>
      </c>
      <c r="M1503" s="35" t="b">
        <f>IFERROR(__xludf.DUMMYFUNCTION("""COMPUTED_VALUE"""),FALSE)</f>
        <v>0</v>
      </c>
      <c r="N1503" s="35" t="b">
        <f>IFERROR(__xludf.DUMMYFUNCTION("""COMPUTED_VALUE"""),FALSE)</f>
        <v>0</v>
      </c>
      <c r="O1503" s="35">
        <f>IFERROR(__xludf.DUMMYFUNCTION("""COMPUTED_VALUE"""),70.3835459600916)</f>
        <v>70.38354596</v>
      </c>
      <c r="P1503" s="35">
        <f>IFERROR(__xludf.DUMMYFUNCTION("""COMPUTED_VALUE"""),68846.0)</f>
        <v>68846</v>
      </c>
      <c r="Q1503" s="35">
        <f>IFERROR(__xludf.DUMMYFUNCTION("""COMPUTED_VALUE"""),97816.0)</f>
        <v>97816</v>
      </c>
    </row>
    <row r="1504">
      <c r="A1504" s="35">
        <f>IFERROR(__xludf.DUMMYFUNCTION("""COMPUTED_VALUE"""),1627.0)</f>
        <v>1627</v>
      </c>
      <c r="B1504" s="35" t="str">
        <f>IFERROR(__xludf.DUMMYFUNCTION("""COMPUTED_VALUE"""),"Last Moment Before All Ants Fall Out of a Plank")</f>
        <v>Last Moment Before All Ants Fall Out of a Plank</v>
      </c>
      <c r="C1504" s="35" t="str">
        <f>IFERROR(__xludf.DUMMYFUNCTION("""COMPUTED_VALUE"""),"last-moment-before-all-ants-fall-out-of-a-plank")</f>
        <v>last-moment-before-all-ants-fall-out-of-a-plank</v>
      </c>
      <c r="D1504" s="35" t="b">
        <f>IFERROR(__xludf.DUMMYFUNCTION("""COMPUTED_VALUE"""),FALSE)</f>
        <v>0</v>
      </c>
      <c r="E1504" s="35" t="str">
        <f>IFERROR(__xludf.DUMMYFUNCTION("""COMPUTED_VALUE"""),"Medium")</f>
        <v>Medium</v>
      </c>
      <c r="F1504" s="35">
        <f>IFERROR(__xludf.DUMMYFUNCTION("""COMPUTED_VALUE"""),313.0)</f>
        <v>313</v>
      </c>
      <c r="G1504" s="35">
        <f>IFERROR(__xludf.DUMMYFUNCTION("""COMPUTED_VALUE"""),178.0)</f>
        <v>178</v>
      </c>
      <c r="H1504" s="35" t="str">
        <f>IFERROR(__xludf.DUMMYFUNCTION("""COMPUTED_VALUE"""),"Algorithms")</f>
        <v>Algorithms</v>
      </c>
      <c r="I1504" s="35">
        <f>IFERROR(__xludf.DUMMYFUNCTION("""COMPUTED_VALUE"""),0.547)</f>
        <v>0.547</v>
      </c>
      <c r="J1504" s="35">
        <f>IFERROR(__xludf.DUMMYFUNCTION("""COMPUTED_VALUE"""),1503.0)</f>
        <v>1503</v>
      </c>
      <c r="K1504" s="35" t="b">
        <f>IFERROR(__xludf.DUMMYFUNCTION("""COMPUTED_VALUE"""),FALSE)</f>
        <v>0</v>
      </c>
      <c r="L1504" s="35" t="str">
        <f>IFERROR(__xludf.DUMMYFUNCTION("""COMPUTED_VALUE"""),"Array;Brainteaser;Simulation;")</f>
        <v>Array;Brainteaser;Simulation;</v>
      </c>
      <c r="M1504" s="35" t="b">
        <f>IFERROR(__xludf.DUMMYFUNCTION("""COMPUTED_VALUE"""),FALSE)</f>
        <v>0</v>
      </c>
      <c r="N1504" s="35" t="b">
        <f>IFERROR(__xludf.DUMMYFUNCTION("""COMPUTED_VALUE"""),FALSE)</f>
        <v>0</v>
      </c>
      <c r="O1504" s="35">
        <f>IFERROR(__xludf.DUMMYFUNCTION("""COMPUTED_VALUE"""),54.6953010279001)</f>
        <v>54.69530103</v>
      </c>
      <c r="P1504" s="35">
        <f>IFERROR(__xludf.DUMMYFUNCTION("""COMPUTED_VALUE"""),14899.0)</f>
        <v>14899</v>
      </c>
      <c r="Q1504" s="35">
        <f>IFERROR(__xludf.DUMMYFUNCTION("""COMPUTED_VALUE"""),27240.0)</f>
        <v>27240</v>
      </c>
    </row>
    <row r="1505">
      <c r="A1505" s="35">
        <f>IFERROR(__xludf.DUMMYFUNCTION("""COMPUTED_VALUE"""),1628.0)</f>
        <v>1628</v>
      </c>
      <c r="B1505" s="35" t="str">
        <f>IFERROR(__xludf.DUMMYFUNCTION("""COMPUTED_VALUE"""),"Count Submatrices With All Ones")</f>
        <v>Count Submatrices With All Ones</v>
      </c>
      <c r="C1505" s="35" t="str">
        <f>IFERROR(__xludf.DUMMYFUNCTION("""COMPUTED_VALUE"""),"count-submatrices-with-all-ones")</f>
        <v>count-submatrices-with-all-ones</v>
      </c>
      <c r="D1505" s="35" t="b">
        <f>IFERROR(__xludf.DUMMYFUNCTION("""COMPUTED_VALUE"""),FALSE)</f>
        <v>0</v>
      </c>
      <c r="E1505" s="35" t="str">
        <f>IFERROR(__xludf.DUMMYFUNCTION("""COMPUTED_VALUE"""),"Medium")</f>
        <v>Medium</v>
      </c>
      <c r="F1505" s="35">
        <f>IFERROR(__xludf.DUMMYFUNCTION("""COMPUTED_VALUE"""),1445.0)</f>
        <v>1445</v>
      </c>
      <c r="G1505" s="35">
        <f>IFERROR(__xludf.DUMMYFUNCTION("""COMPUTED_VALUE"""),114.0)</f>
        <v>114</v>
      </c>
      <c r="H1505" s="35" t="str">
        <f>IFERROR(__xludf.DUMMYFUNCTION("""COMPUTED_VALUE"""),"Algorithms")</f>
        <v>Algorithms</v>
      </c>
      <c r="I1505" s="35">
        <f>IFERROR(__xludf.DUMMYFUNCTION("""COMPUTED_VALUE"""),0.588)</f>
        <v>0.588</v>
      </c>
      <c r="J1505" s="35">
        <f>IFERROR(__xludf.DUMMYFUNCTION("""COMPUTED_VALUE"""),1504.0)</f>
        <v>1504</v>
      </c>
      <c r="K1505" s="35" t="b">
        <f>IFERROR(__xludf.DUMMYFUNCTION("""COMPUTED_VALUE"""),FALSE)</f>
        <v>0</v>
      </c>
      <c r="L1505" s="35" t="str">
        <f>IFERROR(__xludf.DUMMYFUNCTION("""COMPUTED_VALUE"""),"Array;Dynamic Programming;Stack;Matrix;Monotonic Stack;")</f>
        <v>Array;Dynamic Programming;Stack;Matrix;Monotonic Stack;</v>
      </c>
      <c r="M1505" s="35" t="b">
        <f>IFERROR(__xludf.DUMMYFUNCTION("""COMPUTED_VALUE"""),FALSE)</f>
        <v>0</v>
      </c>
      <c r="N1505" s="35" t="b">
        <f>IFERROR(__xludf.DUMMYFUNCTION("""COMPUTED_VALUE"""),FALSE)</f>
        <v>0</v>
      </c>
      <c r="O1505" s="35">
        <f>IFERROR(__xludf.DUMMYFUNCTION("""COMPUTED_VALUE"""),58.7816235752015)</f>
        <v>58.78162358</v>
      </c>
      <c r="P1505" s="35">
        <f>IFERROR(__xludf.DUMMYFUNCTION("""COMPUTED_VALUE"""),33830.0)</f>
        <v>33830</v>
      </c>
      <c r="Q1505" s="35">
        <f>IFERROR(__xludf.DUMMYFUNCTION("""COMPUTED_VALUE"""),57552.0)</f>
        <v>57552</v>
      </c>
    </row>
    <row r="1506">
      <c r="A1506" s="35">
        <f>IFERROR(__xludf.DUMMYFUNCTION("""COMPUTED_VALUE"""),1629.0)</f>
        <v>1629</v>
      </c>
      <c r="B1506" s="35" t="str">
        <f>IFERROR(__xludf.DUMMYFUNCTION("""COMPUTED_VALUE"""),"Minimum Possible Integer After at Most K Adjacent Swaps On Digits")</f>
        <v>Minimum Possible Integer After at Most K Adjacent Swaps On Digits</v>
      </c>
      <c r="C1506" s="35" t="str">
        <f>IFERROR(__xludf.DUMMYFUNCTION("""COMPUTED_VALUE"""),"minimum-possible-integer-after-at-most-k-adjacent-swaps-on-digits")</f>
        <v>minimum-possible-integer-after-at-most-k-adjacent-swaps-on-digits</v>
      </c>
      <c r="D1506" s="35" t="b">
        <f>IFERROR(__xludf.DUMMYFUNCTION("""COMPUTED_VALUE"""),FALSE)</f>
        <v>0</v>
      </c>
      <c r="E1506" s="35" t="str">
        <f>IFERROR(__xludf.DUMMYFUNCTION("""COMPUTED_VALUE"""),"Hard")</f>
        <v>Hard</v>
      </c>
      <c r="F1506" s="35">
        <f>IFERROR(__xludf.DUMMYFUNCTION("""COMPUTED_VALUE"""),298.0)</f>
        <v>298</v>
      </c>
      <c r="G1506" s="35">
        <f>IFERROR(__xludf.DUMMYFUNCTION("""COMPUTED_VALUE"""),19.0)</f>
        <v>19</v>
      </c>
      <c r="H1506" s="35" t="str">
        <f>IFERROR(__xludf.DUMMYFUNCTION("""COMPUTED_VALUE"""),"Algorithms")</f>
        <v>Algorithms</v>
      </c>
      <c r="I1506" s="35">
        <f>IFERROR(__xludf.DUMMYFUNCTION("""COMPUTED_VALUE"""),0.375)</f>
        <v>0.375</v>
      </c>
      <c r="J1506" s="35">
        <f>IFERROR(__xludf.DUMMYFUNCTION("""COMPUTED_VALUE"""),1505.0)</f>
        <v>1505</v>
      </c>
      <c r="K1506" s="35" t="b">
        <f>IFERROR(__xludf.DUMMYFUNCTION("""COMPUTED_VALUE"""),FALSE)</f>
        <v>0</v>
      </c>
      <c r="L1506" s="35" t="str">
        <f>IFERROR(__xludf.DUMMYFUNCTION("""COMPUTED_VALUE"""),"String;Greedy;Binary Indexed Tree;Segment Tree;")</f>
        <v>String;Greedy;Binary Indexed Tree;Segment Tree;</v>
      </c>
      <c r="M1506" s="35" t="b">
        <f>IFERROR(__xludf.DUMMYFUNCTION("""COMPUTED_VALUE"""),FALSE)</f>
        <v>0</v>
      </c>
      <c r="N1506" s="35" t="b">
        <f>IFERROR(__xludf.DUMMYFUNCTION("""COMPUTED_VALUE"""),FALSE)</f>
        <v>0</v>
      </c>
      <c r="O1506" s="35">
        <f>IFERROR(__xludf.DUMMYFUNCTION("""COMPUTED_VALUE"""),37.4538265438843)</f>
        <v>37.45382654</v>
      </c>
      <c r="P1506" s="35">
        <f>IFERROR(__xludf.DUMMYFUNCTION("""COMPUTED_VALUE"""),7199.0)</f>
        <v>7199</v>
      </c>
      <c r="Q1506" s="35">
        <f>IFERROR(__xludf.DUMMYFUNCTION("""COMPUTED_VALUE"""),19221.0)</f>
        <v>19221</v>
      </c>
    </row>
    <row r="1507">
      <c r="A1507" s="35">
        <f>IFERROR(__xludf.DUMMYFUNCTION("""COMPUTED_VALUE"""),1650.0)</f>
        <v>1650</v>
      </c>
      <c r="B1507" s="35" t="str">
        <f>IFERROR(__xludf.DUMMYFUNCTION("""COMPUTED_VALUE"""),"Find Root of N-Ary Tree")</f>
        <v>Find Root of N-Ary Tree</v>
      </c>
      <c r="C1507" s="35" t="str">
        <f>IFERROR(__xludf.DUMMYFUNCTION("""COMPUTED_VALUE"""),"find-root-of-n-ary-tree")</f>
        <v>find-root-of-n-ary-tree</v>
      </c>
      <c r="D1507" s="35" t="b">
        <f>IFERROR(__xludf.DUMMYFUNCTION("""COMPUTED_VALUE"""),TRUE)</f>
        <v>1</v>
      </c>
      <c r="E1507" s="35" t="str">
        <f>IFERROR(__xludf.DUMMYFUNCTION("""COMPUTED_VALUE"""),"Medium")</f>
        <v>Medium</v>
      </c>
      <c r="F1507" s="35">
        <f>IFERROR(__xludf.DUMMYFUNCTION("""COMPUTED_VALUE"""),320.0)</f>
        <v>320</v>
      </c>
      <c r="G1507" s="35">
        <f>IFERROR(__xludf.DUMMYFUNCTION("""COMPUTED_VALUE"""),111.0)</f>
        <v>111</v>
      </c>
      <c r="H1507" s="35" t="str">
        <f>IFERROR(__xludf.DUMMYFUNCTION("""COMPUTED_VALUE"""),"Algorithms")</f>
        <v>Algorithms</v>
      </c>
      <c r="I1507" s="35">
        <f>IFERROR(__xludf.DUMMYFUNCTION("""COMPUTED_VALUE"""),0.782)</f>
        <v>0.782</v>
      </c>
      <c r="J1507" s="35">
        <f>IFERROR(__xludf.DUMMYFUNCTION("""COMPUTED_VALUE"""),1506.0)</f>
        <v>1506</v>
      </c>
      <c r="K1507" s="35" t="b">
        <f>IFERROR(__xludf.DUMMYFUNCTION("""COMPUTED_VALUE"""),TRUE)</f>
        <v>1</v>
      </c>
      <c r="L1507" s="35" t="str">
        <f>IFERROR(__xludf.DUMMYFUNCTION("""COMPUTED_VALUE"""),"Hash Table;Bit Manipulation;Tree;Depth-First Search;")</f>
        <v>Hash Table;Bit Manipulation;Tree;Depth-First Search;</v>
      </c>
      <c r="M1507" s="35" t="b">
        <f>IFERROR(__xludf.DUMMYFUNCTION("""COMPUTED_VALUE"""),TRUE)</f>
        <v>1</v>
      </c>
      <c r="N1507" s="35" t="b">
        <f>IFERROR(__xludf.DUMMYFUNCTION("""COMPUTED_VALUE"""),FALSE)</f>
        <v>0</v>
      </c>
      <c r="O1507" s="35">
        <f>IFERROR(__xludf.DUMMYFUNCTION("""COMPUTED_VALUE"""),78.1849644299173)</f>
        <v>78.18496443</v>
      </c>
      <c r="P1507" s="35">
        <f>IFERROR(__xludf.DUMMYFUNCTION("""COMPUTED_VALUE"""),20332.0)</f>
        <v>20332</v>
      </c>
      <c r="Q1507" s="35">
        <f>IFERROR(__xludf.DUMMYFUNCTION("""COMPUTED_VALUE"""),26005.0)</f>
        <v>26005</v>
      </c>
    </row>
    <row r="1508">
      <c r="A1508" s="35">
        <f>IFERROR(__xludf.DUMMYFUNCTION("""COMPUTED_VALUE"""),1283.0)</f>
        <v>1283</v>
      </c>
      <c r="B1508" s="35" t="str">
        <f>IFERROR(__xludf.DUMMYFUNCTION("""COMPUTED_VALUE"""),"Reformat Date")</f>
        <v>Reformat Date</v>
      </c>
      <c r="C1508" s="35" t="str">
        <f>IFERROR(__xludf.DUMMYFUNCTION("""COMPUTED_VALUE"""),"reformat-date")</f>
        <v>reformat-date</v>
      </c>
      <c r="D1508" s="35" t="b">
        <f>IFERROR(__xludf.DUMMYFUNCTION("""COMPUTED_VALUE"""),FALSE)</f>
        <v>0</v>
      </c>
      <c r="E1508" s="35" t="str">
        <f>IFERROR(__xludf.DUMMYFUNCTION("""COMPUTED_VALUE"""),"Easy")</f>
        <v>Easy</v>
      </c>
      <c r="F1508" s="35">
        <f>IFERROR(__xludf.DUMMYFUNCTION("""COMPUTED_VALUE"""),234.0)</f>
        <v>234</v>
      </c>
      <c r="G1508" s="35">
        <f>IFERROR(__xludf.DUMMYFUNCTION("""COMPUTED_VALUE"""),313.0)</f>
        <v>313</v>
      </c>
      <c r="H1508" s="35" t="str">
        <f>IFERROR(__xludf.DUMMYFUNCTION("""COMPUTED_VALUE"""),"Algorithms")</f>
        <v>Algorithms</v>
      </c>
      <c r="I1508" s="35">
        <f>IFERROR(__xludf.DUMMYFUNCTION("""COMPUTED_VALUE"""),0.616)</f>
        <v>0.616</v>
      </c>
      <c r="J1508" s="35">
        <f>IFERROR(__xludf.DUMMYFUNCTION("""COMPUTED_VALUE"""),1507.0)</f>
        <v>1507</v>
      </c>
      <c r="K1508" s="35" t="b">
        <f>IFERROR(__xludf.DUMMYFUNCTION("""COMPUTED_VALUE"""),FALSE)</f>
        <v>0</v>
      </c>
      <c r="L1508" s="35" t="str">
        <f>IFERROR(__xludf.DUMMYFUNCTION("""COMPUTED_VALUE"""),"String;")</f>
        <v>String;</v>
      </c>
      <c r="M1508" s="35" t="b">
        <f>IFERROR(__xludf.DUMMYFUNCTION("""COMPUTED_VALUE"""),FALSE)</f>
        <v>0</v>
      </c>
      <c r="N1508" s="35" t="b">
        <f>IFERROR(__xludf.DUMMYFUNCTION("""COMPUTED_VALUE"""),FALSE)</f>
        <v>0</v>
      </c>
      <c r="O1508" s="35">
        <f>IFERROR(__xludf.DUMMYFUNCTION("""COMPUTED_VALUE"""),61.6216124775856)</f>
        <v>61.62161248</v>
      </c>
      <c r="P1508" s="35">
        <f>IFERROR(__xludf.DUMMYFUNCTION("""COMPUTED_VALUE"""),36426.0)</f>
        <v>36426</v>
      </c>
      <c r="Q1508" s="35">
        <f>IFERROR(__xludf.DUMMYFUNCTION("""COMPUTED_VALUE"""),59113.0)</f>
        <v>59113</v>
      </c>
    </row>
    <row r="1509">
      <c r="A1509" s="35">
        <f>IFERROR(__xludf.DUMMYFUNCTION("""COMPUTED_VALUE"""),1615.0)</f>
        <v>1615</v>
      </c>
      <c r="B1509" s="35" t="str">
        <f>IFERROR(__xludf.DUMMYFUNCTION("""COMPUTED_VALUE"""),"Range Sum of Sorted Subarray Sums")</f>
        <v>Range Sum of Sorted Subarray Sums</v>
      </c>
      <c r="C1509" s="35" t="str">
        <f>IFERROR(__xludf.DUMMYFUNCTION("""COMPUTED_VALUE"""),"range-sum-of-sorted-subarray-sums")</f>
        <v>range-sum-of-sorted-subarray-sums</v>
      </c>
      <c r="D1509" s="35" t="b">
        <f>IFERROR(__xludf.DUMMYFUNCTION("""COMPUTED_VALUE"""),FALSE)</f>
        <v>0</v>
      </c>
      <c r="E1509" s="35" t="str">
        <f>IFERROR(__xludf.DUMMYFUNCTION("""COMPUTED_VALUE"""),"Medium")</f>
        <v>Medium</v>
      </c>
      <c r="F1509" s="35">
        <f>IFERROR(__xludf.DUMMYFUNCTION("""COMPUTED_VALUE"""),528.0)</f>
        <v>528</v>
      </c>
      <c r="G1509" s="35">
        <f>IFERROR(__xludf.DUMMYFUNCTION("""COMPUTED_VALUE"""),99.0)</f>
        <v>99</v>
      </c>
      <c r="H1509" s="35" t="str">
        <f>IFERROR(__xludf.DUMMYFUNCTION("""COMPUTED_VALUE"""),"Algorithms")</f>
        <v>Algorithms</v>
      </c>
      <c r="I1509" s="35">
        <f>IFERROR(__xludf.DUMMYFUNCTION("""COMPUTED_VALUE"""),0.59)</f>
        <v>0.59</v>
      </c>
      <c r="J1509" s="35">
        <f>IFERROR(__xludf.DUMMYFUNCTION("""COMPUTED_VALUE"""),1508.0)</f>
        <v>1508</v>
      </c>
      <c r="K1509" s="35" t="b">
        <f>IFERROR(__xludf.DUMMYFUNCTION("""COMPUTED_VALUE"""),FALSE)</f>
        <v>0</v>
      </c>
      <c r="L1509" s="35" t="str">
        <f>IFERROR(__xludf.DUMMYFUNCTION("""COMPUTED_VALUE"""),"Array;Two Pointers;Binary Search;Sorting;")</f>
        <v>Array;Two Pointers;Binary Search;Sorting;</v>
      </c>
      <c r="M1509" s="35" t="b">
        <f>IFERROR(__xludf.DUMMYFUNCTION("""COMPUTED_VALUE"""),FALSE)</f>
        <v>0</v>
      </c>
      <c r="N1509" s="35" t="b">
        <f>IFERROR(__xludf.DUMMYFUNCTION("""COMPUTED_VALUE"""),FALSE)</f>
        <v>0</v>
      </c>
      <c r="O1509" s="35">
        <f>IFERROR(__xludf.DUMMYFUNCTION("""COMPUTED_VALUE"""),59.0459948838842)</f>
        <v>59.04599488</v>
      </c>
      <c r="P1509" s="35">
        <f>IFERROR(__xludf.DUMMYFUNCTION("""COMPUTED_VALUE"""),23544.0)</f>
        <v>23544</v>
      </c>
      <c r="Q1509" s="35">
        <f>IFERROR(__xludf.DUMMYFUNCTION("""COMPUTED_VALUE"""),39874.0)</f>
        <v>39874</v>
      </c>
    </row>
    <row r="1510">
      <c r="A1510" s="35">
        <f>IFERROR(__xludf.DUMMYFUNCTION("""COMPUTED_VALUE"""),1616.0)</f>
        <v>1616</v>
      </c>
      <c r="B1510" s="35" t="str">
        <f>IFERROR(__xludf.DUMMYFUNCTION("""COMPUTED_VALUE"""),"Minimum Difference Between Largest and Smallest Value in Three Moves")</f>
        <v>Minimum Difference Between Largest and Smallest Value in Three Moves</v>
      </c>
      <c r="C1510" s="35" t="str">
        <f>IFERROR(__xludf.DUMMYFUNCTION("""COMPUTED_VALUE"""),"minimum-difference-between-largest-and-smallest-value-in-three-moves")</f>
        <v>minimum-difference-between-largest-and-smallest-value-in-three-moves</v>
      </c>
      <c r="D1510" s="35" t="b">
        <f>IFERROR(__xludf.DUMMYFUNCTION("""COMPUTED_VALUE"""),FALSE)</f>
        <v>0</v>
      </c>
      <c r="E1510" s="35" t="str">
        <f>IFERROR(__xludf.DUMMYFUNCTION("""COMPUTED_VALUE"""),"Medium")</f>
        <v>Medium</v>
      </c>
      <c r="F1510" s="35">
        <f>IFERROR(__xludf.DUMMYFUNCTION("""COMPUTED_VALUE"""),1011.0)</f>
        <v>1011</v>
      </c>
      <c r="G1510" s="35">
        <f>IFERROR(__xludf.DUMMYFUNCTION("""COMPUTED_VALUE"""),144.0)</f>
        <v>144</v>
      </c>
      <c r="H1510" s="35" t="str">
        <f>IFERROR(__xludf.DUMMYFUNCTION("""COMPUTED_VALUE"""),"Algorithms")</f>
        <v>Algorithms</v>
      </c>
      <c r="I1510" s="35">
        <f>IFERROR(__xludf.DUMMYFUNCTION("""COMPUTED_VALUE"""),0.558)</f>
        <v>0.558</v>
      </c>
      <c r="J1510" s="35">
        <f>IFERROR(__xludf.DUMMYFUNCTION("""COMPUTED_VALUE"""),1509.0)</f>
        <v>1509</v>
      </c>
      <c r="K1510" s="35" t="b">
        <f>IFERROR(__xludf.DUMMYFUNCTION("""COMPUTED_VALUE"""),FALSE)</f>
        <v>0</v>
      </c>
      <c r="L1510" s="35" t="str">
        <f>IFERROR(__xludf.DUMMYFUNCTION("""COMPUTED_VALUE"""),"Array;Greedy;Sorting;")</f>
        <v>Array;Greedy;Sorting;</v>
      </c>
      <c r="M1510" s="35" t="b">
        <f>IFERROR(__xludf.DUMMYFUNCTION("""COMPUTED_VALUE"""),FALSE)</f>
        <v>0</v>
      </c>
      <c r="N1510" s="35" t="b">
        <f>IFERROR(__xludf.DUMMYFUNCTION("""COMPUTED_VALUE"""),FALSE)</f>
        <v>0</v>
      </c>
      <c r="O1510" s="35">
        <f>IFERROR(__xludf.DUMMYFUNCTION("""COMPUTED_VALUE"""),55.7903529321402)</f>
        <v>55.79035293</v>
      </c>
      <c r="P1510" s="35">
        <f>IFERROR(__xludf.DUMMYFUNCTION("""COMPUTED_VALUE"""),58107.0)</f>
        <v>58107</v>
      </c>
      <c r="Q1510" s="35">
        <f>IFERROR(__xludf.DUMMYFUNCTION("""COMPUTED_VALUE"""),104139.0)</f>
        <v>104139</v>
      </c>
    </row>
    <row r="1511">
      <c r="A1511" s="35">
        <f>IFERROR(__xludf.DUMMYFUNCTION("""COMPUTED_VALUE"""),1617.0)</f>
        <v>1617</v>
      </c>
      <c r="B1511" s="35" t="str">
        <f>IFERROR(__xludf.DUMMYFUNCTION("""COMPUTED_VALUE"""),"Stone Game IV")</f>
        <v>Stone Game IV</v>
      </c>
      <c r="C1511" s="35" t="str">
        <f>IFERROR(__xludf.DUMMYFUNCTION("""COMPUTED_VALUE"""),"stone-game-iv")</f>
        <v>stone-game-iv</v>
      </c>
      <c r="D1511" s="35" t="b">
        <f>IFERROR(__xludf.DUMMYFUNCTION("""COMPUTED_VALUE"""),FALSE)</f>
        <v>0</v>
      </c>
      <c r="E1511" s="35" t="str">
        <f>IFERROR(__xludf.DUMMYFUNCTION("""COMPUTED_VALUE"""),"Hard")</f>
        <v>Hard</v>
      </c>
      <c r="F1511" s="35">
        <f>IFERROR(__xludf.DUMMYFUNCTION("""COMPUTED_VALUE"""),1232.0)</f>
        <v>1232</v>
      </c>
      <c r="G1511" s="35">
        <f>IFERROR(__xludf.DUMMYFUNCTION("""COMPUTED_VALUE"""),53.0)</f>
        <v>53</v>
      </c>
      <c r="H1511" s="35" t="str">
        <f>IFERROR(__xludf.DUMMYFUNCTION("""COMPUTED_VALUE"""),"Algorithms")</f>
        <v>Algorithms</v>
      </c>
      <c r="I1511" s="35">
        <f>IFERROR(__xludf.DUMMYFUNCTION("""COMPUTED_VALUE"""),0.608)</f>
        <v>0.608</v>
      </c>
      <c r="J1511" s="35">
        <f>IFERROR(__xludf.DUMMYFUNCTION("""COMPUTED_VALUE"""),1510.0)</f>
        <v>1510</v>
      </c>
      <c r="K1511" s="35" t="b">
        <f>IFERROR(__xludf.DUMMYFUNCTION("""COMPUTED_VALUE"""),FALSE)</f>
        <v>0</v>
      </c>
      <c r="L1511" s="35" t="str">
        <f>IFERROR(__xludf.DUMMYFUNCTION("""COMPUTED_VALUE"""),"Math;Dynamic Programming;Game Theory;")</f>
        <v>Math;Dynamic Programming;Game Theory;</v>
      </c>
      <c r="M1511" s="35" t="b">
        <f>IFERROR(__xludf.DUMMYFUNCTION("""COMPUTED_VALUE"""),TRUE)</f>
        <v>1</v>
      </c>
      <c r="N1511" s="35" t="b">
        <f>IFERROR(__xludf.DUMMYFUNCTION("""COMPUTED_VALUE"""),FALSE)</f>
        <v>0</v>
      </c>
      <c r="O1511" s="35">
        <f>IFERROR(__xludf.DUMMYFUNCTION("""COMPUTED_VALUE"""),60.8094463752404)</f>
        <v>60.80944638</v>
      </c>
      <c r="P1511" s="35">
        <f>IFERROR(__xludf.DUMMYFUNCTION("""COMPUTED_VALUE"""),57215.0)</f>
        <v>57215</v>
      </c>
      <c r="Q1511" s="35">
        <f>IFERROR(__xludf.DUMMYFUNCTION("""COMPUTED_VALUE"""),94089.0)</f>
        <v>94089</v>
      </c>
    </row>
    <row r="1512">
      <c r="A1512" s="35">
        <f>IFERROR(__xludf.DUMMYFUNCTION("""COMPUTED_VALUE"""),1654.0)</f>
        <v>1654</v>
      </c>
      <c r="B1512" s="35" t="str">
        <f>IFERROR(__xludf.DUMMYFUNCTION("""COMPUTED_VALUE"""),"Customer Order Frequency")</f>
        <v>Customer Order Frequency</v>
      </c>
      <c r="C1512" s="35" t="str">
        <f>IFERROR(__xludf.DUMMYFUNCTION("""COMPUTED_VALUE"""),"customer-order-frequency")</f>
        <v>customer-order-frequency</v>
      </c>
      <c r="D1512" s="35" t="b">
        <f>IFERROR(__xludf.DUMMYFUNCTION("""COMPUTED_VALUE"""),TRUE)</f>
        <v>1</v>
      </c>
      <c r="E1512" s="35" t="str">
        <f>IFERROR(__xludf.DUMMYFUNCTION("""COMPUTED_VALUE"""),"Easy")</f>
        <v>Easy</v>
      </c>
      <c r="F1512" s="35">
        <f>IFERROR(__xludf.DUMMYFUNCTION("""COMPUTED_VALUE"""),214.0)</f>
        <v>214</v>
      </c>
      <c r="G1512" s="35">
        <f>IFERROR(__xludf.DUMMYFUNCTION("""COMPUTED_VALUE"""),40.0)</f>
        <v>40</v>
      </c>
      <c r="H1512" s="35" t="str">
        <f>IFERROR(__xludf.DUMMYFUNCTION("""COMPUTED_VALUE"""),"Database")</f>
        <v>Database</v>
      </c>
      <c r="I1512" s="35">
        <f>IFERROR(__xludf.DUMMYFUNCTION("""COMPUTED_VALUE"""),0.734)</f>
        <v>0.734</v>
      </c>
      <c r="J1512" s="35">
        <f>IFERROR(__xludf.DUMMYFUNCTION("""COMPUTED_VALUE"""),1511.0)</f>
        <v>1511</v>
      </c>
      <c r="K1512" s="35" t="b">
        <f>IFERROR(__xludf.DUMMYFUNCTION("""COMPUTED_VALUE"""),TRUE)</f>
        <v>1</v>
      </c>
      <c r="L1512" s="35" t="str">
        <f>IFERROR(__xludf.DUMMYFUNCTION("""COMPUTED_VALUE"""),"Database;")</f>
        <v>Database;</v>
      </c>
      <c r="M1512" s="35" t="b">
        <f>IFERROR(__xludf.DUMMYFUNCTION("""COMPUTED_VALUE"""),FALSE)</f>
        <v>0</v>
      </c>
      <c r="N1512" s="35" t="b">
        <f>IFERROR(__xludf.DUMMYFUNCTION("""COMPUTED_VALUE"""),FALSE)</f>
        <v>0</v>
      </c>
      <c r="O1512" s="35">
        <f>IFERROR(__xludf.DUMMYFUNCTION("""COMPUTED_VALUE"""),73.4282359006673)</f>
        <v>73.4282359</v>
      </c>
      <c r="P1512" s="35">
        <f>IFERROR(__xludf.DUMMYFUNCTION("""COMPUTED_VALUE"""),25635.0)</f>
        <v>25635</v>
      </c>
      <c r="Q1512" s="35">
        <f>IFERROR(__xludf.DUMMYFUNCTION("""COMPUTED_VALUE"""),34911.0)</f>
        <v>34911</v>
      </c>
    </row>
    <row r="1513">
      <c r="A1513" s="35">
        <f>IFERROR(__xludf.DUMMYFUNCTION("""COMPUTED_VALUE"""),1635.0)</f>
        <v>1635</v>
      </c>
      <c r="B1513" s="35" t="str">
        <f>IFERROR(__xludf.DUMMYFUNCTION("""COMPUTED_VALUE"""),"Number of Good Pairs")</f>
        <v>Number of Good Pairs</v>
      </c>
      <c r="C1513" s="35" t="str">
        <f>IFERROR(__xludf.DUMMYFUNCTION("""COMPUTED_VALUE"""),"number-of-good-pairs")</f>
        <v>number-of-good-pairs</v>
      </c>
      <c r="D1513" s="35" t="b">
        <f>IFERROR(__xludf.DUMMYFUNCTION("""COMPUTED_VALUE"""),FALSE)</f>
        <v>0</v>
      </c>
      <c r="E1513" s="35" t="str">
        <f>IFERROR(__xludf.DUMMYFUNCTION("""COMPUTED_VALUE"""),"Easy")</f>
        <v>Easy</v>
      </c>
      <c r="F1513" s="35">
        <f>IFERROR(__xludf.DUMMYFUNCTION("""COMPUTED_VALUE"""),2257.0)</f>
        <v>2257</v>
      </c>
      <c r="G1513" s="35">
        <f>IFERROR(__xludf.DUMMYFUNCTION("""COMPUTED_VALUE"""),138.0)</f>
        <v>138</v>
      </c>
      <c r="H1513" s="35" t="str">
        <f>IFERROR(__xludf.DUMMYFUNCTION("""COMPUTED_VALUE"""),"Algorithms")</f>
        <v>Algorithms</v>
      </c>
      <c r="I1513" s="35">
        <f>IFERROR(__xludf.DUMMYFUNCTION("""COMPUTED_VALUE"""),0.879)</f>
        <v>0.879</v>
      </c>
      <c r="J1513" s="35">
        <f>IFERROR(__xludf.DUMMYFUNCTION("""COMPUTED_VALUE"""),1512.0)</f>
        <v>1512</v>
      </c>
      <c r="K1513" s="35" t="b">
        <f>IFERROR(__xludf.DUMMYFUNCTION("""COMPUTED_VALUE"""),FALSE)</f>
        <v>0</v>
      </c>
      <c r="L1513" s="35" t="str">
        <f>IFERROR(__xludf.DUMMYFUNCTION("""COMPUTED_VALUE"""),"Array;Hash Table;Math;Counting;")</f>
        <v>Array;Hash Table;Math;Counting;</v>
      </c>
      <c r="M1513" s="35" t="b">
        <f>IFERROR(__xludf.DUMMYFUNCTION("""COMPUTED_VALUE"""),FALSE)</f>
        <v>0</v>
      </c>
      <c r="N1513" s="35" t="b">
        <f>IFERROR(__xludf.DUMMYFUNCTION("""COMPUTED_VALUE"""),FALSE)</f>
        <v>0</v>
      </c>
      <c r="O1513" s="35">
        <f>IFERROR(__xludf.DUMMYFUNCTION("""COMPUTED_VALUE"""),87.9061886412919)</f>
        <v>87.90618864</v>
      </c>
      <c r="P1513" s="35">
        <f>IFERROR(__xludf.DUMMYFUNCTION("""COMPUTED_VALUE"""),274434.0)</f>
        <v>274434</v>
      </c>
      <c r="Q1513" s="35">
        <f>IFERROR(__xludf.DUMMYFUNCTION("""COMPUTED_VALUE"""),312182.0)</f>
        <v>312182</v>
      </c>
    </row>
    <row r="1514">
      <c r="A1514" s="35">
        <f>IFERROR(__xludf.DUMMYFUNCTION("""COMPUTED_VALUE"""),1636.0)</f>
        <v>1636</v>
      </c>
      <c r="B1514" s="35" t="str">
        <f>IFERROR(__xludf.DUMMYFUNCTION("""COMPUTED_VALUE"""),"Number of Substrings With Only 1s")</f>
        <v>Number of Substrings With Only 1s</v>
      </c>
      <c r="C1514" s="35" t="str">
        <f>IFERROR(__xludf.DUMMYFUNCTION("""COMPUTED_VALUE"""),"number-of-substrings-with-only-1s")</f>
        <v>number-of-substrings-with-only-1s</v>
      </c>
      <c r="D1514" s="35" t="b">
        <f>IFERROR(__xludf.DUMMYFUNCTION("""COMPUTED_VALUE"""),FALSE)</f>
        <v>0</v>
      </c>
      <c r="E1514" s="35" t="str">
        <f>IFERROR(__xludf.DUMMYFUNCTION("""COMPUTED_VALUE"""),"Medium")</f>
        <v>Medium</v>
      </c>
      <c r="F1514" s="35">
        <f>IFERROR(__xludf.DUMMYFUNCTION("""COMPUTED_VALUE"""),491.0)</f>
        <v>491</v>
      </c>
      <c r="G1514" s="35">
        <f>IFERROR(__xludf.DUMMYFUNCTION("""COMPUTED_VALUE"""),22.0)</f>
        <v>22</v>
      </c>
      <c r="H1514" s="35" t="str">
        <f>IFERROR(__xludf.DUMMYFUNCTION("""COMPUTED_VALUE"""),"Algorithms")</f>
        <v>Algorithms</v>
      </c>
      <c r="I1514" s="35">
        <f>IFERROR(__xludf.DUMMYFUNCTION("""COMPUTED_VALUE"""),0.44)</f>
        <v>0.44</v>
      </c>
      <c r="J1514" s="35">
        <f>IFERROR(__xludf.DUMMYFUNCTION("""COMPUTED_VALUE"""),1513.0)</f>
        <v>1513</v>
      </c>
      <c r="K1514" s="35" t="b">
        <f>IFERROR(__xludf.DUMMYFUNCTION("""COMPUTED_VALUE"""),FALSE)</f>
        <v>0</v>
      </c>
      <c r="L1514" s="35" t="str">
        <f>IFERROR(__xludf.DUMMYFUNCTION("""COMPUTED_VALUE"""),"Math;String;")</f>
        <v>Math;String;</v>
      </c>
      <c r="M1514" s="35" t="b">
        <f>IFERROR(__xludf.DUMMYFUNCTION("""COMPUTED_VALUE"""),FALSE)</f>
        <v>0</v>
      </c>
      <c r="N1514" s="35" t="b">
        <f>IFERROR(__xludf.DUMMYFUNCTION("""COMPUTED_VALUE"""),FALSE)</f>
        <v>0</v>
      </c>
      <c r="O1514" s="35">
        <f>IFERROR(__xludf.DUMMYFUNCTION("""COMPUTED_VALUE"""),44.0322756176054)</f>
        <v>44.03227562</v>
      </c>
      <c r="P1514" s="35">
        <f>IFERROR(__xludf.DUMMYFUNCTION("""COMPUTED_VALUE"""),28322.0)</f>
        <v>28322</v>
      </c>
      <c r="Q1514" s="35">
        <f>IFERROR(__xludf.DUMMYFUNCTION("""COMPUTED_VALUE"""),64321.0)</f>
        <v>64321</v>
      </c>
    </row>
    <row r="1515">
      <c r="A1515" s="35">
        <f>IFERROR(__xludf.DUMMYFUNCTION("""COMPUTED_VALUE"""),1325.0)</f>
        <v>1325</v>
      </c>
      <c r="B1515" s="35" t="str">
        <f>IFERROR(__xludf.DUMMYFUNCTION("""COMPUTED_VALUE"""),"Path with Maximum Probability")</f>
        <v>Path with Maximum Probability</v>
      </c>
      <c r="C1515" s="35" t="str">
        <f>IFERROR(__xludf.DUMMYFUNCTION("""COMPUTED_VALUE"""),"path-with-maximum-probability")</f>
        <v>path-with-maximum-probability</v>
      </c>
      <c r="D1515" s="35" t="b">
        <f>IFERROR(__xludf.DUMMYFUNCTION("""COMPUTED_VALUE"""),FALSE)</f>
        <v>0</v>
      </c>
      <c r="E1515" s="35" t="str">
        <f>IFERROR(__xludf.DUMMYFUNCTION("""COMPUTED_VALUE"""),"Medium")</f>
        <v>Medium</v>
      </c>
      <c r="F1515" s="35">
        <f>IFERROR(__xludf.DUMMYFUNCTION("""COMPUTED_VALUE"""),1082.0)</f>
        <v>1082</v>
      </c>
      <c r="G1515" s="35">
        <f>IFERROR(__xludf.DUMMYFUNCTION("""COMPUTED_VALUE"""),25.0)</f>
        <v>25</v>
      </c>
      <c r="H1515" s="35" t="str">
        <f>IFERROR(__xludf.DUMMYFUNCTION("""COMPUTED_VALUE"""),"Algorithms")</f>
        <v>Algorithms</v>
      </c>
      <c r="I1515" s="35">
        <f>IFERROR(__xludf.DUMMYFUNCTION("""COMPUTED_VALUE"""),0.458)</f>
        <v>0.458</v>
      </c>
      <c r="J1515" s="35">
        <f>IFERROR(__xludf.DUMMYFUNCTION("""COMPUTED_VALUE"""),1514.0)</f>
        <v>1514</v>
      </c>
      <c r="K1515" s="35" t="b">
        <f>IFERROR(__xludf.DUMMYFUNCTION("""COMPUTED_VALUE"""),FALSE)</f>
        <v>0</v>
      </c>
      <c r="L1515" s="35" t="str">
        <f>IFERROR(__xludf.DUMMYFUNCTION("""COMPUTED_VALUE"""),"Graph;Heap (Priority Queue);Shortest Path;")</f>
        <v>Graph;Heap (Priority Queue);Shortest Path;</v>
      </c>
      <c r="M1515" s="35" t="b">
        <f>IFERROR(__xludf.DUMMYFUNCTION("""COMPUTED_VALUE"""),FALSE)</f>
        <v>0</v>
      </c>
      <c r="N1515" s="35" t="b">
        <f>IFERROR(__xludf.DUMMYFUNCTION("""COMPUTED_VALUE"""),FALSE)</f>
        <v>0</v>
      </c>
      <c r="O1515" s="35">
        <f>IFERROR(__xludf.DUMMYFUNCTION("""COMPUTED_VALUE"""),45.7727352889307)</f>
        <v>45.77273529</v>
      </c>
      <c r="P1515" s="35">
        <f>IFERROR(__xludf.DUMMYFUNCTION("""COMPUTED_VALUE"""),38931.0)</f>
        <v>38931</v>
      </c>
      <c r="Q1515" s="35">
        <f>IFERROR(__xludf.DUMMYFUNCTION("""COMPUTED_VALUE"""),85052.0)</f>
        <v>85052</v>
      </c>
    </row>
    <row r="1516">
      <c r="A1516" s="35">
        <f>IFERROR(__xludf.DUMMYFUNCTION("""COMPUTED_VALUE"""),1638.0)</f>
        <v>1638</v>
      </c>
      <c r="B1516" s="35" t="str">
        <f>IFERROR(__xludf.DUMMYFUNCTION("""COMPUTED_VALUE"""),"Best Position for a Service Centre")</f>
        <v>Best Position for a Service Centre</v>
      </c>
      <c r="C1516" s="35" t="str">
        <f>IFERROR(__xludf.DUMMYFUNCTION("""COMPUTED_VALUE"""),"best-position-for-a-service-centre")</f>
        <v>best-position-for-a-service-centre</v>
      </c>
      <c r="D1516" s="35" t="b">
        <f>IFERROR(__xludf.DUMMYFUNCTION("""COMPUTED_VALUE"""),FALSE)</f>
        <v>0</v>
      </c>
      <c r="E1516" s="35" t="str">
        <f>IFERROR(__xludf.DUMMYFUNCTION("""COMPUTED_VALUE"""),"Hard")</f>
        <v>Hard</v>
      </c>
      <c r="F1516" s="35">
        <f>IFERROR(__xludf.DUMMYFUNCTION("""COMPUTED_VALUE"""),161.0)</f>
        <v>161</v>
      </c>
      <c r="G1516" s="35">
        <f>IFERROR(__xludf.DUMMYFUNCTION("""COMPUTED_VALUE"""),192.0)</f>
        <v>192</v>
      </c>
      <c r="H1516" s="35" t="str">
        <f>IFERROR(__xludf.DUMMYFUNCTION("""COMPUTED_VALUE"""),"Algorithms")</f>
        <v>Algorithms</v>
      </c>
      <c r="I1516" s="35">
        <f>IFERROR(__xludf.DUMMYFUNCTION("""COMPUTED_VALUE"""),0.389)</f>
        <v>0.389</v>
      </c>
      <c r="J1516" s="35">
        <f>IFERROR(__xludf.DUMMYFUNCTION("""COMPUTED_VALUE"""),1515.0)</f>
        <v>1515</v>
      </c>
      <c r="K1516" s="35" t="b">
        <f>IFERROR(__xludf.DUMMYFUNCTION("""COMPUTED_VALUE"""),FALSE)</f>
        <v>0</v>
      </c>
      <c r="L1516" s="35" t="str">
        <f>IFERROR(__xludf.DUMMYFUNCTION("""COMPUTED_VALUE"""),"Math;Geometry;Randomized;")</f>
        <v>Math;Geometry;Randomized;</v>
      </c>
      <c r="M1516" s="35" t="b">
        <f>IFERROR(__xludf.DUMMYFUNCTION("""COMPUTED_VALUE"""),FALSE)</f>
        <v>0</v>
      </c>
      <c r="N1516" s="35" t="b">
        <f>IFERROR(__xludf.DUMMYFUNCTION("""COMPUTED_VALUE"""),FALSE)</f>
        <v>0</v>
      </c>
      <c r="O1516" s="35">
        <f>IFERROR(__xludf.DUMMYFUNCTION("""COMPUTED_VALUE"""),38.8819769187867)</f>
        <v>38.88197692</v>
      </c>
      <c r="P1516" s="35">
        <f>IFERROR(__xludf.DUMMYFUNCTION("""COMPUTED_VALUE"""),9063.0)</f>
        <v>9063</v>
      </c>
      <c r="Q1516" s="35">
        <f>IFERROR(__xludf.DUMMYFUNCTION("""COMPUTED_VALUE"""),23309.0)</f>
        <v>23309</v>
      </c>
    </row>
    <row r="1517">
      <c r="A1517" s="35">
        <f>IFERROR(__xludf.DUMMYFUNCTION("""COMPUTED_VALUE"""),1655.0)</f>
        <v>1655</v>
      </c>
      <c r="B1517" s="35" t="str">
        <f>IFERROR(__xludf.DUMMYFUNCTION("""COMPUTED_VALUE"""),"Move Sub-Tree of N-Ary Tree")</f>
        <v>Move Sub-Tree of N-Ary Tree</v>
      </c>
      <c r="C1517" s="35" t="str">
        <f>IFERROR(__xludf.DUMMYFUNCTION("""COMPUTED_VALUE"""),"move-sub-tree-of-n-ary-tree")</f>
        <v>move-sub-tree-of-n-ary-tree</v>
      </c>
      <c r="D1517" s="35" t="b">
        <f>IFERROR(__xludf.DUMMYFUNCTION("""COMPUTED_VALUE"""),TRUE)</f>
        <v>1</v>
      </c>
      <c r="E1517" s="35" t="str">
        <f>IFERROR(__xludf.DUMMYFUNCTION("""COMPUTED_VALUE"""),"Hard")</f>
        <v>Hard</v>
      </c>
      <c r="F1517" s="35">
        <f>IFERROR(__xludf.DUMMYFUNCTION("""COMPUTED_VALUE"""),23.0)</f>
        <v>23</v>
      </c>
      <c r="G1517" s="35">
        <f>IFERROR(__xludf.DUMMYFUNCTION("""COMPUTED_VALUE"""),35.0)</f>
        <v>35</v>
      </c>
      <c r="H1517" s="35" t="str">
        <f>IFERROR(__xludf.DUMMYFUNCTION("""COMPUTED_VALUE"""),"Algorithms")</f>
        <v>Algorithms</v>
      </c>
      <c r="I1517" s="35">
        <f>IFERROR(__xludf.DUMMYFUNCTION("""COMPUTED_VALUE"""),0.645)</f>
        <v>0.645</v>
      </c>
      <c r="J1517" s="35">
        <f>IFERROR(__xludf.DUMMYFUNCTION("""COMPUTED_VALUE"""),1516.0)</f>
        <v>1516</v>
      </c>
      <c r="K1517" s="35" t="b">
        <f>IFERROR(__xludf.DUMMYFUNCTION("""COMPUTED_VALUE"""),TRUE)</f>
        <v>1</v>
      </c>
      <c r="L1517" s="35" t="str">
        <f>IFERROR(__xludf.DUMMYFUNCTION("""COMPUTED_VALUE"""),"Tree;Depth-First Search;")</f>
        <v>Tree;Depth-First Search;</v>
      </c>
      <c r="M1517" s="35" t="b">
        <f>IFERROR(__xludf.DUMMYFUNCTION("""COMPUTED_VALUE"""),FALSE)</f>
        <v>0</v>
      </c>
      <c r="N1517" s="35" t="b">
        <f>IFERROR(__xludf.DUMMYFUNCTION("""COMPUTED_VALUE"""),FALSE)</f>
        <v>0</v>
      </c>
      <c r="O1517" s="35">
        <f>IFERROR(__xludf.DUMMYFUNCTION("""COMPUTED_VALUE"""),64.4878437624551)</f>
        <v>64.48784376</v>
      </c>
      <c r="P1517" s="35">
        <f>IFERROR(__xludf.DUMMYFUNCTION("""COMPUTED_VALUE"""),1618.0)</f>
        <v>1618</v>
      </c>
      <c r="Q1517" s="35">
        <f>IFERROR(__xludf.DUMMYFUNCTION("""COMPUTED_VALUE"""),2509.0)</f>
        <v>2509</v>
      </c>
    </row>
    <row r="1518">
      <c r="A1518" s="35">
        <f>IFERROR(__xludf.DUMMYFUNCTION("""COMPUTED_VALUE"""),1664.0)</f>
        <v>1664</v>
      </c>
      <c r="B1518" s="35" t="str">
        <f>IFERROR(__xludf.DUMMYFUNCTION("""COMPUTED_VALUE"""),"Find Users With Valid E-Mails")</f>
        <v>Find Users With Valid E-Mails</v>
      </c>
      <c r="C1518" s="35" t="str">
        <f>IFERROR(__xludf.DUMMYFUNCTION("""COMPUTED_VALUE"""),"find-users-with-valid-e-mails")</f>
        <v>find-users-with-valid-e-mails</v>
      </c>
      <c r="D1518" s="35" t="b">
        <f>IFERROR(__xludf.DUMMYFUNCTION("""COMPUTED_VALUE"""),TRUE)</f>
        <v>1</v>
      </c>
      <c r="E1518" s="35" t="str">
        <f>IFERROR(__xludf.DUMMYFUNCTION("""COMPUTED_VALUE"""),"Easy")</f>
        <v>Easy</v>
      </c>
      <c r="F1518" s="35">
        <f>IFERROR(__xludf.DUMMYFUNCTION("""COMPUTED_VALUE"""),92.0)</f>
        <v>92</v>
      </c>
      <c r="G1518" s="35">
        <f>IFERROR(__xludf.DUMMYFUNCTION("""COMPUTED_VALUE"""),59.0)</f>
        <v>59</v>
      </c>
      <c r="H1518" s="35" t="str">
        <f>IFERROR(__xludf.DUMMYFUNCTION("""COMPUTED_VALUE"""),"Database")</f>
        <v>Database</v>
      </c>
      <c r="I1518" s="35">
        <f>IFERROR(__xludf.DUMMYFUNCTION("""COMPUTED_VALUE"""),0.625)</f>
        <v>0.625</v>
      </c>
      <c r="J1518" s="35">
        <f>IFERROR(__xludf.DUMMYFUNCTION("""COMPUTED_VALUE"""),1517.0)</f>
        <v>1517</v>
      </c>
      <c r="K1518" s="35" t="b">
        <f>IFERROR(__xludf.DUMMYFUNCTION("""COMPUTED_VALUE"""),TRUE)</f>
        <v>1</v>
      </c>
      <c r="L1518" s="35" t="str">
        <f>IFERROR(__xludf.DUMMYFUNCTION("""COMPUTED_VALUE"""),"Database;")</f>
        <v>Database;</v>
      </c>
      <c r="M1518" s="35" t="b">
        <f>IFERROR(__xludf.DUMMYFUNCTION("""COMPUTED_VALUE"""),FALSE)</f>
        <v>0</v>
      </c>
      <c r="N1518" s="35" t="b">
        <f>IFERROR(__xludf.DUMMYFUNCTION("""COMPUTED_VALUE"""),FALSE)</f>
        <v>0</v>
      </c>
      <c r="O1518" s="35">
        <f>IFERROR(__xludf.DUMMYFUNCTION("""COMPUTED_VALUE"""),62.477603382785)</f>
        <v>62.47760338</v>
      </c>
      <c r="P1518" s="35">
        <f>IFERROR(__xludf.DUMMYFUNCTION("""COMPUTED_VALUE"""),17434.0)</f>
        <v>17434</v>
      </c>
      <c r="Q1518" s="35">
        <f>IFERROR(__xludf.DUMMYFUNCTION("""COMPUTED_VALUE"""),27905.0)</f>
        <v>27905</v>
      </c>
    </row>
    <row r="1519">
      <c r="A1519" s="35">
        <f>IFERROR(__xludf.DUMMYFUNCTION("""COMPUTED_VALUE"""),1642.0)</f>
        <v>1642</v>
      </c>
      <c r="B1519" s="35" t="str">
        <f>IFERROR(__xludf.DUMMYFUNCTION("""COMPUTED_VALUE"""),"Water Bottles")</f>
        <v>Water Bottles</v>
      </c>
      <c r="C1519" s="35" t="str">
        <f>IFERROR(__xludf.DUMMYFUNCTION("""COMPUTED_VALUE"""),"water-bottles")</f>
        <v>water-bottles</v>
      </c>
      <c r="D1519" s="35" t="b">
        <f>IFERROR(__xludf.DUMMYFUNCTION("""COMPUTED_VALUE"""),FALSE)</f>
        <v>0</v>
      </c>
      <c r="E1519" s="35" t="str">
        <f>IFERROR(__xludf.DUMMYFUNCTION("""COMPUTED_VALUE"""),"Easy")</f>
        <v>Easy</v>
      </c>
      <c r="F1519" s="35">
        <f>IFERROR(__xludf.DUMMYFUNCTION("""COMPUTED_VALUE"""),657.0)</f>
        <v>657</v>
      </c>
      <c r="G1519" s="35">
        <f>IFERROR(__xludf.DUMMYFUNCTION("""COMPUTED_VALUE"""),53.0)</f>
        <v>53</v>
      </c>
      <c r="H1519" s="35" t="str">
        <f>IFERROR(__xludf.DUMMYFUNCTION("""COMPUTED_VALUE"""),"Algorithms")</f>
        <v>Algorithms</v>
      </c>
      <c r="I1519" s="35">
        <f>IFERROR(__xludf.DUMMYFUNCTION("""COMPUTED_VALUE"""),0.605)</f>
        <v>0.605</v>
      </c>
      <c r="J1519" s="35">
        <f>IFERROR(__xludf.DUMMYFUNCTION("""COMPUTED_VALUE"""),1518.0)</f>
        <v>1518</v>
      </c>
      <c r="K1519" s="35" t="b">
        <f>IFERROR(__xludf.DUMMYFUNCTION("""COMPUTED_VALUE"""),FALSE)</f>
        <v>0</v>
      </c>
      <c r="L1519" s="35" t="str">
        <f>IFERROR(__xludf.DUMMYFUNCTION("""COMPUTED_VALUE"""),"Math;Simulation;")</f>
        <v>Math;Simulation;</v>
      </c>
      <c r="M1519" s="35" t="b">
        <f>IFERROR(__xludf.DUMMYFUNCTION("""COMPUTED_VALUE"""),FALSE)</f>
        <v>0</v>
      </c>
      <c r="N1519" s="35" t="b">
        <f>IFERROR(__xludf.DUMMYFUNCTION("""COMPUTED_VALUE"""),FALSE)</f>
        <v>0</v>
      </c>
      <c r="O1519" s="35">
        <f>IFERROR(__xludf.DUMMYFUNCTION("""COMPUTED_VALUE"""),60.4550268601105)</f>
        <v>60.45502686</v>
      </c>
      <c r="P1519" s="35">
        <f>IFERROR(__xludf.DUMMYFUNCTION("""COMPUTED_VALUE"""),47378.0)</f>
        <v>47378</v>
      </c>
      <c r="Q1519" s="35">
        <f>IFERROR(__xludf.DUMMYFUNCTION("""COMPUTED_VALUE"""),78369.0)</f>
        <v>78369</v>
      </c>
    </row>
    <row r="1520">
      <c r="A1520" s="35">
        <f>IFERROR(__xludf.DUMMYFUNCTION("""COMPUTED_VALUE"""),1643.0)</f>
        <v>1643</v>
      </c>
      <c r="B1520" s="35" t="str">
        <f>IFERROR(__xludf.DUMMYFUNCTION("""COMPUTED_VALUE"""),"Number of Nodes in the Sub-Tree With the Same Label")</f>
        <v>Number of Nodes in the Sub-Tree With the Same Label</v>
      </c>
      <c r="C1520" s="35" t="str">
        <f>IFERROR(__xludf.DUMMYFUNCTION("""COMPUTED_VALUE"""),"number-of-nodes-in-the-sub-tree-with-the-same-label")</f>
        <v>number-of-nodes-in-the-sub-tree-with-the-same-label</v>
      </c>
      <c r="D1520" s="35" t="b">
        <f>IFERROR(__xludf.DUMMYFUNCTION("""COMPUTED_VALUE"""),FALSE)</f>
        <v>0</v>
      </c>
      <c r="E1520" s="35" t="str">
        <f>IFERROR(__xludf.DUMMYFUNCTION("""COMPUTED_VALUE"""),"Medium")</f>
        <v>Medium</v>
      </c>
      <c r="F1520" s="35">
        <f>IFERROR(__xludf.DUMMYFUNCTION("""COMPUTED_VALUE"""),366.0)</f>
        <v>366</v>
      </c>
      <c r="G1520" s="35">
        <f>IFERROR(__xludf.DUMMYFUNCTION("""COMPUTED_VALUE"""),348.0)</f>
        <v>348</v>
      </c>
      <c r="H1520" s="35" t="str">
        <f>IFERROR(__xludf.DUMMYFUNCTION("""COMPUTED_VALUE"""),"Algorithms")</f>
        <v>Algorithms</v>
      </c>
      <c r="I1520" s="35">
        <f>IFERROR(__xludf.DUMMYFUNCTION("""COMPUTED_VALUE"""),0.395)</f>
        <v>0.395</v>
      </c>
      <c r="J1520" s="35">
        <f>IFERROR(__xludf.DUMMYFUNCTION("""COMPUTED_VALUE"""),1519.0)</f>
        <v>1519</v>
      </c>
      <c r="K1520" s="35" t="b">
        <f>IFERROR(__xludf.DUMMYFUNCTION("""COMPUTED_VALUE"""),FALSE)</f>
        <v>0</v>
      </c>
      <c r="L1520" s="35" t="str">
        <f>IFERROR(__xludf.DUMMYFUNCTION("""COMPUTED_VALUE"""),"Hash Table;Tree;Depth-First Search;Breadth-First Search;Counting;")</f>
        <v>Hash Table;Tree;Depth-First Search;Breadth-First Search;Counting;</v>
      </c>
      <c r="M1520" s="35" t="b">
        <f>IFERROR(__xludf.DUMMYFUNCTION("""COMPUTED_VALUE"""),FALSE)</f>
        <v>0</v>
      </c>
      <c r="N1520" s="35" t="b">
        <f>IFERROR(__xludf.DUMMYFUNCTION("""COMPUTED_VALUE"""),FALSE)</f>
        <v>0</v>
      </c>
      <c r="O1520" s="35">
        <f>IFERROR(__xludf.DUMMYFUNCTION("""COMPUTED_VALUE"""),39.5079630972322)</f>
        <v>39.5079631</v>
      </c>
      <c r="P1520" s="35">
        <f>IFERROR(__xludf.DUMMYFUNCTION("""COMPUTED_VALUE"""),15802.0)</f>
        <v>15802</v>
      </c>
      <c r="Q1520" s="35">
        <f>IFERROR(__xludf.DUMMYFUNCTION("""COMPUTED_VALUE"""),39997.0)</f>
        <v>39997</v>
      </c>
    </row>
    <row r="1521">
      <c r="A1521" s="35">
        <f>IFERROR(__xludf.DUMMYFUNCTION("""COMPUTED_VALUE"""),1644.0)</f>
        <v>1644</v>
      </c>
      <c r="B1521" s="35" t="str">
        <f>IFERROR(__xludf.DUMMYFUNCTION("""COMPUTED_VALUE"""),"Maximum Number of Non-Overlapping Substrings")</f>
        <v>Maximum Number of Non-Overlapping Substrings</v>
      </c>
      <c r="C1521" s="35" t="str">
        <f>IFERROR(__xludf.DUMMYFUNCTION("""COMPUTED_VALUE"""),"maximum-number-of-non-overlapping-substrings")</f>
        <v>maximum-number-of-non-overlapping-substrings</v>
      </c>
      <c r="D1521" s="35" t="b">
        <f>IFERROR(__xludf.DUMMYFUNCTION("""COMPUTED_VALUE"""),FALSE)</f>
        <v>0</v>
      </c>
      <c r="E1521" s="35" t="str">
        <f>IFERROR(__xludf.DUMMYFUNCTION("""COMPUTED_VALUE"""),"Hard")</f>
        <v>Hard</v>
      </c>
      <c r="F1521" s="35">
        <f>IFERROR(__xludf.DUMMYFUNCTION("""COMPUTED_VALUE"""),453.0)</f>
        <v>453</v>
      </c>
      <c r="G1521" s="35">
        <f>IFERROR(__xludf.DUMMYFUNCTION("""COMPUTED_VALUE"""),55.0)</f>
        <v>55</v>
      </c>
      <c r="H1521" s="35" t="str">
        <f>IFERROR(__xludf.DUMMYFUNCTION("""COMPUTED_VALUE"""),"Algorithms")</f>
        <v>Algorithms</v>
      </c>
      <c r="I1521" s="35">
        <f>IFERROR(__xludf.DUMMYFUNCTION("""COMPUTED_VALUE"""),0.374)</f>
        <v>0.374</v>
      </c>
      <c r="J1521" s="35">
        <f>IFERROR(__xludf.DUMMYFUNCTION("""COMPUTED_VALUE"""),1520.0)</f>
        <v>1520</v>
      </c>
      <c r="K1521" s="35" t="b">
        <f>IFERROR(__xludf.DUMMYFUNCTION("""COMPUTED_VALUE"""),FALSE)</f>
        <v>0</v>
      </c>
      <c r="L1521" s="35" t="str">
        <f>IFERROR(__xludf.DUMMYFUNCTION("""COMPUTED_VALUE"""),"String;Greedy;")</f>
        <v>String;Greedy;</v>
      </c>
      <c r="M1521" s="35" t="b">
        <f>IFERROR(__xludf.DUMMYFUNCTION("""COMPUTED_VALUE"""),FALSE)</f>
        <v>0</v>
      </c>
      <c r="N1521" s="35" t="b">
        <f>IFERROR(__xludf.DUMMYFUNCTION("""COMPUTED_VALUE"""),FALSE)</f>
        <v>0</v>
      </c>
      <c r="O1521" s="35">
        <f>IFERROR(__xludf.DUMMYFUNCTION("""COMPUTED_VALUE"""),37.4134361390733)</f>
        <v>37.41343614</v>
      </c>
      <c r="P1521" s="35">
        <f>IFERROR(__xludf.DUMMYFUNCTION("""COMPUTED_VALUE"""),10481.0)</f>
        <v>10481</v>
      </c>
      <c r="Q1521" s="35">
        <f>IFERROR(__xludf.DUMMYFUNCTION("""COMPUTED_VALUE"""),28014.0)</f>
        <v>28014</v>
      </c>
    </row>
    <row r="1522">
      <c r="A1522" s="35">
        <f>IFERROR(__xludf.DUMMYFUNCTION("""COMPUTED_VALUE"""),1645.0)</f>
        <v>1645</v>
      </c>
      <c r="B1522" s="35" t="str">
        <f>IFERROR(__xludf.DUMMYFUNCTION("""COMPUTED_VALUE"""),"Find a Value of a Mysterious Function Closest to Target")</f>
        <v>Find a Value of a Mysterious Function Closest to Target</v>
      </c>
      <c r="C1522" s="35" t="str">
        <f>IFERROR(__xludf.DUMMYFUNCTION("""COMPUTED_VALUE"""),"find-a-value-of-a-mysterious-function-closest-to-target")</f>
        <v>find-a-value-of-a-mysterious-function-closest-to-target</v>
      </c>
      <c r="D1522" s="35" t="b">
        <f>IFERROR(__xludf.DUMMYFUNCTION("""COMPUTED_VALUE"""),FALSE)</f>
        <v>0</v>
      </c>
      <c r="E1522" s="35" t="str">
        <f>IFERROR(__xludf.DUMMYFUNCTION("""COMPUTED_VALUE"""),"Hard")</f>
        <v>Hard</v>
      </c>
      <c r="F1522" s="35">
        <f>IFERROR(__xludf.DUMMYFUNCTION("""COMPUTED_VALUE"""),255.0)</f>
        <v>255</v>
      </c>
      <c r="G1522" s="35">
        <f>IFERROR(__xludf.DUMMYFUNCTION("""COMPUTED_VALUE"""),10.0)</f>
        <v>10</v>
      </c>
      <c r="H1522" s="35" t="str">
        <f>IFERROR(__xludf.DUMMYFUNCTION("""COMPUTED_VALUE"""),"Algorithms")</f>
        <v>Algorithms</v>
      </c>
      <c r="I1522" s="35">
        <f>IFERROR(__xludf.DUMMYFUNCTION("""COMPUTED_VALUE"""),0.436)</f>
        <v>0.436</v>
      </c>
      <c r="J1522" s="35">
        <f>IFERROR(__xludf.DUMMYFUNCTION("""COMPUTED_VALUE"""),1521.0)</f>
        <v>1521</v>
      </c>
      <c r="K1522" s="35" t="b">
        <f>IFERROR(__xludf.DUMMYFUNCTION("""COMPUTED_VALUE"""),FALSE)</f>
        <v>0</v>
      </c>
      <c r="L1522" s="35" t="str">
        <f>IFERROR(__xludf.DUMMYFUNCTION("""COMPUTED_VALUE"""),"Array;Binary Search;Bit Manipulation;Segment Tree;")</f>
        <v>Array;Binary Search;Bit Manipulation;Segment Tree;</v>
      </c>
      <c r="M1522" s="35" t="b">
        <f>IFERROR(__xludf.DUMMYFUNCTION("""COMPUTED_VALUE"""),FALSE)</f>
        <v>0</v>
      </c>
      <c r="N1522" s="35" t="b">
        <f>IFERROR(__xludf.DUMMYFUNCTION("""COMPUTED_VALUE"""),FALSE)</f>
        <v>0</v>
      </c>
      <c r="O1522" s="35">
        <f>IFERROR(__xludf.DUMMYFUNCTION("""COMPUTED_VALUE"""),43.5823582358235)</f>
        <v>43.58235824</v>
      </c>
      <c r="P1522" s="35">
        <f>IFERROR(__xludf.DUMMYFUNCTION("""COMPUTED_VALUE"""),7263.0)</f>
        <v>7263</v>
      </c>
      <c r="Q1522" s="35">
        <f>IFERROR(__xludf.DUMMYFUNCTION("""COMPUTED_VALUE"""),16665.0)</f>
        <v>16665</v>
      </c>
    </row>
    <row r="1523">
      <c r="A1523" s="35">
        <f>IFERROR(__xludf.DUMMYFUNCTION("""COMPUTED_VALUE"""),1665.0)</f>
        <v>1665</v>
      </c>
      <c r="B1523" s="35" t="str">
        <f>IFERROR(__xludf.DUMMYFUNCTION("""COMPUTED_VALUE"""),"Diameter of N-Ary Tree")</f>
        <v>Diameter of N-Ary Tree</v>
      </c>
      <c r="C1523" s="35" t="str">
        <f>IFERROR(__xludf.DUMMYFUNCTION("""COMPUTED_VALUE"""),"diameter-of-n-ary-tree")</f>
        <v>diameter-of-n-ary-tree</v>
      </c>
      <c r="D1523" s="35" t="b">
        <f>IFERROR(__xludf.DUMMYFUNCTION("""COMPUTED_VALUE"""),TRUE)</f>
        <v>1</v>
      </c>
      <c r="E1523" s="35" t="str">
        <f>IFERROR(__xludf.DUMMYFUNCTION("""COMPUTED_VALUE"""),"Medium")</f>
        <v>Medium</v>
      </c>
      <c r="F1523" s="35">
        <f>IFERROR(__xludf.DUMMYFUNCTION("""COMPUTED_VALUE"""),393.0)</f>
        <v>393</v>
      </c>
      <c r="G1523" s="35">
        <f>IFERROR(__xludf.DUMMYFUNCTION("""COMPUTED_VALUE"""),6.0)</f>
        <v>6</v>
      </c>
      <c r="H1523" s="35" t="str">
        <f>IFERROR(__xludf.DUMMYFUNCTION("""COMPUTED_VALUE"""),"Algorithms")</f>
        <v>Algorithms</v>
      </c>
      <c r="I1523" s="35">
        <f>IFERROR(__xludf.DUMMYFUNCTION("""COMPUTED_VALUE"""),0.73)</f>
        <v>0.73</v>
      </c>
      <c r="J1523" s="35">
        <f>IFERROR(__xludf.DUMMYFUNCTION("""COMPUTED_VALUE"""),1522.0)</f>
        <v>1522</v>
      </c>
      <c r="K1523" s="35" t="b">
        <f>IFERROR(__xludf.DUMMYFUNCTION("""COMPUTED_VALUE"""),TRUE)</f>
        <v>1</v>
      </c>
      <c r="L1523" s="35" t="str">
        <f>IFERROR(__xludf.DUMMYFUNCTION("""COMPUTED_VALUE"""),"Tree;Depth-First Search;")</f>
        <v>Tree;Depth-First Search;</v>
      </c>
      <c r="M1523" s="35" t="b">
        <f>IFERROR(__xludf.DUMMYFUNCTION("""COMPUTED_VALUE"""),TRUE)</f>
        <v>1</v>
      </c>
      <c r="N1523" s="35" t="b">
        <f>IFERROR(__xludf.DUMMYFUNCTION("""COMPUTED_VALUE"""),FALSE)</f>
        <v>0</v>
      </c>
      <c r="O1523" s="35">
        <f>IFERROR(__xludf.DUMMYFUNCTION("""COMPUTED_VALUE"""),72.9769086748491)</f>
        <v>72.97690867</v>
      </c>
      <c r="P1523" s="35">
        <f>IFERROR(__xludf.DUMMYFUNCTION("""COMPUTED_VALUE"""),28063.0)</f>
        <v>28063</v>
      </c>
      <c r="Q1523" s="35">
        <f>IFERROR(__xludf.DUMMYFUNCTION("""COMPUTED_VALUE"""),38455.0)</f>
        <v>38455</v>
      </c>
    </row>
    <row r="1524">
      <c r="A1524" s="35">
        <f>IFERROR(__xludf.DUMMYFUNCTION("""COMPUTED_VALUE"""),1630.0)</f>
        <v>1630</v>
      </c>
      <c r="B1524" s="35" t="str">
        <f>IFERROR(__xludf.DUMMYFUNCTION("""COMPUTED_VALUE"""),"Count Odd Numbers in an Interval Range")</f>
        <v>Count Odd Numbers in an Interval Range</v>
      </c>
      <c r="C1524" s="35" t="str">
        <f>IFERROR(__xludf.DUMMYFUNCTION("""COMPUTED_VALUE"""),"count-odd-numbers-in-an-interval-range")</f>
        <v>count-odd-numbers-in-an-interval-range</v>
      </c>
      <c r="D1524" s="35" t="b">
        <f>IFERROR(__xludf.DUMMYFUNCTION("""COMPUTED_VALUE"""),FALSE)</f>
        <v>0</v>
      </c>
      <c r="E1524" s="35" t="str">
        <f>IFERROR(__xludf.DUMMYFUNCTION("""COMPUTED_VALUE"""),"Easy")</f>
        <v>Easy</v>
      </c>
      <c r="F1524" s="35">
        <f>IFERROR(__xludf.DUMMYFUNCTION("""COMPUTED_VALUE"""),449.0)</f>
        <v>449</v>
      </c>
      <c r="G1524" s="35">
        <f>IFERROR(__xludf.DUMMYFUNCTION("""COMPUTED_VALUE"""),41.0)</f>
        <v>41</v>
      </c>
      <c r="H1524" s="35" t="str">
        <f>IFERROR(__xludf.DUMMYFUNCTION("""COMPUTED_VALUE"""),"Algorithms")</f>
        <v>Algorithms</v>
      </c>
      <c r="I1524" s="35">
        <f>IFERROR(__xludf.DUMMYFUNCTION("""COMPUTED_VALUE"""),0.506)</f>
        <v>0.506</v>
      </c>
      <c r="J1524" s="35">
        <f>IFERROR(__xludf.DUMMYFUNCTION("""COMPUTED_VALUE"""),1523.0)</f>
        <v>1523</v>
      </c>
      <c r="K1524" s="35" t="b">
        <f>IFERROR(__xludf.DUMMYFUNCTION("""COMPUTED_VALUE"""),FALSE)</f>
        <v>0</v>
      </c>
      <c r="L1524" s="35" t="str">
        <f>IFERROR(__xludf.DUMMYFUNCTION("""COMPUTED_VALUE"""),"Math;")</f>
        <v>Math;</v>
      </c>
      <c r="M1524" s="35" t="b">
        <f>IFERROR(__xludf.DUMMYFUNCTION("""COMPUTED_VALUE"""),FALSE)</f>
        <v>0</v>
      </c>
      <c r="N1524" s="35" t="b">
        <f>IFERROR(__xludf.DUMMYFUNCTION("""COMPUTED_VALUE"""),FALSE)</f>
        <v>0</v>
      </c>
      <c r="O1524" s="35">
        <f>IFERROR(__xludf.DUMMYFUNCTION("""COMPUTED_VALUE"""),50.6187034603591)</f>
        <v>50.61870346</v>
      </c>
      <c r="P1524" s="35">
        <f>IFERROR(__xludf.DUMMYFUNCTION("""COMPUTED_VALUE"""),46207.0)</f>
        <v>46207</v>
      </c>
      <c r="Q1524" s="35">
        <f>IFERROR(__xludf.DUMMYFUNCTION("""COMPUTED_VALUE"""),91274.0)</f>
        <v>91274</v>
      </c>
    </row>
    <row r="1525">
      <c r="A1525" s="35">
        <f>IFERROR(__xludf.DUMMYFUNCTION("""COMPUTED_VALUE"""),1631.0)</f>
        <v>1631</v>
      </c>
      <c r="B1525" s="35" t="str">
        <f>IFERROR(__xludf.DUMMYFUNCTION("""COMPUTED_VALUE"""),"Number of Sub-arrays With Odd Sum")</f>
        <v>Number of Sub-arrays With Odd Sum</v>
      </c>
      <c r="C1525" s="35" t="str">
        <f>IFERROR(__xludf.DUMMYFUNCTION("""COMPUTED_VALUE"""),"number-of-sub-arrays-with-odd-sum")</f>
        <v>number-of-sub-arrays-with-odd-sum</v>
      </c>
      <c r="D1525" s="35" t="b">
        <f>IFERROR(__xludf.DUMMYFUNCTION("""COMPUTED_VALUE"""),FALSE)</f>
        <v>0</v>
      </c>
      <c r="E1525" s="35" t="str">
        <f>IFERROR(__xludf.DUMMYFUNCTION("""COMPUTED_VALUE"""),"Medium")</f>
        <v>Medium</v>
      </c>
      <c r="F1525" s="35">
        <f>IFERROR(__xludf.DUMMYFUNCTION("""COMPUTED_VALUE"""),718.0)</f>
        <v>718</v>
      </c>
      <c r="G1525" s="35">
        <f>IFERROR(__xludf.DUMMYFUNCTION("""COMPUTED_VALUE"""),29.0)</f>
        <v>29</v>
      </c>
      <c r="H1525" s="35" t="str">
        <f>IFERROR(__xludf.DUMMYFUNCTION("""COMPUTED_VALUE"""),"Algorithms")</f>
        <v>Algorithms</v>
      </c>
      <c r="I1525" s="35">
        <f>IFERROR(__xludf.DUMMYFUNCTION("""COMPUTED_VALUE"""),0.436)</f>
        <v>0.436</v>
      </c>
      <c r="J1525" s="35">
        <f>IFERROR(__xludf.DUMMYFUNCTION("""COMPUTED_VALUE"""),1524.0)</f>
        <v>1524</v>
      </c>
      <c r="K1525" s="35" t="b">
        <f>IFERROR(__xludf.DUMMYFUNCTION("""COMPUTED_VALUE"""),FALSE)</f>
        <v>0</v>
      </c>
      <c r="L1525" s="35" t="str">
        <f>IFERROR(__xludf.DUMMYFUNCTION("""COMPUTED_VALUE"""),"Array;Math;Dynamic Programming;Prefix Sum;")</f>
        <v>Array;Math;Dynamic Programming;Prefix Sum;</v>
      </c>
      <c r="M1525" s="35" t="b">
        <f>IFERROR(__xludf.DUMMYFUNCTION("""COMPUTED_VALUE"""),FALSE)</f>
        <v>0</v>
      </c>
      <c r="N1525" s="35" t="b">
        <f>IFERROR(__xludf.DUMMYFUNCTION("""COMPUTED_VALUE"""),FALSE)</f>
        <v>0</v>
      </c>
      <c r="O1525" s="35">
        <f>IFERROR(__xludf.DUMMYFUNCTION("""COMPUTED_VALUE"""),43.5998400959424)</f>
        <v>43.5998401</v>
      </c>
      <c r="P1525" s="35">
        <f>IFERROR(__xludf.DUMMYFUNCTION("""COMPUTED_VALUE"""),21813.0)</f>
        <v>21813</v>
      </c>
      <c r="Q1525" s="35">
        <f>IFERROR(__xludf.DUMMYFUNCTION("""COMPUTED_VALUE"""),50030.0)</f>
        <v>50030</v>
      </c>
    </row>
    <row r="1526">
      <c r="A1526" s="35">
        <f>IFERROR(__xludf.DUMMYFUNCTION("""COMPUTED_VALUE"""),1632.0)</f>
        <v>1632</v>
      </c>
      <c r="B1526" s="35" t="str">
        <f>IFERROR(__xludf.DUMMYFUNCTION("""COMPUTED_VALUE"""),"Number of Good Ways to Split a String")</f>
        <v>Number of Good Ways to Split a String</v>
      </c>
      <c r="C1526" s="35" t="str">
        <f>IFERROR(__xludf.DUMMYFUNCTION("""COMPUTED_VALUE"""),"number-of-good-ways-to-split-a-string")</f>
        <v>number-of-good-ways-to-split-a-string</v>
      </c>
      <c r="D1526" s="35" t="b">
        <f>IFERROR(__xludf.DUMMYFUNCTION("""COMPUTED_VALUE"""),FALSE)</f>
        <v>0</v>
      </c>
      <c r="E1526" s="35" t="str">
        <f>IFERROR(__xludf.DUMMYFUNCTION("""COMPUTED_VALUE"""),"Medium")</f>
        <v>Medium</v>
      </c>
      <c r="F1526" s="35">
        <f>IFERROR(__xludf.DUMMYFUNCTION("""COMPUTED_VALUE"""),1251.0)</f>
        <v>1251</v>
      </c>
      <c r="G1526" s="35">
        <f>IFERROR(__xludf.DUMMYFUNCTION("""COMPUTED_VALUE"""),29.0)</f>
        <v>29</v>
      </c>
      <c r="H1526" s="35" t="str">
        <f>IFERROR(__xludf.DUMMYFUNCTION("""COMPUTED_VALUE"""),"Algorithms")</f>
        <v>Algorithms</v>
      </c>
      <c r="I1526" s="35">
        <f>IFERROR(__xludf.DUMMYFUNCTION("""COMPUTED_VALUE"""),0.704)</f>
        <v>0.704</v>
      </c>
      <c r="J1526" s="35">
        <f>IFERROR(__xludf.DUMMYFUNCTION("""COMPUTED_VALUE"""),1525.0)</f>
        <v>1525</v>
      </c>
      <c r="K1526" s="35" t="b">
        <f>IFERROR(__xludf.DUMMYFUNCTION("""COMPUTED_VALUE"""),FALSE)</f>
        <v>0</v>
      </c>
      <c r="L1526" s="35" t="str">
        <f>IFERROR(__xludf.DUMMYFUNCTION("""COMPUTED_VALUE"""),"String;Dynamic Programming;Bit Manipulation;")</f>
        <v>String;Dynamic Programming;Bit Manipulation;</v>
      </c>
      <c r="M1526" s="35" t="b">
        <f>IFERROR(__xludf.DUMMYFUNCTION("""COMPUTED_VALUE"""),FALSE)</f>
        <v>0</v>
      </c>
      <c r="N1526" s="35" t="b">
        <f>IFERROR(__xludf.DUMMYFUNCTION("""COMPUTED_VALUE"""),FALSE)</f>
        <v>0</v>
      </c>
      <c r="O1526" s="35">
        <f>IFERROR(__xludf.DUMMYFUNCTION("""COMPUTED_VALUE"""),70.3592814371257)</f>
        <v>70.35928144</v>
      </c>
      <c r="P1526" s="35">
        <f>IFERROR(__xludf.DUMMYFUNCTION("""COMPUTED_VALUE"""),66505.0)</f>
        <v>66505</v>
      </c>
      <c r="Q1526" s="35">
        <f>IFERROR(__xludf.DUMMYFUNCTION("""COMPUTED_VALUE"""),94521.0)</f>
        <v>94521</v>
      </c>
    </row>
    <row r="1527">
      <c r="A1527" s="35">
        <f>IFERROR(__xludf.DUMMYFUNCTION("""COMPUTED_VALUE"""),1633.0)</f>
        <v>1633</v>
      </c>
      <c r="B1527" s="35" t="str">
        <f>IFERROR(__xludf.DUMMYFUNCTION("""COMPUTED_VALUE"""),"Minimum Number of Increments on Subarrays to Form a Target Array")</f>
        <v>Minimum Number of Increments on Subarrays to Form a Target Array</v>
      </c>
      <c r="C1527" s="35" t="str">
        <f>IFERROR(__xludf.DUMMYFUNCTION("""COMPUTED_VALUE"""),"minimum-number-of-increments-on-subarrays-to-form-a-target-array")</f>
        <v>minimum-number-of-increments-on-subarrays-to-form-a-target-array</v>
      </c>
      <c r="D1527" s="35" t="b">
        <f>IFERROR(__xludf.DUMMYFUNCTION("""COMPUTED_VALUE"""),FALSE)</f>
        <v>0</v>
      </c>
      <c r="E1527" s="35" t="str">
        <f>IFERROR(__xludf.DUMMYFUNCTION("""COMPUTED_VALUE"""),"Hard")</f>
        <v>Hard</v>
      </c>
      <c r="F1527" s="35">
        <f>IFERROR(__xludf.DUMMYFUNCTION("""COMPUTED_VALUE"""),801.0)</f>
        <v>801</v>
      </c>
      <c r="G1527" s="35">
        <f>IFERROR(__xludf.DUMMYFUNCTION("""COMPUTED_VALUE"""),49.0)</f>
        <v>49</v>
      </c>
      <c r="H1527" s="35" t="str">
        <f>IFERROR(__xludf.DUMMYFUNCTION("""COMPUTED_VALUE"""),"Algorithms")</f>
        <v>Algorithms</v>
      </c>
      <c r="I1527" s="35">
        <f>IFERROR(__xludf.DUMMYFUNCTION("""COMPUTED_VALUE"""),0.679)</f>
        <v>0.679</v>
      </c>
      <c r="J1527" s="35">
        <f>IFERROR(__xludf.DUMMYFUNCTION("""COMPUTED_VALUE"""),1526.0)</f>
        <v>1526</v>
      </c>
      <c r="K1527" s="35" t="b">
        <f>IFERROR(__xludf.DUMMYFUNCTION("""COMPUTED_VALUE"""),FALSE)</f>
        <v>0</v>
      </c>
      <c r="L1527" s="35" t="str">
        <f>IFERROR(__xludf.DUMMYFUNCTION("""COMPUTED_VALUE"""),"Array;Dynamic Programming;Stack;Greedy;Monotonic Stack;")</f>
        <v>Array;Dynamic Programming;Stack;Greedy;Monotonic Stack;</v>
      </c>
      <c r="M1527" s="35" t="b">
        <f>IFERROR(__xludf.DUMMYFUNCTION("""COMPUTED_VALUE"""),FALSE)</f>
        <v>0</v>
      </c>
      <c r="N1527" s="35" t="b">
        <f>IFERROR(__xludf.DUMMYFUNCTION("""COMPUTED_VALUE"""),FALSE)</f>
        <v>0</v>
      </c>
      <c r="O1527" s="35">
        <f>IFERROR(__xludf.DUMMYFUNCTION("""COMPUTED_VALUE"""),67.8702463455826)</f>
        <v>67.87024635</v>
      </c>
      <c r="P1527" s="35">
        <f>IFERROR(__xludf.DUMMYFUNCTION("""COMPUTED_VALUE"""),23306.0)</f>
        <v>23306</v>
      </c>
      <c r="Q1527" s="35">
        <f>IFERROR(__xludf.DUMMYFUNCTION("""COMPUTED_VALUE"""),34340.0)</f>
        <v>34340</v>
      </c>
    </row>
    <row r="1528">
      <c r="A1528" s="35">
        <f>IFERROR(__xludf.DUMMYFUNCTION("""COMPUTED_VALUE"""),1670.0)</f>
        <v>1670</v>
      </c>
      <c r="B1528" s="35" t="str">
        <f>IFERROR(__xludf.DUMMYFUNCTION("""COMPUTED_VALUE"""),"Patients With a Condition")</f>
        <v>Patients With a Condition</v>
      </c>
      <c r="C1528" s="35" t="str">
        <f>IFERROR(__xludf.DUMMYFUNCTION("""COMPUTED_VALUE"""),"patients-with-a-condition")</f>
        <v>patients-with-a-condition</v>
      </c>
      <c r="D1528" s="35" t="b">
        <f>IFERROR(__xludf.DUMMYFUNCTION("""COMPUTED_VALUE"""),TRUE)</f>
        <v>1</v>
      </c>
      <c r="E1528" s="35" t="str">
        <f>IFERROR(__xludf.DUMMYFUNCTION("""COMPUTED_VALUE"""),"Easy")</f>
        <v>Easy</v>
      </c>
      <c r="F1528" s="35">
        <f>IFERROR(__xludf.DUMMYFUNCTION("""COMPUTED_VALUE"""),38.0)</f>
        <v>38</v>
      </c>
      <c r="G1528" s="35">
        <f>IFERROR(__xludf.DUMMYFUNCTION("""COMPUTED_VALUE"""),93.0)</f>
        <v>93</v>
      </c>
      <c r="H1528" s="35" t="str">
        <f>IFERROR(__xludf.DUMMYFUNCTION("""COMPUTED_VALUE"""),"Database")</f>
        <v>Database</v>
      </c>
      <c r="I1528" s="35">
        <f>IFERROR(__xludf.DUMMYFUNCTION("""COMPUTED_VALUE"""),0.515)</f>
        <v>0.515</v>
      </c>
      <c r="J1528" s="35">
        <f>IFERROR(__xludf.DUMMYFUNCTION("""COMPUTED_VALUE"""),1527.0)</f>
        <v>1527</v>
      </c>
      <c r="K1528" s="35" t="b">
        <f>IFERROR(__xludf.DUMMYFUNCTION("""COMPUTED_VALUE"""),TRUE)</f>
        <v>1</v>
      </c>
      <c r="L1528" s="35" t="str">
        <f>IFERROR(__xludf.DUMMYFUNCTION("""COMPUTED_VALUE"""),"Database;")</f>
        <v>Database;</v>
      </c>
      <c r="M1528" s="35" t="b">
        <f>IFERROR(__xludf.DUMMYFUNCTION("""COMPUTED_VALUE"""),FALSE)</f>
        <v>0</v>
      </c>
      <c r="N1528" s="35" t="b">
        <f>IFERROR(__xludf.DUMMYFUNCTION("""COMPUTED_VALUE"""),FALSE)</f>
        <v>0</v>
      </c>
      <c r="O1528" s="35">
        <f>IFERROR(__xludf.DUMMYFUNCTION("""COMPUTED_VALUE"""),51.4535372206351)</f>
        <v>51.45353722</v>
      </c>
      <c r="P1528" s="35">
        <f>IFERROR(__xludf.DUMMYFUNCTION("""COMPUTED_VALUE"""),15310.0)</f>
        <v>15310</v>
      </c>
      <c r="Q1528" s="35">
        <f>IFERROR(__xludf.DUMMYFUNCTION("""COMPUTED_VALUE"""),29755.0)</f>
        <v>29755</v>
      </c>
    </row>
    <row r="1529">
      <c r="A1529" s="35">
        <f>IFERROR(__xludf.DUMMYFUNCTION("""COMPUTED_VALUE"""),1651.0)</f>
        <v>1651</v>
      </c>
      <c r="B1529" s="35" t="str">
        <f>IFERROR(__xludf.DUMMYFUNCTION("""COMPUTED_VALUE"""),"Shuffle String")</f>
        <v>Shuffle String</v>
      </c>
      <c r="C1529" s="35" t="str">
        <f>IFERROR(__xludf.DUMMYFUNCTION("""COMPUTED_VALUE"""),"shuffle-string")</f>
        <v>shuffle-string</v>
      </c>
      <c r="D1529" s="35" t="b">
        <f>IFERROR(__xludf.DUMMYFUNCTION("""COMPUTED_VALUE"""),FALSE)</f>
        <v>0</v>
      </c>
      <c r="E1529" s="35" t="str">
        <f>IFERROR(__xludf.DUMMYFUNCTION("""COMPUTED_VALUE"""),"Easy")</f>
        <v>Easy</v>
      </c>
      <c r="F1529" s="35">
        <f>IFERROR(__xludf.DUMMYFUNCTION("""COMPUTED_VALUE"""),1264.0)</f>
        <v>1264</v>
      </c>
      <c r="G1529" s="35">
        <f>IFERROR(__xludf.DUMMYFUNCTION("""COMPUTED_VALUE"""),243.0)</f>
        <v>243</v>
      </c>
      <c r="H1529" s="35" t="str">
        <f>IFERROR(__xludf.DUMMYFUNCTION("""COMPUTED_VALUE"""),"Algorithms")</f>
        <v>Algorithms</v>
      </c>
      <c r="I1529" s="35">
        <f>IFERROR(__xludf.DUMMYFUNCTION("""COMPUTED_VALUE"""),0.858)</f>
        <v>0.858</v>
      </c>
      <c r="J1529" s="35">
        <f>IFERROR(__xludf.DUMMYFUNCTION("""COMPUTED_VALUE"""),1528.0)</f>
        <v>1528</v>
      </c>
      <c r="K1529" s="35" t="b">
        <f>IFERROR(__xludf.DUMMYFUNCTION("""COMPUTED_VALUE"""),FALSE)</f>
        <v>0</v>
      </c>
      <c r="L1529" s="35" t="str">
        <f>IFERROR(__xludf.DUMMYFUNCTION("""COMPUTED_VALUE"""),"Array;String;")</f>
        <v>Array;String;</v>
      </c>
      <c r="M1529" s="35" t="b">
        <f>IFERROR(__xludf.DUMMYFUNCTION("""COMPUTED_VALUE"""),FALSE)</f>
        <v>0</v>
      </c>
      <c r="N1529" s="35" t="b">
        <f>IFERROR(__xludf.DUMMYFUNCTION("""COMPUTED_VALUE"""),FALSE)</f>
        <v>0</v>
      </c>
      <c r="O1529" s="35">
        <f>IFERROR(__xludf.DUMMYFUNCTION("""COMPUTED_VALUE"""),85.7889768353786)</f>
        <v>85.78897684</v>
      </c>
      <c r="P1529" s="35">
        <f>IFERROR(__xludf.DUMMYFUNCTION("""COMPUTED_VALUE"""),189020.0)</f>
        <v>189020</v>
      </c>
      <c r="Q1529" s="35">
        <f>IFERROR(__xludf.DUMMYFUNCTION("""COMPUTED_VALUE"""),220332.0)</f>
        <v>220332</v>
      </c>
    </row>
    <row r="1530">
      <c r="A1530" s="35">
        <f>IFERROR(__xludf.DUMMYFUNCTION("""COMPUTED_VALUE"""),1652.0)</f>
        <v>1652</v>
      </c>
      <c r="B1530" s="35" t="str">
        <f>IFERROR(__xludf.DUMMYFUNCTION("""COMPUTED_VALUE"""),"Minimum Suffix Flips")</f>
        <v>Minimum Suffix Flips</v>
      </c>
      <c r="C1530" s="35" t="str">
        <f>IFERROR(__xludf.DUMMYFUNCTION("""COMPUTED_VALUE"""),"minimum-suffix-flips")</f>
        <v>minimum-suffix-flips</v>
      </c>
      <c r="D1530" s="35" t="b">
        <f>IFERROR(__xludf.DUMMYFUNCTION("""COMPUTED_VALUE"""),FALSE)</f>
        <v>0</v>
      </c>
      <c r="E1530" s="35" t="str">
        <f>IFERROR(__xludf.DUMMYFUNCTION("""COMPUTED_VALUE"""),"Medium")</f>
        <v>Medium</v>
      </c>
      <c r="F1530" s="35">
        <f>IFERROR(__xludf.DUMMYFUNCTION("""COMPUTED_VALUE"""),611.0)</f>
        <v>611</v>
      </c>
      <c r="G1530" s="35">
        <f>IFERROR(__xludf.DUMMYFUNCTION("""COMPUTED_VALUE"""),30.0)</f>
        <v>30</v>
      </c>
      <c r="H1530" s="35" t="str">
        <f>IFERROR(__xludf.DUMMYFUNCTION("""COMPUTED_VALUE"""),"Algorithms")</f>
        <v>Algorithms</v>
      </c>
      <c r="I1530" s="35">
        <f>IFERROR(__xludf.DUMMYFUNCTION("""COMPUTED_VALUE"""),0.724)</f>
        <v>0.724</v>
      </c>
      <c r="J1530" s="35">
        <f>IFERROR(__xludf.DUMMYFUNCTION("""COMPUTED_VALUE"""),1529.0)</f>
        <v>1529</v>
      </c>
      <c r="K1530" s="35" t="b">
        <f>IFERROR(__xludf.DUMMYFUNCTION("""COMPUTED_VALUE"""),FALSE)</f>
        <v>0</v>
      </c>
      <c r="L1530" s="35" t="str">
        <f>IFERROR(__xludf.DUMMYFUNCTION("""COMPUTED_VALUE"""),"String;Greedy;")</f>
        <v>String;Greedy;</v>
      </c>
      <c r="M1530" s="35" t="b">
        <f>IFERROR(__xludf.DUMMYFUNCTION("""COMPUTED_VALUE"""),FALSE)</f>
        <v>0</v>
      </c>
      <c r="N1530" s="35" t="b">
        <f>IFERROR(__xludf.DUMMYFUNCTION("""COMPUTED_VALUE"""),FALSE)</f>
        <v>0</v>
      </c>
      <c r="O1530" s="35">
        <f>IFERROR(__xludf.DUMMYFUNCTION("""COMPUTED_VALUE"""),72.418957214939)</f>
        <v>72.41895721</v>
      </c>
      <c r="P1530" s="35">
        <f>IFERROR(__xludf.DUMMYFUNCTION("""COMPUTED_VALUE"""),31431.0)</f>
        <v>31431</v>
      </c>
      <c r="Q1530" s="35">
        <f>IFERROR(__xludf.DUMMYFUNCTION("""COMPUTED_VALUE"""),43402.0)</f>
        <v>43402</v>
      </c>
    </row>
    <row r="1531">
      <c r="A1531" s="35">
        <f>IFERROR(__xludf.DUMMYFUNCTION("""COMPUTED_VALUE"""),1653.0)</f>
        <v>1653</v>
      </c>
      <c r="B1531" s="35" t="str">
        <f>IFERROR(__xludf.DUMMYFUNCTION("""COMPUTED_VALUE"""),"Number of Good Leaf Nodes Pairs")</f>
        <v>Number of Good Leaf Nodes Pairs</v>
      </c>
      <c r="C1531" s="35" t="str">
        <f>IFERROR(__xludf.DUMMYFUNCTION("""COMPUTED_VALUE"""),"number-of-good-leaf-nodes-pairs")</f>
        <v>number-of-good-leaf-nodes-pairs</v>
      </c>
      <c r="D1531" s="35" t="b">
        <f>IFERROR(__xludf.DUMMYFUNCTION("""COMPUTED_VALUE"""),FALSE)</f>
        <v>0</v>
      </c>
      <c r="E1531" s="35" t="str">
        <f>IFERROR(__xludf.DUMMYFUNCTION("""COMPUTED_VALUE"""),"Medium")</f>
        <v>Medium</v>
      </c>
      <c r="F1531" s="35">
        <f>IFERROR(__xludf.DUMMYFUNCTION("""COMPUTED_VALUE"""),1025.0)</f>
        <v>1025</v>
      </c>
      <c r="G1531" s="35">
        <f>IFERROR(__xludf.DUMMYFUNCTION("""COMPUTED_VALUE"""),21.0)</f>
        <v>21</v>
      </c>
      <c r="H1531" s="35" t="str">
        <f>IFERROR(__xludf.DUMMYFUNCTION("""COMPUTED_VALUE"""),"Algorithms")</f>
        <v>Algorithms</v>
      </c>
      <c r="I1531" s="35">
        <f>IFERROR(__xludf.DUMMYFUNCTION("""COMPUTED_VALUE"""),0.595)</f>
        <v>0.595</v>
      </c>
      <c r="J1531" s="35">
        <f>IFERROR(__xludf.DUMMYFUNCTION("""COMPUTED_VALUE"""),1530.0)</f>
        <v>1530</v>
      </c>
      <c r="K1531" s="35" t="b">
        <f>IFERROR(__xludf.DUMMYFUNCTION("""COMPUTED_VALUE"""),FALSE)</f>
        <v>0</v>
      </c>
      <c r="L1531" s="35" t="str">
        <f>IFERROR(__xludf.DUMMYFUNCTION("""COMPUTED_VALUE"""),"Tree;Depth-First Search;Binary Tree;")</f>
        <v>Tree;Depth-First Search;Binary Tree;</v>
      </c>
      <c r="M1531" s="35" t="b">
        <f>IFERROR(__xludf.DUMMYFUNCTION("""COMPUTED_VALUE"""),FALSE)</f>
        <v>0</v>
      </c>
      <c r="N1531" s="35" t="b">
        <f>IFERROR(__xludf.DUMMYFUNCTION("""COMPUTED_VALUE"""),FALSE)</f>
        <v>0</v>
      </c>
      <c r="O1531" s="35">
        <f>IFERROR(__xludf.DUMMYFUNCTION("""COMPUTED_VALUE"""),59.4855702708045)</f>
        <v>59.48557027</v>
      </c>
      <c r="P1531" s="35">
        <f>IFERROR(__xludf.DUMMYFUNCTION("""COMPUTED_VALUE"""),24075.0)</f>
        <v>24075</v>
      </c>
      <c r="Q1531" s="35">
        <f>IFERROR(__xludf.DUMMYFUNCTION("""COMPUTED_VALUE"""),40472.0)</f>
        <v>40472</v>
      </c>
    </row>
    <row r="1532">
      <c r="A1532" s="35">
        <f>IFERROR(__xludf.DUMMYFUNCTION("""COMPUTED_VALUE"""),1637.0)</f>
        <v>1637</v>
      </c>
      <c r="B1532" s="35" t="str">
        <f>IFERROR(__xludf.DUMMYFUNCTION("""COMPUTED_VALUE"""),"String Compression II")</f>
        <v>String Compression II</v>
      </c>
      <c r="C1532" s="35" t="str">
        <f>IFERROR(__xludf.DUMMYFUNCTION("""COMPUTED_VALUE"""),"string-compression-ii")</f>
        <v>string-compression-ii</v>
      </c>
      <c r="D1532" s="35" t="b">
        <f>IFERROR(__xludf.DUMMYFUNCTION("""COMPUTED_VALUE"""),FALSE)</f>
        <v>0</v>
      </c>
      <c r="E1532" s="35" t="str">
        <f>IFERROR(__xludf.DUMMYFUNCTION("""COMPUTED_VALUE"""),"Hard")</f>
        <v>Hard</v>
      </c>
      <c r="F1532" s="35">
        <f>IFERROR(__xludf.DUMMYFUNCTION("""COMPUTED_VALUE"""),440.0)</f>
        <v>440</v>
      </c>
      <c r="G1532" s="35">
        <f>IFERROR(__xludf.DUMMYFUNCTION("""COMPUTED_VALUE"""),47.0)</f>
        <v>47</v>
      </c>
      <c r="H1532" s="35" t="str">
        <f>IFERROR(__xludf.DUMMYFUNCTION("""COMPUTED_VALUE"""),"Algorithms")</f>
        <v>Algorithms</v>
      </c>
      <c r="I1532" s="35">
        <f>IFERROR(__xludf.DUMMYFUNCTION("""COMPUTED_VALUE"""),0.376)</f>
        <v>0.376</v>
      </c>
      <c r="J1532" s="35">
        <f>IFERROR(__xludf.DUMMYFUNCTION("""COMPUTED_VALUE"""),1531.0)</f>
        <v>1531</v>
      </c>
      <c r="K1532" s="35" t="b">
        <f>IFERROR(__xludf.DUMMYFUNCTION("""COMPUTED_VALUE"""),FALSE)</f>
        <v>0</v>
      </c>
      <c r="L1532" s="35" t="str">
        <f>IFERROR(__xludf.DUMMYFUNCTION("""COMPUTED_VALUE"""),"String;Dynamic Programming;")</f>
        <v>String;Dynamic Programming;</v>
      </c>
      <c r="M1532" s="35" t="b">
        <f>IFERROR(__xludf.DUMMYFUNCTION("""COMPUTED_VALUE"""),FALSE)</f>
        <v>0</v>
      </c>
      <c r="N1532" s="35" t="b">
        <f>IFERROR(__xludf.DUMMYFUNCTION("""COMPUTED_VALUE"""),FALSE)</f>
        <v>0</v>
      </c>
      <c r="O1532" s="35">
        <f>IFERROR(__xludf.DUMMYFUNCTION("""COMPUTED_VALUE"""),37.5953100273341)</f>
        <v>37.59531003</v>
      </c>
      <c r="P1532" s="35">
        <f>IFERROR(__xludf.DUMMYFUNCTION("""COMPUTED_VALUE"""),10453.0)</f>
        <v>10453</v>
      </c>
      <c r="Q1532" s="35">
        <f>IFERROR(__xludf.DUMMYFUNCTION("""COMPUTED_VALUE"""),27803.0)</f>
        <v>27803</v>
      </c>
    </row>
    <row r="1533">
      <c r="A1533" s="35">
        <f>IFERROR(__xludf.DUMMYFUNCTION("""COMPUTED_VALUE"""),1671.0)</f>
        <v>1671</v>
      </c>
      <c r="B1533" s="35" t="str">
        <f>IFERROR(__xludf.DUMMYFUNCTION("""COMPUTED_VALUE"""),"The Most Recent Three Orders")</f>
        <v>The Most Recent Three Orders</v>
      </c>
      <c r="C1533" s="35" t="str">
        <f>IFERROR(__xludf.DUMMYFUNCTION("""COMPUTED_VALUE"""),"the-most-recent-three-orders")</f>
        <v>the-most-recent-three-orders</v>
      </c>
      <c r="D1533" s="35" t="b">
        <f>IFERROR(__xludf.DUMMYFUNCTION("""COMPUTED_VALUE"""),TRUE)</f>
        <v>1</v>
      </c>
      <c r="E1533" s="35" t="str">
        <f>IFERROR(__xludf.DUMMYFUNCTION("""COMPUTED_VALUE"""),"Medium")</f>
        <v>Medium</v>
      </c>
      <c r="F1533" s="35">
        <f>IFERROR(__xludf.DUMMYFUNCTION("""COMPUTED_VALUE"""),80.0)</f>
        <v>80</v>
      </c>
      <c r="G1533" s="35">
        <f>IFERROR(__xludf.DUMMYFUNCTION("""COMPUTED_VALUE"""),5.0)</f>
        <v>5</v>
      </c>
      <c r="H1533" s="35" t="str">
        <f>IFERROR(__xludf.DUMMYFUNCTION("""COMPUTED_VALUE"""),"Database")</f>
        <v>Database</v>
      </c>
      <c r="I1533" s="35">
        <f>IFERROR(__xludf.DUMMYFUNCTION("""COMPUTED_VALUE"""),0.712)</f>
        <v>0.712</v>
      </c>
      <c r="J1533" s="35">
        <f>IFERROR(__xludf.DUMMYFUNCTION("""COMPUTED_VALUE"""),1532.0)</f>
        <v>1532</v>
      </c>
      <c r="K1533" s="35" t="b">
        <f>IFERROR(__xludf.DUMMYFUNCTION("""COMPUTED_VALUE"""),TRUE)</f>
        <v>1</v>
      </c>
      <c r="L1533" s="35" t="str">
        <f>IFERROR(__xludf.DUMMYFUNCTION("""COMPUTED_VALUE"""),"Database;")</f>
        <v>Database;</v>
      </c>
      <c r="M1533" s="35" t="b">
        <f>IFERROR(__xludf.DUMMYFUNCTION("""COMPUTED_VALUE"""),FALSE)</f>
        <v>0</v>
      </c>
      <c r="N1533" s="35" t="b">
        <f>IFERROR(__xludf.DUMMYFUNCTION("""COMPUTED_VALUE"""),FALSE)</f>
        <v>0</v>
      </c>
      <c r="O1533" s="35">
        <f>IFERROR(__xludf.DUMMYFUNCTION("""COMPUTED_VALUE"""),71.197556823871)</f>
        <v>71.19755682</v>
      </c>
      <c r="P1533" s="35">
        <f>IFERROR(__xludf.DUMMYFUNCTION("""COMPUTED_VALUE"""),14221.0)</f>
        <v>14221</v>
      </c>
      <c r="Q1533" s="35">
        <f>IFERROR(__xludf.DUMMYFUNCTION("""COMPUTED_VALUE"""),19974.0)</f>
        <v>19974</v>
      </c>
    </row>
    <row r="1534">
      <c r="A1534" s="35">
        <f>IFERROR(__xludf.DUMMYFUNCTION("""COMPUTED_VALUE"""),1672.0)</f>
        <v>1672</v>
      </c>
      <c r="B1534" s="35" t="str">
        <f>IFERROR(__xludf.DUMMYFUNCTION("""COMPUTED_VALUE"""),"Find the Index of the Large Integer")</f>
        <v>Find the Index of the Large Integer</v>
      </c>
      <c r="C1534" s="35" t="str">
        <f>IFERROR(__xludf.DUMMYFUNCTION("""COMPUTED_VALUE"""),"find-the-index-of-the-large-integer")</f>
        <v>find-the-index-of-the-large-integer</v>
      </c>
      <c r="D1534" s="35" t="b">
        <f>IFERROR(__xludf.DUMMYFUNCTION("""COMPUTED_VALUE"""),TRUE)</f>
        <v>1</v>
      </c>
      <c r="E1534" s="35" t="str">
        <f>IFERROR(__xludf.DUMMYFUNCTION("""COMPUTED_VALUE"""),"Medium")</f>
        <v>Medium</v>
      </c>
      <c r="F1534" s="35">
        <f>IFERROR(__xludf.DUMMYFUNCTION("""COMPUTED_VALUE"""),80.0)</f>
        <v>80</v>
      </c>
      <c r="G1534" s="35">
        <f>IFERROR(__xludf.DUMMYFUNCTION("""COMPUTED_VALUE"""),11.0)</f>
        <v>11</v>
      </c>
      <c r="H1534" s="35" t="str">
        <f>IFERROR(__xludf.DUMMYFUNCTION("""COMPUTED_VALUE"""),"Algorithms")</f>
        <v>Algorithms</v>
      </c>
      <c r="I1534" s="35">
        <f>IFERROR(__xludf.DUMMYFUNCTION("""COMPUTED_VALUE"""),0.507)</f>
        <v>0.507</v>
      </c>
      <c r="J1534" s="35">
        <f>IFERROR(__xludf.DUMMYFUNCTION("""COMPUTED_VALUE"""),1533.0)</f>
        <v>1533</v>
      </c>
      <c r="K1534" s="35" t="b">
        <f>IFERROR(__xludf.DUMMYFUNCTION("""COMPUTED_VALUE"""),TRUE)</f>
        <v>1</v>
      </c>
      <c r="L1534" s="35" t="str">
        <f>IFERROR(__xludf.DUMMYFUNCTION("""COMPUTED_VALUE"""),"Array;Binary Search;Interactive;")</f>
        <v>Array;Binary Search;Interactive;</v>
      </c>
      <c r="M1534" s="35" t="b">
        <f>IFERROR(__xludf.DUMMYFUNCTION("""COMPUTED_VALUE"""),FALSE)</f>
        <v>0</v>
      </c>
      <c r="N1534" s="35" t="b">
        <f>IFERROR(__xludf.DUMMYFUNCTION("""COMPUTED_VALUE"""),FALSE)</f>
        <v>0</v>
      </c>
      <c r="O1534" s="35">
        <f>IFERROR(__xludf.DUMMYFUNCTION("""COMPUTED_VALUE"""),50.7162570640031)</f>
        <v>50.71625706</v>
      </c>
      <c r="P1534" s="35">
        <f>IFERROR(__xludf.DUMMYFUNCTION("""COMPUTED_VALUE"""),3859.0)</f>
        <v>3859</v>
      </c>
      <c r="Q1534" s="35">
        <f>IFERROR(__xludf.DUMMYFUNCTION("""COMPUTED_VALUE"""),7609.0)</f>
        <v>7609</v>
      </c>
    </row>
    <row r="1535">
      <c r="A1535" s="35">
        <f>IFERROR(__xludf.DUMMYFUNCTION("""COMPUTED_VALUE"""),1656.0)</f>
        <v>1656</v>
      </c>
      <c r="B1535" s="35" t="str">
        <f>IFERROR(__xludf.DUMMYFUNCTION("""COMPUTED_VALUE"""),"Count Good Triplets")</f>
        <v>Count Good Triplets</v>
      </c>
      <c r="C1535" s="35" t="str">
        <f>IFERROR(__xludf.DUMMYFUNCTION("""COMPUTED_VALUE"""),"count-good-triplets")</f>
        <v>count-good-triplets</v>
      </c>
      <c r="D1535" s="35" t="b">
        <f>IFERROR(__xludf.DUMMYFUNCTION("""COMPUTED_VALUE"""),FALSE)</f>
        <v>0</v>
      </c>
      <c r="E1535" s="35" t="str">
        <f>IFERROR(__xludf.DUMMYFUNCTION("""COMPUTED_VALUE"""),"Easy")</f>
        <v>Easy</v>
      </c>
      <c r="F1535" s="35">
        <f>IFERROR(__xludf.DUMMYFUNCTION("""COMPUTED_VALUE"""),398.0)</f>
        <v>398</v>
      </c>
      <c r="G1535" s="35">
        <f>IFERROR(__xludf.DUMMYFUNCTION("""COMPUTED_VALUE"""),844.0)</f>
        <v>844</v>
      </c>
      <c r="H1535" s="35" t="str">
        <f>IFERROR(__xludf.DUMMYFUNCTION("""COMPUTED_VALUE"""),"Algorithms")</f>
        <v>Algorithms</v>
      </c>
      <c r="I1535" s="35">
        <f>IFERROR(__xludf.DUMMYFUNCTION("""COMPUTED_VALUE"""),0.805)</f>
        <v>0.805</v>
      </c>
      <c r="J1535" s="35">
        <f>IFERROR(__xludf.DUMMYFUNCTION("""COMPUTED_VALUE"""),1534.0)</f>
        <v>1534</v>
      </c>
      <c r="K1535" s="35" t="b">
        <f>IFERROR(__xludf.DUMMYFUNCTION("""COMPUTED_VALUE"""),FALSE)</f>
        <v>0</v>
      </c>
      <c r="L1535" s="35" t="str">
        <f>IFERROR(__xludf.DUMMYFUNCTION("""COMPUTED_VALUE"""),"Array;Enumeration;")</f>
        <v>Array;Enumeration;</v>
      </c>
      <c r="M1535" s="35" t="b">
        <f>IFERROR(__xludf.DUMMYFUNCTION("""COMPUTED_VALUE"""),FALSE)</f>
        <v>0</v>
      </c>
      <c r="N1535" s="35" t="b">
        <f>IFERROR(__xludf.DUMMYFUNCTION("""COMPUTED_VALUE"""),FALSE)</f>
        <v>0</v>
      </c>
      <c r="O1535" s="35">
        <f>IFERROR(__xludf.DUMMYFUNCTION("""COMPUTED_VALUE"""),80.5170374542382)</f>
        <v>80.51703745</v>
      </c>
      <c r="P1535" s="35">
        <f>IFERROR(__xludf.DUMMYFUNCTION("""COMPUTED_VALUE"""),71478.0)</f>
        <v>71478</v>
      </c>
      <c r="Q1535" s="35">
        <f>IFERROR(__xludf.DUMMYFUNCTION("""COMPUTED_VALUE"""),88774.0)</f>
        <v>88774</v>
      </c>
    </row>
    <row r="1536">
      <c r="A1536" s="35">
        <f>IFERROR(__xludf.DUMMYFUNCTION("""COMPUTED_VALUE"""),1657.0)</f>
        <v>1657</v>
      </c>
      <c r="B1536" s="35" t="str">
        <f>IFERROR(__xludf.DUMMYFUNCTION("""COMPUTED_VALUE"""),"Find the Winner of an Array Game")</f>
        <v>Find the Winner of an Array Game</v>
      </c>
      <c r="C1536" s="35" t="str">
        <f>IFERROR(__xludf.DUMMYFUNCTION("""COMPUTED_VALUE"""),"find-the-winner-of-an-array-game")</f>
        <v>find-the-winner-of-an-array-game</v>
      </c>
      <c r="D1536" s="35" t="b">
        <f>IFERROR(__xludf.DUMMYFUNCTION("""COMPUTED_VALUE"""),FALSE)</f>
        <v>0</v>
      </c>
      <c r="E1536" s="35" t="str">
        <f>IFERROR(__xludf.DUMMYFUNCTION("""COMPUTED_VALUE"""),"Medium")</f>
        <v>Medium</v>
      </c>
      <c r="F1536" s="35">
        <f>IFERROR(__xludf.DUMMYFUNCTION("""COMPUTED_VALUE"""),440.0)</f>
        <v>440</v>
      </c>
      <c r="G1536" s="35">
        <f>IFERROR(__xludf.DUMMYFUNCTION("""COMPUTED_VALUE"""),25.0)</f>
        <v>25</v>
      </c>
      <c r="H1536" s="35" t="str">
        <f>IFERROR(__xludf.DUMMYFUNCTION("""COMPUTED_VALUE"""),"Algorithms")</f>
        <v>Algorithms</v>
      </c>
      <c r="I1536" s="35">
        <f>IFERROR(__xludf.DUMMYFUNCTION("""COMPUTED_VALUE"""),0.488)</f>
        <v>0.488</v>
      </c>
      <c r="J1536" s="35">
        <f>IFERROR(__xludf.DUMMYFUNCTION("""COMPUTED_VALUE"""),1535.0)</f>
        <v>1535</v>
      </c>
      <c r="K1536" s="35" t="b">
        <f>IFERROR(__xludf.DUMMYFUNCTION("""COMPUTED_VALUE"""),FALSE)</f>
        <v>0</v>
      </c>
      <c r="L1536" s="35" t="str">
        <f>IFERROR(__xludf.DUMMYFUNCTION("""COMPUTED_VALUE"""),"Array;Simulation;")</f>
        <v>Array;Simulation;</v>
      </c>
      <c r="M1536" s="35" t="b">
        <f>IFERROR(__xludf.DUMMYFUNCTION("""COMPUTED_VALUE"""),FALSE)</f>
        <v>0</v>
      </c>
      <c r="N1536" s="35" t="b">
        <f>IFERROR(__xludf.DUMMYFUNCTION("""COMPUTED_VALUE"""),FALSE)</f>
        <v>0</v>
      </c>
      <c r="O1536" s="35">
        <f>IFERROR(__xludf.DUMMYFUNCTION("""COMPUTED_VALUE"""),48.7902730585008)</f>
        <v>48.79027306</v>
      </c>
      <c r="P1536" s="35">
        <f>IFERROR(__xludf.DUMMYFUNCTION("""COMPUTED_VALUE"""),23836.0)</f>
        <v>23836</v>
      </c>
      <c r="Q1536" s="35">
        <f>IFERROR(__xludf.DUMMYFUNCTION("""COMPUTED_VALUE"""),48853.0)</f>
        <v>48853</v>
      </c>
    </row>
    <row r="1537">
      <c r="A1537" s="35">
        <f>IFERROR(__xludf.DUMMYFUNCTION("""COMPUTED_VALUE"""),1658.0)</f>
        <v>1658</v>
      </c>
      <c r="B1537" s="35" t="str">
        <f>IFERROR(__xludf.DUMMYFUNCTION("""COMPUTED_VALUE"""),"Minimum Swaps to Arrange a Binary Grid")</f>
        <v>Minimum Swaps to Arrange a Binary Grid</v>
      </c>
      <c r="C1537" s="35" t="str">
        <f>IFERROR(__xludf.DUMMYFUNCTION("""COMPUTED_VALUE"""),"minimum-swaps-to-arrange-a-binary-grid")</f>
        <v>minimum-swaps-to-arrange-a-binary-grid</v>
      </c>
      <c r="D1537" s="35" t="b">
        <f>IFERROR(__xludf.DUMMYFUNCTION("""COMPUTED_VALUE"""),FALSE)</f>
        <v>0</v>
      </c>
      <c r="E1537" s="35" t="str">
        <f>IFERROR(__xludf.DUMMYFUNCTION("""COMPUTED_VALUE"""),"Medium")</f>
        <v>Medium</v>
      </c>
      <c r="F1537" s="35">
        <f>IFERROR(__xludf.DUMMYFUNCTION("""COMPUTED_VALUE"""),415.0)</f>
        <v>415</v>
      </c>
      <c r="G1537" s="35">
        <f>IFERROR(__xludf.DUMMYFUNCTION("""COMPUTED_VALUE"""),59.0)</f>
        <v>59</v>
      </c>
      <c r="H1537" s="35" t="str">
        <f>IFERROR(__xludf.DUMMYFUNCTION("""COMPUTED_VALUE"""),"Algorithms")</f>
        <v>Algorithms</v>
      </c>
      <c r="I1537" s="35">
        <f>IFERROR(__xludf.DUMMYFUNCTION("""COMPUTED_VALUE"""),0.456)</f>
        <v>0.456</v>
      </c>
      <c r="J1537" s="35">
        <f>IFERROR(__xludf.DUMMYFUNCTION("""COMPUTED_VALUE"""),1536.0)</f>
        <v>1536</v>
      </c>
      <c r="K1537" s="35" t="b">
        <f>IFERROR(__xludf.DUMMYFUNCTION("""COMPUTED_VALUE"""),FALSE)</f>
        <v>0</v>
      </c>
      <c r="L1537" s="35" t="str">
        <f>IFERROR(__xludf.DUMMYFUNCTION("""COMPUTED_VALUE"""),"Array;Greedy;Matrix;")</f>
        <v>Array;Greedy;Matrix;</v>
      </c>
      <c r="M1537" s="35" t="b">
        <f>IFERROR(__xludf.DUMMYFUNCTION("""COMPUTED_VALUE"""),FALSE)</f>
        <v>0</v>
      </c>
      <c r="N1537" s="35" t="b">
        <f>IFERROR(__xludf.DUMMYFUNCTION("""COMPUTED_VALUE"""),FALSE)</f>
        <v>0</v>
      </c>
      <c r="O1537" s="35">
        <f>IFERROR(__xludf.DUMMYFUNCTION("""COMPUTED_VALUE"""),45.5977718656468)</f>
        <v>45.59777187</v>
      </c>
      <c r="P1537" s="35">
        <f>IFERROR(__xludf.DUMMYFUNCTION("""COMPUTED_VALUE"""),10969.0)</f>
        <v>10969</v>
      </c>
      <c r="Q1537" s="35">
        <f>IFERROR(__xludf.DUMMYFUNCTION("""COMPUTED_VALUE"""),24056.0)</f>
        <v>24056</v>
      </c>
    </row>
    <row r="1538">
      <c r="A1538" s="35">
        <f>IFERROR(__xludf.DUMMYFUNCTION("""COMPUTED_VALUE"""),1659.0)</f>
        <v>1659</v>
      </c>
      <c r="B1538" s="35" t="str">
        <f>IFERROR(__xludf.DUMMYFUNCTION("""COMPUTED_VALUE"""),"Get the Maximum Score")</f>
        <v>Get the Maximum Score</v>
      </c>
      <c r="C1538" s="35" t="str">
        <f>IFERROR(__xludf.DUMMYFUNCTION("""COMPUTED_VALUE"""),"get-the-maximum-score")</f>
        <v>get-the-maximum-score</v>
      </c>
      <c r="D1538" s="35" t="b">
        <f>IFERROR(__xludf.DUMMYFUNCTION("""COMPUTED_VALUE"""),FALSE)</f>
        <v>0</v>
      </c>
      <c r="E1538" s="35" t="str">
        <f>IFERROR(__xludf.DUMMYFUNCTION("""COMPUTED_VALUE"""),"Hard")</f>
        <v>Hard</v>
      </c>
      <c r="F1538" s="35">
        <f>IFERROR(__xludf.DUMMYFUNCTION("""COMPUTED_VALUE"""),552.0)</f>
        <v>552</v>
      </c>
      <c r="G1538" s="35">
        <f>IFERROR(__xludf.DUMMYFUNCTION("""COMPUTED_VALUE"""),32.0)</f>
        <v>32</v>
      </c>
      <c r="H1538" s="35" t="str">
        <f>IFERROR(__xludf.DUMMYFUNCTION("""COMPUTED_VALUE"""),"Algorithms")</f>
        <v>Algorithms</v>
      </c>
      <c r="I1538" s="35">
        <f>IFERROR(__xludf.DUMMYFUNCTION("""COMPUTED_VALUE"""),0.39)</f>
        <v>0.39</v>
      </c>
      <c r="J1538" s="35">
        <f>IFERROR(__xludf.DUMMYFUNCTION("""COMPUTED_VALUE"""),1537.0)</f>
        <v>1537</v>
      </c>
      <c r="K1538" s="35" t="b">
        <f>IFERROR(__xludf.DUMMYFUNCTION("""COMPUTED_VALUE"""),FALSE)</f>
        <v>0</v>
      </c>
      <c r="L1538" s="35" t="str">
        <f>IFERROR(__xludf.DUMMYFUNCTION("""COMPUTED_VALUE"""),"Array;Two Pointers;Dynamic Programming;Greedy;")</f>
        <v>Array;Two Pointers;Dynamic Programming;Greedy;</v>
      </c>
      <c r="M1538" s="35" t="b">
        <f>IFERROR(__xludf.DUMMYFUNCTION("""COMPUTED_VALUE"""),FALSE)</f>
        <v>0</v>
      </c>
      <c r="N1538" s="35" t="b">
        <f>IFERROR(__xludf.DUMMYFUNCTION("""COMPUTED_VALUE"""),FALSE)</f>
        <v>0</v>
      </c>
      <c r="O1538" s="35">
        <f>IFERROR(__xludf.DUMMYFUNCTION("""COMPUTED_VALUE"""),38.9633009518202)</f>
        <v>38.96330095</v>
      </c>
      <c r="P1538" s="35">
        <f>IFERROR(__xludf.DUMMYFUNCTION("""COMPUTED_VALUE"""),15883.0)</f>
        <v>15883</v>
      </c>
      <c r="Q1538" s="35">
        <f>IFERROR(__xludf.DUMMYFUNCTION("""COMPUTED_VALUE"""),40764.0)</f>
        <v>40764</v>
      </c>
    </row>
    <row r="1539">
      <c r="A1539" s="35">
        <f>IFERROR(__xludf.DUMMYFUNCTION("""COMPUTED_VALUE"""),1681.0)</f>
        <v>1681</v>
      </c>
      <c r="B1539" s="35" t="str">
        <f>IFERROR(__xludf.DUMMYFUNCTION("""COMPUTED_VALUE"""),"Guess the Majority in a Hidden Array")</f>
        <v>Guess the Majority in a Hidden Array</v>
      </c>
      <c r="C1539" s="35" t="str">
        <f>IFERROR(__xludf.DUMMYFUNCTION("""COMPUTED_VALUE"""),"guess-the-majority-in-a-hidden-array")</f>
        <v>guess-the-majority-in-a-hidden-array</v>
      </c>
      <c r="D1539" s="35" t="b">
        <f>IFERROR(__xludf.DUMMYFUNCTION("""COMPUTED_VALUE"""),TRUE)</f>
        <v>1</v>
      </c>
      <c r="E1539" s="35" t="str">
        <f>IFERROR(__xludf.DUMMYFUNCTION("""COMPUTED_VALUE"""),"Medium")</f>
        <v>Medium</v>
      </c>
      <c r="F1539" s="35">
        <f>IFERROR(__xludf.DUMMYFUNCTION("""COMPUTED_VALUE"""),63.0)</f>
        <v>63</v>
      </c>
      <c r="G1539" s="35">
        <f>IFERROR(__xludf.DUMMYFUNCTION("""COMPUTED_VALUE"""),33.0)</f>
        <v>33</v>
      </c>
      <c r="H1539" s="35" t="str">
        <f>IFERROR(__xludf.DUMMYFUNCTION("""COMPUTED_VALUE"""),"Algorithms")</f>
        <v>Algorithms</v>
      </c>
      <c r="I1539" s="35">
        <f>IFERROR(__xludf.DUMMYFUNCTION("""COMPUTED_VALUE"""),0.619)</f>
        <v>0.619</v>
      </c>
      <c r="J1539" s="35">
        <f>IFERROR(__xludf.DUMMYFUNCTION("""COMPUTED_VALUE"""),1538.0)</f>
        <v>1538</v>
      </c>
      <c r="K1539" s="35" t="b">
        <f>IFERROR(__xludf.DUMMYFUNCTION("""COMPUTED_VALUE"""),TRUE)</f>
        <v>1</v>
      </c>
      <c r="L1539" s="35" t="str">
        <f>IFERROR(__xludf.DUMMYFUNCTION("""COMPUTED_VALUE"""),"Array;Math;Interactive;")</f>
        <v>Array;Math;Interactive;</v>
      </c>
      <c r="M1539" s="35" t="b">
        <f>IFERROR(__xludf.DUMMYFUNCTION("""COMPUTED_VALUE"""),FALSE)</f>
        <v>0</v>
      </c>
      <c r="N1539" s="35" t="b">
        <f>IFERROR(__xludf.DUMMYFUNCTION("""COMPUTED_VALUE"""),FALSE)</f>
        <v>0</v>
      </c>
      <c r="O1539" s="35">
        <f>IFERROR(__xludf.DUMMYFUNCTION("""COMPUTED_VALUE"""),61.8595825426945)</f>
        <v>61.85958254</v>
      </c>
      <c r="P1539" s="35">
        <f>IFERROR(__xludf.DUMMYFUNCTION("""COMPUTED_VALUE"""),1304.0)</f>
        <v>1304</v>
      </c>
      <c r="Q1539" s="35">
        <f>IFERROR(__xludf.DUMMYFUNCTION("""COMPUTED_VALUE"""),2108.0)</f>
        <v>2108</v>
      </c>
    </row>
    <row r="1540">
      <c r="A1540" s="35">
        <f>IFERROR(__xludf.DUMMYFUNCTION("""COMPUTED_VALUE"""),1646.0)</f>
        <v>1646</v>
      </c>
      <c r="B1540" s="35" t="str">
        <f>IFERROR(__xludf.DUMMYFUNCTION("""COMPUTED_VALUE"""),"Kth Missing Positive Number")</f>
        <v>Kth Missing Positive Number</v>
      </c>
      <c r="C1540" s="35" t="str">
        <f>IFERROR(__xludf.DUMMYFUNCTION("""COMPUTED_VALUE"""),"kth-missing-positive-number")</f>
        <v>kth-missing-positive-number</v>
      </c>
      <c r="D1540" s="35" t="b">
        <f>IFERROR(__xludf.DUMMYFUNCTION("""COMPUTED_VALUE"""),FALSE)</f>
        <v>0</v>
      </c>
      <c r="E1540" s="35" t="str">
        <f>IFERROR(__xludf.DUMMYFUNCTION("""COMPUTED_VALUE"""),"Easy")</f>
        <v>Easy</v>
      </c>
      <c r="F1540" s="35">
        <f>IFERROR(__xludf.DUMMYFUNCTION("""COMPUTED_VALUE"""),2159.0)</f>
        <v>2159</v>
      </c>
      <c r="G1540" s="35">
        <f>IFERROR(__xludf.DUMMYFUNCTION("""COMPUTED_VALUE"""),160.0)</f>
        <v>160</v>
      </c>
      <c r="H1540" s="35" t="str">
        <f>IFERROR(__xludf.DUMMYFUNCTION("""COMPUTED_VALUE"""),"Algorithms")</f>
        <v>Algorithms</v>
      </c>
      <c r="I1540" s="35">
        <f>IFERROR(__xludf.DUMMYFUNCTION("""COMPUTED_VALUE"""),0.552)</f>
        <v>0.552</v>
      </c>
      <c r="J1540" s="35">
        <f>IFERROR(__xludf.DUMMYFUNCTION("""COMPUTED_VALUE"""),1539.0)</f>
        <v>1539</v>
      </c>
      <c r="K1540" s="35" t="b">
        <f>IFERROR(__xludf.DUMMYFUNCTION("""COMPUTED_VALUE"""),FALSE)</f>
        <v>0</v>
      </c>
      <c r="L1540" s="35" t="str">
        <f>IFERROR(__xludf.DUMMYFUNCTION("""COMPUTED_VALUE"""),"Array;Binary Search;")</f>
        <v>Array;Binary Search;</v>
      </c>
      <c r="M1540" s="35" t="b">
        <f>IFERROR(__xludf.DUMMYFUNCTION("""COMPUTED_VALUE"""),TRUE)</f>
        <v>1</v>
      </c>
      <c r="N1540" s="35" t="b">
        <f>IFERROR(__xludf.DUMMYFUNCTION("""COMPUTED_VALUE"""),FALSE)</f>
        <v>0</v>
      </c>
      <c r="O1540" s="35">
        <f>IFERROR(__xludf.DUMMYFUNCTION("""COMPUTED_VALUE"""),55.2371016833808)</f>
        <v>55.23710168</v>
      </c>
      <c r="P1540" s="35">
        <f>IFERROR(__xludf.DUMMYFUNCTION("""COMPUTED_VALUE"""),147720.0)</f>
        <v>147720</v>
      </c>
      <c r="Q1540" s="35">
        <f>IFERROR(__xludf.DUMMYFUNCTION("""COMPUTED_VALUE"""),267433.0)</f>
        <v>267433</v>
      </c>
    </row>
    <row r="1541">
      <c r="A1541" s="35">
        <f>IFERROR(__xludf.DUMMYFUNCTION("""COMPUTED_VALUE"""),1647.0)</f>
        <v>1647</v>
      </c>
      <c r="B1541" s="35" t="str">
        <f>IFERROR(__xludf.DUMMYFUNCTION("""COMPUTED_VALUE"""),"Can Convert String in K Moves")</f>
        <v>Can Convert String in K Moves</v>
      </c>
      <c r="C1541" s="35" t="str">
        <f>IFERROR(__xludf.DUMMYFUNCTION("""COMPUTED_VALUE"""),"can-convert-string-in-k-moves")</f>
        <v>can-convert-string-in-k-moves</v>
      </c>
      <c r="D1541" s="35" t="b">
        <f>IFERROR(__xludf.DUMMYFUNCTION("""COMPUTED_VALUE"""),FALSE)</f>
        <v>0</v>
      </c>
      <c r="E1541" s="35" t="str">
        <f>IFERROR(__xludf.DUMMYFUNCTION("""COMPUTED_VALUE"""),"Medium")</f>
        <v>Medium</v>
      </c>
      <c r="F1541" s="35">
        <f>IFERROR(__xludf.DUMMYFUNCTION("""COMPUTED_VALUE"""),271.0)</f>
        <v>271</v>
      </c>
      <c r="G1541" s="35">
        <f>IFERROR(__xludf.DUMMYFUNCTION("""COMPUTED_VALUE"""),224.0)</f>
        <v>224</v>
      </c>
      <c r="H1541" s="35" t="str">
        <f>IFERROR(__xludf.DUMMYFUNCTION("""COMPUTED_VALUE"""),"Algorithms")</f>
        <v>Algorithms</v>
      </c>
      <c r="I1541" s="35">
        <f>IFERROR(__xludf.DUMMYFUNCTION("""COMPUTED_VALUE"""),0.324)</f>
        <v>0.324</v>
      </c>
      <c r="J1541" s="35">
        <f>IFERROR(__xludf.DUMMYFUNCTION("""COMPUTED_VALUE"""),1540.0)</f>
        <v>1540</v>
      </c>
      <c r="K1541" s="35" t="b">
        <f>IFERROR(__xludf.DUMMYFUNCTION("""COMPUTED_VALUE"""),FALSE)</f>
        <v>0</v>
      </c>
      <c r="L1541" s="35" t="str">
        <f>IFERROR(__xludf.DUMMYFUNCTION("""COMPUTED_VALUE"""),"Hash Table;String;")</f>
        <v>Hash Table;String;</v>
      </c>
      <c r="M1541" s="35" t="b">
        <f>IFERROR(__xludf.DUMMYFUNCTION("""COMPUTED_VALUE"""),FALSE)</f>
        <v>0</v>
      </c>
      <c r="N1541" s="35" t="b">
        <f>IFERROR(__xludf.DUMMYFUNCTION("""COMPUTED_VALUE"""),FALSE)</f>
        <v>0</v>
      </c>
      <c r="O1541" s="35">
        <f>IFERROR(__xludf.DUMMYFUNCTION("""COMPUTED_VALUE"""),32.4059928046917)</f>
        <v>32.4059928</v>
      </c>
      <c r="P1541" s="35">
        <f>IFERROR(__xludf.DUMMYFUNCTION("""COMPUTED_VALUE"""),13151.0)</f>
        <v>13151</v>
      </c>
      <c r="Q1541" s="35">
        <f>IFERROR(__xludf.DUMMYFUNCTION("""COMPUTED_VALUE"""),40582.0)</f>
        <v>40582</v>
      </c>
    </row>
    <row r="1542">
      <c r="A1542" s="35">
        <f>IFERROR(__xludf.DUMMYFUNCTION("""COMPUTED_VALUE"""),1648.0)</f>
        <v>1648</v>
      </c>
      <c r="B1542" s="35" t="str">
        <f>IFERROR(__xludf.DUMMYFUNCTION("""COMPUTED_VALUE"""),"Minimum Insertions to Balance a Parentheses String")</f>
        <v>Minimum Insertions to Balance a Parentheses String</v>
      </c>
      <c r="C1542" s="35" t="str">
        <f>IFERROR(__xludf.DUMMYFUNCTION("""COMPUTED_VALUE"""),"minimum-insertions-to-balance-a-parentheses-string")</f>
        <v>minimum-insertions-to-balance-a-parentheses-string</v>
      </c>
      <c r="D1542" s="35" t="b">
        <f>IFERROR(__xludf.DUMMYFUNCTION("""COMPUTED_VALUE"""),FALSE)</f>
        <v>0</v>
      </c>
      <c r="E1542" s="35" t="str">
        <f>IFERROR(__xludf.DUMMYFUNCTION("""COMPUTED_VALUE"""),"Medium")</f>
        <v>Medium</v>
      </c>
      <c r="F1542" s="35">
        <f>IFERROR(__xludf.DUMMYFUNCTION("""COMPUTED_VALUE"""),596.0)</f>
        <v>596</v>
      </c>
      <c r="G1542" s="35">
        <f>IFERROR(__xludf.DUMMYFUNCTION("""COMPUTED_VALUE"""),122.0)</f>
        <v>122</v>
      </c>
      <c r="H1542" s="35" t="str">
        <f>IFERROR(__xludf.DUMMYFUNCTION("""COMPUTED_VALUE"""),"Algorithms")</f>
        <v>Algorithms</v>
      </c>
      <c r="I1542" s="35">
        <f>IFERROR(__xludf.DUMMYFUNCTION("""COMPUTED_VALUE"""),0.49)</f>
        <v>0.49</v>
      </c>
      <c r="J1542" s="35">
        <f>IFERROR(__xludf.DUMMYFUNCTION("""COMPUTED_VALUE"""),1541.0)</f>
        <v>1541</v>
      </c>
      <c r="K1542" s="35" t="b">
        <f>IFERROR(__xludf.DUMMYFUNCTION("""COMPUTED_VALUE"""),FALSE)</f>
        <v>0</v>
      </c>
      <c r="L1542" s="35" t="str">
        <f>IFERROR(__xludf.DUMMYFUNCTION("""COMPUTED_VALUE"""),"String;Stack;Greedy;")</f>
        <v>String;Stack;Greedy;</v>
      </c>
      <c r="M1542" s="35" t="b">
        <f>IFERROR(__xludf.DUMMYFUNCTION("""COMPUTED_VALUE"""),FALSE)</f>
        <v>0</v>
      </c>
      <c r="N1542" s="35" t="b">
        <f>IFERROR(__xludf.DUMMYFUNCTION("""COMPUTED_VALUE"""),FALSE)</f>
        <v>0</v>
      </c>
      <c r="O1542" s="35">
        <f>IFERROR(__xludf.DUMMYFUNCTION("""COMPUTED_VALUE"""),48.9550862307479)</f>
        <v>48.95508623</v>
      </c>
      <c r="P1542" s="35">
        <f>IFERROR(__xludf.DUMMYFUNCTION("""COMPUTED_VALUE"""),26541.0)</f>
        <v>26541</v>
      </c>
      <c r="Q1542" s="35">
        <f>IFERROR(__xludf.DUMMYFUNCTION("""COMPUTED_VALUE"""),54215.0)</f>
        <v>54215</v>
      </c>
    </row>
    <row r="1543">
      <c r="A1543" s="35">
        <f>IFERROR(__xludf.DUMMYFUNCTION("""COMPUTED_VALUE"""),1668.0)</f>
        <v>1668</v>
      </c>
      <c r="B1543" s="35" t="str">
        <f>IFERROR(__xludf.DUMMYFUNCTION("""COMPUTED_VALUE"""),"Find Longest Awesome Substring")</f>
        <v>Find Longest Awesome Substring</v>
      </c>
      <c r="C1543" s="35" t="str">
        <f>IFERROR(__xludf.DUMMYFUNCTION("""COMPUTED_VALUE"""),"find-longest-awesome-substring")</f>
        <v>find-longest-awesome-substring</v>
      </c>
      <c r="D1543" s="35" t="b">
        <f>IFERROR(__xludf.DUMMYFUNCTION("""COMPUTED_VALUE"""),FALSE)</f>
        <v>0</v>
      </c>
      <c r="E1543" s="35" t="str">
        <f>IFERROR(__xludf.DUMMYFUNCTION("""COMPUTED_VALUE"""),"Hard")</f>
        <v>Hard</v>
      </c>
      <c r="F1543" s="35">
        <f>IFERROR(__xludf.DUMMYFUNCTION("""COMPUTED_VALUE"""),495.0)</f>
        <v>495</v>
      </c>
      <c r="G1543" s="35">
        <f>IFERROR(__xludf.DUMMYFUNCTION("""COMPUTED_VALUE"""),11.0)</f>
        <v>11</v>
      </c>
      <c r="H1543" s="35" t="str">
        <f>IFERROR(__xludf.DUMMYFUNCTION("""COMPUTED_VALUE"""),"Algorithms")</f>
        <v>Algorithms</v>
      </c>
      <c r="I1543" s="35">
        <f>IFERROR(__xludf.DUMMYFUNCTION("""COMPUTED_VALUE"""),0.404)</f>
        <v>0.404</v>
      </c>
      <c r="J1543" s="35">
        <f>IFERROR(__xludf.DUMMYFUNCTION("""COMPUTED_VALUE"""),1542.0)</f>
        <v>1542</v>
      </c>
      <c r="K1543" s="35" t="b">
        <f>IFERROR(__xludf.DUMMYFUNCTION("""COMPUTED_VALUE"""),FALSE)</f>
        <v>0</v>
      </c>
      <c r="L1543" s="35" t="str">
        <f>IFERROR(__xludf.DUMMYFUNCTION("""COMPUTED_VALUE"""),"Hash Table;String;Bit Manipulation;")</f>
        <v>Hash Table;String;Bit Manipulation;</v>
      </c>
      <c r="M1543" s="35" t="b">
        <f>IFERROR(__xludf.DUMMYFUNCTION("""COMPUTED_VALUE"""),FALSE)</f>
        <v>0</v>
      </c>
      <c r="N1543" s="35" t="b">
        <f>IFERROR(__xludf.DUMMYFUNCTION("""COMPUTED_VALUE"""),FALSE)</f>
        <v>0</v>
      </c>
      <c r="O1543" s="35">
        <f>IFERROR(__xludf.DUMMYFUNCTION("""COMPUTED_VALUE"""),40.3638081738719)</f>
        <v>40.36380817</v>
      </c>
      <c r="P1543" s="35">
        <f>IFERROR(__xludf.DUMMYFUNCTION("""COMPUTED_VALUE"""),8543.0)</f>
        <v>8543</v>
      </c>
      <c r="Q1543" s="35">
        <f>IFERROR(__xludf.DUMMYFUNCTION("""COMPUTED_VALUE"""),21165.0)</f>
        <v>21165</v>
      </c>
    </row>
    <row r="1544">
      <c r="A1544" s="35">
        <f>IFERROR(__xludf.DUMMYFUNCTION("""COMPUTED_VALUE"""),1686.0)</f>
        <v>1686</v>
      </c>
      <c r="B1544" s="35" t="str">
        <f>IFERROR(__xludf.DUMMYFUNCTION("""COMPUTED_VALUE"""),"Fix Product Name Format")</f>
        <v>Fix Product Name Format</v>
      </c>
      <c r="C1544" s="35" t="str">
        <f>IFERROR(__xludf.DUMMYFUNCTION("""COMPUTED_VALUE"""),"fix-product-name-format")</f>
        <v>fix-product-name-format</v>
      </c>
      <c r="D1544" s="35" t="b">
        <f>IFERROR(__xludf.DUMMYFUNCTION("""COMPUTED_VALUE"""),TRUE)</f>
        <v>1</v>
      </c>
      <c r="E1544" s="35" t="str">
        <f>IFERROR(__xludf.DUMMYFUNCTION("""COMPUTED_VALUE"""),"Easy")</f>
        <v>Easy</v>
      </c>
      <c r="F1544" s="35">
        <f>IFERROR(__xludf.DUMMYFUNCTION("""COMPUTED_VALUE"""),53.0)</f>
        <v>53</v>
      </c>
      <c r="G1544" s="35">
        <f>IFERROR(__xludf.DUMMYFUNCTION("""COMPUTED_VALUE"""),32.0)</f>
        <v>32</v>
      </c>
      <c r="H1544" s="35" t="str">
        <f>IFERROR(__xludf.DUMMYFUNCTION("""COMPUTED_VALUE"""),"Database")</f>
        <v>Database</v>
      </c>
      <c r="I1544" s="35">
        <f>IFERROR(__xludf.DUMMYFUNCTION("""COMPUTED_VALUE"""),0.633)</f>
        <v>0.633</v>
      </c>
      <c r="J1544" s="35">
        <f>IFERROR(__xludf.DUMMYFUNCTION("""COMPUTED_VALUE"""),1543.0)</f>
        <v>1543</v>
      </c>
      <c r="K1544" s="35" t="b">
        <f>IFERROR(__xludf.DUMMYFUNCTION("""COMPUTED_VALUE"""),TRUE)</f>
        <v>1</v>
      </c>
      <c r="L1544" s="35" t="str">
        <f>IFERROR(__xludf.DUMMYFUNCTION("""COMPUTED_VALUE"""),"Database;")</f>
        <v>Database;</v>
      </c>
      <c r="M1544" s="35" t="b">
        <f>IFERROR(__xludf.DUMMYFUNCTION("""COMPUTED_VALUE"""),FALSE)</f>
        <v>0</v>
      </c>
      <c r="N1544" s="35" t="b">
        <f>IFERROR(__xludf.DUMMYFUNCTION("""COMPUTED_VALUE"""),FALSE)</f>
        <v>0</v>
      </c>
      <c r="O1544" s="35">
        <f>IFERROR(__xludf.DUMMYFUNCTION("""COMPUTED_VALUE"""),63.2845242406995)</f>
        <v>63.28452424</v>
      </c>
      <c r="P1544" s="35">
        <f>IFERROR(__xludf.DUMMYFUNCTION("""COMPUTED_VALUE"""),12231.0)</f>
        <v>12231</v>
      </c>
      <c r="Q1544" s="35">
        <f>IFERROR(__xludf.DUMMYFUNCTION("""COMPUTED_VALUE"""),19327.0)</f>
        <v>19327</v>
      </c>
    </row>
    <row r="1545">
      <c r="A1545" s="35">
        <f>IFERROR(__xludf.DUMMYFUNCTION("""COMPUTED_VALUE"""),1666.0)</f>
        <v>1666</v>
      </c>
      <c r="B1545" s="35" t="str">
        <f>IFERROR(__xludf.DUMMYFUNCTION("""COMPUTED_VALUE"""),"Make The String Great")</f>
        <v>Make The String Great</v>
      </c>
      <c r="C1545" s="35" t="str">
        <f>IFERROR(__xludf.DUMMYFUNCTION("""COMPUTED_VALUE"""),"make-the-string-great")</f>
        <v>make-the-string-great</v>
      </c>
      <c r="D1545" s="35" t="b">
        <f>IFERROR(__xludf.DUMMYFUNCTION("""COMPUTED_VALUE"""),FALSE)</f>
        <v>0</v>
      </c>
      <c r="E1545" s="35" t="str">
        <f>IFERROR(__xludf.DUMMYFUNCTION("""COMPUTED_VALUE"""),"Easy")</f>
        <v>Easy</v>
      </c>
      <c r="F1545" s="35">
        <f>IFERROR(__xludf.DUMMYFUNCTION("""COMPUTED_VALUE"""),670.0)</f>
        <v>670</v>
      </c>
      <c r="G1545" s="35">
        <f>IFERROR(__xludf.DUMMYFUNCTION("""COMPUTED_VALUE"""),50.0)</f>
        <v>50</v>
      </c>
      <c r="H1545" s="35" t="str">
        <f>IFERROR(__xludf.DUMMYFUNCTION("""COMPUTED_VALUE"""),"Algorithms")</f>
        <v>Algorithms</v>
      </c>
      <c r="I1545" s="35">
        <f>IFERROR(__xludf.DUMMYFUNCTION("""COMPUTED_VALUE"""),0.564)</f>
        <v>0.564</v>
      </c>
      <c r="J1545" s="35">
        <f>IFERROR(__xludf.DUMMYFUNCTION("""COMPUTED_VALUE"""),1544.0)</f>
        <v>1544</v>
      </c>
      <c r="K1545" s="35" t="b">
        <f>IFERROR(__xludf.DUMMYFUNCTION("""COMPUTED_VALUE"""),FALSE)</f>
        <v>0</v>
      </c>
      <c r="L1545" s="35" t="str">
        <f>IFERROR(__xludf.DUMMYFUNCTION("""COMPUTED_VALUE"""),"String;Stack;")</f>
        <v>String;Stack;</v>
      </c>
      <c r="M1545" s="35" t="b">
        <f>IFERROR(__xludf.DUMMYFUNCTION("""COMPUTED_VALUE"""),FALSE)</f>
        <v>0</v>
      </c>
      <c r="N1545" s="35" t="b">
        <f>IFERROR(__xludf.DUMMYFUNCTION("""COMPUTED_VALUE"""),FALSE)</f>
        <v>0</v>
      </c>
      <c r="O1545" s="35">
        <f>IFERROR(__xludf.DUMMYFUNCTION("""COMPUTED_VALUE"""),56.3790934297475)</f>
        <v>56.37909343</v>
      </c>
      <c r="P1545" s="35">
        <f>IFERROR(__xludf.DUMMYFUNCTION("""COMPUTED_VALUE"""),46156.0)</f>
        <v>46156</v>
      </c>
      <c r="Q1545" s="35">
        <f>IFERROR(__xludf.DUMMYFUNCTION("""COMPUTED_VALUE"""),81867.0)</f>
        <v>81867</v>
      </c>
    </row>
    <row r="1546">
      <c r="A1546" s="35">
        <f>IFERROR(__xludf.DUMMYFUNCTION("""COMPUTED_VALUE"""),1667.0)</f>
        <v>1667</v>
      </c>
      <c r="B1546" s="35" t="str">
        <f>IFERROR(__xludf.DUMMYFUNCTION("""COMPUTED_VALUE"""),"Find Kth Bit in Nth Binary String")</f>
        <v>Find Kth Bit in Nth Binary String</v>
      </c>
      <c r="C1546" s="35" t="str">
        <f>IFERROR(__xludf.DUMMYFUNCTION("""COMPUTED_VALUE"""),"find-kth-bit-in-nth-binary-string")</f>
        <v>find-kth-bit-in-nth-binary-string</v>
      </c>
      <c r="D1546" s="35" t="b">
        <f>IFERROR(__xludf.DUMMYFUNCTION("""COMPUTED_VALUE"""),FALSE)</f>
        <v>0</v>
      </c>
      <c r="E1546" s="35" t="str">
        <f>IFERROR(__xludf.DUMMYFUNCTION("""COMPUTED_VALUE"""),"Medium")</f>
        <v>Medium</v>
      </c>
      <c r="F1546" s="35">
        <f>IFERROR(__xludf.DUMMYFUNCTION("""COMPUTED_VALUE"""),447.0)</f>
        <v>447</v>
      </c>
      <c r="G1546" s="35">
        <f>IFERROR(__xludf.DUMMYFUNCTION("""COMPUTED_VALUE"""),38.0)</f>
        <v>38</v>
      </c>
      <c r="H1546" s="35" t="str">
        <f>IFERROR(__xludf.DUMMYFUNCTION("""COMPUTED_VALUE"""),"Algorithms")</f>
        <v>Algorithms</v>
      </c>
      <c r="I1546" s="35">
        <f>IFERROR(__xludf.DUMMYFUNCTION("""COMPUTED_VALUE"""),0.58)</f>
        <v>0.58</v>
      </c>
      <c r="J1546" s="35">
        <f>IFERROR(__xludf.DUMMYFUNCTION("""COMPUTED_VALUE"""),1545.0)</f>
        <v>1545</v>
      </c>
      <c r="K1546" s="35" t="b">
        <f>IFERROR(__xludf.DUMMYFUNCTION("""COMPUTED_VALUE"""),FALSE)</f>
        <v>0</v>
      </c>
      <c r="L1546" s="35" t="str">
        <f>IFERROR(__xludf.DUMMYFUNCTION("""COMPUTED_VALUE"""),"String;Recursion;")</f>
        <v>String;Recursion;</v>
      </c>
      <c r="M1546" s="35" t="b">
        <f>IFERROR(__xludf.DUMMYFUNCTION("""COMPUTED_VALUE"""),FALSE)</f>
        <v>0</v>
      </c>
      <c r="N1546" s="35" t="b">
        <f>IFERROR(__xludf.DUMMYFUNCTION("""COMPUTED_VALUE"""),FALSE)</f>
        <v>0</v>
      </c>
      <c r="O1546" s="35">
        <f>IFERROR(__xludf.DUMMYFUNCTION("""COMPUTED_VALUE"""),58.032154340836)</f>
        <v>58.03215434</v>
      </c>
      <c r="P1546" s="35">
        <f>IFERROR(__xludf.DUMMYFUNCTION("""COMPUTED_VALUE"""),22560.0)</f>
        <v>22560</v>
      </c>
      <c r="Q1546" s="35">
        <f>IFERROR(__xludf.DUMMYFUNCTION("""COMPUTED_VALUE"""),38875.0)</f>
        <v>38875</v>
      </c>
    </row>
    <row r="1547">
      <c r="A1547" s="35">
        <f>IFERROR(__xludf.DUMMYFUNCTION("""COMPUTED_VALUE"""),1649.0)</f>
        <v>1649</v>
      </c>
      <c r="B1547" s="35" t="str">
        <f>IFERROR(__xludf.DUMMYFUNCTION("""COMPUTED_VALUE"""),"Maximum Number of Non-Overlapping Subarrays With Sum Equals Target")</f>
        <v>Maximum Number of Non-Overlapping Subarrays With Sum Equals Target</v>
      </c>
      <c r="C1547" s="35" t="str">
        <f>IFERROR(__xludf.DUMMYFUNCTION("""COMPUTED_VALUE"""),"maximum-number-of-non-overlapping-subarrays-with-sum-equals-target")</f>
        <v>maximum-number-of-non-overlapping-subarrays-with-sum-equals-target</v>
      </c>
      <c r="D1547" s="35" t="b">
        <f>IFERROR(__xludf.DUMMYFUNCTION("""COMPUTED_VALUE"""),FALSE)</f>
        <v>0</v>
      </c>
      <c r="E1547" s="35" t="str">
        <f>IFERROR(__xludf.DUMMYFUNCTION("""COMPUTED_VALUE"""),"Medium")</f>
        <v>Medium</v>
      </c>
      <c r="F1547" s="35">
        <f>IFERROR(__xludf.DUMMYFUNCTION("""COMPUTED_VALUE"""),701.0)</f>
        <v>701</v>
      </c>
      <c r="G1547" s="35">
        <f>IFERROR(__xludf.DUMMYFUNCTION("""COMPUTED_VALUE"""),15.0)</f>
        <v>15</v>
      </c>
      <c r="H1547" s="35" t="str">
        <f>IFERROR(__xludf.DUMMYFUNCTION("""COMPUTED_VALUE"""),"Algorithms")</f>
        <v>Algorithms</v>
      </c>
      <c r="I1547" s="35">
        <f>IFERROR(__xludf.DUMMYFUNCTION("""COMPUTED_VALUE"""),0.461)</f>
        <v>0.461</v>
      </c>
      <c r="J1547" s="35">
        <f>IFERROR(__xludf.DUMMYFUNCTION("""COMPUTED_VALUE"""),1546.0)</f>
        <v>1546</v>
      </c>
      <c r="K1547" s="35" t="b">
        <f>IFERROR(__xludf.DUMMYFUNCTION("""COMPUTED_VALUE"""),FALSE)</f>
        <v>0</v>
      </c>
      <c r="L1547" s="35" t="str">
        <f>IFERROR(__xludf.DUMMYFUNCTION("""COMPUTED_VALUE"""),"Array;Hash Table;Greedy;Prefix Sum;")</f>
        <v>Array;Hash Table;Greedy;Prefix Sum;</v>
      </c>
      <c r="M1547" s="35" t="b">
        <f>IFERROR(__xludf.DUMMYFUNCTION("""COMPUTED_VALUE"""),FALSE)</f>
        <v>0</v>
      </c>
      <c r="N1547" s="35" t="b">
        <f>IFERROR(__xludf.DUMMYFUNCTION("""COMPUTED_VALUE"""),FALSE)</f>
        <v>0</v>
      </c>
      <c r="O1547" s="35">
        <f>IFERROR(__xludf.DUMMYFUNCTION("""COMPUTED_VALUE"""),46.1241372436648)</f>
        <v>46.12413724</v>
      </c>
      <c r="P1547" s="35">
        <f>IFERROR(__xludf.DUMMYFUNCTION("""COMPUTED_VALUE"""),18510.0)</f>
        <v>18510</v>
      </c>
      <c r="Q1547" s="35">
        <f>IFERROR(__xludf.DUMMYFUNCTION("""COMPUTED_VALUE"""),40132.0)</f>
        <v>40132</v>
      </c>
    </row>
    <row r="1548">
      <c r="A1548" s="35">
        <f>IFERROR(__xludf.DUMMYFUNCTION("""COMPUTED_VALUE"""),1669.0)</f>
        <v>1669</v>
      </c>
      <c r="B1548" s="35" t="str">
        <f>IFERROR(__xludf.DUMMYFUNCTION("""COMPUTED_VALUE"""),"Minimum Cost to Cut a Stick")</f>
        <v>Minimum Cost to Cut a Stick</v>
      </c>
      <c r="C1548" s="35" t="str">
        <f>IFERROR(__xludf.DUMMYFUNCTION("""COMPUTED_VALUE"""),"minimum-cost-to-cut-a-stick")</f>
        <v>minimum-cost-to-cut-a-stick</v>
      </c>
      <c r="D1548" s="35" t="b">
        <f>IFERROR(__xludf.DUMMYFUNCTION("""COMPUTED_VALUE"""),FALSE)</f>
        <v>0</v>
      </c>
      <c r="E1548" s="35" t="str">
        <f>IFERROR(__xludf.DUMMYFUNCTION("""COMPUTED_VALUE"""),"Hard")</f>
        <v>Hard</v>
      </c>
      <c r="F1548" s="35">
        <f>IFERROR(__xludf.DUMMYFUNCTION("""COMPUTED_VALUE"""),1068.0)</f>
        <v>1068</v>
      </c>
      <c r="G1548" s="35">
        <f>IFERROR(__xludf.DUMMYFUNCTION("""COMPUTED_VALUE"""),21.0)</f>
        <v>21</v>
      </c>
      <c r="H1548" s="35" t="str">
        <f>IFERROR(__xludf.DUMMYFUNCTION("""COMPUTED_VALUE"""),"Algorithms")</f>
        <v>Algorithms</v>
      </c>
      <c r="I1548" s="35">
        <f>IFERROR(__xludf.DUMMYFUNCTION("""COMPUTED_VALUE"""),0.55)</f>
        <v>0.55</v>
      </c>
      <c r="J1548" s="35">
        <f>IFERROR(__xludf.DUMMYFUNCTION("""COMPUTED_VALUE"""),1547.0)</f>
        <v>1547</v>
      </c>
      <c r="K1548" s="35" t="b">
        <f>IFERROR(__xludf.DUMMYFUNCTION("""COMPUTED_VALUE"""),FALSE)</f>
        <v>0</v>
      </c>
      <c r="L1548" s="35" t="str">
        <f>IFERROR(__xludf.DUMMYFUNCTION("""COMPUTED_VALUE"""),"Array;Dynamic Programming;")</f>
        <v>Array;Dynamic Programming;</v>
      </c>
      <c r="M1548" s="35" t="b">
        <f>IFERROR(__xludf.DUMMYFUNCTION("""COMPUTED_VALUE"""),FALSE)</f>
        <v>0</v>
      </c>
      <c r="N1548" s="35" t="b">
        <f>IFERROR(__xludf.DUMMYFUNCTION("""COMPUTED_VALUE"""),FALSE)</f>
        <v>0</v>
      </c>
      <c r="O1548" s="35">
        <f>IFERROR(__xludf.DUMMYFUNCTION("""COMPUTED_VALUE"""),54.9827998214332)</f>
        <v>54.98279982</v>
      </c>
      <c r="P1548" s="35">
        <f>IFERROR(__xludf.DUMMYFUNCTION("""COMPUTED_VALUE"""),20938.0)</f>
        <v>20938</v>
      </c>
      <c r="Q1548" s="35">
        <f>IFERROR(__xludf.DUMMYFUNCTION("""COMPUTED_VALUE"""),38081.0)</f>
        <v>38081</v>
      </c>
    </row>
    <row r="1549">
      <c r="A1549" s="35">
        <f>IFERROR(__xludf.DUMMYFUNCTION("""COMPUTED_VALUE"""),1687.0)</f>
        <v>1687</v>
      </c>
      <c r="B1549" s="35" t="str">
        <f>IFERROR(__xludf.DUMMYFUNCTION("""COMPUTED_VALUE"""),"The Most Similar Path in a Graph")</f>
        <v>The Most Similar Path in a Graph</v>
      </c>
      <c r="C1549" s="35" t="str">
        <f>IFERROR(__xludf.DUMMYFUNCTION("""COMPUTED_VALUE"""),"the-most-similar-path-in-a-graph")</f>
        <v>the-most-similar-path-in-a-graph</v>
      </c>
      <c r="D1549" s="35" t="b">
        <f>IFERROR(__xludf.DUMMYFUNCTION("""COMPUTED_VALUE"""),TRUE)</f>
        <v>1</v>
      </c>
      <c r="E1549" s="35" t="str">
        <f>IFERROR(__xludf.DUMMYFUNCTION("""COMPUTED_VALUE"""),"Hard")</f>
        <v>Hard</v>
      </c>
      <c r="F1549" s="35">
        <f>IFERROR(__xludf.DUMMYFUNCTION("""COMPUTED_VALUE"""),279.0)</f>
        <v>279</v>
      </c>
      <c r="G1549" s="35">
        <f>IFERROR(__xludf.DUMMYFUNCTION("""COMPUTED_VALUE"""),134.0)</f>
        <v>134</v>
      </c>
      <c r="H1549" s="35" t="str">
        <f>IFERROR(__xludf.DUMMYFUNCTION("""COMPUTED_VALUE"""),"Algorithms")</f>
        <v>Algorithms</v>
      </c>
      <c r="I1549" s="35">
        <f>IFERROR(__xludf.DUMMYFUNCTION("""COMPUTED_VALUE"""),0.57)</f>
        <v>0.57</v>
      </c>
      <c r="J1549" s="35">
        <f>IFERROR(__xludf.DUMMYFUNCTION("""COMPUTED_VALUE"""),1548.0)</f>
        <v>1548</v>
      </c>
      <c r="K1549" s="35" t="b">
        <f>IFERROR(__xludf.DUMMYFUNCTION("""COMPUTED_VALUE"""),TRUE)</f>
        <v>1</v>
      </c>
      <c r="L1549" s="35" t="str">
        <f>IFERROR(__xludf.DUMMYFUNCTION("""COMPUTED_VALUE"""),"Dynamic Programming;Graph;")</f>
        <v>Dynamic Programming;Graph;</v>
      </c>
      <c r="M1549" s="35" t="b">
        <f>IFERROR(__xludf.DUMMYFUNCTION("""COMPUTED_VALUE"""),FALSE)</f>
        <v>0</v>
      </c>
      <c r="N1549" s="35" t="b">
        <f>IFERROR(__xludf.DUMMYFUNCTION("""COMPUTED_VALUE"""),FALSE)</f>
        <v>0</v>
      </c>
      <c r="O1549" s="35">
        <f>IFERROR(__xludf.DUMMYFUNCTION("""COMPUTED_VALUE"""),57.0472132858012)</f>
        <v>57.04721329</v>
      </c>
      <c r="P1549" s="35">
        <f>IFERROR(__xludf.DUMMYFUNCTION("""COMPUTED_VALUE"""),13122.0)</f>
        <v>13122</v>
      </c>
      <c r="Q1549" s="35">
        <f>IFERROR(__xludf.DUMMYFUNCTION("""COMPUTED_VALUE"""),23002.0)</f>
        <v>23002</v>
      </c>
    </row>
    <row r="1550">
      <c r="A1550" s="35">
        <f>IFERROR(__xludf.DUMMYFUNCTION("""COMPUTED_VALUE"""),1688.0)</f>
        <v>1688</v>
      </c>
      <c r="B1550" s="35" t="str">
        <f>IFERROR(__xludf.DUMMYFUNCTION("""COMPUTED_VALUE"""),"The Most Recent Orders for Each Product")</f>
        <v>The Most Recent Orders for Each Product</v>
      </c>
      <c r="C1550" s="35" t="str">
        <f>IFERROR(__xludf.DUMMYFUNCTION("""COMPUTED_VALUE"""),"the-most-recent-orders-for-each-product")</f>
        <v>the-most-recent-orders-for-each-product</v>
      </c>
      <c r="D1550" s="35" t="b">
        <f>IFERROR(__xludf.DUMMYFUNCTION("""COMPUTED_VALUE"""),TRUE)</f>
        <v>1</v>
      </c>
      <c r="E1550" s="35" t="str">
        <f>IFERROR(__xludf.DUMMYFUNCTION("""COMPUTED_VALUE"""),"Medium")</f>
        <v>Medium</v>
      </c>
      <c r="F1550" s="35">
        <f>IFERROR(__xludf.DUMMYFUNCTION("""COMPUTED_VALUE"""),57.0)</f>
        <v>57</v>
      </c>
      <c r="G1550" s="35">
        <f>IFERROR(__xludf.DUMMYFUNCTION("""COMPUTED_VALUE"""),4.0)</f>
        <v>4</v>
      </c>
      <c r="H1550" s="35" t="str">
        <f>IFERROR(__xludf.DUMMYFUNCTION("""COMPUTED_VALUE"""),"Database")</f>
        <v>Database</v>
      </c>
      <c r="I1550" s="35">
        <f>IFERROR(__xludf.DUMMYFUNCTION("""COMPUTED_VALUE"""),0.678)</f>
        <v>0.678</v>
      </c>
      <c r="J1550" s="35">
        <f>IFERROR(__xludf.DUMMYFUNCTION("""COMPUTED_VALUE"""),1549.0)</f>
        <v>1549</v>
      </c>
      <c r="K1550" s="35" t="b">
        <f>IFERROR(__xludf.DUMMYFUNCTION("""COMPUTED_VALUE"""),TRUE)</f>
        <v>1</v>
      </c>
      <c r="L1550" s="35" t="str">
        <f>IFERROR(__xludf.DUMMYFUNCTION("""COMPUTED_VALUE"""),"Database;")</f>
        <v>Database;</v>
      </c>
      <c r="M1550" s="35" t="b">
        <f>IFERROR(__xludf.DUMMYFUNCTION("""COMPUTED_VALUE"""),FALSE)</f>
        <v>0</v>
      </c>
      <c r="N1550" s="35" t="b">
        <f>IFERROR(__xludf.DUMMYFUNCTION("""COMPUTED_VALUE"""),FALSE)</f>
        <v>0</v>
      </c>
      <c r="O1550" s="35">
        <f>IFERROR(__xludf.DUMMYFUNCTION("""COMPUTED_VALUE"""),67.7663230240549)</f>
        <v>67.76632302</v>
      </c>
      <c r="P1550" s="35">
        <f>IFERROR(__xludf.DUMMYFUNCTION("""COMPUTED_VALUE"""),11832.0)</f>
        <v>11832</v>
      </c>
      <c r="Q1550" s="35">
        <f>IFERROR(__xludf.DUMMYFUNCTION("""COMPUTED_VALUE"""),17460.0)</f>
        <v>17460</v>
      </c>
    </row>
    <row r="1551">
      <c r="A1551" s="35">
        <f>IFERROR(__xludf.DUMMYFUNCTION("""COMPUTED_VALUE"""),1293.0)</f>
        <v>1293</v>
      </c>
      <c r="B1551" s="35" t="str">
        <f>IFERROR(__xludf.DUMMYFUNCTION("""COMPUTED_VALUE"""),"Three Consecutive Odds")</f>
        <v>Three Consecutive Odds</v>
      </c>
      <c r="C1551" s="35" t="str">
        <f>IFERROR(__xludf.DUMMYFUNCTION("""COMPUTED_VALUE"""),"three-consecutive-odds")</f>
        <v>three-consecutive-odds</v>
      </c>
      <c r="D1551" s="35" t="b">
        <f>IFERROR(__xludf.DUMMYFUNCTION("""COMPUTED_VALUE"""),FALSE)</f>
        <v>0</v>
      </c>
      <c r="E1551" s="35" t="str">
        <f>IFERROR(__xludf.DUMMYFUNCTION("""COMPUTED_VALUE"""),"Easy")</f>
        <v>Easy</v>
      </c>
      <c r="F1551" s="35">
        <f>IFERROR(__xludf.DUMMYFUNCTION("""COMPUTED_VALUE"""),337.0)</f>
        <v>337</v>
      </c>
      <c r="G1551" s="35">
        <f>IFERROR(__xludf.DUMMYFUNCTION("""COMPUTED_VALUE"""),46.0)</f>
        <v>46</v>
      </c>
      <c r="H1551" s="35" t="str">
        <f>IFERROR(__xludf.DUMMYFUNCTION("""COMPUTED_VALUE"""),"Algorithms")</f>
        <v>Algorithms</v>
      </c>
      <c r="I1551" s="35">
        <f>IFERROR(__xludf.DUMMYFUNCTION("""COMPUTED_VALUE"""),0.642)</f>
        <v>0.642</v>
      </c>
      <c r="J1551" s="35">
        <f>IFERROR(__xludf.DUMMYFUNCTION("""COMPUTED_VALUE"""),1550.0)</f>
        <v>1550</v>
      </c>
      <c r="K1551" s="35" t="b">
        <f>IFERROR(__xludf.DUMMYFUNCTION("""COMPUTED_VALUE"""),FALSE)</f>
        <v>0</v>
      </c>
      <c r="L1551" s="35" t="str">
        <f>IFERROR(__xludf.DUMMYFUNCTION("""COMPUTED_VALUE"""),"Array;")</f>
        <v>Array;</v>
      </c>
      <c r="M1551" s="35" t="b">
        <f>IFERROR(__xludf.DUMMYFUNCTION("""COMPUTED_VALUE"""),FALSE)</f>
        <v>0</v>
      </c>
      <c r="N1551" s="35" t="b">
        <f>IFERROR(__xludf.DUMMYFUNCTION("""COMPUTED_VALUE"""),FALSE)</f>
        <v>0</v>
      </c>
      <c r="O1551" s="35">
        <f>IFERROR(__xludf.DUMMYFUNCTION("""COMPUTED_VALUE"""),64.2294893554465)</f>
        <v>64.22948936</v>
      </c>
      <c r="P1551" s="35">
        <f>IFERROR(__xludf.DUMMYFUNCTION("""COMPUTED_VALUE"""),48060.0)</f>
        <v>48060</v>
      </c>
      <c r="Q1551" s="35">
        <f>IFERROR(__xludf.DUMMYFUNCTION("""COMPUTED_VALUE"""),74826.0)</f>
        <v>74826</v>
      </c>
    </row>
    <row r="1552">
      <c r="A1552" s="35">
        <f>IFERROR(__xludf.DUMMYFUNCTION("""COMPUTED_VALUE"""),1674.0)</f>
        <v>1674</v>
      </c>
      <c r="B1552" s="35" t="str">
        <f>IFERROR(__xludf.DUMMYFUNCTION("""COMPUTED_VALUE"""),"Minimum Operations to Make Array Equal")</f>
        <v>Minimum Operations to Make Array Equal</v>
      </c>
      <c r="C1552" s="35" t="str">
        <f>IFERROR(__xludf.DUMMYFUNCTION("""COMPUTED_VALUE"""),"minimum-operations-to-make-array-equal")</f>
        <v>minimum-operations-to-make-array-equal</v>
      </c>
      <c r="D1552" s="35" t="b">
        <f>IFERROR(__xludf.DUMMYFUNCTION("""COMPUTED_VALUE"""),FALSE)</f>
        <v>0</v>
      </c>
      <c r="E1552" s="35" t="str">
        <f>IFERROR(__xludf.DUMMYFUNCTION("""COMPUTED_VALUE"""),"Medium")</f>
        <v>Medium</v>
      </c>
      <c r="F1552" s="35">
        <f>IFERROR(__xludf.DUMMYFUNCTION("""COMPUTED_VALUE"""),764.0)</f>
        <v>764</v>
      </c>
      <c r="G1552" s="35">
        <f>IFERROR(__xludf.DUMMYFUNCTION("""COMPUTED_VALUE"""),131.0)</f>
        <v>131</v>
      </c>
      <c r="H1552" s="35" t="str">
        <f>IFERROR(__xludf.DUMMYFUNCTION("""COMPUTED_VALUE"""),"Algorithms")</f>
        <v>Algorithms</v>
      </c>
      <c r="I1552" s="35">
        <f>IFERROR(__xludf.DUMMYFUNCTION("""COMPUTED_VALUE"""),0.807)</f>
        <v>0.807</v>
      </c>
      <c r="J1552" s="35">
        <f>IFERROR(__xludf.DUMMYFUNCTION("""COMPUTED_VALUE"""),1551.0)</f>
        <v>1551</v>
      </c>
      <c r="K1552" s="35" t="b">
        <f>IFERROR(__xludf.DUMMYFUNCTION("""COMPUTED_VALUE"""),FALSE)</f>
        <v>0</v>
      </c>
      <c r="L1552" s="35" t="str">
        <f>IFERROR(__xludf.DUMMYFUNCTION("""COMPUTED_VALUE"""),"Math;")</f>
        <v>Math;</v>
      </c>
      <c r="M1552" s="35" t="b">
        <f>IFERROR(__xludf.DUMMYFUNCTION("""COMPUTED_VALUE"""),TRUE)</f>
        <v>1</v>
      </c>
      <c r="N1552" s="35" t="b">
        <f>IFERROR(__xludf.DUMMYFUNCTION("""COMPUTED_VALUE"""),FALSE)</f>
        <v>0</v>
      </c>
      <c r="O1552" s="35">
        <f>IFERROR(__xludf.DUMMYFUNCTION("""COMPUTED_VALUE"""),80.7449078071824)</f>
        <v>80.74490781</v>
      </c>
      <c r="P1552" s="35">
        <f>IFERROR(__xludf.DUMMYFUNCTION("""COMPUTED_VALUE"""),63585.0)</f>
        <v>63585</v>
      </c>
      <c r="Q1552" s="35">
        <f>IFERROR(__xludf.DUMMYFUNCTION("""COMPUTED_VALUE"""),78748.0)</f>
        <v>78748</v>
      </c>
    </row>
    <row r="1553">
      <c r="A1553" s="35">
        <f>IFERROR(__xludf.DUMMYFUNCTION("""COMPUTED_VALUE"""),1675.0)</f>
        <v>1675</v>
      </c>
      <c r="B1553" s="35" t="str">
        <f>IFERROR(__xludf.DUMMYFUNCTION("""COMPUTED_VALUE"""),"Magnetic Force Between Two Balls")</f>
        <v>Magnetic Force Between Two Balls</v>
      </c>
      <c r="C1553" s="35" t="str">
        <f>IFERROR(__xludf.DUMMYFUNCTION("""COMPUTED_VALUE"""),"magnetic-force-between-two-balls")</f>
        <v>magnetic-force-between-two-balls</v>
      </c>
      <c r="D1553" s="35" t="b">
        <f>IFERROR(__xludf.DUMMYFUNCTION("""COMPUTED_VALUE"""),FALSE)</f>
        <v>0</v>
      </c>
      <c r="E1553" s="35" t="str">
        <f>IFERROR(__xludf.DUMMYFUNCTION("""COMPUTED_VALUE"""),"Medium")</f>
        <v>Medium</v>
      </c>
      <c r="F1553" s="35">
        <f>IFERROR(__xludf.DUMMYFUNCTION("""COMPUTED_VALUE"""),1030.0)</f>
        <v>1030</v>
      </c>
      <c r="G1553" s="35">
        <f>IFERROR(__xludf.DUMMYFUNCTION("""COMPUTED_VALUE"""),76.0)</f>
        <v>76</v>
      </c>
      <c r="H1553" s="35" t="str">
        <f>IFERROR(__xludf.DUMMYFUNCTION("""COMPUTED_VALUE"""),"Algorithms")</f>
        <v>Algorithms</v>
      </c>
      <c r="I1553" s="35">
        <f>IFERROR(__xludf.DUMMYFUNCTION("""COMPUTED_VALUE"""),0.539)</f>
        <v>0.539</v>
      </c>
      <c r="J1553" s="35">
        <f>IFERROR(__xludf.DUMMYFUNCTION("""COMPUTED_VALUE"""),1552.0)</f>
        <v>1552</v>
      </c>
      <c r="K1553" s="35" t="b">
        <f>IFERROR(__xludf.DUMMYFUNCTION("""COMPUTED_VALUE"""),FALSE)</f>
        <v>0</v>
      </c>
      <c r="L1553" s="35" t="str">
        <f>IFERROR(__xludf.DUMMYFUNCTION("""COMPUTED_VALUE"""),"Array;Binary Search;Sorting;")</f>
        <v>Array;Binary Search;Sorting;</v>
      </c>
      <c r="M1553" s="35" t="b">
        <f>IFERROR(__xludf.DUMMYFUNCTION("""COMPUTED_VALUE"""),FALSE)</f>
        <v>0</v>
      </c>
      <c r="N1553" s="35" t="b">
        <f>IFERROR(__xludf.DUMMYFUNCTION("""COMPUTED_VALUE"""),FALSE)</f>
        <v>0</v>
      </c>
      <c r="O1553" s="35">
        <f>IFERROR(__xludf.DUMMYFUNCTION("""COMPUTED_VALUE"""),53.8667611309141)</f>
        <v>53.86676113</v>
      </c>
      <c r="P1553" s="35">
        <f>IFERROR(__xludf.DUMMYFUNCTION("""COMPUTED_VALUE"""),24330.0)</f>
        <v>24330</v>
      </c>
      <c r="Q1553" s="35">
        <f>IFERROR(__xludf.DUMMYFUNCTION("""COMPUTED_VALUE"""),45167.0)</f>
        <v>45167</v>
      </c>
    </row>
    <row r="1554">
      <c r="A1554" s="35">
        <f>IFERROR(__xludf.DUMMYFUNCTION("""COMPUTED_VALUE"""),1676.0)</f>
        <v>1676</v>
      </c>
      <c r="B1554" s="35" t="str">
        <f>IFERROR(__xludf.DUMMYFUNCTION("""COMPUTED_VALUE"""),"Minimum Number of Days to Eat N Oranges")</f>
        <v>Minimum Number of Days to Eat N Oranges</v>
      </c>
      <c r="C1554" s="35" t="str">
        <f>IFERROR(__xludf.DUMMYFUNCTION("""COMPUTED_VALUE"""),"minimum-number-of-days-to-eat-n-oranges")</f>
        <v>minimum-number-of-days-to-eat-n-oranges</v>
      </c>
      <c r="D1554" s="35" t="b">
        <f>IFERROR(__xludf.DUMMYFUNCTION("""COMPUTED_VALUE"""),FALSE)</f>
        <v>0</v>
      </c>
      <c r="E1554" s="35" t="str">
        <f>IFERROR(__xludf.DUMMYFUNCTION("""COMPUTED_VALUE"""),"Hard")</f>
        <v>Hard</v>
      </c>
      <c r="F1554" s="35">
        <f>IFERROR(__xludf.DUMMYFUNCTION("""COMPUTED_VALUE"""),616.0)</f>
        <v>616</v>
      </c>
      <c r="G1554" s="35">
        <f>IFERROR(__xludf.DUMMYFUNCTION("""COMPUTED_VALUE"""),41.0)</f>
        <v>41</v>
      </c>
      <c r="H1554" s="35" t="str">
        <f>IFERROR(__xludf.DUMMYFUNCTION("""COMPUTED_VALUE"""),"Algorithms")</f>
        <v>Algorithms</v>
      </c>
      <c r="I1554" s="35">
        <f>IFERROR(__xludf.DUMMYFUNCTION("""COMPUTED_VALUE"""),0.326)</f>
        <v>0.326</v>
      </c>
      <c r="J1554" s="35">
        <f>IFERROR(__xludf.DUMMYFUNCTION("""COMPUTED_VALUE"""),1553.0)</f>
        <v>1553</v>
      </c>
      <c r="K1554" s="35" t="b">
        <f>IFERROR(__xludf.DUMMYFUNCTION("""COMPUTED_VALUE"""),FALSE)</f>
        <v>0</v>
      </c>
      <c r="L1554" s="35" t="str">
        <f>IFERROR(__xludf.DUMMYFUNCTION("""COMPUTED_VALUE"""),"Dynamic Programming;Memoization;")</f>
        <v>Dynamic Programming;Memoization;</v>
      </c>
      <c r="M1554" s="35" t="b">
        <f>IFERROR(__xludf.DUMMYFUNCTION("""COMPUTED_VALUE"""),FALSE)</f>
        <v>0</v>
      </c>
      <c r="N1554" s="35" t="b">
        <f>IFERROR(__xludf.DUMMYFUNCTION("""COMPUTED_VALUE"""),FALSE)</f>
        <v>0</v>
      </c>
      <c r="O1554" s="35">
        <f>IFERROR(__xludf.DUMMYFUNCTION("""COMPUTED_VALUE"""),32.6106344373712)</f>
        <v>32.61063444</v>
      </c>
      <c r="P1554" s="35">
        <f>IFERROR(__xludf.DUMMYFUNCTION("""COMPUTED_VALUE"""),21208.0)</f>
        <v>21208</v>
      </c>
      <c r="Q1554" s="35">
        <f>IFERROR(__xludf.DUMMYFUNCTION("""COMPUTED_VALUE"""),65034.0)</f>
        <v>65034</v>
      </c>
    </row>
    <row r="1555">
      <c r="A1555" s="35">
        <f>IFERROR(__xludf.DUMMYFUNCTION("""COMPUTED_VALUE"""),1697.0)</f>
        <v>1697</v>
      </c>
      <c r="B1555" s="35" t="str">
        <f>IFERROR(__xludf.DUMMYFUNCTION("""COMPUTED_VALUE"""),"Strings Differ by One Character")</f>
        <v>Strings Differ by One Character</v>
      </c>
      <c r="C1555" s="35" t="str">
        <f>IFERROR(__xludf.DUMMYFUNCTION("""COMPUTED_VALUE"""),"strings-differ-by-one-character")</f>
        <v>strings-differ-by-one-character</v>
      </c>
      <c r="D1555" s="35" t="b">
        <f>IFERROR(__xludf.DUMMYFUNCTION("""COMPUTED_VALUE"""),TRUE)</f>
        <v>1</v>
      </c>
      <c r="E1555" s="35" t="str">
        <f>IFERROR(__xludf.DUMMYFUNCTION("""COMPUTED_VALUE"""),"Medium")</f>
        <v>Medium</v>
      </c>
      <c r="F1555" s="35">
        <f>IFERROR(__xludf.DUMMYFUNCTION("""COMPUTED_VALUE"""),191.0)</f>
        <v>191</v>
      </c>
      <c r="G1555" s="35">
        <f>IFERROR(__xludf.DUMMYFUNCTION("""COMPUTED_VALUE"""),5.0)</f>
        <v>5</v>
      </c>
      <c r="H1555" s="35" t="str">
        <f>IFERROR(__xludf.DUMMYFUNCTION("""COMPUTED_VALUE"""),"Algorithms")</f>
        <v>Algorithms</v>
      </c>
      <c r="I1555" s="35">
        <f>IFERROR(__xludf.DUMMYFUNCTION("""COMPUTED_VALUE"""),0.654)</f>
        <v>0.654</v>
      </c>
      <c r="J1555" s="35">
        <f>IFERROR(__xludf.DUMMYFUNCTION("""COMPUTED_VALUE"""),1554.0)</f>
        <v>1554</v>
      </c>
      <c r="K1555" s="35" t="b">
        <f>IFERROR(__xludf.DUMMYFUNCTION("""COMPUTED_VALUE"""),TRUE)</f>
        <v>1</v>
      </c>
      <c r="L1555" s="35" t="str">
        <f>IFERROR(__xludf.DUMMYFUNCTION("""COMPUTED_VALUE"""),"Hash Table;String;Rolling Hash;Hash Function;")</f>
        <v>Hash Table;String;Rolling Hash;Hash Function;</v>
      </c>
      <c r="M1555" s="35" t="b">
        <f>IFERROR(__xludf.DUMMYFUNCTION("""COMPUTED_VALUE"""),FALSE)</f>
        <v>0</v>
      </c>
      <c r="N1555" s="35" t="b">
        <f>IFERROR(__xludf.DUMMYFUNCTION("""COMPUTED_VALUE"""),FALSE)</f>
        <v>0</v>
      </c>
      <c r="O1555" s="35">
        <f>IFERROR(__xludf.DUMMYFUNCTION("""COMPUTED_VALUE"""),65.3935112833656)</f>
        <v>65.39351128</v>
      </c>
      <c r="P1555" s="35">
        <f>IFERROR(__xludf.DUMMYFUNCTION("""COMPUTED_VALUE"""),10460.0)</f>
        <v>10460</v>
      </c>
      <c r="Q1555" s="35">
        <f>IFERROR(__xludf.DUMMYFUNCTION("""COMPUTED_VALUE"""),15996.0)</f>
        <v>15996</v>
      </c>
    </row>
    <row r="1556">
      <c r="A1556" s="35">
        <f>IFERROR(__xludf.DUMMYFUNCTION("""COMPUTED_VALUE"""),1702.0)</f>
        <v>1702</v>
      </c>
      <c r="B1556" s="35" t="str">
        <f>IFERROR(__xludf.DUMMYFUNCTION("""COMPUTED_VALUE"""),"Bank Account Summary")</f>
        <v>Bank Account Summary</v>
      </c>
      <c r="C1556" s="35" t="str">
        <f>IFERROR(__xludf.DUMMYFUNCTION("""COMPUTED_VALUE"""),"bank-account-summary")</f>
        <v>bank-account-summary</v>
      </c>
      <c r="D1556" s="35" t="b">
        <f>IFERROR(__xludf.DUMMYFUNCTION("""COMPUTED_VALUE"""),TRUE)</f>
        <v>1</v>
      </c>
      <c r="E1556" s="35" t="str">
        <f>IFERROR(__xludf.DUMMYFUNCTION("""COMPUTED_VALUE"""),"Medium")</f>
        <v>Medium</v>
      </c>
      <c r="F1556" s="35">
        <f>IFERROR(__xludf.DUMMYFUNCTION("""COMPUTED_VALUE"""),84.0)</f>
        <v>84</v>
      </c>
      <c r="G1556" s="35">
        <f>IFERROR(__xludf.DUMMYFUNCTION("""COMPUTED_VALUE"""),21.0)</f>
        <v>21</v>
      </c>
      <c r="H1556" s="35" t="str">
        <f>IFERROR(__xludf.DUMMYFUNCTION("""COMPUTED_VALUE"""),"Database")</f>
        <v>Database</v>
      </c>
      <c r="I1556" s="35">
        <f>IFERROR(__xludf.DUMMYFUNCTION("""COMPUTED_VALUE"""),0.533)</f>
        <v>0.533</v>
      </c>
      <c r="J1556" s="35">
        <f>IFERROR(__xludf.DUMMYFUNCTION("""COMPUTED_VALUE"""),1555.0)</f>
        <v>1555</v>
      </c>
      <c r="K1556" s="35" t="b">
        <f>IFERROR(__xludf.DUMMYFUNCTION("""COMPUTED_VALUE"""),TRUE)</f>
        <v>1</v>
      </c>
      <c r="L1556" s="35" t="str">
        <f>IFERROR(__xludf.DUMMYFUNCTION("""COMPUTED_VALUE"""),"Database;")</f>
        <v>Database;</v>
      </c>
      <c r="M1556" s="35" t="b">
        <f>IFERROR(__xludf.DUMMYFUNCTION("""COMPUTED_VALUE"""),FALSE)</f>
        <v>0</v>
      </c>
      <c r="N1556" s="35" t="b">
        <f>IFERROR(__xludf.DUMMYFUNCTION("""COMPUTED_VALUE"""),FALSE)</f>
        <v>0</v>
      </c>
      <c r="O1556" s="35">
        <f>IFERROR(__xludf.DUMMYFUNCTION("""COMPUTED_VALUE"""),53.3168476507902)</f>
        <v>53.31684765</v>
      </c>
      <c r="P1556" s="35">
        <f>IFERROR(__xludf.DUMMYFUNCTION("""COMPUTED_VALUE"""),9918.0)</f>
        <v>9918</v>
      </c>
      <c r="Q1556" s="35">
        <f>IFERROR(__xludf.DUMMYFUNCTION("""COMPUTED_VALUE"""),18602.0)</f>
        <v>18602</v>
      </c>
    </row>
    <row r="1557">
      <c r="A1557" s="35">
        <f>IFERROR(__xludf.DUMMYFUNCTION("""COMPUTED_VALUE"""),1660.0)</f>
        <v>1660</v>
      </c>
      <c r="B1557" s="35" t="str">
        <f>IFERROR(__xludf.DUMMYFUNCTION("""COMPUTED_VALUE"""),"Thousand Separator")</f>
        <v>Thousand Separator</v>
      </c>
      <c r="C1557" s="35" t="str">
        <f>IFERROR(__xludf.DUMMYFUNCTION("""COMPUTED_VALUE"""),"thousand-separator")</f>
        <v>thousand-separator</v>
      </c>
      <c r="D1557" s="35" t="b">
        <f>IFERROR(__xludf.DUMMYFUNCTION("""COMPUTED_VALUE"""),FALSE)</f>
        <v>0</v>
      </c>
      <c r="E1557" s="35" t="str">
        <f>IFERROR(__xludf.DUMMYFUNCTION("""COMPUTED_VALUE"""),"Easy")</f>
        <v>Easy</v>
      </c>
      <c r="F1557" s="35">
        <f>IFERROR(__xludf.DUMMYFUNCTION("""COMPUTED_VALUE"""),319.0)</f>
        <v>319</v>
      </c>
      <c r="G1557" s="35">
        <f>IFERROR(__xludf.DUMMYFUNCTION("""COMPUTED_VALUE"""),11.0)</f>
        <v>11</v>
      </c>
      <c r="H1557" s="35" t="str">
        <f>IFERROR(__xludf.DUMMYFUNCTION("""COMPUTED_VALUE"""),"Algorithms")</f>
        <v>Algorithms</v>
      </c>
      <c r="I1557" s="35">
        <f>IFERROR(__xludf.DUMMYFUNCTION("""COMPUTED_VALUE"""),0.562)</f>
        <v>0.562</v>
      </c>
      <c r="J1557" s="35">
        <f>IFERROR(__xludf.DUMMYFUNCTION("""COMPUTED_VALUE"""),1556.0)</f>
        <v>1556</v>
      </c>
      <c r="K1557" s="35" t="b">
        <f>IFERROR(__xludf.DUMMYFUNCTION("""COMPUTED_VALUE"""),FALSE)</f>
        <v>0</v>
      </c>
      <c r="L1557" s="35" t="str">
        <f>IFERROR(__xludf.DUMMYFUNCTION("""COMPUTED_VALUE"""),"String;")</f>
        <v>String;</v>
      </c>
      <c r="M1557" s="35" t="b">
        <f>IFERROR(__xludf.DUMMYFUNCTION("""COMPUTED_VALUE"""),FALSE)</f>
        <v>0</v>
      </c>
      <c r="N1557" s="35" t="b">
        <f>IFERROR(__xludf.DUMMYFUNCTION("""COMPUTED_VALUE"""),FALSE)</f>
        <v>0</v>
      </c>
      <c r="O1557" s="35">
        <f>IFERROR(__xludf.DUMMYFUNCTION("""COMPUTED_VALUE"""),56.2444797738915)</f>
        <v>56.24447977</v>
      </c>
      <c r="P1557" s="35">
        <f>IFERROR(__xludf.DUMMYFUNCTION("""COMPUTED_VALUE"""),31840.0)</f>
        <v>31840</v>
      </c>
      <c r="Q1557" s="35">
        <f>IFERROR(__xludf.DUMMYFUNCTION("""COMPUTED_VALUE"""),56610.0)</f>
        <v>56610</v>
      </c>
    </row>
    <row r="1558">
      <c r="A1558" s="35">
        <f>IFERROR(__xludf.DUMMYFUNCTION("""COMPUTED_VALUE"""),1661.0)</f>
        <v>1661</v>
      </c>
      <c r="B1558" s="35" t="str">
        <f>IFERROR(__xludf.DUMMYFUNCTION("""COMPUTED_VALUE"""),"Minimum Number of Vertices to Reach All Nodes")</f>
        <v>Minimum Number of Vertices to Reach All Nodes</v>
      </c>
      <c r="C1558" s="35" t="str">
        <f>IFERROR(__xludf.DUMMYFUNCTION("""COMPUTED_VALUE"""),"minimum-number-of-vertices-to-reach-all-nodes")</f>
        <v>minimum-number-of-vertices-to-reach-all-nodes</v>
      </c>
      <c r="D1558" s="35" t="b">
        <f>IFERROR(__xludf.DUMMYFUNCTION("""COMPUTED_VALUE"""),FALSE)</f>
        <v>0</v>
      </c>
      <c r="E1558" s="35" t="str">
        <f>IFERROR(__xludf.DUMMYFUNCTION("""COMPUTED_VALUE"""),"Medium")</f>
        <v>Medium</v>
      </c>
      <c r="F1558" s="35">
        <f>IFERROR(__xludf.DUMMYFUNCTION("""COMPUTED_VALUE"""),1271.0)</f>
        <v>1271</v>
      </c>
      <c r="G1558" s="35">
        <f>IFERROR(__xludf.DUMMYFUNCTION("""COMPUTED_VALUE"""),58.0)</f>
        <v>58</v>
      </c>
      <c r="H1558" s="35" t="str">
        <f>IFERROR(__xludf.DUMMYFUNCTION("""COMPUTED_VALUE"""),"Algorithms")</f>
        <v>Algorithms</v>
      </c>
      <c r="I1558" s="35">
        <f>IFERROR(__xludf.DUMMYFUNCTION("""COMPUTED_VALUE"""),0.781)</f>
        <v>0.781</v>
      </c>
      <c r="J1558" s="35">
        <f>IFERROR(__xludf.DUMMYFUNCTION("""COMPUTED_VALUE"""),1557.0)</f>
        <v>1557</v>
      </c>
      <c r="K1558" s="35" t="b">
        <f>IFERROR(__xludf.DUMMYFUNCTION("""COMPUTED_VALUE"""),FALSE)</f>
        <v>0</v>
      </c>
      <c r="L1558" s="35" t="str">
        <f>IFERROR(__xludf.DUMMYFUNCTION("""COMPUTED_VALUE"""),"Graph;")</f>
        <v>Graph;</v>
      </c>
      <c r="M1558" s="35" t="b">
        <f>IFERROR(__xludf.DUMMYFUNCTION("""COMPUTED_VALUE"""),FALSE)</f>
        <v>0</v>
      </c>
      <c r="N1558" s="35" t="b">
        <f>IFERROR(__xludf.DUMMYFUNCTION("""COMPUTED_VALUE"""),FALSE)</f>
        <v>0</v>
      </c>
      <c r="O1558" s="35">
        <f>IFERROR(__xludf.DUMMYFUNCTION("""COMPUTED_VALUE"""),78.1025451862781)</f>
        <v>78.10254519</v>
      </c>
      <c r="P1558" s="35">
        <f>IFERROR(__xludf.DUMMYFUNCTION("""COMPUTED_VALUE"""),52920.0)</f>
        <v>52920</v>
      </c>
      <c r="Q1558" s="35">
        <f>IFERROR(__xludf.DUMMYFUNCTION("""COMPUTED_VALUE"""),67761.0)</f>
        <v>67761</v>
      </c>
    </row>
    <row r="1559">
      <c r="A1559" s="35">
        <f>IFERROR(__xludf.DUMMYFUNCTION("""COMPUTED_VALUE"""),1662.0)</f>
        <v>1662</v>
      </c>
      <c r="B1559" s="35" t="str">
        <f>IFERROR(__xludf.DUMMYFUNCTION("""COMPUTED_VALUE"""),"Minimum Numbers of Function Calls to Make Target Array")</f>
        <v>Minimum Numbers of Function Calls to Make Target Array</v>
      </c>
      <c r="C1559" s="35" t="str">
        <f>IFERROR(__xludf.DUMMYFUNCTION("""COMPUTED_VALUE"""),"minimum-numbers-of-function-calls-to-make-target-array")</f>
        <v>minimum-numbers-of-function-calls-to-make-target-array</v>
      </c>
      <c r="D1559" s="35" t="b">
        <f>IFERROR(__xludf.DUMMYFUNCTION("""COMPUTED_VALUE"""),FALSE)</f>
        <v>0</v>
      </c>
      <c r="E1559" s="35" t="str">
        <f>IFERROR(__xludf.DUMMYFUNCTION("""COMPUTED_VALUE"""),"Medium")</f>
        <v>Medium</v>
      </c>
      <c r="F1559" s="35">
        <f>IFERROR(__xludf.DUMMYFUNCTION("""COMPUTED_VALUE"""),397.0)</f>
        <v>397</v>
      </c>
      <c r="G1559" s="35">
        <f>IFERROR(__xludf.DUMMYFUNCTION("""COMPUTED_VALUE"""),22.0)</f>
        <v>22</v>
      </c>
      <c r="H1559" s="35" t="str">
        <f>IFERROR(__xludf.DUMMYFUNCTION("""COMPUTED_VALUE"""),"Algorithms")</f>
        <v>Algorithms</v>
      </c>
      <c r="I1559" s="35">
        <f>IFERROR(__xludf.DUMMYFUNCTION("""COMPUTED_VALUE"""),0.639)</f>
        <v>0.639</v>
      </c>
      <c r="J1559" s="35">
        <f>IFERROR(__xludf.DUMMYFUNCTION("""COMPUTED_VALUE"""),1558.0)</f>
        <v>1558</v>
      </c>
      <c r="K1559" s="35" t="b">
        <f>IFERROR(__xludf.DUMMYFUNCTION("""COMPUTED_VALUE"""),FALSE)</f>
        <v>0</v>
      </c>
      <c r="L1559" s="35" t="str">
        <f>IFERROR(__xludf.DUMMYFUNCTION("""COMPUTED_VALUE"""),"Array;Greedy;")</f>
        <v>Array;Greedy;</v>
      </c>
      <c r="M1559" s="35" t="b">
        <f>IFERROR(__xludf.DUMMYFUNCTION("""COMPUTED_VALUE"""),FALSE)</f>
        <v>0</v>
      </c>
      <c r="N1559" s="35" t="b">
        <f>IFERROR(__xludf.DUMMYFUNCTION("""COMPUTED_VALUE"""),FALSE)</f>
        <v>0</v>
      </c>
      <c r="O1559" s="35">
        <f>IFERROR(__xludf.DUMMYFUNCTION("""COMPUTED_VALUE"""),63.8552130239002)</f>
        <v>63.85521302</v>
      </c>
      <c r="P1559" s="35">
        <f>IFERROR(__xludf.DUMMYFUNCTION("""COMPUTED_VALUE"""),14748.0)</f>
        <v>14748</v>
      </c>
      <c r="Q1559" s="35">
        <f>IFERROR(__xludf.DUMMYFUNCTION("""COMPUTED_VALUE"""),23096.0)</f>
        <v>23096</v>
      </c>
    </row>
    <row r="1560">
      <c r="A1560" s="35">
        <f>IFERROR(__xludf.DUMMYFUNCTION("""COMPUTED_VALUE"""),1663.0)</f>
        <v>1663</v>
      </c>
      <c r="B1560" s="35" t="str">
        <f>IFERROR(__xludf.DUMMYFUNCTION("""COMPUTED_VALUE"""),"Detect Cycles in 2D Grid")</f>
        <v>Detect Cycles in 2D Grid</v>
      </c>
      <c r="C1560" s="35" t="str">
        <f>IFERROR(__xludf.DUMMYFUNCTION("""COMPUTED_VALUE"""),"detect-cycles-in-2d-grid")</f>
        <v>detect-cycles-in-2d-grid</v>
      </c>
      <c r="D1560" s="35" t="b">
        <f>IFERROR(__xludf.DUMMYFUNCTION("""COMPUTED_VALUE"""),FALSE)</f>
        <v>0</v>
      </c>
      <c r="E1560" s="35" t="str">
        <f>IFERROR(__xludf.DUMMYFUNCTION("""COMPUTED_VALUE"""),"Medium")</f>
        <v>Medium</v>
      </c>
      <c r="F1560" s="35">
        <f>IFERROR(__xludf.DUMMYFUNCTION("""COMPUTED_VALUE"""),574.0)</f>
        <v>574</v>
      </c>
      <c r="G1560" s="35">
        <f>IFERROR(__xludf.DUMMYFUNCTION("""COMPUTED_VALUE"""),21.0)</f>
        <v>21</v>
      </c>
      <c r="H1560" s="35" t="str">
        <f>IFERROR(__xludf.DUMMYFUNCTION("""COMPUTED_VALUE"""),"Algorithms")</f>
        <v>Algorithms</v>
      </c>
      <c r="I1560" s="35">
        <f>IFERROR(__xludf.DUMMYFUNCTION("""COMPUTED_VALUE"""),0.478)</f>
        <v>0.478</v>
      </c>
      <c r="J1560" s="35">
        <f>IFERROR(__xludf.DUMMYFUNCTION("""COMPUTED_VALUE"""),1559.0)</f>
        <v>1559</v>
      </c>
      <c r="K1560" s="35" t="b">
        <f>IFERROR(__xludf.DUMMYFUNCTION("""COMPUTED_VALUE"""),FALSE)</f>
        <v>0</v>
      </c>
      <c r="L1560" s="35" t="str">
        <f>IFERROR(__xludf.DUMMYFUNCTION("""COMPUTED_VALUE"""),"Array;Depth-First Search;Breadth-First Search;Union Find;Matrix;")</f>
        <v>Array;Depth-First Search;Breadth-First Search;Union Find;Matrix;</v>
      </c>
      <c r="M1560" s="35" t="b">
        <f>IFERROR(__xludf.DUMMYFUNCTION("""COMPUTED_VALUE"""),FALSE)</f>
        <v>0</v>
      </c>
      <c r="N1560" s="35" t="b">
        <f>IFERROR(__xludf.DUMMYFUNCTION("""COMPUTED_VALUE"""),FALSE)</f>
        <v>0</v>
      </c>
      <c r="O1560" s="35">
        <f>IFERROR(__xludf.DUMMYFUNCTION("""COMPUTED_VALUE"""),47.8328376487053)</f>
        <v>47.83283765</v>
      </c>
      <c r="P1560" s="35">
        <f>IFERROR(__xludf.DUMMYFUNCTION("""COMPUTED_VALUE"""),21871.0)</f>
        <v>21871</v>
      </c>
      <c r="Q1560" s="35">
        <f>IFERROR(__xludf.DUMMYFUNCTION("""COMPUTED_VALUE"""),45726.0)</f>
        <v>45726</v>
      </c>
    </row>
    <row r="1561">
      <c r="A1561" s="35">
        <f>IFERROR(__xludf.DUMMYFUNCTION("""COMPUTED_VALUE"""),1682.0)</f>
        <v>1682</v>
      </c>
      <c r="B1561" s="35" t="str">
        <f>IFERROR(__xludf.DUMMYFUNCTION("""COMPUTED_VALUE"""),"Most Visited Sector in  a Circular Track")</f>
        <v>Most Visited Sector in  a Circular Track</v>
      </c>
      <c r="C1561" s="35" t="str">
        <f>IFERROR(__xludf.DUMMYFUNCTION("""COMPUTED_VALUE"""),"most-visited-sector-in-a-circular-track")</f>
        <v>most-visited-sector-in-a-circular-track</v>
      </c>
      <c r="D1561" s="35" t="b">
        <f>IFERROR(__xludf.DUMMYFUNCTION("""COMPUTED_VALUE"""),FALSE)</f>
        <v>0</v>
      </c>
      <c r="E1561" s="35" t="str">
        <f>IFERROR(__xludf.DUMMYFUNCTION("""COMPUTED_VALUE"""),"Easy")</f>
        <v>Easy</v>
      </c>
      <c r="F1561" s="35">
        <f>IFERROR(__xludf.DUMMYFUNCTION("""COMPUTED_VALUE"""),196.0)</f>
        <v>196</v>
      </c>
      <c r="G1561" s="35">
        <f>IFERROR(__xludf.DUMMYFUNCTION("""COMPUTED_VALUE"""),414.0)</f>
        <v>414</v>
      </c>
      <c r="H1561" s="35" t="str">
        <f>IFERROR(__xludf.DUMMYFUNCTION("""COMPUTED_VALUE"""),"Algorithms")</f>
        <v>Algorithms</v>
      </c>
      <c r="I1561" s="35">
        <f>IFERROR(__xludf.DUMMYFUNCTION("""COMPUTED_VALUE"""),0.58)</f>
        <v>0.58</v>
      </c>
      <c r="J1561" s="35">
        <f>IFERROR(__xludf.DUMMYFUNCTION("""COMPUTED_VALUE"""),1560.0)</f>
        <v>1560</v>
      </c>
      <c r="K1561" s="35" t="b">
        <f>IFERROR(__xludf.DUMMYFUNCTION("""COMPUTED_VALUE"""),FALSE)</f>
        <v>0</v>
      </c>
      <c r="L1561" s="35" t="str">
        <f>IFERROR(__xludf.DUMMYFUNCTION("""COMPUTED_VALUE"""),"Array;Simulation;")</f>
        <v>Array;Simulation;</v>
      </c>
      <c r="M1561" s="35" t="b">
        <f>IFERROR(__xludf.DUMMYFUNCTION("""COMPUTED_VALUE"""),FALSE)</f>
        <v>0</v>
      </c>
      <c r="N1561" s="35" t="b">
        <f>IFERROR(__xludf.DUMMYFUNCTION("""COMPUTED_VALUE"""),FALSE)</f>
        <v>0</v>
      </c>
      <c r="O1561" s="35">
        <f>IFERROR(__xludf.DUMMYFUNCTION("""COMPUTED_VALUE"""),58.0048428877125)</f>
        <v>58.00484289</v>
      </c>
      <c r="P1561" s="35">
        <f>IFERROR(__xludf.DUMMYFUNCTION("""COMPUTED_VALUE"""),20600.0)</f>
        <v>20600</v>
      </c>
      <c r="Q1561" s="35">
        <f>IFERROR(__xludf.DUMMYFUNCTION("""COMPUTED_VALUE"""),35515.0)</f>
        <v>35515</v>
      </c>
    </row>
    <row r="1562">
      <c r="A1562" s="35">
        <f>IFERROR(__xludf.DUMMYFUNCTION("""COMPUTED_VALUE"""),1683.0)</f>
        <v>1683</v>
      </c>
      <c r="B1562" s="35" t="str">
        <f>IFERROR(__xludf.DUMMYFUNCTION("""COMPUTED_VALUE"""),"Maximum Number of Coins You Can Get")</f>
        <v>Maximum Number of Coins You Can Get</v>
      </c>
      <c r="C1562" s="35" t="str">
        <f>IFERROR(__xludf.DUMMYFUNCTION("""COMPUTED_VALUE"""),"maximum-number-of-coins-you-can-get")</f>
        <v>maximum-number-of-coins-you-can-get</v>
      </c>
      <c r="D1562" s="35" t="b">
        <f>IFERROR(__xludf.DUMMYFUNCTION("""COMPUTED_VALUE"""),FALSE)</f>
        <v>0</v>
      </c>
      <c r="E1562" s="35" t="str">
        <f>IFERROR(__xludf.DUMMYFUNCTION("""COMPUTED_VALUE"""),"Medium")</f>
        <v>Medium</v>
      </c>
      <c r="F1562" s="35">
        <f>IFERROR(__xludf.DUMMYFUNCTION("""COMPUTED_VALUE"""),583.0)</f>
        <v>583</v>
      </c>
      <c r="G1562" s="35">
        <f>IFERROR(__xludf.DUMMYFUNCTION("""COMPUTED_VALUE"""),84.0)</f>
        <v>84</v>
      </c>
      <c r="H1562" s="35" t="str">
        <f>IFERROR(__xludf.DUMMYFUNCTION("""COMPUTED_VALUE"""),"Algorithms")</f>
        <v>Algorithms</v>
      </c>
      <c r="I1562" s="35">
        <f>IFERROR(__xludf.DUMMYFUNCTION("""COMPUTED_VALUE"""),0.782)</f>
        <v>0.782</v>
      </c>
      <c r="J1562" s="35">
        <f>IFERROR(__xludf.DUMMYFUNCTION("""COMPUTED_VALUE"""),1561.0)</f>
        <v>1561</v>
      </c>
      <c r="K1562" s="35" t="b">
        <f>IFERROR(__xludf.DUMMYFUNCTION("""COMPUTED_VALUE"""),FALSE)</f>
        <v>0</v>
      </c>
      <c r="L1562" s="35" t="str">
        <f>IFERROR(__xludf.DUMMYFUNCTION("""COMPUTED_VALUE"""),"Array;Math;Greedy;Sorting;Game Theory;")</f>
        <v>Array;Math;Greedy;Sorting;Game Theory;</v>
      </c>
      <c r="M1562" s="35" t="b">
        <f>IFERROR(__xludf.DUMMYFUNCTION("""COMPUTED_VALUE"""),FALSE)</f>
        <v>0</v>
      </c>
      <c r="N1562" s="35" t="b">
        <f>IFERROR(__xludf.DUMMYFUNCTION("""COMPUTED_VALUE"""),FALSE)</f>
        <v>0</v>
      </c>
      <c r="O1562" s="35">
        <f>IFERROR(__xludf.DUMMYFUNCTION("""COMPUTED_VALUE"""),78.1642599277978)</f>
        <v>78.16425993</v>
      </c>
      <c r="P1562" s="35">
        <f>IFERROR(__xludf.DUMMYFUNCTION("""COMPUTED_VALUE"""),43302.0)</f>
        <v>43302</v>
      </c>
      <c r="Q1562" s="35">
        <f>IFERROR(__xludf.DUMMYFUNCTION("""COMPUTED_VALUE"""),55399.0)</f>
        <v>55399</v>
      </c>
    </row>
    <row r="1563">
      <c r="A1563" s="35">
        <f>IFERROR(__xludf.DUMMYFUNCTION("""COMPUTED_VALUE"""),1684.0)</f>
        <v>1684</v>
      </c>
      <c r="B1563" s="35" t="str">
        <f>IFERROR(__xludf.DUMMYFUNCTION("""COMPUTED_VALUE"""),"Find Latest Group of Size M")</f>
        <v>Find Latest Group of Size M</v>
      </c>
      <c r="C1563" s="35" t="str">
        <f>IFERROR(__xludf.DUMMYFUNCTION("""COMPUTED_VALUE"""),"find-latest-group-of-size-m")</f>
        <v>find-latest-group-of-size-m</v>
      </c>
      <c r="D1563" s="35" t="b">
        <f>IFERROR(__xludf.DUMMYFUNCTION("""COMPUTED_VALUE"""),FALSE)</f>
        <v>0</v>
      </c>
      <c r="E1563" s="35" t="str">
        <f>IFERROR(__xludf.DUMMYFUNCTION("""COMPUTED_VALUE"""),"Medium")</f>
        <v>Medium</v>
      </c>
      <c r="F1563" s="35">
        <f>IFERROR(__xludf.DUMMYFUNCTION("""COMPUTED_VALUE"""),431.0)</f>
        <v>431</v>
      </c>
      <c r="G1563" s="35">
        <f>IFERROR(__xludf.DUMMYFUNCTION("""COMPUTED_VALUE"""),90.0)</f>
        <v>90</v>
      </c>
      <c r="H1563" s="35" t="str">
        <f>IFERROR(__xludf.DUMMYFUNCTION("""COMPUTED_VALUE"""),"Algorithms")</f>
        <v>Algorithms</v>
      </c>
      <c r="I1563" s="35">
        <f>IFERROR(__xludf.DUMMYFUNCTION("""COMPUTED_VALUE"""),0.407)</f>
        <v>0.407</v>
      </c>
      <c r="J1563" s="35">
        <f>IFERROR(__xludf.DUMMYFUNCTION("""COMPUTED_VALUE"""),1562.0)</f>
        <v>1562</v>
      </c>
      <c r="K1563" s="35" t="b">
        <f>IFERROR(__xludf.DUMMYFUNCTION("""COMPUTED_VALUE"""),FALSE)</f>
        <v>0</v>
      </c>
      <c r="L1563" s="35" t="str">
        <f>IFERROR(__xludf.DUMMYFUNCTION("""COMPUTED_VALUE"""),"Array;Binary Search;Simulation;")</f>
        <v>Array;Binary Search;Simulation;</v>
      </c>
      <c r="M1563" s="35" t="b">
        <f>IFERROR(__xludf.DUMMYFUNCTION("""COMPUTED_VALUE"""),FALSE)</f>
        <v>0</v>
      </c>
      <c r="N1563" s="35" t="b">
        <f>IFERROR(__xludf.DUMMYFUNCTION("""COMPUTED_VALUE"""),FALSE)</f>
        <v>0</v>
      </c>
      <c r="O1563" s="35">
        <f>IFERROR(__xludf.DUMMYFUNCTION("""COMPUTED_VALUE"""),40.7149816886738)</f>
        <v>40.71498169</v>
      </c>
      <c r="P1563" s="35">
        <f>IFERROR(__xludf.DUMMYFUNCTION("""COMPUTED_VALUE"""),12118.0)</f>
        <v>12118</v>
      </c>
      <c r="Q1563" s="35">
        <f>IFERROR(__xludf.DUMMYFUNCTION("""COMPUTED_VALUE"""),29763.0)</f>
        <v>29763</v>
      </c>
    </row>
    <row r="1564">
      <c r="A1564" s="35">
        <f>IFERROR(__xludf.DUMMYFUNCTION("""COMPUTED_VALUE"""),1685.0)</f>
        <v>1685</v>
      </c>
      <c r="B1564" s="35" t="str">
        <f>IFERROR(__xludf.DUMMYFUNCTION("""COMPUTED_VALUE"""),"Stone Game V")</f>
        <v>Stone Game V</v>
      </c>
      <c r="C1564" s="35" t="str">
        <f>IFERROR(__xludf.DUMMYFUNCTION("""COMPUTED_VALUE"""),"stone-game-v")</f>
        <v>stone-game-v</v>
      </c>
      <c r="D1564" s="35" t="b">
        <f>IFERROR(__xludf.DUMMYFUNCTION("""COMPUTED_VALUE"""),FALSE)</f>
        <v>0</v>
      </c>
      <c r="E1564" s="35" t="str">
        <f>IFERROR(__xludf.DUMMYFUNCTION("""COMPUTED_VALUE"""),"Hard")</f>
        <v>Hard</v>
      </c>
      <c r="F1564" s="35">
        <f>IFERROR(__xludf.DUMMYFUNCTION("""COMPUTED_VALUE"""),342.0)</f>
        <v>342</v>
      </c>
      <c r="G1564" s="35">
        <f>IFERROR(__xludf.DUMMYFUNCTION("""COMPUTED_VALUE"""),58.0)</f>
        <v>58</v>
      </c>
      <c r="H1564" s="35" t="str">
        <f>IFERROR(__xludf.DUMMYFUNCTION("""COMPUTED_VALUE"""),"Algorithms")</f>
        <v>Algorithms</v>
      </c>
      <c r="I1564" s="35">
        <f>IFERROR(__xludf.DUMMYFUNCTION("""COMPUTED_VALUE"""),0.409)</f>
        <v>0.409</v>
      </c>
      <c r="J1564" s="35">
        <f>IFERROR(__xludf.DUMMYFUNCTION("""COMPUTED_VALUE"""),1563.0)</f>
        <v>1563</v>
      </c>
      <c r="K1564" s="35" t="b">
        <f>IFERROR(__xludf.DUMMYFUNCTION("""COMPUTED_VALUE"""),FALSE)</f>
        <v>0</v>
      </c>
      <c r="L1564" s="35" t="str">
        <f>IFERROR(__xludf.DUMMYFUNCTION("""COMPUTED_VALUE"""),"Array;Math;Dynamic Programming;Game Theory;")</f>
        <v>Array;Math;Dynamic Programming;Game Theory;</v>
      </c>
      <c r="M1564" s="35" t="b">
        <f>IFERROR(__xludf.DUMMYFUNCTION("""COMPUTED_VALUE"""),FALSE)</f>
        <v>0</v>
      </c>
      <c r="N1564" s="35" t="b">
        <f>IFERROR(__xludf.DUMMYFUNCTION("""COMPUTED_VALUE"""),FALSE)</f>
        <v>0</v>
      </c>
      <c r="O1564" s="35">
        <f>IFERROR(__xludf.DUMMYFUNCTION("""COMPUTED_VALUE"""),40.9252079398217)</f>
        <v>40.92520794</v>
      </c>
      <c r="P1564" s="35">
        <f>IFERROR(__xludf.DUMMYFUNCTION("""COMPUTED_VALUE"""),12348.0)</f>
        <v>12348</v>
      </c>
      <c r="Q1564" s="35">
        <f>IFERROR(__xludf.DUMMYFUNCTION("""COMPUTED_VALUE"""),30172.0)</f>
        <v>30172</v>
      </c>
    </row>
    <row r="1565">
      <c r="A1565" s="35">
        <f>IFERROR(__xludf.DUMMYFUNCTION("""COMPUTED_VALUE"""),1703.0)</f>
        <v>1703</v>
      </c>
      <c r="B1565" s="35" t="str">
        <f>IFERROR(__xludf.DUMMYFUNCTION("""COMPUTED_VALUE"""),"Put Boxes Into the Warehouse I")</f>
        <v>Put Boxes Into the Warehouse I</v>
      </c>
      <c r="C1565" s="35" t="str">
        <f>IFERROR(__xludf.DUMMYFUNCTION("""COMPUTED_VALUE"""),"put-boxes-into-the-warehouse-i")</f>
        <v>put-boxes-into-the-warehouse-i</v>
      </c>
      <c r="D1565" s="35" t="b">
        <f>IFERROR(__xludf.DUMMYFUNCTION("""COMPUTED_VALUE"""),TRUE)</f>
        <v>1</v>
      </c>
      <c r="E1565" s="35" t="str">
        <f>IFERROR(__xludf.DUMMYFUNCTION("""COMPUTED_VALUE"""),"Medium")</f>
        <v>Medium</v>
      </c>
      <c r="F1565" s="35">
        <f>IFERROR(__xludf.DUMMYFUNCTION("""COMPUTED_VALUE"""),222.0)</f>
        <v>222</v>
      </c>
      <c r="G1565" s="35">
        <f>IFERROR(__xludf.DUMMYFUNCTION("""COMPUTED_VALUE"""),20.0)</f>
        <v>20</v>
      </c>
      <c r="H1565" s="35" t="str">
        <f>IFERROR(__xludf.DUMMYFUNCTION("""COMPUTED_VALUE"""),"Algorithms")</f>
        <v>Algorithms</v>
      </c>
      <c r="I1565" s="35">
        <f>IFERROR(__xludf.DUMMYFUNCTION("""COMPUTED_VALUE"""),0.645)</f>
        <v>0.645</v>
      </c>
      <c r="J1565" s="35">
        <f>IFERROR(__xludf.DUMMYFUNCTION("""COMPUTED_VALUE"""),1564.0)</f>
        <v>1564</v>
      </c>
      <c r="K1565" s="35" t="b">
        <f>IFERROR(__xludf.DUMMYFUNCTION("""COMPUTED_VALUE"""),TRUE)</f>
        <v>1</v>
      </c>
      <c r="L1565" s="35" t="str">
        <f>IFERROR(__xludf.DUMMYFUNCTION("""COMPUTED_VALUE"""),"Array;Greedy;Sorting;")</f>
        <v>Array;Greedy;Sorting;</v>
      </c>
      <c r="M1565" s="35" t="b">
        <f>IFERROR(__xludf.DUMMYFUNCTION("""COMPUTED_VALUE"""),TRUE)</f>
        <v>1</v>
      </c>
      <c r="N1565" s="35" t="b">
        <f>IFERROR(__xludf.DUMMYFUNCTION("""COMPUTED_VALUE"""),FALSE)</f>
        <v>0</v>
      </c>
      <c r="O1565" s="35">
        <f>IFERROR(__xludf.DUMMYFUNCTION("""COMPUTED_VALUE"""),64.4818536772706)</f>
        <v>64.48185368</v>
      </c>
      <c r="P1565" s="35">
        <f>IFERROR(__xludf.DUMMYFUNCTION("""COMPUTED_VALUE"""),10074.0)</f>
        <v>10074</v>
      </c>
      <c r="Q1565" s="35">
        <f>IFERROR(__xludf.DUMMYFUNCTION("""COMPUTED_VALUE"""),15623.0)</f>
        <v>15623</v>
      </c>
    </row>
    <row r="1566">
      <c r="A1566" s="35">
        <f>IFERROR(__xludf.DUMMYFUNCTION("""COMPUTED_VALUE"""),1712.0)</f>
        <v>1712</v>
      </c>
      <c r="B1566" s="35" t="str">
        <f>IFERROR(__xludf.DUMMYFUNCTION("""COMPUTED_VALUE"""),"Unique Orders and Customers Per Month")</f>
        <v>Unique Orders and Customers Per Month</v>
      </c>
      <c r="C1566" s="35" t="str">
        <f>IFERROR(__xludf.DUMMYFUNCTION("""COMPUTED_VALUE"""),"unique-orders-and-customers-per-month")</f>
        <v>unique-orders-and-customers-per-month</v>
      </c>
      <c r="D1566" s="35" t="b">
        <f>IFERROR(__xludf.DUMMYFUNCTION("""COMPUTED_VALUE"""),TRUE)</f>
        <v>1</v>
      </c>
      <c r="E1566" s="35" t="str">
        <f>IFERROR(__xludf.DUMMYFUNCTION("""COMPUTED_VALUE"""),"Easy")</f>
        <v>Easy</v>
      </c>
      <c r="F1566" s="35">
        <f>IFERROR(__xludf.DUMMYFUNCTION("""COMPUTED_VALUE"""),52.0)</f>
        <v>52</v>
      </c>
      <c r="G1566" s="35">
        <f>IFERROR(__xludf.DUMMYFUNCTION("""COMPUTED_VALUE"""),26.0)</f>
        <v>26</v>
      </c>
      <c r="H1566" s="35" t="str">
        <f>IFERROR(__xludf.DUMMYFUNCTION("""COMPUTED_VALUE"""),"Database")</f>
        <v>Database</v>
      </c>
      <c r="I1566" s="35">
        <f>IFERROR(__xludf.DUMMYFUNCTION("""COMPUTED_VALUE"""),0.831)</f>
        <v>0.831</v>
      </c>
      <c r="J1566" s="35">
        <f>IFERROR(__xludf.DUMMYFUNCTION("""COMPUTED_VALUE"""),1565.0)</f>
        <v>1565</v>
      </c>
      <c r="K1566" s="35" t="b">
        <f>IFERROR(__xludf.DUMMYFUNCTION("""COMPUTED_VALUE"""),TRUE)</f>
        <v>1</v>
      </c>
      <c r="L1566" s="35" t="str">
        <f>IFERROR(__xludf.DUMMYFUNCTION("""COMPUTED_VALUE"""),"Database;")</f>
        <v>Database;</v>
      </c>
      <c r="M1566" s="35" t="b">
        <f>IFERROR(__xludf.DUMMYFUNCTION("""COMPUTED_VALUE"""),FALSE)</f>
        <v>0</v>
      </c>
      <c r="N1566" s="35" t="b">
        <f>IFERROR(__xludf.DUMMYFUNCTION("""COMPUTED_VALUE"""),FALSE)</f>
        <v>0</v>
      </c>
      <c r="O1566" s="35">
        <f>IFERROR(__xludf.DUMMYFUNCTION("""COMPUTED_VALUE"""),83.1053604436229)</f>
        <v>83.10536044</v>
      </c>
      <c r="P1566" s="35">
        <f>IFERROR(__xludf.DUMMYFUNCTION("""COMPUTED_VALUE"""),13488.0)</f>
        <v>13488</v>
      </c>
      <c r="Q1566" s="35">
        <f>IFERROR(__xludf.DUMMYFUNCTION("""COMPUTED_VALUE"""),16230.0)</f>
        <v>16230</v>
      </c>
    </row>
    <row r="1567">
      <c r="A1567" s="35">
        <f>IFERROR(__xludf.DUMMYFUNCTION("""COMPUTED_VALUE"""),1689.0)</f>
        <v>1689</v>
      </c>
      <c r="B1567" s="35" t="str">
        <f>IFERROR(__xludf.DUMMYFUNCTION("""COMPUTED_VALUE"""),"Detect Pattern of Length M Repeated K or More Times")</f>
        <v>Detect Pattern of Length M Repeated K or More Times</v>
      </c>
      <c r="C1567" s="35" t="str">
        <f>IFERROR(__xludf.DUMMYFUNCTION("""COMPUTED_VALUE"""),"detect-pattern-of-length-m-repeated-k-or-more-times")</f>
        <v>detect-pattern-of-length-m-repeated-k-or-more-times</v>
      </c>
      <c r="D1567" s="35" t="b">
        <f>IFERROR(__xludf.DUMMYFUNCTION("""COMPUTED_VALUE"""),FALSE)</f>
        <v>0</v>
      </c>
      <c r="E1567" s="35" t="str">
        <f>IFERROR(__xludf.DUMMYFUNCTION("""COMPUTED_VALUE"""),"Easy")</f>
        <v>Easy</v>
      </c>
      <c r="F1567" s="35">
        <f>IFERROR(__xludf.DUMMYFUNCTION("""COMPUTED_VALUE"""),451.0)</f>
        <v>451</v>
      </c>
      <c r="G1567" s="35">
        <f>IFERROR(__xludf.DUMMYFUNCTION("""COMPUTED_VALUE"""),79.0)</f>
        <v>79</v>
      </c>
      <c r="H1567" s="35" t="str">
        <f>IFERROR(__xludf.DUMMYFUNCTION("""COMPUTED_VALUE"""),"Algorithms")</f>
        <v>Algorithms</v>
      </c>
      <c r="I1567" s="35">
        <f>IFERROR(__xludf.DUMMYFUNCTION("""COMPUTED_VALUE"""),0.436)</f>
        <v>0.436</v>
      </c>
      <c r="J1567" s="35">
        <f>IFERROR(__xludf.DUMMYFUNCTION("""COMPUTED_VALUE"""),1566.0)</f>
        <v>1566</v>
      </c>
      <c r="K1567" s="35" t="b">
        <f>IFERROR(__xludf.DUMMYFUNCTION("""COMPUTED_VALUE"""),FALSE)</f>
        <v>0</v>
      </c>
      <c r="L1567" s="35" t="str">
        <f>IFERROR(__xludf.DUMMYFUNCTION("""COMPUTED_VALUE"""),"Array;Enumeration;")</f>
        <v>Array;Enumeration;</v>
      </c>
      <c r="M1567" s="35" t="b">
        <f>IFERROR(__xludf.DUMMYFUNCTION("""COMPUTED_VALUE"""),FALSE)</f>
        <v>0</v>
      </c>
      <c r="N1567" s="35" t="b">
        <f>IFERROR(__xludf.DUMMYFUNCTION("""COMPUTED_VALUE"""),FALSE)</f>
        <v>0</v>
      </c>
      <c r="O1567" s="35">
        <f>IFERROR(__xludf.DUMMYFUNCTION("""COMPUTED_VALUE"""),43.6039567002612)</f>
        <v>43.6039567</v>
      </c>
      <c r="P1567" s="35">
        <f>IFERROR(__xludf.DUMMYFUNCTION("""COMPUTED_VALUE"""),23363.0)</f>
        <v>23363</v>
      </c>
      <c r="Q1567" s="35">
        <f>IFERROR(__xludf.DUMMYFUNCTION("""COMPUTED_VALUE"""),53580.0)</f>
        <v>53580</v>
      </c>
    </row>
    <row r="1568">
      <c r="A1568" s="35">
        <f>IFERROR(__xludf.DUMMYFUNCTION("""COMPUTED_VALUE"""),1690.0)</f>
        <v>1690</v>
      </c>
      <c r="B1568" s="35" t="str">
        <f>IFERROR(__xludf.DUMMYFUNCTION("""COMPUTED_VALUE"""),"Maximum Length of Subarray With Positive Product")</f>
        <v>Maximum Length of Subarray With Positive Product</v>
      </c>
      <c r="C1568" s="35" t="str">
        <f>IFERROR(__xludf.DUMMYFUNCTION("""COMPUTED_VALUE"""),"maximum-length-of-subarray-with-positive-product")</f>
        <v>maximum-length-of-subarray-with-positive-product</v>
      </c>
      <c r="D1568" s="35" t="b">
        <f>IFERROR(__xludf.DUMMYFUNCTION("""COMPUTED_VALUE"""),FALSE)</f>
        <v>0</v>
      </c>
      <c r="E1568" s="35" t="str">
        <f>IFERROR(__xludf.DUMMYFUNCTION("""COMPUTED_VALUE"""),"Medium")</f>
        <v>Medium</v>
      </c>
      <c r="F1568" s="35">
        <f>IFERROR(__xludf.DUMMYFUNCTION("""COMPUTED_VALUE"""),1193.0)</f>
        <v>1193</v>
      </c>
      <c r="G1568" s="35">
        <f>IFERROR(__xludf.DUMMYFUNCTION("""COMPUTED_VALUE"""),18.0)</f>
        <v>18</v>
      </c>
      <c r="H1568" s="35" t="str">
        <f>IFERROR(__xludf.DUMMYFUNCTION("""COMPUTED_VALUE"""),"Algorithms")</f>
        <v>Algorithms</v>
      </c>
      <c r="I1568" s="35">
        <f>IFERROR(__xludf.DUMMYFUNCTION("""COMPUTED_VALUE"""),0.426)</f>
        <v>0.426</v>
      </c>
      <c r="J1568" s="35">
        <f>IFERROR(__xludf.DUMMYFUNCTION("""COMPUTED_VALUE"""),1567.0)</f>
        <v>1567</v>
      </c>
      <c r="K1568" s="35" t="b">
        <f>IFERROR(__xludf.DUMMYFUNCTION("""COMPUTED_VALUE"""),FALSE)</f>
        <v>0</v>
      </c>
      <c r="L1568" s="35" t="str">
        <f>IFERROR(__xludf.DUMMYFUNCTION("""COMPUTED_VALUE"""),"Array;Dynamic Programming;Greedy;")</f>
        <v>Array;Dynamic Programming;Greedy;</v>
      </c>
      <c r="M1568" s="35" t="b">
        <f>IFERROR(__xludf.DUMMYFUNCTION("""COMPUTED_VALUE"""),FALSE)</f>
        <v>0</v>
      </c>
      <c r="N1568" s="35" t="b">
        <f>IFERROR(__xludf.DUMMYFUNCTION("""COMPUTED_VALUE"""),FALSE)</f>
        <v>0</v>
      </c>
      <c r="O1568" s="35">
        <f>IFERROR(__xludf.DUMMYFUNCTION("""COMPUTED_VALUE"""),42.6218523722036)</f>
        <v>42.62185237</v>
      </c>
      <c r="P1568" s="35">
        <f>IFERROR(__xludf.DUMMYFUNCTION("""COMPUTED_VALUE"""),39436.0)</f>
        <v>39436</v>
      </c>
      <c r="Q1568" s="35">
        <f>IFERROR(__xludf.DUMMYFUNCTION("""COMPUTED_VALUE"""),92527.0)</f>
        <v>92527</v>
      </c>
    </row>
    <row r="1569">
      <c r="A1569" s="35">
        <f>IFERROR(__xludf.DUMMYFUNCTION("""COMPUTED_VALUE"""),1691.0)</f>
        <v>1691</v>
      </c>
      <c r="B1569" s="35" t="str">
        <f>IFERROR(__xludf.DUMMYFUNCTION("""COMPUTED_VALUE"""),"Minimum Number of Days to Disconnect Island")</f>
        <v>Minimum Number of Days to Disconnect Island</v>
      </c>
      <c r="C1569" s="35" t="str">
        <f>IFERROR(__xludf.DUMMYFUNCTION("""COMPUTED_VALUE"""),"minimum-number-of-days-to-disconnect-island")</f>
        <v>minimum-number-of-days-to-disconnect-island</v>
      </c>
      <c r="D1569" s="35" t="b">
        <f>IFERROR(__xludf.DUMMYFUNCTION("""COMPUTED_VALUE"""),FALSE)</f>
        <v>0</v>
      </c>
      <c r="E1569" s="35" t="str">
        <f>IFERROR(__xludf.DUMMYFUNCTION("""COMPUTED_VALUE"""),"Hard")</f>
        <v>Hard</v>
      </c>
      <c r="F1569" s="35">
        <f>IFERROR(__xludf.DUMMYFUNCTION("""COMPUTED_VALUE"""),357.0)</f>
        <v>357</v>
      </c>
      <c r="G1569" s="35">
        <f>IFERROR(__xludf.DUMMYFUNCTION("""COMPUTED_VALUE"""),118.0)</f>
        <v>118</v>
      </c>
      <c r="H1569" s="35" t="str">
        <f>IFERROR(__xludf.DUMMYFUNCTION("""COMPUTED_VALUE"""),"Algorithms")</f>
        <v>Algorithms</v>
      </c>
      <c r="I1569" s="35">
        <f>IFERROR(__xludf.DUMMYFUNCTION("""COMPUTED_VALUE"""),0.488)</f>
        <v>0.488</v>
      </c>
      <c r="J1569" s="35">
        <f>IFERROR(__xludf.DUMMYFUNCTION("""COMPUTED_VALUE"""),1568.0)</f>
        <v>1568</v>
      </c>
      <c r="K1569" s="35" t="b">
        <f>IFERROR(__xludf.DUMMYFUNCTION("""COMPUTED_VALUE"""),FALSE)</f>
        <v>0</v>
      </c>
      <c r="L1569" s="35" t="str">
        <f>IFERROR(__xludf.DUMMYFUNCTION("""COMPUTED_VALUE"""),"Array;Depth-First Search;Breadth-First Search;Matrix;Strongly Connected Component;")</f>
        <v>Array;Depth-First Search;Breadth-First Search;Matrix;Strongly Connected Component;</v>
      </c>
      <c r="M1569" s="35" t="b">
        <f>IFERROR(__xludf.DUMMYFUNCTION("""COMPUTED_VALUE"""),FALSE)</f>
        <v>0</v>
      </c>
      <c r="N1569" s="35" t="b">
        <f>IFERROR(__xludf.DUMMYFUNCTION("""COMPUTED_VALUE"""),FALSE)</f>
        <v>0</v>
      </c>
      <c r="O1569" s="35">
        <f>IFERROR(__xludf.DUMMYFUNCTION("""COMPUTED_VALUE"""),48.7621951219512)</f>
        <v>48.76219512</v>
      </c>
      <c r="P1569" s="35">
        <f>IFERROR(__xludf.DUMMYFUNCTION("""COMPUTED_VALUE"""),7997.0)</f>
        <v>7997</v>
      </c>
      <c r="Q1569" s="35">
        <f>IFERROR(__xludf.DUMMYFUNCTION("""COMPUTED_VALUE"""),16400.0)</f>
        <v>16400</v>
      </c>
    </row>
    <row r="1570">
      <c r="A1570" s="35">
        <f>IFERROR(__xludf.DUMMYFUNCTION("""COMPUTED_VALUE"""),1692.0)</f>
        <v>1692</v>
      </c>
      <c r="B1570" s="35" t="str">
        <f>IFERROR(__xludf.DUMMYFUNCTION("""COMPUTED_VALUE"""),"Number of Ways to Reorder Array to Get Same BST")</f>
        <v>Number of Ways to Reorder Array to Get Same BST</v>
      </c>
      <c r="C1570" s="35" t="str">
        <f>IFERROR(__xludf.DUMMYFUNCTION("""COMPUTED_VALUE"""),"number-of-ways-to-reorder-array-to-get-same-bst")</f>
        <v>number-of-ways-to-reorder-array-to-get-same-bst</v>
      </c>
      <c r="D1570" s="35" t="b">
        <f>IFERROR(__xludf.DUMMYFUNCTION("""COMPUTED_VALUE"""),FALSE)</f>
        <v>0</v>
      </c>
      <c r="E1570" s="35" t="str">
        <f>IFERROR(__xludf.DUMMYFUNCTION("""COMPUTED_VALUE"""),"Hard")</f>
        <v>Hard</v>
      </c>
      <c r="F1570" s="35">
        <f>IFERROR(__xludf.DUMMYFUNCTION("""COMPUTED_VALUE"""),385.0)</f>
        <v>385</v>
      </c>
      <c r="G1570" s="35">
        <f>IFERROR(__xludf.DUMMYFUNCTION("""COMPUTED_VALUE"""),42.0)</f>
        <v>42</v>
      </c>
      <c r="H1570" s="35" t="str">
        <f>IFERROR(__xludf.DUMMYFUNCTION("""COMPUTED_VALUE"""),"Algorithms")</f>
        <v>Algorithms</v>
      </c>
      <c r="I1570" s="35">
        <f>IFERROR(__xludf.DUMMYFUNCTION("""COMPUTED_VALUE"""),0.491)</f>
        <v>0.491</v>
      </c>
      <c r="J1570" s="35">
        <f>IFERROR(__xludf.DUMMYFUNCTION("""COMPUTED_VALUE"""),1569.0)</f>
        <v>1569</v>
      </c>
      <c r="K1570" s="35" t="b">
        <f>IFERROR(__xludf.DUMMYFUNCTION("""COMPUTED_VALUE"""),FALSE)</f>
        <v>0</v>
      </c>
      <c r="L1570" s="35" t="str">
        <f>IFERROR(__xludf.DUMMYFUNCTION("""COMPUTED_VALUE"""),"Array;Math;Divide and Conquer;Dynamic Programming;Tree;Union Find;Binary Search Tree;Memoization;Combinatorics;Binary Tree;")</f>
        <v>Array;Math;Divide and Conquer;Dynamic Programming;Tree;Union Find;Binary Search Tree;Memoization;Combinatorics;Binary Tree;</v>
      </c>
      <c r="M1570" s="35" t="b">
        <f>IFERROR(__xludf.DUMMYFUNCTION("""COMPUTED_VALUE"""),FALSE)</f>
        <v>0</v>
      </c>
      <c r="N1570" s="35" t="b">
        <f>IFERROR(__xludf.DUMMYFUNCTION("""COMPUTED_VALUE"""),FALSE)</f>
        <v>0</v>
      </c>
      <c r="O1570" s="35">
        <f>IFERROR(__xludf.DUMMYFUNCTION("""COMPUTED_VALUE"""),49.1154261057173)</f>
        <v>49.11542611</v>
      </c>
      <c r="P1570" s="35">
        <f>IFERROR(__xludf.DUMMYFUNCTION("""COMPUTED_VALUE"""),9103.0)</f>
        <v>9103</v>
      </c>
      <c r="Q1570" s="35">
        <f>IFERROR(__xludf.DUMMYFUNCTION("""COMPUTED_VALUE"""),18537.0)</f>
        <v>18537</v>
      </c>
    </row>
    <row r="1571">
      <c r="A1571" s="35">
        <f>IFERROR(__xludf.DUMMYFUNCTION("""COMPUTED_VALUE"""),1713.0)</f>
        <v>1713</v>
      </c>
      <c r="B1571" s="35" t="str">
        <f>IFERROR(__xludf.DUMMYFUNCTION("""COMPUTED_VALUE"""),"Dot Product of Two Sparse Vectors")</f>
        <v>Dot Product of Two Sparse Vectors</v>
      </c>
      <c r="C1571" s="35" t="str">
        <f>IFERROR(__xludf.DUMMYFUNCTION("""COMPUTED_VALUE"""),"dot-product-of-two-sparse-vectors")</f>
        <v>dot-product-of-two-sparse-vectors</v>
      </c>
      <c r="D1571" s="35" t="b">
        <f>IFERROR(__xludf.DUMMYFUNCTION("""COMPUTED_VALUE"""),TRUE)</f>
        <v>1</v>
      </c>
      <c r="E1571" s="35" t="str">
        <f>IFERROR(__xludf.DUMMYFUNCTION("""COMPUTED_VALUE"""),"Medium")</f>
        <v>Medium</v>
      </c>
      <c r="F1571" s="35">
        <f>IFERROR(__xludf.DUMMYFUNCTION("""COMPUTED_VALUE"""),727.0)</f>
        <v>727</v>
      </c>
      <c r="G1571" s="35">
        <f>IFERROR(__xludf.DUMMYFUNCTION("""COMPUTED_VALUE"""),94.0)</f>
        <v>94</v>
      </c>
      <c r="H1571" s="35" t="str">
        <f>IFERROR(__xludf.DUMMYFUNCTION("""COMPUTED_VALUE"""),"Algorithms")</f>
        <v>Algorithms</v>
      </c>
      <c r="I1571" s="35">
        <f>IFERROR(__xludf.DUMMYFUNCTION("""COMPUTED_VALUE"""),0.905)</f>
        <v>0.905</v>
      </c>
      <c r="J1571" s="35">
        <f>IFERROR(__xludf.DUMMYFUNCTION("""COMPUTED_VALUE"""),1570.0)</f>
        <v>1570</v>
      </c>
      <c r="K1571" s="35" t="b">
        <f>IFERROR(__xludf.DUMMYFUNCTION("""COMPUTED_VALUE"""),TRUE)</f>
        <v>1</v>
      </c>
      <c r="L1571" s="35" t="str">
        <f>IFERROR(__xludf.DUMMYFUNCTION("""COMPUTED_VALUE"""),"Array;Hash Table;Two Pointers;Design;")</f>
        <v>Array;Hash Table;Two Pointers;Design;</v>
      </c>
      <c r="M1571" s="35" t="b">
        <f>IFERROR(__xludf.DUMMYFUNCTION("""COMPUTED_VALUE"""),TRUE)</f>
        <v>1</v>
      </c>
      <c r="N1571" s="35" t="b">
        <f>IFERROR(__xludf.DUMMYFUNCTION("""COMPUTED_VALUE"""),FALSE)</f>
        <v>0</v>
      </c>
      <c r="O1571" s="35">
        <f>IFERROR(__xludf.DUMMYFUNCTION("""COMPUTED_VALUE"""),90.5048348789866)</f>
        <v>90.50483488</v>
      </c>
      <c r="P1571" s="35">
        <f>IFERROR(__xludf.DUMMYFUNCTION("""COMPUTED_VALUE"""),128027.0)</f>
        <v>128027</v>
      </c>
      <c r="Q1571" s="35">
        <f>IFERROR(__xludf.DUMMYFUNCTION("""COMPUTED_VALUE"""),141459.0)</f>
        <v>141459</v>
      </c>
    </row>
    <row r="1572">
      <c r="A1572" s="35">
        <f>IFERROR(__xludf.DUMMYFUNCTION("""COMPUTED_VALUE"""),1718.0)</f>
        <v>1718</v>
      </c>
      <c r="B1572" s="35" t="str">
        <f>IFERROR(__xludf.DUMMYFUNCTION("""COMPUTED_VALUE"""),"Warehouse Manager")</f>
        <v>Warehouse Manager</v>
      </c>
      <c r="C1572" s="35" t="str">
        <f>IFERROR(__xludf.DUMMYFUNCTION("""COMPUTED_VALUE"""),"warehouse-manager")</f>
        <v>warehouse-manager</v>
      </c>
      <c r="D1572" s="35" t="b">
        <f>IFERROR(__xludf.DUMMYFUNCTION("""COMPUTED_VALUE"""),TRUE)</f>
        <v>1</v>
      </c>
      <c r="E1572" s="35" t="str">
        <f>IFERROR(__xludf.DUMMYFUNCTION("""COMPUTED_VALUE"""),"Easy")</f>
        <v>Easy</v>
      </c>
      <c r="F1572" s="35">
        <f>IFERROR(__xludf.DUMMYFUNCTION("""COMPUTED_VALUE"""),81.0)</f>
        <v>81</v>
      </c>
      <c r="G1572" s="35">
        <f>IFERROR(__xludf.DUMMYFUNCTION("""COMPUTED_VALUE"""),7.0)</f>
        <v>7</v>
      </c>
      <c r="H1572" s="35" t="str">
        <f>IFERROR(__xludf.DUMMYFUNCTION("""COMPUTED_VALUE"""),"Database")</f>
        <v>Database</v>
      </c>
      <c r="I1572" s="35">
        <f>IFERROR(__xludf.DUMMYFUNCTION("""COMPUTED_VALUE"""),0.898)</f>
        <v>0.898</v>
      </c>
      <c r="J1572" s="35">
        <f>IFERROR(__xludf.DUMMYFUNCTION("""COMPUTED_VALUE"""),1571.0)</f>
        <v>1571</v>
      </c>
      <c r="K1572" s="35" t="b">
        <f>IFERROR(__xludf.DUMMYFUNCTION("""COMPUTED_VALUE"""),TRUE)</f>
        <v>1</v>
      </c>
      <c r="L1572" s="35" t="str">
        <f>IFERROR(__xludf.DUMMYFUNCTION("""COMPUTED_VALUE"""),"Database;")</f>
        <v>Database;</v>
      </c>
      <c r="M1572" s="35" t="b">
        <f>IFERROR(__xludf.DUMMYFUNCTION("""COMPUTED_VALUE"""),FALSE)</f>
        <v>0</v>
      </c>
      <c r="N1572" s="35" t="b">
        <f>IFERROR(__xludf.DUMMYFUNCTION("""COMPUTED_VALUE"""),FALSE)</f>
        <v>0</v>
      </c>
      <c r="O1572" s="35">
        <f>IFERROR(__xludf.DUMMYFUNCTION("""COMPUTED_VALUE"""),89.753128170443)</f>
        <v>89.75312817</v>
      </c>
      <c r="P1572" s="35">
        <f>IFERROR(__xludf.DUMMYFUNCTION("""COMPUTED_VALUE"""),18578.0)</f>
        <v>18578</v>
      </c>
      <c r="Q1572" s="35">
        <f>IFERROR(__xludf.DUMMYFUNCTION("""COMPUTED_VALUE"""),20699.0)</f>
        <v>20699</v>
      </c>
    </row>
    <row r="1573">
      <c r="A1573" s="35">
        <f>IFERROR(__xludf.DUMMYFUNCTION("""COMPUTED_VALUE"""),1677.0)</f>
        <v>1677</v>
      </c>
      <c r="B1573" s="35" t="str">
        <f>IFERROR(__xludf.DUMMYFUNCTION("""COMPUTED_VALUE"""),"Matrix Diagonal Sum")</f>
        <v>Matrix Diagonal Sum</v>
      </c>
      <c r="C1573" s="35" t="str">
        <f>IFERROR(__xludf.DUMMYFUNCTION("""COMPUTED_VALUE"""),"matrix-diagonal-sum")</f>
        <v>matrix-diagonal-sum</v>
      </c>
      <c r="D1573" s="35" t="b">
        <f>IFERROR(__xludf.DUMMYFUNCTION("""COMPUTED_VALUE"""),FALSE)</f>
        <v>0</v>
      </c>
      <c r="E1573" s="35" t="str">
        <f>IFERROR(__xludf.DUMMYFUNCTION("""COMPUTED_VALUE"""),"Easy")</f>
        <v>Easy</v>
      </c>
      <c r="F1573" s="35">
        <f>IFERROR(__xludf.DUMMYFUNCTION("""COMPUTED_VALUE"""),972.0)</f>
        <v>972</v>
      </c>
      <c r="G1573" s="35">
        <f>IFERROR(__xludf.DUMMYFUNCTION("""COMPUTED_VALUE"""),20.0)</f>
        <v>20</v>
      </c>
      <c r="H1573" s="35" t="str">
        <f>IFERROR(__xludf.DUMMYFUNCTION("""COMPUTED_VALUE"""),"Algorithms")</f>
        <v>Algorithms</v>
      </c>
      <c r="I1573" s="35">
        <f>IFERROR(__xludf.DUMMYFUNCTION("""COMPUTED_VALUE"""),0.788)</f>
        <v>0.788</v>
      </c>
      <c r="J1573" s="35">
        <f>IFERROR(__xludf.DUMMYFUNCTION("""COMPUTED_VALUE"""),1572.0)</f>
        <v>1572</v>
      </c>
      <c r="K1573" s="35" t="b">
        <f>IFERROR(__xludf.DUMMYFUNCTION("""COMPUTED_VALUE"""),FALSE)</f>
        <v>0</v>
      </c>
      <c r="L1573" s="35" t="str">
        <f>IFERROR(__xludf.DUMMYFUNCTION("""COMPUTED_VALUE"""),"Array;Matrix;")</f>
        <v>Array;Matrix;</v>
      </c>
      <c r="M1573" s="35" t="b">
        <f>IFERROR(__xludf.DUMMYFUNCTION("""COMPUTED_VALUE"""),FALSE)</f>
        <v>0</v>
      </c>
      <c r="N1573" s="35" t="b">
        <f>IFERROR(__xludf.DUMMYFUNCTION("""COMPUTED_VALUE"""),FALSE)</f>
        <v>0</v>
      </c>
      <c r="O1573" s="35">
        <f>IFERROR(__xludf.DUMMYFUNCTION("""COMPUTED_VALUE"""),78.7830395525093)</f>
        <v>78.78303955</v>
      </c>
      <c r="P1573" s="35">
        <f>IFERROR(__xludf.DUMMYFUNCTION("""COMPUTED_VALUE"""),91263.0)</f>
        <v>91263</v>
      </c>
      <c r="Q1573" s="35">
        <f>IFERROR(__xludf.DUMMYFUNCTION("""COMPUTED_VALUE"""),115841.0)</f>
        <v>115841</v>
      </c>
    </row>
    <row r="1574">
      <c r="A1574" s="35">
        <f>IFERROR(__xludf.DUMMYFUNCTION("""COMPUTED_VALUE"""),1678.0)</f>
        <v>1678</v>
      </c>
      <c r="B1574" s="35" t="str">
        <f>IFERROR(__xludf.DUMMYFUNCTION("""COMPUTED_VALUE"""),"Number of Ways to Split a String")</f>
        <v>Number of Ways to Split a String</v>
      </c>
      <c r="C1574" s="35" t="str">
        <f>IFERROR(__xludf.DUMMYFUNCTION("""COMPUTED_VALUE"""),"number-of-ways-to-split-a-string")</f>
        <v>number-of-ways-to-split-a-string</v>
      </c>
      <c r="D1574" s="35" t="b">
        <f>IFERROR(__xludf.DUMMYFUNCTION("""COMPUTED_VALUE"""),FALSE)</f>
        <v>0</v>
      </c>
      <c r="E1574" s="35" t="str">
        <f>IFERROR(__xludf.DUMMYFUNCTION("""COMPUTED_VALUE"""),"Medium")</f>
        <v>Medium</v>
      </c>
      <c r="F1574" s="35">
        <f>IFERROR(__xludf.DUMMYFUNCTION("""COMPUTED_VALUE"""),425.0)</f>
        <v>425</v>
      </c>
      <c r="G1574" s="35">
        <f>IFERROR(__xludf.DUMMYFUNCTION("""COMPUTED_VALUE"""),55.0)</f>
        <v>55</v>
      </c>
      <c r="H1574" s="35" t="str">
        <f>IFERROR(__xludf.DUMMYFUNCTION("""COMPUTED_VALUE"""),"Algorithms")</f>
        <v>Algorithms</v>
      </c>
      <c r="I1574" s="35">
        <f>IFERROR(__xludf.DUMMYFUNCTION("""COMPUTED_VALUE"""),0.32)</f>
        <v>0.32</v>
      </c>
      <c r="J1574" s="35">
        <f>IFERROR(__xludf.DUMMYFUNCTION("""COMPUTED_VALUE"""),1573.0)</f>
        <v>1573</v>
      </c>
      <c r="K1574" s="35" t="b">
        <f>IFERROR(__xludf.DUMMYFUNCTION("""COMPUTED_VALUE"""),FALSE)</f>
        <v>0</v>
      </c>
      <c r="L1574" s="35" t="str">
        <f>IFERROR(__xludf.DUMMYFUNCTION("""COMPUTED_VALUE"""),"Math;String;")</f>
        <v>Math;String;</v>
      </c>
      <c r="M1574" s="35" t="b">
        <f>IFERROR(__xludf.DUMMYFUNCTION("""COMPUTED_VALUE"""),FALSE)</f>
        <v>0</v>
      </c>
      <c r="N1574" s="35" t="b">
        <f>IFERROR(__xludf.DUMMYFUNCTION("""COMPUTED_VALUE"""),FALSE)</f>
        <v>0</v>
      </c>
      <c r="O1574" s="35">
        <f>IFERROR(__xludf.DUMMYFUNCTION("""COMPUTED_VALUE"""),32.0214421580494)</f>
        <v>32.02144216</v>
      </c>
      <c r="P1574" s="35">
        <f>IFERROR(__xludf.DUMMYFUNCTION("""COMPUTED_VALUE"""),18518.0)</f>
        <v>18518</v>
      </c>
      <c r="Q1574" s="35">
        <f>IFERROR(__xludf.DUMMYFUNCTION("""COMPUTED_VALUE"""),57830.0)</f>
        <v>57830</v>
      </c>
    </row>
    <row r="1575">
      <c r="A1575" s="35">
        <f>IFERROR(__xludf.DUMMYFUNCTION("""COMPUTED_VALUE"""),1679.0)</f>
        <v>1679</v>
      </c>
      <c r="B1575" s="35" t="str">
        <f>IFERROR(__xludf.DUMMYFUNCTION("""COMPUTED_VALUE"""),"Shortest Subarray to be Removed to Make Array Sorted")</f>
        <v>Shortest Subarray to be Removed to Make Array Sorted</v>
      </c>
      <c r="C1575" s="35" t="str">
        <f>IFERROR(__xludf.DUMMYFUNCTION("""COMPUTED_VALUE"""),"shortest-subarray-to-be-removed-to-make-array-sorted")</f>
        <v>shortest-subarray-to-be-removed-to-make-array-sorted</v>
      </c>
      <c r="D1575" s="35" t="b">
        <f>IFERROR(__xludf.DUMMYFUNCTION("""COMPUTED_VALUE"""),FALSE)</f>
        <v>0</v>
      </c>
      <c r="E1575" s="35" t="str">
        <f>IFERROR(__xludf.DUMMYFUNCTION("""COMPUTED_VALUE"""),"Medium")</f>
        <v>Medium</v>
      </c>
      <c r="F1575" s="35">
        <f>IFERROR(__xludf.DUMMYFUNCTION("""COMPUTED_VALUE"""),924.0)</f>
        <v>924</v>
      </c>
      <c r="G1575" s="35">
        <f>IFERROR(__xludf.DUMMYFUNCTION("""COMPUTED_VALUE"""),28.0)</f>
        <v>28</v>
      </c>
      <c r="H1575" s="35" t="str">
        <f>IFERROR(__xludf.DUMMYFUNCTION("""COMPUTED_VALUE"""),"Algorithms")</f>
        <v>Algorithms</v>
      </c>
      <c r="I1575" s="35">
        <f>IFERROR(__xludf.DUMMYFUNCTION("""COMPUTED_VALUE"""),0.353)</f>
        <v>0.353</v>
      </c>
      <c r="J1575" s="35">
        <f>IFERROR(__xludf.DUMMYFUNCTION("""COMPUTED_VALUE"""),1574.0)</f>
        <v>1574</v>
      </c>
      <c r="K1575" s="35" t="b">
        <f>IFERROR(__xludf.DUMMYFUNCTION("""COMPUTED_VALUE"""),FALSE)</f>
        <v>0</v>
      </c>
      <c r="L1575" s="35" t="str">
        <f>IFERROR(__xludf.DUMMYFUNCTION("""COMPUTED_VALUE"""),"Array;Two Pointers;Binary Search;Stack;Monotonic Stack;")</f>
        <v>Array;Two Pointers;Binary Search;Stack;Monotonic Stack;</v>
      </c>
      <c r="M1575" s="35" t="b">
        <f>IFERROR(__xludf.DUMMYFUNCTION("""COMPUTED_VALUE"""),FALSE)</f>
        <v>0</v>
      </c>
      <c r="N1575" s="35" t="b">
        <f>IFERROR(__xludf.DUMMYFUNCTION("""COMPUTED_VALUE"""),FALSE)</f>
        <v>0</v>
      </c>
      <c r="O1575" s="35">
        <f>IFERROR(__xludf.DUMMYFUNCTION("""COMPUTED_VALUE"""),35.3267570900123)</f>
        <v>35.32675709</v>
      </c>
      <c r="P1575" s="35">
        <f>IFERROR(__xludf.DUMMYFUNCTION("""COMPUTED_VALUE"""),17190.0)</f>
        <v>17190</v>
      </c>
      <c r="Q1575" s="35">
        <f>IFERROR(__xludf.DUMMYFUNCTION("""COMPUTED_VALUE"""),48660.0)</f>
        <v>48660</v>
      </c>
    </row>
    <row r="1576">
      <c r="A1576" s="35">
        <f>IFERROR(__xludf.DUMMYFUNCTION("""COMPUTED_VALUE"""),1680.0)</f>
        <v>1680</v>
      </c>
      <c r="B1576" s="35" t="str">
        <f>IFERROR(__xludf.DUMMYFUNCTION("""COMPUTED_VALUE"""),"Count All Possible Routes")</f>
        <v>Count All Possible Routes</v>
      </c>
      <c r="C1576" s="35" t="str">
        <f>IFERROR(__xludf.DUMMYFUNCTION("""COMPUTED_VALUE"""),"count-all-possible-routes")</f>
        <v>count-all-possible-routes</v>
      </c>
      <c r="D1576" s="35" t="b">
        <f>IFERROR(__xludf.DUMMYFUNCTION("""COMPUTED_VALUE"""),FALSE)</f>
        <v>0</v>
      </c>
      <c r="E1576" s="35" t="str">
        <f>IFERROR(__xludf.DUMMYFUNCTION("""COMPUTED_VALUE"""),"Hard")</f>
        <v>Hard</v>
      </c>
      <c r="F1576" s="35">
        <f>IFERROR(__xludf.DUMMYFUNCTION("""COMPUTED_VALUE"""),340.0)</f>
        <v>340</v>
      </c>
      <c r="G1576" s="35">
        <f>IFERROR(__xludf.DUMMYFUNCTION("""COMPUTED_VALUE"""),16.0)</f>
        <v>16</v>
      </c>
      <c r="H1576" s="35" t="str">
        <f>IFERROR(__xludf.DUMMYFUNCTION("""COMPUTED_VALUE"""),"Algorithms")</f>
        <v>Algorithms</v>
      </c>
      <c r="I1576" s="35">
        <f>IFERROR(__xludf.DUMMYFUNCTION("""COMPUTED_VALUE"""),0.576)</f>
        <v>0.576</v>
      </c>
      <c r="J1576" s="35">
        <f>IFERROR(__xludf.DUMMYFUNCTION("""COMPUTED_VALUE"""),1575.0)</f>
        <v>1575</v>
      </c>
      <c r="K1576" s="35" t="b">
        <f>IFERROR(__xludf.DUMMYFUNCTION("""COMPUTED_VALUE"""),FALSE)</f>
        <v>0</v>
      </c>
      <c r="L1576" s="35" t="str">
        <f>IFERROR(__xludf.DUMMYFUNCTION("""COMPUTED_VALUE"""),"Array;Dynamic Programming;Memoization;")</f>
        <v>Array;Dynamic Programming;Memoization;</v>
      </c>
      <c r="M1576" s="35" t="b">
        <f>IFERROR(__xludf.DUMMYFUNCTION("""COMPUTED_VALUE"""),FALSE)</f>
        <v>0</v>
      </c>
      <c r="N1576" s="35" t="b">
        <f>IFERROR(__xludf.DUMMYFUNCTION("""COMPUTED_VALUE"""),FALSE)</f>
        <v>0</v>
      </c>
      <c r="O1576" s="35">
        <f>IFERROR(__xludf.DUMMYFUNCTION("""COMPUTED_VALUE"""),57.6185239491691)</f>
        <v>57.61852395</v>
      </c>
      <c r="P1576" s="35">
        <f>IFERROR(__xludf.DUMMYFUNCTION("""COMPUTED_VALUE"""),9431.0)</f>
        <v>9431</v>
      </c>
      <c r="Q1576" s="35">
        <f>IFERROR(__xludf.DUMMYFUNCTION("""COMPUTED_VALUE"""),16368.0)</f>
        <v>16368</v>
      </c>
    </row>
    <row r="1577">
      <c r="A1577" s="35">
        <f>IFERROR(__xludf.DUMMYFUNCTION("""COMPUTED_VALUE"""),1698.0)</f>
        <v>1698</v>
      </c>
      <c r="B1577" s="35" t="str">
        <f>IFERROR(__xludf.DUMMYFUNCTION("""COMPUTED_VALUE"""),"Replace All ?'s to Avoid Consecutive Repeating Characters")</f>
        <v>Replace All ?'s to Avoid Consecutive Repeating Characters</v>
      </c>
      <c r="C1577" s="35" t="str">
        <f>IFERROR(__xludf.DUMMYFUNCTION("""COMPUTED_VALUE"""),"replace-all-s-to-avoid-consecutive-repeating-characters")</f>
        <v>replace-all-s-to-avoid-consecutive-repeating-characters</v>
      </c>
      <c r="D1577" s="35" t="b">
        <f>IFERROR(__xludf.DUMMYFUNCTION("""COMPUTED_VALUE"""),FALSE)</f>
        <v>0</v>
      </c>
      <c r="E1577" s="35" t="str">
        <f>IFERROR(__xludf.DUMMYFUNCTION("""COMPUTED_VALUE"""),"Easy")</f>
        <v>Easy</v>
      </c>
      <c r="F1577" s="35">
        <f>IFERROR(__xludf.DUMMYFUNCTION("""COMPUTED_VALUE"""),373.0)</f>
        <v>373</v>
      </c>
      <c r="G1577" s="35">
        <f>IFERROR(__xludf.DUMMYFUNCTION("""COMPUTED_VALUE"""),141.0)</f>
        <v>141</v>
      </c>
      <c r="H1577" s="35" t="str">
        <f>IFERROR(__xludf.DUMMYFUNCTION("""COMPUTED_VALUE"""),"Algorithms")</f>
        <v>Algorithms</v>
      </c>
      <c r="I1577" s="35">
        <f>IFERROR(__xludf.DUMMYFUNCTION("""COMPUTED_VALUE"""),0.5)</f>
        <v>0.5</v>
      </c>
      <c r="J1577" s="35">
        <f>IFERROR(__xludf.DUMMYFUNCTION("""COMPUTED_VALUE"""),1576.0)</f>
        <v>1576</v>
      </c>
      <c r="K1577" s="35" t="b">
        <f>IFERROR(__xludf.DUMMYFUNCTION("""COMPUTED_VALUE"""),FALSE)</f>
        <v>0</v>
      </c>
      <c r="L1577" s="35" t="str">
        <f>IFERROR(__xludf.DUMMYFUNCTION("""COMPUTED_VALUE"""),"String;")</f>
        <v>String;</v>
      </c>
      <c r="M1577" s="35" t="b">
        <f>IFERROR(__xludf.DUMMYFUNCTION("""COMPUTED_VALUE"""),FALSE)</f>
        <v>0</v>
      </c>
      <c r="N1577" s="35" t="b">
        <f>IFERROR(__xludf.DUMMYFUNCTION("""COMPUTED_VALUE"""),FALSE)</f>
        <v>0</v>
      </c>
      <c r="O1577" s="35">
        <f>IFERROR(__xludf.DUMMYFUNCTION("""COMPUTED_VALUE"""),50.0017537911117)</f>
        <v>50.00175379</v>
      </c>
      <c r="P1577" s="35">
        <f>IFERROR(__xludf.DUMMYFUNCTION("""COMPUTED_VALUE"""),42766.0)</f>
        <v>42766</v>
      </c>
      <c r="Q1577" s="35">
        <f>IFERROR(__xludf.DUMMYFUNCTION("""COMPUTED_VALUE"""),85529.0)</f>
        <v>85529</v>
      </c>
    </row>
    <row r="1578">
      <c r="A1578" s="35">
        <f>IFERROR(__xludf.DUMMYFUNCTION("""COMPUTED_VALUE"""),1699.0)</f>
        <v>1699</v>
      </c>
      <c r="B1578" s="35" t="str">
        <f>IFERROR(__xludf.DUMMYFUNCTION("""COMPUTED_VALUE"""),"Number of Ways Where Square of Number Is Equal to Product of Two Numbers")</f>
        <v>Number of Ways Where Square of Number Is Equal to Product of Two Numbers</v>
      </c>
      <c r="C1578" s="35" t="str">
        <f>IFERROR(__xludf.DUMMYFUNCTION("""COMPUTED_VALUE"""),"number-of-ways-where-square-of-number-is-equal-to-product-of-two-numbers")</f>
        <v>number-of-ways-where-square-of-number-is-equal-to-product-of-two-numbers</v>
      </c>
      <c r="D1578" s="35" t="b">
        <f>IFERROR(__xludf.DUMMYFUNCTION("""COMPUTED_VALUE"""),FALSE)</f>
        <v>0</v>
      </c>
      <c r="E1578" s="35" t="str">
        <f>IFERROR(__xludf.DUMMYFUNCTION("""COMPUTED_VALUE"""),"Medium")</f>
        <v>Medium</v>
      </c>
      <c r="F1578" s="35">
        <f>IFERROR(__xludf.DUMMYFUNCTION("""COMPUTED_VALUE"""),224.0)</f>
        <v>224</v>
      </c>
      <c r="G1578" s="35">
        <f>IFERROR(__xludf.DUMMYFUNCTION("""COMPUTED_VALUE"""),44.0)</f>
        <v>44</v>
      </c>
      <c r="H1578" s="35" t="str">
        <f>IFERROR(__xludf.DUMMYFUNCTION("""COMPUTED_VALUE"""),"Algorithms")</f>
        <v>Algorithms</v>
      </c>
      <c r="I1578" s="35">
        <f>IFERROR(__xludf.DUMMYFUNCTION("""COMPUTED_VALUE"""),0.391)</f>
        <v>0.391</v>
      </c>
      <c r="J1578" s="35">
        <f>IFERROR(__xludf.DUMMYFUNCTION("""COMPUTED_VALUE"""),1577.0)</f>
        <v>1577</v>
      </c>
      <c r="K1578" s="35" t="b">
        <f>IFERROR(__xludf.DUMMYFUNCTION("""COMPUTED_VALUE"""),FALSE)</f>
        <v>0</v>
      </c>
      <c r="L1578" s="35" t="str">
        <f>IFERROR(__xludf.DUMMYFUNCTION("""COMPUTED_VALUE"""),"Array;Hash Table;Math;Two Pointers;")</f>
        <v>Array;Hash Table;Math;Two Pointers;</v>
      </c>
      <c r="M1578" s="35" t="b">
        <f>IFERROR(__xludf.DUMMYFUNCTION("""COMPUTED_VALUE"""),FALSE)</f>
        <v>0</v>
      </c>
      <c r="N1578" s="35" t="b">
        <f>IFERROR(__xludf.DUMMYFUNCTION("""COMPUTED_VALUE"""),FALSE)</f>
        <v>0</v>
      </c>
      <c r="O1578" s="35">
        <f>IFERROR(__xludf.DUMMYFUNCTION("""COMPUTED_VALUE"""),39.0602055800293)</f>
        <v>39.06020558</v>
      </c>
      <c r="P1578" s="35">
        <f>IFERROR(__xludf.DUMMYFUNCTION("""COMPUTED_VALUE"""),14896.0)</f>
        <v>14896</v>
      </c>
      <c r="Q1578" s="35">
        <f>IFERROR(__xludf.DUMMYFUNCTION("""COMPUTED_VALUE"""),38136.0)</f>
        <v>38136</v>
      </c>
    </row>
    <row r="1579">
      <c r="A1579" s="35">
        <f>IFERROR(__xludf.DUMMYFUNCTION("""COMPUTED_VALUE"""),1700.0)</f>
        <v>1700</v>
      </c>
      <c r="B1579" s="35" t="str">
        <f>IFERROR(__xludf.DUMMYFUNCTION("""COMPUTED_VALUE"""),"Minimum Time to Make Rope Colorful")</f>
        <v>Minimum Time to Make Rope Colorful</v>
      </c>
      <c r="C1579" s="35" t="str">
        <f>IFERROR(__xludf.DUMMYFUNCTION("""COMPUTED_VALUE"""),"minimum-time-to-make-rope-colorful")</f>
        <v>minimum-time-to-make-rope-colorful</v>
      </c>
      <c r="D1579" s="35" t="b">
        <f>IFERROR(__xludf.DUMMYFUNCTION("""COMPUTED_VALUE"""),FALSE)</f>
        <v>0</v>
      </c>
      <c r="E1579" s="35" t="str">
        <f>IFERROR(__xludf.DUMMYFUNCTION("""COMPUTED_VALUE"""),"Medium")</f>
        <v>Medium</v>
      </c>
      <c r="F1579" s="35">
        <f>IFERROR(__xludf.DUMMYFUNCTION("""COMPUTED_VALUE"""),920.0)</f>
        <v>920</v>
      </c>
      <c r="G1579" s="35">
        <f>IFERROR(__xludf.DUMMYFUNCTION("""COMPUTED_VALUE"""),37.0)</f>
        <v>37</v>
      </c>
      <c r="H1579" s="35" t="str">
        <f>IFERROR(__xludf.DUMMYFUNCTION("""COMPUTED_VALUE"""),"Algorithms")</f>
        <v>Algorithms</v>
      </c>
      <c r="I1579" s="35">
        <f>IFERROR(__xludf.DUMMYFUNCTION("""COMPUTED_VALUE"""),0.613)</f>
        <v>0.613</v>
      </c>
      <c r="J1579" s="35">
        <f>IFERROR(__xludf.DUMMYFUNCTION("""COMPUTED_VALUE"""),1578.0)</f>
        <v>1578</v>
      </c>
      <c r="K1579" s="35" t="b">
        <f>IFERROR(__xludf.DUMMYFUNCTION("""COMPUTED_VALUE"""),FALSE)</f>
        <v>0</v>
      </c>
      <c r="L1579" s="35" t="str">
        <f>IFERROR(__xludf.DUMMYFUNCTION("""COMPUTED_VALUE"""),"Array;String;Dynamic Programming;Greedy;")</f>
        <v>Array;String;Dynamic Programming;Greedy;</v>
      </c>
      <c r="M1579" s="35" t="b">
        <f>IFERROR(__xludf.DUMMYFUNCTION("""COMPUTED_VALUE"""),FALSE)</f>
        <v>0</v>
      </c>
      <c r="N1579" s="35" t="b">
        <f>IFERROR(__xludf.DUMMYFUNCTION("""COMPUTED_VALUE"""),FALSE)</f>
        <v>0</v>
      </c>
      <c r="O1579" s="35">
        <f>IFERROR(__xludf.DUMMYFUNCTION("""COMPUTED_VALUE"""),61.2715847283096)</f>
        <v>61.27158473</v>
      </c>
      <c r="P1579" s="35">
        <f>IFERROR(__xludf.DUMMYFUNCTION("""COMPUTED_VALUE"""),58013.0)</f>
        <v>58013</v>
      </c>
      <c r="Q1579" s="35">
        <f>IFERROR(__xludf.DUMMYFUNCTION("""COMPUTED_VALUE"""),94683.0)</f>
        <v>94683</v>
      </c>
    </row>
    <row r="1580">
      <c r="A1580" s="35">
        <f>IFERROR(__xludf.DUMMYFUNCTION("""COMPUTED_VALUE"""),1701.0)</f>
        <v>1701</v>
      </c>
      <c r="B1580" s="35" t="str">
        <f>IFERROR(__xludf.DUMMYFUNCTION("""COMPUTED_VALUE"""),"Remove Max Number of Edges to Keep Graph Fully Traversable")</f>
        <v>Remove Max Number of Edges to Keep Graph Fully Traversable</v>
      </c>
      <c r="C1580" s="35" t="str">
        <f>IFERROR(__xludf.DUMMYFUNCTION("""COMPUTED_VALUE"""),"remove-max-number-of-edges-to-keep-graph-fully-traversable")</f>
        <v>remove-max-number-of-edges-to-keep-graph-fully-traversable</v>
      </c>
      <c r="D1580" s="35" t="b">
        <f>IFERROR(__xludf.DUMMYFUNCTION("""COMPUTED_VALUE"""),FALSE)</f>
        <v>0</v>
      </c>
      <c r="E1580" s="35" t="str">
        <f>IFERROR(__xludf.DUMMYFUNCTION("""COMPUTED_VALUE"""),"Hard")</f>
        <v>Hard</v>
      </c>
      <c r="F1580" s="35">
        <f>IFERROR(__xludf.DUMMYFUNCTION("""COMPUTED_VALUE"""),577.0)</f>
        <v>577</v>
      </c>
      <c r="G1580" s="35">
        <f>IFERROR(__xludf.DUMMYFUNCTION("""COMPUTED_VALUE"""),4.0)</f>
        <v>4</v>
      </c>
      <c r="H1580" s="35" t="str">
        <f>IFERROR(__xludf.DUMMYFUNCTION("""COMPUTED_VALUE"""),"Algorithms")</f>
        <v>Algorithms</v>
      </c>
      <c r="I1580" s="35">
        <f>IFERROR(__xludf.DUMMYFUNCTION("""COMPUTED_VALUE"""),0.503)</f>
        <v>0.503</v>
      </c>
      <c r="J1580" s="35">
        <f>IFERROR(__xludf.DUMMYFUNCTION("""COMPUTED_VALUE"""),1579.0)</f>
        <v>1579</v>
      </c>
      <c r="K1580" s="35" t="b">
        <f>IFERROR(__xludf.DUMMYFUNCTION("""COMPUTED_VALUE"""),FALSE)</f>
        <v>0</v>
      </c>
      <c r="L1580" s="35" t="str">
        <f>IFERROR(__xludf.DUMMYFUNCTION("""COMPUTED_VALUE"""),"Union Find;Graph;")</f>
        <v>Union Find;Graph;</v>
      </c>
      <c r="M1580" s="35" t="b">
        <f>IFERROR(__xludf.DUMMYFUNCTION("""COMPUTED_VALUE"""),FALSE)</f>
        <v>0</v>
      </c>
      <c r="N1580" s="35" t="b">
        <f>IFERROR(__xludf.DUMMYFUNCTION("""COMPUTED_VALUE"""),FALSE)</f>
        <v>0</v>
      </c>
      <c r="O1580" s="35">
        <f>IFERROR(__xludf.DUMMYFUNCTION("""COMPUTED_VALUE"""),50.2768104295026)</f>
        <v>50.27681043</v>
      </c>
      <c r="P1580" s="35">
        <f>IFERROR(__xludf.DUMMYFUNCTION("""COMPUTED_VALUE"""),11261.0)</f>
        <v>11261</v>
      </c>
      <c r="Q1580" s="35">
        <f>IFERROR(__xludf.DUMMYFUNCTION("""COMPUTED_VALUE"""),22398.0)</f>
        <v>22398</v>
      </c>
    </row>
    <row r="1581">
      <c r="A1581" s="35">
        <f>IFERROR(__xludf.DUMMYFUNCTION("""COMPUTED_VALUE"""),1719.0)</f>
        <v>1719</v>
      </c>
      <c r="B1581" s="35" t="str">
        <f>IFERROR(__xludf.DUMMYFUNCTION("""COMPUTED_VALUE"""),"Put Boxes Into the Warehouse II")</f>
        <v>Put Boxes Into the Warehouse II</v>
      </c>
      <c r="C1581" s="35" t="str">
        <f>IFERROR(__xludf.DUMMYFUNCTION("""COMPUTED_VALUE"""),"put-boxes-into-the-warehouse-ii")</f>
        <v>put-boxes-into-the-warehouse-ii</v>
      </c>
      <c r="D1581" s="35" t="b">
        <f>IFERROR(__xludf.DUMMYFUNCTION("""COMPUTED_VALUE"""),TRUE)</f>
        <v>1</v>
      </c>
      <c r="E1581" s="35" t="str">
        <f>IFERROR(__xludf.DUMMYFUNCTION("""COMPUTED_VALUE"""),"Medium")</f>
        <v>Medium</v>
      </c>
      <c r="F1581" s="35">
        <f>IFERROR(__xludf.DUMMYFUNCTION("""COMPUTED_VALUE"""),132.0)</f>
        <v>132</v>
      </c>
      <c r="G1581" s="35">
        <f>IFERROR(__xludf.DUMMYFUNCTION("""COMPUTED_VALUE"""),2.0)</f>
        <v>2</v>
      </c>
      <c r="H1581" s="35" t="str">
        <f>IFERROR(__xludf.DUMMYFUNCTION("""COMPUTED_VALUE"""),"Algorithms")</f>
        <v>Algorithms</v>
      </c>
      <c r="I1581" s="35">
        <f>IFERROR(__xludf.DUMMYFUNCTION("""COMPUTED_VALUE"""),0.636)</f>
        <v>0.636</v>
      </c>
      <c r="J1581" s="35">
        <f>IFERROR(__xludf.DUMMYFUNCTION("""COMPUTED_VALUE"""),1580.0)</f>
        <v>1580</v>
      </c>
      <c r="K1581" s="35" t="b">
        <f>IFERROR(__xludf.DUMMYFUNCTION("""COMPUTED_VALUE"""),TRUE)</f>
        <v>1</v>
      </c>
      <c r="L1581" s="35" t="str">
        <f>IFERROR(__xludf.DUMMYFUNCTION("""COMPUTED_VALUE"""),"Array;Greedy;Sorting;")</f>
        <v>Array;Greedy;Sorting;</v>
      </c>
      <c r="M1581" s="35" t="b">
        <f>IFERROR(__xludf.DUMMYFUNCTION("""COMPUTED_VALUE"""),FALSE)</f>
        <v>0</v>
      </c>
      <c r="N1581" s="35" t="b">
        <f>IFERROR(__xludf.DUMMYFUNCTION("""COMPUTED_VALUE"""),FALSE)</f>
        <v>0</v>
      </c>
      <c r="O1581" s="35">
        <f>IFERROR(__xludf.DUMMYFUNCTION("""COMPUTED_VALUE"""),63.6151727060818)</f>
        <v>63.61517271</v>
      </c>
      <c r="P1581" s="35">
        <f>IFERROR(__xludf.DUMMYFUNCTION("""COMPUTED_VALUE"""),3002.0)</f>
        <v>3002</v>
      </c>
      <c r="Q1581" s="35">
        <f>IFERROR(__xludf.DUMMYFUNCTION("""COMPUTED_VALUE"""),4719.0)</f>
        <v>4719</v>
      </c>
    </row>
    <row r="1582">
      <c r="A1582" s="35">
        <f>IFERROR(__xludf.DUMMYFUNCTION("""COMPUTED_VALUE"""),1724.0)</f>
        <v>1724</v>
      </c>
      <c r="B1582" s="35" t="str">
        <f>IFERROR(__xludf.DUMMYFUNCTION("""COMPUTED_VALUE"""),"Customer Who Visited but Did Not Make Any Transactions")</f>
        <v>Customer Who Visited but Did Not Make Any Transactions</v>
      </c>
      <c r="C1582" s="35" t="str">
        <f>IFERROR(__xludf.DUMMYFUNCTION("""COMPUTED_VALUE"""),"customer-who-visited-but-did-not-make-any-transactions")</f>
        <v>customer-who-visited-but-did-not-make-any-transactions</v>
      </c>
      <c r="D1582" s="35" t="b">
        <f>IFERROR(__xludf.DUMMYFUNCTION("""COMPUTED_VALUE"""),TRUE)</f>
        <v>1</v>
      </c>
      <c r="E1582" s="35" t="str">
        <f>IFERROR(__xludf.DUMMYFUNCTION("""COMPUTED_VALUE"""),"Easy")</f>
        <v>Easy</v>
      </c>
      <c r="F1582" s="35">
        <f>IFERROR(__xludf.DUMMYFUNCTION("""COMPUTED_VALUE"""),68.0)</f>
        <v>68</v>
      </c>
      <c r="G1582" s="35">
        <f>IFERROR(__xludf.DUMMYFUNCTION("""COMPUTED_VALUE"""),25.0)</f>
        <v>25</v>
      </c>
      <c r="H1582" s="35" t="str">
        <f>IFERROR(__xludf.DUMMYFUNCTION("""COMPUTED_VALUE"""),"Database")</f>
        <v>Database</v>
      </c>
      <c r="I1582" s="35">
        <f>IFERROR(__xludf.DUMMYFUNCTION("""COMPUTED_VALUE"""),0.897)</f>
        <v>0.897</v>
      </c>
      <c r="J1582" s="35">
        <f>IFERROR(__xludf.DUMMYFUNCTION("""COMPUTED_VALUE"""),1581.0)</f>
        <v>1581</v>
      </c>
      <c r="K1582" s="35" t="b">
        <f>IFERROR(__xludf.DUMMYFUNCTION("""COMPUTED_VALUE"""),TRUE)</f>
        <v>1</v>
      </c>
      <c r="L1582" s="35" t="str">
        <f>IFERROR(__xludf.DUMMYFUNCTION("""COMPUTED_VALUE"""),"Database;")</f>
        <v>Database;</v>
      </c>
      <c r="M1582" s="35" t="b">
        <f>IFERROR(__xludf.DUMMYFUNCTION("""COMPUTED_VALUE"""),FALSE)</f>
        <v>0</v>
      </c>
      <c r="N1582" s="35" t="b">
        <f>IFERROR(__xludf.DUMMYFUNCTION("""COMPUTED_VALUE"""),FALSE)</f>
        <v>0</v>
      </c>
      <c r="O1582" s="35">
        <f>IFERROR(__xludf.DUMMYFUNCTION("""COMPUTED_VALUE"""),89.7112100196667)</f>
        <v>89.71121002</v>
      </c>
      <c r="P1582" s="35">
        <f>IFERROR(__xludf.DUMMYFUNCTION("""COMPUTED_VALUE"""),17334.0)</f>
        <v>17334</v>
      </c>
      <c r="Q1582" s="35">
        <f>IFERROR(__xludf.DUMMYFUNCTION("""COMPUTED_VALUE"""),19322.0)</f>
        <v>19322</v>
      </c>
    </row>
    <row r="1583">
      <c r="A1583" s="35">
        <f>IFERROR(__xludf.DUMMYFUNCTION("""COMPUTED_VALUE"""),1704.0)</f>
        <v>1704</v>
      </c>
      <c r="B1583" s="35" t="str">
        <f>IFERROR(__xludf.DUMMYFUNCTION("""COMPUTED_VALUE"""),"Special Positions in a Binary Matrix")</f>
        <v>Special Positions in a Binary Matrix</v>
      </c>
      <c r="C1583" s="35" t="str">
        <f>IFERROR(__xludf.DUMMYFUNCTION("""COMPUTED_VALUE"""),"special-positions-in-a-binary-matrix")</f>
        <v>special-positions-in-a-binary-matrix</v>
      </c>
      <c r="D1583" s="35" t="b">
        <f>IFERROR(__xludf.DUMMYFUNCTION("""COMPUTED_VALUE"""),FALSE)</f>
        <v>0</v>
      </c>
      <c r="E1583" s="35" t="str">
        <f>IFERROR(__xludf.DUMMYFUNCTION("""COMPUTED_VALUE"""),"Easy")</f>
        <v>Easy</v>
      </c>
      <c r="F1583" s="35">
        <f>IFERROR(__xludf.DUMMYFUNCTION("""COMPUTED_VALUE"""),410.0)</f>
        <v>410</v>
      </c>
      <c r="G1583" s="35">
        <f>IFERROR(__xludf.DUMMYFUNCTION("""COMPUTED_VALUE"""),17.0)</f>
        <v>17</v>
      </c>
      <c r="H1583" s="35" t="str">
        <f>IFERROR(__xludf.DUMMYFUNCTION("""COMPUTED_VALUE"""),"Algorithms")</f>
        <v>Algorithms</v>
      </c>
      <c r="I1583" s="35">
        <f>IFERROR(__xludf.DUMMYFUNCTION("""COMPUTED_VALUE"""),0.65)</f>
        <v>0.65</v>
      </c>
      <c r="J1583" s="35">
        <f>IFERROR(__xludf.DUMMYFUNCTION("""COMPUTED_VALUE"""),1582.0)</f>
        <v>1582</v>
      </c>
      <c r="K1583" s="35" t="b">
        <f>IFERROR(__xludf.DUMMYFUNCTION("""COMPUTED_VALUE"""),FALSE)</f>
        <v>0</v>
      </c>
      <c r="L1583" s="35" t="str">
        <f>IFERROR(__xludf.DUMMYFUNCTION("""COMPUTED_VALUE"""),"Array;Matrix;")</f>
        <v>Array;Matrix;</v>
      </c>
      <c r="M1583" s="35" t="b">
        <f>IFERROR(__xludf.DUMMYFUNCTION("""COMPUTED_VALUE"""),FALSE)</f>
        <v>0</v>
      </c>
      <c r="N1583" s="35" t="b">
        <f>IFERROR(__xludf.DUMMYFUNCTION("""COMPUTED_VALUE"""),FALSE)</f>
        <v>0</v>
      </c>
      <c r="O1583" s="35">
        <f>IFERROR(__xludf.DUMMYFUNCTION("""COMPUTED_VALUE"""),64.9628696747296)</f>
        <v>64.96286967</v>
      </c>
      <c r="P1583" s="35">
        <f>IFERROR(__xludf.DUMMYFUNCTION("""COMPUTED_VALUE"""),29918.0)</f>
        <v>29918</v>
      </c>
      <c r="Q1583" s="35">
        <f>IFERROR(__xludf.DUMMYFUNCTION("""COMPUTED_VALUE"""),46054.0)</f>
        <v>46054</v>
      </c>
    </row>
    <row r="1584">
      <c r="A1584" s="35">
        <f>IFERROR(__xludf.DUMMYFUNCTION("""COMPUTED_VALUE"""),1705.0)</f>
        <v>1705</v>
      </c>
      <c r="B1584" s="35" t="str">
        <f>IFERROR(__xludf.DUMMYFUNCTION("""COMPUTED_VALUE"""),"Count Unhappy Friends")</f>
        <v>Count Unhappy Friends</v>
      </c>
      <c r="C1584" s="35" t="str">
        <f>IFERROR(__xludf.DUMMYFUNCTION("""COMPUTED_VALUE"""),"count-unhappy-friends")</f>
        <v>count-unhappy-friends</v>
      </c>
      <c r="D1584" s="35" t="b">
        <f>IFERROR(__xludf.DUMMYFUNCTION("""COMPUTED_VALUE"""),FALSE)</f>
        <v>0</v>
      </c>
      <c r="E1584" s="35" t="str">
        <f>IFERROR(__xludf.DUMMYFUNCTION("""COMPUTED_VALUE"""),"Medium")</f>
        <v>Medium</v>
      </c>
      <c r="F1584" s="35">
        <f>IFERROR(__xludf.DUMMYFUNCTION("""COMPUTED_VALUE"""),149.0)</f>
        <v>149</v>
      </c>
      <c r="G1584" s="35">
        <f>IFERROR(__xludf.DUMMYFUNCTION("""COMPUTED_VALUE"""),548.0)</f>
        <v>548</v>
      </c>
      <c r="H1584" s="35" t="str">
        <f>IFERROR(__xludf.DUMMYFUNCTION("""COMPUTED_VALUE"""),"Algorithms")</f>
        <v>Algorithms</v>
      </c>
      <c r="I1584" s="35">
        <f>IFERROR(__xludf.DUMMYFUNCTION("""COMPUTED_VALUE"""),0.575)</f>
        <v>0.575</v>
      </c>
      <c r="J1584" s="35">
        <f>IFERROR(__xludf.DUMMYFUNCTION("""COMPUTED_VALUE"""),1583.0)</f>
        <v>1583</v>
      </c>
      <c r="K1584" s="35" t="b">
        <f>IFERROR(__xludf.DUMMYFUNCTION("""COMPUTED_VALUE"""),FALSE)</f>
        <v>0</v>
      </c>
      <c r="L1584" s="35" t="str">
        <f>IFERROR(__xludf.DUMMYFUNCTION("""COMPUTED_VALUE"""),"Array;Simulation;")</f>
        <v>Array;Simulation;</v>
      </c>
      <c r="M1584" s="35" t="b">
        <f>IFERROR(__xludf.DUMMYFUNCTION("""COMPUTED_VALUE"""),FALSE)</f>
        <v>0</v>
      </c>
      <c r="N1584" s="35" t="b">
        <f>IFERROR(__xludf.DUMMYFUNCTION("""COMPUTED_VALUE"""),FALSE)</f>
        <v>0</v>
      </c>
      <c r="O1584" s="35">
        <f>IFERROR(__xludf.DUMMYFUNCTION("""COMPUTED_VALUE"""),57.4883720930232)</f>
        <v>57.48837209</v>
      </c>
      <c r="P1584" s="35">
        <f>IFERROR(__xludf.DUMMYFUNCTION("""COMPUTED_VALUE"""),15450.0)</f>
        <v>15450</v>
      </c>
      <c r="Q1584" s="35">
        <f>IFERROR(__xludf.DUMMYFUNCTION("""COMPUTED_VALUE"""),26875.0)</f>
        <v>26875</v>
      </c>
    </row>
    <row r="1585">
      <c r="A1585" s="35">
        <f>IFERROR(__xludf.DUMMYFUNCTION("""COMPUTED_VALUE"""),1706.0)</f>
        <v>1706</v>
      </c>
      <c r="B1585" s="35" t="str">
        <f>IFERROR(__xludf.DUMMYFUNCTION("""COMPUTED_VALUE"""),"Min Cost to Connect All Points")</f>
        <v>Min Cost to Connect All Points</v>
      </c>
      <c r="C1585" s="35" t="str">
        <f>IFERROR(__xludf.DUMMYFUNCTION("""COMPUTED_VALUE"""),"min-cost-to-connect-all-points")</f>
        <v>min-cost-to-connect-all-points</v>
      </c>
      <c r="D1585" s="35" t="b">
        <f>IFERROR(__xludf.DUMMYFUNCTION("""COMPUTED_VALUE"""),FALSE)</f>
        <v>0</v>
      </c>
      <c r="E1585" s="35" t="str">
        <f>IFERROR(__xludf.DUMMYFUNCTION("""COMPUTED_VALUE"""),"Medium")</f>
        <v>Medium</v>
      </c>
      <c r="F1585" s="35">
        <f>IFERROR(__xludf.DUMMYFUNCTION("""COMPUTED_VALUE"""),1104.0)</f>
        <v>1104</v>
      </c>
      <c r="G1585" s="35">
        <f>IFERROR(__xludf.DUMMYFUNCTION("""COMPUTED_VALUE"""),44.0)</f>
        <v>44</v>
      </c>
      <c r="H1585" s="35" t="str">
        <f>IFERROR(__xludf.DUMMYFUNCTION("""COMPUTED_VALUE"""),"Algorithms")</f>
        <v>Algorithms</v>
      </c>
      <c r="I1585" s="35">
        <f>IFERROR(__xludf.DUMMYFUNCTION("""COMPUTED_VALUE"""),0.611)</f>
        <v>0.611</v>
      </c>
      <c r="J1585" s="35">
        <f>IFERROR(__xludf.DUMMYFUNCTION("""COMPUTED_VALUE"""),1584.0)</f>
        <v>1584</v>
      </c>
      <c r="K1585" s="35" t="b">
        <f>IFERROR(__xludf.DUMMYFUNCTION("""COMPUTED_VALUE"""),FALSE)</f>
        <v>0</v>
      </c>
      <c r="L1585" s="35" t="str">
        <f>IFERROR(__xludf.DUMMYFUNCTION("""COMPUTED_VALUE"""),"Array;Union Find;Minimum Spanning Tree;")</f>
        <v>Array;Union Find;Minimum Spanning Tree;</v>
      </c>
      <c r="M1585" s="35" t="b">
        <f>IFERROR(__xludf.DUMMYFUNCTION("""COMPUTED_VALUE"""),TRUE)</f>
        <v>1</v>
      </c>
      <c r="N1585" s="35" t="b">
        <f>IFERROR(__xludf.DUMMYFUNCTION("""COMPUTED_VALUE"""),FALSE)</f>
        <v>0</v>
      </c>
      <c r="O1585" s="35">
        <f>IFERROR(__xludf.DUMMYFUNCTION("""COMPUTED_VALUE"""),61.079283390785)</f>
        <v>61.07928339</v>
      </c>
      <c r="P1585" s="35">
        <f>IFERROR(__xludf.DUMMYFUNCTION("""COMPUTED_VALUE"""),50321.0)</f>
        <v>50321</v>
      </c>
      <c r="Q1585" s="35">
        <f>IFERROR(__xludf.DUMMYFUNCTION("""COMPUTED_VALUE"""),82386.0)</f>
        <v>82386</v>
      </c>
    </row>
    <row r="1586">
      <c r="A1586" s="35">
        <f>IFERROR(__xludf.DUMMYFUNCTION("""COMPUTED_VALUE"""),1707.0)</f>
        <v>1707</v>
      </c>
      <c r="B1586" s="35" t="str">
        <f>IFERROR(__xludf.DUMMYFUNCTION("""COMPUTED_VALUE"""),"Check If String Is Transformable With Substring Sort Operations")</f>
        <v>Check If String Is Transformable With Substring Sort Operations</v>
      </c>
      <c r="C1586" s="35" t="str">
        <f>IFERROR(__xludf.DUMMYFUNCTION("""COMPUTED_VALUE"""),"check-if-string-is-transformable-with-substring-sort-operations")</f>
        <v>check-if-string-is-transformable-with-substring-sort-operations</v>
      </c>
      <c r="D1586" s="35" t="b">
        <f>IFERROR(__xludf.DUMMYFUNCTION("""COMPUTED_VALUE"""),FALSE)</f>
        <v>0</v>
      </c>
      <c r="E1586" s="35" t="str">
        <f>IFERROR(__xludf.DUMMYFUNCTION("""COMPUTED_VALUE"""),"Hard")</f>
        <v>Hard</v>
      </c>
      <c r="F1586" s="35">
        <f>IFERROR(__xludf.DUMMYFUNCTION("""COMPUTED_VALUE"""),315.0)</f>
        <v>315</v>
      </c>
      <c r="G1586" s="35">
        <f>IFERROR(__xludf.DUMMYFUNCTION("""COMPUTED_VALUE"""),5.0)</f>
        <v>5</v>
      </c>
      <c r="H1586" s="35" t="str">
        <f>IFERROR(__xludf.DUMMYFUNCTION("""COMPUTED_VALUE"""),"Algorithms")</f>
        <v>Algorithms</v>
      </c>
      <c r="I1586" s="35">
        <f>IFERROR(__xludf.DUMMYFUNCTION("""COMPUTED_VALUE"""),0.483)</f>
        <v>0.483</v>
      </c>
      <c r="J1586" s="35">
        <f>IFERROR(__xludf.DUMMYFUNCTION("""COMPUTED_VALUE"""),1585.0)</f>
        <v>1585</v>
      </c>
      <c r="K1586" s="35" t="b">
        <f>IFERROR(__xludf.DUMMYFUNCTION("""COMPUTED_VALUE"""),FALSE)</f>
        <v>0</v>
      </c>
      <c r="L1586" s="35" t="str">
        <f>IFERROR(__xludf.DUMMYFUNCTION("""COMPUTED_VALUE"""),"String;Greedy;Sorting;")</f>
        <v>String;Greedy;Sorting;</v>
      </c>
      <c r="M1586" s="35" t="b">
        <f>IFERROR(__xludf.DUMMYFUNCTION("""COMPUTED_VALUE"""),FALSE)</f>
        <v>0</v>
      </c>
      <c r="N1586" s="35" t="b">
        <f>IFERROR(__xludf.DUMMYFUNCTION("""COMPUTED_VALUE"""),FALSE)</f>
        <v>0</v>
      </c>
      <c r="O1586" s="35">
        <f>IFERROR(__xludf.DUMMYFUNCTION("""COMPUTED_VALUE"""),48.3276620466428)</f>
        <v>48.32766205</v>
      </c>
      <c r="P1586" s="35">
        <f>IFERROR(__xludf.DUMMYFUNCTION("""COMPUTED_VALUE"""),5823.0)</f>
        <v>5823</v>
      </c>
      <c r="Q1586" s="35">
        <f>IFERROR(__xludf.DUMMYFUNCTION("""COMPUTED_VALUE"""),12049.0)</f>
        <v>12049</v>
      </c>
    </row>
    <row r="1587">
      <c r="A1587" s="35">
        <f>IFERROR(__xludf.DUMMYFUNCTION("""COMPUTED_VALUE"""),1729.0)</f>
        <v>1729</v>
      </c>
      <c r="B1587" s="35" t="str">
        <f>IFERROR(__xludf.DUMMYFUNCTION("""COMPUTED_VALUE"""),"Binary Search Tree Iterator II")</f>
        <v>Binary Search Tree Iterator II</v>
      </c>
      <c r="C1587" s="35" t="str">
        <f>IFERROR(__xludf.DUMMYFUNCTION("""COMPUTED_VALUE"""),"binary-search-tree-iterator-ii")</f>
        <v>binary-search-tree-iterator-ii</v>
      </c>
      <c r="D1587" s="35" t="b">
        <f>IFERROR(__xludf.DUMMYFUNCTION("""COMPUTED_VALUE"""),TRUE)</f>
        <v>1</v>
      </c>
      <c r="E1587" s="35" t="str">
        <f>IFERROR(__xludf.DUMMYFUNCTION("""COMPUTED_VALUE"""),"Medium")</f>
        <v>Medium</v>
      </c>
      <c r="F1587" s="35">
        <f>IFERROR(__xludf.DUMMYFUNCTION("""COMPUTED_VALUE"""),142.0)</f>
        <v>142</v>
      </c>
      <c r="G1587" s="35">
        <f>IFERROR(__xludf.DUMMYFUNCTION("""COMPUTED_VALUE"""),20.0)</f>
        <v>20</v>
      </c>
      <c r="H1587" s="35" t="str">
        <f>IFERROR(__xludf.DUMMYFUNCTION("""COMPUTED_VALUE"""),"Algorithms")</f>
        <v>Algorithms</v>
      </c>
      <c r="I1587" s="35">
        <f>IFERROR(__xludf.DUMMYFUNCTION("""COMPUTED_VALUE"""),0.673)</f>
        <v>0.673</v>
      </c>
      <c r="J1587" s="35">
        <f>IFERROR(__xludf.DUMMYFUNCTION("""COMPUTED_VALUE"""),1586.0)</f>
        <v>1586</v>
      </c>
      <c r="K1587" s="35" t="b">
        <f>IFERROR(__xludf.DUMMYFUNCTION("""COMPUTED_VALUE"""),TRUE)</f>
        <v>1</v>
      </c>
      <c r="L1587" s="35" t="str">
        <f>IFERROR(__xludf.DUMMYFUNCTION("""COMPUTED_VALUE"""),"Stack;Tree;Design;Binary Search Tree;Binary Tree;Iterator;")</f>
        <v>Stack;Tree;Design;Binary Search Tree;Binary Tree;Iterator;</v>
      </c>
      <c r="M1587" s="35" t="b">
        <f>IFERROR(__xludf.DUMMYFUNCTION("""COMPUTED_VALUE"""),TRUE)</f>
        <v>1</v>
      </c>
      <c r="N1587" s="35" t="b">
        <f>IFERROR(__xludf.DUMMYFUNCTION("""COMPUTED_VALUE"""),FALSE)</f>
        <v>0</v>
      </c>
      <c r="O1587" s="35">
        <f>IFERROR(__xludf.DUMMYFUNCTION("""COMPUTED_VALUE"""),67.3449716182928)</f>
        <v>67.34497162</v>
      </c>
      <c r="P1587" s="35">
        <f>IFERROR(__xludf.DUMMYFUNCTION("""COMPUTED_VALUE"""),6288.0)</f>
        <v>6288</v>
      </c>
      <c r="Q1587" s="35">
        <f>IFERROR(__xludf.DUMMYFUNCTION("""COMPUTED_VALUE"""),9337.0)</f>
        <v>9337</v>
      </c>
    </row>
    <row r="1588">
      <c r="A1588" s="35">
        <f>IFERROR(__xludf.DUMMYFUNCTION("""COMPUTED_VALUE"""),1734.0)</f>
        <v>1734</v>
      </c>
      <c r="B1588" s="35" t="str">
        <f>IFERROR(__xludf.DUMMYFUNCTION("""COMPUTED_VALUE"""),"Bank Account Summary II")</f>
        <v>Bank Account Summary II</v>
      </c>
      <c r="C1588" s="35" t="str">
        <f>IFERROR(__xludf.DUMMYFUNCTION("""COMPUTED_VALUE"""),"bank-account-summary-ii")</f>
        <v>bank-account-summary-ii</v>
      </c>
      <c r="D1588" s="35" t="b">
        <f>IFERROR(__xludf.DUMMYFUNCTION("""COMPUTED_VALUE"""),TRUE)</f>
        <v>1</v>
      </c>
      <c r="E1588" s="35" t="str">
        <f>IFERROR(__xludf.DUMMYFUNCTION("""COMPUTED_VALUE"""),"Easy")</f>
        <v>Easy</v>
      </c>
      <c r="F1588" s="35">
        <f>IFERROR(__xludf.DUMMYFUNCTION("""COMPUTED_VALUE"""),64.0)</f>
        <v>64</v>
      </c>
      <c r="G1588" s="35">
        <f>IFERROR(__xludf.DUMMYFUNCTION("""COMPUTED_VALUE"""),2.0)</f>
        <v>2</v>
      </c>
      <c r="H1588" s="35" t="str">
        <f>IFERROR(__xludf.DUMMYFUNCTION("""COMPUTED_VALUE"""),"Database")</f>
        <v>Database</v>
      </c>
      <c r="I1588" s="35">
        <f>IFERROR(__xludf.DUMMYFUNCTION("""COMPUTED_VALUE"""),0.902)</f>
        <v>0.902</v>
      </c>
      <c r="J1588" s="35">
        <f>IFERROR(__xludf.DUMMYFUNCTION("""COMPUTED_VALUE"""),1587.0)</f>
        <v>1587</v>
      </c>
      <c r="K1588" s="35" t="b">
        <f>IFERROR(__xludf.DUMMYFUNCTION("""COMPUTED_VALUE"""),TRUE)</f>
        <v>1</v>
      </c>
      <c r="L1588" s="35" t="str">
        <f>IFERROR(__xludf.DUMMYFUNCTION("""COMPUTED_VALUE"""),"Database;")</f>
        <v>Database;</v>
      </c>
      <c r="M1588" s="35" t="b">
        <f>IFERROR(__xludf.DUMMYFUNCTION("""COMPUTED_VALUE"""),FALSE)</f>
        <v>0</v>
      </c>
      <c r="N1588" s="35" t="b">
        <f>IFERROR(__xludf.DUMMYFUNCTION("""COMPUTED_VALUE"""),FALSE)</f>
        <v>0</v>
      </c>
      <c r="O1588" s="35">
        <f>IFERROR(__xludf.DUMMYFUNCTION("""COMPUTED_VALUE"""),90.1734961198161)</f>
        <v>90.17349612</v>
      </c>
      <c r="P1588" s="35">
        <f>IFERROR(__xludf.DUMMYFUNCTION("""COMPUTED_VALUE"""),18242.0)</f>
        <v>18242</v>
      </c>
      <c r="Q1588" s="35">
        <f>IFERROR(__xludf.DUMMYFUNCTION("""COMPUTED_VALUE"""),20230.0)</f>
        <v>20230</v>
      </c>
    </row>
    <row r="1589">
      <c r="A1589" s="35">
        <f>IFERROR(__xludf.DUMMYFUNCTION("""COMPUTED_VALUE"""),1693.0)</f>
        <v>1693</v>
      </c>
      <c r="B1589" s="35" t="str">
        <f>IFERROR(__xludf.DUMMYFUNCTION("""COMPUTED_VALUE"""),"Sum of All Odd Length Subarrays")</f>
        <v>Sum of All Odd Length Subarrays</v>
      </c>
      <c r="C1589" s="35" t="str">
        <f>IFERROR(__xludf.DUMMYFUNCTION("""COMPUTED_VALUE"""),"sum-of-all-odd-length-subarrays")</f>
        <v>sum-of-all-odd-length-subarrays</v>
      </c>
      <c r="D1589" s="35" t="b">
        <f>IFERROR(__xludf.DUMMYFUNCTION("""COMPUTED_VALUE"""),FALSE)</f>
        <v>0</v>
      </c>
      <c r="E1589" s="35" t="str">
        <f>IFERROR(__xludf.DUMMYFUNCTION("""COMPUTED_VALUE"""),"Easy")</f>
        <v>Easy</v>
      </c>
      <c r="F1589" s="35">
        <f>IFERROR(__xludf.DUMMYFUNCTION("""COMPUTED_VALUE"""),1778.0)</f>
        <v>1778</v>
      </c>
      <c r="G1589" s="35">
        <f>IFERROR(__xludf.DUMMYFUNCTION("""COMPUTED_VALUE"""),145.0)</f>
        <v>145</v>
      </c>
      <c r="H1589" s="35" t="str">
        <f>IFERROR(__xludf.DUMMYFUNCTION("""COMPUTED_VALUE"""),"Algorithms")</f>
        <v>Algorithms</v>
      </c>
      <c r="I1589" s="35">
        <f>IFERROR(__xludf.DUMMYFUNCTION("""COMPUTED_VALUE"""),0.831)</f>
        <v>0.831</v>
      </c>
      <c r="J1589" s="35">
        <f>IFERROR(__xludf.DUMMYFUNCTION("""COMPUTED_VALUE"""),1588.0)</f>
        <v>1588</v>
      </c>
      <c r="K1589" s="35" t="b">
        <f>IFERROR(__xludf.DUMMYFUNCTION("""COMPUTED_VALUE"""),FALSE)</f>
        <v>0</v>
      </c>
      <c r="L1589" s="35" t="str">
        <f>IFERROR(__xludf.DUMMYFUNCTION("""COMPUTED_VALUE"""),"Array;Math;Prefix Sum;")</f>
        <v>Array;Math;Prefix Sum;</v>
      </c>
      <c r="M1589" s="35" t="b">
        <f>IFERROR(__xludf.DUMMYFUNCTION("""COMPUTED_VALUE"""),FALSE)</f>
        <v>0</v>
      </c>
      <c r="N1589" s="35" t="b">
        <f>IFERROR(__xludf.DUMMYFUNCTION("""COMPUTED_VALUE"""),FALSE)</f>
        <v>0</v>
      </c>
      <c r="O1589" s="35">
        <f>IFERROR(__xludf.DUMMYFUNCTION("""COMPUTED_VALUE"""),83.1467575439361)</f>
        <v>83.14675754</v>
      </c>
      <c r="P1589" s="35">
        <f>IFERROR(__xludf.DUMMYFUNCTION("""COMPUTED_VALUE"""),83918.0)</f>
        <v>83918</v>
      </c>
      <c r="Q1589" s="35">
        <f>IFERROR(__xludf.DUMMYFUNCTION("""COMPUTED_VALUE"""),100929.0)</f>
        <v>100929</v>
      </c>
    </row>
    <row r="1590">
      <c r="A1590" s="35">
        <f>IFERROR(__xludf.DUMMYFUNCTION("""COMPUTED_VALUE"""),1695.0)</f>
        <v>1695</v>
      </c>
      <c r="B1590" s="35" t="str">
        <f>IFERROR(__xludf.DUMMYFUNCTION("""COMPUTED_VALUE"""),"Maximum Sum Obtained of Any Permutation")</f>
        <v>Maximum Sum Obtained of Any Permutation</v>
      </c>
      <c r="C1590" s="35" t="str">
        <f>IFERROR(__xludf.DUMMYFUNCTION("""COMPUTED_VALUE"""),"maximum-sum-obtained-of-any-permutation")</f>
        <v>maximum-sum-obtained-of-any-permutation</v>
      </c>
      <c r="D1590" s="35" t="b">
        <f>IFERROR(__xludf.DUMMYFUNCTION("""COMPUTED_VALUE"""),FALSE)</f>
        <v>0</v>
      </c>
      <c r="E1590" s="35" t="str">
        <f>IFERROR(__xludf.DUMMYFUNCTION("""COMPUTED_VALUE"""),"Medium")</f>
        <v>Medium</v>
      </c>
      <c r="F1590" s="35">
        <f>IFERROR(__xludf.DUMMYFUNCTION("""COMPUTED_VALUE"""),472.0)</f>
        <v>472</v>
      </c>
      <c r="G1590" s="35">
        <f>IFERROR(__xludf.DUMMYFUNCTION("""COMPUTED_VALUE"""),25.0)</f>
        <v>25</v>
      </c>
      <c r="H1590" s="35" t="str">
        <f>IFERROR(__xludf.DUMMYFUNCTION("""COMPUTED_VALUE"""),"Algorithms")</f>
        <v>Algorithms</v>
      </c>
      <c r="I1590" s="35">
        <f>IFERROR(__xludf.DUMMYFUNCTION("""COMPUTED_VALUE"""),0.362)</f>
        <v>0.362</v>
      </c>
      <c r="J1590" s="35">
        <f>IFERROR(__xludf.DUMMYFUNCTION("""COMPUTED_VALUE"""),1589.0)</f>
        <v>1589</v>
      </c>
      <c r="K1590" s="35" t="b">
        <f>IFERROR(__xludf.DUMMYFUNCTION("""COMPUTED_VALUE"""),FALSE)</f>
        <v>0</v>
      </c>
      <c r="L1590" s="35" t="str">
        <f>IFERROR(__xludf.DUMMYFUNCTION("""COMPUTED_VALUE"""),"Array;Greedy;Sorting;Prefix Sum;")</f>
        <v>Array;Greedy;Sorting;Prefix Sum;</v>
      </c>
      <c r="M1590" s="35" t="b">
        <f>IFERROR(__xludf.DUMMYFUNCTION("""COMPUTED_VALUE"""),FALSE)</f>
        <v>0</v>
      </c>
      <c r="N1590" s="35" t="b">
        <f>IFERROR(__xludf.DUMMYFUNCTION("""COMPUTED_VALUE"""),FALSE)</f>
        <v>0</v>
      </c>
      <c r="O1590" s="35">
        <f>IFERROR(__xludf.DUMMYFUNCTION("""COMPUTED_VALUE"""),36.2179782882799)</f>
        <v>36.21797829</v>
      </c>
      <c r="P1590" s="35">
        <f>IFERROR(__xludf.DUMMYFUNCTION("""COMPUTED_VALUE"""),11777.0)</f>
        <v>11777</v>
      </c>
      <c r="Q1590" s="35">
        <f>IFERROR(__xludf.DUMMYFUNCTION("""COMPUTED_VALUE"""),32517.0)</f>
        <v>32517</v>
      </c>
    </row>
    <row r="1591">
      <c r="A1591" s="35">
        <f>IFERROR(__xludf.DUMMYFUNCTION("""COMPUTED_VALUE"""),1694.0)</f>
        <v>1694</v>
      </c>
      <c r="B1591" s="35" t="str">
        <f>IFERROR(__xludf.DUMMYFUNCTION("""COMPUTED_VALUE"""),"Make Sum Divisible by P")</f>
        <v>Make Sum Divisible by P</v>
      </c>
      <c r="C1591" s="35" t="str">
        <f>IFERROR(__xludf.DUMMYFUNCTION("""COMPUTED_VALUE"""),"make-sum-divisible-by-p")</f>
        <v>make-sum-divisible-by-p</v>
      </c>
      <c r="D1591" s="35" t="b">
        <f>IFERROR(__xludf.DUMMYFUNCTION("""COMPUTED_VALUE"""),FALSE)</f>
        <v>0</v>
      </c>
      <c r="E1591" s="35" t="str">
        <f>IFERROR(__xludf.DUMMYFUNCTION("""COMPUTED_VALUE"""),"Medium")</f>
        <v>Medium</v>
      </c>
      <c r="F1591" s="35">
        <f>IFERROR(__xludf.DUMMYFUNCTION("""COMPUTED_VALUE"""),835.0)</f>
        <v>835</v>
      </c>
      <c r="G1591" s="35">
        <f>IFERROR(__xludf.DUMMYFUNCTION("""COMPUTED_VALUE"""),37.0)</f>
        <v>37</v>
      </c>
      <c r="H1591" s="35" t="str">
        <f>IFERROR(__xludf.DUMMYFUNCTION("""COMPUTED_VALUE"""),"Algorithms")</f>
        <v>Algorithms</v>
      </c>
      <c r="I1591" s="35">
        <f>IFERROR(__xludf.DUMMYFUNCTION("""COMPUTED_VALUE"""),0.283)</f>
        <v>0.283</v>
      </c>
      <c r="J1591" s="35">
        <f>IFERROR(__xludf.DUMMYFUNCTION("""COMPUTED_VALUE"""),1590.0)</f>
        <v>1590</v>
      </c>
      <c r="K1591" s="35" t="b">
        <f>IFERROR(__xludf.DUMMYFUNCTION("""COMPUTED_VALUE"""),FALSE)</f>
        <v>0</v>
      </c>
      <c r="L1591" s="35" t="str">
        <f>IFERROR(__xludf.DUMMYFUNCTION("""COMPUTED_VALUE"""),"Array;Hash Table;Prefix Sum;")</f>
        <v>Array;Hash Table;Prefix Sum;</v>
      </c>
      <c r="M1591" s="35" t="b">
        <f>IFERROR(__xludf.DUMMYFUNCTION("""COMPUTED_VALUE"""),FALSE)</f>
        <v>0</v>
      </c>
      <c r="N1591" s="35" t="b">
        <f>IFERROR(__xludf.DUMMYFUNCTION("""COMPUTED_VALUE"""),FALSE)</f>
        <v>0</v>
      </c>
      <c r="O1591" s="35">
        <f>IFERROR(__xludf.DUMMYFUNCTION("""COMPUTED_VALUE"""),28.2549350962877)</f>
        <v>28.2549351</v>
      </c>
      <c r="P1591" s="35">
        <f>IFERROR(__xludf.DUMMYFUNCTION("""COMPUTED_VALUE"""),15215.0)</f>
        <v>15215</v>
      </c>
      <c r="Q1591" s="35">
        <f>IFERROR(__xludf.DUMMYFUNCTION("""COMPUTED_VALUE"""),53849.0)</f>
        <v>53849</v>
      </c>
    </row>
    <row r="1592">
      <c r="A1592" s="35">
        <f>IFERROR(__xludf.DUMMYFUNCTION("""COMPUTED_VALUE"""),1696.0)</f>
        <v>1696</v>
      </c>
      <c r="B1592" s="35" t="str">
        <f>IFERROR(__xludf.DUMMYFUNCTION("""COMPUTED_VALUE"""),"Strange Printer II")</f>
        <v>Strange Printer II</v>
      </c>
      <c r="C1592" s="35" t="str">
        <f>IFERROR(__xludf.DUMMYFUNCTION("""COMPUTED_VALUE"""),"strange-printer-ii")</f>
        <v>strange-printer-ii</v>
      </c>
      <c r="D1592" s="35" t="b">
        <f>IFERROR(__xludf.DUMMYFUNCTION("""COMPUTED_VALUE"""),FALSE)</f>
        <v>0</v>
      </c>
      <c r="E1592" s="35" t="str">
        <f>IFERROR(__xludf.DUMMYFUNCTION("""COMPUTED_VALUE"""),"Hard")</f>
        <v>Hard</v>
      </c>
      <c r="F1592" s="35">
        <f>IFERROR(__xludf.DUMMYFUNCTION("""COMPUTED_VALUE"""),308.0)</f>
        <v>308</v>
      </c>
      <c r="G1592" s="35">
        <f>IFERROR(__xludf.DUMMYFUNCTION("""COMPUTED_VALUE"""),9.0)</f>
        <v>9</v>
      </c>
      <c r="H1592" s="35" t="str">
        <f>IFERROR(__xludf.DUMMYFUNCTION("""COMPUTED_VALUE"""),"Algorithms")</f>
        <v>Algorithms</v>
      </c>
      <c r="I1592" s="35">
        <f>IFERROR(__xludf.DUMMYFUNCTION("""COMPUTED_VALUE"""),0.562)</f>
        <v>0.562</v>
      </c>
      <c r="J1592" s="35">
        <f>IFERROR(__xludf.DUMMYFUNCTION("""COMPUTED_VALUE"""),1591.0)</f>
        <v>1591</v>
      </c>
      <c r="K1592" s="35" t="b">
        <f>IFERROR(__xludf.DUMMYFUNCTION("""COMPUTED_VALUE"""),FALSE)</f>
        <v>0</v>
      </c>
      <c r="L1592" s="35" t="str">
        <f>IFERROR(__xludf.DUMMYFUNCTION("""COMPUTED_VALUE"""),"Array;Graph;Topological Sort;Matrix;")</f>
        <v>Array;Graph;Topological Sort;Matrix;</v>
      </c>
      <c r="M1592" s="35" t="b">
        <f>IFERROR(__xludf.DUMMYFUNCTION("""COMPUTED_VALUE"""),FALSE)</f>
        <v>0</v>
      </c>
      <c r="N1592" s="35" t="b">
        <f>IFERROR(__xludf.DUMMYFUNCTION("""COMPUTED_VALUE"""),FALSE)</f>
        <v>0</v>
      </c>
      <c r="O1592" s="35">
        <f>IFERROR(__xludf.DUMMYFUNCTION("""COMPUTED_VALUE"""),56.1552274541101)</f>
        <v>56.15522745</v>
      </c>
      <c r="P1592" s="35">
        <f>IFERROR(__xludf.DUMMYFUNCTION("""COMPUTED_VALUE"""),5629.0)</f>
        <v>5629</v>
      </c>
      <c r="Q1592" s="35">
        <f>IFERROR(__xludf.DUMMYFUNCTION("""COMPUTED_VALUE"""),10024.0)</f>
        <v>10024</v>
      </c>
    </row>
    <row r="1593">
      <c r="A1593" s="35">
        <f>IFERROR(__xludf.DUMMYFUNCTION("""COMPUTED_VALUE"""),1714.0)</f>
        <v>1714</v>
      </c>
      <c r="B1593" s="35" t="str">
        <f>IFERROR(__xludf.DUMMYFUNCTION("""COMPUTED_VALUE"""),"Rearrange Spaces Between Words")</f>
        <v>Rearrange Spaces Between Words</v>
      </c>
      <c r="C1593" s="35" t="str">
        <f>IFERROR(__xludf.DUMMYFUNCTION("""COMPUTED_VALUE"""),"rearrange-spaces-between-words")</f>
        <v>rearrange-spaces-between-words</v>
      </c>
      <c r="D1593" s="35" t="b">
        <f>IFERROR(__xludf.DUMMYFUNCTION("""COMPUTED_VALUE"""),FALSE)</f>
        <v>0</v>
      </c>
      <c r="E1593" s="35" t="str">
        <f>IFERROR(__xludf.DUMMYFUNCTION("""COMPUTED_VALUE"""),"Easy")</f>
        <v>Easy</v>
      </c>
      <c r="F1593" s="35">
        <f>IFERROR(__xludf.DUMMYFUNCTION("""COMPUTED_VALUE"""),252.0)</f>
        <v>252</v>
      </c>
      <c r="G1593" s="35">
        <f>IFERROR(__xludf.DUMMYFUNCTION("""COMPUTED_VALUE"""),222.0)</f>
        <v>222</v>
      </c>
      <c r="H1593" s="35" t="str">
        <f>IFERROR(__xludf.DUMMYFUNCTION("""COMPUTED_VALUE"""),"Algorithms")</f>
        <v>Algorithms</v>
      </c>
      <c r="I1593" s="35">
        <f>IFERROR(__xludf.DUMMYFUNCTION("""COMPUTED_VALUE"""),0.439)</f>
        <v>0.439</v>
      </c>
      <c r="J1593" s="35">
        <f>IFERROR(__xludf.DUMMYFUNCTION("""COMPUTED_VALUE"""),1592.0)</f>
        <v>1592</v>
      </c>
      <c r="K1593" s="35" t="b">
        <f>IFERROR(__xludf.DUMMYFUNCTION("""COMPUTED_VALUE"""),FALSE)</f>
        <v>0</v>
      </c>
      <c r="L1593" s="35" t="str">
        <f>IFERROR(__xludf.DUMMYFUNCTION("""COMPUTED_VALUE"""),"String;")</f>
        <v>String;</v>
      </c>
      <c r="M1593" s="35" t="b">
        <f>IFERROR(__xludf.DUMMYFUNCTION("""COMPUTED_VALUE"""),FALSE)</f>
        <v>0</v>
      </c>
      <c r="N1593" s="35" t="b">
        <f>IFERROR(__xludf.DUMMYFUNCTION("""COMPUTED_VALUE"""),FALSE)</f>
        <v>0</v>
      </c>
      <c r="O1593" s="35">
        <f>IFERROR(__xludf.DUMMYFUNCTION("""COMPUTED_VALUE"""),43.9501305343918)</f>
        <v>43.95013053</v>
      </c>
      <c r="P1593" s="35">
        <f>IFERROR(__xludf.DUMMYFUNCTION("""COMPUTED_VALUE"""),32995.0)</f>
        <v>32995</v>
      </c>
      <c r="Q1593" s="35">
        <f>IFERROR(__xludf.DUMMYFUNCTION("""COMPUTED_VALUE"""),75074.0)</f>
        <v>75074</v>
      </c>
    </row>
    <row r="1594">
      <c r="A1594" s="35">
        <f>IFERROR(__xludf.DUMMYFUNCTION("""COMPUTED_VALUE"""),1715.0)</f>
        <v>1715</v>
      </c>
      <c r="B1594" s="35" t="str">
        <f>IFERROR(__xludf.DUMMYFUNCTION("""COMPUTED_VALUE"""),"Split a String Into the Max Number of Unique Substrings")</f>
        <v>Split a String Into the Max Number of Unique Substrings</v>
      </c>
      <c r="C1594" s="35" t="str">
        <f>IFERROR(__xludf.DUMMYFUNCTION("""COMPUTED_VALUE"""),"split-a-string-into-the-max-number-of-unique-substrings")</f>
        <v>split-a-string-into-the-max-number-of-unique-substrings</v>
      </c>
      <c r="D1594" s="35" t="b">
        <f>IFERROR(__xludf.DUMMYFUNCTION("""COMPUTED_VALUE"""),FALSE)</f>
        <v>0</v>
      </c>
      <c r="E1594" s="35" t="str">
        <f>IFERROR(__xludf.DUMMYFUNCTION("""COMPUTED_VALUE"""),"Medium")</f>
        <v>Medium</v>
      </c>
      <c r="F1594" s="35">
        <f>IFERROR(__xludf.DUMMYFUNCTION("""COMPUTED_VALUE"""),534.0)</f>
        <v>534</v>
      </c>
      <c r="G1594" s="35">
        <f>IFERROR(__xludf.DUMMYFUNCTION("""COMPUTED_VALUE"""),23.0)</f>
        <v>23</v>
      </c>
      <c r="H1594" s="35" t="str">
        <f>IFERROR(__xludf.DUMMYFUNCTION("""COMPUTED_VALUE"""),"Algorithms")</f>
        <v>Algorithms</v>
      </c>
      <c r="I1594" s="35">
        <f>IFERROR(__xludf.DUMMYFUNCTION("""COMPUTED_VALUE"""),0.54)</f>
        <v>0.54</v>
      </c>
      <c r="J1594" s="35">
        <f>IFERROR(__xludf.DUMMYFUNCTION("""COMPUTED_VALUE"""),1593.0)</f>
        <v>1593</v>
      </c>
      <c r="K1594" s="35" t="b">
        <f>IFERROR(__xludf.DUMMYFUNCTION("""COMPUTED_VALUE"""),FALSE)</f>
        <v>0</v>
      </c>
      <c r="L1594" s="35" t="str">
        <f>IFERROR(__xludf.DUMMYFUNCTION("""COMPUTED_VALUE"""),"Hash Table;String;Backtracking;")</f>
        <v>Hash Table;String;Backtracking;</v>
      </c>
      <c r="M1594" s="35" t="b">
        <f>IFERROR(__xludf.DUMMYFUNCTION("""COMPUTED_VALUE"""),FALSE)</f>
        <v>0</v>
      </c>
      <c r="N1594" s="35" t="b">
        <f>IFERROR(__xludf.DUMMYFUNCTION("""COMPUTED_VALUE"""),FALSE)</f>
        <v>0</v>
      </c>
      <c r="O1594" s="35">
        <f>IFERROR(__xludf.DUMMYFUNCTION("""COMPUTED_VALUE"""),54.0219403686203)</f>
        <v>54.02194037</v>
      </c>
      <c r="P1594" s="35">
        <f>IFERROR(__xludf.DUMMYFUNCTION("""COMPUTED_VALUE"""),19550.0)</f>
        <v>19550</v>
      </c>
      <c r="Q1594" s="35">
        <f>IFERROR(__xludf.DUMMYFUNCTION("""COMPUTED_VALUE"""),36189.0)</f>
        <v>36189</v>
      </c>
    </row>
    <row r="1595">
      <c r="A1595" s="35">
        <f>IFERROR(__xludf.DUMMYFUNCTION("""COMPUTED_VALUE"""),1716.0)</f>
        <v>1716</v>
      </c>
      <c r="B1595" s="35" t="str">
        <f>IFERROR(__xludf.DUMMYFUNCTION("""COMPUTED_VALUE"""),"Maximum Non Negative Product in a Matrix")</f>
        <v>Maximum Non Negative Product in a Matrix</v>
      </c>
      <c r="C1595" s="35" t="str">
        <f>IFERROR(__xludf.DUMMYFUNCTION("""COMPUTED_VALUE"""),"maximum-non-negative-product-in-a-matrix")</f>
        <v>maximum-non-negative-product-in-a-matrix</v>
      </c>
      <c r="D1595" s="35" t="b">
        <f>IFERROR(__xludf.DUMMYFUNCTION("""COMPUTED_VALUE"""),FALSE)</f>
        <v>0</v>
      </c>
      <c r="E1595" s="35" t="str">
        <f>IFERROR(__xludf.DUMMYFUNCTION("""COMPUTED_VALUE"""),"Medium")</f>
        <v>Medium</v>
      </c>
      <c r="F1595" s="35">
        <f>IFERROR(__xludf.DUMMYFUNCTION("""COMPUTED_VALUE"""),499.0)</f>
        <v>499</v>
      </c>
      <c r="G1595" s="35">
        <f>IFERROR(__xludf.DUMMYFUNCTION("""COMPUTED_VALUE"""),22.0)</f>
        <v>22</v>
      </c>
      <c r="H1595" s="35" t="str">
        <f>IFERROR(__xludf.DUMMYFUNCTION("""COMPUTED_VALUE"""),"Algorithms")</f>
        <v>Algorithms</v>
      </c>
      <c r="I1595" s="35">
        <f>IFERROR(__xludf.DUMMYFUNCTION("""COMPUTED_VALUE"""),0.33)</f>
        <v>0.33</v>
      </c>
      <c r="J1595" s="35">
        <f>IFERROR(__xludf.DUMMYFUNCTION("""COMPUTED_VALUE"""),1594.0)</f>
        <v>1594</v>
      </c>
      <c r="K1595" s="35" t="b">
        <f>IFERROR(__xludf.DUMMYFUNCTION("""COMPUTED_VALUE"""),FALSE)</f>
        <v>0</v>
      </c>
      <c r="L1595" s="35" t="str">
        <f>IFERROR(__xludf.DUMMYFUNCTION("""COMPUTED_VALUE"""),"Array;Dynamic Programming;Matrix;")</f>
        <v>Array;Dynamic Programming;Matrix;</v>
      </c>
      <c r="M1595" s="35" t="b">
        <f>IFERROR(__xludf.DUMMYFUNCTION("""COMPUTED_VALUE"""),FALSE)</f>
        <v>0</v>
      </c>
      <c r="N1595" s="35" t="b">
        <f>IFERROR(__xludf.DUMMYFUNCTION("""COMPUTED_VALUE"""),FALSE)</f>
        <v>0</v>
      </c>
      <c r="O1595" s="35">
        <f>IFERROR(__xludf.DUMMYFUNCTION("""COMPUTED_VALUE"""),33.0058816168189)</f>
        <v>33.00588162</v>
      </c>
      <c r="P1595" s="35">
        <f>IFERROR(__xludf.DUMMYFUNCTION("""COMPUTED_VALUE"""),15825.0)</f>
        <v>15825</v>
      </c>
      <c r="Q1595" s="35">
        <f>IFERROR(__xludf.DUMMYFUNCTION("""COMPUTED_VALUE"""),47946.0)</f>
        <v>47946</v>
      </c>
    </row>
    <row r="1596">
      <c r="A1596" s="35">
        <f>IFERROR(__xludf.DUMMYFUNCTION("""COMPUTED_VALUE"""),1717.0)</f>
        <v>1717</v>
      </c>
      <c r="B1596" s="35" t="str">
        <f>IFERROR(__xludf.DUMMYFUNCTION("""COMPUTED_VALUE"""),"Minimum Cost to Connect Two Groups of Points")</f>
        <v>Minimum Cost to Connect Two Groups of Points</v>
      </c>
      <c r="C1596" s="35" t="str">
        <f>IFERROR(__xludf.DUMMYFUNCTION("""COMPUTED_VALUE"""),"minimum-cost-to-connect-two-groups-of-points")</f>
        <v>minimum-cost-to-connect-two-groups-of-points</v>
      </c>
      <c r="D1596" s="35" t="b">
        <f>IFERROR(__xludf.DUMMYFUNCTION("""COMPUTED_VALUE"""),FALSE)</f>
        <v>0</v>
      </c>
      <c r="E1596" s="35" t="str">
        <f>IFERROR(__xludf.DUMMYFUNCTION("""COMPUTED_VALUE"""),"Hard")</f>
        <v>Hard</v>
      </c>
      <c r="F1596" s="35">
        <f>IFERROR(__xludf.DUMMYFUNCTION("""COMPUTED_VALUE"""),312.0)</f>
        <v>312</v>
      </c>
      <c r="G1596" s="35">
        <f>IFERROR(__xludf.DUMMYFUNCTION("""COMPUTED_VALUE"""),11.0)</f>
        <v>11</v>
      </c>
      <c r="H1596" s="35" t="str">
        <f>IFERROR(__xludf.DUMMYFUNCTION("""COMPUTED_VALUE"""),"Algorithms")</f>
        <v>Algorithms</v>
      </c>
      <c r="I1596" s="35">
        <f>IFERROR(__xludf.DUMMYFUNCTION("""COMPUTED_VALUE"""),0.458)</f>
        <v>0.458</v>
      </c>
      <c r="J1596" s="35">
        <f>IFERROR(__xludf.DUMMYFUNCTION("""COMPUTED_VALUE"""),1595.0)</f>
        <v>1595</v>
      </c>
      <c r="K1596" s="35" t="b">
        <f>IFERROR(__xludf.DUMMYFUNCTION("""COMPUTED_VALUE"""),FALSE)</f>
        <v>0</v>
      </c>
      <c r="L1596" s="35" t="str">
        <f>IFERROR(__xludf.DUMMYFUNCTION("""COMPUTED_VALUE"""),"Array;Dynamic Programming;Bit Manipulation;Matrix;Bitmask;")</f>
        <v>Array;Dynamic Programming;Bit Manipulation;Matrix;Bitmask;</v>
      </c>
      <c r="M1596" s="35" t="b">
        <f>IFERROR(__xludf.DUMMYFUNCTION("""COMPUTED_VALUE"""),FALSE)</f>
        <v>0</v>
      </c>
      <c r="N1596" s="35" t="b">
        <f>IFERROR(__xludf.DUMMYFUNCTION("""COMPUTED_VALUE"""),FALSE)</f>
        <v>0</v>
      </c>
      <c r="O1596" s="35">
        <f>IFERROR(__xludf.DUMMYFUNCTION("""COMPUTED_VALUE"""),45.7582582582582)</f>
        <v>45.75825826</v>
      </c>
      <c r="P1596" s="35">
        <f>IFERROR(__xludf.DUMMYFUNCTION("""COMPUTED_VALUE"""),6095.0)</f>
        <v>6095</v>
      </c>
      <c r="Q1596" s="35">
        <f>IFERROR(__xludf.DUMMYFUNCTION("""COMPUTED_VALUE"""),13320.0)</f>
        <v>13320</v>
      </c>
    </row>
    <row r="1597">
      <c r="A1597" s="35">
        <f>IFERROR(__xludf.DUMMYFUNCTION("""COMPUTED_VALUE"""),1735.0)</f>
        <v>1735</v>
      </c>
      <c r="B1597" s="35" t="str">
        <f>IFERROR(__xludf.DUMMYFUNCTION("""COMPUTED_VALUE"""),"The Most Frequently Ordered Products for Each Customer")</f>
        <v>The Most Frequently Ordered Products for Each Customer</v>
      </c>
      <c r="C1597" s="35" t="str">
        <f>IFERROR(__xludf.DUMMYFUNCTION("""COMPUTED_VALUE"""),"the-most-frequently-ordered-products-for-each-customer")</f>
        <v>the-most-frequently-ordered-products-for-each-customer</v>
      </c>
      <c r="D1597" s="35" t="b">
        <f>IFERROR(__xludf.DUMMYFUNCTION("""COMPUTED_VALUE"""),TRUE)</f>
        <v>1</v>
      </c>
      <c r="E1597" s="35" t="str">
        <f>IFERROR(__xludf.DUMMYFUNCTION("""COMPUTED_VALUE"""),"Medium")</f>
        <v>Medium</v>
      </c>
      <c r="F1597" s="35">
        <f>IFERROR(__xludf.DUMMYFUNCTION("""COMPUTED_VALUE"""),147.0)</f>
        <v>147</v>
      </c>
      <c r="G1597" s="35">
        <f>IFERROR(__xludf.DUMMYFUNCTION("""COMPUTED_VALUE"""),12.0)</f>
        <v>12</v>
      </c>
      <c r="H1597" s="35" t="str">
        <f>IFERROR(__xludf.DUMMYFUNCTION("""COMPUTED_VALUE"""),"Database")</f>
        <v>Database</v>
      </c>
      <c r="I1597" s="35">
        <f>IFERROR(__xludf.DUMMYFUNCTION("""COMPUTED_VALUE"""),0.848)</f>
        <v>0.848</v>
      </c>
      <c r="J1597" s="35">
        <f>IFERROR(__xludf.DUMMYFUNCTION("""COMPUTED_VALUE"""),1596.0)</f>
        <v>1596</v>
      </c>
      <c r="K1597" s="35" t="b">
        <f>IFERROR(__xludf.DUMMYFUNCTION("""COMPUTED_VALUE"""),TRUE)</f>
        <v>1</v>
      </c>
      <c r="L1597" s="35" t="str">
        <f>IFERROR(__xludf.DUMMYFUNCTION("""COMPUTED_VALUE"""),"Database;")</f>
        <v>Database;</v>
      </c>
      <c r="M1597" s="35" t="b">
        <f>IFERROR(__xludf.DUMMYFUNCTION("""COMPUTED_VALUE"""),FALSE)</f>
        <v>0</v>
      </c>
      <c r="N1597" s="35" t="b">
        <f>IFERROR(__xludf.DUMMYFUNCTION("""COMPUTED_VALUE"""),FALSE)</f>
        <v>0</v>
      </c>
      <c r="O1597" s="35">
        <f>IFERROR(__xludf.DUMMYFUNCTION("""COMPUTED_VALUE"""),84.7737226277372)</f>
        <v>84.77372263</v>
      </c>
      <c r="P1597" s="35">
        <f>IFERROR(__xludf.DUMMYFUNCTION("""COMPUTED_VALUE"""),17421.0)</f>
        <v>17421</v>
      </c>
      <c r="Q1597" s="35">
        <f>IFERROR(__xludf.DUMMYFUNCTION("""COMPUTED_VALUE"""),20550.0)</f>
        <v>20550</v>
      </c>
    </row>
    <row r="1598">
      <c r="A1598" s="35">
        <f>IFERROR(__xludf.DUMMYFUNCTION("""COMPUTED_VALUE"""),1736.0)</f>
        <v>1736</v>
      </c>
      <c r="B1598" s="35" t="str">
        <f>IFERROR(__xludf.DUMMYFUNCTION("""COMPUTED_VALUE"""),"Build Binary Expression Tree From Infix Expression")</f>
        <v>Build Binary Expression Tree From Infix Expression</v>
      </c>
      <c r="C1598" s="35" t="str">
        <f>IFERROR(__xludf.DUMMYFUNCTION("""COMPUTED_VALUE"""),"build-binary-expression-tree-from-infix-expression")</f>
        <v>build-binary-expression-tree-from-infix-expression</v>
      </c>
      <c r="D1598" s="35" t="b">
        <f>IFERROR(__xludf.DUMMYFUNCTION("""COMPUTED_VALUE"""),TRUE)</f>
        <v>1</v>
      </c>
      <c r="E1598" s="35" t="str">
        <f>IFERROR(__xludf.DUMMYFUNCTION("""COMPUTED_VALUE"""),"Hard")</f>
        <v>Hard</v>
      </c>
      <c r="F1598" s="35">
        <f>IFERROR(__xludf.DUMMYFUNCTION("""COMPUTED_VALUE"""),133.0)</f>
        <v>133</v>
      </c>
      <c r="G1598" s="35">
        <f>IFERROR(__xludf.DUMMYFUNCTION("""COMPUTED_VALUE"""),26.0)</f>
        <v>26</v>
      </c>
      <c r="H1598" s="35" t="str">
        <f>IFERROR(__xludf.DUMMYFUNCTION("""COMPUTED_VALUE"""),"Algorithms")</f>
        <v>Algorithms</v>
      </c>
      <c r="I1598" s="35">
        <f>IFERROR(__xludf.DUMMYFUNCTION("""COMPUTED_VALUE"""),0.595)</f>
        <v>0.595</v>
      </c>
      <c r="J1598" s="35">
        <f>IFERROR(__xludf.DUMMYFUNCTION("""COMPUTED_VALUE"""),1597.0)</f>
        <v>1597</v>
      </c>
      <c r="K1598" s="35" t="b">
        <f>IFERROR(__xludf.DUMMYFUNCTION("""COMPUTED_VALUE"""),TRUE)</f>
        <v>1</v>
      </c>
      <c r="L1598" s="35" t="str">
        <f>IFERROR(__xludf.DUMMYFUNCTION("""COMPUTED_VALUE"""),"String;Stack;Tree;Binary Tree;")</f>
        <v>String;Stack;Tree;Binary Tree;</v>
      </c>
      <c r="M1598" s="35" t="b">
        <f>IFERROR(__xludf.DUMMYFUNCTION("""COMPUTED_VALUE"""),FALSE)</f>
        <v>0</v>
      </c>
      <c r="N1598" s="35" t="b">
        <f>IFERROR(__xludf.DUMMYFUNCTION("""COMPUTED_VALUE"""),FALSE)</f>
        <v>0</v>
      </c>
      <c r="O1598" s="35">
        <f>IFERROR(__xludf.DUMMYFUNCTION("""COMPUTED_VALUE"""),59.5398923152227)</f>
        <v>59.53989232</v>
      </c>
      <c r="P1598" s="35">
        <f>IFERROR(__xludf.DUMMYFUNCTION("""COMPUTED_VALUE"""),6082.0)</f>
        <v>6082</v>
      </c>
      <c r="Q1598" s="35">
        <f>IFERROR(__xludf.DUMMYFUNCTION("""COMPUTED_VALUE"""),10215.0)</f>
        <v>10215</v>
      </c>
    </row>
    <row r="1599">
      <c r="A1599" s="35">
        <f>IFERROR(__xludf.DUMMYFUNCTION("""COMPUTED_VALUE"""),1720.0)</f>
        <v>1720</v>
      </c>
      <c r="B1599" s="35" t="str">
        <f>IFERROR(__xludf.DUMMYFUNCTION("""COMPUTED_VALUE"""),"Crawler Log Folder")</f>
        <v>Crawler Log Folder</v>
      </c>
      <c r="C1599" s="35" t="str">
        <f>IFERROR(__xludf.DUMMYFUNCTION("""COMPUTED_VALUE"""),"crawler-log-folder")</f>
        <v>crawler-log-folder</v>
      </c>
      <c r="D1599" s="35" t="b">
        <f>IFERROR(__xludf.DUMMYFUNCTION("""COMPUTED_VALUE"""),FALSE)</f>
        <v>0</v>
      </c>
      <c r="E1599" s="35" t="str">
        <f>IFERROR(__xludf.DUMMYFUNCTION("""COMPUTED_VALUE"""),"Easy")</f>
        <v>Easy</v>
      </c>
      <c r="F1599" s="35">
        <f>IFERROR(__xludf.DUMMYFUNCTION("""COMPUTED_VALUE"""),452.0)</f>
        <v>452</v>
      </c>
      <c r="G1599" s="35">
        <f>IFERROR(__xludf.DUMMYFUNCTION("""COMPUTED_VALUE"""),34.0)</f>
        <v>34</v>
      </c>
      <c r="H1599" s="35" t="str">
        <f>IFERROR(__xludf.DUMMYFUNCTION("""COMPUTED_VALUE"""),"Algorithms")</f>
        <v>Algorithms</v>
      </c>
      <c r="I1599" s="35">
        <f>IFERROR(__xludf.DUMMYFUNCTION("""COMPUTED_VALUE"""),0.642)</f>
        <v>0.642</v>
      </c>
      <c r="J1599" s="35">
        <f>IFERROR(__xludf.DUMMYFUNCTION("""COMPUTED_VALUE"""),1598.0)</f>
        <v>1598</v>
      </c>
      <c r="K1599" s="35" t="b">
        <f>IFERROR(__xludf.DUMMYFUNCTION("""COMPUTED_VALUE"""),FALSE)</f>
        <v>0</v>
      </c>
      <c r="L1599" s="35" t="str">
        <f>IFERROR(__xludf.DUMMYFUNCTION("""COMPUTED_VALUE"""),"Array;String;Stack;")</f>
        <v>Array;String;Stack;</v>
      </c>
      <c r="M1599" s="35" t="b">
        <f>IFERROR(__xludf.DUMMYFUNCTION("""COMPUTED_VALUE"""),FALSE)</f>
        <v>0</v>
      </c>
      <c r="N1599" s="35" t="b">
        <f>IFERROR(__xludf.DUMMYFUNCTION("""COMPUTED_VALUE"""),FALSE)</f>
        <v>0</v>
      </c>
      <c r="O1599" s="35">
        <f>IFERROR(__xludf.DUMMYFUNCTION("""COMPUTED_VALUE"""),64.1845930734436)</f>
        <v>64.18459307</v>
      </c>
      <c r="P1599" s="35">
        <f>IFERROR(__xludf.DUMMYFUNCTION("""COMPUTED_VALUE"""),37177.0)</f>
        <v>37177</v>
      </c>
      <c r="Q1599" s="35">
        <f>IFERROR(__xludf.DUMMYFUNCTION("""COMPUTED_VALUE"""),57922.0)</f>
        <v>57922</v>
      </c>
    </row>
    <row r="1600">
      <c r="A1600" s="35">
        <f>IFERROR(__xludf.DUMMYFUNCTION("""COMPUTED_VALUE"""),1721.0)</f>
        <v>1721</v>
      </c>
      <c r="B1600" s="35" t="str">
        <f>IFERROR(__xludf.DUMMYFUNCTION("""COMPUTED_VALUE"""),"Maximum Profit of Operating a Centennial Wheel")</f>
        <v>Maximum Profit of Operating a Centennial Wheel</v>
      </c>
      <c r="C1600" s="35" t="str">
        <f>IFERROR(__xludf.DUMMYFUNCTION("""COMPUTED_VALUE"""),"maximum-profit-of-operating-a-centennial-wheel")</f>
        <v>maximum-profit-of-operating-a-centennial-wheel</v>
      </c>
      <c r="D1600" s="35" t="b">
        <f>IFERROR(__xludf.DUMMYFUNCTION("""COMPUTED_VALUE"""),FALSE)</f>
        <v>0</v>
      </c>
      <c r="E1600" s="35" t="str">
        <f>IFERROR(__xludf.DUMMYFUNCTION("""COMPUTED_VALUE"""),"Medium")</f>
        <v>Medium</v>
      </c>
      <c r="F1600" s="35">
        <f>IFERROR(__xludf.DUMMYFUNCTION("""COMPUTED_VALUE"""),67.0)</f>
        <v>67</v>
      </c>
      <c r="G1600" s="35">
        <f>IFERROR(__xludf.DUMMYFUNCTION("""COMPUTED_VALUE"""),206.0)</f>
        <v>206</v>
      </c>
      <c r="H1600" s="35" t="str">
        <f>IFERROR(__xludf.DUMMYFUNCTION("""COMPUTED_VALUE"""),"Algorithms")</f>
        <v>Algorithms</v>
      </c>
      <c r="I1600" s="35">
        <f>IFERROR(__xludf.DUMMYFUNCTION("""COMPUTED_VALUE"""),0.439)</f>
        <v>0.439</v>
      </c>
      <c r="J1600" s="35">
        <f>IFERROR(__xludf.DUMMYFUNCTION("""COMPUTED_VALUE"""),1599.0)</f>
        <v>1599</v>
      </c>
      <c r="K1600" s="35" t="b">
        <f>IFERROR(__xludf.DUMMYFUNCTION("""COMPUTED_VALUE"""),FALSE)</f>
        <v>0</v>
      </c>
      <c r="L1600" s="35" t="str">
        <f>IFERROR(__xludf.DUMMYFUNCTION("""COMPUTED_VALUE"""),"Array;Simulation;")</f>
        <v>Array;Simulation;</v>
      </c>
      <c r="M1600" s="35" t="b">
        <f>IFERROR(__xludf.DUMMYFUNCTION("""COMPUTED_VALUE"""),FALSE)</f>
        <v>0</v>
      </c>
      <c r="N1600" s="35" t="b">
        <f>IFERROR(__xludf.DUMMYFUNCTION("""COMPUTED_VALUE"""),FALSE)</f>
        <v>0</v>
      </c>
      <c r="O1600" s="35">
        <f>IFERROR(__xludf.DUMMYFUNCTION("""COMPUTED_VALUE"""),43.9379288115301)</f>
        <v>43.93792881</v>
      </c>
      <c r="P1600" s="35">
        <f>IFERROR(__xludf.DUMMYFUNCTION("""COMPUTED_VALUE"""),9542.0)</f>
        <v>9542</v>
      </c>
      <c r="Q1600" s="35">
        <f>IFERROR(__xludf.DUMMYFUNCTION("""COMPUTED_VALUE"""),21717.0)</f>
        <v>21717</v>
      </c>
    </row>
    <row r="1601">
      <c r="A1601" s="35">
        <f>IFERROR(__xludf.DUMMYFUNCTION("""COMPUTED_VALUE"""),1722.0)</f>
        <v>1722</v>
      </c>
      <c r="B1601" s="35" t="str">
        <f>IFERROR(__xludf.DUMMYFUNCTION("""COMPUTED_VALUE"""),"Throne Inheritance")</f>
        <v>Throne Inheritance</v>
      </c>
      <c r="C1601" s="35" t="str">
        <f>IFERROR(__xludf.DUMMYFUNCTION("""COMPUTED_VALUE"""),"throne-inheritance")</f>
        <v>throne-inheritance</v>
      </c>
      <c r="D1601" s="35" t="b">
        <f>IFERROR(__xludf.DUMMYFUNCTION("""COMPUTED_VALUE"""),FALSE)</f>
        <v>0</v>
      </c>
      <c r="E1601" s="35" t="str">
        <f>IFERROR(__xludf.DUMMYFUNCTION("""COMPUTED_VALUE"""),"Medium")</f>
        <v>Medium</v>
      </c>
      <c r="F1601" s="35">
        <f>IFERROR(__xludf.DUMMYFUNCTION("""COMPUTED_VALUE"""),172.0)</f>
        <v>172</v>
      </c>
      <c r="G1601" s="35">
        <f>IFERROR(__xludf.DUMMYFUNCTION("""COMPUTED_VALUE"""),227.0)</f>
        <v>227</v>
      </c>
      <c r="H1601" s="35" t="str">
        <f>IFERROR(__xludf.DUMMYFUNCTION("""COMPUTED_VALUE"""),"Algorithms")</f>
        <v>Algorithms</v>
      </c>
      <c r="I1601" s="35">
        <f>IFERROR(__xludf.DUMMYFUNCTION("""COMPUTED_VALUE"""),0.629)</f>
        <v>0.629</v>
      </c>
      <c r="J1601" s="35">
        <f>IFERROR(__xludf.DUMMYFUNCTION("""COMPUTED_VALUE"""),1600.0)</f>
        <v>1600</v>
      </c>
      <c r="K1601" s="35" t="b">
        <f>IFERROR(__xludf.DUMMYFUNCTION("""COMPUTED_VALUE"""),FALSE)</f>
        <v>0</v>
      </c>
      <c r="L1601" s="35" t="str">
        <f>IFERROR(__xludf.DUMMYFUNCTION("""COMPUTED_VALUE"""),"Hash Table;Tree;Depth-First Search;Design;")</f>
        <v>Hash Table;Tree;Depth-First Search;Design;</v>
      </c>
      <c r="M1601" s="35" t="b">
        <f>IFERROR(__xludf.DUMMYFUNCTION("""COMPUTED_VALUE"""),FALSE)</f>
        <v>0</v>
      </c>
      <c r="N1601" s="35" t="b">
        <f>IFERROR(__xludf.DUMMYFUNCTION("""COMPUTED_VALUE"""),FALSE)</f>
        <v>0</v>
      </c>
      <c r="O1601" s="35">
        <f>IFERROR(__xludf.DUMMYFUNCTION("""COMPUTED_VALUE"""),62.9074791000392)</f>
        <v>62.9074791</v>
      </c>
      <c r="P1601" s="35">
        <f>IFERROR(__xludf.DUMMYFUNCTION("""COMPUTED_VALUE"""),11212.0)</f>
        <v>11212</v>
      </c>
      <c r="Q1601" s="35">
        <f>IFERROR(__xludf.DUMMYFUNCTION("""COMPUTED_VALUE"""),17823.0)</f>
        <v>17823</v>
      </c>
    </row>
    <row r="1602">
      <c r="A1602" s="35">
        <f>IFERROR(__xludf.DUMMYFUNCTION("""COMPUTED_VALUE"""),1723.0)</f>
        <v>1723</v>
      </c>
      <c r="B1602" s="35" t="str">
        <f>IFERROR(__xludf.DUMMYFUNCTION("""COMPUTED_VALUE"""),"Maximum Number of Achievable Transfer Requests")</f>
        <v>Maximum Number of Achievable Transfer Requests</v>
      </c>
      <c r="C1602" s="35" t="str">
        <f>IFERROR(__xludf.DUMMYFUNCTION("""COMPUTED_VALUE"""),"maximum-number-of-achievable-transfer-requests")</f>
        <v>maximum-number-of-achievable-transfer-requests</v>
      </c>
      <c r="D1602" s="35" t="b">
        <f>IFERROR(__xludf.DUMMYFUNCTION("""COMPUTED_VALUE"""),FALSE)</f>
        <v>0</v>
      </c>
      <c r="E1602" s="35" t="str">
        <f>IFERROR(__xludf.DUMMYFUNCTION("""COMPUTED_VALUE"""),"Hard")</f>
        <v>Hard</v>
      </c>
      <c r="F1602" s="35">
        <f>IFERROR(__xludf.DUMMYFUNCTION("""COMPUTED_VALUE"""),212.0)</f>
        <v>212</v>
      </c>
      <c r="G1602" s="35">
        <f>IFERROR(__xludf.DUMMYFUNCTION("""COMPUTED_VALUE"""),26.0)</f>
        <v>26</v>
      </c>
      <c r="H1602" s="35" t="str">
        <f>IFERROR(__xludf.DUMMYFUNCTION("""COMPUTED_VALUE"""),"Algorithms")</f>
        <v>Algorithms</v>
      </c>
      <c r="I1602" s="35">
        <f>IFERROR(__xludf.DUMMYFUNCTION("""COMPUTED_VALUE"""),0.507)</f>
        <v>0.507</v>
      </c>
      <c r="J1602" s="35">
        <f>IFERROR(__xludf.DUMMYFUNCTION("""COMPUTED_VALUE"""),1601.0)</f>
        <v>1601</v>
      </c>
      <c r="K1602" s="35" t="b">
        <f>IFERROR(__xludf.DUMMYFUNCTION("""COMPUTED_VALUE"""),FALSE)</f>
        <v>0</v>
      </c>
      <c r="L1602" s="35" t="str">
        <f>IFERROR(__xludf.DUMMYFUNCTION("""COMPUTED_VALUE"""),"Array;Backtracking;Bit Manipulation;Enumeration;")</f>
        <v>Array;Backtracking;Bit Manipulation;Enumeration;</v>
      </c>
      <c r="M1602" s="35" t="b">
        <f>IFERROR(__xludf.DUMMYFUNCTION("""COMPUTED_VALUE"""),FALSE)</f>
        <v>0</v>
      </c>
      <c r="N1602" s="35" t="b">
        <f>IFERROR(__xludf.DUMMYFUNCTION("""COMPUTED_VALUE"""),FALSE)</f>
        <v>0</v>
      </c>
      <c r="O1602" s="35">
        <f>IFERROR(__xludf.DUMMYFUNCTION("""COMPUTED_VALUE"""),50.6540458818116)</f>
        <v>50.65404588</v>
      </c>
      <c r="P1602" s="35">
        <f>IFERROR(__xludf.DUMMYFUNCTION("""COMPUTED_VALUE"""),7706.0)</f>
        <v>7706</v>
      </c>
      <c r="Q1602" s="35">
        <f>IFERROR(__xludf.DUMMYFUNCTION("""COMPUTED_VALUE"""),15213.0)</f>
        <v>15213</v>
      </c>
    </row>
    <row r="1603">
      <c r="A1603" s="35">
        <f>IFERROR(__xludf.DUMMYFUNCTION("""COMPUTED_VALUE"""),1745.0)</f>
        <v>1745</v>
      </c>
      <c r="B1603" s="35" t="str">
        <f>IFERROR(__xludf.DUMMYFUNCTION("""COMPUTED_VALUE"""),"Find Nearest Right Node in Binary Tree")</f>
        <v>Find Nearest Right Node in Binary Tree</v>
      </c>
      <c r="C1603" s="35" t="str">
        <f>IFERROR(__xludf.DUMMYFUNCTION("""COMPUTED_VALUE"""),"find-nearest-right-node-in-binary-tree")</f>
        <v>find-nearest-right-node-in-binary-tree</v>
      </c>
      <c r="D1603" s="35" t="b">
        <f>IFERROR(__xludf.DUMMYFUNCTION("""COMPUTED_VALUE"""),TRUE)</f>
        <v>1</v>
      </c>
      <c r="E1603" s="35" t="str">
        <f>IFERROR(__xludf.DUMMYFUNCTION("""COMPUTED_VALUE"""),"Medium")</f>
        <v>Medium</v>
      </c>
      <c r="F1603" s="35">
        <f>IFERROR(__xludf.DUMMYFUNCTION("""COMPUTED_VALUE"""),254.0)</f>
        <v>254</v>
      </c>
      <c r="G1603" s="35">
        <f>IFERROR(__xludf.DUMMYFUNCTION("""COMPUTED_VALUE"""),9.0)</f>
        <v>9</v>
      </c>
      <c r="H1603" s="35" t="str">
        <f>IFERROR(__xludf.DUMMYFUNCTION("""COMPUTED_VALUE"""),"Algorithms")</f>
        <v>Algorithms</v>
      </c>
      <c r="I1603" s="35">
        <f>IFERROR(__xludf.DUMMYFUNCTION("""COMPUTED_VALUE"""),0.753)</f>
        <v>0.753</v>
      </c>
      <c r="J1603" s="35">
        <f>IFERROR(__xludf.DUMMYFUNCTION("""COMPUTED_VALUE"""),1602.0)</f>
        <v>1602</v>
      </c>
      <c r="K1603" s="35" t="b">
        <f>IFERROR(__xludf.DUMMYFUNCTION("""COMPUTED_VALUE"""),TRUE)</f>
        <v>1</v>
      </c>
      <c r="L1603" s="35" t="str">
        <f>IFERROR(__xludf.DUMMYFUNCTION("""COMPUTED_VALUE"""),"Tree;Breadth-First Search;Binary Tree;")</f>
        <v>Tree;Breadth-First Search;Binary Tree;</v>
      </c>
      <c r="M1603" s="35" t="b">
        <f>IFERROR(__xludf.DUMMYFUNCTION("""COMPUTED_VALUE"""),TRUE)</f>
        <v>1</v>
      </c>
      <c r="N1603" s="35" t="b">
        <f>IFERROR(__xludf.DUMMYFUNCTION("""COMPUTED_VALUE"""),TRUE)</f>
        <v>1</v>
      </c>
      <c r="O1603" s="35">
        <f>IFERROR(__xludf.DUMMYFUNCTION("""COMPUTED_VALUE"""),75.279656331079)</f>
        <v>75.27965633</v>
      </c>
      <c r="P1603" s="35">
        <f>IFERROR(__xludf.DUMMYFUNCTION("""COMPUTED_VALUE"""),17699.0)</f>
        <v>17699</v>
      </c>
      <c r="Q1603" s="35">
        <f>IFERROR(__xludf.DUMMYFUNCTION("""COMPUTED_VALUE"""),23511.0)</f>
        <v>23511</v>
      </c>
    </row>
    <row r="1604">
      <c r="A1604" s="35">
        <f>IFERROR(__xludf.DUMMYFUNCTION("""COMPUTED_VALUE"""),1708.0)</f>
        <v>1708</v>
      </c>
      <c r="B1604" s="35" t="str">
        <f>IFERROR(__xludf.DUMMYFUNCTION("""COMPUTED_VALUE"""),"Design Parking System")</f>
        <v>Design Parking System</v>
      </c>
      <c r="C1604" s="35" t="str">
        <f>IFERROR(__xludf.DUMMYFUNCTION("""COMPUTED_VALUE"""),"design-parking-system")</f>
        <v>design-parking-system</v>
      </c>
      <c r="D1604" s="35" t="b">
        <f>IFERROR(__xludf.DUMMYFUNCTION("""COMPUTED_VALUE"""),FALSE)</f>
        <v>0</v>
      </c>
      <c r="E1604" s="35" t="str">
        <f>IFERROR(__xludf.DUMMYFUNCTION("""COMPUTED_VALUE"""),"Easy")</f>
        <v>Easy</v>
      </c>
      <c r="F1604" s="35">
        <f>IFERROR(__xludf.DUMMYFUNCTION("""COMPUTED_VALUE"""),582.0)</f>
        <v>582</v>
      </c>
      <c r="G1604" s="35">
        <f>IFERROR(__xludf.DUMMYFUNCTION("""COMPUTED_VALUE"""),267.0)</f>
        <v>267</v>
      </c>
      <c r="H1604" s="35" t="str">
        <f>IFERROR(__xludf.DUMMYFUNCTION("""COMPUTED_VALUE"""),"Algorithms")</f>
        <v>Algorithms</v>
      </c>
      <c r="I1604" s="35">
        <f>IFERROR(__xludf.DUMMYFUNCTION("""COMPUTED_VALUE"""),0.873)</f>
        <v>0.873</v>
      </c>
      <c r="J1604" s="35">
        <f>IFERROR(__xludf.DUMMYFUNCTION("""COMPUTED_VALUE"""),1603.0)</f>
        <v>1603</v>
      </c>
      <c r="K1604" s="35" t="b">
        <f>IFERROR(__xludf.DUMMYFUNCTION("""COMPUTED_VALUE"""),FALSE)</f>
        <v>0</v>
      </c>
      <c r="L1604" s="35" t="str">
        <f>IFERROR(__xludf.DUMMYFUNCTION("""COMPUTED_VALUE"""),"Design;Simulation;Counting;")</f>
        <v>Design;Simulation;Counting;</v>
      </c>
      <c r="M1604" s="35" t="b">
        <f>IFERROR(__xludf.DUMMYFUNCTION("""COMPUTED_VALUE"""),FALSE)</f>
        <v>0</v>
      </c>
      <c r="N1604" s="35" t="b">
        <f>IFERROR(__xludf.DUMMYFUNCTION("""COMPUTED_VALUE"""),FALSE)</f>
        <v>0</v>
      </c>
      <c r="O1604" s="35">
        <f>IFERROR(__xludf.DUMMYFUNCTION("""COMPUTED_VALUE"""),87.3232224714717)</f>
        <v>87.32322247</v>
      </c>
      <c r="P1604" s="35">
        <f>IFERROR(__xludf.DUMMYFUNCTION("""COMPUTED_VALUE"""),107437.0)</f>
        <v>107437</v>
      </c>
      <c r="Q1604" s="35">
        <f>IFERROR(__xludf.DUMMYFUNCTION("""COMPUTED_VALUE"""),123033.0)</f>
        <v>123033</v>
      </c>
    </row>
    <row r="1605">
      <c r="A1605" s="35">
        <f>IFERROR(__xludf.DUMMYFUNCTION("""COMPUTED_VALUE"""),1709.0)</f>
        <v>1709</v>
      </c>
      <c r="B1605" s="35" t="str">
        <f>IFERROR(__xludf.DUMMYFUNCTION("""COMPUTED_VALUE"""),"Alert Using Same Key-Card Three or More Times in a One Hour Period")</f>
        <v>Alert Using Same Key-Card Three or More Times in a One Hour Period</v>
      </c>
      <c r="C1605" s="35" t="str">
        <f>IFERROR(__xludf.DUMMYFUNCTION("""COMPUTED_VALUE"""),"alert-using-same-key-card-three-or-more-times-in-a-one-hour-period")</f>
        <v>alert-using-same-key-card-three-or-more-times-in-a-one-hour-period</v>
      </c>
      <c r="D1605" s="35" t="b">
        <f>IFERROR(__xludf.DUMMYFUNCTION("""COMPUTED_VALUE"""),FALSE)</f>
        <v>0</v>
      </c>
      <c r="E1605" s="35" t="str">
        <f>IFERROR(__xludf.DUMMYFUNCTION("""COMPUTED_VALUE"""),"Medium")</f>
        <v>Medium</v>
      </c>
      <c r="F1605" s="35">
        <f>IFERROR(__xludf.DUMMYFUNCTION("""COMPUTED_VALUE"""),163.0)</f>
        <v>163</v>
      </c>
      <c r="G1605" s="35">
        <f>IFERROR(__xludf.DUMMYFUNCTION("""COMPUTED_VALUE"""),257.0)</f>
        <v>257</v>
      </c>
      <c r="H1605" s="35" t="str">
        <f>IFERROR(__xludf.DUMMYFUNCTION("""COMPUTED_VALUE"""),"Algorithms")</f>
        <v>Algorithms</v>
      </c>
      <c r="I1605" s="35">
        <f>IFERROR(__xludf.DUMMYFUNCTION("""COMPUTED_VALUE"""),0.471)</f>
        <v>0.471</v>
      </c>
      <c r="J1605" s="35">
        <f>IFERROR(__xludf.DUMMYFUNCTION("""COMPUTED_VALUE"""),1604.0)</f>
        <v>1604</v>
      </c>
      <c r="K1605" s="35" t="b">
        <f>IFERROR(__xludf.DUMMYFUNCTION("""COMPUTED_VALUE"""),FALSE)</f>
        <v>0</v>
      </c>
      <c r="L1605" s="35" t="str">
        <f>IFERROR(__xludf.DUMMYFUNCTION("""COMPUTED_VALUE"""),"Array;Hash Table;String;Sorting;")</f>
        <v>Array;Hash Table;String;Sorting;</v>
      </c>
      <c r="M1605" s="35" t="b">
        <f>IFERROR(__xludf.DUMMYFUNCTION("""COMPUTED_VALUE"""),FALSE)</f>
        <v>0</v>
      </c>
      <c r="N1605" s="35" t="b">
        <f>IFERROR(__xludf.DUMMYFUNCTION("""COMPUTED_VALUE"""),FALSE)</f>
        <v>0</v>
      </c>
      <c r="O1605" s="35">
        <f>IFERROR(__xludf.DUMMYFUNCTION("""COMPUTED_VALUE"""),47.1164223105472)</f>
        <v>47.11642231</v>
      </c>
      <c r="P1605" s="35">
        <f>IFERROR(__xludf.DUMMYFUNCTION("""COMPUTED_VALUE"""),17900.0)</f>
        <v>17900</v>
      </c>
      <c r="Q1605" s="35">
        <f>IFERROR(__xludf.DUMMYFUNCTION("""COMPUTED_VALUE"""),37991.0)</f>
        <v>37991</v>
      </c>
    </row>
    <row r="1606">
      <c r="A1606" s="35">
        <f>IFERROR(__xludf.DUMMYFUNCTION("""COMPUTED_VALUE"""),1711.0)</f>
        <v>1711</v>
      </c>
      <c r="B1606" s="35" t="str">
        <f>IFERROR(__xludf.DUMMYFUNCTION("""COMPUTED_VALUE"""),"Find Valid Matrix Given Row and Column Sums")</f>
        <v>Find Valid Matrix Given Row and Column Sums</v>
      </c>
      <c r="C1606" s="35" t="str">
        <f>IFERROR(__xludf.DUMMYFUNCTION("""COMPUTED_VALUE"""),"find-valid-matrix-given-row-and-column-sums")</f>
        <v>find-valid-matrix-given-row-and-column-sums</v>
      </c>
      <c r="D1606" s="35" t="b">
        <f>IFERROR(__xludf.DUMMYFUNCTION("""COMPUTED_VALUE"""),FALSE)</f>
        <v>0</v>
      </c>
      <c r="E1606" s="35" t="str">
        <f>IFERROR(__xludf.DUMMYFUNCTION("""COMPUTED_VALUE"""),"Medium")</f>
        <v>Medium</v>
      </c>
      <c r="F1606" s="35">
        <f>IFERROR(__xludf.DUMMYFUNCTION("""COMPUTED_VALUE"""),844.0)</f>
        <v>844</v>
      </c>
      <c r="G1606" s="35">
        <f>IFERROR(__xludf.DUMMYFUNCTION("""COMPUTED_VALUE"""),26.0)</f>
        <v>26</v>
      </c>
      <c r="H1606" s="35" t="str">
        <f>IFERROR(__xludf.DUMMYFUNCTION("""COMPUTED_VALUE"""),"Algorithms")</f>
        <v>Algorithms</v>
      </c>
      <c r="I1606" s="35">
        <f>IFERROR(__xludf.DUMMYFUNCTION("""COMPUTED_VALUE"""),0.785)</f>
        <v>0.785</v>
      </c>
      <c r="J1606" s="35">
        <f>IFERROR(__xludf.DUMMYFUNCTION("""COMPUTED_VALUE"""),1605.0)</f>
        <v>1605</v>
      </c>
      <c r="K1606" s="35" t="b">
        <f>IFERROR(__xludf.DUMMYFUNCTION("""COMPUTED_VALUE"""),FALSE)</f>
        <v>0</v>
      </c>
      <c r="L1606" s="35" t="str">
        <f>IFERROR(__xludf.DUMMYFUNCTION("""COMPUTED_VALUE"""),"Array;Greedy;Matrix;")</f>
        <v>Array;Greedy;Matrix;</v>
      </c>
      <c r="M1606" s="35" t="b">
        <f>IFERROR(__xludf.DUMMYFUNCTION("""COMPUTED_VALUE"""),FALSE)</f>
        <v>0</v>
      </c>
      <c r="N1606" s="35" t="b">
        <f>IFERROR(__xludf.DUMMYFUNCTION("""COMPUTED_VALUE"""),FALSE)</f>
        <v>0</v>
      </c>
      <c r="O1606" s="35">
        <f>IFERROR(__xludf.DUMMYFUNCTION("""COMPUTED_VALUE"""),78.4626992979463)</f>
        <v>78.4626993</v>
      </c>
      <c r="P1606" s="35">
        <f>IFERROR(__xludf.DUMMYFUNCTION("""COMPUTED_VALUE"""),23917.0)</f>
        <v>23917</v>
      </c>
      <c r="Q1606" s="35">
        <f>IFERROR(__xludf.DUMMYFUNCTION("""COMPUTED_VALUE"""),30482.0)</f>
        <v>30482</v>
      </c>
    </row>
    <row r="1607">
      <c r="A1607" s="35">
        <f>IFERROR(__xludf.DUMMYFUNCTION("""COMPUTED_VALUE"""),1710.0)</f>
        <v>1710</v>
      </c>
      <c r="B1607" s="35" t="str">
        <f>IFERROR(__xludf.DUMMYFUNCTION("""COMPUTED_VALUE"""),"Find Servers That Handled Most Number of Requests")</f>
        <v>Find Servers That Handled Most Number of Requests</v>
      </c>
      <c r="C1607" s="35" t="str">
        <f>IFERROR(__xludf.DUMMYFUNCTION("""COMPUTED_VALUE"""),"find-servers-that-handled-most-number-of-requests")</f>
        <v>find-servers-that-handled-most-number-of-requests</v>
      </c>
      <c r="D1607" s="35" t="b">
        <f>IFERROR(__xludf.DUMMYFUNCTION("""COMPUTED_VALUE"""),FALSE)</f>
        <v>0</v>
      </c>
      <c r="E1607" s="35" t="str">
        <f>IFERROR(__xludf.DUMMYFUNCTION("""COMPUTED_VALUE"""),"Hard")</f>
        <v>Hard</v>
      </c>
      <c r="F1607" s="35">
        <f>IFERROR(__xludf.DUMMYFUNCTION("""COMPUTED_VALUE"""),288.0)</f>
        <v>288</v>
      </c>
      <c r="G1607" s="35">
        <f>IFERROR(__xludf.DUMMYFUNCTION("""COMPUTED_VALUE"""),11.0)</f>
        <v>11</v>
      </c>
      <c r="H1607" s="35" t="str">
        <f>IFERROR(__xludf.DUMMYFUNCTION("""COMPUTED_VALUE"""),"Algorithms")</f>
        <v>Algorithms</v>
      </c>
      <c r="I1607" s="35">
        <f>IFERROR(__xludf.DUMMYFUNCTION("""COMPUTED_VALUE"""),0.405)</f>
        <v>0.405</v>
      </c>
      <c r="J1607" s="35">
        <f>IFERROR(__xludf.DUMMYFUNCTION("""COMPUTED_VALUE"""),1606.0)</f>
        <v>1606</v>
      </c>
      <c r="K1607" s="35" t="b">
        <f>IFERROR(__xludf.DUMMYFUNCTION("""COMPUTED_VALUE"""),FALSE)</f>
        <v>0</v>
      </c>
      <c r="L1607" s="35" t="str">
        <f>IFERROR(__xludf.DUMMYFUNCTION("""COMPUTED_VALUE"""),"Array;Greedy;Heap (Priority Queue);Ordered Set;")</f>
        <v>Array;Greedy;Heap (Priority Queue);Ordered Set;</v>
      </c>
      <c r="M1607" s="35" t="b">
        <f>IFERROR(__xludf.DUMMYFUNCTION("""COMPUTED_VALUE"""),FALSE)</f>
        <v>0</v>
      </c>
      <c r="N1607" s="35" t="b">
        <f>IFERROR(__xludf.DUMMYFUNCTION("""COMPUTED_VALUE"""),FALSE)</f>
        <v>0</v>
      </c>
      <c r="O1607" s="35">
        <f>IFERROR(__xludf.DUMMYFUNCTION("""COMPUTED_VALUE"""),40.4843872682249)</f>
        <v>40.48438727</v>
      </c>
      <c r="P1607" s="35">
        <f>IFERROR(__xludf.DUMMYFUNCTION("""COMPUTED_VALUE"""),6703.0)</f>
        <v>6703</v>
      </c>
      <c r="Q1607" s="35">
        <f>IFERROR(__xludf.DUMMYFUNCTION("""COMPUTED_VALUE"""),16557.0)</f>
        <v>16557</v>
      </c>
    </row>
    <row r="1608">
      <c r="A1608" s="35">
        <f>IFERROR(__xludf.DUMMYFUNCTION("""COMPUTED_VALUE"""),1749.0)</f>
        <v>1749</v>
      </c>
      <c r="B1608" s="35" t="str">
        <f>IFERROR(__xludf.DUMMYFUNCTION("""COMPUTED_VALUE"""),"Sellers With No Sales")</f>
        <v>Sellers With No Sales</v>
      </c>
      <c r="C1608" s="35" t="str">
        <f>IFERROR(__xludf.DUMMYFUNCTION("""COMPUTED_VALUE"""),"sellers-with-no-sales")</f>
        <v>sellers-with-no-sales</v>
      </c>
      <c r="D1608" s="35" t="b">
        <f>IFERROR(__xludf.DUMMYFUNCTION("""COMPUTED_VALUE"""),TRUE)</f>
        <v>1</v>
      </c>
      <c r="E1608" s="35" t="str">
        <f>IFERROR(__xludf.DUMMYFUNCTION("""COMPUTED_VALUE"""),"Easy")</f>
        <v>Easy</v>
      </c>
      <c r="F1608" s="35">
        <f>IFERROR(__xludf.DUMMYFUNCTION("""COMPUTED_VALUE"""),50.0)</f>
        <v>50</v>
      </c>
      <c r="G1608" s="35">
        <f>IFERROR(__xludf.DUMMYFUNCTION("""COMPUTED_VALUE"""),8.0)</f>
        <v>8</v>
      </c>
      <c r="H1608" s="35" t="str">
        <f>IFERROR(__xludf.DUMMYFUNCTION("""COMPUTED_VALUE"""),"Database")</f>
        <v>Database</v>
      </c>
      <c r="I1608" s="35">
        <f>IFERROR(__xludf.DUMMYFUNCTION("""COMPUTED_VALUE"""),0.545)</f>
        <v>0.545</v>
      </c>
      <c r="J1608" s="35">
        <f>IFERROR(__xludf.DUMMYFUNCTION("""COMPUTED_VALUE"""),1607.0)</f>
        <v>1607</v>
      </c>
      <c r="K1608" s="35" t="b">
        <f>IFERROR(__xludf.DUMMYFUNCTION("""COMPUTED_VALUE"""),TRUE)</f>
        <v>1</v>
      </c>
      <c r="L1608" s="35" t="str">
        <f>IFERROR(__xludf.DUMMYFUNCTION("""COMPUTED_VALUE"""),"Database;")</f>
        <v>Database;</v>
      </c>
      <c r="M1608" s="35" t="b">
        <f>IFERROR(__xludf.DUMMYFUNCTION("""COMPUTED_VALUE"""),FALSE)</f>
        <v>0</v>
      </c>
      <c r="N1608" s="35" t="b">
        <f>IFERROR(__xludf.DUMMYFUNCTION("""COMPUTED_VALUE"""),FALSE)</f>
        <v>0</v>
      </c>
      <c r="O1608" s="35">
        <f>IFERROR(__xludf.DUMMYFUNCTION("""COMPUTED_VALUE"""),54.4722679357737)</f>
        <v>54.47226794</v>
      </c>
      <c r="P1608" s="35">
        <f>IFERROR(__xludf.DUMMYFUNCTION("""COMPUTED_VALUE"""),12247.0)</f>
        <v>12247</v>
      </c>
      <c r="Q1608" s="35">
        <f>IFERROR(__xludf.DUMMYFUNCTION("""COMPUTED_VALUE"""),22483.0)</f>
        <v>22483</v>
      </c>
    </row>
    <row r="1609">
      <c r="A1609" s="35">
        <f>IFERROR(__xludf.DUMMYFUNCTION("""COMPUTED_VALUE"""),1730.0)</f>
        <v>1730</v>
      </c>
      <c r="B1609" s="35" t="str">
        <f>IFERROR(__xludf.DUMMYFUNCTION("""COMPUTED_VALUE"""),"Special Array With X Elements Greater Than or Equal X")</f>
        <v>Special Array With X Elements Greater Than or Equal X</v>
      </c>
      <c r="C1609" s="35" t="str">
        <f>IFERROR(__xludf.DUMMYFUNCTION("""COMPUTED_VALUE"""),"special-array-with-x-elements-greater-than-or-equal-x")</f>
        <v>special-array-with-x-elements-greater-than-or-equal-x</v>
      </c>
      <c r="D1609" s="35" t="b">
        <f>IFERROR(__xludf.DUMMYFUNCTION("""COMPUTED_VALUE"""),FALSE)</f>
        <v>0</v>
      </c>
      <c r="E1609" s="35" t="str">
        <f>IFERROR(__xludf.DUMMYFUNCTION("""COMPUTED_VALUE"""),"Easy")</f>
        <v>Easy</v>
      </c>
      <c r="F1609" s="35">
        <f>IFERROR(__xludf.DUMMYFUNCTION("""COMPUTED_VALUE"""),630.0)</f>
        <v>630</v>
      </c>
      <c r="G1609" s="35">
        <f>IFERROR(__xludf.DUMMYFUNCTION("""COMPUTED_VALUE"""),101.0)</f>
        <v>101</v>
      </c>
      <c r="H1609" s="35" t="str">
        <f>IFERROR(__xludf.DUMMYFUNCTION("""COMPUTED_VALUE"""),"Algorithms")</f>
        <v>Algorithms</v>
      </c>
      <c r="I1609" s="35">
        <f>IFERROR(__xludf.DUMMYFUNCTION("""COMPUTED_VALUE"""),0.602)</f>
        <v>0.602</v>
      </c>
      <c r="J1609" s="35">
        <f>IFERROR(__xludf.DUMMYFUNCTION("""COMPUTED_VALUE"""),1608.0)</f>
        <v>1608</v>
      </c>
      <c r="K1609" s="35" t="b">
        <f>IFERROR(__xludf.DUMMYFUNCTION("""COMPUTED_VALUE"""),FALSE)</f>
        <v>0</v>
      </c>
      <c r="L1609" s="35" t="str">
        <f>IFERROR(__xludf.DUMMYFUNCTION("""COMPUTED_VALUE"""),"Array;Binary Search;Sorting;")</f>
        <v>Array;Binary Search;Sorting;</v>
      </c>
      <c r="M1609" s="35" t="b">
        <f>IFERROR(__xludf.DUMMYFUNCTION("""COMPUTED_VALUE"""),FALSE)</f>
        <v>0</v>
      </c>
      <c r="N1609" s="35" t="b">
        <f>IFERROR(__xludf.DUMMYFUNCTION("""COMPUTED_VALUE"""),FALSE)</f>
        <v>0</v>
      </c>
      <c r="O1609" s="35">
        <f>IFERROR(__xludf.DUMMYFUNCTION("""COMPUTED_VALUE"""),60.2472420865901)</f>
        <v>60.24724209</v>
      </c>
      <c r="P1609" s="35">
        <f>IFERROR(__xludf.DUMMYFUNCTION("""COMPUTED_VALUE"""),32604.0)</f>
        <v>32604</v>
      </c>
      <c r="Q1609" s="35">
        <f>IFERROR(__xludf.DUMMYFUNCTION("""COMPUTED_VALUE"""),54117.0)</f>
        <v>54117</v>
      </c>
    </row>
    <row r="1610">
      <c r="A1610" s="35">
        <f>IFERROR(__xludf.DUMMYFUNCTION("""COMPUTED_VALUE"""),1731.0)</f>
        <v>1731</v>
      </c>
      <c r="B1610" s="35" t="str">
        <f>IFERROR(__xludf.DUMMYFUNCTION("""COMPUTED_VALUE"""),"Even Odd Tree")</f>
        <v>Even Odd Tree</v>
      </c>
      <c r="C1610" s="35" t="str">
        <f>IFERROR(__xludf.DUMMYFUNCTION("""COMPUTED_VALUE"""),"even-odd-tree")</f>
        <v>even-odd-tree</v>
      </c>
      <c r="D1610" s="35" t="b">
        <f>IFERROR(__xludf.DUMMYFUNCTION("""COMPUTED_VALUE"""),FALSE)</f>
        <v>0</v>
      </c>
      <c r="E1610" s="35" t="str">
        <f>IFERROR(__xludf.DUMMYFUNCTION("""COMPUTED_VALUE"""),"Medium")</f>
        <v>Medium</v>
      </c>
      <c r="F1610" s="35">
        <f>IFERROR(__xludf.DUMMYFUNCTION("""COMPUTED_VALUE"""),596.0)</f>
        <v>596</v>
      </c>
      <c r="G1610" s="35">
        <f>IFERROR(__xludf.DUMMYFUNCTION("""COMPUTED_VALUE"""),36.0)</f>
        <v>36</v>
      </c>
      <c r="H1610" s="35" t="str">
        <f>IFERROR(__xludf.DUMMYFUNCTION("""COMPUTED_VALUE"""),"Algorithms")</f>
        <v>Algorithms</v>
      </c>
      <c r="I1610" s="35">
        <f>IFERROR(__xludf.DUMMYFUNCTION("""COMPUTED_VALUE"""),0.529)</f>
        <v>0.529</v>
      </c>
      <c r="J1610" s="35">
        <f>IFERROR(__xludf.DUMMYFUNCTION("""COMPUTED_VALUE"""),1609.0)</f>
        <v>1609</v>
      </c>
      <c r="K1610" s="35" t="b">
        <f>IFERROR(__xludf.DUMMYFUNCTION("""COMPUTED_VALUE"""),FALSE)</f>
        <v>0</v>
      </c>
      <c r="L1610" s="35" t="str">
        <f>IFERROR(__xludf.DUMMYFUNCTION("""COMPUTED_VALUE"""),"Tree;Breadth-First Search;Binary Tree;")</f>
        <v>Tree;Breadth-First Search;Binary Tree;</v>
      </c>
      <c r="M1610" s="35" t="b">
        <f>IFERROR(__xludf.DUMMYFUNCTION("""COMPUTED_VALUE"""),FALSE)</f>
        <v>0</v>
      </c>
      <c r="N1610" s="35" t="b">
        <f>IFERROR(__xludf.DUMMYFUNCTION("""COMPUTED_VALUE"""),FALSE)</f>
        <v>0</v>
      </c>
      <c r="O1610" s="35">
        <f>IFERROR(__xludf.DUMMYFUNCTION("""COMPUTED_VALUE"""),52.91087790606)</f>
        <v>52.91087791</v>
      </c>
      <c r="P1610" s="35">
        <f>IFERROR(__xludf.DUMMYFUNCTION("""COMPUTED_VALUE"""),30200.0)</f>
        <v>30200</v>
      </c>
      <c r="Q1610" s="35">
        <f>IFERROR(__xludf.DUMMYFUNCTION("""COMPUTED_VALUE"""),57077.0)</f>
        <v>57077</v>
      </c>
    </row>
    <row r="1611">
      <c r="A1611" s="35">
        <f>IFERROR(__xludf.DUMMYFUNCTION("""COMPUTED_VALUE"""),1733.0)</f>
        <v>1733</v>
      </c>
      <c r="B1611" s="35" t="str">
        <f>IFERROR(__xludf.DUMMYFUNCTION("""COMPUTED_VALUE"""),"Maximum Number of Visible Points")</f>
        <v>Maximum Number of Visible Points</v>
      </c>
      <c r="C1611" s="35" t="str">
        <f>IFERROR(__xludf.DUMMYFUNCTION("""COMPUTED_VALUE"""),"maximum-number-of-visible-points")</f>
        <v>maximum-number-of-visible-points</v>
      </c>
      <c r="D1611" s="35" t="b">
        <f>IFERROR(__xludf.DUMMYFUNCTION("""COMPUTED_VALUE"""),FALSE)</f>
        <v>0</v>
      </c>
      <c r="E1611" s="35" t="str">
        <f>IFERROR(__xludf.DUMMYFUNCTION("""COMPUTED_VALUE"""),"Hard")</f>
        <v>Hard</v>
      </c>
      <c r="F1611" s="35">
        <f>IFERROR(__xludf.DUMMYFUNCTION("""COMPUTED_VALUE"""),348.0)</f>
        <v>348</v>
      </c>
      <c r="G1611" s="35">
        <f>IFERROR(__xludf.DUMMYFUNCTION("""COMPUTED_VALUE"""),469.0)</f>
        <v>469</v>
      </c>
      <c r="H1611" s="35" t="str">
        <f>IFERROR(__xludf.DUMMYFUNCTION("""COMPUTED_VALUE"""),"Algorithms")</f>
        <v>Algorithms</v>
      </c>
      <c r="I1611" s="35">
        <f>IFERROR(__xludf.DUMMYFUNCTION("""COMPUTED_VALUE"""),0.361)</f>
        <v>0.361</v>
      </c>
      <c r="J1611" s="35">
        <f>IFERROR(__xludf.DUMMYFUNCTION("""COMPUTED_VALUE"""),1610.0)</f>
        <v>1610</v>
      </c>
      <c r="K1611" s="35" t="b">
        <f>IFERROR(__xludf.DUMMYFUNCTION("""COMPUTED_VALUE"""),FALSE)</f>
        <v>0</v>
      </c>
      <c r="L1611" s="35" t="str">
        <f>IFERROR(__xludf.DUMMYFUNCTION("""COMPUTED_VALUE"""),"Array;Math;Geometry;Sliding Window;Sorting;")</f>
        <v>Array;Math;Geometry;Sliding Window;Sorting;</v>
      </c>
      <c r="M1611" s="35" t="b">
        <f>IFERROR(__xludf.DUMMYFUNCTION("""COMPUTED_VALUE"""),FALSE)</f>
        <v>0</v>
      </c>
      <c r="N1611" s="35" t="b">
        <f>IFERROR(__xludf.DUMMYFUNCTION("""COMPUTED_VALUE"""),FALSE)</f>
        <v>0</v>
      </c>
      <c r="O1611" s="35">
        <f>IFERROR(__xludf.DUMMYFUNCTION("""COMPUTED_VALUE"""),36.0525750743842)</f>
        <v>36.05257507</v>
      </c>
      <c r="P1611" s="35">
        <f>IFERROR(__xludf.DUMMYFUNCTION("""COMPUTED_VALUE"""),23507.0)</f>
        <v>23507</v>
      </c>
      <c r="Q1611" s="35">
        <f>IFERROR(__xludf.DUMMYFUNCTION("""COMPUTED_VALUE"""),65202.0)</f>
        <v>65202</v>
      </c>
    </row>
    <row r="1612">
      <c r="A1612" s="35">
        <f>IFERROR(__xludf.DUMMYFUNCTION("""COMPUTED_VALUE"""),1732.0)</f>
        <v>1732</v>
      </c>
      <c r="B1612" s="35" t="str">
        <f>IFERROR(__xludf.DUMMYFUNCTION("""COMPUTED_VALUE"""),"Minimum One Bit Operations to Make Integers Zero")</f>
        <v>Minimum One Bit Operations to Make Integers Zero</v>
      </c>
      <c r="C1612" s="35" t="str">
        <f>IFERROR(__xludf.DUMMYFUNCTION("""COMPUTED_VALUE"""),"minimum-one-bit-operations-to-make-integers-zero")</f>
        <v>minimum-one-bit-operations-to-make-integers-zero</v>
      </c>
      <c r="D1612" s="35" t="b">
        <f>IFERROR(__xludf.DUMMYFUNCTION("""COMPUTED_VALUE"""),FALSE)</f>
        <v>0</v>
      </c>
      <c r="E1612" s="35" t="str">
        <f>IFERROR(__xludf.DUMMYFUNCTION("""COMPUTED_VALUE"""),"Hard")</f>
        <v>Hard</v>
      </c>
      <c r="F1612" s="35">
        <f>IFERROR(__xludf.DUMMYFUNCTION("""COMPUTED_VALUE"""),273.0)</f>
        <v>273</v>
      </c>
      <c r="G1612" s="35">
        <f>IFERROR(__xludf.DUMMYFUNCTION("""COMPUTED_VALUE"""),262.0)</f>
        <v>262</v>
      </c>
      <c r="H1612" s="35" t="str">
        <f>IFERROR(__xludf.DUMMYFUNCTION("""COMPUTED_VALUE"""),"Algorithms")</f>
        <v>Algorithms</v>
      </c>
      <c r="I1612" s="35">
        <f>IFERROR(__xludf.DUMMYFUNCTION("""COMPUTED_VALUE"""),0.622)</f>
        <v>0.622</v>
      </c>
      <c r="J1612" s="35">
        <f>IFERROR(__xludf.DUMMYFUNCTION("""COMPUTED_VALUE"""),1611.0)</f>
        <v>1611</v>
      </c>
      <c r="K1612" s="35" t="b">
        <f>IFERROR(__xludf.DUMMYFUNCTION("""COMPUTED_VALUE"""),FALSE)</f>
        <v>0</v>
      </c>
      <c r="L1612" s="35" t="str">
        <f>IFERROR(__xludf.DUMMYFUNCTION("""COMPUTED_VALUE"""),"Dynamic Programming;Bit Manipulation;Memoization;")</f>
        <v>Dynamic Programming;Bit Manipulation;Memoization;</v>
      </c>
      <c r="M1612" s="35" t="b">
        <f>IFERROR(__xludf.DUMMYFUNCTION("""COMPUTED_VALUE"""),FALSE)</f>
        <v>0</v>
      </c>
      <c r="N1612" s="35" t="b">
        <f>IFERROR(__xludf.DUMMYFUNCTION("""COMPUTED_VALUE"""),FALSE)</f>
        <v>0</v>
      </c>
      <c r="O1612" s="35">
        <f>IFERROR(__xludf.DUMMYFUNCTION("""COMPUTED_VALUE"""),62.1818886448779)</f>
        <v>62.18188864</v>
      </c>
      <c r="P1612" s="35">
        <f>IFERROR(__xludf.DUMMYFUNCTION("""COMPUTED_VALUE"""),9627.0)</f>
        <v>9627</v>
      </c>
      <c r="Q1612" s="35">
        <f>IFERROR(__xludf.DUMMYFUNCTION("""COMPUTED_VALUE"""),15482.0)</f>
        <v>15482</v>
      </c>
    </row>
    <row r="1613">
      <c r="A1613" s="35">
        <f>IFERROR(__xludf.DUMMYFUNCTION("""COMPUTED_VALUE"""),1750.0)</f>
        <v>1750</v>
      </c>
      <c r="B1613" s="35" t="str">
        <f>IFERROR(__xludf.DUMMYFUNCTION("""COMPUTED_VALUE"""),"Check If Two Expression Trees are Equivalent")</f>
        <v>Check If Two Expression Trees are Equivalent</v>
      </c>
      <c r="C1613" s="35" t="str">
        <f>IFERROR(__xludf.DUMMYFUNCTION("""COMPUTED_VALUE"""),"check-if-two-expression-trees-are-equivalent")</f>
        <v>check-if-two-expression-trees-are-equivalent</v>
      </c>
      <c r="D1613" s="35" t="b">
        <f>IFERROR(__xludf.DUMMYFUNCTION("""COMPUTED_VALUE"""),TRUE)</f>
        <v>1</v>
      </c>
      <c r="E1613" s="35" t="str">
        <f>IFERROR(__xludf.DUMMYFUNCTION("""COMPUTED_VALUE"""),"Medium")</f>
        <v>Medium</v>
      </c>
      <c r="F1613" s="35">
        <f>IFERROR(__xludf.DUMMYFUNCTION("""COMPUTED_VALUE"""),92.0)</f>
        <v>92</v>
      </c>
      <c r="G1613" s="35">
        <f>IFERROR(__xludf.DUMMYFUNCTION("""COMPUTED_VALUE"""),17.0)</f>
        <v>17</v>
      </c>
      <c r="H1613" s="35" t="str">
        <f>IFERROR(__xludf.DUMMYFUNCTION("""COMPUTED_VALUE"""),"Algorithms")</f>
        <v>Algorithms</v>
      </c>
      <c r="I1613" s="35">
        <f>IFERROR(__xludf.DUMMYFUNCTION("""COMPUTED_VALUE"""),0.693)</f>
        <v>0.693</v>
      </c>
      <c r="J1613" s="35">
        <f>IFERROR(__xludf.DUMMYFUNCTION("""COMPUTED_VALUE"""),1612.0)</f>
        <v>1612</v>
      </c>
      <c r="K1613" s="35" t="b">
        <f>IFERROR(__xludf.DUMMYFUNCTION("""COMPUTED_VALUE"""),TRUE)</f>
        <v>1</v>
      </c>
      <c r="L1613" s="35" t="str">
        <f>IFERROR(__xludf.DUMMYFUNCTION("""COMPUTED_VALUE"""),"Tree;Depth-First Search;Binary Tree;")</f>
        <v>Tree;Depth-First Search;Binary Tree;</v>
      </c>
      <c r="M1613" s="35" t="b">
        <f>IFERROR(__xludf.DUMMYFUNCTION("""COMPUTED_VALUE"""),FALSE)</f>
        <v>0</v>
      </c>
      <c r="N1613" s="35" t="b">
        <f>IFERROR(__xludf.DUMMYFUNCTION("""COMPUTED_VALUE"""),FALSE)</f>
        <v>0</v>
      </c>
      <c r="O1613" s="35">
        <f>IFERROR(__xludf.DUMMYFUNCTION("""COMPUTED_VALUE"""),69.2560501942037)</f>
        <v>69.25605019</v>
      </c>
      <c r="P1613" s="35">
        <f>IFERROR(__xludf.DUMMYFUNCTION("""COMPUTED_VALUE"""),4636.0)</f>
        <v>4636</v>
      </c>
      <c r="Q1613" s="35">
        <f>IFERROR(__xludf.DUMMYFUNCTION("""COMPUTED_VALUE"""),6694.0)</f>
        <v>6694</v>
      </c>
    </row>
    <row r="1614">
      <c r="A1614" s="35">
        <f>IFERROR(__xludf.DUMMYFUNCTION("""COMPUTED_VALUE"""),1759.0)</f>
        <v>1759</v>
      </c>
      <c r="B1614" s="35" t="str">
        <f>IFERROR(__xludf.DUMMYFUNCTION("""COMPUTED_VALUE"""),"Find the Missing IDs")</f>
        <v>Find the Missing IDs</v>
      </c>
      <c r="C1614" s="35" t="str">
        <f>IFERROR(__xludf.DUMMYFUNCTION("""COMPUTED_VALUE"""),"find-the-missing-ids")</f>
        <v>find-the-missing-ids</v>
      </c>
      <c r="D1614" s="35" t="b">
        <f>IFERROR(__xludf.DUMMYFUNCTION("""COMPUTED_VALUE"""),TRUE)</f>
        <v>1</v>
      </c>
      <c r="E1614" s="35" t="str">
        <f>IFERROR(__xludf.DUMMYFUNCTION("""COMPUTED_VALUE"""),"Medium")</f>
        <v>Medium</v>
      </c>
      <c r="F1614" s="35">
        <f>IFERROR(__xludf.DUMMYFUNCTION("""COMPUTED_VALUE"""),121.0)</f>
        <v>121</v>
      </c>
      <c r="G1614" s="35">
        <f>IFERROR(__xludf.DUMMYFUNCTION("""COMPUTED_VALUE"""),19.0)</f>
        <v>19</v>
      </c>
      <c r="H1614" s="35" t="str">
        <f>IFERROR(__xludf.DUMMYFUNCTION("""COMPUTED_VALUE"""),"Database")</f>
        <v>Database</v>
      </c>
      <c r="I1614" s="35">
        <f>IFERROR(__xludf.DUMMYFUNCTION("""COMPUTED_VALUE"""),0.759)</f>
        <v>0.759</v>
      </c>
      <c r="J1614" s="35">
        <f>IFERROR(__xludf.DUMMYFUNCTION("""COMPUTED_VALUE"""),1613.0)</f>
        <v>1613</v>
      </c>
      <c r="K1614" s="35" t="b">
        <f>IFERROR(__xludf.DUMMYFUNCTION("""COMPUTED_VALUE"""),TRUE)</f>
        <v>1</v>
      </c>
      <c r="L1614" s="35" t="str">
        <f>IFERROR(__xludf.DUMMYFUNCTION("""COMPUTED_VALUE"""),"Database;")</f>
        <v>Database;</v>
      </c>
      <c r="M1614" s="35" t="b">
        <f>IFERROR(__xludf.DUMMYFUNCTION("""COMPUTED_VALUE"""),FALSE)</f>
        <v>0</v>
      </c>
      <c r="N1614" s="35" t="b">
        <f>IFERROR(__xludf.DUMMYFUNCTION("""COMPUTED_VALUE"""),FALSE)</f>
        <v>0</v>
      </c>
      <c r="O1614" s="35">
        <f>IFERROR(__xludf.DUMMYFUNCTION("""COMPUTED_VALUE"""),75.9222372719305)</f>
        <v>75.92223727</v>
      </c>
      <c r="P1614" s="35">
        <f>IFERROR(__xludf.DUMMYFUNCTION("""COMPUTED_VALUE"""),9529.0)</f>
        <v>9529</v>
      </c>
      <c r="Q1614" s="35">
        <f>IFERROR(__xludf.DUMMYFUNCTION("""COMPUTED_VALUE"""),12551.0)</f>
        <v>12551</v>
      </c>
    </row>
    <row r="1615">
      <c r="A1615" s="35">
        <f>IFERROR(__xludf.DUMMYFUNCTION("""COMPUTED_VALUE"""),1737.0)</f>
        <v>1737</v>
      </c>
      <c r="B1615" s="35" t="str">
        <f>IFERROR(__xludf.DUMMYFUNCTION("""COMPUTED_VALUE"""),"Maximum Nesting Depth of the Parentheses")</f>
        <v>Maximum Nesting Depth of the Parentheses</v>
      </c>
      <c r="C1615" s="35" t="str">
        <f>IFERROR(__xludf.DUMMYFUNCTION("""COMPUTED_VALUE"""),"maximum-nesting-depth-of-the-parentheses")</f>
        <v>maximum-nesting-depth-of-the-parentheses</v>
      </c>
      <c r="D1615" s="35" t="b">
        <f>IFERROR(__xludf.DUMMYFUNCTION("""COMPUTED_VALUE"""),FALSE)</f>
        <v>0</v>
      </c>
      <c r="E1615" s="35" t="str">
        <f>IFERROR(__xludf.DUMMYFUNCTION("""COMPUTED_VALUE"""),"Easy")</f>
        <v>Easy</v>
      </c>
      <c r="F1615" s="35">
        <f>IFERROR(__xludf.DUMMYFUNCTION("""COMPUTED_VALUE"""),755.0)</f>
        <v>755</v>
      </c>
      <c r="G1615" s="35">
        <f>IFERROR(__xludf.DUMMYFUNCTION("""COMPUTED_VALUE"""),163.0)</f>
        <v>163</v>
      </c>
      <c r="H1615" s="35" t="str">
        <f>IFERROR(__xludf.DUMMYFUNCTION("""COMPUTED_VALUE"""),"Algorithms")</f>
        <v>Algorithms</v>
      </c>
      <c r="I1615" s="35">
        <f>IFERROR(__xludf.DUMMYFUNCTION("""COMPUTED_VALUE"""),0.83)</f>
        <v>0.83</v>
      </c>
      <c r="J1615" s="35">
        <f>IFERROR(__xludf.DUMMYFUNCTION("""COMPUTED_VALUE"""),1614.0)</f>
        <v>1614</v>
      </c>
      <c r="K1615" s="35" t="b">
        <f>IFERROR(__xludf.DUMMYFUNCTION("""COMPUTED_VALUE"""),FALSE)</f>
        <v>0</v>
      </c>
      <c r="L1615" s="35" t="str">
        <f>IFERROR(__xludf.DUMMYFUNCTION("""COMPUTED_VALUE"""),"String;Stack;")</f>
        <v>String;Stack;</v>
      </c>
      <c r="M1615" s="35" t="b">
        <f>IFERROR(__xludf.DUMMYFUNCTION("""COMPUTED_VALUE"""),FALSE)</f>
        <v>0</v>
      </c>
      <c r="N1615" s="35" t="b">
        <f>IFERROR(__xludf.DUMMYFUNCTION("""COMPUTED_VALUE"""),FALSE)</f>
        <v>0</v>
      </c>
      <c r="O1615" s="35">
        <f>IFERROR(__xludf.DUMMYFUNCTION("""COMPUTED_VALUE"""),82.9988305572236)</f>
        <v>82.99883056</v>
      </c>
      <c r="P1615" s="35">
        <f>IFERROR(__xludf.DUMMYFUNCTION("""COMPUTED_VALUE"""),78778.0)</f>
        <v>78778</v>
      </c>
      <c r="Q1615" s="35">
        <f>IFERROR(__xludf.DUMMYFUNCTION("""COMPUTED_VALUE"""),94914.0)</f>
        <v>94914</v>
      </c>
    </row>
    <row r="1616">
      <c r="A1616" s="35">
        <f>IFERROR(__xludf.DUMMYFUNCTION("""COMPUTED_VALUE"""),1738.0)</f>
        <v>1738</v>
      </c>
      <c r="B1616" s="35" t="str">
        <f>IFERROR(__xludf.DUMMYFUNCTION("""COMPUTED_VALUE"""),"Maximal Network Rank")</f>
        <v>Maximal Network Rank</v>
      </c>
      <c r="C1616" s="35" t="str">
        <f>IFERROR(__xludf.DUMMYFUNCTION("""COMPUTED_VALUE"""),"maximal-network-rank")</f>
        <v>maximal-network-rank</v>
      </c>
      <c r="D1616" s="35" t="b">
        <f>IFERROR(__xludf.DUMMYFUNCTION("""COMPUTED_VALUE"""),FALSE)</f>
        <v>0</v>
      </c>
      <c r="E1616" s="35" t="str">
        <f>IFERROR(__xludf.DUMMYFUNCTION("""COMPUTED_VALUE"""),"Medium")</f>
        <v>Medium</v>
      </c>
      <c r="F1616" s="35">
        <f>IFERROR(__xludf.DUMMYFUNCTION("""COMPUTED_VALUE"""),593.0)</f>
        <v>593</v>
      </c>
      <c r="G1616" s="35">
        <f>IFERROR(__xludf.DUMMYFUNCTION("""COMPUTED_VALUE"""),114.0)</f>
        <v>114</v>
      </c>
      <c r="H1616" s="35" t="str">
        <f>IFERROR(__xludf.DUMMYFUNCTION("""COMPUTED_VALUE"""),"Algorithms")</f>
        <v>Algorithms</v>
      </c>
      <c r="I1616" s="35">
        <f>IFERROR(__xludf.DUMMYFUNCTION("""COMPUTED_VALUE"""),0.56)</f>
        <v>0.56</v>
      </c>
      <c r="J1616" s="35">
        <f>IFERROR(__xludf.DUMMYFUNCTION("""COMPUTED_VALUE"""),1615.0)</f>
        <v>1615</v>
      </c>
      <c r="K1616" s="35" t="b">
        <f>IFERROR(__xludf.DUMMYFUNCTION("""COMPUTED_VALUE"""),FALSE)</f>
        <v>0</v>
      </c>
      <c r="L1616" s="35" t="str">
        <f>IFERROR(__xludf.DUMMYFUNCTION("""COMPUTED_VALUE"""),"Graph;")</f>
        <v>Graph;</v>
      </c>
      <c r="M1616" s="35" t="b">
        <f>IFERROR(__xludf.DUMMYFUNCTION("""COMPUTED_VALUE"""),FALSE)</f>
        <v>0</v>
      </c>
      <c r="N1616" s="35" t="b">
        <f>IFERROR(__xludf.DUMMYFUNCTION("""COMPUTED_VALUE"""),FALSE)</f>
        <v>0</v>
      </c>
      <c r="O1616" s="35">
        <f>IFERROR(__xludf.DUMMYFUNCTION("""COMPUTED_VALUE"""),56.0380782578241)</f>
        <v>56.03807826</v>
      </c>
      <c r="P1616" s="35">
        <f>IFERROR(__xludf.DUMMYFUNCTION("""COMPUTED_VALUE"""),35200.0)</f>
        <v>35200</v>
      </c>
      <c r="Q1616" s="35">
        <f>IFERROR(__xludf.DUMMYFUNCTION("""COMPUTED_VALUE"""),62813.0)</f>
        <v>62813</v>
      </c>
    </row>
    <row r="1617">
      <c r="A1617" s="35">
        <f>IFERROR(__xludf.DUMMYFUNCTION("""COMPUTED_VALUE"""),1739.0)</f>
        <v>1739</v>
      </c>
      <c r="B1617" s="35" t="str">
        <f>IFERROR(__xludf.DUMMYFUNCTION("""COMPUTED_VALUE"""),"Split Two Strings to Make Palindrome")</f>
        <v>Split Two Strings to Make Palindrome</v>
      </c>
      <c r="C1617" s="35" t="str">
        <f>IFERROR(__xludf.DUMMYFUNCTION("""COMPUTED_VALUE"""),"split-two-strings-to-make-palindrome")</f>
        <v>split-two-strings-to-make-palindrome</v>
      </c>
      <c r="D1617" s="35" t="b">
        <f>IFERROR(__xludf.DUMMYFUNCTION("""COMPUTED_VALUE"""),FALSE)</f>
        <v>0</v>
      </c>
      <c r="E1617" s="35" t="str">
        <f>IFERROR(__xludf.DUMMYFUNCTION("""COMPUTED_VALUE"""),"Medium")</f>
        <v>Medium</v>
      </c>
      <c r="F1617" s="35">
        <f>IFERROR(__xludf.DUMMYFUNCTION("""COMPUTED_VALUE"""),466.0)</f>
        <v>466</v>
      </c>
      <c r="G1617" s="35">
        <f>IFERROR(__xludf.DUMMYFUNCTION("""COMPUTED_VALUE"""),197.0)</f>
        <v>197</v>
      </c>
      <c r="H1617" s="35" t="str">
        <f>IFERROR(__xludf.DUMMYFUNCTION("""COMPUTED_VALUE"""),"Algorithms")</f>
        <v>Algorithms</v>
      </c>
      <c r="I1617" s="35">
        <f>IFERROR(__xludf.DUMMYFUNCTION("""COMPUTED_VALUE"""),0.314)</f>
        <v>0.314</v>
      </c>
      <c r="J1617" s="35">
        <f>IFERROR(__xludf.DUMMYFUNCTION("""COMPUTED_VALUE"""),1616.0)</f>
        <v>1616</v>
      </c>
      <c r="K1617" s="35" t="b">
        <f>IFERROR(__xludf.DUMMYFUNCTION("""COMPUTED_VALUE"""),FALSE)</f>
        <v>0</v>
      </c>
      <c r="L1617" s="35" t="str">
        <f>IFERROR(__xludf.DUMMYFUNCTION("""COMPUTED_VALUE"""),"Two Pointers;String;Greedy;")</f>
        <v>Two Pointers;String;Greedy;</v>
      </c>
      <c r="M1617" s="35" t="b">
        <f>IFERROR(__xludf.DUMMYFUNCTION("""COMPUTED_VALUE"""),FALSE)</f>
        <v>0</v>
      </c>
      <c r="N1617" s="35" t="b">
        <f>IFERROR(__xludf.DUMMYFUNCTION("""COMPUTED_VALUE"""),FALSE)</f>
        <v>0</v>
      </c>
      <c r="O1617" s="35">
        <f>IFERROR(__xludf.DUMMYFUNCTION("""COMPUTED_VALUE"""),31.4315312145733)</f>
        <v>31.43153121</v>
      </c>
      <c r="P1617" s="35">
        <f>IFERROR(__xludf.DUMMYFUNCTION("""COMPUTED_VALUE"""),16081.0)</f>
        <v>16081</v>
      </c>
      <c r="Q1617" s="35">
        <f>IFERROR(__xludf.DUMMYFUNCTION("""COMPUTED_VALUE"""),51162.0)</f>
        <v>51162</v>
      </c>
    </row>
    <row r="1618">
      <c r="A1618" s="35">
        <f>IFERROR(__xludf.DUMMYFUNCTION("""COMPUTED_VALUE"""),1740.0)</f>
        <v>1740</v>
      </c>
      <c r="B1618" s="35" t="str">
        <f>IFERROR(__xludf.DUMMYFUNCTION("""COMPUTED_VALUE"""),"Count Subtrees With Max Distance Between Cities")</f>
        <v>Count Subtrees With Max Distance Between Cities</v>
      </c>
      <c r="C1618" s="35" t="str">
        <f>IFERROR(__xludf.DUMMYFUNCTION("""COMPUTED_VALUE"""),"count-subtrees-with-max-distance-between-cities")</f>
        <v>count-subtrees-with-max-distance-between-cities</v>
      </c>
      <c r="D1618" s="35" t="b">
        <f>IFERROR(__xludf.DUMMYFUNCTION("""COMPUTED_VALUE"""),FALSE)</f>
        <v>0</v>
      </c>
      <c r="E1618" s="35" t="str">
        <f>IFERROR(__xludf.DUMMYFUNCTION("""COMPUTED_VALUE"""),"Hard")</f>
        <v>Hard</v>
      </c>
      <c r="F1618" s="35">
        <f>IFERROR(__xludf.DUMMYFUNCTION("""COMPUTED_VALUE"""),283.0)</f>
        <v>283</v>
      </c>
      <c r="G1618" s="35">
        <f>IFERROR(__xludf.DUMMYFUNCTION("""COMPUTED_VALUE"""),27.0)</f>
        <v>27</v>
      </c>
      <c r="H1618" s="35" t="str">
        <f>IFERROR(__xludf.DUMMYFUNCTION("""COMPUTED_VALUE"""),"Algorithms")</f>
        <v>Algorithms</v>
      </c>
      <c r="I1618" s="35">
        <f>IFERROR(__xludf.DUMMYFUNCTION("""COMPUTED_VALUE"""),0.65)</f>
        <v>0.65</v>
      </c>
      <c r="J1618" s="35">
        <f>IFERROR(__xludf.DUMMYFUNCTION("""COMPUTED_VALUE"""),1617.0)</f>
        <v>1617</v>
      </c>
      <c r="K1618" s="35" t="b">
        <f>IFERROR(__xludf.DUMMYFUNCTION("""COMPUTED_VALUE"""),FALSE)</f>
        <v>0</v>
      </c>
      <c r="L1618" s="35" t="str">
        <f>IFERROR(__xludf.DUMMYFUNCTION("""COMPUTED_VALUE"""),"Dynamic Programming;Bit Manipulation;Tree;Enumeration;Bitmask;")</f>
        <v>Dynamic Programming;Bit Manipulation;Tree;Enumeration;Bitmask;</v>
      </c>
      <c r="M1618" s="35" t="b">
        <f>IFERROR(__xludf.DUMMYFUNCTION("""COMPUTED_VALUE"""),FALSE)</f>
        <v>0</v>
      </c>
      <c r="N1618" s="35" t="b">
        <f>IFERROR(__xludf.DUMMYFUNCTION("""COMPUTED_VALUE"""),FALSE)</f>
        <v>0</v>
      </c>
      <c r="O1618" s="35">
        <f>IFERROR(__xludf.DUMMYFUNCTION("""COMPUTED_VALUE"""),65.0432050274941)</f>
        <v>65.04320503</v>
      </c>
      <c r="P1618" s="35">
        <f>IFERROR(__xludf.DUMMYFUNCTION("""COMPUTED_VALUE"""),5796.0)</f>
        <v>5796</v>
      </c>
      <c r="Q1618" s="35">
        <f>IFERROR(__xludf.DUMMYFUNCTION("""COMPUTED_VALUE"""),8911.0)</f>
        <v>8911</v>
      </c>
    </row>
    <row r="1619">
      <c r="A1619" s="35">
        <f>IFERROR(__xludf.DUMMYFUNCTION("""COMPUTED_VALUE"""),1384.0)</f>
        <v>1384</v>
      </c>
      <c r="B1619" s="35" t="str">
        <f>IFERROR(__xludf.DUMMYFUNCTION("""COMPUTED_VALUE"""),"Maximum Font to Fit a Sentence in a Screen")</f>
        <v>Maximum Font to Fit a Sentence in a Screen</v>
      </c>
      <c r="C1619" s="35" t="str">
        <f>IFERROR(__xludf.DUMMYFUNCTION("""COMPUTED_VALUE"""),"maximum-font-to-fit-a-sentence-in-a-screen")</f>
        <v>maximum-font-to-fit-a-sentence-in-a-screen</v>
      </c>
      <c r="D1619" s="35" t="b">
        <f>IFERROR(__xludf.DUMMYFUNCTION("""COMPUTED_VALUE"""),TRUE)</f>
        <v>1</v>
      </c>
      <c r="E1619" s="35" t="str">
        <f>IFERROR(__xludf.DUMMYFUNCTION("""COMPUTED_VALUE"""),"Medium")</f>
        <v>Medium</v>
      </c>
      <c r="F1619" s="35">
        <f>IFERROR(__xludf.DUMMYFUNCTION("""COMPUTED_VALUE"""),80.0)</f>
        <v>80</v>
      </c>
      <c r="G1619" s="35">
        <f>IFERROR(__xludf.DUMMYFUNCTION("""COMPUTED_VALUE"""),14.0)</f>
        <v>14</v>
      </c>
      <c r="H1619" s="35" t="str">
        <f>IFERROR(__xludf.DUMMYFUNCTION("""COMPUTED_VALUE"""),"Algorithms")</f>
        <v>Algorithms</v>
      </c>
      <c r="I1619" s="35">
        <f>IFERROR(__xludf.DUMMYFUNCTION("""COMPUTED_VALUE"""),0.578)</f>
        <v>0.578</v>
      </c>
      <c r="J1619" s="35">
        <f>IFERROR(__xludf.DUMMYFUNCTION("""COMPUTED_VALUE"""),1618.0)</f>
        <v>1618</v>
      </c>
      <c r="K1619" s="35" t="b">
        <f>IFERROR(__xludf.DUMMYFUNCTION("""COMPUTED_VALUE"""),TRUE)</f>
        <v>1</v>
      </c>
      <c r="L1619" s="35" t="str">
        <f>IFERROR(__xludf.DUMMYFUNCTION("""COMPUTED_VALUE"""),"Array;String;Binary Search;Interactive;")</f>
        <v>Array;String;Binary Search;Interactive;</v>
      </c>
      <c r="M1619" s="35" t="b">
        <f>IFERROR(__xludf.DUMMYFUNCTION("""COMPUTED_VALUE"""),FALSE)</f>
        <v>0</v>
      </c>
      <c r="N1619" s="35" t="b">
        <f>IFERROR(__xludf.DUMMYFUNCTION("""COMPUTED_VALUE"""),FALSE)</f>
        <v>0</v>
      </c>
      <c r="O1619" s="35">
        <f>IFERROR(__xludf.DUMMYFUNCTION("""COMPUTED_VALUE"""),57.7766822775449)</f>
        <v>57.77668228</v>
      </c>
      <c r="P1619" s="35">
        <f>IFERROR(__xludf.DUMMYFUNCTION("""COMPUTED_VALUE"""),4688.0)</f>
        <v>4688</v>
      </c>
      <c r="Q1619" s="35">
        <f>IFERROR(__xludf.DUMMYFUNCTION("""COMPUTED_VALUE"""),8114.0)</f>
        <v>8114</v>
      </c>
    </row>
    <row r="1620">
      <c r="A1620" s="35">
        <f>IFERROR(__xludf.DUMMYFUNCTION("""COMPUTED_VALUE"""),1210.0)</f>
        <v>1210</v>
      </c>
      <c r="B1620" s="35" t="str">
        <f>IFERROR(__xludf.DUMMYFUNCTION("""COMPUTED_VALUE"""),"Mean of Array After Removing Some Elements")</f>
        <v>Mean of Array After Removing Some Elements</v>
      </c>
      <c r="C1620" s="35" t="str">
        <f>IFERROR(__xludf.DUMMYFUNCTION("""COMPUTED_VALUE"""),"mean-of-array-after-removing-some-elements")</f>
        <v>mean-of-array-after-removing-some-elements</v>
      </c>
      <c r="D1620" s="35" t="b">
        <f>IFERROR(__xludf.DUMMYFUNCTION("""COMPUTED_VALUE"""),FALSE)</f>
        <v>0</v>
      </c>
      <c r="E1620" s="35" t="str">
        <f>IFERROR(__xludf.DUMMYFUNCTION("""COMPUTED_VALUE"""),"Easy")</f>
        <v>Easy</v>
      </c>
      <c r="F1620" s="35">
        <f>IFERROR(__xludf.DUMMYFUNCTION("""COMPUTED_VALUE"""),252.0)</f>
        <v>252</v>
      </c>
      <c r="G1620" s="35">
        <f>IFERROR(__xludf.DUMMYFUNCTION("""COMPUTED_VALUE"""),73.0)</f>
        <v>73</v>
      </c>
      <c r="H1620" s="35" t="str">
        <f>IFERROR(__xludf.DUMMYFUNCTION("""COMPUTED_VALUE"""),"Algorithms")</f>
        <v>Algorithms</v>
      </c>
      <c r="I1620" s="35">
        <f>IFERROR(__xludf.DUMMYFUNCTION("""COMPUTED_VALUE"""),0.646)</f>
        <v>0.646</v>
      </c>
      <c r="J1620" s="35">
        <f>IFERROR(__xludf.DUMMYFUNCTION("""COMPUTED_VALUE"""),1619.0)</f>
        <v>1619</v>
      </c>
      <c r="K1620" s="35" t="b">
        <f>IFERROR(__xludf.DUMMYFUNCTION("""COMPUTED_VALUE"""),FALSE)</f>
        <v>0</v>
      </c>
      <c r="L1620" s="35" t="str">
        <f>IFERROR(__xludf.DUMMYFUNCTION("""COMPUTED_VALUE"""),"Array;Sorting;")</f>
        <v>Array;Sorting;</v>
      </c>
      <c r="M1620" s="35" t="b">
        <f>IFERROR(__xludf.DUMMYFUNCTION("""COMPUTED_VALUE"""),FALSE)</f>
        <v>0</v>
      </c>
      <c r="N1620" s="35" t="b">
        <f>IFERROR(__xludf.DUMMYFUNCTION("""COMPUTED_VALUE"""),FALSE)</f>
        <v>0</v>
      </c>
      <c r="O1620" s="35">
        <f>IFERROR(__xludf.DUMMYFUNCTION("""COMPUTED_VALUE"""),64.6492728828058)</f>
        <v>64.64927288</v>
      </c>
      <c r="P1620" s="35">
        <f>IFERROR(__xludf.DUMMYFUNCTION("""COMPUTED_VALUE"""),30230.0)</f>
        <v>30230</v>
      </c>
      <c r="Q1620" s="35">
        <f>IFERROR(__xludf.DUMMYFUNCTION("""COMPUTED_VALUE"""),46760.0)</f>
        <v>46760</v>
      </c>
    </row>
    <row r="1621">
      <c r="A1621" s="35">
        <f>IFERROR(__xludf.DUMMYFUNCTION("""COMPUTED_VALUE"""),1726.0)</f>
        <v>1726</v>
      </c>
      <c r="B1621" s="35" t="str">
        <f>IFERROR(__xludf.DUMMYFUNCTION("""COMPUTED_VALUE"""),"Coordinate With Maximum Network Quality")</f>
        <v>Coordinate With Maximum Network Quality</v>
      </c>
      <c r="C1621" s="35" t="str">
        <f>IFERROR(__xludf.DUMMYFUNCTION("""COMPUTED_VALUE"""),"coordinate-with-maximum-network-quality")</f>
        <v>coordinate-with-maximum-network-quality</v>
      </c>
      <c r="D1621" s="35" t="b">
        <f>IFERROR(__xludf.DUMMYFUNCTION("""COMPUTED_VALUE"""),FALSE)</f>
        <v>0</v>
      </c>
      <c r="E1621" s="35" t="str">
        <f>IFERROR(__xludf.DUMMYFUNCTION("""COMPUTED_VALUE"""),"Medium")</f>
        <v>Medium</v>
      </c>
      <c r="F1621" s="35">
        <f>IFERROR(__xludf.DUMMYFUNCTION("""COMPUTED_VALUE"""),58.0)</f>
        <v>58</v>
      </c>
      <c r="G1621" s="35">
        <f>IFERROR(__xludf.DUMMYFUNCTION("""COMPUTED_VALUE"""),196.0)</f>
        <v>196</v>
      </c>
      <c r="H1621" s="35" t="str">
        <f>IFERROR(__xludf.DUMMYFUNCTION("""COMPUTED_VALUE"""),"Algorithms")</f>
        <v>Algorithms</v>
      </c>
      <c r="I1621" s="35">
        <f>IFERROR(__xludf.DUMMYFUNCTION("""COMPUTED_VALUE"""),0.371)</f>
        <v>0.371</v>
      </c>
      <c r="J1621" s="35">
        <f>IFERROR(__xludf.DUMMYFUNCTION("""COMPUTED_VALUE"""),1620.0)</f>
        <v>1620</v>
      </c>
      <c r="K1621" s="35" t="b">
        <f>IFERROR(__xludf.DUMMYFUNCTION("""COMPUTED_VALUE"""),FALSE)</f>
        <v>0</v>
      </c>
      <c r="L1621" s="35" t="str">
        <f>IFERROR(__xludf.DUMMYFUNCTION("""COMPUTED_VALUE"""),"Array;Enumeration;")</f>
        <v>Array;Enumeration;</v>
      </c>
      <c r="M1621" s="35" t="b">
        <f>IFERROR(__xludf.DUMMYFUNCTION("""COMPUTED_VALUE"""),FALSE)</f>
        <v>0</v>
      </c>
      <c r="N1621" s="35" t="b">
        <f>IFERROR(__xludf.DUMMYFUNCTION("""COMPUTED_VALUE"""),FALSE)</f>
        <v>0</v>
      </c>
      <c r="O1621" s="35">
        <f>IFERROR(__xludf.DUMMYFUNCTION("""COMPUTED_VALUE"""),37.0519104706785)</f>
        <v>37.05191047</v>
      </c>
      <c r="P1621" s="35">
        <f>IFERROR(__xludf.DUMMYFUNCTION("""COMPUTED_VALUE"""),6274.0)</f>
        <v>6274</v>
      </c>
      <c r="Q1621" s="35">
        <f>IFERROR(__xludf.DUMMYFUNCTION("""COMPUTED_VALUE"""),16933.0)</f>
        <v>16933</v>
      </c>
    </row>
    <row r="1622">
      <c r="A1622" s="35">
        <f>IFERROR(__xludf.DUMMYFUNCTION("""COMPUTED_VALUE"""),1725.0)</f>
        <v>1725</v>
      </c>
      <c r="B1622" s="35" t="str">
        <f>IFERROR(__xludf.DUMMYFUNCTION("""COMPUTED_VALUE"""),"Number of Sets of K Non-Overlapping Line Segments")</f>
        <v>Number of Sets of K Non-Overlapping Line Segments</v>
      </c>
      <c r="C1622" s="35" t="str">
        <f>IFERROR(__xludf.DUMMYFUNCTION("""COMPUTED_VALUE"""),"number-of-sets-of-k-non-overlapping-line-segments")</f>
        <v>number-of-sets-of-k-non-overlapping-line-segments</v>
      </c>
      <c r="D1622" s="35" t="b">
        <f>IFERROR(__xludf.DUMMYFUNCTION("""COMPUTED_VALUE"""),FALSE)</f>
        <v>0</v>
      </c>
      <c r="E1622" s="35" t="str">
        <f>IFERROR(__xludf.DUMMYFUNCTION("""COMPUTED_VALUE"""),"Medium")</f>
        <v>Medium</v>
      </c>
      <c r="F1622" s="35">
        <f>IFERROR(__xludf.DUMMYFUNCTION("""COMPUTED_VALUE"""),306.0)</f>
        <v>306</v>
      </c>
      <c r="G1622" s="35">
        <f>IFERROR(__xludf.DUMMYFUNCTION("""COMPUTED_VALUE"""),33.0)</f>
        <v>33</v>
      </c>
      <c r="H1622" s="35" t="str">
        <f>IFERROR(__xludf.DUMMYFUNCTION("""COMPUTED_VALUE"""),"Algorithms")</f>
        <v>Algorithms</v>
      </c>
      <c r="I1622" s="35">
        <f>IFERROR(__xludf.DUMMYFUNCTION("""COMPUTED_VALUE"""),0.425)</f>
        <v>0.425</v>
      </c>
      <c r="J1622" s="35">
        <f>IFERROR(__xludf.DUMMYFUNCTION("""COMPUTED_VALUE"""),1621.0)</f>
        <v>1621</v>
      </c>
      <c r="K1622" s="35" t="b">
        <f>IFERROR(__xludf.DUMMYFUNCTION("""COMPUTED_VALUE"""),FALSE)</f>
        <v>0</v>
      </c>
      <c r="L1622" s="35" t="str">
        <f>IFERROR(__xludf.DUMMYFUNCTION("""COMPUTED_VALUE"""),"Math;Dynamic Programming;")</f>
        <v>Math;Dynamic Programming;</v>
      </c>
      <c r="M1622" s="35" t="b">
        <f>IFERROR(__xludf.DUMMYFUNCTION("""COMPUTED_VALUE"""),FALSE)</f>
        <v>0</v>
      </c>
      <c r="N1622" s="35" t="b">
        <f>IFERROR(__xludf.DUMMYFUNCTION("""COMPUTED_VALUE"""),FALSE)</f>
        <v>0</v>
      </c>
      <c r="O1622" s="35">
        <f>IFERROR(__xludf.DUMMYFUNCTION("""COMPUTED_VALUE"""),42.4670064027178)</f>
        <v>42.4670064</v>
      </c>
      <c r="P1622" s="35">
        <f>IFERROR(__xludf.DUMMYFUNCTION("""COMPUTED_VALUE"""),6500.0)</f>
        <v>6500</v>
      </c>
      <c r="Q1622" s="35">
        <f>IFERROR(__xludf.DUMMYFUNCTION("""COMPUTED_VALUE"""),15306.0)</f>
        <v>15306</v>
      </c>
    </row>
    <row r="1623">
      <c r="A1623" s="35">
        <f>IFERROR(__xludf.DUMMYFUNCTION("""COMPUTED_VALUE"""),1728.0)</f>
        <v>1728</v>
      </c>
      <c r="B1623" s="35" t="str">
        <f>IFERROR(__xludf.DUMMYFUNCTION("""COMPUTED_VALUE"""),"Fancy Sequence")</f>
        <v>Fancy Sequence</v>
      </c>
      <c r="C1623" s="35" t="str">
        <f>IFERROR(__xludf.DUMMYFUNCTION("""COMPUTED_VALUE"""),"fancy-sequence")</f>
        <v>fancy-sequence</v>
      </c>
      <c r="D1623" s="35" t="b">
        <f>IFERROR(__xludf.DUMMYFUNCTION("""COMPUTED_VALUE"""),FALSE)</f>
        <v>0</v>
      </c>
      <c r="E1623" s="35" t="str">
        <f>IFERROR(__xludf.DUMMYFUNCTION("""COMPUTED_VALUE"""),"Hard")</f>
        <v>Hard</v>
      </c>
      <c r="F1623" s="35">
        <f>IFERROR(__xludf.DUMMYFUNCTION("""COMPUTED_VALUE"""),235.0)</f>
        <v>235</v>
      </c>
      <c r="G1623" s="35">
        <f>IFERROR(__xludf.DUMMYFUNCTION("""COMPUTED_VALUE"""),86.0)</f>
        <v>86</v>
      </c>
      <c r="H1623" s="35" t="str">
        <f>IFERROR(__xludf.DUMMYFUNCTION("""COMPUTED_VALUE"""),"Algorithms")</f>
        <v>Algorithms</v>
      </c>
      <c r="I1623" s="35">
        <f>IFERROR(__xludf.DUMMYFUNCTION("""COMPUTED_VALUE"""),0.153)</f>
        <v>0.153</v>
      </c>
      <c r="J1623" s="35">
        <f>IFERROR(__xludf.DUMMYFUNCTION("""COMPUTED_VALUE"""),1622.0)</f>
        <v>1622</v>
      </c>
      <c r="K1623" s="35" t="b">
        <f>IFERROR(__xludf.DUMMYFUNCTION("""COMPUTED_VALUE"""),FALSE)</f>
        <v>0</v>
      </c>
      <c r="L1623" s="35" t="str">
        <f>IFERROR(__xludf.DUMMYFUNCTION("""COMPUTED_VALUE"""),"Math;Design;Segment Tree;")</f>
        <v>Math;Design;Segment Tree;</v>
      </c>
      <c r="M1623" s="35" t="b">
        <f>IFERROR(__xludf.DUMMYFUNCTION("""COMPUTED_VALUE"""),FALSE)</f>
        <v>0</v>
      </c>
      <c r="N1623" s="35" t="b">
        <f>IFERROR(__xludf.DUMMYFUNCTION("""COMPUTED_VALUE"""),FALSE)</f>
        <v>0</v>
      </c>
      <c r="O1623" s="35">
        <f>IFERROR(__xludf.DUMMYFUNCTION("""COMPUTED_VALUE"""),15.3398772442012)</f>
        <v>15.33987724</v>
      </c>
      <c r="P1623" s="35">
        <f>IFERROR(__xludf.DUMMYFUNCTION("""COMPUTED_VALUE"""),6673.0)</f>
        <v>6673</v>
      </c>
      <c r="Q1623" s="35">
        <f>IFERROR(__xludf.DUMMYFUNCTION("""COMPUTED_VALUE"""),43499.0)</f>
        <v>43499</v>
      </c>
    </row>
    <row r="1624">
      <c r="A1624" s="35">
        <f>IFERROR(__xludf.DUMMYFUNCTION("""COMPUTED_VALUE"""),1763.0)</f>
        <v>1763</v>
      </c>
      <c r="B1624" s="35" t="str">
        <f>IFERROR(__xludf.DUMMYFUNCTION("""COMPUTED_VALUE"""),"All Valid Triplets That Can Represent a Country")</f>
        <v>All Valid Triplets That Can Represent a Country</v>
      </c>
      <c r="C1624" s="35" t="str">
        <f>IFERROR(__xludf.DUMMYFUNCTION("""COMPUTED_VALUE"""),"all-valid-triplets-that-can-represent-a-country")</f>
        <v>all-valid-triplets-that-can-represent-a-country</v>
      </c>
      <c r="D1624" s="35" t="b">
        <f>IFERROR(__xludf.DUMMYFUNCTION("""COMPUTED_VALUE"""),TRUE)</f>
        <v>1</v>
      </c>
      <c r="E1624" s="35" t="str">
        <f>IFERROR(__xludf.DUMMYFUNCTION("""COMPUTED_VALUE"""),"Easy")</f>
        <v>Easy</v>
      </c>
      <c r="F1624" s="35">
        <f>IFERROR(__xludf.DUMMYFUNCTION("""COMPUTED_VALUE"""),47.0)</f>
        <v>47</v>
      </c>
      <c r="G1624" s="35">
        <f>IFERROR(__xludf.DUMMYFUNCTION("""COMPUTED_VALUE"""),83.0)</f>
        <v>83</v>
      </c>
      <c r="H1624" s="35" t="str">
        <f>IFERROR(__xludf.DUMMYFUNCTION("""COMPUTED_VALUE"""),"Database")</f>
        <v>Database</v>
      </c>
      <c r="I1624" s="35">
        <f>IFERROR(__xludf.DUMMYFUNCTION("""COMPUTED_VALUE"""),0.885)</f>
        <v>0.885</v>
      </c>
      <c r="J1624" s="35">
        <f>IFERROR(__xludf.DUMMYFUNCTION("""COMPUTED_VALUE"""),1623.0)</f>
        <v>1623</v>
      </c>
      <c r="K1624" s="35" t="b">
        <f>IFERROR(__xludf.DUMMYFUNCTION("""COMPUTED_VALUE"""),TRUE)</f>
        <v>1</v>
      </c>
      <c r="L1624" s="35" t="str">
        <f>IFERROR(__xludf.DUMMYFUNCTION("""COMPUTED_VALUE"""),"Database;")</f>
        <v>Database;</v>
      </c>
      <c r="M1624" s="35" t="b">
        <f>IFERROR(__xludf.DUMMYFUNCTION("""COMPUTED_VALUE"""),FALSE)</f>
        <v>0</v>
      </c>
      <c r="N1624" s="35" t="b">
        <f>IFERROR(__xludf.DUMMYFUNCTION("""COMPUTED_VALUE"""),FALSE)</f>
        <v>0</v>
      </c>
      <c r="O1624" s="35">
        <f>IFERROR(__xludf.DUMMYFUNCTION("""COMPUTED_VALUE"""),88.4504191962995)</f>
        <v>88.4504192</v>
      </c>
      <c r="P1624" s="35">
        <f>IFERROR(__xludf.DUMMYFUNCTION("""COMPUTED_VALUE"""),12238.0)</f>
        <v>12238</v>
      </c>
      <c r="Q1624" s="35">
        <f>IFERROR(__xludf.DUMMYFUNCTION("""COMPUTED_VALUE"""),13836.0)</f>
        <v>13836</v>
      </c>
    </row>
    <row r="1625">
      <c r="A1625" s="35">
        <f>IFERROR(__xludf.DUMMYFUNCTION("""COMPUTED_VALUE"""),1746.0)</f>
        <v>1746</v>
      </c>
      <c r="B1625" s="35" t="str">
        <f>IFERROR(__xludf.DUMMYFUNCTION("""COMPUTED_VALUE"""),"Largest Substring Between Two Equal Characters")</f>
        <v>Largest Substring Between Two Equal Characters</v>
      </c>
      <c r="C1625" s="35" t="str">
        <f>IFERROR(__xludf.DUMMYFUNCTION("""COMPUTED_VALUE"""),"largest-substring-between-two-equal-characters")</f>
        <v>largest-substring-between-two-equal-characters</v>
      </c>
      <c r="D1625" s="35" t="b">
        <f>IFERROR(__xludf.DUMMYFUNCTION("""COMPUTED_VALUE"""),FALSE)</f>
        <v>0</v>
      </c>
      <c r="E1625" s="35" t="str">
        <f>IFERROR(__xludf.DUMMYFUNCTION("""COMPUTED_VALUE"""),"Easy")</f>
        <v>Easy</v>
      </c>
      <c r="F1625" s="35">
        <f>IFERROR(__xludf.DUMMYFUNCTION("""COMPUTED_VALUE"""),365.0)</f>
        <v>365</v>
      </c>
      <c r="G1625" s="35">
        <f>IFERROR(__xludf.DUMMYFUNCTION("""COMPUTED_VALUE"""),21.0)</f>
        <v>21</v>
      </c>
      <c r="H1625" s="35" t="str">
        <f>IFERROR(__xludf.DUMMYFUNCTION("""COMPUTED_VALUE"""),"Algorithms")</f>
        <v>Algorithms</v>
      </c>
      <c r="I1625" s="35">
        <f>IFERROR(__xludf.DUMMYFUNCTION("""COMPUTED_VALUE"""),0.592)</f>
        <v>0.592</v>
      </c>
      <c r="J1625" s="35">
        <f>IFERROR(__xludf.DUMMYFUNCTION("""COMPUTED_VALUE"""),1624.0)</f>
        <v>1624</v>
      </c>
      <c r="K1625" s="35" t="b">
        <f>IFERROR(__xludf.DUMMYFUNCTION("""COMPUTED_VALUE"""),FALSE)</f>
        <v>0</v>
      </c>
      <c r="L1625" s="35" t="str">
        <f>IFERROR(__xludf.DUMMYFUNCTION("""COMPUTED_VALUE"""),"Hash Table;String;")</f>
        <v>Hash Table;String;</v>
      </c>
      <c r="M1625" s="35" t="b">
        <f>IFERROR(__xludf.DUMMYFUNCTION("""COMPUTED_VALUE"""),FALSE)</f>
        <v>0</v>
      </c>
      <c r="N1625" s="35" t="b">
        <f>IFERROR(__xludf.DUMMYFUNCTION("""COMPUTED_VALUE"""),FALSE)</f>
        <v>0</v>
      </c>
      <c r="O1625" s="35">
        <f>IFERROR(__xludf.DUMMYFUNCTION("""COMPUTED_VALUE"""),59.1912413914886)</f>
        <v>59.19124139</v>
      </c>
      <c r="P1625" s="35">
        <f>IFERROR(__xludf.DUMMYFUNCTION("""COMPUTED_VALUE"""),30168.0)</f>
        <v>30168</v>
      </c>
      <c r="Q1625" s="35">
        <f>IFERROR(__xludf.DUMMYFUNCTION("""COMPUTED_VALUE"""),50965.0)</f>
        <v>50965</v>
      </c>
    </row>
    <row r="1626">
      <c r="A1626" s="35">
        <f>IFERROR(__xludf.DUMMYFUNCTION("""COMPUTED_VALUE"""),1747.0)</f>
        <v>1747</v>
      </c>
      <c r="B1626" s="35" t="str">
        <f>IFERROR(__xludf.DUMMYFUNCTION("""COMPUTED_VALUE"""),"Lexicographically Smallest String After Applying Operations")</f>
        <v>Lexicographically Smallest String After Applying Operations</v>
      </c>
      <c r="C1626" s="35" t="str">
        <f>IFERROR(__xludf.DUMMYFUNCTION("""COMPUTED_VALUE"""),"lexicographically-smallest-string-after-applying-operations")</f>
        <v>lexicographically-smallest-string-after-applying-operations</v>
      </c>
      <c r="D1626" s="35" t="b">
        <f>IFERROR(__xludf.DUMMYFUNCTION("""COMPUTED_VALUE"""),FALSE)</f>
        <v>0</v>
      </c>
      <c r="E1626" s="35" t="str">
        <f>IFERROR(__xludf.DUMMYFUNCTION("""COMPUTED_VALUE"""),"Medium")</f>
        <v>Medium</v>
      </c>
      <c r="F1626" s="35">
        <f>IFERROR(__xludf.DUMMYFUNCTION("""COMPUTED_VALUE"""),220.0)</f>
        <v>220</v>
      </c>
      <c r="G1626" s="35">
        <f>IFERROR(__xludf.DUMMYFUNCTION("""COMPUTED_VALUE"""),221.0)</f>
        <v>221</v>
      </c>
      <c r="H1626" s="35" t="str">
        <f>IFERROR(__xludf.DUMMYFUNCTION("""COMPUTED_VALUE"""),"Algorithms")</f>
        <v>Algorithms</v>
      </c>
      <c r="I1626" s="35">
        <f>IFERROR(__xludf.DUMMYFUNCTION("""COMPUTED_VALUE"""),0.661)</f>
        <v>0.661</v>
      </c>
      <c r="J1626" s="35">
        <f>IFERROR(__xludf.DUMMYFUNCTION("""COMPUTED_VALUE"""),1625.0)</f>
        <v>1625</v>
      </c>
      <c r="K1626" s="35" t="b">
        <f>IFERROR(__xludf.DUMMYFUNCTION("""COMPUTED_VALUE"""),FALSE)</f>
        <v>0</v>
      </c>
      <c r="L1626" s="35" t="str">
        <f>IFERROR(__xludf.DUMMYFUNCTION("""COMPUTED_VALUE"""),"String;Breadth-First Search;")</f>
        <v>String;Breadth-First Search;</v>
      </c>
      <c r="M1626" s="35" t="b">
        <f>IFERROR(__xludf.DUMMYFUNCTION("""COMPUTED_VALUE"""),FALSE)</f>
        <v>0</v>
      </c>
      <c r="N1626" s="35" t="b">
        <f>IFERROR(__xludf.DUMMYFUNCTION("""COMPUTED_VALUE"""),FALSE)</f>
        <v>0</v>
      </c>
      <c r="O1626" s="35">
        <f>IFERROR(__xludf.DUMMYFUNCTION("""COMPUTED_VALUE"""),66.1335780297568)</f>
        <v>66.13357803</v>
      </c>
      <c r="P1626" s="35">
        <f>IFERROR(__xludf.DUMMYFUNCTION("""COMPUTED_VALUE"""),10090.0)</f>
        <v>10090</v>
      </c>
      <c r="Q1626" s="35">
        <f>IFERROR(__xludf.DUMMYFUNCTION("""COMPUTED_VALUE"""),15257.0)</f>
        <v>15257</v>
      </c>
    </row>
    <row r="1627">
      <c r="A1627" s="35">
        <f>IFERROR(__xludf.DUMMYFUNCTION("""COMPUTED_VALUE"""),1748.0)</f>
        <v>1748</v>
      </c>
      <c r="B1627" s="35" t="str">
        <f>IFERROR(__xludf.DUMMYFUNCTION("""COMPUTED_VALUE"""),"Best Team With No Conflicts")</f>
        <v>Best Team With No Conflicts</v>
      </c>
      <c r="C1627" s="35" t="str">
        <f>IFERROR(__xludf.DUMMYFUNCTION("""COMPUTED_VALUE"""),"best-team-with-no-conflicts")</f>
        <v>best-team-with-no-conflicts</v>
      </c>
      <c r="D1627" s="35" t="b">
        <f>IFERROR(__xludf.DUMMYFUNCTION("""COMPUTED_VALUE"""),FALSE)</f>
        <v>0</v>
      </c>
      <c r="E1627" s="35" t="str">
        <f>IFERROR(__xludf.DUMMYFUNCTION("""COMPUTED_VALUE"""),"Medium")</f>
        <v>Medium</v>
      </c>
      <c r="F1627" s="35">
        <f>IFERROR(__xludf.DUMMYFUNCTION("""COMPUTED_VALUE"""),760.0)</f>
        <v>760</v>
      </c>
      <c r="G1627" s="35">
        <f>IFERROR(__xludf.DUMMYFUNCTION("""COMPUTED_VALUE"""),27.0)</f>
        <v>27</v>
      </c>
      <c r="H1627" s="35" t="str">
        <f>IFERROR(__xludf.DUMMYFUNCTION("""COMPUTED_VALUE"""),"Algorithms")</f>
        <v>Algorithms</v>
      </c>
      <c r="I1627" s="35">
        <f>IFERROR(__xludf.DUMMYFUNCTION("""COMPUTED_VALUE"""),0.405)</f>
        <v>0.405</v>
      </c>
      <c r="J1627" s="35">
        <f>IFERROR(__xludf.DUMMYFUNCTION("""COMPUTED_VALUE"""),1626.0)</f>
        <v>1626</v>
      </c>
      <c r="K1627" s="35" t="b">
        <f>IFERROR(__xludf.DUMMYFUNCTION("""COMPUTED_VALUE"""),FALSE)</f>
        <v>0</v>
      </c>
      <c r="L1627" s="35" t="str">
        <f>IFERROR(__xludf.DUMMYFUNCTION("""COMPUTED_VALUE"""),"Array;Dynamic Programming;Sorting;")</f>
        <v>Array;Dynamic Programming;Sorting;</v>
      </c>
      <c r="M1627" s="35" t="b">
        <f>IFERROR(__xludf.DUMMYFUNCTION("""COMPUTED_VALUE"""),FALSE)</f>
        <v>0</v>
      </c>
      <c r="N1627" s="35" t="b">
        <f>IFERROR(__xludf.DUMMYFUNCTION("""COMPUTED_VALUE"""),FALSE)</f>
        <v>0</v>
      </c>
      <c r="O1627" s="35">
        <f>IFERROR(__xludf.DUMMYFUNCTION("""COMPUTED_VALUE"""),40.4683285275788)</f>
        <v>40.46832853</v>
      </c>
      <c r="P1627" s="35">
        <f>IFERROR(__xludf.DUMMYFUNCTION("""COMPUTED_VALUE"""),17403.0)</f>
        <v>17403</v>
      </c>
      <c r="Q1627" s="35">
        <f>IFERROR(__xludf.DUMMYFUNCTION("""COMPUTED_VALUE"""),43004.0)</f>
        <v>43004</v>
      </c>
    </row>
    <row r="1628">
      <c r="A1628" s="35">
        <f>IFERROR(__xludf.DUMMYFUNCTION("""COMPUTED_VALUE"""),1223.0)</f>
        <v>1223</v>
      </c>
      <c r="B1628" s="35" t="str">
        <f>IFERROR(__xludf.DUMMYFUNCTION("""COMPUTED_VALUE"""),"Graph Connectivity With Threshold")</f>
        <v>Graph Connectivity With Threshold</v>
      </c>
      <c r="C1628" s="35" t="str">
        <f>IFERROR(__xludf.DUMMYFUNCTION("""COMPUTED_VALUE"""),"graph-connectivity-with-threshold")</f>
        <v>graph-connectivity-with-threshold</v>
      </c>
      <c r="D1628" s="35" t="b">
        <f>IFERROR(__xludf.DUMMYFUNCTION("""COMPUTED_VALUE"""),FALSE)</f>
        <v>0</v>
      </c>
      <c r="E1628" s="35" t="str">
        <f>IFERROR(__xludf.DUMMYFUNCTION("""COMPUTED_VALUE"""),"Hard")</f>
        <v>Hard</v>
      </c>
      <c r="F1628" s="35">
        <f>IFERROR(__xludf.DUMMYFUNCTION("""COMPUTED_VALUE"""),301.0)</f>
        <v>301</v>
      </c>
      <c r="G1628" s="35">
        <f>IFERROR(__xludf.DUMMYFUNCTION("""COMPUTED_VALUE"""),23.0)</f>
        <v>23</v>
      </c>
      <c r="H1628" s="35" t="str">
        <f>IFERROR(__xludf.DUMMYFUNCTION("""COMPUTED_VALUE"""),"Algorithms")</f>
        <v>Algorithms</v>
      </c>
      <c r="I1628" s="35">
        <f>IFERROR(__xludf.DUMMYFUNCTION("""COMPUTED_VALUE"""),0.441)</f>
        <v>0.441</v>
      </c>
      <c r="J1628" s="35">
        <f>IFERROR(__xludf.DUMMYFUNCTION("""COMPUTED_VALUE"""),1627.0)</f>
        <v>1627</v>
      </c>
      <c r="K1628" s="35" t="b">
        <f>IFERROR(__xludf.DUMMYFUNCTION("""COMPUTED_VALUE"""),FALSE)</f>
        <v>0</v>
      </c>
      <c r="L1628" s="35" t="str">
        <f>IFERROR(__xludf.DUMMYFUNCTION("""COMPUTED_VALUE"""),"Array;Math;Union Find;")</f>
        <v>Array;Math;Union Find;</v>
      </c>
      <c r="M1628" s="35" t="b">
        <f>IFERROR(__xludf.DUMMYFUNCTION("""COMPUTED_VALUE"""),FALSE)</f>
        <v>0</v>
      </c>
      <c r="N1628" s="35" t="b">
        <f>IFERROR(__xludf.DUMMYFUNCTION("""COMPUTED_VALUE"""),FALSE)</f>
        <v>0</v>
      </c>
      <c r="O1628" s="35">
        <f>IFERROR(__xludf.DUMMYFUNCTION("""COMPUTED_VALUE"""),44.0765436609426)</f>
        <v>44.07654366</v>
      </c>
      <c r="P1628" s="35">
        <f>IFERROR(__xludf.DUMMYFUNCTION("""COMPUTED_VALUE"""),9651.0)</f>
        <v>9651</v>
      </c>
      <c r="Q1628" s="35">
        <f>IFERROR(__xludf.DUMMYFUNCTION("""COMPUTED_VALUE"""),21896.0)</f>
        <v>21896</v>
      </c>
    </row>
    <row r="1629">
      <c r="A1629" s="35">
        <f>IFERROR(__xludf.DUMMYFUNCTION("""COMPUTED_VALUE"""),1768.0)</f>
        <v>1768</v>
      </c>
      <c r="B1629" s="35" t="str">
        <f>IFERROR(__xludf.DUMMYFUNCTION("""COMPUTED_VALUE"""),"Design an Expression Tree With Evaluate Function")</f>
        <v>Design an Expression Tree With Evaluate Function</v>
      </c>
      <c r="C1629" s="35" t="str">
        <f>IFERROR(__xludf.DUMMYFUNCTION("""COMPUTED_VALUE"""),"design-an-expression-tree-with-evaluate-function")</f>
        <v>design-an-expression-tree-with-evaluate-function</v>
      </c>
      <c r="D1629" s="35" t="b">
        <f>IFERROR(__xludf.DUMMYFUNCTION("""COMPUTED_VALUE"""),TRUE)</f>
        <v>1</v>
      </c>
      <c r="E1629" s="35" t="str">
        <f>IFERROR(__xludf.DUMMYFUNCTION("""COMPUTED_VALUE"""),"Medium")</f>
        <v>Medium</v>
      </c>
      <c r="F1629" s="35">
        <f>IFERROR(__xludf.DUMMYFUNCTION("""COMPUTED_VALUE"""),302.0)</f>
        <v>302</v>
      </c>
      <c r="G1629" s="35">
        <f>IFERROR(__xludf.DUMMYFUNCTION("""COMPUTED_VALUE"""),48.0)</f>
        <v>48</v>
      </c>
      <c r="H1629" s="35" t="str">
        <f>IFERROR(__xludf.DUMMYFUNCTION("""COMPUTED_VALUE"""),"Algorithms")</f>
        <v>Algorithms</v>
      </c>
      <c r="I1629" s="35">
        <f>IFERROR(__xludf.DUMMYFUNCTION("""COMPUTED_VALUE"""),0.815)</f>
        <v>0.815</v>
      </c>
      <c r="J1629" s="35">
        <f>IFERROR(__xludf.DUMMYFUNCTION("""COMPUTED_VALUE"""),1628.0)</f>
        <v>1628</v>
      </c>
      <c r="K1629" s="35" t="b">
        <f>IFERROR(__xludf.DUMMYFUNCTION("""COMPUTED_VALUE"""),TRUE)</f>
        <v>1</v>
      </c>
      <c r="L1629" s="35" t="str">
        <f>IFERROR(__xludf.DUMMYFUNCTION("""COMPUTED_VALUE"""),"Math;Stack;Tree;Design;Binary Tree;")</f>
        <v>Math;Stack;Tree;Design;Binary Tree;</v>
      </c>
      <c r="M1629" s="35" t="b">
        <f>IFERROR(__xludf.DUMMYFUNCTION("""COMPUTED_VALUE"""),FALSE)</f>
        <v>0</v>
      </c>
      <c r="N1629" s="35" t="b">
        <f>IFERROR(__xludf.DUMMYFUNCTION("""COMPUTED_VALUE"""),FALSE)</f>
        <v>0</v>
      </c>
      <c r="O1629" s="35">
        <f>IFERROR(__xludf.DUMMYFUNCTION("""COMPUTED_VALUE"""),81.5153456409061)</f>
        <v>81.51534564</v>
      </c>
      <c r="P1629" s="35">
        <f>IFERROR(__xludf.DUMMYFUNCTION("""COMPUTED_VALUE"""),13997.0)</f>
        <v>13997</v>
      </c>
      <c r="Q1629" s="35">
        <f>IFERROR(__xludf.DUMMYFUNCTION("""COMPUTED_VALUE"""),17171.0)</f>
        <v>17171</v>
      </c>
    </row>
    <row r="1630">
      <c r="A1630" s="35">
        <f>IFERROR(__xludf.DUMMYFUNCTION("""COMPUTED_VALUE"""),1751.0)</f>
        <v>1751</v>
      </c>
      <c r="B1630" s="35" t="str">
        <f>IFERROR(__xludf.DUMMYFUNCTION("""COMPUTED_VALUE"""),"Slowest Key")</f>
        <v>Slowest Key</v>
      </c>
      <c r="C1630" s="35" t="str">
        <f>IFERROR(__xludf.DUMMYFUNCTION("""COMPUTED_VALUE"""),"slowest-key")</f>
        <v>slowest-key</v>
      </c>
      <c r="D1630" s="35" t="b">
        <f>IFERROR(__xludf.DUMMYFUNCTION("""COMPUTED_VALUE"""),FALSE)</f>
        <v>0</v>
      </c>
      <c r="E1630" s="35" t="str">
        <f>IFERROR(__xludf.DUMMYFUNCTION("""COMPUTED_VALUE"""),"Easy")</f>
        <v>Easy</v>
      </c>
      <c r="F1630" s="35">
        <f>IFERROR(__xludf.DUMMYFUNCTION("""COMPUTED_VALUE"""),500.0)</f>
        <v>500</v>
      </c>
      <c r="G1630" s="35">
        <f>IFERROR(__xludf.DUMMYFUNCTION("""COMPUTED_VALUE"""),83.0)</f>
        <v>83</v>
      </c>
      <c r="H1630" s="35" t="str">
        <f>IFERROR(__xludf.DUMMYFUNCTION("""COMPUTED_VALUE"""),"Algorithms")</f>
        <v>Algorithms</v>
      </c>
      <c r="I1630" s="35">
        <f>IFERROR(__xludf.DUMMYFUNCTION("""COMPUTED_VALUE"""),0.597)</f>
        <v>0.597</v>
      </c>
      <c r="J1630" s="35">
        <f>IFERROR(__xludf.DUMMYFUNCTION("""COMPUTED_VALUE"""),1629.0)</f>
        <v>1629</v>
      </c>
      <c r="K1630" s="35" t="b">
        <f>IFERROR(__xludf.DUMMYFUNCTION("""COMPUTED_VALUE"""),FALSE)</f>
        <v>0</v>
      </c>
      <c r="L1630" s="35" t="str">
        <f>IFERROR(__xludf.DUMMYFUNCTION("""COMPUTED_VALUE"""),"Array;String;")</f>
        <v>Array;String;</v>
      </c>
      <c r="M1630" s="35" t="b">
        <f>IFERROR(__xludf.DUMMYFUNCTION("""COMPUTED_VALUE"""),TRUE)</f>
        <v>1</v>
      </c>
      <c r="N1630" s="35" t="b">
        <f>IFERROR(__xludf.DUMMYFUNCTION("""COMPUTED_VALUE"""),FALSE)</f>
        <v>0</v>
      </c>
      <c r="O1630" s="35">
        <f>IFERROR(__xludf.DUMMYFUNCTION("""COMPUTED_VALUE"""),59.674170664035)</f>
        <v>59.67417066</v>
      </c>
      <c r="P1630" s="35">
        <f>IFERROR(__xludf.DUMMYFUNCTION("""COMPUTED_VALUE"""),73770.0)</f>
        <v>73770</v>
      </c>
      <c r="Q1630" s="35">
        <f>IFERROR(__xludf.DUMMYFUNCTION("""COMPUTED_VALUE"""),123622.0)</f>
        <v>123622</v>
      </c>
    </row>
    <row r="1631">
      <c r="A1631" s="35">
        <f>IFERROR(__xludf.DUMMYFUNCTION("""COMPUTED_VALUE"""),1752.0)</f>
        <v>1752</v>
      </c>
      <c r="B1631" s="35" t="str">
        <f>IFERROR(__xludf.DUMMYFUNCTION("""COMPUTED_VALUE"""),"Arithmetic Subarrays")</f>
        <v>Arithmetic Subarrays</v>
      </c>
      <c r="C1631" s="35" t="str">
        <f>IFERROR(__xludf.DUMMYFUNCTION("""COMPUTED_VALUE"""),"arithmetic-subarrays")</f>
        <v>arithmetic-subarrays</v>
      </c>
      <c r="D1631" s="35" t="b">
        <f>IFERROR(__xludf.DUMMYFUNCTION("""COMPUTED_VALUE"""),FALSE)</f>
        <v>0</v>
      </c>
      <c r="E1631" s="35" t="str">
        <f>IFERROR(__xludf.DUMMYFUNCTION("""COMPUTED_VALUE"""),"Medium")</f>
        <v>Medium</v>
      </c>
      <c r="F1631" s="35">
        <f>IFERROR(__xludf.DUMMYFUNCTION("""COMPUTED_VALUE"""),556.0)</f>
        <v>556</v>
      </c>
      <c r="G1631" s="35">
        <f>IFERROR(__xludf.DUMMYFUNCTION("""COMPUTED_VALUE"""),63.0)</f>
        <v>63</v>
      </c>
      <c r="H1631" s="35" t="str">
        <f>IFERROR(__xludf.DUMMYFUNCTION("""COMPUTED_VALUE"""),"Algorithms")</f>
        <v>Algorithms</v>
      </c>
      <c r="I1631" s="35">
        <f>IFERROR(__xludf.DUMMYFUNCTION("""COMPUTED_VALUE"""),0.784)</f>
        <v>0.784</v>
      </c>
      <c r="J1631" s="35">
        <f>IFERROR(__xludf.DUMMYFUNCTION("""COMPUTED_VALUE"""),1630.0)</f>
        <v>1630</v>
      </c>
      <c r="K1631" s="35" t="b">
        <f>IFERROR(__xludf.DUMMYFUNCTION("""COMPUTED_VALUE"""),FALSE)</f>
        <v>0</v>
      </c>
      <c r="L1631" s="35" t="str">
        <f>IFERROR(__xludf.DUMMYFUNCTION("""COMPUTED_VALUE"""),"Array;Sorting;")</f>
        <v>Array;Sorting;</v>
      </c>
      <c r="M1631" s="35" t="b">
        <f>IFERROR(__xludf.DUMMYFUNCTION("""COMPUTED_VALUE"""),FALSE)</f>
        <v>0</v>
      </c>
      <c r="N1631" s="35" t="b">
        <f>IFERROR(__xludf.DUMMYFUNCTION("""COMPUTED_VALUE"""),FALSE)</f>
        <v>0</v>
      </c>
      <c r="O1631" s="35">
        <f>IFERROR(__xludf.DUMMYFUNCTION("""COMPUTED_VALUE"""),78.3774511097622)</f>
        <v>78.37745111</v>
      </c>
      <c r="P1631" s="35">
        <f>IFERROR(__xludf.DUMMYFUNCTION("""COMPUTED_VALUE"""),29698.0)</f>
        <v>29698</v>
      </c>
      <c r="Q1631" s="35">
        <f>IFERROR(__xludf.DUMMYFUNCTION("""COMPUTED_VALUE"""),37891.0)</f>
        <v>37891</v>
      </c>
    </row>
    <row r="1632">
      <c r="A1632" s="35">
        <f>IFERROR(__xludf.DUMMYFUNCTION("""COMPUTED_VALUE"""),1753.0)</f>
        <v>1753</v>
      </c>
      <c r="B1632" s="35" t="str">
        <f>IFERROR(__xludf.DUMMYFUNCTION("""COMPUTED_VALUE"""),"Path With Minimum Effort")</f>
        <v>Path With Minimum Effort</v>
      </c>
      <c r="C1632" s="35" t="str">
        <f>IFERROR(__xludf.DUMMYFUNCTION("""COMPUTED_VALUE"""),"path-with-minimum-effort")</f>
        <v>path-with-minimum-effort</v>
      </c>
      <c r="D1632" s="35" t="b">
        <f>IFERROR(__xludf.DUMMYFUNCTION("""COMPUTED_VALUE"""),FALSE)</f>
        <v>0</v>
      </c>
      <c r="E1632" s="35" t="str">
        <f>IFERROR(__xludf.DUMMYFUNCTION("""COMPUTED_VALUE"""),"Medium")</f>
        <v>Medium</v>
      </c>
      <c r="F1632" s="35">
        <f>IFERROR(__xludf.DUMMYFUNCTION("""COMPUTED_VALUE"""),1983.0)</f>
        <v>1983</v>
      </c>
      <c r="G1632" s="35">
        <f>IFERROR(__xludf.DUMMYFUNCTION("""COMPUTED_VALUE"""),95.0)</f>
        <v>95</v>
      </c>
      <c r="H1632" s="35" t="str">
        <f>IFERROR(__xludf.DUMMYFUNCTION("""COMPUTED_VALUE"""),"Algorithms")</f>
        <v>Algorithms</v>
      </c>
      <c r="I1632" s="35">
        <f>IFERROR(__xludf.DUMMYFUNCTION("""COMPUTED_VALUE"""),0.518)</f>
        <v>0.518</v>
      </c>
      <c r="J1632" s="35">
        <f>IFERROR(__xludf.DUMMYFUNCTION("""COMPUTED_VALUE"""),1631.0)</f>
        <v>1631</v>
      </c>
      <c r="K1632" s="35" t="b">
        <f>IFERROR(__xludf.DUMMYFUNCTION("""COMPUTED_VALUE"""),FALSE)</f>
        <v>0</v>
      </c>
      <c r="L1632" s="35" t="str">
        <f>IFERROR(__xludf.DUMMYFUNCTION("""COMPUTED_VALUE"""),"Array;Binary Search;Depth-First Search;Breadth-First Search;Union Find;Heap (Priority Queue);Matrix;")</f>
        <v>Array;Binary Search;Depth-First Search;Breadth-First Search;Union Find;Heap (Priority Queue);Matrix;</v>
      </c>
      <c r="M1632" s="35" t="b">
        <f>IFERROR(__xludf.DUMMYFUNCTION("""COMPUTED_VALUE"""),TRUE)</f>
        <v>1</v>
      </c>
      <c r="N1632" s="35" t="b">
        <f>IFERROR(__xludf.DUMMYFUNCTION("""COMPUTED_VALUE"""),FALSE)</f>
        <v>0</v>
      </c>
      <c r="O1632" s="35">
        <f>IFERROR(__xludf.DUMMYFUNCTION("""COMPUTED_VALUE"""),51.7742463362304)</f>
        <v>51.77424634</v>
      </c>
      <c r="P1632" s="35">
        <f>IFERROR(__xludf.DUMMYFUNCTION("""COMPUTED_VALUE"""),71185.0)</f>
        <v>71185</v>
      </c>
      <c r="Q1632" s="35">
        <f>IFERROR(__xludf.DUMMYFUNCTION("""COMPUTED_VALUE"""),137493.0)</f>
        <v>137493</v>
      </c>
    </row>
    <row r="1633">
      <c r="A1633" s="35">
        <f>IFERROR(__xludf.DUMMYFUNCTION("""COMPUTED_VALUE"""),1257.0)</f>
        <v>1257</v>
      </c>
      <c r="B1633" s="35" t="str">
        <f>IFERROR(__xludf.DUMMYFUNCTION("""COMPUTED_VALUE"""),"Rank Transform of a Matrix")</f>
        <v>Rank Transform of a Matrix</v>
      </c>
      <c r="C1633" s="35" t="str">
        <f>IFERROR(__xludf.DUMMYFUNCTION("""COMPUTED_VALUE"""),"rank-transform-of-a-matrix")</f>
        <v>rank-transform-of-a-matrix</v>
      </c>
      <c r="D1633" s="35" t="b">
        <f>IFERROR(__xludf.DUMMYFUNCTION("""COMPUTED_VALUE"""),FALSE)</f>
        <v>0</v>
      </c>
      <c r="E1633" s="35" t="str">
        <f>IFERROR(__xludf.DUMMYFUNCTION("""COMPUTED_VALUE"""),"Hard")</f>
        <v>Hard</v>
      </c>
      <c r="F1633" s="35">
        <f>IFERROR(__xludf.DUMMYFUNCTION("""COMPUTED_VALUE"""),576.0)</f>
        <v>576</v>
      </c>
      <c r="G1633" s="35">
        <f>IFERROR(__xludf.DUMMYFUNCTION("""COMPUTED_VALUE"""),36.0)</f>
        <v>36</v>
      </c>
      <c r="H1633" s="35" t="str">
        <f>IFERROR(__xludf.DUMMYFUNCTION("""COMPUTED_VALUE"""),"Algorithms")</f>
        <v>Algorithms</v>
      </c>
      <c r="I1633" s="35">
        <f>IFERROR(__xludf.DUMMYFUNCTION("""COMPUTED_VALUE"""),0.405)</f>
        <v>0.405</v>
      </c>
      <c r="J1633" s="35">
        <f>IFERROR(__xludf.DUMMYFUNCTION("""COMPUTED_VALUE"""),1632.0)</f>
        <v>1632</v>
      </c>
      <c r="K1633" s="35" t="b">
        <f>IFERROR(__xludf.DUMMYFUNCTION("""COMPUTED_VALUE"""),FALSE)</f>
        <v>0</v>
      </c>
      <c r="L1633" s="35" t="str">
        <f>IFERROR(__xludf.DUMMYFUNCTION("""COMPUTED_VALUE"""),"Array;Greedy;Union Find;Graph;Topological Sort;Matrix;")</f>
        <v>Array;Greedy;Union Find;Graph;Topological Sort;Matrix;</v>
      </c>
      <c r="M1633" s="35" t="b">
        <f>IFERROR(__xludf.DUMMYFUNCTION("""COMPUTED_VALUE"""),TRUE)</f>
        <v>1</v>
      </c>
      <c r="N1633" s="35" t="b">
        <f>IFERROR(__xludf.DUMMYFUNCTION("""COMPUTED_VALUE"""),FALSE)</f>
        <v>0</v>
      </c>
      <c r="O1633" s="35">
        <f>IFERROR(__xludf.DUMMYFUNCTION("""COMPUTED_VALUE"""),40.5486668488929)</f>
        <v>40.54866685</v>
      </c>
      <c r="P1633" s="35">
        <f>IFERROR(__xludf.DUMMYFUNCTION("""COMPUTED_VALUE"""),16318.0)</f>
        <v>16318</v>
      </c>
      <c r="Q1633" s="35">
        <f>IFERROR(__xludf.DUMMYFUNCTION("""COMPUTED_VALUE"""),40243.0)</f>
        <v>40243</v>
      </c>
    </row>
    <row r="1634">
      <c r="A1634" s="35">
        <f>IFERROR(__xludf.DUMMYFUNCTION("""COMPUTED_VALUE"""),1773.0)</f>
        <v>1773</v>
      </c>
      <c r="B1634" s="35" t="str">
        <f>IFERROR(__xludf.DUMMYFUNCTION("""COMPUTED_VALUE"""),"Percentage of Users Attended a Contest")</f>
        <v>Percentage of Users Attended a Contest</v>
      </c>
      <c r="C1634" s="35" t="str">
        <f>IFERROR(__xludf.DUMMYFUNCTION("""COMPUTED_VALUE"""),"percentage-of-users-attended-a-contest")</f>
        <v>percentage-of-users-attended-a-contest</v>
      </c>
      <c r="D1634" s="35" t="b">
        <f>IFERROR(__xludf.DUMMYFUNCTION("""COMPUTED_VALUE"""),TRUE)</f>
        <v>1</v>
      </c>
      <c r="E1634" s="35" t="str">
        <f>IFERROR(__xludf.DUMMYFUNCTION("""COMPUTED_VALUE"""),"Easy")</f>
        <v>Easy</v>
      </c>
      <c r="F1634" s="35">
        <f>IFERROR(__xludf.DUMMYFUNCTION("""COMPUTED_VALUE"""),46.0)</f>
        <v>46</v>
      </c>
      <c r="G1634" s="35">
        <f>IFERROR(__xludf.DUMMYFUNCTION("""COMPUTED_VALUE"""),12.0)</f>
        <v>12</v>
      </c>
      <c r="H1634" s="35" t="str">
        <f>IFERROR(__xludf.DUMMYFUNCTION("""COMPUTED_VALUE"""),"Database")</f>
        <v>Database</v>
      </c>
      <c r="I1634" s="35">
        <f>IFERROR(__xludf.DUMMYFUNCTION("""COMPUTED_VALUE"""),0.693)</f>
        <v>0.693</v>
      </c>
      <c r="J1634" s="35">
        <f>IFERROR(__xludf.DUMMYFUNCTION("""COMPUTED_VALUE"""),1633.0)</f>
        <v>1633</v>
      </c>
      <c r="K1634" s="35" t="b">
        <f>IFERROR(__xludf.DUMMYFUNCTION("""COMPUTED_VALUE"""),TRUE)</f>
        <v>1</v>
      </c>
      <c r="L1634" s="35" t="str">
        <f>IFERROR(__xludf.DUMMYFUNCTION("""COMPUTED_VALUE"""),"Database;")</f>
        <v>Database;</v>
      </c>
      <c r="M1634" s="35" t="b">
        <f>IFERROR(__xludf.DUMMYFUNCTION("""COMPUTED_VALUE"""),FALSE)</f>
        <v>0</v>
      </c>
      <c r="N1634" s="35" t="b">
        <f>IFERROR(__xludf.DUMMYFUNCTION("""COMPUTED_VALUE"""),FALSE)</f>
        <v>0</v>
      </c>
      <c r="O1634" s="35">
        <f>IFERROR(__xludf.DUMMYFUNCTION("""COMPUTED_VALUE"""),69.3386646356943)</f>
        <v>69.33866464</v>
      </c>
      <c r="P1634" s="35">
        <f>IFERROR(__xludf.DUMMYFUNCTION("""COMPUTED_VALUE"""),10925.0)</f>
        <v>10925</v>
      </c>
      <c r="Q1634" s="35">
        <f>IFERROR(__xludf.DUMMYFUNCTION("""COMPUTED_VALUE"""),15756.0)</f>
        <v>15756</v>
      </c>
    </row>
    <row r="1635">
      <c r="A1635" s="35">
        <f>IFERROR(__xludf.DUMMYFUNCTION("""COMPUTED_VALUE"""),1774.0)</f>
        <v>1774</v>
      </c>
      <c r="B1635" s="35" t="str">
        <f>IFERROR(__xludf.DUMMYFUNCTION("""COMPUTED_VALUE"""),"Add Two Polynomials Represented as Linked Lists")</f>
        <v>Add Two Polynomials Represented as Linked Lists</v>
      </c>
      <c r="C1635" s="35" t="str">
        <f>IFERROR(__xludf.DUMMYFUNCTION("""COMPUTED_VALUE"""),"add-two-polynomials-represented-as-linked-lists")</f>
        <v>add-two-polynomials-represented-as-linked-lists</v>
      </c>
      <c r="D1635" s="35" t="b">
        <f>IFERROR(__xludf.DUMMYFUNCTION("""COMPUTED_VALUE"""),TRUE)</f>
        <v>1</v>
      </c>
      <c r="E1635" s="35" t="str">
        <f>IFERROR(__xludf.DUMMYFUNCTION("""COMPUTED_VALUE"""),"Medium")</f>
        <v>Medium</v>
      </c>
      <c r="F1635" s="35">
        <f>IFERROR(__xludf.DUMMYFUNCTION("""COMPUTED_VALUE"""),76.0)</f>
        <v>76</v>
      </c>
      <c r="G1635" s="35">
        <f>IFERROR(__xludf.DUMMYFUNCTION("""COMPUTED_VALUE"""),5.0)</f>
        <v>5</v>
      </c>
      <c r="H1635" s="35" t="str">
        <f>IFERROR(__xludf.DUMMYFUNCTION("""COMPUTED_VALUE"""),"Algorithms")</f>
        <v>Algorithms</v>
      </c>
      <c r="I1635" s="35">
        <f>IFERROR(__xludf.DUMMYFUNCTION("""COMPUTED_VALUE"""),0.538)</f>
        <v>0.538</v>
      </c>
      <c r="J1635" s="35">
        <f>IFERROR(__xludf.DUMMYFUNCTION("""COMPUTED_VALUE"""),1634.0)</f>
        <v>1634</v>
      </c>
      <c r="K1635" s="35" t="b">
        <f>IFERROR(__xludf.DUMMYFUNCTION("""COMPUTED_VALUE"""),TRUE)</f>
        <v>1</v>
      </c>
      <c r="L1635" s="35" t="str">
        <f>IFERROR(__xludf.DUMMYFUNCTION("""COMPUTED_VALUE"""),"Linked List;Math;Two Pointers;")</f>
        <v>Linked List;Math;Two Pointers;</v>
      </c>
      <c r="M1635" s="35" t="b">
        <f>IFERROR(__xludf.DUMMYFUNCTION("""COMPUTED_VALUE"""),FALSE)</f>
        <v>0</v>
      </c>
      <c r="N1635" s="35" t="b">
        <f>IFERROR(__xludf.DUMMYFUNCTION("""COMPUTED_VALUE"""),FALSE)</f>
        <v>0</v>
      </c>
      <c r="O1635" s="35">
        <f>IFERROR(__xludf.DUMMYFUNCTION("""COMPUTED_VALUE"""),53.8113623827909)</f>
        <v>53.81136238</v>
      </c>
      <c r="P1635" s="35">
        <f>IFERROR(__xludf.DUMMYFUNCTION("""COMPUTED_VALUE"""),4878.0)</f>
        <v>4878</v>
      </c>
      <c r="Q1635" s="35">
        <f>IFERROR(__xludf.DUMMYFUNCTION("""COMPUTED_VALUE"""),9065.0)</f>
        <v>9065</v>
      </c>
    </row>
    <row r="1636">
      <c r="A1636" s="35">
        <f>IFERROR(__xludf.DUMMYFUNCTION("""COMPUTED_VALUE"""),1779.0)</f>
        <v>1779</v>
      </c>
      <c r="B1636" s="35" t="str">
        <f>IFERROR(__xludf.DUMMYFUNCTION("""COMPUTED_VALUE"""),"Hopper Company Queries I")</f>
        <v>Hopper Company Queries I</v>
      </c>
      <c r="C1636" s="35" t="str">
        <f>IFERROR(__xludf.DUMMYFUNCTION("""COMPUTED_VALUE"""),"hopper-company-queries-i")</f>
        <v>hopper-company-queries-i</v>
      </c>
      <c r="D1636" s="35" t="b">
        <f>IFERROR(__xludf.DUMMYFUNCTION("""COMPUTED_VALUE"""),TRUE)</f>
        <v>1</v>
      </c>
      <c r="E1636" s="35" t="str">
        <f>IFERROR(__xludf.DUMMYFUNCTION("""COMPUTED_VALUE"""),"Hard")</f>
        <v>Hard</v>
      </c>
      <c r="F1636" s="35">
        <f>IFERROR(__xludf.DUMMYFUNCTION("""COMPUTED_VALUE"""),54.0)</f>
        <v>54</v>
      </c>
      <c r="G1636" s="35">
        <f>IFERROR(__xludf.DUMMYFUNCTION("""COMPUTED_VALUE"""),21.0)</f>
        <v>21</v>
      </c>
      <c r="H1636" s="35" t="str">
        <f>IFERROR(__xludf.DUMMYFUNCTION("""COMPUTED_VALUE"""),"Database")</f>
        <v>Database</v>
      </c>
      <c r="I1636" s="35">
        <f>IFERROR(__xludf.DUMMYFUNCTION("""COMPUTED_VALUE"""),0.54)</f>
        <v>0.54</v>
      </c>
      <c r="J1636" s="35">
        <f>IFERROR(__xludf.DUMMYFUNCTION("""COMPUTED_VALUE"""),1635.0)</f>
        <v>1635</v>
      </c>
      <c r="K1636" s="35" t="b">
        <f>IFERROR(__xludf.DUMMYFUNCTION("""COMPUTED_VALUE"""),TRUE)</f>
        <v>1</v>
      </c>
      <c r="L1636" s="35" t="str">
        <f>IFERROR(__xludf.DUMMYFUNCTION("""COMPUTED_VALUE"""),"Database;")</f>
        <v>Database;</v>
      </c>
      <c r="M1636" s="35" t="b">
        <f>IFERROR(__xludf.DUMMYFUNCTION("""COMPUTED_VALUE"""),FALSE)</f>
        <v>0</v>
      </c>
      <c r="N1636" s="35" t="b">
        <f>IFERROR(__xludf.DUMMYFUNCTION("""COMPUTED_VALUE"""),FALSE)</f>
        <v>0</v>
      </c>
      <c r="O1636" s="35">
        <f>IFERROR(__xludf.DUMMYFUNCTION("""COMPUTED_VALUE"""),53.9656311962987)</f>
        <v>53.9656312</v>
      </c>
      <c r="P1636" s="35">
        <f>IFERROR(__xludf.DUMMYFUNCTION("""COMPUTED_VALUE"""),4899.0)</f>
        <v>4899</v>
      </c>
      <c r="Q1636" s="35">
        <f>IFERROR(__xludf.DUMMYFUNCTION("""COMPUTED_VALUE"""),9078.0)</f>
        <v>9078</v>
      </c>
    </row>
    <row r="1637">
      <c r="A1637" s="35">
        <f>IFERROR(__xludf.DUMMYFUNCTION("""COMPUTED_VALUE"""),1741.0)</f>
        <v>1741</v>
      </c>
      <c r="B1637" s="35" t="str">
        <f>IFERROR(__xludf.DUMMYFUNCTION("""COMPUTED_VALUE"""),"Sort Array by Increasing Frequency")</f>
        <v>Sort Array by Increasing Frequency</v>
      </c>
      <c r="C1637" s="35" t="str">
        <f>IFERROR(__xludf.DUMMYFUNCTION("""COMPUTED_VALUE"""),"sort-array-by-increasing-frequency")</f>
        <v>sort-array-by-increasing-frequency</v>
      </c>
      <c r="D1637" s="35" t="b">
        <f>IFERROR(__xludf.DUMMYFUNCTION("""COMPUTED_VALUE"""),FALSE)</f>
        <v>0</v>
      </c>
      <c r="E1637" s="35" t="str">
        <f>IFERROR(__xludf.DUMMYFUNCTION("""COMPUTED_VALUE"""),"Easy")</f>
        <v>Easy</v>
      </c>
      <c r="F1637" s="35">
        <f>IFERROR(__xludf.DUMMYFUNCTION("""COMPUTED_VALUE"""),1202.0)</f>
        <v>1202</v>
      </c>
      <c r="G1637" s="35">
        <f>IFERROR(__xludf.DUMMYFUNCTION("""COMPUTED_VALUE"""),47.0)</f>
        <v>47</v>
      </c>
      <c r="H1637" s="35" t="str">
        <f>IFERROR(__xludf.DUMMYFUNCTION("""COMPUTED_VALUE"""),"Algorithms")</f>
        <v>Algorithms</v>
      </c>
      <c r="I1637" s="35">
        <f>IFERROR(__xludf.DUMMYFUNCTION("""COMPUTED_VALUE"""),0.683)</f>
        <v>0.683</v>
      </c>
      <c r="J1637" s="35">
        <f>IFERROR(__xludf.DUMMYFUNCTION("""COMPUTED_VALUE"""),1636.0)</f>
        <v>1636</v>
      </c>
      <c r="K1637" s="35" t="b">
        <f>IFERROR(__xludf.DUMMYFUNCTION("""COMPUTED_VALUE"""),FALSE)</f>
        <v>0</v>
      </c>
      <c r="L1637" s="35" t="str">
        <f>IFERROR(__xludf.DUMMYFUNCTION("""COMPUTED_VALUE"""),"Array;Hash Table;Sorting;")</f>
        <v>Array;Hash Table;Sorting;</v>
      </c>
      <c r="M1637" s="35" t="b">
        <f>IFERROR(__xludf.DUMMYFUNCTION("""COMPUTED_VALUE"""),FALSE)</f>
        <v>0</v>
      </c>
      <c r="N1637" s="35" t="b">
        <f>IFERROR(__xludf.DUMMYFUNCTION("""COMPUTED_VALUE"""),FALSE)</f>
        <v>0</v>
      </c>
      <c r="O1637" s="35">
        <f>IFERROR(__xludf.DUMMYFUNCTION("""COMPUTED_VALUE"""),68.3371874091765)</f>
        <v>68.33718741</v>
      </c>
      <c r="P1637" s="35">
        <f>IFERROR(__xludf.DUMMYFUNCTION("""COMPUTED_VALUE"""),54080.0)</f>
        <v>54080</v>
      </c>
      <c r="Q1637" s="35">
        <f>IFERROR(__xludf.DUMMYFUNCTION("""COMPUTED_VALUE"""),79137.0)</f>
        <v>79137</v>
      </c>
    </row>
    <row r="1638">
      <c r="A1638" s="35">
        <f>IFERROR(__xludf.DUMMYFUNCTION("""COMPUTED_VALUE"""),1742.0)</f>
        <v>1742</v>
      </c>
      <c r="B1638" s="35" t="str">
        <f>IFERROR(__xludf.DUMMYFUNCTION("""COMPUTED_VALUE"""),"Widest Vertical Area Between Two Points Containing No Points")</f>
        <v>Widest Vertical Area Between Two Points Containing No Points</v>
      </c>
      <c r="C1638" s="35" t="str">
        <f>IFERROR(__xludf.DUMMYFUNCTION("""COMPUTED_VALUE"""),"widest-vertical-area-between-two-points-containing-no-points")</f>
        <v>widest-vertical-area-between-two-points-containing-no-points</v>
      </c>
      <c r="D1638" s="35" t="b">
        <f>IFERROR(__xludf.DUMMYFUNCTION("""COMPUTED_VALUE"""),FALSE)</f>
        <v>0</v>
      </c>
      <c r="E1638" s="35" t="str">
        <f>IFERROR(__xludf.DUMMYFUNCTION("""COMPUTED_VALUE"""),"Medium")</f>
        <v>Medium</v>
      </c>
      <c r="F1638" s="35">
        <f>IFERROR(__xludf.DUMMYFUNCTION("""COMPUTED_VALUE"""),161.0)</f>
        <v>161</v>
      </c>
      <c r="G1638" s="35">
        <f>IFERROR(__xludf.DUMMYFUNCTION("""COMPUTED_VALUE"""),475.0)</f>
        <v>475</v>
      </c>
      <c r="H1638" s="35" t="str">
        <f>IFERROR(__xludf.DUMMYFUNCTION("""COMPUTED_VALUE"""),"Algorithms")</f>
        <v>Algorithms</v>
      </c>
      <c r="I1638" s="35">
        <f>IFERROR(__xludf.DUMMYFUNCTION("""COMPUTED_VALUE"""),0.84)</f>
        <v>0.84</v>
      </c>
      <c r="J1638" s="35">
        <f>IFERROR(__xludf.DUMMYFUNCTION("""COMPUTED_VALUE"""),1637.0)</f>
        <v>1637</v>
      </c>
      <c r="K1638" s="35" t="b">
        <f>IFERROR(__xludf.DUMMYFUNCTION("""COMPUTED_VALUE"""),FALSE)</f>
        <v>0</v>
      </c>
      <c r="L1638" s="35" t="str">
        <f>IFERROR(__xludf.DUMMYFUNCTION("""COMPUTED_VALUE"""),"Array;Sorting;")</f>
        <v>Array;Sorting;</v>
      </c>
      <c r="M1638" s="35" t="b">
        <f>IFERROR(__xludf.DUMMYFUNCTION("""COMPUTED_VALUE"""),FALSE)</f>
        <v>0</v>
      </c>
      <c r="N1638" s="35" t="b">
        <f>IFERROR(__xludf.DUMMYFUNCTION("""COMPUTED_VALUE"""),FALSE)</f>
        <v>0</v>
      </c>
      <c r="O1638" s="35">
        <f>IFERROR(__xludf.DUMMYFUNCTION("""COMPUTED_VALUE"""),83.9680532856394)</f>
        <v>83.96805329</v>
      </c>
      <c r="P1638" s="35">
        <f>IFERROR(__xludf.DUMMYFUNCTION("""COMPUTED_VALUE"""),27230.0)</f>
        <v>27230</v>
      </c>
      <c r="Q1638" s="35">
        <f>IFERROR(__xludf.DUMMYFUNCTION("""COMPUTED_VALUE"""),32429.0)</f>
        <v>32429</v>
      </c>
    </row>
    <row r="1639">
      <c r="A1639" s="35">
        <f>IFERROR(__xludf.DUMMYFUNCTION("""COMPUTED_VALUE"""),1743.0)</f>
        <v>1743</v>
      </c>
      <c r="B1639" s="35" t="str">
        <f>IFERROR(__xludf.DUMMYFUNCTION("""COMPUTED_VALUE"""),"Count Substrings That Differ by One Character")</f>
        <v>Count Substrings That Differ by One Character</v>
      </c>
      <c r="C1639" s="35" t="str">
        <f>IFERROR(__xludf.DUMMYFUNCTION("""COMPUTED_VALUE"""),"count-substrings-that-differ-by-one-character")</f>
        <v>count-substrings-that-differ-by-one-character</v>
      </c>
      <c r="D1639" s="35" t="b">
        <f>IFERROR(__xludf.DUMMYFUNCTION("""COMPUTED_VALUE"""),FALSE)</f>
        <v>0</v>
      </c>
      <c r="E1639" s="35" t="str">
        <f>IFERROR(__xludf.DUMMYFUNCTION("""COMPUTED_VALUE"""),"Medium")</f>
        <v>Medium</v>
      </c>
      <c r="F1639" s="35">
        <f>IFERROR(__xludf.DUMMYFUNCTION("""COMPUTED_VALUE"""),608.0)</f>
        <v>608</v>
      </c>
      <c r="G1639" s="35">
        <f>IFERROR(__xludf.DUMMYFUNCTION("""COMPUTED_VALUE"""),235.0)</f>
        <v>235</v>
      </c>
      <c r="H1639" s="35" t="str">
        <f>IFERROR(__xludf.DUMMYFUNCTION("""COMPUTED_VALUE"""),"Algorithms")</f>
        <v>Algorithms</v>
      </c>
      <c r="I1639" s="35">
        <f>IFERROR(__xludf.DUMMYFUNCTION("""COMPUTED_VALUE"""),0.721)</f>
        <v>0.721</v>
      </c>
      <c r="J1639" s="35">
        <f>IFERROR(__xludf.DUMMYFUNCTION("""COMPUTED_VALUE"""),1638.0)</f>
        <v>1638</v>
      </c>
      <c r="K1639" s="35" t="b">
        <f>IFERROR(__xludf.DUMMYFUNCTION("""COMPUTED_VALUE"""),FALSE)</f>
        <v>0</v>
      </c>
      <c r="L1639" s="35" t="str">
        <f>IFERROR(__xludf.DUMMYFUNCTION("""COMPUTED_VALUE"""),"Hash Table;String;Dynamic Programming;")</f>
        <v>Hash Table;String;Dynamic Programming;</v>
      </c>
      <c r="M1639" s="35" t="b">
        <f>IFERROR(__xludf.DUMMYFUNCTION("""COMPUTED_VALUE"""),FALSE)</f>
        <v>0</v>
      </c>
      <c r="N1639" s="35" t="b">
        <f>IFERROR(__xludf.DUMMYFUNCTION("""COMPUTED_VALUE"""),FALSE)</f>
        <v>0</v>
      </c>
      <c r="O1639" s="35">
        <f>IFERROR(__xludf.DUMMYFUNCTION("""COMPUTED_VALUE"""),72.0977777777777)</f>
        <v>72.09777778</v>
      </c>
      <c r="P1639" s="35">
        <f>IFERROR(__xludf.DUMMYFUNCTION("""COMPUTED_VALUE"""),16222.0)</f>
        <v>16222</v>
      </c>
      <c r="Q1639" s="35">
        <f>IFERROR(__xludf.DUMMYFUNCTION("""COMPUTED_VALUE"""),22500.0)</f>
        <v>22500</v>
      </c>
    </row>
    <row r="1640">
      <c r="A1640" s="35">
        <f>IFERROR(__xludf.DUMMYFUNCTION("""COMPUTED_VALUE"""),1744.0)</f>
        <v>1744</v>
      </c>
      <c r="B1640" s="35" t="str">
        <f>IFERROR(__xludf.DUMMYFUNCTION("""COMPUTED_VALUE"""),"Number of Ways to Form a Target String Given a Dictionary")</f>
        <v>Number of Ways to Form a Target String Given a Dictionary</v>
      </c>
      <c r="C1640" s="35" t="str">
        <f>IFERROR(__xludf.DUMMYFUNCTION("""COMPUTED_VALUE"""),"number-of-ways-to-form-a-target-string-given-a-dictionary")</f>
        <v>number-of-ways-to-form-a-target-string-given-a-dictionary</v>
      </c>
      <c r="D1640" s="35" t="b">
        <f>IFERROR(__xludf.DUMMYFUNCTION("""COMPUTED_VALUE"""),FALSE)</f>
        <v>0</v>
      </c>
      <c r="E1640" s="35" t="str">
        <f>IFERROR(__xludf.DUMMYFUNCTION("""COMPUTED_VALUE"""),"Hard")</f>
        <v>Hard</v>
      </c>
      <c r="F1640" s="35">
        <f>IFERROR(__xludf.DUMMYFUNCTION("""COMPUTED_VALUE"""),230.0)</f>
        <v>230</v>
      </c>
      <c r="G1640" s="35">
        <f>IFERROR(__xludf.DUMMYFUNCTION("""COMPUTED_VALUE"""),12.0)</f>
        <v>12</v>
      </c>
      <c r="H1640" s="35" t="str">
        <f>IFERROR(__xludf.DUMMYFUNCTION("""COMPUTED_VALUE"""),"Algorithms")</f>
        <v>Algorithms</v>
      </c>
      <c r="I1640" s="35">
        <f>IFERROR(__xludf.DUMMYFUNCTION("""COMPUTED_VALUE"""),0.423)</f>
        <v>0.423</v>
      </c>
      <c r="J1640" s="35">
        <f>IFERROR(__xludf.DUMMYFUNCTION("""COMPUTED_VALUE"""),1639.0)</f>
        <v>1639</v>
      </c>
      <c r="K1640" s="35" t="b">
        <f>IFERROR(__xludf.DUMMYFUNCTION("""COMPUTED_VALUE"""),FALSE)</f>
        <v>0</v>
      </c>
      <c r="L1640" s="35" t="str">
        <f>IFERROR(__xludf.DUMMYFUNCTION("""COMPUTED_VALUE"""),"Array;String;Dynamic Programming;")</f>
        <v>Array;String;Dynamic Programming;</v>
      </c>
      <c r="M1640" s="35" t="b">
        <f>IFERROR(__xludf.DUMMYFUNCTION("""COMPUTED_VALUE"""),FALSE)</f>
        <v>0</v>
      </c>
      <c r="N1640" s="35" t="b">
        <f>IFERROR(__xludf.DUMMYFUNCTION("""COMPUTED_VALUE"""),FALSE)</f>
        <v>0</v>
      </c>
      <c r="O1640" s="35">
        <f>IFERROR(__xludf.DUMMYFUNCTION("""COMPUTED_VALUE"""),42.2900554376839)</f>
        <v>42.29005544</v>
      </c>
      <c r="P1640" s="35">
        <f>IFERROR(__xludf.DUMMYFUNCTION("""COMPUTED_VALUE"""),6179.0)</f>
        <v>6179</v>
      </c>
      <c r="Q1640" s="35">
        <f>IFERROR(__xludf.DUMMYFUNCTION("""COMPUTED_VALUE"""),14611.0)</f>
        <v>14611</v>
      </c>
    </row>
    <row r="1641">
      <c r="A1641" s="35">
        <f>IFERROR(__xludf.DUMMYFUNCTION("""COMPUTED_VALUE"""),1760.0)</f>
        <v>1760</v>
      </c>
      <c r="B1641" s="35" t="str">
        <f>IFERROR(__xludf.DUMMYFUNCTION("""COMPUTED_VALUE"""),"Check Array Formation Through Concatenation")</f>
        <v>Check Array Formation Through Concatenation</v>
      </c>
      <c r="C1641" s="35" t="str">
        <f>IFERROR(__xludf.DUMMYFUNCTION("""COMPUTED_VALUE"""),"check-array-formation-through-concatenation")</f>
        <v>check-array-formation-through-concatenation</v>
      </c>
      <c r="D1641" s="35" t="b">
        <f>IFERROR(__xludf.DUMMYFUNCTION("""COMPUTED_VALUE"""),FALSE)</f>
        <v>0</v>
      </c>
      <c r="E1641" s="35" t="str">
        <f>IFERROR(__xludf.DUMMYFUNCTION("""COMPUTED_VALUE"""),"Easy")</f>
        <v>Easy</v>
      </c>
      <c r="F1641" s="35">
        <f>IFERROR(__xludf.DUMMYFUNCTION("""COMPUTED_VALUE"""),653.0)</f>
        <v>653</v>
      </c>
      <c r="G1641" s="35">
        <f>IFERROR(__xludf.DUMMYFUNCTION("""COMPUTED_VALUE"""),111.0)</f>
        <v>111</v>
      </c>
      <c r="H1641" s="35" t="str">
        <f>IFERROR(__xludf.DUMMYFUNCTION("""COMPUTED_VALUE"""),"Algorithms")</f>
        <v>Algorithms</v>
      </c>
      <c r="I1641" s="35">
        <f>IFERROR(__xludf.DUMMYFUNCTION("""COMPUTED_VALUE"""),0.557)</f>
        <v>0.557</v>
      </c>
      <c r="J1641" s="35">
        <f>IFERROR(__xludf.DUMMYFUNCTION("""COMPUTED_VALUE"""),1640.0)</f>
        <v>1640</v>
      </c>
      <c r="K1641" s="35" t="b">
        <f>IFERROR(__xludf.DUMMYFUNCTION("""COMPUTED_VALUE"""),FALSE)</f>
        <v>0</v>
      </c>
      <c r="L1641" s="35" t="str">
        <f>IFERROR(__xludf.DUMMYFUNCTION("""COMPUTED_VALUE"""),"Array;Hash Table;")</f>
        <v>Array;Hash Table;</v>
      </c>
      <c r="M1641" s="35" t="b">
        <f>IFERROR(__xludf.DUMMYFUNCTION("""COMPUTED_VALUE"""),TRUE)</f>
        <v>1</v>
      </c>
      <c r="N1641" s="35" t="b">
        <f>IFERROR(__xludf.DUMMYFUNCTION("""COMPUTED_VALUE"""),FALSE)</f>
        <v>0</v>
      </c>
      <c r="O1641" s="35">
        <f>IFERROR(__xludf.DUMMYFUNCTION("""COMPUTED_VALUE"""),55.71956971733)</f>
        <v>55.71956972</v>
      </c>
      <c r="P1641" s="35">
        <f>IFERROR(__xludf.DUMMYFUNCTION("""COMPUTED_VALUE"""),65680.0)</f>
        <v>65680</v>
      </c>
      <c r="Q1641" s="35">
        <f>IFERROR(__xludf.DUMMYFUNCTION("""COMPUTED_VALUE"""),117876.0)</f>
        <v>117876</v>
      </c>
    </row>
    <row r="1642">
      <c r="A1642" s="35">
        <f>IFERROR(__xludf.DUMMYFUNCTION("""COMPUTED_VALUE"""),1761.0)</f>
        <v>1761</v>
      </c>
      <c r="B1642" s="35" t="str">
        <f>IFERROR(__xludf.DUMMYFUNCTION("""COMPUTED_VALUE"""),"Count Sorted Vowel Strings")</f>
        <v>Count Sorted Vowel Strings</v>
      </c>
      <c r="C1642" s="35" t="str">
        <f>IFERROR(__xludf.DUMMYFUNCTION("""COMPUTED_VALUE"""),"count-sorted-vowel-strings")</f>
        <v>count-sorted-vowel-strings</v>
      </c>
      <c r="D1642" s="35" t="b">
        <f>IFERROR(__xludf.DUMMYFUNCTION("""COMPUTED_VALUE"""),FALSE)</f>
        <v>0</v>
      </c>
      <c r="E1642" s="35" t="str">
        <f>IFERROR(__xludf.DUMMYFUNCTION("""COMPUTED_VALUE"""),"Medium")</f>
        <v>Medium</v>
      </c>
      <c r="F1642" s="35">
        <f>IFERROR(__xludf.DUMMYFUNCTION("""COMPUTED_VALUE"""),1684.0)</f>
        <v>1684</v>
      </c>
      <c r="G1642" s="35">
        <f>IFERROR(__xludf.DUMMYFUNCTION("""COMPUTED_VALUE"""),37.0)</f>
        <v>37</v>
      </c>
      <c r="H1642" s="35" t="str">
        <f>IFERROR(__xludf.DUMMYFUNCTION("""COMPUTED_VALUE"""),"Algorithms")</f>
        <v>Algorithms</v>
      </c>
      <c r="I1642" s="35">
        <f>IFERROR(__xludf.DUMMYFUNCTION("""COMPUTED_VALUE"""),0.748)</f>
        <v>0.748</v>
      </c>
      <c r="J1642" s="35">
        <f>IFERROR(__xludf.DUMMYFUNCTION("""COMPUTED_VALUE"""),1641.0)</f>
        <v>1641</v>
      </c>
      <c r="K1642" s="35" t="b">
        <f>IFERROR(__xludf.DUMMYFUNCTION("""COMPUTED_VALUE"""),FALSE)</f>
        <v>0</v>
      </c>
      <c r="L1642" s="35" t="str">
        <f>IFERROR(__xludf.DUMMYFUNCTION("""COMPUTED_VALUE"""),"Dynamic Programming;")</f>
        <v>Dynamic Programming;</v>
      </c>
      <c r="M1642" s="35" t="b">
        <f>IFERROR(__xludf.DUMMYFUNCTION("""COMPUTED_VALUE"""),TRUE)</f>
        <v>1</v>
      </c>
      <c r="N1642" s="35" t="b">
        <f>IFERROR(__xludf.DUMMYFUNCTION("""COMPUTED_VALUE"""),FALSE)</f>
        <v>0</v>
      </c>
      <c r="O1642" s="35">
        <f>IFERROR(__xludf.DUMMYFUNCTION("""COMPUTED_VALUE"""),74.776438116019)</f>
        <v>74.77643812</v>
      </c>
      <c r="P1642" s="35">
        <f>IFERROR(__xludf.DUMMYFUNCTION("""COMPUTED_VALUE"""),80190.0)</f>
        <v>80190</v>
      </c>
      <c r="Q1642" s="35">
        <f>IFERROR(__xludf.DUMMYFUNCTION("""COMPUTED_VALUE"""),107240.0)</f>
        <v>107240</v>
      </c>
    </row>
    <row r="1643">
      <c r="A1643" s="35">
        <f>IFERROR(__xludf.DUMMYFUNCTION("""COMPUTED_VALUE"""),1762.0)</f>
        <v>1762</v>
      </c>
      <c r="B1643" s="35" t="str">
        <f>IFERROR(__xludf.DUMMYFUNCTION("""COMPUTED_VALUE"""),"Furthest Building You Can Reach")</f>
        <v>Furthest Building You Can Reach</v>
      </c>
      <c r="C1643" s="35" t="str">
        <f>IFERROR(__xludf.DUMMYFUNCTION("""COMPUTED_VALUE"""),"furthest-building-you-can-reach")</f>
        <v>furthest-building-you-can-reach</v>
      </c>
      <c r="D1643" s="35" t="b">
        <f>IFERROR(__xludf.DUMMYFUNCTION("""COMPUTED_VALUE"""),FALSE)</f>
        <v>0</v>
      </c>
      <c r="E1643" s="35" t="str">
        <f>IFERROR(__xludf.DUMMYFUNCTION("""COMPUTED_VALUE"""),"Medium")</f>
        <v>Medium</v>
      </c>
      <c r="F1643" s="35">
        <f>IFERROR(__xludf.DUMMYFUNCTION("""COMPUTED_VALUE"""),1573.0)</f>
        <v>1573</v>
      </c>
      <c r="G1643" s="35">
        <f>IFERROR(__xludf.DUMMYFUNCTION("""COMPUTED_VALUE"""),48.0)</f>
        <v>48</v>
      </c>
      <c r="H1643" s="35" t="str">
        <f>IFERROR(__xludf.DUMMYFUNCTION("""COMPUTED_VALUE"""),"Algorithms")</f>
        <v>Algorithms</v>
      </c>
      <c r="I1643" s="35">
        <f>IFERROR(__xludf.DUMMYFUNCTION("""COMPUTED_VALUE"""),0.449)</f>
        <v>0.449</v>
      </c>
      <c r="J1643" s="35">
        <f>IFERROR(__xludf.DUMMYFUNCTION("""COMPUTED_VALUE"""),1642.0)</f>
        <v>1642</v>
      </c>
      <c r="K1643" s="35" t="b">
        <f>IFERROR(__xludf.DUMMYFUNCTION("""COMPUTED_VALUE"""),FALSE)</f>
        <v>0</v>
      </c>
      <c r="L1643" s="35" t="str">
        <f>IFERROR(__xludf.DUMMYFUNCTION("""COMPUTED_VALUE"""),"Array;Greedy;Heap (Priority Queue);")</f>
        <v>Array;Greedy;Heap (Priority Queue);</v>
      </c>
      <c r="M1643" s="35" t="b">
        <f>IFERROR(__xludf.DUMMYFUNCTION("""COMPUTED_VALUE"""),TRUE)</f>
        <v>1</v>
      </c>
      <c r="N1643" s="35" t="b">
        <f>IFERROR(__xludf.DUMMYFUNCTION("""COMPUTED_VALUE"""),FALSE)</f>
        <v>0</v>
      </c>
      <c r="O1643" s="35">
        <f>IFERROR(__xludf.DUMMYFUNCTION("""COMPUTED_VALUE"""),44.9181247870442)</f>
        <v>44.91812479</v>
      </c>
      <c r="P1643" s="35">
        <f>IFERROR(__xludf.DUMMYFUNCTION("""COMPUTED_VALUE"""),44820.0)</f>
        <v>44820</v>
      </c>
      <c r="Q1643" s="35">
        <f>IFERROR(__xludf.DUMMYFUNCTION("""COMPUTED_VALUE"""),99784.0)</f>
        <v>99784</v>
      </c>
    </row>
    <row r="1644">
      <c r="A1644" s="35">
        <f>IFERROR(__xludf.DUMMYFUNCTION("""COMPUTED_VALUE"""),489.0)</f>
        <v>489</v>
      </c>
      <c r="B1644" s="35" t="str">
        <f>IFERROR(__xludf.DUMMYFUNCTION("""COMPUTED_VALUE"""),"Kth Smallest Instructions")</f>
        <v>Kth Smallest Instructions</v>
      </c>
      <c r="C1644" s="35" t="str">
        <f>IFERROR(__xludf.DUMMYFUNCTION("""COMPUTED_VALUE"""),"kth-smallest-instructions")</f>
        <v>kth-smallest-instructions</v>
      </c>
      <c r="D1644" s="35" t="b">
        <f>IFERROR(__xludf.DUMMYFUNCTION("""COMPUTED_VALUE"""),FALSE)</f>
        <v>0</v>
      </c>
      <c r="E1644" s="35" t="str">
        <f>IFERROR(__xludf.DUMMYFUNCTION("""COMPUTED_VALUE"""),"Hard")</f>
        <v>Hard</v>
      </c>
      <c r="F1644" s="35">
        <f>IFERROR(__xludf.DUMMYFUNCTION("""COMPUTED_VALUE"""),327.0)</f>
        <v>327</v>
      </c>
      <c r="G1644" s="35">
        <f>IFERROR(__xludf.DUMMYFUNCTION("""COMPUTED_VALUE"""),3.0)</f>
        <v>3</v>
      </c>
      <c r="H1644" s="35" t="str">
        <f>IFERROR(__xludf.DUMMYFUNCTION("""COMPUTED_VALUE"""),"Algorithms")</f>
        <v>Algorithms</v>
      </c>
      <c r="I1644" s="35">
        <f>IFERROR(__xludf.DUMMYFUNCTION("""COMPUTED_VALUE"""),0.455)</f>
        <v>0.455</v>
      </c>
      <c r="J1644" s="35">
        <f>IFERROR(__xludf.DUMMYFUNCTION("""COMPUTED_VALUE"""),1643.0)</f>
        <v>1643</v>
      </c>
      <c r="K1644" s="35" t="b">
        <f>IFERROR(__xludf.DUMMYFUNCTION("""COMPUTED_VALUE"""),FALSE)</f>
        <v>0</v>
      </c>
      <c r="L1644" s="35" t="str">
        <f>IFERROR(__xludf.DUMMYFUNCTION("""COMPUTED_VALUE"""),"Array;Math;Dynamic Programming;Combinatorics;")</f>
        <v>Array;Math;Dynamic Programming;Combinatorics;</v>
      </c>
      <c r="M1644" s="35" t="b">
        <f>IFERROR(__xludf.DUMMYFUNCTION("""COMPUTED_VALUE"""),FALSE)</f>
        <v>0</v>
      </c>
      <c r="N1644" s="35" t="b">
        <f>IFERROR(__xludf.DUMMYFUNCTION("""COMPUTED_VALUE"""),FALSE)</f>
        <v>0</v>
      </c>
      <c r="O1644" s="35">
        <f>IFERROR(__xludf.DUMMYFUNCTION("""COMPUTED_VALUE"""),45.5053358443188)</f>
        <v>45.50533584</v>
      </c>
      <c r="P1644" s="35">
        <f>IFERROR(__xludf.DUMMYFUNCTION("""COMPUTED_VALUE"""),7249.0)</f>
        <v>7249</v>
      </c>
      <c r="Q1644" s="35">
        <f>IFERROR(__xludf.DUMMYFUNCTION("""COMPUTED_VALUE"""),15930.0)</f>
        <v>15930</v>
      </c>
    </row>
    <row r="1645">
      <c r="A1645" s="35">
        <f>IFERROR(__xludf.DUMMYFUNCTION("""COMPUTED_VALUE"""),1780.0)</f>
        <v>1780</v>
      </c>
      <c r="B1645" s="35" t="str">
        <f>IFERROR(__xludf.DUMMYFUNCTION("""COMPUTED_VALUE"""),"Lowest Common Ancestor of a Binary Tree II")</f>
        <v>Lowest Common Ancestor of a Binary Tree II</v>
      </c>
      <c r="C1645" s="35" t="str">
        <f>IFERROR(__xludf.DUMMYFUNCTION("""COMPUTED_VALUE"""),"lowest-common-ancestor-of-a-binary-tree-ii")</f>
        <v>lowest-common-ancestor-of-a-binary-tree-ii</v>
      </c>
      <c r="D1645" s="35" t="b">
        <f>IFERROR(__xludf.DUMMYFUNCTION("""COMPUTED_VALUE"""),TRUE)</f>
        <v>1</v>
      </c>
      <c r="E1645" s="35" t="str">
        <f>IFERROR(__xludf.DUMMYFUNCTION("""COMPUTED_VALUE"""),"Medium")</f>
        <v>Medium</v>
      </c>
      <c r="F1645" s="35">
        <f>IFERROR(__xludf.DUMMYFUNCTION("""COMPUTED_VALUE"""),386.0)</f>
        <v>386</v>
      </c>
      <c r="G1645" s="35">
        <f>IFERROR(__xludf.DUMMYFUNCTION("""COMPUTED_VALUE"""),19.0)</f>
        <v>19</v>
      </c>
      <c r="H1645" s="35" t="str">
        <f>IFERROR(__xludf.DUMMYFUNCTION("""COMPUTED_VALUE"""),"Algorithms")</f>
        <v>Algorithms</v>
      </c>
      <c r="I1645" s="35">
        <f>IFERROR(__xludf.DUMMYFUNCTION("""COMPUTED_VALUE"""),0.586)</f>
        <v>0.586</v>
      </c>
      <c r="J1645" s="35">
        <f>IFERROR(__xludf.DUMMYFUNCTION("""COMPUTED_VALUE"""),1644.0)</f>
        <v>1644</v>
      </c>
      <c r="K1645" s="35" t="b">
        <f>IFERROR(__xludf.DUMMYFUNCTION("""COMPUTED_VALUE"""),TRUE)</f>
        <v>1</v>
      </c>
      <c r="L1645" s="35" t="str">
        <f>IFERROR(__xludf.DUMMYFUNCTION("""COMPUTED_VALUE"""),"Tree;Depth-First Search;Binary Tree;")</f>
        <v>Tree;Depth-First Search;Binary Tree;</v>
      </c>
      <c r="M1645" s="35" t="b">
        <f>IFERROR(__xludf.DUMMYFUNCTION("""COMPUTED_VALUE"""),FALSE)</f>
        <v>0</v>
      </c>
      <c r="N1645" s="35" t="b">
        <f>IFERROR(__xludf.DUMMYFUNCTION("""COMPUTED_VALUE"""),FALSE)</f>
        <v>0</v>
      </c>
      <c r="O1645" s="35">
        <f>IFERROR(__xludf.DUMMYFUNCTION("""COMPUTED_VALUE"""),58.6414285048254)</f>
        <v>58.6414285</v>
      </c>
      <c r="P1645" s="35">
        <f>IFERROR(__xludf.DUMMYFUNCTION("""COMPUTED_VALUE"""),37732.0)</f>
        <v>37732</v>
      </c>
      <c r="Q1645" s="35">
        <f>IFERROR(__xludf.DUMMYFUNCTION("""COMPUTED_VALUE"""),64345.0)</f>
        <v>64345</v>
      </c>
    </row>
    <row r="1646">
      <c r="A1646" s="35">
        <f>IFERROR(__xludf.DUMMYFUNCTION("""COMPUTED_VALUE"""),1785.0)</f>
        <v>1785</v>
      </c>
      <c r="B1646" s="35" t="str">
        <f>IFERROR(__xludf.DUMMYFUNCTION("""COMPUTED_VALUE"""),"Hopper Company Queries II")</f>
        <v>Hopper Company Queries II</v>
      </c>
      <c r="C1646" s="35" t="str">
        <f>IFERROR(__xludf.DUMMYFUNCTION("""COMPUTED_VALUE"""),"hopper-company-queries-ii")</f>
        <v>hopper-company-queries-ii</v>
      </c>
      <c r="D1646" s="35" t="b">
        <f>IFERROR(__xludf.DUMMYFUNCTION("""COMPUTED_VALUE"""),TRUE)</f>
        <v>1</v>
      </c>
      <c r="E1646" s="35" t="str">
        <f>IFERROR(__xludf.DUMMYFUNCTION("""COMPUTED_VALUE"""),"Hard")</f>
        <v>Hard</v>
      </c>
      <c r="F1646" s="35">
        <f>IFERROR(__xludf.DUMMYFUNCTION("""COMPUTED_VALUE"""),35.0)</f>
        <v>35</v>
      </c>
      <c r="G1646" s="35">
        <f>IFERROR(__xludf.DUMMYFUNCTION("""COMPUTED_VALUE"""),10.0)</f>
        <v>10</v>
      </c>
      <c r="H1646" s="35" t="str">
        <f>IFERROR(__xludf.DUMMYFUNCTION("""COMPUTED_VALUE"""),"Database")</f>
        <v>Database</v>
      </c>
      <c r="I1646" s="35">
        <f>IFERROR(__xludf.DUMMYFUNCTION("""COMPUTED_VALUE"""),0.388)</f>
        <v>0.388</v>
      </c>
      <c r="J1646" s="35">
        <f>IFERROR(__xludf.DUMMYFUNCTION("""COMPUTED_VALUE"""),1645.0)</f>
        <v>1645</v>
      </c>
      <c r="K1646" s="35" t="b">
        <f>IFERROR(__xludf.DUMMYFUNCTION("""COMPUTED_VALUE"""),TRUE)</f>
        <v>1</v>
      </c>
      <c r="L1646" s="35" t="str">
        <f>IFERROR(__xludf.DUMMYFUNCTION("""COMPUTED_VALUE"""),"Database;")</f>
        <v>Database;</v>
      </c>
      <c r="M1646" s="35" t="b">
        <f>IFERROR(__xludf.DUMMYFUNCTION("""COMPUTED_VALUE"""),FALSE)</f>
        <v>0</v>
      </c>
      <c r="N1646" s="35" t="b">
        <f>IFERROR(__xludf.DUMMYFUNCTION("""COMPUTED_VALUE"""),FALSE)</f>
        <v>0</v>
      </c>
      <c r="O1646" s="35">
        <f>IFERROR(__xludf.DUMMYFUNCTION("""COMPUTED_VALUE"""),38.7842644904791)</f>
        <v>38.78426449</v>
      </c>
      <c r="P1646" s="35">
        <f>IFERROR(__xludf.DUMMYFUNCTION("""COMPUTED_VALUE"""),3707.0)</f>
        <v>3707</v>
      </c>
      <c r="Q1646" s="35">
        <f>IFERROR(__xludf.DUMMYFUNCTION("""COMPUTED_VALUE"""),9558.0)</f>
        <v>9558</v>
      </c>
    </row>
    <row r="1647">
      <c r="A1647" s="35">
        <f>IFERROR(__xludf.DUMMYFUNCTION("""COMPUTED_VALUE"""),1769.0)</f>
        <v>1769</v>
      </c>
      <c r="B1647" s="35" t="str">
        <f>IFERROR(__xludf.DUMMYFUNCTION("""COMPUTED_VALUE"""),"Get Maximum in Generated Array")</f>
        <v>Get Maximum in Generated Array</v>
      </c>
      <c r="C1647" s="35" t="str">
        <f>IFERROR(__xludf.DUMMYFUNCTION("""COMPUTED_VALUE"""),"get-maximum-in-generated-array")</f>
        <v>get-maximum-in-generated-array</v>
      </c>
      <c r="D1647" s="35" t="b">
        <f>IFERROR(__xludf.DUMMYFUNCTION("""COMPUTED_VALUE"""),FALSE)</f>
        <v>0</v>
      </c>
      <c r="E1647" s="35" t="str">
        <f>IFERROR(__xludf.DUMMYFUNCTION("""COMPUTED_VALUE"""),"Easy")</f>
        <v>Easy</v>
      </c>
      <c r="F1647" s="35">
        <f>IFERROR(__xludf.DUMMYFUNCTION("""COMPUTED_VALUE"""),345.0)</f>
        <v>345</v>
      </c>
      <c r="G1647" s="35">
        <f>IFERROR(__xludf.DUMMYFUNCTION("""COMPUTED_VALUE"""),499.0)</f>
        <v>499</v>
      </c>
      <c r="H1647" s="35" t="str">
        <f>IFERROR(__xludf.DUMMYFUNCTION("""COMPUTED_VALUE"""),"Algorithms")</f>
        <v>Algorithms</v>
      </c>
      <c r="I1647" s="35">
        <f>IFERROR(__xludf.DUMMYFUNCTION("""COMPUTED_VALUE"""),0.51)</f>
        <v>0.51</v>
      </c>
      <c r="J1647" s="35">
        <f>IFERROR(__xludf.DUMMYFUNCTION("""COMPUTED_VALUE"""),1646.0)</f>
        <v>1646</v>
      </c>
      <c r="K1647" s="35" t="b">
        <f>IFERROR(__xludf.DUMMYFUNCTION("""COMPUTED_VALUE"""),FALSE)</f>
        <v>0</v>
      </c>
      <c r="L1647" s="35" t="str">
        <f>IFERROR(__xludf.DUMMYFUNCTION("""COMPUTED_VALUE"""),"Array;Dynamic Programming;Simulation;")</f>
        <v>Array;Dynamic Programming;Simulation;</v>
      </c>
      <c r="M1647" s="35" t="b">
        <f>IFERROR(__xludf.DUMMYFUNCTION("""COMPUTED_VALUE"""),TRUE)</f>
        <v>1</v>
      </c>
      <c r="N1647" s="35" t="b">
        <f>IFERROR(__xludf.DUMMYFUNCTION("""COMPUTED_VALUE"""),FALSE)</f>
        <v>0</v>
      </c>
      <c r="O1647" s="35">
        <f>IFERROR(__xludf.DUMMYFUNCTION("""COMPUTED_VALUE"""),51.0081257419455)</f>
        <v>51.00812574</v>
      </c>
      <c r="P1647" s="35">
        <f>IFERROR(__xludf.DUMMYFUNCTION("""COMPUTED_VALUE"""),55429.0)</f>
        <v>55429</v>
      </c>
      <c r="Q1647" s="35">
        <f>IFERROR(__xludf.DUMMYFUNCTION("""COMPUTED_VALUE"""),108667.0)</f>
        <v>108667</v>
      </c>
    </row>
    <row r="1648">
      <c r="A1648" s="35">
        <f>IFERROR(__xludf.DUMMYFUNCTION("""COMPUTED_VALUE"""),1770.0)</f>
        <v>1770</v>
      </c>
      <c r="B1648" s="35" t="str">
        <f>IFERROR(__xludf.DUMMYFUNCTION("""COMPUTED_VALUE"""),"Minimum Deletions to Make Character Frequencies Unique")</f>
        <v>Minimum Deletions to Make Character Frequencies Unique</v>
      </c>
      <c r="C1648" s="35" t="str">
        <f>IFERROR(__xludf.DUMMYFUNCTION("""COMPUTED_VALUE"""),"minimum-deletions-to-make-character-frequencies-unique")</f>
        <v>minimum-deletions-to-make-character-frequencies-unique</v>
      </c>
      <c r="D1648" s="35" t="b">
        <f>IFERROR(__xludf.DUMMYFUNCTION("""COMPUTED_VALUE"""),FALSE)</f>
        <v>0</v>
      </c>
      <c r="E1648" s="35" t="str">
        <f>IFERROR(__xludf.DUMMYFUNCTION("""COMPUTED_VALUE"""),"Medium")</f>
        <v>Medium</v>
      </c>
      <c r="F1648" s="35">
        <f>IFERROR(__xludf.DUMMYFUNCTION("""COMPUTED_VALUE"""),1162.0)</f>
        <v>1162</v>
      </c>
      <c r="G1648" s="35">
        <f>IFERROR(__xludf.DUMMYFUNCTION("""COMPUTED_VALUE"""),27.0)</f>
        <v>27</v>
      </c>
      <c r="H1648" s="35" t="str">
        <f>IFERROR(__xludf.DUMMYFUNCTION("""COMPUTED_VALUE"""),"Algorithms")</f>
        <v>Algorithms</v>
      </c>
      <c r="I1648" s="35">
        <f>IFERROR(__xludf.DUMMYFUNCTION("""COMPUTED_VALUE"""),0.564)</f>
        <v>0.564</v>
      </c>
      <c r="J1648" s="35">
        <f>IFERROR(__xludf.DUMMYFUNCTION("""COMPUTED_VALUE"""),1647.0)</f>
        <v>1647</v>
      </c>
      <c r="K1648" s="35" t="b">
        <f>IFERROR(__xludf.DUMMYFUNCTION("""COMPUTED_VALUE"""),FALSE)</f>
        <v>0</v>
      </c>
      <c r="L1648" s="35" t="str">
        <f>IFERROR(__xludf.DUMMYFUNCTION("""COMPUTED_VALUE"""),"String;Greedy;Sorting;")</f>
        <v>String;Greedy;Sorting;</v>
      </c>
      <c r="M1648" s="35" t="b">
        <f>IFERROR(__xludf.DUMMYFUNCTION("""COMPUTED_VALUE"""),FALSE)</f>
        <v>0</v>
      </c>
      <c r="N1648" s="35" t="b">
        <f>IFERROR(__xludf.DUMMYFUNCTION("""COMPUTED_VALUE"""),FALSE)</f>
        <v>0</v>
      </c>
      <c r="O1648" s="35">
        <f>IFERROR(__xludf.DUMMYFUNCTION("""COMPUTED_VALUE"""),56.3538143836231)</f>
        <v>56.35381438</v>
      </c>
      <c r="P1648" s="35">
        <f>IFERROR(__xludf.DUMMYFUNCTION("""COMPUTED_VALUE"""),75315.0)</f>
        <v>75315</v>
      </c>
      <c r="Q1648" s="35">
        <f>IFERROR(__xludf.DUMMYFUNCTION("""COMPUTED_VALUE"""),133649.0)</f>
        <v>133649</v>
      </c>
    </row>
    <row r="1649">
      <c r="A1649" s="35">
        <f>IFERROR(__xludf.DUMMYFUNCTION("""COMPUTED_VALUE"""),1771.0)</f>
        <v>1771</v>
      </c>
      <c r="B1649" s="35" t="str">
        <f>IFERROR(__xludf.DUMMYFUNCTION("""COMPUTED_VALUE"""),"Sell Diminishing-Valued Colored Balls")</f>
        <v>Sell Diminishing-Valued Colored Balls</v>
      </c>
      <c r="C1649" s="35" t="str">
        <f>IFERROR(__xludf.DUMMYFUNCTION("""COMPUTED_VALUE"""),"sell-diminishing-valued-colored-balls")</f>
        <v>sell-diminishing-valued-colored-balls</v>
      </c>
      <c r="D1649" s="35" t="b">
        <f>IFERROR(__xludf.DUMMYFUNCTION("""COMPUTED_VALUE"""),FALSE)</f>
        <v>0</v>
      </c>
      <c r="E1649" s="35" t="str">
        <f>IFERROR(__xludf.DUMMYFUNCTION("""COMPUTED_VALUE"""),"Medium")</f>
        <v>Medium</v>
      </c>
      <c r="F1649" s="35">
        <f>IFERROR(__xludf.DUMMYFUNCTION("""COMPUTED_VALUE"""),679.0)</f>
        <v>679</v>
      </c>
      <c r="G1649" s="35">
        <f>IFERROR(__xludf.DUMMYFUNCTION("""COMPUTED_VALUE"""),253.0)</f>
        <v>253</v>
      </c>
      <c r="H1649" s="35" t="str">
        <f>IFERROR(__xludf.DUMMYFUNCTION("""COMPUTED_VALUE"""),"Algorithms")</f>
        <v>Algorithms</v>
      </c>
      <c r="I1649" s="35">
        <f>IFERROR(__xludf.DUMMYFUNCTION("""COMPUTED_VALUE"""),0.309)</f>
        <v>0.309</v>
      </c>
      <c r="J1649" s="35">
        <f>IFERROR(__xludf.DUMMYFUNCTION("""COMPUTED_VALUE"""),1648.0)</f>
        <v>1648</v>
      </c>
      <c r="K1649" s="35" t="b">
        <f>IFERROR(__xludf.DUMMYFUNCTION("""COMPUTED_VALUE"""),FALSE)</f>
        <v>0</v>
      </c>
      <c r="L1649" s="35" t="str">
        <f>IFERROR(__xludf.DUMMYFUNCTION("""COMPUTED_VALUE"""),"Array;Math;Binary Search;Greedy;Sorting;Heap (Priority Queue);")</f>
        <v>Array;Math;Binary Search;Greedy;Sorting;Heap (Priority Queue);</v>
      </c>
      <c r="M1649" s="35" t="b">
        <f>IFERROR(__xludf.DUMMYFUNCTION("""COMPUTED_VALUE"""),FALSE)</f>
        <v>0</v>
      </c>
      <c r="N1649" s="35" t="b">
        <f>IFERROR(__xludf.DUMMYFUNCTION("""COMPUTED_VALUE"""),FALSE)</f>
        <v>0</v>
      </c>
      <c r="O1649" s="35">
        <f>IFERROR(__xludf.DUMMYFUNCTION("""COMPUTED_VALUE"""),30.866078964644)</f>
        <v>30.86607896</v>
      </c>
      <c r="P1649" s="35">
        <f>IFERROR(__xludf.DUMMYFUNCTION("""COMPUTED_VALUE"""),26330.0)</f>
        <v>26330</v>
      </c>
      <c r="Q1649" s="35">
        <f>IFERROR(__xludf.DUMMYFUNCTION("""COMPUTED_VALUE"""),85303.0)</f>
        <v>85303</v>
      </c>
    </row>
    <row r="1650">
      <c r="A1650" s="35">
        <f>IFERROR(__xludf.DUMMYFUNCTION("""COMPUTED_VALUE"""),1772.0)</f>
        <v>1772</v>
      </c>
      <c r="B1650" s="35" t="str">
        <f>IFERROR(__xludf.DUMMYFUNCTION("""COMPUTED_VALUE"""),"Create Sorted Array through Instructions")</f>
        <v>Create Sorted Array through Instructions</v>
      </c>
      <c r="C1650" s="35" t="str">
        <f>IFERROR(__xludf.DUMMYFUNCTION("""COMPUTED_VALUE"""),"create-sorted-array-through-instructions")</f>
        <v>create-sorted-array-through-instructions</v>
      </c>
      <c r="D1650" s="35" t="b">
        <f>IFERROR(__xludf.DUMMYFUNCTION("""COMPUTED_VALUE"""),FALSE)</f>
        <v>0</v>
      </c>
      <c r="E1650" s="35" t="str">
        <f>IFERROR(__xludf.DUMMYFUNCTION("""COMPUTED_VALUE"""),"Hard")</f>
        <v>Hard</v>
      </c>
      <c r="F1650" s="35">
        <f>IFERROR(__xludf.DUMMYFUNCTION("""COMPUTED_VALUE"""),442.0)</f>
        <v>442</v>
      </c>
      <c r="G1650" s="35">
        <f>IFERROR(__xludf.DUMMYFUNCTION("""COMPUTED_VALUE"""),60.0)</f>
        <v>60</v>
      </c>
      <c r="H1650" s="35" t="str">
        <f>IFERROR(__xludf.DUMMYFUNCTION("""COMPUTED_VALUE"""),"Algorithms")</f>
        <v>Algorithms</v>
      </c>
      <c r="I1650" s="35">
        <f>IFERROR(__xludf.DUMMYFUNCTION("""COMPUTED_VALUE"""),0.371)</f>
        <v>0.371</v>
      </c>
      <c r="J1650" s="35">
        <f>IFERROR(__xludf.DUMMYFUNCTION("""COMPUTED_VALUE"""),1649.0)</f>
        <v>1649</v>
      </c>
      <c r="K1650" s="35" t="b">
        <f>IFERROR(__xludf.DUMMYFUNCTION("""COMPUTED_VALUE"""),FALSE)</f>
        <v>0</v>
      </c>
      <c r="L1650" s="35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1650" s="35" t="b">
        <f>IFERROR(__xludf.DUMMYFUNCTION("""COMPUTED_VALUE"""),TRUE)</f>
        <v>1</v>
      </c>
      <c r="N1650" s="35" t="b">
        <f>IFERROR(__xludf.DUMMYFUNCTION("""COMPUTED_VALUE"""),FALSE)</f>
        <v>0</v>
      </c>
      <c r="O1650" s="35">
        <f>IFERROR(__xludf.DUMMYFUNCTION("""COMPUTED_VALUE"""),37.1215168055156)</f>
        <v>37.12151681</v>
      </c>
      <c r="P1650" s="35">
        <f>IFERROR(__xludf.DUMMYFUNCTION("""COMPUTED_VALUE"""),19382.0)</f>
        <v>19382</v>
      </c>
      <c r="Q1650" s="35">
        <f>IFERROR(__xludf.DUMMYFUNCTION("""COMPUTED_VALUE"""),52214.0)</f>
        <v>52214</v>
      </c>
    </row>
    <row r="1651">
      <c r="A1651" s="35">
        <f>IFERROR(__xludf.DUMMYFUNCTION("""COMPUTED_VALUE"""),1790.0)</f>
        <v>1790</v>
      </c>
      <c r="B1651" s="35" t="str">
        <f>IFERROR(__xludf.DUMMYFUNCTION("""COMPUTED_VALUE"""),"Lowest Common Ancestor of a Binary Tree III")</f>
        <v>Lowest Common Ancestor of a Binary Tree III</v>
      </c>
      <c r="C1651" s="35" t="str">
        <f>IFERROR(__xludf.DUMMYFUNCTION("""COMPUTED_VALUE"""),"lowest-common-ancestor-of-a-binary-tree-iii")</f>
        <v>lowest-common-ancestor-of-a-binary-tree-iii</v>
      </c>
      <c r="D1651" s="35" t="b">
        <f>IFERROR(__xludf.DUMMYFUNCTION("""COMPUTED_VALUE"""),TRUE)</f>
        <v>1</v>
      </c>
      <c r="E1651" s="35" t="str">
        <f>IFERROR(__xludf.DUMMYFUNCTION("""COMPUTED_VALUE"""),"Medium")</f>
        <v>Medium</v>
      </c>
      <c r="F1651" s="35">
        <f>IFERROR(__xludf.DUMMYFUNCTION("""COMPUTED_VALUE"""),787.0)</f>
        <v>787</v>
      </c>
      <c r="G1651" s="35">
        <f>IFERROR(__xludf.DUMMYFUNCTION("""COMPUTED_VALUE"""),24.0)</f>
        <v>24</v>
      </c>
      <c r="H1651" s="35" t="str">
        <f>IFERROR(__xludf.DUMMYFUNCTION("""COMPUTED_VALUE"""),"Algorithms")</f>
        <v>Algorithms</v>
      </c>
      <c r="I1651" s="35">
        <f>IFERROR(__xludf.DUMMYFUNCTION("""COMPUTED_VALUE"""),0.774)</f>
        <v>0.774</v>
      </c>
      <c r="J1651" s="35">
        <f>IFERROR(__xludf.DUMMYFUNCTION("""COMPUTED_VALUE"""),1650.0)</f>
        <v>1650</v>
      </c>
      <c r="K1651" s="35" t="b">
        <f>IFERROR(__xludf.DUMMYFUNCTION("""COMPUTED_VALUE"""),TRUE)</f>
        <v>1</v>
      </c>
      <c r="L1651" s="35" t="str">
        <f>IFERROR(__xludf.DUMMYFUNCTION("""COMPUTED_VALUE"""),"Hash Table;Tree;Binary Tree;")</f>
        <v>Hash Table;Tree;Binary Tree;</v>
      </c>
      <c r="M1651" s="35" t="b">
        <f>IFERROR(__xludf.DUMMYFUNCTION("""COMPUTED_VALUE"""),FALSE)</f>
        <v>0</v>
      </c>
      <c r="N1651" s="35" t="b">
        <f>IFERROR(__xludf.DUMMYFUNCTION("""COMPUTED_VALUE"""),FALSE)</f>
        <v>0</v>
      </c>
      <c r="O1651" s="35">
        <f>IFERROR(__xludf.DUMMYFUNCTION("""COMPUTED_VALUE"""),77.4481493179322)</f>
        <v>77.44814932</v>
      </c>
      <c r="P1651" s="35">
        <f>IFERROR(__xludf.DUMMYFUNCTION("""COMPUTED_VALUE"""),102985.0)</f>
        <v>102985</v>
      </c>
      <c r="Q1651" s="35">
        <f>IFERROR(__xludf.DUMMYFUNCTION("""COMPUTED_VALUE"""),132973.0)</f>
        <v>132973</v>
      </c>
    </row>
    <row r="1652">
      <c r="A1652" s="35">
        <f>IFERROR(__xludf.DUMMYFUNCTION("""COMPUTED_VALUE"""),1795.0)</f>
        <v>1795</v>
      </c>
      <c r="B1652" s="35" t="str">
        <f>IFERROR(__xludf.DUMMYFUNCTION("""COMPUTED_VALUE"""),"Hopper Company Queries III")</f>
        <v>Hopper Company Queries III</v>
      </c>
      <c r="C1652" s="35" t="str">
        <f>IFERROR(__xludf.DUMMYFUNCTION("""COMPUTED_VALUE"""),"hopper-company-queries-iii")</f>
        <v>hopper-company-queries-iii</v>
      </c>
      <c r="D1652" s="35" t="b">
        <f>IFERROR(__xludf.DUMMYFUNCTION("""COMPUTED_VALUE"""),TRUE)</f>
        <v>1</v>
      </c>
      <c r="E1652" s="35" t="str">
        <f>IFERROR(__xludf.DUMMYFUNCTION("""COMPUTED_VALUE"""),"Hard")</f>
        <v>Hard</v>
      </c>
      <c r="F1652" s="35">
        <f>IFERROR(__xludf.DUMMYFUNCTION("""COMPUTED_VALUE"""),16.0)</f>
        <v>16</v>
      </c>
      <c r="G1652" s="35">
        <f>IFERROR(__xludf.DUMMYFUNCTION("""COMPUTED_VALUE"""),38.0)</f>
        <v>38</v>
      </c>
      <c r="H1652" s="35" t="str">
        <f>IFERROR(__xludf.DUMMYFUNCTION("""COMPUTED_VALUE"""),"Database")</f>
        <v>Database</v>
      </c>
      <c r="I1652" s="35">
        <f>IFERROR(__xludf.DUMMYFUNCTION("""COMPUTED_VALUE"""),0.668)</f>
        <v>0.668</v>
      </c>
      <c r="J1652" s="35">
        <f>IFERROR(__xludf.DUMMYFUNCTION("""COMPUTED_VALUE"""),1651.0)</f>
        <v>1651</v>
      </c>
      <c r="K1652" s="35" t="b">
        <f>IFERROR(__xludf.DUMMYFUNCTION("""COMPUTED_VALUE"""),TRUE)</f>
        <v>1</v>
      </c>
      <c r="L1652" s="35" t="str">
        <f>IFERROR(__xludf.DUMMYFUNCTION("""COMPUTED_VALUE"""),"Database;")</f>
        <v>Database;</v>
      </c>
      <c r="M1652" s="35" t="b">
        <f>IFERROR(__xludf.DUMMYFUNCTION("""COMPUTED_VALUE"""),FALSE)</f>
        <v>0</v>
      </c>
      <c r="N1652" s="35" t="b">
        <f>IFERROR(__xludf.DUMMYFUNCTION("""COMPUTED_VALUE"""),FALSE)</f>
        <v>0</v>
      </c>
      <c r="O1652" s="35">
        <f>IFERROR(__xludf.DUMMYFUNCTION("""COMPUTED_VALUE"""),66.8287599861062)</f>
        <v>66.82875999</v>
      </c>
      <c r="P1652" s="35">
        <f>IFERROR(__xludf.DUMMYFUNCTION("""COMPUTED_VALUE"""),3848.0)</f>
        <v>3848</v>
      </c>
      <c r="Q1652" s="35">
        <f>IFERROR(__xludf.DUMMYFUNCTION("""COMPUTED_VALUE"""),5758.0)</f>
        <v>5758</v>
      </c>
    </row>
    <row r="1653">
      <c r="A1653" s="35">
        <f>IFERROR(__xludf.DUMMYFUNCTION("""COMPUTED_VALUE"""),1755.0)</f>
        <v>1755</v>
      </c>
      <c r="B1653" s="35" t="str">
        <f>IFERROR(__xludf.DUMMYFUNCTION("""COMPUTED_VALUE"""),"Defuse the Bomb")</f>
        <v>Defuse the Bomb</v>
      </c>
      <c r="C1653" s="35" t="str">
        <f>IFERROR(__xludf.DUMMYFUNCTION("""COMPUTED_VALUE"""),"defuse-the-bomb")</f>
        <v>defuse-the-bomb</v>
      </c>
      <c r="D1653" s="35" t="b">
        <f>IFERROR(__xludf.DUMMYFUNCTION("""COMPUTED_VALUE"""),FALSE)</f>
        <v>0</v>
      </c>
      <c r="E1653" s="35" t="str">
        <f>IFERROR(__xludf.DUMMYFUNCTION("""COMPUTED_VALUE"""),"Easy")</f>
        <v>Easy</v>
      </c>
      <c r="F1653" s="35">
        <f>IFERROR(__xludf.DUMMYFUNCTION("""COMPUTED_VALUE"""),398.0)</f>
        <v>398</v>
      </c>
      <c r="G1653" s="35">
        <f>IFERROR(__xludf.DUMMYFUNCTION("""COMPUTED_VALUE"""),43.0)</f>
        <v>43</v>
      </c>
      <c r="H1653" s="35" t="str">
        <f>IFERROR(__xludf.DUMMYFUNCTION("""COMPUTED_VALUE"""),"Algorithms")</f>
        <v>Algorithms</v>
      </c>
      <c r="I1653" s="35">
        <f>IFERROR(__xludf.DUMMYFUNCTION("""COMPUTED_VALUE"""),0.608)</f>
        <v>0.608</v>
      </c>
      <c r="J1653" s="35">
        <f>IFERROR(__xludf.DUMMYFUNCTION("""COMPUTED_VALUE"""),1652.0)</f>
        <v>1652</v>
      </c>
      <c r="K1653" s="35" t="b">
        <f>IFERROR(__xludf.DUMMYFUNCTION("""COMPUTED_VALUE"""),FALSE)</f>
        <v>0</v>
      </c>
      <c r="L1653" s="35" t="str">
        <f>IFERROR(__xludf.DUMMYFUNCTION("""COMPUTED_VALUE"""),"Array;")</f>
        <v>Array;</v>
      </c>
      <c r="M1653" s="35" t="b">
        <f>IFERROR(__xludf.DUMMYFUNCTION("""COMPUTED_VALUE"""),FALSE)</f>
        <v>0</v>
      </c>
      <c r="N1653" s="35" t="b">
        <f>IFERROR(__xludf.DUMMYFUNCTION("""COMPUTED_VALUE"""),FALSE)</f>
        <v>0</v>
      </c>
      <c r="O1653" s="35">
        <f>IFERROR(__xludf.DUMMYFUNCTION("""COMPUTED_VALUE"""),60.8345818766994)</f>
        <v>60.83458188</v>
      </c>
      <c r="P1653" s="35">
        <f>IFERROR(__xludf.DUMMYFUNCTION("""COMPUTED_VALUE"""),21926.0)</f>
        <v>21926</v>
      </c>
      <c r="Q1653" s="35">
        <f>IFERROR(__xludf.DUMMYFUNCTION("""COMPUTED_VALUE"""),36042.0)</f>
        <v>36042</v>
      </c>
    </row>
    <row r="1654">
      <c r="A1654" s="35">
        <f>IFERROR(__xludf.DUMMYFUNCTION("""COMPUTED_VALUE"""),1756.0)</f>
        <v>1756</v>
      </c>
      <c r="B1654" s="35" t="str">
        <f>IFERROR(__xludf.DUMMYFUNCTION("""COMPUTED_VALUE"""),"Minimum Deletions to Make String Balanced")</f>
        <v>Minimum Deletions to Make String Balanced</v>
      </c>
      <c r="C1654" s="35" t="str">
        <f>IFERROR(__xludf.DUMMYFUNCTION("""COMPUTED_VALUE"""),"minimum-deletions-to-make-string-balanced")</f>
        <v>minimum-deletions-to-make-string-balanced</v>
      </c>
      <c r="D1654" s="35" t="b">
        <f>IFERROR(__xludf.DUMMYFUNCTION("""COMPUTED_VALUE"""),FALSE)</f>
        <v>0</v>
      </c>
      <c r="E1654" s="35" t="str">
        <f>IFERROR(__xludf.DUMMYFUNCTION("""COMPUTED_VALUE"""),"Medium")</f>
        <v>Medium</v>
      </c>
      <c r="F1654" s="35">
        <f>IFERROR(__xludf.DUMMYFUNCTION("""COMPUTED_VALUE"""),620.0)</f>
        <v>620</v>
      </c>
      <c r="G1654" s="35">
        <f>IFERROR(__xludf.DUMMYFUNCTION("""COMPUTED_VALUE"""),16.0)</f>
        <v>16</v>
      </c>
      <c r="H1654" s="35" t="str">
        <f>IFERROR(__xludf.DUMMYFUNCTION("""COMPUTED_VALUE"""),"Algorithms")</f>
        <v>Algorithms</v>
      </c>
      <c r="I1654" s="35">
        <f>IFERROR(__xludf.DUMMYFUNCTION("""COMPUTED_VALUE"""),0.554)</f>
        <v>0.554</v>
      </c>
      <c r="J1654" s="35">
        <f>IFERROR(__xludf.DUMMYFUNCTION("""COMPUTED_VALUE"""),1653.0)</f>
        <v>1653</v>
      </c>
      <c r="K1654" s="35" t="b">
        <f>IFERROR(__xludf.DUMMYFUNCTION("""COMPUTED_VALUE"""),FALSE)</f>
        <v>0</v>
      </c>
      <c r="L1654" s="35" t="str">
        <f>IFERROR(__xludf.DUMMYFUNCTION("""COMPUTED_VALUE"""),"String;Dynamic Programming;Stack;")</f>
        <v>String;Dynamic Programming;Stack;</v>
      </c>
      <c r="M1654" s="35" t="b">
        <f>IFERROR(__xludf.DUMMYFUNCTION("""COMPUTED_VALUE"""),FALSE)</f>
        <v>0</v>
      </c>
      <c r="N1654" s="35" t="b">
        <f>IFERROR(__xludf.DUMMYFUNCTION("""COMPUTED_VALUE"""),FALSE)</f>
        <v>0</v>
      </c>
      <c r="O1654" s="35">
        <f>IFERROR(__xludf.DUMMYFUNCTION("""COMPUTED_VALUE"""),55.3592734986079)</f>
        <v>55.3592735</v>
      </c>
      <c r="P1654" s="35">
        <f>IFERROR(__xludf.DUMMYFUNCTION("""COMPUTED_VALUE"""),16703.0)</f>
        <v>16703</v>
      </c>
      <c r="Q1654" s="35">
        <f>IFERROR(__xludf.DUMMYFUNCTION("""COMPUTED_VALUE"""),30171.0)</f>
        <v>30171</v>
      </c>
    </row>
    <row r="1655">
      <c r="A1655" s="35">
        <f>IFERROR(__xludf.DUMMYFUNCTION("""COMPUTED_VALUE"""),1757.0)</f>
        <v>1757</v>
      </c>
      <c r="B1655" s="35" t="str">
        <f>IFERROR(__xludf.DUMMYFUNCTION("""COMPUTED_VALUE"""),"Minimum Jumps to Reach Home")</f>
        <v>Minimum Jumps to Reach Home</v>
      </c>
      <c r="C1655" s="35" t="str">
        <f>IFERROR(__xludf.DUMMYFUNCTION("""COMPUTED_VALUE"""),"minimum-jumps-to-reach-home")</f>
        <v>minimum-jumps-to-reach-home</v>
      </c>
      <c r="D1655" s="35" t="b">
        <f>IFERROR(__xludf.DUMMYFUNCTION("""COMPUTED_VALUE"""),FALSE)</f>
        <v>0</v>
      </c>
      <c r="E1655" s="35" t="str">
        <f>IFERROR(__xludf.DUMMYFUNCTION("""COMPUTED_VALUE"""),"Medium")</f>
        <v>Medium</v>
      </c>
      <c r="F1655" s="35">
        <f>IFERROR(__xludf.DUMMYFUNCTION("""COMPUTED_VALUE"""),683.0)</f>
        <v>683</v>
      </c>
      <c r="G1655" s="35">
        <f>IFERROR(__xludf.DUMMYFUNCTION("""COMPUTED_VALUE"""),146.0)</f>
        <v>146</v>
      </c>
      <c r="H1655" s="35" t="str">
        <f>IFERROR(__xludf.DUMMYFUNCTION("""COMPUTED_VALUE"""),"Algorithms")</f>
        <v>Algorithms</v>
      </c>
      <c r="I1655" s="35">
        <f>IFERROR(__xludf.DUMMYFUNCTION("""COMPUTED_VALUE"""),0.263)</f>
        <v>0.263</v>
      </c>
      <c r="J1655" s="35">
        <f>IFERROR(__xludf.DUMMYFUNCTION("""COMPUTED_VALUE"""),1654.0)</f>
        <v>1654</v>
      </c>
      <c r="K1655" s="35" t="b">
        <f>IFERROR(__xludf.DUMMYFUNCTION("""COMPUTED_VALUE"""),FALSE)</f>
        <v>0</v>
      </c>
      <c r="L1655" s="35" t="str">
        <f>IFERROR(__xludf.DUMMYFUNCTION("""COMPUTED_VALUE"""),"Array;Dynamic Programming;Breadth-First Search;")</f>
        <v>Array;Dynamic Programming;Breadth-First Search;</v>
      </c>
      <c r="M1655" s="35" t="b">
        <f>IFERROR(__xludf.DUMMYFUNCTION("""COMPUTED_VALUE"""),FALSE)</f>
        <v>0</v>
      </c>
      <c r="N1655" s="35" t="b">
        <f>IFERROR(__xludf.DUMMYFUNCTION("""COMPUTED_VALUE"""),FALSE)</f>
        <v>0</v>
      </c>
      <c r="O1655" s="35">
        <f>IFERROR(__xludf.DUMMYFUNCTION("""COMPUTED_VALUE"""),26.3136059968813)</f>
        <v>26.313606</v>
      </c>
      <c r="P1655" s="35">
        <f>IFERROR(__xludf.DUMMYFUNCTION("""COMPUTED_VALUE"""),18394.0)</f>
        <v>18394</v>
      </c>
      <c r="Q1655" s="35">
        <f>IFERROR(__xludf.DUMMYFUNCTION("""COMPUTED_VALUE"""),69902.0)</f>
        <v>69902</v>
      </c>
    </row>
    <row r="1656">
      <c r="A1656" s="35">
        <f>IFERROR(__xludf.DUMMYFUNCTION("""COMPUTED_VALUE"""),1758.0)</f>
        <v>1758</v>
      </c>
      <c r="B1656" s="35" t="str">
        <f>IFERROR(__xludf.DUMMYFUNCTION("""COMPUTED_VALUE"""),"Distribute Repeating Integers")</f>
        <v>Distribute Repeating Integers</v>
      </c>
      <c r="C1656" s="35" t="str">
        <f>IFERROR(__xludf.DUMMYFUNCTION("""COMPUTED_VALUE"""),"distribute-repeating-integers")</f>
        <v>distribute-repeating-integers</v>
      </c>
      <c r="D1656" s="35" t="b">
        <f>IFERROR(__xludf.DUMMYFUNCTION("""COMPUTED_VALUE"""),FALSE)</f>
        <v>0</v>
      </c>
      <c r="E1656" s="35" t="str">
        <f>IFERROR(__xludf.DUMMYFUNCTION("""COMPUTED_VALUE"""),"Hard")</f>
        <v>Hard</v>
      </c>
      <c r="F1656" s="35">
        <f>IFERROR(__xludf.DUMMYFUNCTION("""COMPUTED_VALUE"""),199.0)</f>
        <v>199</v>
      </c>
      <c r="G1656" s="35">
        <f>IFERROR(__xludf.DUMMYFUNCTION("""COMPUTED_VALUE"""),14.0)</f>
        <v>14</v>
      </c>
      <c r="H1656" s="35" t="str">
        <f>IFERROR(__xludf.DUMMYFUNCTION("""COMPUTED_VALUE"""),"Algorithms")</f>
        <v>Algorithms</v>
      </c>
      <c r="I1656" s="35">
        <f>IFERROR(__xludf.DUMMYFUNCTION("""COMPUTED_VALUE"""),0.403)</f>
        <v>0.403</v>
      </c>
      <c r="J1656" s="35">
        <f>IFERROR(__xludf.DUMMYFUNCTION("""COMPUTED_VALUE"""),1655.0)</f>
        <v>1655</v>
      </c>
      <c r="K1656" s="35" t="b">
        <f>IFERROR(__xludf.DUMMYFUNCTION("""COMPUTED_VALUE"""),FALSE)</f>
        <v>0</v>
      </c>
      <c r="L1656" s="35" t="str">
        <f>IFERROR(__xludf.DUMMYFUNCTION("""COMPUTED_VALUE"""),"Array;Dynamic Programming;Backtracking;Bit Manipulation;Bitmask;")</f>
        <v>Array;Dynamic Programming;Backtracking;Bit Manipulation;Bitmask;</v>
      </c>
      <c r="M1656" s="35" t="b">
        <f>IFERROR(__xludf.DUMMYFUNCTION("""COMPUTED_VALUE"""),FALSE)</f>
        <v>0</v>
      </c>
      <c r="N1656" s="35" t="b">
        <f>IFERROR(__xludf.DUMMYFUNCTION("""COMPUTED_VALUE"""),FALSE)</f>
        <v>0</v>
      </c>
      <c r="O1656" s="35">
        <f>IFERROR(__xludf.DUMMYFUNCTION("""COMPUTED_VALUE"""),40.2587032896838)</f>
        <v>40.25870329</v>
      </c>
      <c r="P1656" s="35">
        <f>IFERROR(__xludf.DUMMYFUNCTION("""COMPUTED_VALUE"""),7563.0)</f>
        <v>7563</v>
      </c>
      <c r="Q1656" s="35">
        <f>IFERROR(__xludf.DUMMYFUNCTION("""COMPUTED_VALUE"""),18786.0)</f>
        <v>18786</v>
      </c>
    </row>
    <row r="1657">
      <c r="A1657" s="35">
        <f>IFERROR(__xludf.DUMMYFUNCTION("""COMPUTED_VALUE"""),1775.0)</f>
        <v>1775</v>
      </c>
      <c r="B1657" s="35" t="str">
        <f>IFERROR(__xludf.DUMMYFUNCTION("""COMPUTED_VALUE"""),"Design an Ordered Stream")</f>
        <v>Design an Ordered Stream</v>
      </c>
      <c r="C1657" s="35" t="str">
        <f>IFERROR(__xludf.DUMMYFUNCTION("""COMPUTED_VALUE"""),"design-an-ordered-stream")</f>
        <v>design-an-ordered-stream</v>
      </c>
      <c r="D1657" s="35" t="b">
        <f>IFERROR(__xludf.DUMMYFUNCTION("""COMPUTED_VALUE"""),FALSE)</f>
        <v>0</v>
      </c>
      <c r="E1657" s="35" t="str">
        <f>IFERROR(__xludf.DUMMYFUNCTION("""COMPUTED_VALUE"""),"Easy")</f>
        <v>Easy</v>
      </c>
      <c r="F1657" s="35">
        <f>IFERROR(__xludf.DUMMYFUNCTION("""COMPUTED_VALUE"""),188.0)</f>
        <v>188</v>
      </c>
      <c r="G1657" s="35">
        <f>IFERROR(__xludf.DUMMYFUNCTION("""COMPUTED_VALUE"""),1610.0)</f>
        <v>1610</v>
      </c>
      <c r="H1657" s="35" t="str">
        <f>IFERROR(__xludf.DUMMYFUNCTION("""COMPUTED_VALUE"""),"Algorithms")</f>
        <v>Algorithms</v>
      </c>
      <c r="I1657" s="35">
        <f>IFERROR(__xludf.DUMMYFUNCTION("""COMPUTED_VALUE"""),0.835)</f>
        <v>0.835</v>
      </c>
      <c r="J1657" s="35">
        <f>IFERROR(__xludf.DUMMYFUNCTION("""COMPUTED_VALUE"""),1656.0)</f>
        <v>1656</v>
      </c>
      <c r="K1657" s="35" t="b">
        <f>IFERROR(__xludf.DUMMYFUNCTION("""COMPUTED_VALUE"""),FALSE)</f>
        <v>0</v>
      </c>
      <c r="L1657" s="35" t="str">
        <f>IFERROR(__xludf.DUMMYFUNCTION("""COMPUTED_VALUE"""),"Array;Hash Table;Design;Data Stream;")</f>
        <v>Array;Hash Table;Design;Data Stream;</v>
      </c>
      <c r="M1657" s="35" t="b">
        <f>IFERROR(__xludf.DUMMYFUNCTION("""COMPUTED_VALUE"""),FALSE)</f>
        <v>0</v>
      </c>
      <c r="N1657" s="35" t="b">
        <f>IFERROR(__xludf.DUMMYFUNCTION("""COMPUTED_VALUE"""),FALSE)</f>
        <v>0</v>
      </c>
      <c r="O1657" s="35">
        <f>IFERROR(__xludf.DUMMYFUNCTION("""COMPUTED_VALUE"""),83.45309430866)</f>
        <v>83.45309431</v>
      </c>
      <c r="P1657" s="35">
        <f>IFERROR(__xludf.DUMMYFUNCTION("""COMPUTED_VALUE"""),33564.0)</f>
        <v>33564</v>
      </c>
      <c r="Q1657" s="35">
        <f>IFERROR(__xludf.DUMMYFUNCTION("""COMPUTED_VALUE"""),40219.0)</f>
        <v>40219</v>
      </c>
    </row>
    <row r="1658">
      <c r="A1658" s="35">
        <f>IFERROR(__xludf.DUMMYFUNCTION("""COMPUTED_VALUE"""),1777.0)</f>
        <v>1777</v>
      </c>
      <c r="B1658" s="35" t="str">
        <f>IFERROR(__xludf.DUMMYFUNCTION("""COMPUTED_VALUE"""),"Determine if Two Strings Are Close")</f>
        <v>Determine if Two Strings Are Close</v>
      </c>
      <c r="C1658" s="35" t="str">
        <f>IFERROR(__xludf.DUMMYFUNCTION("""COMPUTED_VALUE"""),"determine-if-two-strings-are-close")</f>
        <v>determine-if-two-strings-are-close</v>
      </c>
      <c r="D1658" s="35" t="b">
        <f>IFERROR(__xludf.DUMMYFUNCTION("""COMPUTED_VALUE"""),FALSE)</f>
        <v>0</v>
      </c>
      <c r="E1658" s="35" t="str">
        <f>IFERROR(__xludf.DUMMYFUNCTION("""COMPUTED_VALUE"""),"Medium")</f>
        <v>Medium</v>
      </c>
      <c r="F1658" s="35">
        <f>IFERROR(__xludf.DUMMYFUNCTION("""COMPUTED_VALUE"""),639.0)</f>
        <v>639</v>
      </c>
      <c r="G1658" s="35">
        <f>IFERROR(__xludf.DUMMYFUNCTION("""COMPUTED_VALUE"""),36.0)</f>
        <v>36</v>
      </c>
      <c r="H1658" s="35" t="str">
        <f>IFERROR(__xludf.DUMMYFUNCTION("""COMPUTED_VALUE"""),"Algorithms")</f>
        <v>Algorithms</v>
      </c>
      <c r="I1658" s="35">
        <f>IFERROR(__xludf.DUMMYFUNCTION("""COMPUTED_VALUE"""),0.546)</f>
        <v>0.546</v>
      </c>
      <c r="J1658" s="35">
        <f>IFERROR(__xludf.DUMMYFUNCTION("""COMPUTED_VALUE"""),1657.0)</f>
        <v>1657</v>
      </c>
      <c r="K1658" s="35" t="b">
        <f>IFERROR(__xludf.DUMMYFUNCTION("""COMPUTED_VALUE"""),FALSE)</f>
        <v>0</v>
      </c>
      <c r="L1658" s="35" t="str">
        <f>IFERROR(__xludf.DUMMYFUNCTION("""COMPUTED_VALUE"""),"Hash Table;String;Sorting;")</f>
        <v>Hash Table;String;Sorting;</v>
      </c>
      <c r="M1658" s="35" t="b">
        <f>IFERROR(__xludf.DUMMYFUNCTION("""COMPUTED_VALUE"""),TRUE)</f>
        <v>1</v>
      </c>
      <c r="N1658" s="35" t="b">
        <f>IFERROR(__xludf.DUMMYFUNCTION("""COMPUTED_VALUE"""),FALSE)</f>
        <v>0</v>
      </c>
      <c r="O1658" s="35">
        <f>IFERROR(__xludf.DUMMYFUNCTION("""COMPUTED_VALUE"""),54.5544512462358)</f>
        <v>54.55445125</v>
      </c>
      <c r="P1658" s="35">
        <f>IFERROR(__xludf.DUMMYFUNCTION("""COMPUTED_VALUE"""),38587.0)</f>
        <v>38587</v>
      </c>
      <c r="Q1658" s="35">
        <f>IFERROR(__xludf.DUMMYFUNCTION("""COMPUTED_VALUE"""),70730.0)</f>
        <v>70730</v>
      </c>
    </row>
    <row r="1659">
      <c r="A1659" s="35">
        <f>IFERROR(__xludf.DUMMYFUNCTION("""COMPUTED_VALUE"""),1776.0)</f>
        <v>1776</v>
      </c>
      <c r="B1659" s="35" t="str">
        <f>IFERROR(__xludf.DUMMYFUNCTION("""COMPUTED_VALUE"""),"Minimum Operations to Reduce X to Zero")</f>
        <v>Minimum Operations to Reduce X to Zero</v>
      </c>
      <c r="C1659" s="35" t="str">
        <f>IFERROR(__xludf.DUMMYFUNCTION("""COMPUTED_VALUE"""),"minimum-operations-to-reduce-x-to-zero")</f>
        <v>minimum-operations-to-reduce-x-to-zero</v>
      </c>
      <c r="D1659" s="35" t="b">
        <f>IFERROR(__xludf.DUMMYFUNCTION("""COMPUTED_VALUE"""),FALSE)</f>
        <v>0</v>
      </c>
      <c r="E1659" s="35" t="str">
        <f>IFERROR(__xludf.DUMMYFUNCTION("""COMPUTED_VALUE"""),"Medium")</f>
        <v>Medium</v>
      </c>
      <c r="F1659" s="35">
        <f>IFERROR(__xludf.DUMMYFUNCTION("""COMPUTED_VALUE"""),1501.0)</f>
        <v>1501</v>
      </c>
      <c r="G1659" s="35">
        <f>IFERROR(__xludf.DUMMYFUNCTION("""COMPUTED_VALUE"""),28.0)</f>
        <v>28</v>
      </c>
      <c r="H1659" s="35" t="str">
        <f>IFERROR(__xludf.DUMMYFUNCTION("""COMPUTED_VALUE"""),"Algorithms")</f>
        <v>Algorithms</v>
      </c>
      <c r="I1659" s="35">
        <f>IFERROR(__xludf.DUMMYFUNCTION("""COMPUTED_VALUE"""),0.335)</f>
        <v>0.335</v>
      </c>
      <c r="J1659" s="35">
        <f>IFERROR(__xludf.DUMMYFUNCTION("""COMPUTED_VALUE"""),1658.0)</f>
        <v>1658</v>
      </c>
      <c r="K1659" s="35" t="b">
        <f>IFERROR(__xludf.DUMMYFUNCTION("""COMPUTED_VALUE"""),FALSE)</f>
        <v>0</v>
      </c>
      <c r="L1659" s="35" t="str">
        <f>IFERROR(__xludf.DUMMYFUNCTION("""COMPUTED_VALUE"""),"Array;Hash Table;Binary Search;Sliding Window;Prefix Sum;")</f>
        <v>Array;Hash Table;Binary Search;Sliding Window;Prefix Sum;</v>
      </c>
      <c r="M1659" s="35" t="b">
        <f>IFERROR(__xludf.DUMMYFUNCTION("""COMPUTED_VALUE"""),TRUE)</f>
        <v>1</v>
      </c>
      <c r="N1659" s="35" t="b">
        <f>IFERROR(__xludf.DUMMYFUNCTION("""COMPUTED_VALUE"""),FALSE)</f>
        <v>0</v>
      </c>
      <c r="O1659" s="35">
        <f>IFERROR(__xludf.DUMMYFUNCTION("""COMPUTED_VALUE"""),33.4910727028265)</f>
        <v>33.4910727</v>
      </c>
      <c r="P1659" s="35">
        <f>IFERROR(__xludf.DUMMYFUNCTION("""COMPUTED_VALUE"""),44584.0)</f>
        <v>44584</v>
      </c>
      <c r="Q1659" s="35">
        <f>IFERROR(__xludf.DUMMYFUNCTION("""COMPUTED_VALUE"""),133128.0)</f>
        <v>133128</v>
      </c>
    </row>
    <row r="1660">
      <c r="A1660" s="35">
        <f>IFERROR(__xludf.DUMMYFUNCTION("""COMPUTED_VALUE"""),1778.0)</f>
        <v>1778</v>
      </c>
      <c r="B1660" s="35" t="str">
        <f>IFERROR(__xludf.DUMMYFUNCTION("""COMPUTED_VALUE"""),"Maximize Grid Happiness")</f>
        <v>Maximize Grid Happiness</v>
      </c>
      <c r="C1660" s="35" t="str">
        <f>IFERROR(__xludf.DUMMYFUNCTION("""COMPUTED_VALUE"""),"maximize-grid-happiness")</f>
        <v>maximize-grid-happiness</v>
      </c>
      <c r="D1660" s="35" t="b">
        <f>IFERROR(__xludf.DUMMYFUNCTION("""COMPUTED_VALUE"""),FALSE)</f>
        <v>0</v>
      </c>
      <c r="E1660" s="35" t="str">
        <f>IFERROR(__xludf.DUMMYFUNCTION("""COMPUTED_VALUE"""),"Hard")</f>
        <v>Hard</v>
      </c>
      <c r="F1660" s="35">
        <f>IFERROR(__xludf.DUMMYFUNCTION("""COMPUTED_VALUE"""),212.0)</f>
        <v>212</v>
      </c>
      <c r="G1660" s="35">
        <f>IFERROR(__xludf.DUMMYFUNCTION("""COMPUTED_VALUE"""),46.0)</f>
        <v>46</v>
      </c>
      <c r="H1660" s="35" t="str">
        <f>IFERROR(__xludf.DUMMYFUNCTION("""COMPUTED_VALUE"""),"Algorithms")</f>
        <v>Algorithms</v>
      </c>
      <c r="I1660" s="35">
        <f>IFERROR(__xludf.DUMMYFUNCTION("""COMPUTED_VALUE"""),0.374)</f>
        <v>0.374</v>
      </c>
      <c r="J1660" s="35">
        <f>IFERROR(__xludf.DUMMYFUNCTION("""COMPUTED_VALUE"""),1659.0)</f>
        <v>1659</v>
      </c>
      <c r="K1660" s="35" t="b">
        <f>IFERROR(__xludf.DUMMYFUNCTION("""COMPUTED_VALUE"""),FALSE)</f>
        <v>0</v>
      </c>
      <c r="L1660" s="35" t="str">
        <f>IFERROR(__xludf.DUMMYFUNCTION("""COMPUTED_VALUE"""),"Dynamic Programming;Bit Manipulation;Memoization;Bitmask;")</f>
        <v>Dynamic Programming;Bit Manipulation;Memoization;Bitmask;</v>
      </c>
      <c r="M1660" s="35" t="b">
        <f>IFERROR(__xludf.DUMMYFUNCTION("""COMPUTED_VALUE"""),FALSE)</f>
        <v>0</v>
      </c>
      <c r="N1660" s="35" t="b">
        <f>IFERROR(__xludf.DUMMYFUNCTION("""COMPUTED_VALUE"""),FALSE)</f>
        <v>0</v>
      </c>
      <c r="O1660" s="35">
        <f>IFERROR(__xludf.DUMMYFUNCTION("""COMPUTED_VALUE"""),37.4392562856539)</f>
        <v>37.43925629</v>
      </c>
      <c r="P1660" s="35">
        <f>IFERROR(__xludf.DUMMYFUNCTION("""COMPUTED_VALUE"""),3544.0)</f>
        <v>3544</v>
      </c>
      <c r="Q1660" s="35">
        <f>IFERROR(__xludf.DUMMYFUNCTION("""COMPUTED_VALUE"""),9466.0)</f>
        <v>9466</v>
      </c>
    </row>
    <row r="1661">
      <c r="A1661" s="35">
        <f>IFERROR(__xludf.DUMMYFUNCTION("""COMPUTED_VALUE"""),1796.0)</f>
        <v>1796</v>
      </c>
      <c r="B1661" s="35" t="str">
        <f>IFERROR(__xludf.DUMMYFUNCTION("""COMPUTED_VALUE"""),"Correct a Binary Tree")</f>
        <v>Correct a Binary Tree</v>
      </c>
      <c r="C1661" s="35" t="str">
        <f>IFERROR(__xludf.DUMMYFUNCTION("""COMPUTED_VALUE"""),"correct-a-binary-tree")</f>
        <v>correct-a-binary-tree</v>
      </c>
      <c r="D1661" s="35" t="b">
        <f>IFERROR(__xludf.DUMMYFUNCTION("""COMPUTED_VALUE"""),TRUE)</f>
        <v>1</v>
      </c>
      <c r="E1661" s="35" t="str">
        <f>IFERROR(__xludf.DUMMYFUNCTION("""COMPUTED_VALUE"""),"Medium")</f>
        <v>Medium</v>
      </c>
      <c r="F1661" s="35">
        <f>IFERROR(__xludf.DUMMYFUNCTION("""COMPUTED_VALUE"""),158.0)</f>
        <v>158</v>
      </c>
      <c r="G1661" s="35">
        <f>IFERROR(__xludf.DUMMYFUNCTION("""COMPUTED_VALUE"""),22.0)</f>
        <v>22</v>
      </c>
      <c r="H1661" s="35" t="str">
        <f>IFERROR(__xludf.DUMMYFUNCTION("""COMPUTED_VALUE"""),"Algorithms")</f>
        <v>Algorithms</v>
      </c>
      <c r="I1661" s="35">
        <f>IFERROR(__xludf.DUMMYFUNCTION("""COMPUTED_VALUE"""),0.726)</f>
        <v>0.726</v>
      </c>
      <c r="J1661" s="35">
        <f>IFERROR(__xludf.DUMMYFUNCTION("""COMPUTED_VALUE"""),1660.0)</f>
        <v>1660</v>
      </c>
      <c r="K1661" s="35" t="b">
        <f>IFERROR(__xludf.DUMMYFUNCTION("""COMPUTED_VALUE"""),TRUE)</f>
        <v>1</v>
      </c>
      <c r="L1661" s="35" t="str">
        <f>IFERROR(__xludf.DUMMYFUNCTION("""COMPUTED_VALUE"""),"Hash Table;Tree;Depth-First Search;Breadth-First Search;Binary Tree;")</f>
        <v>Hash Table;Tree;Depth-First Search;Breadth-First Search;Binary Tree;</v>
      </c>
      <c r="M1661" s="35" t="b">
        <f>IFERROR(__xludf.DUMMYFUNCTION("""COMPUTED_VALUE"""),FALSE)</f>
        <v>0</v>
      </c>
      <c r="N1661" s="35" t="b">
        <f>IFERROR(__xludf.DUMMYFUNCTION("""COMPUTED_VALUE"""),FALSE)</f>
        <v>0</v>
      </c>
      <c r="O1661" s="35">
        <f>IFERROR(__xludf.DUMMYFUNCTION("""COMPUTED_VALUE"""),72.6214018896945)</f>
        <v>72.62140189</v>
      </c>
      <c r="P1661" s="35">
        <f>IFERROR(__xludf.DUMMYFUNCTION("""COMPUTED_VALUE"""),9915.0)</f>
        <v>9915</v>
      </c>
      <c r="Q1661" s="35">
        <f>IFERROR(__xludf.DUMMYFUNCTION("""COMPUTED_VALUE"""),13653.0)</f>
        <v>13653</v>
      </c>
    </row>
    <row r="1662">
      <c r="A1662" s="35">
        <f>IFERROR(__xludf.DUMMYFUNCTION("""COMPUTED_VALUE"""),1801.0)</f>
        <v>1801</v>
      </c>
      <c r="B1662" s="35" t="str">
        <f>IFERROR(__xludf.DUMMYFUNCTION("""COMPUTED_VALUE"""),"Average Time of Process per Machine")</f>
        <v>Average Time of Process per Machine</v>
      </c>
      <c r="C1662" s="35" t="str">
        <f>IFERROR(__xludf.DUMMYFUNCTION("""COMPUTED_VALUE"""),"average-time-of-process-per-machine")</f>
        <v>average-time-of-process-per-machine</v>
      </c>
      <c r="D1662" s="35" t="b">
        <f>IFERROR(__xludf.DUMMYFUNCTION("""COMPUTED_VALUE"""),TRUE)</f>
        <v>1</v>
      </c>
      <c r="E1662" s="35" t="str">
        <f>IFERROR(__xludf.DUMMYFUNCTION("""COMPUTED_VALUE"""),"Easy")</f>
        <v>Easy</v>
      </c>
      <c r="F1662" s="35">
        <f>IFERROR(__xludf.DUMMYFUNCTION("""COMPUTED_VALUE"""),84.0)</f>
        <v>84</v>
      </c>
      <c r="G1662" s="35">
        <f>IFERROR(__xludf.DUMMYFUNCTION("""COMPUTED_VALUE"""),19.0)</f>
        <v>19</v>
      </c>
      <c r="H1662" s="35" t="str">
        <f>IFERROR(__xludf.DUMMYFUNCTION("""COMPUTED_VALUE"""),"Database")</f>
        <v>Database</v>
      </c>
      <c r="I1662" s="35">
        <f>IFERROR(__xludf.DUMMYFUNCTION("""COMPUTED_VALUE"""),0.798)</f>
        <v>0.798</v>
      </c>
      <c r="J1662" s="35">
        <f>IFERROR(__xludf.DUMMYFUNCTION("""COMPUTED_VALUE"""),1661.0)</f>
        <v>1661</v>
      </c>
      <c r="K1662" s="35" t="b">
        <f>IFERROR(__xludf.DUMMYFUNCTION("""COMPUTED_VALUE"""),TRUE)</f>
        <v>1</v>
      </c>
      <c r="L1662" s="35" t="str">
        <f>IFERROR(__xludf.DUMMYFUNCTION("""COMPUTED_VALUE"""),"Database;")</f>
        <v>Database;</v>
      </c>
      <c r="M1662" s="35" t="b">
        <f>IFERROR(__xludf.DUMMYFUNCTION("""COMPUTED_VALUE"""),FALSE)</f>
        <v>0</v>
      </c>
      <c r="N1662" s="35" t="b">
        <f>IFERROR(__xludf.DUMMYFUNCTION("""COMPUTED_VALUE"""),FALSE)</f>
        <v>0</v>
      </c>
      <c r="O1662" s="35">
        <f>IFERROR(__xludf.DUMMYFUNCTION("""COMPUTED_VALUE"""),79.7500959061763)</f>
        <v>79.75009591</v>
      </c>
      <c r="P1662" s="35">
        <f>IFERROR(__xludf.DUMMYFUNCTION("""COMPUTED_VALUE"""),14552.0)</f>
        <v>14552</v>
      </c>
      <c r="Q1662" s="35">
        <f>IFERROR(__xludf.DUMMYFUNCTION("""COMPUTED_VALUE"""),18247.0)</f>
        <v>18247</v>
      </c>
    </row>
    <row r="1663">
      <c r="A1663" s="35">
        <f>IFERROR(__xludf.DUMMYFUNCTION("""COMPUTED_VALUE"""),1781.0)</f>
        <v>1781</v>
      </c>
      <c r="B1663" s="35" t="str">
        <f>IFERROR(__xludf.DUMMYFUNCTION("""COMPUTED_VALUE"""),"Check If Two String Arrays are Equivalent")</f>
        <v>Check If Two String Arrays are Equivalent</v>
      </c>
      <c r="C1663" s="35" t="str">
        <f>IFERROR(__xludf.DUMMYFUNCTION("""COMPUTED_VALUE"""),"check-if-two-string-arrays-are-equivalent")</f>
        <v>check-if-two-string-arrays-are-equivalent</v>
      </c>
      <c r="D1663" s="35" t="b">
        <f>IFERROR(__xludf.DUMMYFUNCTION("""COMPUTED_VALUE"""),FALSE)</f>
        <v>0</v>
      </c>
      <c r="E1663" s="35" t="str">
        <f>IFERROR(__xludf.DUMMYFUNCTION("""COMPUTED_VALUE"""),"Easy")</f>
        <v>Easy</v>
      </c>
      <c r="F1663" s="35">
        <f>IFERROR(__xludf.DUMMYFUNCTION("""COMPUTED_VALUE"""),720.0)</f>
        <v>720</v>
      </c>
      <c r="G1663" s="35">
        <f>IFERROR(__xludf.DUMMYFUNCTION("""COMPUTED_VALUE"""),107.0)</f>
        <v>107</v>
      </c>
      <c r="H1663" s="35" t="str">
        <f>IFERROR(__xludf.DUMMYFUNCTION("""COMPUTED_VALUE"""),"Algorithms")</f>
        <v>Algorithms</v>
      </c>
      <c r="I1663" s="35">
        <f>IFERROR(__xludf.DUMMYFUNCTION("""COMPUTED_VALUE"""),0.82)</f>
        <v>0.82</v>
      </c>
      <c r="J1663" s="35">
        <f>IFERROR(__xludf.DUMMYFUNCTION("""COMPUTED_VALUE"""),1662.0)</f>
        <v>1662</v>
      </c>
      <c r="K1663" s="35" t="b">
        <f>IFERROR(__xludf.DUMMYFUNCTION("""COMPUTED_VALUE"""),FALSE)</f>
        <v>0</v>
      </c>
      <c r="L1663" s="35" t="str">
        <f>IFERROR(__xludf.DUMMYFUNCTION("""COMPUTED_VALUE"""),"Array;String;")</f>
        <v>Array;String;</v>
      </c>
      <c r="M1663" s="35" t="b">
        <f>IFERROR(__xludf.DUMMYFUNCTION("""COMPUTED_VALUE"""),FALSE)</f>
        <v>0</v>
      </c>
      <c r="N1663" s="35" t="b">
        <f>IFERROR(__xludf.DUMMYFUNCTION("""COMPUTED_VALUE"""),FALSE)</f>
        <v>0</v>
      </c>
      <c r="O1663" s="35">
        <f>IFERROR(__xludf.DUMMYFUNCTION("""COMPUTED_VALUE"""),81.9654070728214)</f>
        <v>81.96540707</v>
      </c>
      <c r="P1663" s="35">
        <f>IFERROR(__xludf.DUMMYFUNCTION("""COMPUTED_VALUE"""),133918.0)</f>
        <v>133918</v>
      </c>
      <c r="Q1663" s="35">
        <f>IFERROR(__xludf.DUMMYFUNCTION("""COMPUTED_VALUE"""),163384.0)</f>
        <v>163384</v>
      </c>
    </row>
    <row r="1664">
      <c r="A1664" s="35">
        <f>IFERROR(__xludf.DUMMYFUNCTION("""COMPUTED_VALUE"""),1782.0)</f>
        <v>1782</v>
      </c>
      <c r="B1664" s="35" t="str">
        <f>IFERROR(__xludf.DUMMYFUNCTION("""COMPUTED_VALUE"""),"Smallest String With A Given Numeric Value")</f>
        <v>Smallest String With A Given Numeric Value</v>
      </c>
      <c r="C1664" s="35" t="str">
        <f>IFERROR(__xludf.DUMMYFUNCTION("""COMPUTED_VALUE"""),"smallest-string-with-a-given-numeric-value")</f>
        <v>smallest-string-with-a-given-numeric-value</v>
      </c>
      <c r="D1664" s="35" t="b">
        <f>IFERROR(__xludf.DUMMYFUNCTION("""COMPUTED_VALUE"""),FALSE)</f>
        <v>0</v>
      </c>
      <c r="E1664" s="35" t="str">
        <f>IFERROR(__xludf.DUMMYFUNCTION("""COMPUTED_VALUE"""),"Medium")</f>
        <v>Medium</v>
      </c>
      <c r="F1664" s="35">
        <f>IFERROR(__xludf.DUMMYFUNCTION("""COMPUTED_VALUE"""),561.0)</f>
        <v>561</v>
      </c>
      <c r="G1664" s="35">
        <f>IFERROR(__xludf.DUMMYFUNCTION("""COMPUTED_VALUE"""),19.0)</f>
        <v>19</v>
      </c>
      <c r="H1664" s="35" t="str">
        <f>IFERROR(__xludf.DUMMYFUNCTION("""COMPUTED_VALUE"""),"Algorithms")</f>
        <v>Algorithms</v>
      </c>
      <c r="I1664" s="35">
        <f>IFERROR(__xludf.DUMMYFUNCTION("""COMPUTED_VALUE"""),0.641)</f>
        <v>0.641</v>
      </c>
      <c r="J1664" s="35">
        <f>IFERROR(__xludf.DUMMYFUNCTION("""COMPUTED_VALUE"""),1663.0)</f>
        <v>1663</v>
      </c>
      <c r="K1664" s="35" t="b">
        <f>IFERROR(__xludf.DUMMYFUNCTION("""COMPUTED_VALUE"""),FALSE)</f>
        <v>0</v>
      </c>
      <c r="L1664" s="35" t="str">
        <f>IFERROR(__xludf.DUMMYFUNCTION("""COMPUTED_VALUE"""),"String;Greedy;")</f>
        <v>String;Greedy;</v>
      </c>
      <c r="M1664" s="35" t="b">
        <f>IFERROR(__xludf.DUMMYFUNCTION("""COMPUTED_VALUE"""),TRUE)</f>
        <v>1</v>
      </c>
      <c r="N1664" s="35" t="b">
        <f>IFERROR(__xludf.DUMMYFUNCTION("""COMPUTED_VALUE"""),FALSE)</f>
        <v>0</v>
      </c>
      <c r="O1664" s="35">
        <f>IFERROR(__xludf.DUMMYFUNCTION("""COMPUTED_VALUE"""),64.0707226844052)</f>
        <v>64.07072268</v>
      </c>
      <c r="P1664" s="35">
        <f>IFERROR(__xludf.DUMMYFUNCTION("""COMPUTED_VALUE"""),36890.0)</f>
        <v>36890</v>
      </c>
      <c r="Q1664" s="35">
        <f>IFERROR(__xludf.DUMMYFUNCTION("""COMPUTED_VALUE"""),57577.0)</f>
        <v>57577</v>
      </c>
    </row>
    <row r="1665">
      <c r="A1665" s="35">
        <f>IFERROR(__xludf.DUMMYFUNCTION("""COMPUTED_VALUE"""),1783.0)</f>
        <v>1783</v>
      </c>
      <c r="B1665" s="35" t="str">
        <f>IFERROR(__xludf.DUMMYFUNCTION("""COMPUTED_VALUE"""),"Ways to Make a Fair Array")</f>
        <v>Ways to Make a Fair Array</v>
      </c>
      <c r="C1665" s="35" t="str">
        <f>IFERROR(__xludf.DUMMYFUNCTION("""COMPUTED_VALUE"""),"ways-to-make-a-fair-array")</f>
        <v>ways-to-make-a-fair-array</v>
      </c>
      <c r="D1665" s="35" t="b">
        <f>IFERROR(__xludf.DUMMYFUNCTION("""COMPUTED_VALUE"""),FALSE)</f>
        <v>0</v>
      </c>
      <c r="E1665" s="35" t="str">
        <f>IFERROR(__xludf.DUMMYFUNCTION("""COMPUTED_VALUE"""),"Medium")</f>
        <v>Medium</v>
      </c>
      <c r="F1665" s="35">
        <f>IFERROR(__xludf.DUMMYFUNCTION("""COMPUTED_VALUE"""),769.0)</f>
        <v>769</v>
      </c>
      <c r="G1665" s="35">
        <f>IFERROR(__xludf.DUMMYFUNCTION("""COMPUTED_VALUE"""),19.0)</f>
        <v>19</v>
      </c>
      <c r="H1665" s="35" t="str">
        <f>IFERROR(__xludf.DUMMYFUNCTION("""COMPUTED_VALUE"""),"Algorithms")</f>
        <v>Algorithms</v>
      </c>
      <c r="I1665" s="35">
        <f>IFERROR(__xludf.DUMMYFUNCTION("""COMPUTED_VALUE"""),0.631)</f>
        <v>0.631</v>
      </c>
      <c r="J1665" s="35">
        <f>IFERROR(__xludf.DUMMYFUNCTION("""COMPUTED_VALUE"""),1664.0)</f>
        <v>1664</v>
      </c>
      <c r="K1665" s="35" t="b">
        <f>IFERROR(__xludf.DUMMYFUNCTION("""COMPUTED_VALUE"""),FALSE)</f>
        <v>0</v>
      </c>
      <c r="L1665" s="35" t="str">
        <f>IFERROR(__xludf.DUMMYFUNCTION("""COMPUTED_VALUE"""),"Array;Dynamic Programming;")</f>
        <v>Array;Dynamic Programming;</v>
      </c>
      <c r="M1665" s="35" t="b">
        <f>IFERROR(__xludf.DUMMYFUNCTION("""COMPUTED_VALUE"""),FALSE)</f>
        <v>0</v>
      </c>
      <c r="N1665" s="35" t="b">
        <f>IFERROR(__xludf.DUMMYFUNCTION("""COMPUTED_VALUE"""),FALSE)</f>
        <v>0</v>
      </c>
      <c r="O1665" s="35">
        <f>IFERROR(__xludf.DUMMYFUNCTION("""COMPUTED_VALUE"""),63.0805819809736)</f>
        <v>63.08058198</v>
      </c>
      <c r="P1665" s="35">
        <f>IFERROR(__xludf.DUMMYFUNCTION("""COMPUTED_VALUE"""),22545.0)</f>
        <v>22545</v>
      </c>
      <c r="Q1665" s="35">
        <f>IFERROR(__xludf.DUMMYFUNCTION("""COMPUTED_VALUE"""),35740.0)</f>
        <v>35740</v>
      </c>
    </row>
    <row r="1666">
      <c r="A1666" s="35">
        <f>IFERROR(__xludf.DUMMYFUNCTION("""COMPUTED_VALUE"""),1784.0)</f>
        <v>1784</v>
      </c>
      <c r="B1666" s="35" t="str">
        <f>IFERROR(__xludf.DUMMYFUNCTION("""COMPUTED_VALUE"""),"Minimum Initial Energy to Finish Tasks")</f>
        <v>Minimum Initial Energy to Finish Tasks</v>
      </c>
      <c r="C1666" s="35" t="str">
        <f>IFERROR(__xludf.DUMMYFUNCTION("""COMPUTED_VALUE"""),"minimum-initial-energy-to-finish-tasks")</f>
        <v>minimum-initial-energy-to-finish-tasks</v>
      </c>
      <c r="D1666" s="35" t="b">
        <f>IFERROR(__xludf.DUMMYFUNCTION("""COMPUTED_VALUE"""),FALSE)</f>
        <v>0</v>
      </c>
      <c r="E1666" s="35" t="str">
        <f>IFERROR(__xludf.DUMMYFUNCTION("""COMPUTED_VALUE"""),"Hard")</f>
        <v>Hard</v>
      </c>
      <c r="F1666" s="35">
        <f>IFERROR(__xludf.DUMMYFUNCTION("""COMPUTED_VALUE"""),340.0)</f>
        <v>340</v>
      </c>
      <c r="G1666" s="35">
        <f>IFERROR(__xludf.DUMMYFUNCTION("""COMPUTED_VALUE"""),27.0)</f>
        <v>27</v>
      </c>
      <c r="H1666" s="35" t="str">
        <f>IFERROR(__xludf.DUMMYFUNCTION("""COMPUTED_VALUE"""),"Algorithms")</f>
        <v>Algorithms</v>
      </c>
      <c r="I1666" s="35">
        <f>IFERROR(__xludf.DUMMYFUNCTION("""COMPUTED_VALUE"""),0.557)</f>
        <v>0.557</v>
      </c>
      <c r="J1666" s="35">
        <f>IFERROR(__xludf.DUMMYFUNCTION("""COMPUTED_VALUE"""),1665.0)</f>
        <v>1665</v>
      </c>
      <c r="K1666" s="35" t="b">
        <f>IFERROR(__xludf.DUMMYFUNCTION("""COMPUTED_VALUE"""),FALSE)</f>
        <v>0</v>
      </c>
      <c r="L1666" s="35" t="str">
        <f>IFERROR(__xludf.DUMMYFUNCTION("""COMPUTED_VALUE"""),"Array;Greedy;Sorting;")</f>
        <v>Array;Greedy;Sorting;</v>
      </c>
      <c r="M1666" s="35" t="b">
        <f>IFERROR(__xludf.DUMMYFUNCTION("""COMPUTED_VALUE"""),FALSE)</f>
        <v>0</v>
      </c>
      <c r="N1666" s="35" t="b">
        <f>IFERROR(__xludf.DUMMYFUNCTION("""COMPUTED_VALUE"""),FALSE)</f>
        <v>0</v>
      </c>
      <c r="O1666" s="35">
        <f>IFERROR(__xludf.DUMMYFUNCTION("""COMPUTED_VALUE"""),55.7333198748359)</f>
        <v>55.73331987</v>
      </c>
      <c r="P1666" s="35">
        <f>IFERROR(__xludf.DUMMYFUNCTION("""COMPUTED_VALUE"""),11043.0)</f>
        <v>11043</v>
      </c>
      <c r="Q1666" s="35">
        <f>IFERROR(__xludf.DUMMYFUNCTION("""COMPUTED_VALUE"""),19814.0)</f>
        <v>19814</v>
      </c>
    </row>
    <row r="1667">
      <c r="A1667" s="35">
        <f>IFERROR(__xludf.DUMMYFUNCTION("""COMPUTED_VALUE"""),1810.0)</f>
        <v>1810</v>
      </c>
      <c r="B1667" s="35" t="str">
        <f>IFERROR(__xludf.DUMMYFUNCTION("""COMPUTED_VALUE"""),"Change the Root of a Binary Tree")</f>
        <v>Change the Root of a Binary Tree</v>
      </c>
      <c r="C1667" s="35" t="str">
        <f>IFERROR(__xludf.DUMMYFUNCTION("""COMPUTED_VALUE"""),"change-the-root-of-a-binary-tree")</f>
        <v>change-the-root-of-a-binary-tree</v>
      </c>
      <c r="D1667" s="35" t="b">
        <f>IFERROR(__xludf.DUMMYFUNCTION("""COMPUTED_VALUE"""),TRUE)</f>
        <v>1</v>
      </c>
      <c r="E1667" s="35" t="str">
        <f>IFERROR(__xludf.DUMMYFUNCTION("""COMPUTED_VALUE"""),"Medium")</f>
        <v>Medium</v>
      </c>
      <c r="F1667" s="35">
        <f>IFERROR(__xludf.DUMMYFUNCTION("""COMPUTED_VALUE"""),43.0)</f>
        <v>43</v>
      </c>
      <c r="G1667" s="35">
        <f>IFERROR(__xludf.DUMMYFUNCTION("""COMPUTED_VALUE"""),106.0)</f>
        <v>106</v>
      </c>
      <c r="H1667" s="35" t="str">
        <f>IFERROR(__xludf.DUMMYFUNCTION("""COMPUTED_VALUE"""),"Algorithms")</f>
        <v>Algorithms</v>
      </c>
      <c r="I1667" s="35">
        <f>IFERROR(__xludf.DUMMYFUNCTION("""COMPUTED_VALUE"""),0.677)</f>
        <v>0.677</v>
      </c>
      <c r="J1667" s="35">
        <f>IFERROR(__xludf.DUMMYFUNCTION("""COMPUTED_VALUE"""),1666.0)</f>
        <v>1666</v>
      </c>
      <c r="K1667" s="35" t="b">
        <f>IFERROR(__xludf.DUMMYFUNCTION("""COMPUTED_VALUE"""),TRUE)</f>
        <v>1</v>
      </c>
      <c r="L1667" s="35" t="str">
        <f>IFERROR(__xludf.DUMMYFUNCTION("""COMPUTED_VALUE"""),"Tree;Depth-First Search;Binary Tree;")</f>
        <v>Tree;Depth-First Search;Binary Tree;</v>
      </c>
      <c r="M1667" s="35" t="b">
        <f>IFERROR(__xludf.DUMMYFUNCTION("""COMPUTED_VALUE"""),FALSE)</f>
        <v>0</v>
      </c>
      <c r="N1667" s="35" t="b">
        <f>IFERROR(__xludf.DUMMYFUNCTION("""COMPUTED_VALUE"""),FALSE)</f>
        <v>0</v>
      </c>
      <c r="O1667" s="35">
        <f>IFERROR(__xludf.DUMMYFUNCTION("""COMPUTED_VALUE"""),67.6684881602914)</f>
        <v>67.66848816</v>
      </c>
      <c r="P1667" s="35">
        <f>IFERROR(__xludf.DUMMYFUNCTION("""COMPUTED_VALUE"""),2228.0)</f>
        <v>2228</v>
      </c>
      <c r="Q1667" s="35">
        <f>IFERROR(__xludf.DUMMYFUNCTION("""COMPUTED_VALUE"""),3293.0)</f>
        <v>3293</v>
      </c>
    </row>
    <row r="1668">
      <c r="A1668" s="35">
        <f>IFERROR(__xludf.DUMMYFUNCTION("""COMPUTED_VALUE"""),1811.0)</f>
        <v>1811</v>
      </c>
      <c r="B1668" s="35" t="str">
        <f>IFERROR(__xludf.DUMMYFUNCTION("""COMPUTED_VALUE"""),"Fix Names in a Table")</f>
        <v>Fix Names in a Table</v>
      </c>
      <c r="C1668" s="35" t="str">
        <f>IFERROR(__xludf.DUMMYFUNCTION("""COMPUTED_VALUE"""),"fix-names-in-a-table")</f>
        <v>fix-names-in-a-table</v>
      </c>
      <c r="D1668" s="35" t="b">
        <f>IFERROR(__xludf.DUMMYFUNCTION("""COMPUTED_VALUE"""),TRUE)</f>
        <v>1</v>
      </c>
      <c r="E1668" s="35" t="str">
        <f>IFERROR(__xludf.DUMMYFUNCTION("""COMPUTED_VALUE"""),"Easy")</f>
        <v>Easy</v>
      </c>
      <c r="F1668" s="35">
        <f>IFERROR(__xludf.DUMMYFUNCTION("""COMPUTED_VALUE"""),38.0)</f>
        <v>38</v>
      </c>
      <c r="G1668" s="35">
        <f>IFERROR(__xludf.DUMMYFUNCTION("""COMPUTED_VALUE"""),33.0)</f>
        <v>33</v>
      </c>
      <c r="H1668" s="35" t="str">
        <f>IFERROR(__xludf.DUMMYFUNCTION("""COMPUTED_VALUE"""),"Database")</f>
        <v>Database</v>
      </c>
      <c r="I1668" s="35">
        <f>IFERROR(__xludf.DUMMYFUNCTION("""COMPUTED_VALUE"""),0.626)</f>
        <v>0.626</v>
      </c>
      <c r="J1668" s="35">
        <f>IFERROR(__xludf.DUMMYFUNCTION("""COMPUTED_VALUE"""),1667.0)</f>
        <v>1667</v>
      </c>
      <c r="K1668" s="35" t="b">
        <f>IFERROR(__xludf.DUMMYFUNCTION("""COMPUTED_VALUE"""),TRUE)</f>
        <v>1</v>
      </c>
      <c r="L1668" s="35" t="str">
        <f>IFERROR(__xludf.DUMMYFUNCTION("""COMPUTED_VALUE"""),"Database;")</f>
        <v>Database;</v>
      </c>
      <c r="M1668" s="35" t="b">
        <f>IFERROR(__xludf.DUMMYFUNCTION("""COMPUTED_VALUE"""),FALSE)</f>
        <v>0</v>
      </c>
      <c r="N1668" s="35" t="b">
        <f>IFERROR(__xludf.DUMMYFUNCTION("""COMPUTED_VALUE"""),FALSE)</f>
        <v>0</v>
      </c>
      <c r="O1668" s="35">
        <f>IFERROR(__xludf.DUMMYFUNCTION("""COMPUTED_VALUE"""),62.5710454051982)</f>
        <v>62.57104541</v>
      </c>
      <c r="P1668" s="35">
        <f>IFERROR(__xludf.DUMMYFUNCTION("""COMPUTED_VALUE"""),9798.0)</f>
        <v>9798</v>
      </c>
      <c r="Q1668" s="35">
        <f>IFERROR(__xludf.DUMMYFUNCTION("""COMPUTED_VALUE"""),15659.0)</f>
        <v>15659</v>
      </c>
    </row>
    <row r="1669">
      <c r="A1669" s="35">
        <f>IFERROR(__xludf.DUMMYFUNCTION("""COMPUTED_VALUE"""),1764.0)</f>
        <v>1764</v>
      </c>
      <c r="B1669" s="35" t="str">
        <f>IFERROR(__xludf.DUMMYFUNCTION("""COMPUTED_VALUE"""),"Maximum Repeating Substring")</f>
        <v>Maximum Repeating Substring</v>
      </c>
      <c r="C1669" s="35" t="str">
        <f>IFERROR(__xludf.DUMMYFUNCTION("""COMPUTED_VALUE"""),"maximum-repeating-substring")</f>
        <v>maximum-repeating-substring</v>
      </c>
      <c r="D1669" s="35" t="b">
        <f>IFERROR(__xludf.DUMMYFUNCTION("""COMPUTED_VALUE"""),FALSE)</f>
        <v>0</v>
      </c>
      <c r="E1669" s="35" t="str">
        <f>IFERROR(__xludf.DUMMYFUNCTION("""COMPUTED_VALUE"""),"Easy")</f>
        <v>Easy</v>
      </c>
      <c r="F1669" s="35">
        <f>IFERROR(__xludf.DUMMYFUNCTION("""COMPUTED_VALUE"""),357.0)</f>
        <v>357</v>
      </c>
      <c r="G1669" s="35">
        <f>IFERROR(__xludf.DUMMYFUNCTION("""COMPUTED_VALUE"""),117.0)</f>
        <v>117</v>
      </c>
      <c r="H1669" s="35" t="str">
        <f>IFERROR(__xludf.DUMMYFUNCTION("""COMPUTED_VALUE"""),"Algorithms")</f>
        <v>Algorithms</v>
      </c>
      <c r="I1669" s="35">
        <f>IFERROR(__xludf.DUMMYFUNCTION("""COMPUTED_VALUE"""),0.395)</f>
        <v>0.395</v>
      </c>
      <c r="J1669" s="35">
        <f>IFERROR(__xludf.DUMMYFUNCTION("""COMPUTED_VALUE"""),1668.0)</f>
        <v>1668</v>
      </c>
      <c r="K1669" s="35" t="b">
        <f>IFERROR(__xludf.DUMMYFUNCTION("""COMPUTED_VALUE"""),FALSE)</f>
        <v>0</v>
      </c>
      <c r="L1669" s="35" t="str">
        <f>IFERROR(__xludf.DUMMYFUNCTION("""COMPUTED_VALUE"""),"String;String Matching;")</f>
        <v>String;String Matching;</v>
      </c>
      <c r="M1669" s="35" t="b">
        <f>IFERROR(__xludf.DUMMYFUNCTION("""COMPUTED_VALUE"""),FALSE)</f>
        <v>0</v>
      </c>
      <c r="N1669" s="35" t="b">
        <f>IFERROR(__xludf.DUMMYFUNCTION("""COMPUTED_VALUE"""),FALSE)</f>
        <v>0</v>
      </c>
      <c r="O1669" s="35">
        <f>IFERROR(__xludf.DUMMYFUNCTION("""COMPUTED_VALUE"""),39.4975734087496)</f>
        <v>39.49757341</v>
      </c>
      <c r="P1669" s="35">
        <f>IFERROR(__xludf.DUMMYFUNCTION("""COMPUTED_VALUE"""),22625.0)</f>
        <v>22625</v>
      </c>
      <c r="Q1669" s="35">
        <f>IFERROR(__xludf.DUMMYFUNCTION("""COMPUTED_VALUE"""),57282.0)</f>
        <v>57282</v>
      </c>
    </row>
    <row r="1670">
      <c r="A1670" s="35">
        <f>IFERROR(__xludf.DUMMYFUNCTION("""COMPUTED_VALUE"""),1765.0)</f>
        <v>1765</v>
      </c>
      <c r="B1670" s="35" t="str">
        <f>IFERROR(__xludf.DUMMYFUNCTION("""COMPUTED_VALUE"""),"Merge In Between Linked Lists")</f>
        <v>Merge In Between Linked Lists</v>
      </c>
      <c r="C1670" s="35" t="str">
        <f>IFERROR(__xludf.DUMMYFUNCTION("""COMPUTED_VALUE"""),"merge-in-between-linked-lists")</f>
        <v>merge-in-between-linked-lists</v>
      </c>
      <c r="D1670" s="35" t="b">
        <f>IFERROR(__xludf.DUMMYFUNCTION("""COMPUTED_VALUE"""),FALSE)</f>
        <v>0</v>
      </c>
      <c r="E1670" s="35" t="str">
        <f>IFERROR(__xludf.DUMMYFUNCTION("""COMPUTED_VALUE"""),"Medium")</f>
        <v>Medium</v>
      </c>
      <c r="F1670" s="35">
        <f>IFERROR(__xludf.DUMMYFUNCTION("""COMPUTED_VALUE"""),807.0)</f>
        <v>807</v>
      </c>
      <c r="G1670" s="35">
        <f>IFERROR(__xludf.DUMMYFUNCTION("""COMPUTED_VALUE"""),117.0)</f>
        <v>117</v>
      </c>
      <c r="H1670" s="35" t="str">
        <f>IFERROR(__xludf.DUMMYFUNCTION("""COMPUTED_VALUE"""),"Algorithms")</f>
        <v>Algorithms</v>
      </c>
      <c r="I1670" s="35">
        <f>IFERROR(__xludf.DUMMYFUNCTION("""COMPUTED_VALUE"""),0.746)</f>
        <v>0.746</v>
      </c>
      <c r="J1670" s="35">
        <f>IFERROR(__xludf.DUMMYFUNCTION("""COMPUTED_VALUE"""),1669.0)</f>
        <v>1669</v>
      </c>
      <c r="K1670" s="35" t="b">
        <f>IFERROR(__xludf.DUMMYFUNCTION("""COMPUTED_VALUE"""),FALSE)</f>
        <v>0</v>
      </c>
      <c r="L1670" s="35" t="str">
        <f>IFERROR(__xludf.DUMMYFUNCTION("""COMPUTED_VALUE"""),"Linked List;")</f>
        <v>Linked List;</v>
      </c>
      <c r="M1670" s="35" t="b">
        <f>IFERROR(__xludf.DUMMYFUNCTION("""COMPUTED_VALUE"""),FALSE)</f>
        <v>0</v>
      </c>
      <c r="N1670" s="35" t="b">
        <f>IFERROR(__xludf.DUMMYFUNCTION("""COMPUTED_VALUE"""),FALSE)</f>
        <v>0</v>
      </c>
      <c r="O1670" s="35">
        <f>IFERROR(__xludf.DUMMYFUNCTION("""COMPUTED_VALUE"""),74.6277306460181)</f>
        <v>74.62773065</v>
      </c>
      <c r="P1670" s="35">
        <f>IFERROR(__xludf.DUMMYFUNCTION("""COMPUTED_VALUE"""),46357.0)</f>
        <v>46357</v>
      </c>
      <c r="Q1670" s="35">
        <f>IFERROR(__xludf.DUMMYFUNCTION("""COMPUTED_VALUE"""),62118.0)</f>
        <v>62118</v>
      </c>
    </row>
    <row r="1671">
      <c r="A1671" s="35">
        <f>IFERROR(__xludf.DUMMYFUNCTION("""COMPUTED_VALUE"""),1767.0)</f>
        <v>1767</v>
      </c>
      <c r="B1671" s="35" t="str">
        <f>IFERROR(__xludf.DUMMYFUNCTION("""COMPUTED_VALUE"""),"Design Front Middle Back Queue")</f>
        <v>Design Front Middle Back Queue</v>
      </c>
      <c r="C1671" s="35" t="str">
        <f>IFERROR(__xludf.DUMMYFUNCTION("""COMPUTED_VALUE"""),"design-front-middle-back-queue")</f>
        <v>design-front-middle-back-queue</v>
      </c>
      <c r="D1671" s="35" t="b">
        <f>IFERROR(__xludf.DUMMYFUNCTION("""COMPUTED_VALUE"""),FALSE)</f>
        <v>0</v>
      </c>
      <c r="E1671" s="35" t="str">
        <f>IFERROR(__xludf.DUMMYFUNCTION("""COMPUTED_VALUE"""),"Medium")</f>
        <v>Medium</v>
      </c>
      <c r="F1671" s="35">
        <f>IFERROR(__xludf.DUMMYFUNCTION("""COMPUTED_VALUE"""),404.0)</f>
        <v>404</v>
      </c>
      <c r="G1671" s="35">
        <f>IFERROR(__xludf.DUMMYFUNCTION("""COMPUTED_VALUE"""),70.0)</f>
        <v>70</v>
      </c>
      <c r="H1671" s="35" t="str">
        <f>IFERROR(__xludf.DUMMYFUNCTION("""COMPUTED_VALUE"""),"Algorithms")</f>
        <v>Algorithms</v>
      </c>
      <c r="I1671" s="35">
        <f>IFERROR(__xludf.DUMMYFUNCTION("""COMPUTED_VALUE"""),0.554)</f>
        <v>0.554</v>
      </c>
      <c r="J1671" s="35">
        <f>IFERROR(__xludf.DUMMYFUNCTION("""COMPUTED_VALUE"""),1670.0)</f>
        <v>1670</v>
      </c>
      <c r="K1671" s="35" t="b">
        <f>IFERROR(__xludf.DUMMYFUNCTION("""COMPUTED_VALUE"""),FALSE)</f>
        <v>0</v>
      </c>
      <c r="L1671" s="35" t="str">
        <f>IFERROR(__xludf.DUMMYFUNCTION("""COMPUTED_VALUE"""),"Array;Linked List;Design;Queue;Data Stream;")</f>
        <v>Array;Linked List;Design;Queue;Data Stream;</v>
      </c>
      <c r="M1671" s="35" t="b">
        <f>IFERROR(__xludf.DUMMYFUNCTION("""COMPUTED_VALUE"""),FALSE)</f>
        <v>0</v>
      </c>
      <c r="N1671" s="35" t="b">
        <f>IFERROR(__xludf.DUMMYFUNCTION("""COMPUTED_VALUE"""),FALSE)</f>
        <v>0</v>
      </c>
      <c r="O1671" s="35">
        <f>IFERROR(__xludf.DUMMYFUNCTION("""COMPUTED_VALUE"""),55.3699380082118)</f>
        <v>55.36993801</v>
      </c>
      <c r="P1671" s="35">
        <f>IFERROR(__xludf.DUMMYFUNCTION("""COMPUTED_VALUE"""),13755.0)</f>
        <v>13755</v>
      </c>
      <c r="Q1671" s="35">
        <f>IFERROR(__xludf.DUMMYFUNCTION("""COMPUTED_VALUE"""),24842.0)</f>
        <v>24842</v>
      </c>
    </row>
    <row r="1672">
      <c r="A1672" s="35">
        <f>IFERROR(__xludf.DUMMYFUNCTION("""COMPUTED_VALUE"""),1766.0)</f>
        <v>1766</v>
      </c>
      <c r="B1672" s="35" t="str">
        <f>IFERROR(__xludf.DUMMYFUNCTION("""COMPUTED_VALUE"""),"Minimum Number of Removals to Make Mountain Array")</f>
        <v>Minimum Number of Removals to Make Mountain Array</v>
      </c>
      <c r="C1672" s="35" t="str">
        <f>IFERROR(__xludf.DUMMYFUNCTION("""COMPUTED_VALUE"""),"minimum-number-of-removals-to-make-mountain-array")</f>
        <v>minimum-number-of-removals-to-make-mountain-array</v>
      </c>
      <c r="D1672" s="35" t="b">
        <f>IFERROR(__xludf.DUMMYFUNCTION("""COMPUTED_VALUE"""),FALSE)</f>
        <v>0</v>
      </c>
      <c r="E1672" s="35" t="str">
        <f>IFERROR(__xludf.DUMMYFUNCTION("""COMPUTED_VALUE"""),"Hard")</f>
        <v>Hard</v>
      </c>
      <c r="F1672" s="35">
        <f>IFERROR(__xludf.DUMMYFUNCTION("""COMPUTED_VALUE"""),679.0)</f>
        <v>679</v>
      </c>
      <c r="G1672" s="35">
        <f>IFERROR(__xludf.DUMMYFUNCTION("""COMPUTED_VALUE"""),10.0)</f>
        <v>10</v>
      </c>
      <c r="H1672" s="35" t="str">
        <f>IFERROR(__xludf.DUMMYFUNCTION("""COMPUTED_VALUE"""),"Algorithms")</f>
        <v>Algorithms</v>
      </c>
      <c r="I1672" s="35">
        <f>IFERROR(__xludf.DUMMYFUNCTION("""COMPUTED_VALUE"""),0.432)</f>
        <v>0.432</v>
      </c>
      <c r="J1672" s="35">
        <f>IFERROR(__xludf.DUMMYFUNCTION("""COMPUTED_VALUE"""),1671.0)</f>
        <v>1671</v>
      </c>
      <c r="K1672" s="35" t="b">
        <f>IFERROR(__xludf.DUMMYFUNCTION("""COMPUTED_VALUE"""),FALSE)</f>
        <v>0</v>
      </c>
      <c r="L1672" s="35" t="str">
        <f>IFERROR(__xludf.DUMMYFUNCTION("""COMPUTED_VALUE"""),"Array;Binary Search;Dynamic Programming;Greedy;")</f>
        <v>Array;Binary Search;Dynamic Programming;Greedy;</v>
      </c>
      <c r="M1672" s="35" t="b">
        <f>IFERROR(__xludf.DUMMYFUNCTION("""COMPUTED_VALUE"""),FALSE)</f>
        <v>0</v>
      </c>
      <c r="N1672" s="35" t="b">
        <f>IFERROR(__xludf.DUMMYFUNCTION("""COMPUTED_VALUE"""),FALSE)</f>
        <v>0</v>
      </c>
      <c r="O1672" s="35">
        <f>IFERROR(__xludf.DUMMYFUNCTION("""COMPUTED_VALUE"""),43.2249618154047)</f>
        <v>43.22496182</v>
      </c>
      <c r="P1672" s="35">
        <f>IFERROR(__xludf.DUMMYFUNCTION("""COMPUTED_VALUE"""),11886.0)</f>
        <v>11886</v>
      </c>
      <c r="Q1672" s="35">
        <f>IFERROR(__xludf.DUMMYFUNCTION("""COMPUTED_VALUE"""),27498.0)</f>
        <v>27498</v>
      </c>
    </row>
    <row r="1673">
      <c r="A1673" s="35">
        <f>IFERROR(__xludf.DUMMYFUNCTION("""COMPUTED_VALUE"""),1791.0)</f>
        <v>1791</v>
      </c>
      <c r="B1673" s="35" t="str">
        <f>IFERROR(__xludf.DUMMYFUNCTION("""COMPUTED_VALUE"""),"Richest Customer Wealth")</f>
        <v>Richest Customer Wealth</v>
      </c>
      <c r="C1673" s="35" t="str">
        <f>IFERROR(__xludf.DUMMYFUNCTION("""COMPUTED_VALUE"""),"richest-customer-wealth")</f>
        <v>richest-customer-wealth</v>
      </c>
      <c r="D1673" s="35" t="b">
        <f>IFERROR(__xludf.DUMMYFUNCTION("""COMPUTED_VALUE"""),FALSE)</f>
        <v>0</v>
      </c>
      <c r="E1673" s="35" t="str">
        <f>IFERROR(__xludf.DUMMYFUNCTION("""COMPUTED_VALUE"""),"Easy")</f>
        <v>Easy</v>
      </c>
      <c r="F1673" s="35">
        <f>IFERROR(__xludf.DUMMYFUNCTION("""COMPUTED_VALUE"""),1660.0)</f>
        <v>1660</v>
      </c>
      <c r="G1673" s="35">
        <f>IFERROR(__xludf.DUMMYFUNCTION("""COMPUTED_VALUE"""),249.0)</f>
        <v>249</v>
      </c>
      <c r="H1673" s="35" t="str">
        <f>IFERROR(__xludf.DUMMYFUNCTION("""COMPUTED_VALUE"""),"Algorithms")</f>
        <v>Algorithms</v>
      </c>
      <c r="I1673" s="35">
        <f>IFERROR(__xludf.DUMMYFUNCTION("""COMPUTED_VALUE"""),0.894)</f>
        <v>0.894</v>
      </c>
      <c r="J1673" s="35">
        <f>IFERROR(__xludf.DUMMYFUNCTION("""COMPUTED_VALUE"""),1672.0)</f>
        <v>1672</v>
      </c>
      <c r="K1673" s="35" t="b">
        <f>IFERROR(__xludf.DUMMYFUNCTION("""COMPUTED_VALUE"""),FALSE)</f>
        <v>0</v>
      </c>
      <c r="L1673" s="35" t="str">
        <f>IFERROR(__xludf.DUMMYFUNCTION("""COMPUTED_VALUE"""),"Array;Matrix;")</f>
        <v>Array;Matrix;</v>
      </c>
      <c r="M1673" s="35" t="b">
        <f>IFERROR(__xludf.DUMMYFUNCTION("""COMPUTED_VALUE"""),TRUE)</f>
        <v>1</v>
      </c>
      <c r="N1673" s="35" t="b">
        <f>IFERROR(__xludf.DUMMYFUNCTION("""COMPUTED_VALUE"""),FALSE)</f>
        <v>0</v>
      </c>
      <c r="O1673" s="35">
        <f>IFERROR(__xludf.DUMMYFUNCTION("""COMPUTED_VALUE"""),89.3525450404964)</f>
        <v>89.35254504</v>
      </c>
      <c r="P1673" s="35">
        <f>IFERROR(__xludf.DUMMYFUNCTION("""COMPUTED_VALUE"""),256598.0)</f>
        <v>256598</v>
      </c>
      <c r="Q1673" s="35">
        <f>IFERROR(__xludf.DUMMYFUNCTION("""COMPUTED_VALUE"""),287175.0)</f>
        <v>287175</v>
      </c>
    </row>
    <row r="1674">
      <c r="A1674" s="35">
        <f>IFERROR(__xludf.DUMMYFUNCTION("""COMPUTED_VALUE"""),1792.0)</f>
        <v>1792</v>
      </c>
      <c r="B1674" s="35" t="str">
        <f>IFERROR(__xludf.DUMMYFUNCTION("""COMPUTED_VALUE"""),"Find the Most Competitive Subsequence")</f>
        <v>Find the Most Competitive Subsequence</v>
      </c>
      <c r="C1674" s="35" t="str">
        <f>IFERROR(__xludf.DUMMYFUNCTION("""COMPUTED_VALUE"""),"find-the-most-competitive-subsequence")</f>
        <v>find-the-most-competitive-subsequence</v>
      </c>
      <c r="D1674" s="35" t="b">
        <f>IFERROR(__xludf.DUMMYFUNCTION("""COMPUTED_VALUE"""),FALSE)</f>
        <v>0</v>
      </c>
      <c r="E1674" s="35" t="str">
        <f>IFERROR(__xludf.DUMMYFUNCTION("""COMPUTED_VALUE"""),"Medium")</f>
        <v>Medium</v>
      </c>
      <c r="F1674" s="35">
        <f>IFERROR(__xludf.DUMMYFUNCTION("""COMPUTED_VALUE"""),1198.0)</f>
        <v>1198</v>
      </c>
      <c r="G1674" s="35">
        <f>IFERROR(__xludf.DUMMYFUNCTION("""COMPUTED_VALUE"""),59.0)</f>
        <v>59</v>
      </c>
      <c r="H1674" s="35" t="str">
        <f>IFERROR(__xludf.DUMMYFUNCTION("""COMPUTED_VALUE"""),"Algorithms")</f>
        <v>Algorithms</v>
      </c>
      <c r="I1674" s="35">
        <f>IFERROR(__xludf.DUMMYFUNCTION("""COMPUTED_VALUE"""),0.481)</f>
        <v>0.481</v>
      </c>
      <c r="J1674" s="35">
        <f>IFERROR(__xludf.DUMMYFUNCTION("""COMPUTED_VALUE"""),1673.0)</f>
        <v>1673</v>
      </c>
      <c r="K1674" s="35" t="b">
        <f>IFERROR(__xludf.DUMMYFUNCTION("""COMPUTED_VALUE"""),FALSE)</f>
        <v>0</v>
      </c>
      <c r="L1674" s="35" t="str">
        <f>IFERROR(__xludf.DUMMYFUNCTION("""COMPUTED_VALUE"""),"Array;Stack;Greedy;Monotonic Stack;")</f>
        <v>Array;Stack;Greedy;Monotonic Stack;</v>
      </c>
      <c r="M1674" s="35" t="b">
        <f>IFERROR(__xludf.DUMMYFUNCTION("""COMPUTED_VALUE"""),TRUE)</f>
        <v>1</v>
      </c>
      <c r="N1674" s="35" t="b">
        <f>IFERROR(__xludf.DUMMYFUNCTION("""COMPUTED_VALUE"""),FALSE)</f>
        <v>0</v>
      </c>
      <c r="O1674" s="35">
        <f>IFERROR(__xludf.DUMMYFUNCTION("""COMPUTED_VALUE"""),48.1039856441254)</f>
        <v>48.10398564</v>
      </c>
      <c r="P1674" s="35">
        <f>IFERROR(__xludf.DUMMYFUNCTION("""COMPUTED_VALUE"""),40746.0)</f>
        <v>40746</v>
      </c>
      <c r="Q1674" s="35">
        <f>IFERROR(__xludf.DUMMYFUNCTION("""COMPUTED_VALUE"""),84704.0)</f>
        <v>84704</v>
      </c>
    </row>
    <row r="1675">
      <c r="A1675" s="35">
        <f>IFERROR(__xludf.DUMMYFUNCTION("""COMPUTED_VALUE"""),1793.0)</f>
        <v>1793</v>
      </c>
      <c r="B1675" s="35" t="str">
        <f>IFERROR(__xludf.DUMMYFUNCTION("""COMPUTED_VALUE"""),"Minimum Moves to Make Array Complementary")</f>
        <v>Minimum Moves to Make Array Complementary</v>
      </c>
      <c r="C1675" s="35" t="str">
        <f>IFERROR(__xludf.DUMMYFUNCTION("""COMPUTED_VALUE"""),"minimum-moves-to-make-array-complementary")</f>
        <v>minimum-moves-to-make-array-complementary</v>
      </c>
      <c r="D1675" s="35" t="b">
        <f>IFERROR(__xludf.DUMMYFUNCTION("""COMPUTED_VALUE"""),FALSE)</f>
        <v>0</v>
      </c>
      <c r="E1675" s="35" t="str">
        <f>IFERROR(__xludf.DUMMYFUNCTION("""COMPUTED_VALUE"""),"Medium")</f>
        <v>Medium</v>
      </c>
      <c r="F1675" s="35">
        <f>IFERROR(__xludf.DUMMYFUNCTION("""COMPUTED_VALUE"""),416.0)</f>
        <v>416</v>
      </c>
      <c r="G1675" s="35">
        <f>IFERROR(__xludf.DUMMYFUNCTION("""COMPUTED_VALUE"""),52.0)</f>
        <v>52</v>
      </c>
      <c r="H1675" s="35" t="str">
        <f>IFERROR(__xludf.DUMMYFUNCTION("""COMPUTED_VALUE"""),"Algorithms")</f>
        <v>Algorithms</v>
      </c>
      <c r="I1675" s="35">
        <f>IFERROR(__xludf.DUMMYFUNCTION("""COMPUTED_VALUE"""),0.373)</f>
        <v>0.373</v>
      </c>
      <c r="J1675" s="35">
        <f>IFERROR(__xludf.DUMMYFUNCTION("""COMPUTED_VALUE"""),1674.0)</f>
        <v>1674</v>
      </c>
      <c r="K1675" s="35" t="b">
        <f>IFERROR(__xludf.DUMMYFUNCTION("""COMPUTED_VALUE"""),FALSE)</f>
        <v>0</v>
      </c>
      <c r="L1675" s="35" t="str">
        <f>IFERROR(__xludf.DUMMYFUNCTION("""COMPUTED_VALUE"""),"Array;Hash Table;Prefix Sum;")</f>
        <v>Array;Hash Table;Prefix Sum;</v>
      </c>
      <c r="M1675" s="35" t="b">
        <f>IFERROR(__xludf.DUMMYFUNCTION("""COMPUTED_VALUE"""),FALSE)</f>
        <v>0</v>
      </c>
      <c r="N1675" s="35" t="b">
        <f>IFERROR(__xludf.DUMMYFUNCTION("""COMPUTED_VALUE"""),FALSE)</f>
        <v>0</v>
      </c>
      <c r="O1675" s="35">
        <f>IFERROR(__xludf.DUMMYFUNCTION("""COMPUTED_VALUE"""),37.3458215157311)</f>
        <v>37.34582152</v>
      </c>
      <c r="P1675" s="35">
        <f>IFERROR(__xludf.DUMMYFUNCTION("""COMPUTED_VALUE"""),5662.0)</f>
        <v>5662</v>
      </c>
      <c r="Q1675" s="35">
        <f>IFERROR(__xludf.DUMMYFUNCTION("""COMPUTED_VALUE"""),15161.0)</f>
        <v>15161</v>
      </c>
    </row>
    <row r="1676">
      <c r="A1676" s="35">
        <f>IFERROR(__xludf.DUMMYFUNCTION("""COMPUTED_VALUE"""),1794.0)</f>
        <v>1794</v>
      </c>
      <c r="B1676" s="35" t="str">
        <f>IFERROR(__xludf.DUMMYFUNCTION("""COMPUTED_VALUE"""),"Minimize Deviation in Array")</f>
        <v>Minimize Deviation in Array</v>
      </c>
      <c r="C1676" s="35" t="str">
        <f>IFERROR(__xludf.DUMMYFUNCTION("""COMPUTED_VALUE"""),"minimize-deviation-in-array")</f>
        <v>minimize-deviation-in-array</v>
      </c>
      <c r="D1676" s="35" t="b">
        <f>IFERROR(__xludf.DUMMYFUNCTION("""COMPUTED_VALUE"""),FALSE)</f>
        <v>0</v>
      </c>
      <c r="E1676" s="35" t="str">
        <f>IFERROR(__xludf.DUMMYFUNCTION("""COMPUTED_VALUE"""),"Hard")</f>
        <v>Hard</v>
      </c>
      <c r="F1676" s="35">
        <f>IFERROR(__xludf.DUMMYFUNCTION("""COMPUTED_VALUE"""),1556.0)</f>
        <v>1556</v>
      </c>
      <c r="G1676" s="35">
        <f>IFERROR(__xludf.DUMMYFUNCTION("""COMPUTED_VALUE"""),79.0)</f>
        <v>79</v>
      </c>
      <c r="H1676" s="35" t="str">
        <f>IFERROR(__xludf.DUMMYFUNCTION("""COMPUTED_VALUE"""),"Algorithms")</f>
        <v>Algorithms</v>
      </c>
      <c r="I1676" s="35">
        <f>IFERROR(__xludf.DUMMYFUNCTION("""COMPUTED_VALUE"""),0.526)</f>
        <v>0.526</v>
      </c>
      <c r="J1676" s="35">
        <f>IFERROR(__xludf.DUMMYFUNCTION("""COMPUTED_VALUE"""),1675.0)</f>
        <v>1675</v>
      </c>
      <c r="K1676" s="35" t="b">
        <f>IFERROR(__xludf.DUMMYFUNCTION("""COMPUTED_VALUE"""),FALSE)</f>
        <v>0</v>
      </c>
      <c r="L1676" s="35" t="str">
        <f>IFERROR(__xludf.DUMMYFUNCTION("""COMPUTED_VALUE"""),"Array;Greedy;Heap (Priority Queue);Ordered Set;")</f>
        <v>Array;Greedy;Heap (Priority Queue);Ordered Set;</v>
      </c>
      <c r="M1676" s="35" t="b">
        <f>IFERROR(__xludf.DUMMYFUNCTION("""COMPUTED_VALUE"""),TRUE)</f>
        <v>1</v>
      </c>
      <c r="N1676" s="35" t="b">
        <f>IFERROR(__xludf.DUMMYFUNCTION("""COMPUTED_VALUE"""),FALSE)</f>
        <v>0</v>
      </c>
      <c r="O1676" s="35">
        <f>IFERROR(__xludf.DUMMYFUNCTION("""COMPUTED_VALUE"""),52.5792464114832)</f>
        <v>52.57924641</v>
      </c>
      <c r="P1676" s="35">
        <f>IFERROR(__xludf.DUMMYFUNCTION("""COMPUTED_VALUE"""),42198.0)</f>
        <v>42198</v>
      </c>
      <c r="Q1676" s="35">
        <f>IFERROR(__xludf.DUMMYFUNCTION("""COMPUTED_VALUE"""),80256.0)</f>
        <v>80256</v>
      </c>
    </row>
    <row r="1677">
      <c r="A1677" s="35">
        <f>IFERROR(__xludf.DUMMYFUNCTION("""COMPUTED_VALUE"""),1816.0)</f>
        <v>1816</v>
      </c>
      <c r="B1677" s="35" t="str">
        <f>IFERROR(__xludf.DUMMYFUNCTION("""COMPUTED_VALUE"""),"Lowest Common Ancestor of a Binary Tree IV")</f>
        <v>Lowest Common Ancestor of a Binary Tree IV</v>
      </c>
      <c r="C1677" s="35" t="str">
        <f>IFERROR(__xludf.DUMMYFUNCTION("""COMPUTED_VALUE"""),"lowest-common-ancestor-of-a-binary-tree-iv")</f>
        <v>lowest-common-ancestor-of-a-binary-tree-iv</v>
      </c>
      <c r="D1677" s="35" t="b">
        <f>IFERROR(__xludf.DUMMYFUNCTION("""COMPUTED_VALUE"""),TRUE)</f>
        <v>1</v>
      </c>
      <c r="E1677" s="35" t="str">
        <f>IFERROR(__xludf.DUMMYFUNCTION("""COMPUTED_VALUE"""),"Medium")</f>
        <v>Medium</v>
      </c>
      <c r="F1677" s="35">
        <f>IFERROR(__xludf.DUMMYFUNCTION("""COMPUTED_VALUE"""),269.0)</f>
        <v>269</v>
      </c>
      <c r="G1677" s="35">
        <f>IFERROR(__xludf.DUMMYFUNCTION("""COMPUTED_VALUE"""),9.0)</f>
        <v>9</v>
      </c>
      <c r="H1677" s="35" t="str">
        <f>IFERROR(__xludf.DUMMYFUNCTION("""COMPUTED_VALUE"""),"Algorithms")</f>
        <v>Algorithms</v>
      </c>
      <c r="I1677" s="35">
        <f>IFERROR(__xludf.DUMMYFUNCTION("""COMPUTED_VALUE"""),0.795)</f>
        <v>0.795</v>
      </c>
      <c r="J1677" s="35">
        <f>IFERROR(__xludf.DUMMYFUNCTION("""COMPUTED_VALUE"""),1676.0)</f>
        <v>1676</v>
      </c>
      <c r="K1677" s="35" t="b">
        <f>IFERROR(__xludf.DUMMYFUNCTION("""COMPUTED_VALUE"""),TRUE)</f>
        <v>1</v>
      </c>
      <c r="L1677" s="35" t="str">
        <f>IFERROR(__xludf.DUMMYFUNCTION("""COMPUTED_VALUE"""),"Tree;Depth-First Search;Binary Tree;")</f>
        <v>Tree;Depth-First Search;Binary Tree;</v>
      </c>
      <c r="M1677" s="35" t="b">
        <f>IFERROR(__xludf.DUMMYFUNCTION("""COMPUTED_VALUE"""),FALSE)</f>
        <v>0</v>
      </c>
      <c r="N1677" s="35" t="b">
        <f>IFERROR(__xludf.DUMMYFUNCTION("""COMPUTED_VALUE"""),FALSE)</f>
        <v>0</v>
      </c>
      <c r="O1677" s="35">
        <f>IFERROR(__xludf.DUMMYFUNCTION("""COMPUTED_VALUE"""),79.5046968403074)</f>
        <v>79.50469684</v>
      </c>
      <c r="P1677" s="35">
        <f>IFERROR(__xludf.DUMMYFUNCTION("""COMPUTED_VALUE"""),18620.0)</f>
        <v>18620</v>
      </c>
      <c r="Q1677" s="35">
        <f>IFERROR(__xludf.DUMMYFUNCTION("""COMPUTED_VALUE"""),23420.0)</f>
        <v>23420</v>
      </c>
    </row>
    <row r="1678">
      <c r="A1678" s="35">
        <f>IFERROR(__xludf.DUMMYFUNCTION("""COMPUTED_VALUE"""),1821.0)</f>
        <v>1821</v>
      </c>
      <c r="B1678" s="35" t="str">
        <f>IFERROR(__xludf.DUMMYFUNCTION("""COMPUTED_VALUE"""),"Product's Worth Over Invoices")</f>
        <v>Product's Worth Over Invoices</v>
      </c>
      <c r="C1678" s="35" t="str">
        <f>IFERROR(__xludf.DUMMYFUNCTION("""COMPUTED_VALUE"""),"products-worth-over-invoices")</f>
        <v>products-worth-over-invoices</v>
      </c>
      <c r="D1678" s="35" t="b">
        <f>IFERROR(__xludf.DUMMYFUNCTION("""COMPUTED_VALUE"""),TRUE)</f>
        <v>1</v>
      </c>
      <c r="E1678" s="35" t="str">
        <f>IFERROR(__xludf.DUMMYFUNCTION("""COMPUTED_VALUE"""),"Easy")</f>
        <v>Easy</v>
      </c>
      <c r="F1678" s="35">
        <f>IFERROR(__xludf.DUMMYFUNCTION("""COMPUTED_VALUE"""),17.0)</f>
        <v>17</v>
      </c>
      <c r="G1678" s="35">
        <f>IFERROR(__xludf.DUMMYFUNCTION("""COMPUTED_VALUE"""),81.0)</f>
        <v>81</v>
      </c>
      <c r="H1678" s="35" t="str">
        <f>IFERROR(__xludf.DUMMYFUNCTION("""COMPUTED_VALUE"""),"Database")</f>
        <v>Database</v>
      </c>
      <c r="I1678" s="35">
        <f>IFERROR(__xludf.DUMMYFUNCTION("""COMPUTED_VALUE"""),0.412)</f>
        <v>0.412</v>
      </c>
      <c r="J1678" s="35">
        <f>IFERROR(__xludf.DUMMYFUNCTION("""COMPUTED_VALUE"""),1677.0)</f>
        <v>1677</v>
      </c>
      <c r="K1678" s="35" t="b">
        <f>IFERROR(__xludf.DUMMYFUNCTION("""COMPUTED_VALUE"""),TRUE)</f>
        <v>1</v>
      </c>
      <c r="L1678" s="35" t="str">
        <f>IFERROR(__xludf.DUMMYFUNCTION("""COMPUTED_VALUE"""),"Database;")</f>
        <v>Database;</v>
      </c>
      <c r="M1678" s="35" t="b">
        <f>IFERROR(__xludf.DUMMYFUNCTION("""COMPUTED_VALUE"""),FALSE)</f>
        <v>0</v>
      </c>
      <c r="N1678" s="35" t="b">
        <f>IFERROR(__xludf.DUMMYFUNCTION("""COMPUTED_VALUE"""),FALSE)</f>
        <v>0</v>
      </c>
      <c r="O1678" s="35">
        <f>IFERROR(__xludf.DUMMYFUNCTION("""COMPUTED_VALUE"""),41.2433039571453)</f>
        <v>41.24330396</v>
      </c>
      <c r="P1678" s="35">
        <f>IFERROR(__xludf.DUMMYFUNCTION("""COMPUTED_VALUE"""),9547.0)</f>
        <v>9547</v>
      </c>
      <c r="Q1678" s="35">
        <f>IFERROR(__xludf.DUMMYFUNCTION("""COMPUTED_VALUE"""),23148.0)</f>
        <v>23148</v>
      </c>
    </row>
    <row r="1679">
      <c r="A1679" s="35">
        <f>IFERROR(__xludf.DUMMYFUNCTION("""COMPUTED_VALUE"""),1797.0)</f>
        <v>1797</v>
      </c>
      <c r="B1679" s="35" t="str">
        <f>IFERROR(__xludf.DUMMYFUNCTION("""COMPUTED_VALUE"""),"Goal Parser Interpretation")</f>
        <v>Goal Parser Interpretation</v>
      </c>
      <c r="C1679" s="35" t="str">
        <f>IFERROR(__xludf.DUMMYFUNCTION("""COMPUTED_VALUE"""),"goal-parser-interpretation")</f>
        <v>goal-parser-interpretation</v>
      </c>
      <c r="D1679" s="35" t="b">
        <f>IFERROR(__xludf.DUMMYFUNCTION("""COMPUTED_VALUE"""),FALSE)</f>
        <v>0</v>
      </c>
      <c r="E1679" s="35" t="str">
        <f>IFERROR(__xludf.DUMMYFUNCTION("""COMPUTED_VALUE"""),"Easy")</f>
        <v>Easy</v>
      </c>
      <c r="F1679" s="35">
        <f>IFERROR(__xludf.DUMMYFUNCTION("""COMPUTED_VALUE"""),627.0)</f>
        <v>627</v>
      </c>
      <c r="G1679" s="35">
        <f>IFERROR(__xludf.DUMMYFUNCTION("""COMPUTED_VALUE"""),58.0)</f>
        <v>58</v>
      </c>
      <c r="H1679" s="35" t="str">
        <f>IFERROR(__xludf.DUMMYFUNCTION("""COMPUTED_VALUE"""),"Algorithms")</f>
        <v>Algorithms</v>
      </c>
      <c r="I1679" s="35">
        <f>IFERROR(__xludf.DUMMYFUNCTION("""COMPUTED_VALUE"""),0.855)</f>
        <v>0.855</v>
      </c>
      <c r="J1679" s="35">
        <f>IFERROR(__xludf.DUMMYFUNCTION("""COMPUTED_VALUE"""),1678.0)</f>
        <v>1678</v>
      </c>
      <c r="K1679" s="35" t="b">
        <f>IFERROR(__xludf.DUMMYFUNCTION("""COMPUTED_VALUE"""),FALSE)</f>
        <v>0</v>
      </c>
      <c r="L1679" s="35" t="str">
        <f>IFERROR(__xludf.DUMMYFUNCTION("""COMPUTED_VALUE"""),"String;")</f>
        <v>String;</v>
      </c>
      <c r="M1679" s="35" t="b">
        <f>IFERROR(__xludf.DUMMYFUNCTION("""COMPUTED_VALUE"""),FALSE)</f>
        <v>0</v>
      </c>
      <c r="N1679" s="35" t="b">
        <f>IFERROR(__xludf.DUMMYFUNCTION("""COMPUTED_VALUE"""),FALSE)</f>
        <v>0</v>
      </c>
      <c r="O1679" s="35">
        <f>IFERROR(__xludf.DUMMYFUNCTION("""COMPUTED_VALUE"""),85.5407541205689)</f>
        <v>85.54075412</v>
      </c>
      <c r="P1679" s="35">
        <f>IFERROR(__xludf.DUMMYFUNCTION("""COMPUTED_VALUE"""),94710.0)</f>
        <v>94710</v>
      </c>
      <c r="Q1679" s="35">
        <f>IFERROR(__xludf.DUMMYFUNCTION("""COMPUTED_VALUE"""),110720.0)</f>
        <v>110720</v>
      </c>
    </row>
    <row r="1680">
      <c r="A1680" s="35">
        <f>IFERROR(__xludf.DUMMYFUNCTION("""COMPUTED_VALUE"""),1798.0)</f>
        <v>1798</v>
      </c>
      <c r="B1680" s="35" t="str">
        <f>IFERROR(__xludf.DUMMYFUNCTION("""COMPUTED_VALUE"""),"Max Number of K-Sum Pairs")</f>
        <v>Max Number of K-Sum Pairs</v>
      </c>
      <c r="C1680" s="35" t="str">
        <f>IFERROR(__xludf.DUMMYFUNCTION("""COMPUTED_VALUE"""),"max-number-of-k-sum-pairs")</f>
        <v>max-number-of-k-sum-pairs</v>
      </c>
      <c r="D1680" s="35" t="b">
        <f>IFERROR(__xludf.DUMMYFUNCTION("""COMPUTED_VALUE"""),FALSE)</f>
        <v>0</v>
      </c>
      <c r="E1680" s="35" t="str">
        <f>IFERROR(__xludf.DUMMYFUNCTION("""COMPUTED_VALUE"""),"Medium")</f>
        <v>Medium</v>
      </c>
      <c r="F1680" s="35">
        <f>IFERROR(__xludf.DUMMYFUNCTION("""COMPUTED_VALUE"""),663.0)</f>
        <v>663</v>
      </c>
      <c r="G1680" s="35">
        <f>IFERROR(__xludf.DUMMYFUNCTION("""COMPUTED_VALUE"""),24.0)</f>
        <v>24</v>
      </c>
      <c r="H1680" s="35" t="str">
        <f>IFERROR(__xludf.DUMMYFUNCTION("""COMPUTED_VALUE"""),"Algorithms")</f>
        <v>Algorithms</v>
      </c>
      <c r="I1680" s="35">
        <f>IFERROR(__xludf.DUMMYFUNCTION("""COMPUTED_VALUE"""),0.536)</f>
        <v>0.536</v>
      </c>
      <c r="J1680" s="35">
        <f>IFERROR(__xludf.DUMMYFUNCTION("""COMPUTED_VALUE"""),1679.0)</f>
        <v>1679</v>
      </c>
      <c r="K1680" s="35" t="b">
        <f>IFERROR(__xludf.DUMMYFUNCTION("""COMPUTED_VALUE"""),FALSE)</f>
        <v>0</v>
      </c>
      <c r="L1680" s="35" t="str">
        <f>IFERROR(__xludf.DUMMYFUNCTION("""COMPUTED_VALUE"""),"Array;Hash Table;Two Pointers;Sorting;")</f>
        <v>Array;Hash Table;Two Pointers;Sorting;</v>
      </c>
      <c r="M1680" s="35" t="b">
        <f>IFERROR(__xludf.DUMMYFUNCTION("""COMPUTED_VALUE"""),TRUE)</f>
        <v>1</v>
      </c>
      <c r="N1680" s="35" t="b">
        <f>IFERROR(__xludf.DUMMYFUNCTION("""COMPUTED_VALUE"""),FALSE)</f>
        <v>0</v>
      </c>
      <c r="O1680" s="35">
        <f>IFERROR(__xludf.DUMMYFUNCTION("""COMPUTED_VALUE"""),53.558266341947)</f>
        <v>53.55826634</v>
      </c>
      <c r="P1680" s="35">
        <f>IFERROR(__xludf.DUMMYFUNCTION("""COMPUTED_VALUE"""),49700.0)</f>
        <v>49700</v>
      </c>
      <c r="Q1680" s="35">
        <f>IFERROR(__xludf.DUMMYFUNCTION("""COMPUTED_VALUE"""),92797.0)</f>
        <v>92797</v>
      </c>
    </row>
    <row r="1681">
      <c r="A1681" s="35">
        <f>IFERROR(__xludf.DUMMYFUNCTION("""COMPUTED_VALUE"""),1800.0)</f>
        <v>1800</v>
      </c>
      <c r="B1681" s="35" t="str">
        <f>IFERROR(__xludf.DUMMYFUNCTION("""COMPUTED_VALUE"""),"Concatenation of Consecutive Binary Numbers")</f>
        <v>Concatenation of Consecutive Binary Numbers</v>
      </c>
      <c r="C1681" s="35" t="str">
        <f>IFERROR(__xludf.DUMMYFUNCTION("""COMPUTED_VALUE"""),"concatenation-of-consecutive-binary-numbers")</f>
        <v>concatenation-of-consecutive-binary-numbers</v>
      </c>
      <c r="D1681" s="35" t="b">
        <f>IFERROR(__xludf.DUMMYFUNCTION("""COMPUTED_VALUE"""),FALSE)</f>
        <v>0</v>
      </c>
      <c r="E1681" s="35" t="str">
        <f>IFERROR(__xludf.DUMMYFUNCTION("""COMPUTED_VALUE"""),"Medium")</f>
        <v>Medium</v>
      </c>
      <c r="F1681" s="35">
        <f>IFERROR(__xludf.DUMMYFUNCTION("""COMPUTED_VALUE"""),332.0)</f>
        <v>332</v>
      </c>
      <c r="G1681" s="35">
        <f>IFERROR(__xludf.DUMMYFUNCTION("""COMPUTED_VALUE"""),203.0)</f>
        <v>203</v>
      </c>
      <c r="H1681" s="35" t="str">
        <f>IFERROR(__xludf.DUMMYFUNCTION("""COMPUTED_VALUE"""),"Algorithms")</f>
        <v>Algorithms</v>
      </c>
      <c r="I1681" s="35">
        <f>IFERROR(__xludf.DUMMYFUNCTION("""COMPUTED_VALUE"""),0.525)</f>
        <v>0.525</v>
      </c>
      <c r="J1681" s="35">
        <f>IFERROR(__xludf.DUMMYFUNCTION("""COMPUTED_VALUE"""),1680.0)</f>
        <v>1680</v>
      </c>
      <c r="K1681" s="35" t="b">
        <f>IFERROR(__xludf.DUMMYFUNCTION("""COMPUTED_VALUE"""),FALSE)</f>
        <v>0</v>
      </c>
      <c r="L1681" s="35" t="str">
        <f>IFERROR(__xludf.DUMMYFUNCTION("""COMPUTED_VALUE"""),"Math;Bit Manipulation;Simulation;")</f>
        <v>Math;Bit Manipulation;Simulation;</v>
      </c>
      <c r="M1681" s="35" t="b">
        <f>IFERROR(__xludf.DUMMYFUNCTION("""COMPUTED_VALUE"""),TRUE)</f>
        <v>1</v>
      </c>
      <c r="N1681" s="35" t="b">
        <f>IFERROR(__xludf.DUMMYFUNCTION("""COMPUTED_VALUE"""),FALSE)</f>
        <v>0</v>
      </c>
      <c r="O1681" s="35">
        <f>IFERROR(__xludf.DUMMYFUNCTION("""COMPUTED_VALUE"""),52.5429878529736)</f>
        <v>52.54298785</v>
      </c>
      <c r="P1681" s="35">
        <f>IFERROR(__xludf.DUMMYFUNCTION("""COMPUTED_VALUE"""),33307.0)</f>
        <v>33307</v>
      </c>
      <c r="Q1681" s="35">
        <f>IFERROR(__xludf.DUMMYFUNCTION("""COMPUTED_VALUE"""),63390.0)</f>
        <v>63390</v>
      </c>
    </row>
    <row r="1682">
      <c r="A1682" s="35">
        <f>IFERROR(__xludf.DUMMYFUNCTION("""COMPUTED_VALUE"""),1799.0)</f>
        <v>1799</v>
      </c>
      <c r="B1682" s="35" t="str">
        <f>IFERROR(__xludf.DUMMYFUNCTION("""COMPUTED_VALUE"""),"Minimum Incompatibility")</f>
        <v>Minimum Incompatibility</v>
      </c>
      <c r="C1682" s="35" t="str">
        <f>IFERROR(__xludf.DUMMYFUNCTION("""COMPUTED_VALUE"""),"minimum-incompatibility")</f>
        <v>minimum-incompatibility</v>
      </c>
      <c r="D1682" s="35" t="b">
        <f>IFERROR(__xludf.DUMMYFUNCTION("""COMPUTED_VALUE"""),FALSE)</f>
        <v>0</v>
      </c>
      <c r="E1682" s="35" t="str">
        <f>IFERROR(__xludf.DUMMYFUNCTION("""COMPUTED_VALUE"""),"Hard")</f>
        <v>Hard</v>
      </c>
      <c r="F1682" s="35">
        <f>IFERROR(__xludf.DUMMYFUNCTION("""COMPUTED_VALUE"""),173.0)</f>
        <v>173</v>
      </c>
      <c r="G1682" s="35">
        <f>IFERROR(__xludf.DUMMYFUNCTION("""COMPUTED_VALUE"""),81.0)</f>
        <v>81</v>
      </c>
      <c r="H1682" s="35" t="str">
        <f>IFERROR(__xludf.DUMMYFUNCTION("""COMPUTED_VALUE"""),"Algorithms")</f>
        <v>Algorithms</v>
      </c>
      <c r="I1682" s="35">
        <f>IFERROR(__xludf.DUMMYFUNCTION("""COMPUTED_VALUE"""),0.37)</f>
        <v>0.37</v>
      </c>
      <c r="J1682" s="35">
        <f>IFERROR(__xludf.DUMMYFUNCTION("""COMPUTED_VALUE"""),1681.0)</f>
        <v>1681</v>
      </c>
      <c r="K1682" s="35" t="b">
        <f>IFERROR(__xludf.DUMMYFUNCTION("""COMPUTED_VALUE"""),FALSE)</f>
        <v>0</v>
      </c>
      <c r="L1682" s="35" t="str">
        <f>IFERROR(__xludf.DUMMYFUNCTION("""COMPUTED_VALUE"""),"Array;Dynamic Programming;Bit Manipulation;Bitmask;")</f>
        <v>Array;Dynamic Programming;Bit Manipulation;Bitmask;</v>
      </c>
      <c r="M1682" s="35" t="b">
        <f>IFERROR(__xludf.DUMMYFUNCTION("""COMPUTED_VALUE"""),FALSE)</f>
        <v>0</v>
      </c>
      <c r="N1682" s="35" t="b">
        <f>IFERROR(__xludf.DUMMYFUNCTION("""COMPUTED_VALUE"""),FALSE)</f>
        <v>0</v>
      </c>
      <c r="O1682" s="35">
        <f>IFERROR(__xludf.DUMMYFUNCTION("""COMPUTED_VALUE"""),37.0336551004435)</f>
        <v>37.0336551</v>
      </c>
      <c r="P1682" s="35">
        <f>IFERROR(__xludf.DUMMYFUNCTION("""COMPUTED_VALUE"""),5678.0)</f>
        <v>5678</v>
      </c>
      <c r="Q1682" s="35">
        <f>IFERROR(__xludf.DUMMYFUNCTION("""COMPUTED_VALUE"""),15332.0)</f>
        <v>15332</v>
      </c>
    </row>
    <row r="1683">
      <c r="A1683" s="35">
        <f>IFERROR(__xludf.DUMMYFUNCTION("""COMPUTED_VALUE"""),1822.0)</f>
        <v>1822</v>
      </c>
      <c r="B1683" s="35" t="str">
        <f>IFERROR(__xludf.DUMMYFUNCTION("""COMPUTED_VALUE"""),"Longest Palindromic Subsequence II")</f>
        <v>Longest Palindromic Subsequence II</v>
      </c>
      <c r="C1683" s="35" t="str">
        <f>IFERROR(__xludf.DUMMYFUNCTION("""COMPUTED_VALUE"""),"longest-palindromic-subsequence-ii")</f>
        <v>longest-palindromic-subsequence-ii</v>
      </c>
      <c r="D1683" s="35" t="b">
        <f>IFERROR(__xludf.DUMMYFUNCTION("""COMPUTED_VALUE"""),TRUE)</f>
        <v>1</v>
      </c>
      <c r="E1683" s="35" t="str">
        <f>IFERROR(__xludf.DUMMYFUNCTION("""COMPUTED_VALUE"""),"Medium")</f>
        <v>Medium</v>
      </c>
      <c r="F1683" s="35">
        <f>IFERROR(__xludf.DUMMYFUNCTION("""COMPUTED_VALUE"""),93.0)</f>
        <v>93</v>
      </c>
      <c r="G1683" s="35">
        <f>IFERROR(__xludf.DUMMYFUNCTION("""COMPUTED_VALUE"""),18.0)</f>
        <v>18</v>
      </c>
      <c r="H1683" s="35" t="str">
        <f>IFERROR(__xludf.DUMMYFUNCTION("""COMPUTED_VALUE"""),"Algorithms")</f>
        <v>Algorithms</v>
      </c>
      <c r="I1683" s="35">
        <f>IFERROR(__xludf.DUMMYFUNCTION("""COMPUTED_VALUE"""),0.508)</f>
        <v>0.508</v>
      </c>
      <c r="J1683" s="35">
        <f>IFERROR(__xludf.DUMMYFUNCTION("""COMPUTED_VALUE"""),1682.0)</f>
        <v>1682</v>
      </c>
      <c r="K1683" s="35" t="b">
        <f>IFERROR(__xludf.DUMMYFUNCTION("""COMPUTED_VALUE"""),TRUE)</f>
        <v>1</v>
      </c>
      <c r="L1683" s="35" t="str">
        <f>IFERROR(__xludf.DUMMYFUNCTION("""COMPUTED_VALUE"""),"String;Dynamic Programming;")</f>
        <v>String;Dynamic Programming;</v>
      </c>
      <c r="M1683" s="35" t="b">
        <f>IFERROR(__xludf.DUMMYFUNCTION("""COMPUTED_VALUE"""),FALSE)</f>
        <v>0</v>
      </c>
      <c r="N1683" s="35" t="b">
        <f>IFERROR(__xludf.DUMMYFUNCTION("""COMPUTED_VALUE"""),FALSE)</f>
        <v>0</v>
      </c>
      <c r="O1683" s="35">
        <f>IFERROR(__xludf.DUMMYFUNCTION("""COMPUTED_VALUE"""),50.8253549026081)</f>
        <v>50.8253549</v>
      </c>
      <c r="P1683" s="35">
        <f>IFERROR(__xludf.DUMMYFUNCTION("""COMPUTED_VALUE"""),3079.0)</f>
        <v>3079</v>
      </c>
      <c r="Q1683" s="35">
        <f>IFERROR(__xludf.DUMMYFUNCTION("""COMPUTED_VALUE"""),6058.0)</f>
        <v>6058</v>
      </c>
    </row>
    <row r="1684">
      <c r="A1684" s="35">
        <f>IFERROR(__xludf.DUMMYFUNCTION("""COMPUTED_VALUE"""),1827.0)</f>
        <v>1827</v>
      </c>
      <c r="B1684" s="35" t="str">
        <f>IFERROR(__xludf.DUMMYFUNCTION("""COMPUTED_VALUE"""),"Invalid Tweets")</f>
        <v>Invalid Tweets</v>
      </c>
      <c r="C1684" s="35" t="str">
        <f>IFERROR(__xludf.DUMMYFUNCTION("""COMPUTED_VALUE"""),"invalid-tweets")</f>
        <v>invalid-tweets</v>
      </c>
      <c r="D1684" s="35" t="b">
        <f>IFERROR(__xludf.DUMMYFUNCTION("""COMPUTED_VALUE"""),TRUE)</f>
        <v>1</v>
      </c>
      <c r="E1684" s="35" t="str">
        <f>IFERROR(__xludf.DUMMYFUNCTION("""COMPUTED_VALUE"""),"Easy")</f>
        <v>Easy</v>
      </c>
      <c r="F1684" s="35">
        <f>IFERROR(__xludf.DUMMYFUNCTION("""COMPUTED_VALUE"""),55.0)</f>
        <v>55</v>
      </c>
      <c r="G1684" s="35">
        <f>IFERROR(__xludf.DUMMYFUNCTION("""COMPUTED_VALUE"""),64.0)</f>
        <v>64</v>
      </c>
      <c r="H1684" s="35" t="str">
        <f>IFERROR(__xludf.DUMMYFUNCTION("""COMPUTED_VALUE"""),"Database")</f>
        <v>Database</v>
      </c>
      <c r="I1684" s="35">
        <f>IFERROR(__xludf.DUMMYFUNCTION("""COMPUTED_VALUE"""),0.909)</f>
        <v>0.909</v>
      </c>
      <c r="J1684" s="35">
        <f>IFERROR(__xludf.DUMMYFUNCTION("""COMPUTED_VALUE"""),1683.0)</f>
        <v>1683</v>
      </c>
      <c r="K1684" s="35" t="b">
        <f>IFERROR(__xludf.DUMMYFUNCTION("""COMPUTED_VALUE"""),TRUE)</f>
        <v>1</v>
      </c>
      <c r="L1684" s="35" t="str">
        <f>IFERROR(__xludf.DUMMYFUNCTION("""COMPUTED_VALUE"""),"Database;")</f>
        <v>Database;</v>
      </c>
      <c r="M1684" s="35" t="b">
        <f>IFERROR(__xludf.DUMMYFUNCTION("""COMPUTED_VALUE"""),FALSE)</f>
        <v>0</v>
      </c>
      <c r="N1684" s="35" t="b">
        <f>IFERROR(__xludf.DUMMYFUNCTION("""COMPUTED_VALUE"""),FALSE)</f>
        <v>0</v>
      </c>
      <c r="O1684" s="35">
        <f>IFERROR(__xludf.DUMMYFUNCTION("""COMPUTED_VALUE"""),90.9371044956804)</f>
        <v>90.9371045</v>
      </c>
      <c r="P1684" s="35">
        <f>IFERROR(__xludf.DUMMYFUNCTION("""COMPUTED_VALUE"""),16526.0)</f>
        <v>16526</v>
      </c>
      <c r="Q1684" s="35">
        <f>IFERROR(__xludf.DUMMYFUNCTION("""COMPUTED_VALUE"""),18173.0)</f>
        <v>18173</v>
      </c>
    </row>
    <row r="1685">
      <c r="A1685" s="35">
        <f>IFERROR(__xludf.DUMMYFUNCTION("""COMPUTED_VALUE"""),1786.0)</f>
        <v>1786</v>
      </c>
      <c r="B1685" s="35" t="str">
        <f>IFERROR(__xludf.DUMMYFUNCTION("""COMPUTED_VALUE"""),"Count the Number of Consistent Strings")</f>
        <v>Count the Number of Consistent Strings</v>
      </c>
      <c r="C1685" s="35" t="str">
        <f>IFERROR(__xludf.DUMMYFUNCTION("""COMPUTED_VALUE"""),"count-the-number-of-consistent-strings")</f>
        <v>count-the-number-of-consistent-strings</v>
      </c>
      <c r="D1685" s="35" t="b">
        <f>IFERROR(__xludf.DUMMYFUNCTION("""COMPUTED_VALUE"""),FALSE)</f>
        <v>0</v>
      </c>
      <c r="E1685" s="35" t="str">
        <f>IFERROR(__xludf.DUMMYFUNCTION("""COMPUTED_VALUE"""),"Easy")</f>
        <v>Easy</v>
      </c>
      <c r="F1685" s="35">
        <f>IFERROR(__xludf.DUMMYFUNCTION("""COMPUTED_VALUE"""),777.0)</f>
        <v>777</v>
      </c>
      <c r="G1685" s="35">
        <f>IFERROR(__xludf.DUMMYFUNCTION("""COMPUTED_VALUE"""),39.0)</f>
        <v>39</v>
      </c>
      <c r="H1685" s="35" t="str">
        <f>IFERROR(__xludf.DUMMYFUNCTION("""COMPUTED_VALUE"""),"Algorithms")</f>
        <v>Algorithms</v>
      </c>
      <c r="I1685" s="35">
        <f>IFERROR(__xludf.DUMMYFUNCTION("""COMPUTED_VALUE"""),0.818)</f>
        <v>0.818</v>
      </c>
      <c r="J1685" s="35">
        <f>IFERROR(__xludf.DUMMYFUNCTION("""COMPUTED_VALUE"""),1684.0)</f>
        <v>1684</v>
      </c>
      <c r="K1685" s="35" t="b">
        <f>IFERROR(__xludf.DUMMYFUNCTION("""COMPUTED_VALUE"""),FALSE)</f>
        <v>0</v>
      </c>
      <c r="L1685" s="35" t="str">
        <f>IFERROR(__xludf.DUMMYFUNCTION("""COMPUTED_VALUE"""),"Array;Hash Table;String;Bit Manipulation;")</f>
        <v>Array;Hash Table;String;Bit Manipulation;</v>
      </c>
      <c r="M1685" s="35" t="b">
        <f>IFERROR(__xludf.DUMMYFUNCTION("""COMPUTED_VALUE"""),FALSE)</f>
        <v>0</v>
      </c>
      <c r="N1685" s="35" t="b">
        <f>IFERROR(__xludf.DUMMYFUNCTION("""COMPUTED_VALUE"""),FALSE)</f>
        <v>0</v>
      </c>
      <c r="O1685" s="35">
        <f>IFERROR(__xludf.DUMMYFUNCTION("""COMPUTED_VALUE"""),81.7916918012003)</f>
        <v>81.7916918</v>
      </c>
      <c r="P1685" s="35">
        <f>IFERROR(__xludf.DUMMYFUNCTION("""COMPUTED_VALUE"""),79995.0)</f>
        <v>79995</v>
      </c>
      <c r="Q1685" s="35">
        <f>IFERROR(__xludf.DUMMYFUNCTION("""COMPUTED_VALUE"""),97804.0)</f>
        <v>97804</v>
      </c>
    </row>
    <row r="1686">
      <c r="A1686" s="35">
        <f>IFERROR(__xludf.DUMMYFUNCTION("""COMPUTED_VALUE"""),1787.0)</f>
        <v>1787</v>
      </c>
      <c r="B1686" s="35" t="str">
        <f>IFERROR(__xludf.DUMMYFUNCTION("""COMPUTED_VALUE"""),"Sum of Absolute Differences in a Sorted Array")</f>
        <v>Sum of Absolute Differences in a Sorted Array</v>
      </c>
      <c r="C1686" s="35" t="str">
        <f>IFERROR(__xludf.DUMMYFUNCTION("""COMPUTED_VALUE"""),"sum-of-absolute-differences-in-a-sorted-array")</f>
        <v>sum-of-absolute-differences-in-a-sorted-array</v>
      </c>
      <c r="D1686" s="35" t="b">
        <f>IFERROR(__xludf.DUMMYFUNCTION("""COMPUTED_VALUE"""),FALSE)</f>
        <v>0</v>
      </c>
      <c r="E1686" s="35" t="str">
        <f>IFERROR(__xludf.DUMMYFUNCTION("""COMPUTED_VALUE"""),"Medium")</f>
        <v>Medium</v>
      </c>
      <c r="F1686" s="35">
        <f>IFERROR(__xludf.DUMMYFUNCTION("""COMPUTED_VALUE"""),645.0)</f>
        <v>645</v>
      </c>
      <c r="G1686" s="35">
        <f>IFERROR(__xludf.DUMMYFUNCTION("""COMPUTED_VALUE"""),21.0)</f>
        <v>21</v>
      </c>
      <c r="H1686" s="35" t="str">
        <f>IFERROR(__xludf.DUMMYFUNCTION("""COMPUTED_VALUE"""),"Algorithms")</f>
        <v>Algorithms</v>
      </c>
      <c r="I1686" s="35">
        <f>IFERROR(__xludf.DUMMYFUNCTION("""COMPUTED_VALUE"""),0.656)</f>
        <v>0.656</v>
      </c>
      <c r="J1686" s="35">
        <f>IFERROR(__xludf.DUMMYFUNCTION("""COMPUTED_VALUE"""),1685.0)</f>
        <v>1685</v>
      </c>
      <c r="K1686" s="35" t="b">
        <f>IFERROR(__xludf.DUMMYFUNCTION("""COMPUTED_VALUE"""),FALSE)</f>
        <v>0</v>
      </c>
      <c r="L1686" s="35" t="str">
        <f>IFERROR(__xludf.DUMMYFUNCTION("""COMPUTED_VALUE"""),"Array;Math;Prefix Sum;")</f>
        <v>Array;Math;Prefix Sum;</v>
      </c>
      <c r="M1686" s="35" t="b">
        <f>IFERROR(__xludf.DUMMYFUNCTION("""COMPUTED_VALUE"""),FALSE)</f>
        <v>0</v>
      </c>
      <c r="N1686" s="35" t="b">
        <f>IFERROR(__xludf.DUMMYFUNCTION("""COMPUTED_VALUE"""),FALSE)</f>
        <v>0</v>
      </c>
      <c r="O1686" s="35">
        <f>IFERROR(__xludf.DUMMYFUNCTION("""COMPUTED_VALUE"""),65.590947191953)</f>
        <v>65.59094719</v>
      </c>
      <c r="P1686" s="35">
        <f>IFERROR(__xludf.DUMMYFUNCTION("""COMPUTED_VALUE"""),18778.0)</f>
        <v>18778</v>
      </c>
      <c r="Q1686" s="35">
        <f>IFERROR(__xludf.DUMMYFUNCTION("""COMPUTED_VALUE"""),28628.0)</f>
        <v>28628</v>
      </c>
    </row>
    <row r="1687">
      <c r="A1687" s="35">
        <f>IFERROR(__xludf.DUMMYFUNCTION("""COMPUTED_VALUE"""),1788.0)</f>
        <v>1788</v>
      </c>
      <c r="B1687" s="35" t="str">
        <f>IFERROR(__xludf.DUMMYFUNCTION("""COMPUTED_VALUE"""),"Stone Game VI")</f>
        <v>Stone Game VI</v>
      </c>
      <c r="C1687" s="35" t="str">
        <f>IFERROR(__xludf.DUMMYFUNCTION("""COMPUTED_VALUE"""),"stone-game-vi")</f>
        <v>stone-game-vi</v>
      </c>
      <c r="D1687" s="35" t="b">
        <f>IFERROR(__xludf.DUMMYFUNCTION("""COMPUTED_VALUE"""),FALSE)</f>
        <v>0</v>
      </c>
      <c r="E1687" s="35" t="str">
        <f>IFERROR(__xludf.DUMMYFUNCTION("""COMPUTED_VALUE"""),"Medium")</f>
        <v>Medium</v>
      </c>
      <c r="F1687" s="35">
        <f>IFERROR(__xludf.DUMMYFUNCTION("""COMPUTED_VALUE"""),443.0)</f>
        <v>443</v>
      </c>
      <c r="G1687" s="35">
        <f>IFERROR(__xludf.DUMMYFUNCTION("""COMPUTED_VALUE"""),37.0)</f>
        <v>37</v>
      </c>
      <c r="H1687" s="35" t="str">
        <f>IFERROR(__xludf.DUMMYFUNCTION("""COMPUTED_VALUE"""),"Algorithms")</f>
        <v>Algorithms</v>
      </c>
      <c r="I1687" s="35">
        <f>IFERROR(__xludf.DUMMYFUNCTION("""COMPUTED_VALUE"""),0.535)</f>
        <v>0.535</v>
      </c>
      <c r="J1687" s="35">
        <f>IFERROR(__xludf.DUMMYFUNCTION("""COMPUTED_VALUE"""),1686.0)</f>
        <v>1686</v>
      </c>
      <c r="K1687" s="35" t="b">
        <f>IFERROR(__xludf.DUMMYFUNCTION("""COMPUTED_VALUE"""),FALSE)</f>
        <v>0</v>
      </c>
      <c r="L1687" s="35" t="str">
        <f>IFERROR(__xludf.DUMMYFUNCTION("""COMPUTED_VALUE"""),"Array;Math;Greedy;Sorting;Heap (Priority Queue);Game Theory;")</f>
        <v>Array;Math;Greedy;Sorting;Heap (Priority Queue);Game Theory;</v>
      </c>
      <c r="M1687" s="35" t="b">
        <f>IFERROR(__xludf.DUMMYFUNCTION("""COMPUTED_VALUE"""),FALSE)</f>
        <v>0</v>
      </c>
      <c r="N1687" s="35" t="b">
        <f>IFERROR(__xludf.DUMMYFUNCTION("""COMPUTED_VALUE"""),FALSE)</f>
        <v>0</v>
      </c>
      <c r="O1687" s="35">
        <f>IFERROR(__xludf.DUMMYFUNCTION("""COMPUTED_VALUE"""),53.4931789995866)</f>
        <v>53.493179</v>
      </c>
      <c r="P1687" s="35">
        <f>IFERROR(__xludf.DUMMYFUNCTION("""COMPUTED_VALUE"""),10352.0)</f>
        <v>10352</v>
      </c>
      <c r="Q1687" s="35">
        <f>IFERROR(__xludf.DUMMYFUNCTION("""COMPUTED_VALUE"""),19352.0)</f>
        <v>19352</v>
      </c>
    </row>
    <row r="1688">
      <c r="A1688" s="35">
        <f>IFERROR(__xludf.DUMMYFUNCTION("""COMPUTED_VALUE"""),1789.0)</f>
        <v>1789</v>
      </c>
      <c r="B1688" s="35" t="str">
        <f>IFERROR(__xludf.DUMMYFUNCTION("""COMPUTED_VALUE"""),"Delivering Boxes from Storage to Ports")</f>
        <v>Delivering Boxes from Storage to Ports</v>
      </c>
      <c r="C1688" s="35" t="str">
        <f>IFERROR(__xludf.DUMMYFUNCTION("""COMPUTED_VALUE"""),"delivering-boxes-from-storage-to-ports")</f>
        <v>delivering-boxes-from-storage-to-ports</v>
      </c>
      <c r="D1688" s="35" t="b">
        <f>IFERROR(__xludf.DUMMYFUNCTION("""COMPUTED_VALUE"""),FALSE)</f>
        <v>0</v>
      </c>
      <c r="E1688" s="35" t="str">
        <f>IFERROR(__xludf.DUMMYFUNCTION("""COMPUTED_VALUE"""),"Hard")</f>
        <v>Hard</v>
      </c>
      <c r="F1688" s="35">
        <f>IFERROR(__xludf.DUMMYFUNCTION("""COMPUTED_VALUE"""),227.0)</f>
        <v>227</v>
      </c>
      <c r="G1688" s="35">
        <f>IFERROR(__xludf.DUMMYFUNCTION("""COMPUTED_VALUE"""),14.0)</f>
        <v>14</v>
      </c>
      <c r="H1688" s="35" t="str">
        <f>IFERROR(__xludf.DUMMYFUNCTION("""COMPUTED_VALUE"""),"Algorithms")</f>
        <v>Algorithms</v>
      </c>
      <c r="I1688" s="35">
        <f>IFERROR(__xludf.DUMMYFUNCTION("""COMPUTED_VALUE"""),0.369)</f>
        <v>0.369</v>
      </c>
      <c r="J1688" s="35">
        <f>IFERROR(__xludf.DUMMYFUNCTION("""COMPUTED_VALUE"""),1687.0)</f>
        <v>1687</v>
      </c>
      <c r="K1688" s="35" t="b">
        <f>IFERROR(__xludf.DUMMYFUNCTION("""COMPUTED_VALUE"""),FALSE)</f>
        <v>0</v>
      </c>
      <c r="L1688" s="35" t="str">
        <f>IFERROR(__xludf.DUMMYFUNCTION("""COMPUTED_VALUE"""),"Array;Dynamic Programming;Segment Tree;Queue;Heap (Priority Queue);Monotonic Queue;")</f>
        <v>Array;Dynamic Programming;Segment Tree;Queue;Heap (Priority Queue);Monotonic Queue;</v>
      </c>
      <c r="M1688" s="35" t="b">
        <f>IFERROR(__xludf.DUMMYFUNCTION("""COMPUTED_VALUE"""),FALSE)</f>
        <v>0</v>
      </c>
      <c r="N1688" s="35" t="b">
        <f>IFERROR(__xludf.DUMMYFUNCTION("""COMPUTED_VALUE"""),FALSE)</f>
        <v>0</v>
      </c>
      <c r="O1688" s="35">
        <f>IFERROR(__xludf.DUMMYFUNCTION("""COMPUTED_VALUE"""),36.8703683814842)</f>
        <v>36.87036838</v>
      </c>
      <c r="P1688" s="35">
        <f>IFERROR(__xludf.DUMMYFUNCTION("""COMPUTED_VALUE"""),3433.0)</f>
        <v>3433</v>
      </c>
      <c r="Q1688" s="35">
        <f>IFERROR(__xludf.DUMMYFUNCTION("""COMPUTED_VALUE"""),9311.0)</f>
        <v>9311</v>
      </c>
    </row>
    <row r="1689">
      <c r="A1689" s="35">
        <f>IFERROR(__xludf.DUMMYFUNCTION("""COMPUTED_VALUE"""),1806.0)</f>
        <v>1806</v>
      </c>
      <c r="B1689" s="35" t="str">
        <f>IFERROR(__xludf.DUMMYFUNCTION("""COMPUTED_VALUE"""),"Count of Matches in Tournament")</f>
        <v>Count of Matches in Tournament</v>
      </c>
      <c r="C1689" s="35" t="str">
        <f>IFERROR(__xludf.DUMMYFUNCTION("""COMPUTED_VALUE"""),"count-of-matches-in-tournament")</f>
        <v>count-of-matches-in-tournament</v>
      </c>
      <c r="D1689" s="35" t="b">
        <f>IFERROR(__xludf.DUMMYFUNCTION("""COMPUTED_VALUE"""),FALSE)</f>
        <v>0</v>
      </c>
      <c r="E1689" s="35" t="str">
        <f>IFERROR(__xludf.DUMMYFUNCTION("""COMPUTED_VALUE"""),"Easy")</f>
        <v>Easy</v>
      </c>
      <c r="F1689" s="35">
        <f>IFERROR(__xludf.DUMMYFUNCTION("""COMPUTED_VALUE"""),551.0)</f>
        <v>551</v>
      </c>
      <c r="G1689" s="35">
        <f>IFERROR(__xludf.DUMMYFUNCTION("""COMPUTED_VALUE"""),104.0)</f>
        <v>104</v>
      </c>
      <c r="H1689" s="35" t="str">
        <f>IFERROR(__xludf.DUMMYFUNCTION("""COMPUTED_VALUE"""),"Algorithms")</f>
        <v>Algorithms</v>
      </c>
      <c r="I1689" s="35">
        <f>IFERROR(__xludf.DUMMYFUNCTION("""COMPUTED_VALUE"""),0.826)</f>
        <v>0.826</v>
      </c>
      <c r="J1689" s="35">
        <f>IFERROR(__xludf.DUMMYFUNCTION("""COMPUTED_VALUE"""),1688.0)</f>
        <v>1688</v>
      </c>
      <c r="K1689" s="35" t="b">
        <f>IFERROR(__xludf.DUMMYFUNCTION("""COMPUTED_VALUE"""),FALSE)</f>
        <v>0</v>
      </c>
      <c r="L1689" s="35" t="str">
        <f>IFERROR(__xludf.DUMMYFUNCTION("""COMPUTED_VALUE"""),"Math;Simulation;")</f>
        <v>Math;Simulation;</v>
      </c>
      <c r="M1689" s="35" t="b">
        <f>IFERROR(__xludf.DUMMYFUNCTION("""COMPUTED_VALUE"""),FALSE)</f>
        <v>0</v>
      </c>
      <c r="N1689" s="35" t="b">
        <f>IFERROR(__xludf.DUMMYFUNCTION("""COMPUTED_VALUE"""),FALSE)</f>
        <v>0</v>
      </c>
      <c r="O1689" s="35">
        <f>IFERROR(__xludf.DUMMYFUNCTION("""COMPUTED_VALUE"""),82.601642897001)</f>
        <v>82.6016429</v>
      </c>
      <c r="P1689" s="35">
        <f>IFERROR(__xludf.DUMMYFUNCTION("""COMPUTED_VALUE"""),63652.0)</f>
        <v>63652</v>
      </c>
      <c r="Q1689" s="35">
        <f>IFERROR(__xludf.DUMMYFUNCTION("""COMPUTED_VALUE"""),77059.0)</f>
        <v>77059</v>
      </c>
    </row>
    <row r="1690">
      <c r="A1690" s="35">
        <f>IFERROR(__xludf.DUMMYFUNCTION("""COMPUTED_VALUE"""),1807.0)</f>
        <v>1807</v>
      </c>
      <c r="B1690" s="35" t="str">
        <f>IFERROR(__xludf.DUMMYFUNCTION("""COMPUTED_VALUE"""),"Partitioning Into Minimum Number Of Deci-Binary Numbers")</f>
        <v>Partitioning Into Minimum Number Of Deci-Binary Numbers</v>
      </c>
      <c r="C1690" s="35" t="str">
        <f>IFERROR(__xludf.DUMMYFUNCTION("""COMPUTED_VALUE"""),"partitioning-into-minimum-number-of-deci-binary-numbers")</f>
        <v>partitioning-into-minimum-number-of-deci-binary-numbers</v>
      </c>
      <c r="D1690" s="35" t="b">
        <f>IFERROR(__xludf.DUMMYFUNCTION("""COMPUTED_VALUE"""),FALSE)</f>
        <v>0</v>
      </c>
      <c r="E1690" s="35" t="str">
        <f>IFERROR(__xludf.DUMMYFUNCTION("""COMPUTED_VALUE"""),"Medium")</f>
        <v>Medium</v>
      </c>
      <c r="F1690" s="35">
        <f>IFERROR(__xludf.DUMMYFUNCTION("""COMPUTED_VALUE"""),751.0)</f>
        <v>751</v>
      </c>
      <c r="G1690" s="35">
        <f>IFERROR(__xludf.DUMMYFUNCTION("""COMPUTED_VALUE"""),537.0)</f>
        <v>537</v>
      </c>
      <c r="H1690" s="35" t="str">
        <f>IFERROR(__xludf.DUMMYFUNCTION("""COMPUTED_VALUE"""),"Algorithms")</f>
        <v>Algorithms</v>
      </c>
      <c r="I1690" s="35">
        <f>IFERROR(__xludf.DUMMYFUNCTION("""COMPUTED_VALUE"""),0.878)</f>
        <v>0.878</v>
      </c>
      <c r="J1690" s="35">
        <f>IFERROR(__xludf.DUMMYFUNCTION("""COMPUTED_VALUE"""),1689.0)</f>
        <v>1689</v>
      </c>
      <c r="K1690" s="35" t="b">
        <f>IFERROR(__xludf.DUMMYFUNCTION("""COMPUTED_VALUE"""),FALSE)</f>
        <v>0</v>
      </c>
      <c r="L1690" s="35" t="str">
        <f>IFERROR(__xludf.DUMMYFUNCTION("""COMPUTED_VALUE"""),"String;Greedy;")</f>
        <v>String;Greedy;</v>
      </c>
      <c r="M1690" s="35" t="b">
        <f>IFERROR(__xludf.DUMMYFUNCTION("""COMPUTED_VALUE"""),TRUE)</f>
        <v>1</v>
      </c>
      <c r="N1690" s="35" t="b">
        <f>IFERROR(__xludf.DUMMYFUNCTION("""COMPUTED_VALUE"""),FALSE)</f>
        <v>0</v>
      </c>
      <c r="O1690" s="35">
        <f>IFERROR(__xludf.DUMMYFUNCTION("""COMPUTED_VALUE"""),87.7855834939023)</f>
        <v>87.78558349</v>
      </c>
      <c r="P1690" s="35">
        <f>IFERROR(__xludf.DUMMYFUNCTION("""COMPUTED_VALUE"""),73350.0)</f>
        <v>73350</v>
      </c>
      <c r="Q1690" s="35">
        <f>IFERROR(__xludf.DUMMYFUNCTION("""COMPUTED_VALUE"""),83556.0)</f>
        <v>83556</v>
      </c>
    </row>
    <row r="1691">
      <c r="A1691" s="35">
        <f>IFERROR(__xludf.DUMMYFUNCTION("""COMPUTED_VALUE"""),1808.0)</f>
        <v>1808</v>
      </c>
      <c r="B1691" s="35" t="str">
        <f>IFERROR(__xludf.DUMMYFUNCTION("""COMPUTED_VALUE"""),"Stone Game VII")</f>
        <v>Stone Game VII</v>
      </c>
      <c r="C1691" s="35" t="str">
        <f>IFERROR(__xludf.DUMMYFUNCTION("""COMPUTED_VALUE"""),"stone-game-vii")</f>
        <v>stone-game-vii</v>
      </c>
      <c r="D1691" s="35" t="b">
        <f>IFERROR(__xludf.DUMMYFUNCTION("""COMPUTED_VALUE"""),FALSE)</f>
        <v>0</v>
      </c>
      <c r="E1691" s="35" t="str">
        <f>IFERROR(__xludf.DUMMYFUNCTION("""COMPUTED_VALUE"""),"Medium")</f>
        <v>Medium</v>
      </c>
      <c r="F1691" s="35">
        <f>IFERROR(__xludf.DUMMYFUNCTION("""COMPUTED_VALUE"""),630.0)</f>
        <v>630</v>
      </c>
      <c r="G1691" s="35">
        <f>IFERROR(__xludf.DUMMYFUNCTION("""COMPUTED_VALUE"""),125.0)</f>
        <v>125</v>
      </c>
      <c r="H1691" s="35" t="str">
        <f>IFERROR(__xludf.DUMMYFUNCTION("""COMPUTED_VALUE"""),"Algorithms")</f>
        <v>Algorithms</v>
      </c>
      <c r="I1691" s="35">
        <f>IFERROR(__xludf.DUMMYFUNCTION("""COMPUTED_VALUE"""),0.587)</f>
        <v>0.587</v>
      </c>
      <c r="J1691" s="35">
        <f>IFERROR(__xludf.DUMMYFUNCTION("""COMPUTED_VALUE"""),1690.0)</f>
        <v>1690</v>
      </c>
      <c r="K1691" s="35" t="b">
        <f>IFERROR(__xludf.DUMMYFUNCTION("""COMPUTED_VALUE"""),FALSE)</f>
        <v>0</v>
      </c>
      <c r="L1691" s="35" t="str">
        <f>IFERROR(__xludf.DUMMYFUNCTION("""COMPUTED_VALUE"""),"Array;Math;Dynamic Programming;Game Theory;")</f>
        <v>Array;Math;Dynamic Programming;Game Theory;</v>
      </c>
      <c r="M1691" s="35" t="b">
        <f>IFERROR(__xludf.DUMMYFUNCTION("""COMPUTED_VALUE"""),TRUE)</f>
        <v>1</v>
      </c>
      <c r="N1691" s="35" t="b">
        <f>IFERROR(__xludf.DUMMYFUNCTION("""COMPUTED_VALUE"""),FALSE)</f>
        <v>0</v>
      </c>
      <c r="O1691" s="35">
        <f>IFERROR(__xludf.DUMMYFUNCTION("""COMPUTED_VALUE"""),58.6916701012043)</f>
        <v>58.6916701</v>
      </c>
      <c r="P1691" s="35">
        <f>IFERROR(__xludf.DUMMYFUNCTION("""COMPUTED_VALUE"""),25633.0)</f>
        <v>25633</v>
      </c>
      <c r="Q1691" s="35">
        <f>IFERROR(__xludf.DUMMYFUNCTION("""COMPUTED_VALUE"""),43674.0)</f>
        <v>43674</v>
      </c>
    </row>
    <row r="1692">
      <c r="A1692" s="35">
        <f>IFERROR(__xludf.DUMMYFUNCTION("""COMPUTED_VALUE"""),1367.0)</f>
        <v>1367</v>
      </c>
      <c r="B1692" s="35" t="str">
        <f>IFERROR(__xludf.DUMMYFUNCTION("""COMPUTED_VALUE"""),"Maximum Height by Stacking Cuboids ")</f>
        <v>Maximum Height by Stacking Cuboids </v>
      </c>
      <c r="C1692" s="35" t="str">
        <f>IFERROR(__xludf.DUMMYFUNCTION("""COMPUTED_VALUE"""),"maximum-height-by-stacking-cuboids")</f>
        <v>maximum-height-by-stacking-cuboids</v>
      </c>
      <c r="D1692" s="35" t="b">
        <f>IFERROR(__xludf.DUMMYFUNCTION("""COMPUTED_VALUE"""),FALSE)</f>
        <v>0</v>
      </c>
      <c r="E1692" s="35" t="str">
        <f>IFERROR(__xludf.DUMMYFUNCTION("""COMPUTED_VALUE"""),"Hard")</f>
        <v>Hard</v>
      </c>
      <c r="F1692" s="35">
        <f>IFERROR(__xludf.DUMMYFUNCTION("""COMPUTED_VALUE"""),453.0)</f>
        <v>453</v>
      </c>
      <c r="G1692" s="35">
        <f>IFERROR(__xludf.DUMMYFUNCTION("""COMPUTED_VALUE"""),14.0)</f>
        <v>14</v>
      </c>
      <c r="H1692" s="35" t="str">
        <f>IFERROR(__xludf.DUMMYFUNCTION("""COMPUTED_VALUE"""),"Algorithms")</f>
        <v>Algorithms</v>
      </c>
      <c r="I1692" s="35">
        <f>IFERROR(__xludf.DUMMYFUNCTION("""COMPUTED_VALUE"""),0.536)</f>
        <v>0.536</v>
      </c>
      <c r="J1692" s="35">
        <f>IFERROR(__xludf.DUMMYFUNCTION("""COMPUTED_VALUE"""),1691.0)</f>
        <v>1691</v>
      </c>
      <c r="K1692" s="35" t="b">
        <f>IFERROR(__xludf.DUMMYFUNCTION("""COMPUTED_VALUE"""),FALSE)</f>
        <v>0</v>
      </c>
      <c r="L1692" s="35" t="str">
        <f>IFERROR(__xludf.DUMMYFUNCTION("""COMPUTED_VALUE"""),"Array;Dynamic Programming;Sorting;")</f>
        <v>Array;Dynamic Programming;Sorting;</v>
      </c>
      <c r="M1692" s="35" t="b">
        <f>IFERROR(__xludf.DUMMYFUNCTION("""COMPUTED_VALUE"""),FALSE)</f>
        <v>0</v>
      </c>
      <c r="N1692" s="35" t="b">
        <f>IFERROR(__xludf.DUMMYFUNCTION("""COMPUTED_VALUE"""),FALSE)</f>
        <v>0</v>
      </c>
      <c r="O1692" s="35">
        <f>IFERROR(__xludf.DUMMYFUNCTION("""COMPUTED_VALUE"""),53.5562467599792)</f>
        <v>53.55624676</v>
      </c>
      <c r="P1692" s="35">
        <f>IFERROR(__xludf.DUMMYFUNCTION("""COMPUTED_VALUE"""),10331.0)</f>
        <v>10331</v>
      </c>
      <c r="Q1692" s="35">
        <f>IFERROR(__xludf.DUMMYFUNCTION("""COMPUTED_VALUE"""),19290.0)</f>
        <v>19290</v>
      </c>
    </row>
    <row r="1693">
      <c r="A1693" s="35">
        <f>IFERROR(__xludf.DUMMYFUNCTION("""COMPUTED_VALUE"""),1828.0)</f>
        <v>1828</v>
      </c>
      <c r="B1693" s="35" t="str">
        <f>IFERROR(__xludf.DUMMYFUNCTION("""COMPUTED_VALUE"""),"Count Ways to Distribute Candies")</f>
        <v>Count Ways to Distribute Candies</v>
      </c>
      <c r="C1693" s="35" t="str">
        <f>IFERROR(__xludf.DUMMYFUNCTION("""COMPUTED_VALUE"""),"count-ways-to-distribute-candies")</f>
        <v>count-ways-to-distribute-candies</v>
      </c>
      <c r="D1693" s="35" t="b">
        <f>IFERROR(__xludf.DUMMYFUNCTION("""COMPUTED_VALUE"""),TRUE)</f>
        <v>1</v>
      </c>
      <c r="E1693" s="35" t="str">
        <f>IFERROR(__xludf.DUMMYFUNCTION("""COMPUTED_VALUE"""),"Hard")</f>
        <v>Hard</v>
      </c>
      <c r="F1693" s="35">
        <f>IFERROR(__xludf.DUMMYFUNCTION("""COMPUTED_VALUE"""),38.0)</f>
        <v>38</v>
      </c>
      <c r="G1693" s="35">
        <f>IFERROR(__xludf.DUMMYFUNCTION("""COMPUTED_VALUE"""),5.0)</f>
        <v>5</v>
      </c>
      <c r="H1693" s="35" t="str">
        <f>IFERROR(__xludf.DUMMYFUNCTION("""COMPUTED_VALUE"""),"Algorithms")</f>
        <v>Algorithms</v>
      </c>
      <c r="I1693" s="35">
        <f>IFERROR(__xludf.DUMMYFUNCTION("""COMPUTED_VALUE"""),0.607)</f>
        <v>0.607</v>
      </c>
      <c r="J1693" s="35">
        <f>IFERROR(__xludf.DUMMYFUNCTION("""COMPUTED_VALUE"""),1692.0)</f>
        <v>1692</v>
      </c>
      <c r="K1693" s="35" t="b">
        <f>IFERROR(__xludf.DUMMYFUNCTION("""COMPUTED_VALUE"""),TRUE)</f>
        <v>1</v>
      </c>
      <c r="L1693" s="35" t="str">
        <f>IFERROR(__xludf.DUMMYFUNCTION("""COMPUTED_VALUE"""),"Dynamic Programming;")</f>
        <v>Dynamic Programming;</v>
      </c>
      <c r="M1693" s="35" t="b">
        <f>IFERROR(__xludf.DUMMYFUNCTION("""COMPUTED_VALUE"""),FALSE)</f>
        <v>0</v>
      </c>
      <c r="N1693" s="35" t="b">
        <f>IFERROR(__xludf.DUMMYFUNCTION("""COMPUTED_VALUE"""),FALSE)</f>
        <v>0</v>
      </c>
      <c r="O1693" s="35">
        <f>IFERROR(__xludf.DUMMYFUNCTION("""COMPUTED_VALUE"""),60.7364685004436)</f>
        <v>60.7364685</v>
      </c>
      <c r="P1693" s="35">
        <f>IFERROR(__xludf.DUMMYFUNCTION("""COMPUTED_VALUE"""),1369.0)</f>
        <v>1369</v>
      </c>
      <c r="Q1693" s="35">
        <f>IFERROR(__xludf.DUMMYFUNCTION("""COMPUTED_VALUE"""),2254.0)</f>
        <v>2254</v>
      </c>
    </row>
    <row r="1694">
      <c r="A1694" s="35">
        <f>IFERROR(__xludf.DUMMYFUNCTION("""COMPUTED_VALUE"""),1837.0)</f>
        <v>1837</v>
      </c>
      <c r="B1694" s="35" t="str">
        <f>IFERROR(__xludf.DUMMYFUNCTION("""COMPUTED_VALUE"""),"Daily Leads and Partners")</f>
        <v>Daily Leads and Partners</v>
      </c>
      <c r="C1694" s="35" t="str">
        <f>IFERROR(__xludf.DUMMYFUNCTION("""COMPUTED_VALUE"""),"daily-leads-and-partners")</f>
        <v>daily-leads-and-partners</v>
      </c>
      <c r="D1694" s="35" t="b">
        <f>IFERROR(__xludf.DUMMYFUNCTION("""COMPUTED_VALUE"""),TRUE)</f>
        <v>1</v>
      </c>
      <c r="E1694" s="35" t="str">
        <f>IFERROR(__xludf.DUMMYFUNCTION("""COMPUTED_VALUE"""),"Easy")</f>
        <v>Easy</v>
      </c>
      <c r="F1694" s="35">
        <f>IFERROR(__xludf.DUMMYFUNCTION("""COMPUTED_VALUE"""),60.0)</f>
        <v>60</v>
      </c>
      <c r="G1694" s="35">
        <f>IFERROR(__xludf.DUMMYFUNCTION("""COMPUTED_VALUE"""),9.0)</f>
        <v>9</v>
      </c>
      <c r="H1694" s="35" t="str">
        <f>IFERROR(__xludf.DUMMYFUNCTION("""COMPUTED_VALUE"""),"Database")</f>
        <v>Database</v>
      </c>
      <c r="I1694" s="35">
        <f>IFERROR(__xludf.DUMMYFUNCTION("""COMPUTED_VALUE"""),0.914)</f>
        <v>0.914</v>
      </c>
      <c r="J1694" s="35">
        <f>IFERROR(__xludf.DUMMYFUNCTION("""COMPUTED_VALUE"""),1693.0)</f>
        <v>1693</v>
      </c>
      <c r="K1694" s="35" t="b">
        <f>IFERROR(__xludf.DUMMYFUNCTION("""COMPUTED_VALUE"""),TRUE)</f>
        <v>1</v>
      </c>
      <c r="L1694" s="35" t="str">
        <f>IFERROR(__xludf.DUMMYFUNCTION("""COMPUTED_VALUE"""),"Database;")</f>
        <v>Database;</v>
      </c>
      <c r="M1694" s="35" t="b">
        <f>IFERROR(__xludf.DUMMYFUNCTION("""COMPUTED_VALUE"""),FALSE)</f>
        <v>0</v>
      </c>
      <c r="N1694" s="35" t="b">
        <f>IFERROR(__xludf.DUMMYFUNCTION("""COMPUTED_VALUE"""),FALSE)</f>
        <v>0</v>
      </c>
      <c r="O1694" s="35">
        <f>IFERROR(__xludf.DUMMYFUNCTION("""COMPUTED_VALUE"""),91.4142798410305)</f>
        <v>91.41427984</v>
      </c>
      <c r="P1694" s="35">
        <f>IFERROR(__xludf.DUMMYFUNCTION("""COMPUTED_VALUE"""),13341.0)</f>
        <v>13341</v>
      </c>
      <c r="Q1694" s="35">
        <f>IFERROR(__xludf.DUMMYFUNCTION("""COMPUTED_VALUE"""),14594.0)</f>
        <v>14594</v>
      </c>
    </row>
    <row r="1695">
      <c r="A1695" s="35">
        <f>IFERROR(__xludf.DUMMYFUNCTION("""COMPUTED_VALUE"""),1812.0)</f>
        <v>1812</v>
      </c>
      <c r="B1695" s="35" t="str">
        <f>IFERROR(__xludf.DUMMYFUNCTION("""COMPUTED_VALUE"""),"Reformat Phone Number")</f>
        <v>Reformat Phone Number</v>
      </c>
      <c r="C1695" s="35" t="str">
        <f>IFERROR(__xludf.DUMMYFUNCTION("""COMPUTED_VALUE"""),"reformat-phone-number")</f>
        <v>reformat-phone-number</v>
      </c>
      <c r="D1695" s="35" t="b">
        <f>IFERROR(__xludf.DUMMYFUNCTION("""COMPUTED_VALUE"""),FALSE)</f>
        <v>0</v>
      </c>
      <c r="E1695" s="35" t="str">
        <f>IFERROR(__xludf.DUMMYFUNCTION("""COMPUTED_VALUE"""),"Easy")</f>
        <v>Easy</v>
      </c>
      <c r="F1695" s="35">
        <f>IFERROR(__xludf.DUMMYFUNCTION("""COMPUTED_VALUE"""),195.0)</f>
        <v>195</v>
      </c>
      <c r="G1695" s="35">
        <f>IFERROR(__xludf.DUMMYFUNCTION("""COMPUTED_VALUE"""),153.0)</f>
        <v>153</v>
      </c>
      <c r="H1695" s="35" t="str">
        <f>IFERROR(__xludf.DUMMYFUNCTION("""COMPUTED_VALUE"""),"Algorithms")</f>
        <v>Algorithms</v>
      </c>
      <c r="I1695" s="35">
        <f>IFERROR(__xludf.DUMMYFUNCTION("""COMPUTED_VALUE"""),0.652)</f>
        <v>0.652</v>
      </c>
      <c r="J1695" s="35">
        <f>IFERROR(__xludf.DUMMYFUNCTION("""COMPUTED_VALUE"""),1694.0)</f>
        <v>1694</v>
      </c>
      <c r="K1695" s="35" t="b">
        <f>IFERROR(__xludf.DUMMYFUNCTION("""COMPUTED_VALUE"""),FALSE)</f>
        <v>0</v>
      </c>
      <c r="L1695" s="35" t="str">
        <f>IFERROR(__xludf.DUMMYFUNCTION("""COMPUTED_VALUE"""),"String;")</f>
        <v>String;</v>
      </c>
      <c r="M1695" s="35" t="b">
        <f>IFERROR(__xludf.DUMMYFUNCTION("""COMPUTED_VALUE"""),FALSE)</f>
        <v>0</v>
      </c>
      <c r="N1695" s="35" t="b">
        <f>IFERROR(__xludf.DUMMYFUNCTION("""COMPUTED_VALUE"""),FALSE)</f>
        <v>0</v>
      </c>
      <c r="O1695" s="35">
        <f>IFERROR(__xludf.DUMMYFUNCTION("""COMPUTED_VALUE"""),65.1575294934073)</f>
        <v>65.15752949</v>
      </c>
      <c r="P1695" s="35">
        <f>IFERROR(__xludf.DUMMYFUNCTION("""COMPUTED_VALUE"""),23473.0)</f>
        <v>23473</v>
      </c>
      <c r="Q1695" s="35">
        <f>IFERROR(__xludf.DUMMYFUNCTION("""COMPUTED_VALUE"""),36025.0)</f>
        <v>36025</v>
      </c>
    </row>
    <row r="1696">
      <c r="A1696" s="35">
        <f>IFERROR(__xludf.DUMMYFUNCTION("""COMPUTED_VALUE"""),1813.0)</f>
        <v>1813</v>
      </c>
      <c r="B1696" s="35" t="str">
        <f>IFERROR(__xludf.DUMMYFUNCTION("""COMPUTED_VALUE"""),"Maximum Erasure Value")</f>
        <v>Maximum Erasure Value</v>
      </c>
      <c r="C1696" s="35" t="str">
        <f>IFERROR(__xludf.DUMMYFUNCTION("""COMPUTED_VALUE"""),"maximum-erasure-value")</f>
        <v>maximum-erasure-value</v>
      </c>
      <c r="D1696" s="35" t="b">
        <f>IFERROR(__xludf.DUMMYFUNCTION("""COMPUTED_VALUE"""),FALSE)</f>
        <v>0</v>
      </c>
      <c r="E1696" s="35" t="str">
        <f>IFERROR(__xludf.DUMMYFUNCTION("""COMPUTED_VALUE"""),"Medium")</f>
        <v>Medium</v>
      </c>
      <c r="F1696" s="35">
        <f>IFERROR(__xludf.DUMMYFUNCTION("""COMPUTED_VALUE"""),791.0)</f>
        <v>791</v>
      </c>
      <c r="G1696" s="35">
        <f>IFERROR(__xludf.DUMMYFUNCTION("""COMPUTED_VALUE"""),13.0)</f>
        <v>13</v>
      </c>
      <c r="H1696" s="35" t="str">
        <f>IFERROR(__xludf.DUMMYFUNCTION("""COMPUTED_VALUE"""),"Algorithms")</f>
        <v>Algorithms</v>
      </c>
      <c r="I1696" s="35">
        <f>IFERROR(__xludf.DUMMYFUNCTION("""COMPUTED_VALUE"""),0.523)</f>
        <v>0.523</v>
      </c>
      <c r="J1696" s="35">
        <f>IFERROR(__xludf.DUMMYFUNCTION("""COMPUTED_VALUE"""),1695.0)</f>
        <v>1695</v>
      </c>
      <c r="K1696" s="35" t="b">
        <f>IFERROR(__xludf.DUMMYFUNCTION("""COMPUTED_VALUE"""),FALSE)</f>
        <v>0</v>
      </c>
      <c r="L1696" s="35" t="str">
        <f>IFERROR(__xludf.DUMMYFUNCTION("""COMPUTED_VALUE"""),"Array;Hash Table;Sliding Window;")</f>
        <v>Array;Hash Table;Sliding Window;</v>
      </c>
      <c r="M1696" s="35" t="b">
        <f>IFERROR(__xludf.DUMMYFUNCTION("""COMPUTED_VALUE"""),TRUE)</f>
        <v>1</v>
      </c>
      <c r="N1696" s="35" t="b">
        <f>IFERROR(__xludf.DUMMYFUNCTION("""COMPUTED_VALUE"""),FALSE)</f>
        <v>0</v>
      </c>
      <c r="O1696" s="35">
        <f>IFERROR(__xludf.DUMMYFUNCTION("""COMPUTED_VALUE"""),52.347186658788)</f>
        <v>52.34718666</v>
      </c>
      <c r="P1696" s="35">
        <f>IFERROR(__xludf.DUMMYFUNCTION("""COMPUTED_VALUE"""),39862.0)</f>
        <v>39862</v>
      </c>
      <c r="Q1696" s="35">
        <f>IFERROR(__xludf.DUMMYFUNCTION("""COMPUTED_VALUE"""),76151.0)</f>
        <v>76151</v>
      </c>
    </row>
    <row r="1697">
      <c r="A1697" s="35">
        <f>IFERROR(__xludf.DUMMYFUNCTION("""COMPUTED_VALUE"""),1814.0)</f>
        <v>1814</v>
      </c>
      <c r="B1697" s="35" t="str">
        <f>IFERROR(__xludf.DUMMYFUNCTION("""COMPUTED_VALUE"""),"Jump Game VI")</f>
        <v>Jump Game VI</v>
      </c>
      <c r="C1697" s="35" t="str">
        <f>IFERROR(__xludf.DUMMYFUNCTION("""COMPUTED_VALUE"""),"jump-game-vi")</f>
        <v>jump-game-vi</v>
      </c>
      <c r="D1697" s="35" t="b">
        <f>IFERROR(__xludf.DUMMYFUNCTION("""COMPUTED_VALUE"""),FALSE)</f>
        <v>0</v>
      </c>
      <c r="E1697" s="35" t="str">
        <f>IFERROR(__xludf.DUMMYFUNCTION("""COMPUTED_VALUE"""),"Medium")</f>
        <v>Medium</v>
      </c>
      <c r="F1697" s="35">
        <f>IFERROR(__xludf.DUMMYFUNCTION("""COMPUTED_VALUE"""),1241.0)</f>
        <v>1241</v>
      </c>
      <c r="G1697" s="35">
        <f>IFERROR(__xludf.DUMMYFUNCTION("""COMPUTED_VALUE"""),51.0)</f>
        <v>51</v>
      </c>
      <c r="H1697" s="35" t="str">
        <f>IFERROR(__xludf.DUMMYFUNCTION("""COMPUTED_VALUE"""),"Algorithms")</f>
        <v>Algorithms</v>
      </c>
      <c r="I1697" s="35">
        <f>IFERROR(__xludf.DUMMYFUNCTION("""COMPUTED_VALUE"""),0.425)</f>
        <v>0.425</v>
      </c>
      <c r="J1697" s="35">
        <f>IFERROR(__xludf.DUMMYFUNCTION("""COMPUTED_VALUE"""),1696.0)</f>
        <v>1696</v>
      </c>
      <c r="K1697" s="35" t="b">
        <f>IFERROR(__xludf.DUMMYFUNCTION("""COMPUTED_VALUE"""),FALSE)</f>
        <v>0</v>
      </c>
      <c r="L1697" s="35" t="str">
        <f>IFERROR(__xludf.DUMMYFUNCTION("""COMPUTED_VALUE"""),"Array;Dynamic Programming;Queue;Sliding Window;Heap (Priority Queue);Monotonic Queue;")</f>
        <v>Array;Dynamic Programming;Queue;Sliding Window;Heap (Priority Queue);Monotonic Queue;</v>
      </c>
      <c r="M1697" s="35" t="b">
        <f>IFERROR(__xludf.DUMMYFUNCTION("""COMPUTED_VALUE"""),TRUE)</f>
        <v>1</v>
      </c>
      <c r="N1697" s="35" t="b">
        <f>IFERROR(__xludf.DUMMYFUNCTION("""COMPUTED_VALUE"""),FALSE)</f>
        <v>0</v>
      </c>
      <c r="O1697" s="35">
        <f>IFERROR(__xludf.DUMMYFUNCTION("""COMPUTED_VALUE"""),42.5489175686927)</f>
        <v>42.54891757</v>
      </c>
      <c r="P1697" s="35">
        <f>IFERROR(__xludf.DUMMYFUNCTION("""COMPUTED_VALUE"""),40879.0)</f>
        <v>40879</v>
      </c>
      <c r="Q1697" s="35">
        <f>IFERROR(__xludf.DUMMYFUNCTION("""COMPUTED_VALUE"""),96076.0)</f>
        <v>96076</v>
      </c>
    </row>
    <row r="1698">
      <c r="A1698" s="35">
        <f>IFERROR(__xludf.DUMMYFUNCTION("""COMPUTED_VALUE"""),1815.0)</f>
        <v>1815</v>
      </c>
      <c r="B1698" s="35" t="str">
        <f>IFERROR(__xludf.DUMMYFUNCTION("""COMPUTED_VALUE"""),"Checking Existence of Edge Length Limited Paths")</f>
        <v>Checking Existence of Edge Length Limited Paths</v>
      </c>
      <c r="C1698" s="35" t="str">
        <f>IFERROR(__xludf.DUMMYFUNCTION("""COMPUTED_VALUE"""),"checking-existence-of-edge-length-limited-paths")</f>
        <v>checking-existence-of-edge-length-limited-paths</v>
      </c>
      <c r="D1698" s="35" t="b">
        <f>IFERROR(__xludf.DUMMYFUNCTION("""COMPUTED_VALUE"""),FALSE)</f>
        <v>0</v>
      </c>
      <c r="E1698" s="35" t="str">
        <f>IFERROR(__xludf.DUMMYFUNCTION("""COMPUTED_VALUE"""),"Hard")</f>
        <v>Hard</v>
      </c>
      <c r="F1698" s="35">
        <f>IFERROR(__xludf.DUMMYFUNCTION("""COMPUTED_VALUE"""),428.0)</f>
        <v>428</v>
      </c>
      <c r="G1698" s="35">
        <f>IFERROR(__xludf.DUMMYFUNCTION("""COMPUTED_VALUE"""),7.0)</f>
        <v>7</v>
      </c>
      <c r="H1698" s="35" t="str">
        <f>IFERROR(__xludf.DUMMYFUNCTION("""COMPUTED_VALUE"""),"Algorithms")</f>
        <v>Algorithms</v>
      </c>
      <c r="I1698" s="35">
        <f>IFERROR(__xludf.DUMMYFUNCTION("""COMPUTED_VALUE"""),0.485)</f>
        <v>0.485</v>
      </c>
      <c r="J1698" s="35">
        <f>IFERROR(__xludf.DUMMYFUNCTION("""COMPUTED_VALUE"""),1697.0)</f>
        <v>1697</v>
      </c>
      <c r="K1698" s="35" t="b">
        <f>IFERROR(__xludf.DUMMYFUNCTION("""COMPUTED_VALUE"""),FALSE)</f>
        <v>0</v>
      </c>
      <c r="L1698" s="35" t="str">
        <f>IFERROR(__xludf.DUMMYFUNCTION("""COMPUTED_VALUE"""),"Array;Union Find;Graph;Sorting;")</f>
        <v>Array;Union Find;Graph;Sorting;</v>
      </c>
      <c r="M1698" s="35" t="b">
        <f>IFERROR(__xludf.DUMMYFUNCTION("""COMPUTED_VALUE"""),FALSE)</f>
        <v>0</v>
      </c>
      <c r="N1698" s="35" t="b">
        <f>IFERROR(__xludf.DUMMYFUNCTION("""COMPUTED_VALUE"""),FALSE)</f>
        <v>0</v>
      </c>
      <c r="O1698" s="35">
        <f>IFERROR(__xludf.DUMMYFUNCTION("""COMPUTED_VALUE"""),48.499709621217)</f>
        <v>48.49970962</v>
      </c>
      <c r="P1698" s="35">
        <f>IFERROR(__xludf.DUMMYFUNCTION("""COMPUTED_VALUE"""),7516.0)</f>
        <v>7516</v>
      </c>
      <c r="Q1698" s="35">
        <f>IFERROR(__xludf.DUMMYFUNCTION("""COMPUTED_VALUE"""),15497.0)</f>
        <v>15497</v>
      </c>
    </row>
    <row r="1699">
      <c r="A1699" s="35">
        <f>IFERROR(__xludf.DUMMYFUNCTION("""COMPUTED_VALUE"""),1838.0)</f>
        <v>1838</v>
      </c>
      <c r="B1699" s="35" t="str">
        <f>IFERROR(__xludf.DUMMYFUNCTION("""COMPUTED_VALUE"""),"Number of Distinct Substrings in a String")</f>
        <v>Number of Distinct Substrings in a String</v>
      </c>
      <c r="C1699" s="35" t="str">
        <f>IFERROR(__xludf.DUMMYFUNCTION("""COMPUTED_VALUE"""),"number-of-distinct-substrings-in-a-string")</f>
        <v>number-of-distinct-substrings-in-a-string</v>
      </c>
      <c r="D1699" s="35" t="b">
        <f>IFERROR(__xludf.DUMMYFUNCTION("""COMPUTED_VALUE"""),TRUE)</f>
        <v>1</v>
      </c>
      <c r="E1699" s="35" t="str">
        <f>IFERROR(__xludf.DUMMYFUNCTION("""COMPUTED_VALUE"""),"Medium")</f>
        <v>Medium</v>
      </c>
      <c r="F1699" s="35">
        <f>IFERROR(__xludf.DUMMYFUNCTION("""COMPUTED_VALUE"""),98.0)</f>
        <v>98</v>
      </c>
      <c r="G1699" s="35">
        <f>IFERROR(__xludf.DUMMYFUNCTION("""COMPUTED_VALUE"""),24.0)</f>
        <v>24</v>
      </c>
      <c r="H1699" s="35" t="str">
        <f>IFERROR(__xludf.DUMMYFUNCTION("""COMPUTED_VALUE"""),"Algorithms")</f>
        <v>Algorithms</v>
      </c>
      <c r="I1699" s="35">
        <f>IFERROR(__xludf.DUMMYFUNCTION("""COMPUTED_VALUE"""),0.625)</f>
        <v>0.625</v>
      </c>
      <c r="J1699" s="35">
        <f>IFERROR(__xludf.DUMMYFUNCTION("""COMPUTED_VALUE"""),1698.0)</f>
        <v>1698</v>
      </c>
      <c r="K1699" s="35" t="b">
        <f>IFERROR(__xludf.DUMMYFUNCTION("""COMPUTED_VALUE"""),TRUE)</f>
        <v>1</v>
      </c>
      <c r="L1699" s="35" t="str">
        <f>IFERROR(__xludf.DUMMYFUNCTION("""COMPUTED_VALUE"""),"String;Trie;Rolling Hash;Suffix Array;Hash Function;")</f>
        <v>String;Trie;Rolling Hash;Suffix Array;Hash Function;</v>
      </c>
      <c r="M1699" s="35" t="b">
        <f>IFERROR(__xludf.DUMMYFUNCTION("""COMPUTED_VALUE"""),FALSE)</f>
        <v>0</v>
      </c>
      <c r="N1699" s="35" t="b">
        <f>IFERROR(__xludf.DUMMYFUNCTION("""COMPUTED_VALUE"""),FALSE)</f>
        <v>0</v>
      </c>
      <c r="O1699" s="35">
        <f>IFERROR(__xludf.DUMMYFUNCTION("""COMPUTED_VALUE"""),62.5)</f>
        <v>62.5</v>
      </c>
      <c r="P1699" s="35">
        <f>IFERROR(__xludf.DUMMYFUNCTION("""COMPUTED_VALUE"""),4060.0)</f>
        <v>4060</v>
      </c>
      <c r="Q1699" s="35">
        <f>IFERROR(__xludf.DUMMYFUNCTION("""COMPUTED_VALUE"""),6496.0)</f>
        <v>6496</v>
      </c>
    </row>
    <row r="1700">
      <c r="A1700" s="35">
        <f>IFERROR(__xludf.DUMMYFUNCTION("""COMPUTED_VALUE"""),1842.0)</f>
        <v>1842</v>
      </c>
      <c r="B1700" s="35" t="str">
        <f>IFERROR(__xludf.DUMMYFUNCTION("""COMPUTED_VALUE"""),"Number of Calls Between Two Persons")</f>
        <v>Number of Calls Between Two Persons</v>
      </c>
      <c r="C1700" s="35" t="str">
        <f>IFERROR(__xludf.DUMMYFUNCTION("""COMPUTED_VALUE"""),"number-of-calls-between-two-persons")</f>
        <v>number-of-calls-between-two-persons</v>
      </c>
      <c r="D1700" s="35" t="b">
        <f>IFERROR(__xludf.DUMMYFUNCTION("""COMPUTED_VALUE"""),TRUE)</f>
        <v>1</v>
      </c>
      <c r="E1700" s="35" t="str">
        <f>IFERROR(__xludf.DUMMYFUNCTION("""COMPUTED_VALUE"""),"Medium")</f>
        <v>Medium</v>
      </c>
      <c r="F1700" s="35">
        <f>IFERROR(__xludf.DUMMYFUNCTION("""COMPUTED_VALUE"""),104.0)</f>
        <v>104</v>
      </c>
      <c r="G1700" s="35">
        <f>IFERROR(__xludf.DUMMYFUNCTION("""COMPUTED_VALUE"""),3.0)</f>
        <v>3</v>
      </c>
      <c r="H1700" s="35" t="str">
        <f>IFERROR(__xludf.DUMMYFUNCTION("""COMPUTED_VALUE"""),"Database")</f>
        <v>Database</v>
      </c>
      <c r="I1700" s="35">
        <f>IFERROR(__xludf.DUMMYFUNCTION("""COMPUTED_VALUE"""),0.861)</f>
        <v>0.861</v>
      </c>
      <c r="J1700" s="35">
        <f>IFERROR(__xludf.DUMMYFUNCTION("""COMPUTED_VALUE"""),1699.0)</f>
        <v>1699</v>
      </c>
      <c r="K1700" s="35" t="b">
        <f>IFERROR(__xludf.DUMMYFUNCTION("""COMPUTED_VALUE"""),TRUE)</f>
        <v>1</v>
      </c>
      <c r="L1700" s="35" t="str">
        <f>IFERROR(__xludf.DUMMYFUNCTION("""COMPUTED_VALUE"""),"Database;")</f>
        <v>Database;</v>
      </c>
      <c r="M1700" s="35" t="b">
        <f>IFERROR(__xludf.DUMMYFUNCTION("""COMPUTED_VALUE"""),FALSE)</f>
        <v>0</v>
      </c>
      <c r="N1700" s="35" t="b">
        <f>IFERROR(__xludf.DUMMYFUNCTION("""COMPUTED_VALUE"""),FALSE)</f>
        <v>0</v>
      </c>
      <c r="O1700" s="35">
        <f>IFERROR(__xludf.DUMMYFUNCTION("""COMPUTED_VALUE"""),86.1414606095457)</f>
        <v>86.14146061</v>
      </c>
      <c r="P1700" s="35">
        <f>IFERROR(__xludf.DUMMYFUNCTION("""COMPUTED_VALUE"""),14980.0)</f>
        <v>14980</v>
      </c>
      <c r="Q1700" s="35">
        <f>IFERROR(__xludf.DUMMYFUNCTION("""COMPUTED_VALUE"""),17390.0)</f>
        <v>17390</v>
      </c>
    </row>
    <row r="1701">
      <c r="A1701" s="35">
        <f>IFERROR(__xludf.DUMMYFUNCTION("""COMPUTED_VALUE"""),1802.0)</f>
        <v>1802</v>
      </c>
      <c r="B1701" s="35" t="str">
        <f>IFERROR(__xludf.DUMMYFUNCTION("""COMPUTED_VALUE"""),"Number of Students Unable to Eat Lunch")</f>
        <v>Number of Students Unable to Eat Lunch</v>
      </c>
      <c r="C1701" s="35" t="str">
        <f>IFERROR(__xludf.DUMMYFUNCTION("""COMPUTED_VALUE"""),"number-of-students-unable-to-eat-lunch")</f>
        <v>number-of-students-unable-to-eat-lunch</v>
      </c>
      <c r="D1701" s="35" t="b">
        <f>IFERROR(__xludf.DUMMYFUNCTION("""COMPUTED_VALUE"""),FALSE)</f>
        <v>0</v>
      </c>
      <c r="E1701" s="35" t="str">
        <f>IFERROR(__xludf.DUMMYFUNCTION("""COMPUTED_VALUE"""),"Easy")</f>
        <v>Easy</v>
      </c>
      <c r="F1701" s="35">
        <f>IFERROR(__xludf.DUMMYFUNCTION("""COMPUTED_VALUE"""),725.0)</f>
        <v>725</v>
      </c>
      <c r="G1701" s="35">
        <f>IFERROR(__xludf.DUMMYFUNCTION("""COMPUTED_VALUE"""),37.0)</f>
        <v>37</v>
      </c>
      <c r="H1701" s="35" t="str">
        <f>IFERROR(__xludf.DUMMYFUNCTION("""COMPUTED_VALUE"""),"Algorithms")</f>
        <v>Algorithms</v>
      </c>
      <c r="I1701" s="35">
        <f>IFERROR(__xludf.DUMMYFUNCTION("""COMPUTED_VALUE"""),0.679)</f>
        <v>0.679</v>
      </c>
      <c r="J1701" s="35">
        <f>IFERROR(__xludf.DUMMYFUNCTION("""COMPUTED_VALUE"""),1700.0)</f>
        <v>1700</v>
      </c>
      <c r="K1701" s="35" t="b">
        <f>IFERROR(__xludf.DUMMYFUNCTION("""COMPUTED_VALUE"""),FALSE)</f>
        <v>0</v>
      </c>
      <c r="L1701" s="35" t="str">
        <f>IFERROR(__xludf.DUMMYFUNCTION("""COMPUTED_VALUE"""),"Array;Stack;Queue;Simulation;")</f>
        <v>Array;Stack;Queue;Simulation;</v>
      </c>
      <c r="M1701" s="35" t="b">
        <f>IFERROR(__xludf.DUMMYFUNCTION("""COMPUTED_VALUE"""),FALSE)</f>
        <v>0</v>
      </c>
      <c r="N1701" s="35" t="b">
        <f>IFERROR(__xludf.DUMMYFUNCTION("""COMPUTED_VALUE"""),FALSE)</f>
        <v>0</v>
      </c>
      <c r="O1701" s="35">
        <f>IFERROR(__xludf.DUMMYFUNCTION("""COMPUTED_VALUE"""),67.897360873164)</f>
        <v>67.89736087</v>
      </c>
      <c r="P1701" s="35">
        <f>IFERROR(__xludf.DUMMYFUNCTION("""COMPUTED_VALUE"""),35272.0)</f>
        <v>35272</v>
      </c>
      <c r="Q1701" s="35">
        <f>IFERROR(__xludf.DUMMYFUNCTION("""COMPUTED_VALUE"""),51949.0)</f>
        <v>51949</v>
      </c>
    </row>
    <row r="1702">
      <c r="A1702" s="35">
        <f>IFERROR(__xludf.DUMMYFUNCTION("""COMPUTED_VALUE"""),1803.0)</f>
        <v>1803</v>
      </c>
      <c r="B1702" s="35" t="str">
        <f>IFERROR(__xludf.DUMMYFUNCTION("""COMPUTED_VALUE"""),"Average Waiting Time")</f>
        <v>Average Waiting Time</v>
      </c>
      <c r="C1702" s="35" t="str">
        <f>IFERROR(__xludf.DUMMYFUNCTION("""COMPUTED_VALUE"""),"average-waiting-time")</f>
        <v>average-waiting-time</v>
      </c>
      <c r="D1702" s="35" t="b">
        <f>IFERROR(__xludf.DUMMYFUNCTION("""COMPUTED_VALUE"""),FALSE)</f>
        <v>0</v>
      </c>
      <c r="E1702" s="35" t="str">
        <f>IFERROR(__xludf.DUMMYFUNCTION("""COMPUTED_VALUE"""),"Medium")</f>
        <v>Medium</v>
      </c>
      <c r="F1702" s="35">
        <f>IFERROR(__xludf.DUMMYFUNCTION("""COMPUTED_VALUE"""),311.0)</f>
        <v>311</v>
      </c>
      <c r="G1702" s="35">
        <f>IFERROR(__xludf.DUMMYFUNCTION("""COMPUTED_VALUE"""),37.0)</f>
        <v>37</v>
      </c>
      <c r="H1702" s="35" t="str">
        <f>IFERROR(__xludf.DUMMYFUNCTION("""COMPUTED_VALUE"""),"Algorithms")</f>
        <v>Algorithms</v>
      </c>
      <c r="I1702" s="35">
        <f>IFERROR(__xludf.DUMMYFUNCTION("""COMPUTED_VALUE"""),0.616)</f>
        <v>0.616</v>
      </c>
      <c r="J1702" s="35">
        <f>IFERROR(__xludf.DUMMYFUNCTION("""COMPUTED_VALUE"""),1701.0)</f>
        <v>1701</v>
      </c>
      <c r="K1702" s="35" t="b">
        <f>IFERROR(__xludf.DUMMYFUNCTION("""COMPUTED_VALUE"""),FALSE)</f>
        <v>0</v>
      </c>
      <c r="L1702" s="35" t="str">
        <f>IFERROR(__xludf.DUMMYFUNCTION("""COMPUTED_VALUE"""),"Array;Simulation;")</f>
        <v>Array;Simulation;</v>
      </c>
      <c r="M1702" s="35" t="b">
        <f>IFERROR(__xludf.DUMMYFUNCTION("""COMPUTED_VALUE"""),FALSE)</f>
        <v>0</v>
      </c>
      <c r="N1702" s="35" t="b">
        <f>IFERROR(__xludf.DUMMYFUNCTION("""COMPUTED_VALUE"""),FALSE)</f>
        <v>0</v>
      </c>
      <c r="O1702" s="35">
        <f>IFERROR(__xludf.DUMMYFUNCTION("""COMPUTED_VALUE"""),61.5933732911307)</f>
        <v>61.59337329</v>
      </c>
      <c r="P1702" s="35">
        <f>IFERROR(__xludf.DUMMYFUNCTION("""COMPUTED_VALUE"""),18292.0)</f>
        <v>18292</v>
      </c>
      <c r="Q1702" s="35">
        <f>IFERROR(__xludf.DUMMYFUNCTION("""COMPUTED_VALUE"""),29698.0)</f>
        <v>29698</v>
      </c>
    </row>
    <row r="1703">
      <c r="A1703" s="35">
        <f>IFERROR(__xludf.DUMMYFUNCTION("""COMPUTED_VALUE"""),1804.0)</f>
        <v>1804</v>
      </c>
      <c r="B1703" s="35" t="str">
        <f>IFERROR(__xludf.DUMMYFUNCTION("""COMPUTED_VALUE"""),"Maximum Binary String After Change")</f>
        <v>Maximum Binary String After Change</v>
      </c>
      <c r="C1703" s="35" t="str">
        <f>IFERROR(__xludf.DUMMYFUNCTION("""COMPUTED_VALUE"""),"maximum-binary-string-after-change")</f>
        <v>maximum-binary-string-after-change</v>
      </c>
      <c r="D1703" s="35" t="b">
        <f>IFERROR(__xludf.DUMMYFUNCTION("""COMPUTED_VALUE"""),FALSE)</f>
        <v>0</v>
      </c>
      <c r="E1703" s="35" t="str">
        <f>IFERROR(__xludf.DUMMYFUNCTION("""COMPUTED_VALUE"""),"Medium")</f>
        <v>Medium</v>
      </c>
      <c r="F1703" s="35">
        <f>IFERROR(__xludf.DUMMYFUNCTION("""COMPUTED_VALUE"""),300.0)</f>
        <v>300</v>
      </c>
      <c r="G1703" s="35">
        <f>IFERROR(__xludf.DUMMYFUNCTION("""COMPUTED_VALUE"""),36.0)</f>
        <v>36</v>
      </c>
      <c r="H1703" s="35" t="str">
        <f>IFERROR(__xludf.DUMMYFUNCTION("""COMPUTED_VALUE"""),"Algorithms")</f>
        <v>Algorithms</v>
      </c>
      <c r="I1703" s="35">
        <f>IFERROR(__xludf.DUMMYFUNCTION("""COMPUTED_VALUE"""),0.451)</f>
        <v>0.451</v>
      </c>
      <c r="J1703" s="35">
        <f>IFERROR(__xludf.DUMMYFUNCTION("""COMPUTED_VALUE"""),1702.0)</f>
        <v>1702</v>
      </c>
      <c r="K1703" s="35" t="b">
        <f>IFERROR(__xludf.DUMMYFUNCTION("""COMPUTED_VALUE"""),FALSE)</f>
        <v>0</v>
      </c>
      <c r="L1703" s="35" t="str">
        <f>IFERROR(__xludf.DUMMYFUNCTION("""COMPUTED_VALUE"""),"String;Greedy;")</f>
        <v>String;Greedy;</v>
      </c>
      <c r="M1703" s="35" t="b">
        <f>IFERROR(__xludf.DUMMYFUNCTION("""COMPUTED_VALUE"""),FALSE)</f>
        <v>0</v>
      </c>
      <c r="N1703" s="35" t="b">
        <f>IFERROR(__xludf.DUMMYFUNCTION("""COMPUTED_VALUE"""),FALSE)</f>
        <v>0</v>
      </c>
      <c r="O1703" s="35">
        <f>IFERROR(__xludf.DUMMYFUNCTION("""COMPUTED_VALUE"""),45.0700372072663)</f>
        <v>45.07003721</v>
      </c>
      <c r="P1703" s="35">
        <f>IFERROR(__xludf.DUMMYFUNCTION("""COMPUTED_VALUE"""),8237.0)</f>
        <v>8237</v>
      </c>
      <c r="Q1703" s="35">
        <f>IFERROR(__xludf.DUMMYFUNCTION("""COMPUTED_VALUE"""),18276.0)</f>
        <v>18276</v>
      </c>
    </row>
    <row r="1704">
      <c r="A1704" s="35">
        <f>IFERROR(__xludf.DUMMYFUNCTION("""COMPUTED_VALUE"""),1805.0)</f>
        <v>1805</v>
      </c>
      <c r="B1704" s="35" t="str">
        <f>IFERROR(__xludf.DUMMYFUNCTION("""COMPUTED_VALUE"""),"Minimum Adjacent Swaps for K Consecutive Ones")</f>
        <v>Minimum Adjacent Swaps for K Consecutive Ones</v>
      </c>
      <c r="C1704" s="35" t="str">
        <f>IFERROR(__xludf.DUMMYFUNCTION("""COMPUTED_VALUE"""),"minimum-adjacent-swaps-for-k-consecutive-ones")</f>
        <v>minimum-adjacent-swaps-for-k-consecutive-ones</v>
      </c>
      <c r="D1704" s="35" t="b">
        <f>IFERROR(__xludf.DUMMYFUNCTION("""COMPUTED_VALUE"""),FALSE)</f>
        <v>0</v>
      </c>
      <c r="E1704" s="35" t="str">
        <f>IFERROR(__xludf.DUMMYFUNCTION("""COMPUTED_VALUE"""),"Hard")</f>
        <v>Hard</v>
      </c>
      <c r="F1704" s="35">
        <f>IFERROR(__xludf.DUMMYFUNCTION("""COMPUTED_VALUE"""),404.0)</f>
        <v>404</v>
      </c>
      <c r="G1704" s="35">
        <f>IFERROR(__xludf.DUMMYFUNCTION("""COMPUTED_VALUE"""),16.0)</f>
        <v>16</v>
      </c>
      <c r="H1704" s="35" t="str">
        <f>IFERROR(__xludf.DUMMYFUNCTION("""COMPUTED_VALUE"""),"Algorithms")</f>
        <v>Algorithms</v>
      </c>
      <c r="I1704" s="35">
        <f>IFERROR(__xludf.DUMMYFUNCTION("""COMPUTED_VALUE"""),0.403)</f>
        <v>0.403</v>
      </c>
      <c r="J1704" s="35">
        <f>IFERROR(__xludf.DUMMYFUNCTION("""COMPUTED_VALUE"""),1703.0)</f>
        <v>1703</v>
      </c>
      <c r="K1704" s="35" t="b">
        <f>IFERROR(__xludf.DUMMYFUNCTION("""COMPUTED_VALUE"""),FALSE)</f>
        <v>0</v>
      </c>
      <c r="L1704" s="35" t="str">
        <f>IFERROR(__xludf.DUMMYFUNCTION("""COMPUTED_VALUE"""),"Array;Greedy;Sliding Window;Prefix Sum;")</f>
        <v>Array;Greedy;Sliding Window;Prefix Sum;</v>
      </c>
      <c r="M1704" s="35" t="b">
        <f>IFERROR(__xludf.DUMMYFUNCTION("""COMPUTED_VALUE"""),FALSE)</f>
        <v>0</v>
      </c>
      <c r="N1704" s="35" t="b">
        <f>IFERROR(__xludf.DUMMYFUNCTION("""COMPUTED_VALUE"""),FALSE)</f>
        <v>0</v>
      </c>
      <c r="O1704" s="35">
        <f>IFERROR(__xludf.DUMMYFUNCTION("""COMPUTED_VALUE"""),40.2743324091638)</f>
        <v>40.27433241</v>
      </c>
      <c r="P1704" s="35">
        <f>IFERROR(__xludf.DUMMYFUNCTION("""COMPUTED_VALUE"""),5520.0)</f>
        <v>5520</v>
      </c>
      <c r="Q1704" s="35">
        <f>IFERROR(__xludf.DUMMYFUNCTION("""COMPUTED_VALUE"""),13706.0)</f>
        <v>13706</v>
      </c>
    </row>
    <row r="1705">
      <c r="A1705" s="35">
        <f>IFERROR(__xludf.DUMMYFUNCTION("""COMPUTED_VALUE"""),1823.0)</f>
        <v>1823</v>
      </c>
      <c r="B1705" s="35" t="str">
        <f>IFERROR(__xludf.DUMMYFUNCTION("""COMPUTED_VALUE"""),"Determine if String Halves Are Alike")</f>
        <v>Determine if String Halves Are Alike</v>
      </c>
      <c r="C1705" s="35" t="str">
        <f>IFERROR(__xludf.DUMMYFUNCTION("""COMPUTED_VALUE"""),"determine-if-string-halves-are-alike")</f>
        <v>determine-if-string-halves-are-alike</v>
      </c>
      <c r="D1705" s="35" t="b">
        <f>IFERROR(__xludf.DUMMYFUNCTION("""COMPUTED_VALUE"""),FALSE)</f>
        <v>0</v>
      </c>
      <c r="E1705" s="35" t="str">
        <f>IFERROR(__xludf.DUMMYFUNCTION("""COMPUTED_VALUE"""),"Easy")</f>
        <v>Easy</v>
      </c>
      <c r="F1705" s="35">
        <f>IFERROR(__xludf.DUMMYFUNCTION("""COMPUTED_VALUE"""),487.0)</f>
        <v>487</v>
      </c>
      <c r="G1705" s="35">
        <f>IFERROR(__xludf.DUMMYFUNCTION("""COMPUTED_VALUE"""),35.0)</f>
        <v>35</v>
      </c>
      <c r="H1705" s="35" t="str">
        <f>IFERROR(__xludf.DUMMYFUNCTION("""COMPUTED_VALUE"""),"Algorithms")</f>
        <v>Algorithms</v>
      </c>
      <c r="I1705" s="35">
        <f>IFERROR(__xludf.DUMMYFUNCTION("""COMPUTED_VALUE"""),0.781)</f>
        <v>0.781</v>
      </c>
      <c r="J1705" s="35">
        <f>IFERROR(__xludf.DUMMYFUNCTION("""COMPUTED_VALUE"""),1704.0)</f>
        <v>1704</v>
      </c>
      <c r="K1705" s="35" t="b">
        <f>IFERROR(__xludf.DUMMYFUNCTION("""COMPUTED_VALUE"""),FALSE)</f>
        <v>0</v>
      </c>
      <c r="L1705" s="35" t="str">
        <f>IFERROR(__xludf.DUMMYFUNCTION("""COMPUTED_VALUE"""),"String;Counting;")</f>
        <v>String;Counting;</v>
      </c>
      <c r="M1705" s="35" t="b">
        <f>IFERROR(__xludf.DUMMYFUNCTION("""COMPUTED_VALUE"""),TRUE)</f>
        <v>1</v>
      </c>
      <c r="N1705" s="35" t="b">
        <f>IFERROR(__xludf.DUMMYFUNCTION("""COMPUTED_VALUE"""),FALSE)</f>
        <v>0</v>
      </c>
      <c r="O1705" s="35">
        <f>IFERROR(__xludf.DUMMYFUNCTION("""COMPUTED_VALUE"""),78.1170556967876)</f>
        <v>78.1170557</v>
      </c>
      <c r="P1705" s="35">
        <f>IFERROR(__xludf.DUMMYFUNCTION("""COMPUTED_VALUE"""),81121.0)</f>
        <v>81121</v>
      </c>
      <c r="Q1705" s="35">
        <f>IFERROR(__xludf.DUMMYFUNCTION("""COMPUTED_VALUE"""),103846.0)</f>
        <v>103846</v>
      </c>
    </row>
    <row r="1706">
      <c r="A1706" s="35">
        <f>IFERROR(__xludf.DUMMYFUNCTION("""COMPUTED_VALUE"""),1824.0)</f>
        <v>1824</v>
      </c>
      <c r="B1706" s="35" t="str">
        <f>IFERROR(__xludf.DUMMYFUNCTION("""COMPUTED_VALUE"""),"Maximum Number of Eaten Apples")</f>
        <v>Maximum Number of Eaten Apples</v>
      </c>
      <c r="C1706" s="35" t="str">
        <f>IFERROR(__xludf.DUMMYFUNCTION("""COMPUTED_VALUE"""),"maximum-number-of-eaten-apples")</f>
        <v>maximum-number-of-eaten-apples</v>
      </c>
      <c r="D1706" s="35" t="b">
        <f>IFERROR(__xludf.DUMMYFUNCTION("""COMPUTED_VALUE"""),FALSE)</f>
        <v>0</v>
      </c>
      <c r="E1706" s="35" t="str">
        <f>IFERROR(__xludf.DUMMYFUNCTION("""COMPUTED_VALUE"""),"Medium")</f>
        <v>Medium</v>
      </c>
      <c r="F1706" s="35">
        <f>IFERROR(__xludf.DUMMYFUNCTION("""COMPUTED_VALUE"""),474.0)</f>
        <v>474</v>
      </c>
      <c r="G1706" s="35">
        <f>IFERROR(__xludf.DUMMYFUNCTION("""COMPUTED_VALUE"""),142.0)</f>
        <v>142</v>
      </c>
      <c r="H1706" s="35" t="str">
        <f>IFERROR(__xludf.DUMMYFUNCTION("""COMPUTED_VALUE"""),"Algorithms")</f>
        <v>Algorithms</v>
      </c>
      <c r="I1706" s="35">
        <f>IFERROR(__xludf.DUMMYFUNCTION("""COMPUTED_VALUE"""),0.361)</f>
        <v>0.361</v>
      </c>
      <c r="J1706" s="35">
        <f>IFERROR(__xludf.DUMMYFUNCTION("""COMPUTED_VALUE"""),1705.0)</f>
        <v>1705</v>
      </c>
      <c r="K1706" s="35" t="b">
        <f>IFERROR(__xludf.DUMMYFUNCTION("""COMPUTED_VALUE"""),FALSE)</f>
        <v>0</v>
      </c>
      <c r="L1706" s="35" t="str">
        <f>IFERROR(__xludf.DUMMYFUNCTION("""COMPUTED_VALUE"""),"Array;Greedy;Heap (Priority Queue);")</f>
        <v>Array;Greedy;Heap (Priority Queue);</v>
      </c>
      <c r="M1706" s="35" t="b">
        <f>IFERROR(__xludf.DUMMYFUNCTION("""COMPUTED_VALUE"""),FALSE)</f>
        <v>0</v>
      </c>
      <c r="N1706" s="35" t="b">
        <f>IFERROR(__xludf.DUMMYFUNCTION("""COMPUTED_VALUE"""),FALSE)</f>
        <v>0</v>
      </c>
      <c r="O1706" s="35">
        <f>IFERROR(__xludf.DUMMYFUNCTION("""COMPUTED_VALUE"""),36.0846198429843)</f>
        <v>36.08461984</v>
      </c>
      <c r="P1706" s="35">
        <f>IFERROR(__xludf.DUMMYFUNCTION("""COMPUTED_VALUE"""),13697.0)</f>
        <v>13697</v>
      </c>
      <c r="Q1706" s="35">
        <f>IFERROR(__xludf.DUMMYFUNCTION("""COMPUTED_VALUE"""),37958.0)</f>
        <v>37958</v>
      </c>
    </row>
    <row r="1707">
      <c r="A1707" s="35">
        <f>IFERROR(__xludf.DUMMYFUNCTION("""COMPUTED_VALUE"""),1324.0)</f>
        <v>1324</v>
      </c>
      <c r="B1707" s="35" t="str">
        <f>IFERROR(__xludf.DUMMYFUNCTION("""COMPUTED_VALUE"""),"Where Will the Ball Fall")</f>
        <v>Where Will the Ball Fall</v>
      </c>
      <c r="C1707" s="35" t="str">
        <f>IFERROR(__xludf.DUMMYFUNCTION("""COMPUTED_VALUE"""),"where-will-the-ball-fall")</f>
        <v>where-will-the-ball-fall</v>
      </c>
      <c r="D1707" s="35" t="b">
        <f>IFERROR(__xludf.DUMMYFUNCTION("""COMPUTED_VALUE"""),FALSE)</f>
        <v>0</v>
      </c>
      <c r="E1707" s="35" t="str">
        <f>IFERROR(__xludf.DUMMYFUNCTION("""COMPUTED_VALUE"""),"Medium")</f>
        <v>Medium</v>
      </c>
      <c r="F1707" s="35">
        <f>IFERROR(__xludf.DUMMYFUNCTION("""COMPUTED_VALUE"""),702.0)</f>
        <v>702</v>
      </c>
      <c r="G1707" s="35">
        <f>IFERROR(__xludf.DUMMYFUNCTION("""COMPUTED_VALUE"""),52.0)</f>
        <v>52</v>
      </c>
      <c r="H1707" s="35" t="str">
        <f>IFERROR(__xludf.DUMMYFUNCTION("""COMPUTED_VALUE"""),"Algorithms")</f>
        <v>Algorithms</v>
      </c>
      <c r="I1707" s="35">
        <f>IFERROR(__xludf.DUMMYFUNCTION("""COMPUTED_VALUE"""),0.664)</f>
        <v>0.664</v>
      </c>
      <c r="J1707" s="35">
        <f>IFERROR(__xludf.DUMMYFUNCTION("""COMPUTED_VALUE"""),1706.0)</f>
        <v>1706</v>
      </c>
      <c r="K1707" s="35" t="b">
        <f>IFERROR(__xludf.DUMMYFUNCTION("""COMPUTED_VALUE"""),FALSE)</f>
        <v>0</v>
      </c>
      <c r="L1707" s="35" t="str">
        <f>IFERROR(__xludf.DUMMYFUNCTION("""COMPUTED_VALUE"""),"Array;Dynamic Programming;Depth-First Search;Matrix;Simulation;")</f>
        <v>Array;Dynamic Programming;Depth-First Search;Matrix;Simulation;</v>
      </c>
      <c r="M1707" s="35" t="b">
        <f>IFERROR(__xludf.DUMMYFUNCTION("""COMPUTED_VALUE"""),FALSE)</f>
        <v>0</v>
      </c>
      <c r="N1707" s="35" t="b">
        <f>IFERROR(__xludf.DUMMYFUNCTION("""COMPUTED_VALUE"""),FALSE)</f>
        <v>0</v>
      </c>
      <c r="O1707" s="35">
        <f>IFERROR(__xludf.DUMMYFUNCTION("""COMPUTED_VALUE"""),66.3776768332251)</f>
        <v>66.37767683</v>
      </c>
      <c r="P1707" s="35">
        <f>IFERROR(__xludf.DUMMYFUNCTION("""COMPUTED_VALUE"""),25572.0)</f>
        <v>25572</v>
      </c>
      <c r="Q1707" s="35">
        <f>IFERROR(__xludf.DUMMYFUNCTION("""COMPUTED_VALUE"""),38523.0)</f>
        <v>38523</v>
      </c>
    </row>
    <row r="1708">
      <c r="A1708" s="35">
        <f>IFERROR(__xludf.DUMMYFUNCTION("""COMPUTED_VALUE"""),1826.0)</f>
        <v>1826</v>
      </c>
      <c r="B1708" s="35" t="str">
        <f>IFERROR(__xludf.DUMMYFUNCTION("""COMPUTED_VALUE"""),"Maximum XOR With an Element From Array")</f>
        <v>Maximum XOR With an Element From Array</v>
      </c>
      <c r="C1708" s="35" t="str">
        <f>IFERROR(__xludf.DUMMYFUNCTION("""COMPUTED_VALUE"""),"maximum-xor-with-an-element-from-array")</f>
        <v>maximum-xor-with-an-element-from-array</v>
      </c>
      <c r="D1708" s="35" t="b">
        <f>IFERROR(__xludf.DUMMYFUNCTION("""COMPUTED_VALUE"""),FALSE)</f>
        <v>0</v>
      </c>
      <c r="E1708" s="35" t="str">
        <f>IFERROR(__xludf.DUMMYFUNCTION("""COMPUTED_VALUE"""),"Hard")</f>
        <v>Hard</v>
      </c>
      <c r="F1708" s="35">
        <f>IFERROR(__xludf.DUMMYFUNCTION("""COMPUTED_VALUE"""),457.0)</f>
        <v>457</v>
      </c>
      <c r="G1708" s="35">
        <f>IFERROR(__xludf.DUMMYFUNCTION("""COMPUTED_VALUE"""),15.0)</f>
        <v>15</v>
      </c>
      <c r="H1708" s="35" t="str">
        <f>IFERROR(__xludf.DUMMYFUNCTION("""COMPUTED_VALUE"""),"Algorithms")</f>
        <v>Algorithms</v>
      </c>
      <c r="I1708" s="35">
        <f>IFERROR(__xludf.DUMMYFUNCTION("""COMPUTED_VALUE"""),0.431)</f>
        <v>0.431</v>
      </c>
      <c r="J1708" s="35">
        <f>IFERROR(__xludf.DUMMYFUNCTION("""COMPUTED_VALUE"""),1707.0)</f>
        <v>1707</v>
      </c>
      <c r="K1708" s="35" t="b">
        <f>IFERROR(__xludf.DUMMYFUNCTION("""COMPUTED_VALUE"""),FALSE)</f>
        <v>0</v>
      </c>
      <c r="L1708" s="35" t="str">
        <f>IFERROR(__xludf.DUMMYFUNCTION("""COMPUTED_VALUE"""),"Array;Bit Manipulation;Trie;")</f>
        <v>Array;Bit Manipulation;Trie;</v>
      </c>
      <c r="M1708" s="35" t="b">
        <f>IFERROR(__xludf.DUMMYFUNCTION("""COMPUTED_VALUE"""),FALSE)</f>
        <v>0</v>
      </c>
      <c r="N1708" s="35" t="b">
        <f>IFERROR(__xludf.DUMMYFUNCTION("""COMPUTED_VALUE"""),FALSE)</f>
        <v>0</v>
      </c>
      <c r="O1708" s="35">
        <f>IFERROR(__xludf.DUMMYFUNCTION("""COMPUTED_VALUE"""),43.1236786469344)</f>
        <v>43.12367865</v>
      </c>
      <c r="P1708" s="35">
        <f>IFERROR(__xludf.DUMMYFUNCTION("""COMPUTED_VALUE"""),8158.0)</f>
        <v>8158</v>
      </c>
      <c r="Q1708" s="35">
        <f>IFERROR(__xludf.DUMMYFUNCTION("""COMPUTED_VALUE"""),18918.0)</f>
        <v>18918</v>
      </c>
    </row>
    <row r="1709">
      <c r="A1709" s="35">
        <f>IFERROR(__xludf.DUMMYFUNCTION("""COMPUTED_VALUE"""),1847.0)</f>
        <v>1847</v>
      </c>
      <c r="B1709" s="35" t="str">
        <f>IFERROR(__xludf.DUMMYFUNCTION("""COMPUTED_VALUE"""),"Largest Subarray Length K")</f>
        <v>Largest Subarray Length K</v>
      </c>
      <c r="C1709" s="35" t="str">
        <f>IFERROR(__xludf.DUMMYFUNCTION("""COMPUTED_VALUE"""),"largest-subarray-length-k")</f>
        <v>largest-subarray-length-k</v>
      </c>
      <c r="D1709" s="35" t="b">
        <f>IFERROR(__xludf.DUMMYFUNCTION("""COMPUTED_VALUE"""),TRUE)</f>
        <v>1</v>
      </c>
      <c r="E1709" s="35" t="str">
        <f>IFERROR(__xludf.DUMMYFUNCTION("""COMPUTED_VALUE"""),"Easy")</f>
        <v>Easy</v>
      </c>
      <c r="F1709" s="35">
        <f>IFERROR(__xludf.DUMMYFUNCTION("""COMPUTED_VALUE"""),63.0)</f>
        <v>63</v>
      </c>
      <c r="G1709" s="35">
        <f>IFERROR(__xludf.DUMMYFUNCTION("""COMPUTED_VALUE"""),75.0)</f>
        <v>75</v>
      </c>
      <c r="H1709" s="35" t="str">
        <f>IFERROR(__xludf.DUMMYFUNCTION("""COMPUTED_VALUE"""),"Algorithms")</f>
        <v>Algorithms</v>
      </c>
      <c r="I1709" s="35">
        <f>IFERROR(__xludf.DUMMYFUNCTION("""COMPUTED_VALUE"""),0.636)</f>
        <v>0.636</v>
      </c>
      <c r="J1709" s="35">
        <f>IFERROR(__xludf.DUMMYFUNCTION("""COMPUTED_VALUE"""),1708.0)</f>
        <v>1708</v>
      </c>
      <c r="K1709" s="35" t="b">
        <f>IFERROR(__xludf.DUMMYFUNCTION("""COMPUTED_VALUE"""),TRUE)</f>
        <v>1</v>
      </c>
      <c r="L1709" s="35" t="str">
        <f>IFERROR(__xludf.DUMMYFUNCTION("""COMPUTED_VALUE"""),"Array;Greedy;")</f>
        <v>Array;Greedy;</v>
      </c>
      <c r="M1709" s="35" t="b">
        <f>IFERROR(__xludf.DUMMYFUNCTION("""COMPUTED_VALUE"""),FALSE)</f>
        <v>0</v>
      </c>
      <c r="N1709" s="35" t="b">
        <f>IFERROR(__xludf.DUMMYFUNCTION("""COMPUTED_VALUE"""),FALSE)</f>
        <v>0</v>
      </c>
      <c r="O1709" s="35">
        <f>IFERROR(__xludf.DUMMYFUNCTION("""COMPUTED_VALUE"""),63.5638629283489)</f>
        <v>63.56386293</v>
      </c>
      <c r="P1709" s="35">
        <f>IFERROR(__xludf.DUMMYFUNCTION("""COMPUTED_VALUE"""),5101.0)</f>
        <v>5101</v>
      </c>
      <c r="Q1709" s="35">
        <f>IFERROR(__xludf.DUMMYFUNCTION("""COMPUTED_VALUE"""),8025.0)</f>
        <v>8025</v>
      </c>
    </row>
    <row r="1710">
      <c r="A1710" s="35">
        <f>IFERROR(__xludf.DUMMYFUNCTION("""COMPUTED_VALUE"""),1852.0)</f>
        <v>1852</v>
      </c>
      <c r="B1710" s="35" t="str">
        <f>IFERROR(__xludf.DUMMYFUNCTION("""COMPUTED_VALUE"""),"Biggest Window Between Visits")</f>
        <v>Biggest Window Between Visits</v>
      </c>
      <c r="C1710" s="35" t="str">
        <f>IFERROR(__xludf.DUMMYFUNCTION("""COMPUTED_VALUE"""),"biggest-window-between-visits")</f>
        <v>biggest-window-between-visits</v>
      </c>
      <c r="D1710" s="35" t="b">
        <f>IFERROR(__xludf.DUMMYFUNCTION("""COMPUTED_VALUE"""),TRUE)</f>
        <v>1</v>
      </c>
      <c r="E1710" s="35" t="str">
        <f>IFERROR(__xludf.DUMMYFUNCTION("""COMPUTED_VALUE"""),"Medium")</f>
        <v>Medium</v>
      </c>
      <c r="F1710" s="35">
        <f>IFERROR(__xludf.DUMMYFUNCTION("""COMPUTED_VALUE"""),88.0)</f>
        <v>88</v>
      </c>
      <c r="G1710" s="35">
        <f>IFERROR(__xludf.DUMMYFUNCTION("""COMPUTED_VALUE"""),4.0)</f>
        <v>4</v>
      </c>
      <c r="H1710" s="35" t="str">
        <f>IFERROR(__xludf.DUMMYFUNCTION("""COMPUTED_VALUE"""),"Database")</f>
        <v>Database</v>
      </c>
      <c r="I1710" s="35">
        <f>IFERROR(__xludf.DUMMYFUNCTION("""COMPUTED_VALUE"""),0.781)</f>
        <v>0.781</v>
      </c>
      <c r="J1710" s="35">
        <f>IFERROR(__xludf.DUMMYFUNCTION("""COMPUTED_VALUE"""),1709.0)</f>
        <v>1709</v>
      </c>
      <c r="K1710" s="35" t="b">
        <f>IFERROR(__xludf.DUMMYFUNCTION("""COMPUTED_VALUE"""),TRUE)</f>
        <v>1</v>
      </c>
      <c r="L1710" s="35" t="str">
        <f>IFERROR(__xludf.DUMMYFUNCTION("""COMPUTED_VALUE"""),"Database;")</f>
        <v>Database;</v>
      </c>
      <c r="M1710" s="35" t="b">
        <f>IFERROR(__xludf.DUMMYFUNCTION("""COMPUTED_VALUE"""),FALSE)</f>
        <v>0</v>
      </c>
      <c r="N1710" s="35" t="b">
        <f>IFERROR(__xludf.DUMMYFUNCTION("""COMPUTED_VALUE"""),FALSE)</f>
        <v>0</v>
      </c>
      <c r="O1710" s="35">
        <f>IFERROR(__xludf.DUMMYFUNCTION("""COMPUTED_VALUE"""),78.0863396487585)</f>
        <v>78.08633965</v>
      </c>
      <c r="P1710" s="35">
        <f>IFERROR(__xludf.DUMMYFUNCTION("""COMPUTED_VALUE"""),9026.0)</f>
        <v>9026</v>
      </c>
      <c r="Q1710" s="35">
        <f>IFERROR(__xludf.DUMMYFUNCTION("""COMPUTED_VALUE"""),11559.0)</f>
        <v>11559</v>
      </c>
    </row>
    <row r="1711">
      <c r="A1711" s="35">
        <f>IFERROR(__xludf.DUMMYFUNCTION("""COMPUTED_VALUE"""),1829.0)</f>
        <v>1829</v>
      </c>
      <c r="B1711" s="35" t="str">
        <f>IFERROR(__xludf.DUMMYFUNCTION("""COMPUTED_VALUE"""),"Maximum Units on a Truck")</f>
        <v>Maximum Units on a Truck</v>
      </c>
      <c r="C1711" s="35" t="str">
        <f>IFERROR(__xludf.DUMMYFUNCTION("""COMPUTED_VALUE"""),"maximum-units-on-a-truck")</f>
        <v>maximum-units-on-a-truck</v>
      </c>
      <c r="D1711" s="35" t="b">
        <f>IFERROR(__xludf.DUMMYFUNCTION("""COMPUTED_VALUE"""),FALSE)</f>
        <v>0</v>
      </c>
      <c r="E1711" s="35" t="str">
        <f>IFERROR(__xludf.DUMMYFUNCTION("""COMPUTED_VALUE"""),"Easy")</f>
        <v>Easy</v>
      </c>
      <c r="F1711" s="35">
        <f>IFERROR(__xludf.DUMMYFUNCTION("""COMPUTED_VALUE"""),1436.0)</f>
        <v>1436</v>
      </c>
      <c r="G1711" s="35">
        <f>IFERROR(__xludf.DUMMYFUNCTION("""COMPUTED_VALUE"""),100.0)</f>
        <v>100</v>
      </c>
      <c r="H1711" s="35" t="str">
        <f>IFERROR(__xludf.DUMMYFUNCTION("""COMPUTED_VALUE"""),"Algorithms")</f>
        <v>Algorithms</v>
      </c>
      <c r="I1711" s="35">
        <f>IFERROR(__xludf.DUMMYFUNCTION("""COMPUTED_VALUE"""),0.721)</f>
        <v>0.721</v>
      </c>
      <c r="J1711" s="35">
        <f>IFERROR(__xludf.DUMMYFUNCTION("""COMPUTED_VALUE"""),1710.0)</f>
        <v>1710</v>
      </c>
      <c r="K1711" s="35" t="b">
        <f>IFERROR(__xludf.DUMMYFUNCTION("""COMPUTED_VALUE"""),FALSE)</f>
        <v>0</v>
      </c>
      <c r="L1711" s="35" t="str">
        <f>IFERROR(__xludf.DUMMYFUNCTION("""COMPUTED_VALUE"""),"Array;Greedy;Sorting;")</f>
        <v>Array;Greedy;Sorting;</v>
      </c>
      <c r="M1711" s="35" t="b">
        <f>IFERROR(__xludf.DUMMYFUNCTION("""COMPUTED_VALUE"""),TRUE)</f>
        <v>1</v>
      </c>
      <c r="N1711" s="35" t="b">
        <f>IFERROR(__xludf.DUMMYFUNCTION("""COMPUTED_VALUE"""),FALSE)</f>
        <v>0</v>
      </c>
      <c r="O1711" s="35">
        <f>IFERROR(__xludf.DUMMYFUNCTION("""COMPUTED_VALUE"""),72.0809519242161)</f>
        <v>72.08095192</v>
      </c>
      <c r="P1711" s="35">
        <f>IFERROR(__xludf.DUMMYFUNCTION("""COMPUTED_VALUE"""),127755.0)</f>
        <v>127755</v>
      </c>
      <c r="Q1711" s="35">
        <f>IFERROR(__xludf.DUMMYFUNCTION("""COMPUTED_VALUE"""),177239.0)</f>
        <v>177239</v>
      </c>
    </row>
    <row r="1712">
      <c r="A1712" s="35">
        <f>IFERROR(__xludf.DUMMYFUNCTION("""COMPUTED_VALUE"""),1830.0)</f>
        <v>1830</v>
      </c>
      <c r="B1712" s="35" t="str">
        <f>IFERROR(__xludf.DUMMYFUNCTION("""COMPUTED_VALUE"""),"Count Good Meals")</f>
        <v>Count Good Meals</v>
      </c>
      <c r="C1712" s="35" t="str">
        <f>IFERROR(__xludf.DUMMYFUNCTION("""COMPUTED_VALUE"""),"count-good-meals")</f>
        <v>count-good-meals</v>
      </c>
      <c r="D1712" s="35" t="b">
        <f>IFERROR(__xludf.DUMMYFUNCTION("""COMPUTED_VALUE"""),FALSE)</f>
        <v>0</v>
      </c>
      <c r="E1712" s="35" t="str">
        <f>IFERROR(__xludf.DUMMYFUNCTION("""COMPUTED_VALUE"""),"Medium")</f>
        <v>Medium</v>
      </c>
      <c r="F1712" s="35">
        <f>IFERROR(__xludf.DUMMYFUNCTION("""COMPUTED_VALUE"""),498.0)</f>
        <v>498</v>
      </c>
      <c r="G1712" s="35">
        <f>IFERROR(__xludf.DUMMYFUNCTION("""COMPUTED_VALUE"""),185.0)</f>
        <v>185</v>
      </c>
      <c r="H1712" s="35" t="str">
        <f>IFERROR(__xludf.DUMMYFUNCTION("""COMPUTED_VALUE"""),"Algorithms")</f>
        <v>Algorithms</v>
      </c>
      <c r="I1712" s="35">
        <f>IFERROR(__xludf.DUMMYFUNCTION("""COMPUTED_VALUE"""),0.282)</f>
        <v>0.282</v>
      </c>
      <c r="J1712" s="35">
        <f>IFERROR(__xludf.DUMMYFUNCTION("""COMPUTED_VALUE"""),1711.0)</f>
        <v>1711</v>
      </c>
      <c r="K1712" s="35" t="b">
        <f>IFERROR(__xludf.DUMMYFUNCTION("""COMPUTED_VALUE"""),FALSE)</f>
        <v>0</v>
      </c>
      <c r="L1712" s="35" t="str">
        <f>IFERROR(__xludf.DUMMYFUNCTION("""COMPUTED_VALUE"""),"Array;Hash Table;")</f>
        <v>Array;Hash Table;</v>
      </c>
      <c r="M1712" s="35" t="b">
        <f>IFERROR(__xludf.DUMMYFUNCTION("""COMPUTED_VALUE"""),FALSE)</f>
        <v>0</v>
      </c>
      <c r="N1712" s="35" t="b">
        <f>IFERROR(__xludf.DUMMYFUNCTION("""COMPUTED_VALUE"""),FALSE)</f>
        <v>0</v>
      </c>
      <c r="O1712" s="35">
        <f>IFERROR(__xludf.DUMMYFUNCTION("""COMPUTED_VALUE"""),28.1833215213796)</f>
        <v>28.18332152</v>
      </c>
      <c r="P1712" s="35">
        <f>IFERROR(__xludf.DUMMYFUNCTION("""COMPUTED_VALUE"""),22667.0)</f>
        <v>22667</v>
      </c>
      <c r="Q1712" s="35">
        <f>IFERROR(__xludf.DUMMYFUNCTION("""COMPUTED_VALUE"""),80427.0)</f>
        <v>80427</v>
      </c>
    </row>
    <row r="1713">
      <c r="A1713" s="35">
        <f>IFERROR(__xludf.DUMMYFUNCTION("""COMPUTED_VALUE"""),1831.0)</f>
        <v>1831</v>
      </c>
      <c r="B1713" s="35" t="str">
        <f>IFERROR(__xludf.DUMMYFUNCTION("""COMPUTED_VALUE"""),"Ways to Split Array Into Three Subarrays")</f>
        <v>Ways to Split Array Into Three Subarrays</v>
      </c>
      <c r="C1713" s="35" t="str">
        <f>IFERROR(__xludf.DUMMYFUNCTION("""COMPUTED_VALUE"""),"ways-to-split-array-into-three-subarrays")</f>
        <v>ways-to-split-array-into-three-subarrays</v>
      </c>
      <c r="D1713" s="35" t="b">
        <f>IFERROR(__xludf.DUMMYFUNCTION("""COMPUTED_VALUE"""),FALSE)</f>
        <v>0</v>
      </c>
      <c r="E1713" s="35" t="str">
        <f>IFERROR(__xludf.DUMMYFUNCTION("""COMPUTED_VALUE"""),"Medium")</f>
        <v>Medium</v>
      </c>
      <c r="F1713" s="35">
        <f>IFERROR(__xludf.DUMMYFUNCTION("""COMPUTED_VALUE"""),724.0)</f>
        <v>724</v>
      </c>
      <c r="G1713" s="35">
        <f>IFERROR(__xludf.DUMMYFUNCTION("""COMPUTED_VALUE"""),68.0)</f>
        <v>68</v>
      </c>
      <c r="H1713" s="35" t="str">
        <f>IFERROR(__xludf.DUMMYFUNCTION("""COMPUTED_VALUE"""),"Algorithms")</f>
        <v>Algorithms</v>
      </c>
      <c r="I1713" s="35">
        <f>IFERROR(__xludf.DUMMYFUNCTION("""COMPUTED_VALUE"""),0.308)</f>
        <v>0.308</v>
      </c>
      <c r="J1713" s="35">
        <f>IFERROR(__xludf.DUMMYFUNCTION("""COMPUTED_VALUE"""),1712.0)</f>
        <v>1712</v>
      </c>
      <c r="K1713" s="35" t="b">
        <f>IFERROR(__xludf.DUMMYFUNCTION("""COMPUTED_VALUE"""),FALSE)</f>
        <v>0</v>
      </c>
      <c r="L1713" s="35" t="str">
        <f>IFERROR(__xludf.DUMMYFUNCTION("""COMPUTED_VALUE"""),"Array;Two Pointers;Binary Search;Prefix Sum;")</f>
        <v>Array;Two Pointers;Binary Search;Prefix Sum;</v>
      </c>
      <c r="M1713" s="35" t="b">
        <f>IFERROR(__xludf.DUMMYFUNCTION("""COMPUTED_VALUE"""),FALSE)</f>
        <v>0</v>
      </c>
      <c r="N1713" s="35" t="b">
        <f>IFERROR(__xludf.DUMMYFUNCTION("""COMPUTED_VALUE"""),FALSE)</f>
        <v>0</v>
      </c>
      <c r="O1713" s="35">
        <f>IFERROR(__xludf.DUMMYFUNCTION("""COMPUTED_VALUE"""),30.8048135781858)</f>
        <v>30.80481358</v>
      </c>
      <c r="P1713" s="35">
        <f>IFERROR(__xludf.DUMMYFUNCTION("""COMPUTED_VALUE"""),17712.0)</f>
        <v>17712</v>
      </c>
      <c r="Q1713" s="35">
        <f>IFERROR(__xludf.DUMMYFUNCTION("""COMPUTED_VALUE"""),57500.0)</f>
        <v>57500</v>
      </c>
    </row>
    <row r="1714">
      <c r="A1714" s="35">
        <f>IFERROR(__xludf.DUMMYFUNCTION("""COMPUTED_VALUE"""),1832.0)</f>
        <v>1832</v>
      </c>
      <c r="B1714" s="35" t="str">
        <f>IFERROR(__xludf.DUMMYFUNCTION("""COMPUTED_VALUE"""),"Minimum Operations to Make a Subsequence")</f>
        <v>Minimum Operations to Make a Subsequence</v>
      </c>
      <c r="C1714" s="35" t="str">
        <f>IFERROR(__xludf.DUMMYFUNCTION("""COMPUTED_VALUE"""),"minimum-operations-to-make-a-subsequence")</f>
        <v>minimum-operations-to-make-a-subsequence</v>
      </c>
      <c r="D1714" s="35" t="b">
        <f>IFERROR(__xludf.DUMMYFUNCTION("""COMPUTED_VALUE"""),FALSE)</f>
        <v>0</v>
      </c>
      <c r="E1714" s="35" t="str">
        <f>IFERROR(__xludf.DUMMYFUNCTION("""COMPUTED_VALUE"""),"Hard")</f>
        <v>Hard</v>
      </c>
      <c r="F1714" s="35">
        <f>IFERROR(__xludf.DUMMYFUNCTION("""COMPUTED_VALUE"""),394.0)</f>
        <v>394</v>
      </c>
      <c r="G1714" s="35">
        <f>IFERROR(__xludf.DUMMYFUNCTION("""COMPUTED_VALUE"""),5.0)</f>
        <v>5</v>
      </c>
      <c r="H1714" s="35" t="str">
        <f>IFERROR(__xludf.DUMMYFUNCTION("""COMPUTED_VALUE"""),"Algorithms")</f>
        <v>Algorithms</v>
      </c>
      <c r="I1714" s="35">
        <f>IFERROR(__xludf.DUMMYFUNCTION("""COMPUTED_VALUE"""),0.487)</f>
        <v>0.487</v>
      </c>
      <c r="J1714" s="35">
        <f>IFERROR(__xludf.DUMMYFUNCTION("""COMPUTED_VALUE"""),1713.0)</f>
        <v>1713</v>
      </c>
      <c r="K1714" s="35" t="b">
        <f>IFERROR(__xludf.DUMMYFUNCTION("""COMPUTED_VALUE"""),FALSE)</f>
        <v>0</v>
      </c>
      <c r="L1714" s="35" t="str">
        <f>IFERROR(__xludf.DUMMYFUNCTION("""COMPUTED_VALUE"""),"Array;Hash Table;Binary Search;Greedy;")</f>
        <v>Array;Hash Table;Binary Search;Greedy;</v>
      </c>
      <c r="M1714" s="35" t="b">
        <f>IFERROR(__xludf.DUMMYFUNCTION("""COMPUTED_VALUE"""),FALSE)</f>
        <v>0</v>
      </c>
      <c r="N1714" s="35" t="b">
        <f>IFERROR(__xludf.DUMMYFUNCTION("""COMPUTED_VALUE"""),FALSE)</f>
        <v>0</v>
      </c>
      <c r="O1714" s="35">
        <f>IFERROR(__xludf.DUMMYFUNCTION("""COMPUTED_VALUE"""),48.7219762958732)</f>
        <v>48.7219763</v>
      </c>
      <c r="P1714" s="35">
        <f>IFERROR(__xludf.DUMMYFUNCTION("""COMPUTED_VALUE"""),6824.0)</f>
        <v>6824</v>
      </c>
      <c r="Q1714" s="35">
        <f>IFERROR(__xludf.DUMMYFUNCTION("""COMPUTED_VALUE"""),14006.0)</f>
        <v>14006</v>
      </c>
    </row>
    <row r="1715">
      <c r="A1715" s="35">
        <f>IFERROR(__xludf.DUMMYFUNCTION("""COMPUTED_VALUE"""),1809.0)</f>
        <v>1809</v>
      </c>
      <c r="B1715" s="35" t="str">
        <f>IFERROR(__xludf.DUMMYFUNCTION("""COMPUTED_VALUE"""),"Sum Of Special Evenly-Spaced Elements In Array")</f>
        <v>Sum Of Special Evenly-Spaced Elements In Array</v>
      </c>
      <c r="C1715" s="35" t="str">
        <f>IFERROR(__xludf.DUMMYFUNCTION("""COMPUTED_VALUE"""),"sum-of-special-evenly-spaced-elements-in-array")</f>
        <v>sum-of-special-evenly-spaced-elements-in-array</v>
      </c>
      <c r="D1715" s="35" t="b">
        <f>IFERROR(__xludf.DUMMYFUNCTION("""COMPUTED_VALUE"""),TRUE)</f>
        <v>1</v>
      </c>
      <c r="E1715" s="35" t="str">
        <f>IFERROR(__xludf.DUMMYFUNCTION("""COMPUTED_VALUE"""),"Hard")</f>
        <v>Hard</v>
      </c>
      <c r="F1715" s="35">
        <f>IFERROR(__xludf.DUMMYFUNCTION("""COMPUTED_VALUE"""),17.0)</f>
        <v>17</v>
      </c>
      <c r="G1715" s="35">
        <f>IFERROR(__xludf.DUMMYFUNCTION("""COMPUTED_VALUE"""),16.0)</f>
        <v>16</v>
      </c>
      <c r="H1715" s="35" t="str">
        <f>IFERROR(__xludf.DUMMYFUNCTION("""COMPUTED_VALUE"""),"Algorithms")</f>
        <v>Algorithms</v>
      </c>
      <c r="I1715" s="35">
        <f>IFERROR(__xludf.DUMMYFUNCTION("""COMPUTED_VALUE"""),0.521)</f>
        <v>0.521</v>
      </c>
      <c r="J1715" s="35">
        <f>IFERROR(__xludf.DUMMYFUNCTION("""COMPUTED_VALUE"""),1714.0)</f>
        <v>1714</v>
      </c>
      <c r="K1715" s="35" t="b">
        <f>IFERROR(__xludf.DUMMYFUNCTION("""COMPUTED_VALUE"""),TRUE)</f>
        <v>1</v>
      </c>
      <c r="L1715" s="35" t="str">
        <f>IFERROR(__xludf.DUMMYFUNCTION("""COMPUTED_VALUE"""),"Array;Dynamic Programming;")</f>
        <v>Array;Dynamic Programming;</v>
      </c>
      <c r="M1715" s="35" t="b">
        <f>IFERROR(__xludf.DUMMYFUNCTION("""COMPUTED_VALUE"""),FALSE)</f>
        <v>0</v>
      </c>
      <c r="N1715" s="35" t="b">
        <f>IFERROR(__xludf.DUMMYFUNCTION("""COMPUTED_VALUE"""),FALSE)</f>
        <v>0</v>
      </c>
      <c r="O1715" s="35">
        <f>IFERROR(__xludf.DUMMYFUNCTION("""COMPUTED_VALUE"""),52.0925110132158)</f>
        <v>52.09251101</v>
      </c>
      <c r="P1715" s="35">
        <f>IFERROR(__xludf.DUMMYFUNCTION("""COMPUTED_VALUE"""),946.0)</f>
        <v>946</v>
      </c>
      <c r="Q1715" s="35">
        <f>IFERROR(__xludf.DUMMYFUNCTION("""COMPUTED_VALUE"""),1816.0)</f>
        <v>1816</v>
      </c>
    </row>
    <row r="1716">
      <c r="A1716" s="35">
        <f>IFERROR(__xludf.DUMMYFUNCTION("""COMPUTED_VALUE"""),1862.0)</f>
        <v>1862</v>
      </c>
      <c r="B1716" s="35" t="str">
        <f>IFERROR(__xludf.DUMMYFUNCTION("""COMPUTED_VALUE"""),"Count Apples and Oranges")</f>
        <v>Count Apples and Oranges</v>
      </c>
      <c r="C1716" s="35" t="str">
        <f>IFERROR(__xludf.DUMMYFUNCTION("""COMPUTED_VALUE"""),"count-apples-and-oranges")</f>
        <v>count-apples-and-oranges</v>
      </c>
      <c r="D1716" s="35" t="b">
        <f>IFERROR(__xludf.DUMMYFUNCTION("""COMPUTED_VALUE"""),TRUE)</f>
        <v>1</v>
      </c>
      <c r="E1716" s="35" t="str">
        <f>IFERROR(__xludf.DUMMYFUNCTION("""COMPUTED_VALUE"""),"Medium")</f>
        <v>Medium</v>
      </c>
      <c r="F1716" s="35">
        <f>IFERROR(__xludf.DUMMYFUNCTION("""COMPUTED_VALUE"""),47.0)</f>
        <v>47</v>
      </c>
      <c r="G1716" s="35">
        <f>IFERROR(__xludf.DUMMYFUNCTION("""COMPUTED_VALUE"""),7.0)</f>
        <v>7</v>
      </c>
      <c r="H1716" s="35" t="str">
        <f>IFERROR(__xludf.DUMMYFUNCTION("""COMPUTED_VALUE"""),"Database")</f>
        <v>Database</v>
      </c>
      <c r="I1716" s="35">
        <f>IFERROR(__xludf.DUMMYFUNCTION("""COMPUTED_VALUE"""),0.78)</f>
        <v>0.78</v>
      </c>
      <c r="J1716" s="35">
        <f>IFERROR(__xludf.DUMMYFUNCTION("""COMPUTED_VALUE"""),1715.0)</f>
        <v>1715</v>
      </c>
      <c r="K1716" s="35" t="b">
        <f>IFERROR(__xludf.DUMMYFUNCTION("""COMPUTED_VALUE"""),TRUE)</f>
        <v>1</v>
      </c>
      <c r="L1716" s="35" t="str">
        <f>IFERROR(__xludf.DUMMYFUNCTION("""COMPUTED_VALUE"""),"Database;")</f>
        <v>Database;</v>
      </c>
      <c r="M1716" s="35" t="b">
        <f>IFERROR(__xludf.DUMMYFUNCTION("""COMPUTED_VALUE"""),FALSE)</f>
        <v>0</v>
      </c>
      <c r="N1716" s="35" t="b">
        <f>IFERROR(__xludf.DUMMYFUNCTION("""COMPUTED_VALUE"""),FALSE)</f>
        <v>0</v>
      </c>
      <c r="O1716" s="35">
        <f>IFERROR(__xludf.DUMMYFUNCTION("""COMPUTED_VALUE"""),77.9509580065521)</f>
        <v>77.95095801</v>
      </c>
      <c r="P1716" s="35">
        <f>IFERROR(__xludf.DUMMYFUNCTION("""COMPUTED_VALUE"""),7852.0)</f>
        <v>7852</v>
      </c>
      <c r="Q1716" s="35">
        <f>IFERROR(__xludf.DUMMYFUNCTION("""COMPUTED_VALUE"""),10073.0)</f>
        <v>10073</v>
      </c>
    </row>
    <row r="1717">
      <c r="A1717" s="35">
        <f>IFERROR(__xludf.DUMMYFUNCTION("""COMPUTED_VALUE"""),1817.0)</f>
        <v>1817</v>
      </c>
      <c r="B1717" s="35" t="str">
        <f>IFERROR(__xludf.DUMMYFUNCTION("""COMPUTED_VALUE"""),"Calculate Money in Leetcode Bank")</f>
        <v>Calculate Money in Leetcode Bank</v>
      </c>
      <c r="C1717" s="35" t="str">
        <f>IFERROR(__xludf.DUMMYFUNCTION("""COMPUTED_VALUE"""),"calculate-money-in-leetcode-bank")</f>
        <v>calculate-money-in-leetcode-bank</v>
      </c>
      <c r="D1717" s="35" t="b">
        <f>IFERROR(__xludf.DUMMYFUNCTION("""COMPUTED_VALUE"""),FALSE)</f>
        <v>0</v>
      </c>
      <c r="E1717" s="35" t="str">
        <f>IFERROR(__xludf.DUMMYFUNCTION("""COMPUTED_VALUE"""),"Easy")</f>
        <v>Easy</v>
      </c>
      <c r="F1717" s="35">
        <f>IFERROR(__xludf.DUMMYFUNCTION("""COMPUTED_VALUE"""),412.0)</f>
        <v>412</v>
      </c>
      <c r="G1717" s="35">
        <f>IFERROR(__xludf.DUMMYFUNCTION("""COMPUTED_VALUE"""),14.0)</f>
        <v>14</v>
      </c>
      <c r="H1717" s="35" t="str">
        <f>IFERROR(__xludf.DUMMYFUNCTION("""COMPUTED_VALUE"""),"Algorithms")</f>
        <v>Algorithms</v>
      </c>
      <c r="I1717" s="35">
        <f>IFERROR(__xludf.DUMMYFUNCTION("""COMPUTED_VALUE"""),0.649)</f>
        <v>0.649</v>
      </c>
      <c r="J1717" s="35">
        <f>IFERROR(__xludf.DUMMYFUNCTION("""COMPUTED_VALUE"""),1716.0)</f>
        <v>1716</v>
      </c>
      <c r="K1717" s="35" t="b">
        <f>IFERROR(__xludf.DUMMYFUNCTION("""COMPUTED_VALUE"""),FALSE)</f>
        <v>0</v>
      </c>
      <c r="L1717" s="35" t="str">
        <f>IFERROR(__xludf.DUMMYFUNCTION("""COMPUTED_VALUE"""),"Math;")</f>
        <v>Math;</v>
      </c>
      <c r="M1717" s="35" t="b">
        <f>IFERROR(__xludf.DUMMYFUNCTION("""COMPUTED_VALUE"""),FALSE)</f>
        <v>0</v>
      </c>
      <c r="N1717" s="35" t="b">
        <f>IFERROR(__xludf.DUMMYFUNCTION("""COMPUTED_VALUE"""),FALSE)</f>
        <v>0</v>
      </c>
      <c r="O1717" s="35">
        <f>IFERROR(__xludf.DUMMYFUNCTION("""COMPUTED_VALUE"""),64.8506795626962)</f>
        <v>64.85067956</v>
      </c>
      <c r="P1717" s="35">
        <f>IFERROR(__xludf.DUMMYFUNCTION("""COMPUTED_VALUE"""),28295.0)</f>
        <v>28295</v>
      </c>
      <c r="Q1717" s="35">
        <f>IFERROR(__xludf.DUMMYFUNCTION("""COMPUTED_VALUE"""),43631.0)</f>
        <v>43631</v>
      </c>
    </row>
    <row r="1718">
      <c r="A1718" s="35">
        <f>IFERROR(__xludf.DUMMYFUNCTION("""COMPUTED_VALUE"""),1818.0)</f>
        <v>1818</v>
      </c>
      <c r="B1718" s="35" t="str">
        <f>IFERROR(__xludf.DUMMYFUNCTION("""COMPUTED_VALUE"""),"Maximum Score From Removing Substrings")</f>
        <v>Maximum Score From Removing Substrings</v>
      </c>
      <c r="C1718" s="35" t="str">
        <f>IFERROR(__xludf.DUMMYFUNCTION("""COMPUTED_VALUE"""),"maximum-score-from-removing-substrings")</f>
        <v>maximum-score-from-removing-substrings</v>
      </c>
      <c r="D1718" s="35" t="b">
        <f>IFERROR(__xludf.DUMMYFUNCTION("""COMPUTED_VALUE"""),FALSE)</f>
        <v>0</v>
      </c>
      <c r="E1718" s="35" t="str">
        <f>IFERROR(__xludf.DUMMYFUNCTION("""COMPUTED_VALUE"""),"Medium")</f>
        <v>Medium</v>
      </c>
      <c r="F1718" s="35">
        <f>IFERROR(__xludf.DUMMYFUNCTION("""COMPUTED_VALUE"""),379.0)</f>
        <v>379</v>
      </c>
      <c r="G1718" s="35">
        <f>IFERROR(__xludf.DUMMYFUNCTION("""COMPUTED_VALUE"""),18.0)</f>
        <v>18</v>
      </c>
      <c r="H1718" s="35" t="str">
        <f>IFERROR(__xludf.DUMMYFUNCTION("""COMPUTED_VALUE"""),"Algorithms")</f>
        <v>Algorithms</v>
      </c>
      <c r="I1718" s="35">
        <f>IFERROR(__xludf.DUMMYFUNCTION("""COMPUTED_VALUE"""),0.444)</f>
        <v>0.444</v>
      </c>
      <c r="J1718" s="35">
        <f>IFERROR(__xludf.DUMMYFUNCTION("""COMPUTED_VALUE"""),1717.0)</f>
        <v>1717</v>
      </c>
      <c r="K1718" s="35" t="b">
        <f>IFERROR(__xludf.DUMMYFUNCTION("""COMPUTED_VALUE"""),FALSE)</f>
        <v>0</v>
      </c>
      <c r="L1718" s="35" t="str">
        <f>IFERROR(__xludf.DUMMYFUNCTION("""COMPUTED_VALUE"""),"String;Stack;Greedy;")</f>
        <v>String;Stack;Greedy;</v>
      </c>
      <c r="M1718" s="35" t="b">
        <f>IFERROR(__xludf.DUMMYFUNCTION("""COMPUTED_VALUE"""),FALSE)</f>
        <v>0</v>
      </c>
      <c r="N1718" s="35" t="b">
        <f>IFERROR(__xludf.DUMMYFUNCTION("""COMPUTED_VALUE"""),FALSE)</f>
        <v>0</v>
      </c>
      <c r="O1718" s="35">
        <f>IFERROR(__xludf.DUMMYFUNCTION("""COMPUTED_VALUE"""),44.4378581308041)</f>
        <v>44.43785813</v>
      </c>
      <c r="P1718" s="35">
        <f>IFERROR(__xludf.DUMMYFUNCTION("""COMPUTED_VALUE"""),8996.0)</f>
        <v>8996</v>
      </c>
      <c r="Q1718" s="35">
        <f>IFERROR(__xludf.DUMMYFUNCTION("""COMPUTED_VALUE"""),20244.0)</f>
        <v>20244</v>
      </c>
    </row>
    <row r="1719">
      <c r="A1719" s="35">
        <f>IFERROR(__xludf.DUMMYFUNCTION("""COMPUTED_VALUE"""),1819.0)</f>
        <v>1819</v>
      </c>
      <c r="B1719" s="35" t="str">
        <f>IFERROR(__xludf.DUMMYFUNCTION("""COMPUTED_VALUE"""),"Construct the Lexicographically Largest Valid Sequence")</f>
        <v>Construct the Lexicographically Largest Valid Sequence</v>
      </c>
      <c r="C1719" s="35" t="str">
        <f>IFERROR(__xludf.DUMMYFUNCTION("""COMPUTED_VALUE"""),"construct-the-lexicographically-largest-valid-sequence")</f>
        <v>construct-the-lexicographically-largest-valid-sequence</v>
      </c>
      <c r="D1719" s="35" t="b">
        <f>IFERROR(__xludf.DUMMYFUNCTION("""COMPUTED_VALUE"""),FALSE)</f>
        <v>0</v>
      </c>
      <c r="E1719" s="35" t="str">
        <f>IFERROR(__xludf.DUMMYFUNCTION("""COMPUTED_VALUE"""),"Medium")</f>
        <v>Medium</v>
      </c>
      <c r="F1719" s="35">
        <f>IFERROR(__xludf.DUMMYFUNCTION("""COMPUTED_VALUE"""),362.0)</f>
        <v>362</v>
      </c>
      <c r="G1719" s="35">
        <f>IFERROR(__xludf.DUMMYFUNCTION("""COMPUTED_VALUE"""),33.0)</f>
        <v>33</v>
      </c>
      <c r="H1719" s="35" t="str">
        <f>IFERROR(__xludf.DUMMYFUNCTION("""COMPUTED_VALUE"""),"Algorithms")</f>
        <v>Algorithms</v>
      </c>
      <c r="I1719" s="35">
        <f>IFERROR(__xludf.DUMMYFUNCTION("""COMPUTED_VALUE"""),0.511)</f>
        <v>0.511</v>
      </c>
      <c r="J1719" s="35">
        <f>IFERROR(__xludf.DUMMYFUNCTION("""COMPUTED_VALUE"""),1718.0)</f>
        <v>1718</v>
      </c>
      <c r="K1719" s="35" t="b">
        <f>IFERROR(__xludf.DUMMYFUNCTION("""COMPUTED_VALUE"""),FALSE)</f>
        <v>0</v>
      </c>
      <c r="L1719" s="35" t="str">
        <f>IFERROR(__xludf.DUMMYFUNCTION("""COMPUTED_VALUE"""),"Array;Backtracking;")</f>
        <v>Array;Backtracking;</v>
      </c>
      <c r="M1719" s="35" t="b">
        <f>IFERROR(__xludf.DUMMYFUNCTION("""COMPUTED_VALUE"""),FALSE)</f>
        <v>0</v>
      </c>
      <c r="N1719" s="35" t="b">
        <f>IFERROR(__xludf.DUMMYFUNCTION("""COMPUTED_VALUE"""),FALSE)</f>
        <v>0</v>
      </c>
      <c r="O1719" s="35">
        <f>IFERROR(__xludf.DUMMYFUNCTION("""COMPUTED_VALUE"""),51.0842645726366)</f>
        <v>51.08426457</v>
      </c>
      <c r="P1719" s="35">
        <f>IFERROR(__xludf.DUMMYFUNCTION("""COMPUTED_VALUE"""),8457.0)</f>
        <v>8457</v>
      </c>
      <c r="Q1719" s="35">
        <f>IFERROR(__xludf.DUMMYFUNCTION("""COMPUTED_VALUE"""),16555.0)</f>
        <v>16555</v>
      </c>
    </row>
    <row r="1720">
      <c r="A1720" s="35">
        <f>IFERROR(__xludf.DUMMYFUNCTION("""COMPUTED_VALUE"""),1820.0)</f>
        <v>1820</v>
      </c>
      <c r="B1720" s="35" t="str">
        <f>IFERROR(__xludf.DUMMYFUNCTION("""COMPUTED_VALUE"""),"Number Of Ways To Reconstruct A Tree")</f>
        <v>Number Of Ways To Reconstruct A Tree</v>
      </c>
      <c r="C1720" s="35" t="str">
        <f>IFERROR(__xludf.DUMMYFUNCTION("""COMPUTED_VALUE"""),"number-of-ways-to-reconstruct-a-tree")</f>
        <v>number-of-ways-to-reconstruct-a-tree</v>
      </c>
      <c r="D1720" s="35" t="b">
        <f>IFERROR(__xludf.DUMMYFUNCTION("""COMPUTED_VALUE"""),FALSE)</f>
        <v>0</v>
      </c>
      <c r="E1720" s="35" t="str">
        <f>IFERROR(__xludf.DUMMYFUNCTION("""COMPUTED_VALUE"""),"Hard")</f>
        <v>Hard</v>
      </c>
      <c r="F1720" s="35">
        <f>IFERROR(__xludf.DUMMYFUNCTION("""COMPUTED_VALUE"""),112.0)</f>
        <v>112</v>
      </c>
      <c r="G1720" s="35">
        <f>IFERROR(__xludf.DUMMYFUNCTION("""COMPUTED_VALUE"""),86.0)</f>
        <v>86</v>
      </c>
      <c r="H1720" s="35" t="str">
        <f>IFERROR(__xludf.DUMMYFUNCTION("""COMPUTED_VALUE"""),"Algorithms")</f>
        <v>Algorithms</v>
      </c>
      <c r="I1720" s="35">
        <f>IFERROR(__xludf.DUMMYFUNCTION("""COMPUTED_VALUE"""),0.421)</f>
        <v>0.421</v>
      </c>
      <c r="J1720" s="35">
        <f>IFERROR(__xludf.DUMMYFUNCTION("""COMPUTED_VALUE"""),1719.0)</f>
        <v>1719</v>
      </c>
      <c r="K1720" s="35" t="b">
        <f>IFERROR(__xludf.DUMMYFUNCTION("""COMPUTED_VALUE"""),FALSE)</f>
        <v>0</v>
      </c>
      <c r="L1720" s="35" t="str">
        <f>IFERROR(__xludf.DUMMYFUNCTION("""COMPUTED_VALUE"""),"Tree;Graph;Topological Sort;")</f>
        <v>Tree;Graph;Topological Sort;</v>
      </c>
      <c r="M1720" s="35" t="b">
        <f>IFERROR(__xludf.DUMMYFUNCTION("""COMPUTED_VALUE"""),FALSE)</f>
        <v>0</v>
      </c>
      <c r="N1720" s="35" t="b">
        <f>IFERROR(__xludf.DUMMYFUNCTION("""COMPUTED_VALUE"""),FALSE)</f>
        <v>0</v>
      </c>
      <c r="O1720" s="35">
        <f>IFERROR(__xludf.DUMMYFUNCTION("""COMPUTED_VALUE"""),42.0763087843833)</f>
        <v>42.07630878</v>
      </c>
      <c r="P1720" s="35">
        <f>IFERROR(__xludf.DUMMYFUNCTION("""COMPUTED_VALUE"""),2371.0)</f>
        <v>2371</v>
      </c>
      <c r="Q1720" s="35">
        <f>IFERROR(__xludf.DUMMYFUNCTION("""COMPUTED_VALUE"""),5635.0)</f>
        <v>5635</v>
      </c>
    </row>
    <row r="1721">
      <c r="A1721" s="35">
        <f>IFERROR(__xludf.DUMMYFUNCTION("""COMPUTED_VALUE"""),1839.0)</f>
        <v>1839</v>
      </c>
      <c r="B1721" s="35" t="str">
        <f>IFERROR(__xludf.DUMMYFUNCTION("""COMPUTED_VALUE"""),"Decode XORed Array")</f>
        <v>Decode XORed Array</v>
      </c>
      <c r="C1721" s="35" t="str">
        <f>IFERROR(__xludf.DUMMYFUNCTION("""COMPUTED_VALUE"""),"decode-xored-array")</f>
        <v>decode-xored-array</v>
      </c>
      <c r="D1721" s="35" t="b">
        <f>IFERROR(__xludf.DUMMYFUNCTION("""COMPUTED_VALUE"""),FALSE)</f>
        <v>0</v>
      </c>
      <c r="E1721" s="35" t="str">
        <f>IFERROR(__xludf.DUMMYFUNCTION("""COMPUTED_VALUE"""),"Easy")</f>
        <v>Easy</v>
      </c>
      <c r="F1721" s="35">
        <f>IFERROR(__xludf.DUMMYFUNCTION("""COMPUTED_VALUE"""),678.0)</f>
        <v>678</v>
      </c>
      <c r="G1721" s="35">
        <f>IFERROR(__xludf.DUMMYFUNCTION("""COMPUTED_VALUE"""),130.0)</f>
        <v>130</v>
      </c>
      <c r="H1721" s="35" t="str">
        <f>IFERROR(__xludf.DUMMYFUNCTION("""COMPUTED_VALUE"""),"Algorithms")</f>
        <v>Algorithms</v>
      </c>
      <c r="I1721" s="35">
        <f>IFERROR(__xludf.DUMMYFUNCTION("""COMPUTED_VALUE"""),0.859)</f>
        <v>0.859</v>
      </c>
      <c r="J1721" s="35">
        <f>IFERROR(__xludf.DUMMYFUNCTION("""COMPUTED_VALUE"""),1720.0)</f>
        <v>1720</v>
      </c>
      <c r="K1721" s="35" t="b">
        <f>IFERROR(__xludf.DUMMYFUNCTION("""COMPUTED_VALUE"""),FALSE)</f>
        <v>0</v>
      </c>
      <c r="L1721" s="35" t="str">
        <f>IFERROR(__xludf.DUMMYFUNCTION("""COMPUTED_VALUE"""),"Array;Bit Manipulation;")</f>
        <v>Array;Bit Manipulation;</v>
      </c>
      <c r="M1721" s="35" t="b">
        <f>IFERROR(__xludf.DUMMYFUNCTION("""COMPUTED_VALUE"""),FALSE)</f>
        <v>0</v>
      </c>
      <c r="N1721" s="35" t="b">
        <f>IFERROR(__xludf.DUMMYFUNCTION("""COMPUTED_VALUE"""),FALSE)</f>
        <v>0</v>
      </c>
      <c r="O1721" s="35">
        <f>IFERROR(__xludf.DUMMYFUNCTION("""COMPUTED_VALUE"""),85.9251850370074)</f>
        <v>85.92518504</v>
      </c>
      <c r="P1721" s="35">
        <f>IFERROR(__xludf.DUMMYFUNCTION("""COMPUTED_VALUE"""),64430.0)</f>
        <v>64430</v>
      </c>
      <c r="Q1721" s="35">
        <f>IFERROR(__xludf.DUMMYFUNCTION("""COMPUTED_VALUE"""),74983.0)</f>
        <v>74983</v>
      </c>
    </row>
    <row r="1722">
      <c r="A1722" s="35">
        <f>IFERROR(__xludf.DUMMYFUNCTION("""COMPUTED_VALUE"""),528.0)</f>
        <v>528</v>
      </c>
      <c r="B1722" s="35" t="str">
        <f>IFERROR(__xludf.DUMMYFUNCTION("""COMPUTED_VALUE"""),"Swapping Nodes in a Linked List")</f>
        <v>Swapping Nodes in a Linked List</v>
      </c>
      <c r="C1722" s="35" t="str">
        <f>IFERROR(__xludf.DUMMYFUNCTION("""COMPUTED_VALUE"""),"swapping-nodes-in-a-linked-list")</f>
        <v>swapping-nodes-in-a-linked-list</v>
      </c>
      <c r="D1722" s="35" t="b">
        <f>IFERROR(__xludf.DUMMYFUNCTION("""COMPUTED_VALUE"""),FALSE)</f>
        <v>0</v>
      </c>
      <c r="E1722" s="35" t="str">
        <f>IFERROR(__xludf.DUMMYFUNCTION("""COMPUTED_VALUE"""),"Medium")</f>
        <v>Medium</v>
      </c>
      <c r="F1722" s="35">
        <f>IFERROR(__xludf.DUMMYFUNCTION("""COMPUTED_VALUE"""),1597.0)</f>
        <v>1597</v>
      </c>
      <c r="G1722" s="35">
        <f>IFERROR(__xludf.DUMMYFUNCTION("""COMPUTED_VALUE"""),73.0)</f>
        <v>73</v>
      </c>
      <c r="H1722" s="35" t="str">
        <f>IFERROR(__xludf.DUMMYFUNCTION("""COMPUTED_VALUE"""),"Algorithms")</f>
        <v>Algorithms</v>
      </c>
      <c r="I1722" s="35">
        <f>IFERROR(__xludf.DUMMYFUNCTION("""COMPUTED_VALUE"""),0.654)</f>
        <v>0.654</v>
      </c>
      <c r="J1722" s="35">
        <f>IFERROR(__xludf.DUMMYFUNCTION("""COMPUTED_VALUE"""),1721.0)</f>
        <v>1721</v>
      </c>
      <c r="K1722" s="35" t="b">
        <f>IFERROR(__xludf.DUMMYFUNCTION("""COMPUTED_VALUE"""),FALSE)</f>
        <v>0</v>
      </c>
      <c r="L1722" s="35" t="str">
        <f>IFERROR(__xludf.DUMMYFUNCTION("""COMPUTED_VALUE"""),"Linked List;Two Pointers;")</f>
        <v>Linked List;Two Pointers;</v>
      </c>
      <c r="M1722" s="35" t="b">
        <f>IFERROR(__xludf.DUMMYFUNCTION("""COMPUTED_VALUE"""),TRUE)</f>
        <v>1</v>
      </c>
      <c r="N1722" s="35" t="b">
        <f>IFERROR(__xludf.DUMMYFUNCTION("""COMPUTED_VALUE"""),FALSE)</f>
        <v>0</v>
      </c>
      <c r="O1722" s="35">
        <f>IFERROR(__xludf.DUMMYFUNCTION("""COMPUTED_VALUE"""),65.4329075963986)</f>
        <v>65.4329076</v>
      </c>
      <c r="P1722" s="35">
        <f>IFERROR(__xludf.DUMMYFUNCTION("""COMPUTED_VALUE"""),96876.0)</f>
        <v>96876</v>
      </c>
      <c r="Q1722" s="35">
        <f>IFERROR(__xludf.DUMMYFUNCTION("""COMPUTED_VALUE"""),148051.0)</f>
        <v>148051</v>
      </c>
    </row>
    <row r="1723">
      <c r="A1723" s="35">
        <f>IFERROR(__xludf.DUMMYFUNCTION("""COMPUTED_VALUE"""),1840.0)</f>
        <v>1840</v>
      </c>
      <c r="B1723" s="35" t="str">
        <f>IFERROR(__xludf.DUMMYFUNCTION("""COMPUTED_VALUE"""),"Minimize Hamming Distance After Swap Operations")</f>
        <v>Minimize Hamming Distance After Swap Operations</v>
      </c>
      <c r="C1723" s="35" t="str">
        <f>IFERROR(__xludf.DUMMYFUNCTION("""COMPUTED_VALUE"""),"minimize-hamming-distance-after-swap-operations")</f>
        <v>minimize-hamming-distance-after-swap-operations</v>
      </c>
      <c r="D1723" s="35" t="b">
        <f>IFERROR(__xludf.DUMMYFUNCTION("""COMPUTED_VALUE"""),FALSE)</f>
        <v>0</v>
      </c>
      <c r="E1723" s="35" t="str">
        <f>IFERROR(__xludf.DUMMYFUNCTION("""COMPUTED_VALUE"""),"Medium")</f>
        <v>Medium</v>
      </c>
      <c r="F1723" s="35">
        <f>IFERROR(__xludf.DUMMYFUNCTION("""COMPUTED_VALUE"""),533.0)</f>
        <v>533</v>
      </c>
      <c r="G1723" s="35">
        <f>IFERROR(__xludf.DUMMYFUNCTION("""COMPUTED_VALUE"""),16.0)</f>
        <v>16</v>
      </c>
      <c r="H1723" s="35" t="str">
        <f>IFERROR(__xludf.DUMMYFUNCTION("""COMPUTED_VALUE"""),"Algorithms")</f>
        <v>Algorithms</v>
      </c>
      <c r="I1723" s="35">
        <f>IFERROR(__xludf.DUMMYFUNCTION("""COMPUTED_VALUE"""),0.473)</f>
        <v>0.473</v>
      </c>
      <c r="J1723" s="35">
        <f>IFERROR(__xludf.DUMMYFUNCTION("""COMPUTED_VALUE"""),1722.0)</f>
        <v>1722</v>
      </c>
      <c r="K1723" s="35" t="b">
        <f>IFERROR(__xludf.DUMMYFUNCTION("""COMPUTED_VALUE"""),FALSE)</f>
        <v>0</v>
      </c>
      <c r="L1723" s="35" t="str">
        <f>IFERROR(__xludf.DUMMYFUNCTION("""COMPUTED_VALUE"""),"Array;Depth-First Search;Union Find;")</f>
        <v>Array;Depth-First Search;Union Find;</v>
      </c>
      <c r="M1723" s="35" t="b">
        <f>IFERROR(__xludf.DUMMYFUNCTION("""COMPUTED_VALUE"""),FALSE)</f>
        <v>0</v>
      </c>
      <c r="N1723" s="35" t="b">
        <f>IFERROR(__xludf.DUMMYFUNCTION("""COMPUTED_VALUE"""),FALSE)</f>
        <v>0</v>
      </c>
      <c r="O1723" s="35">
        <f>IFERROR(__xludf.DUMMYFUNCTION("""COMPUTED_VALUE"""),47.3369339426672)</f>
        <v>47.33693394</v>
      </c>
      <c r="P1723" s="35">
        <f>IFERROR(__xludf.DUMMYFUNCTION("""COMPUTED_VALUE"""),11394.0)</f>
        <v>11394</v>
      </c>
      <c r="Q1723" s="35">
        <f>IFERROR(__xludf.DUMMYFUNCTION("""COMPUTED_VALUE"""),24070.0)</f>
        <v>24070</v>
      </c>
    </row>
    <row r="1724">
      <c r="A1724" s="35">
        <f>IFERROR(__xludf.DUMMYFUNCTION("""COMPUTED_VALUE"""),1825.0)</f>
        <v>1825</v>
      </c>
      <c r="B1724" s="35" t="str">
        <f>IFERROR(__xludf.DUMMYFUNCTION("""COMPUTED_VALUE"""),"Find Minimum Time to Finish All Jobs")</f>
        <v>Find Minimum Time to Finish All Jobs</v>
      </c>
      <c r="C1724" s="35" t="str">
        <f>IFERROR(__xludf.DUMMYFUNCTION("""COMPUTED_VALUE"""),"find-minimum-time-to-finish-all-jobs")</f>
        <v>find-minimum-time-to-finish-all-jobs</v>
      </c>
      <c r="D1724" s="35" t="b">
        <f>IFERROR(__xludf.DUMMYFUNCTION("""COMPUTED_VALUE"""),FALSE)</f>
        <v>0</v>
      </c>
      <c r="E1724" s="35" t="str">
        <f>IFERROR(__xludf.DUMMYFUNCTION("""COMPUTED_VALUE"""),"Hard")</f>
        <v>Hard</v>
      </c>
      <c r="F1724" s="35">
        <f>IFERROR(__xludf.DUMMYFUNCTION("""COMPUTED_VALUE"""),467.0)</f>
        <v>467</v>
      </c>
      <c r="G1724" s="35">
        <f>IFERROR(__xludf.DUMMYFUNCTION("""COMPUTED_VALUE"""),14.0)</f>
        <v>14</v>
      </c>
      <c r="H1724" s="35" t="str">
        <f>IFERROR(__xludf.DUMMYFUNCTION("""COMPUTED_VALUE"""),"Algorithms")</f>
        <v>Algorithms</v>
      </c>
      <c r="I1724" s="35">
        <f>IFERROR(__xludf.DUMMYFUNCTION("""COMPUTED_VALUE"""),0.428)</f>
        <v>0.428</v>
      </c>
      <c r="J1724" s="35">
        <f>IFERROR(__xludf.DUMMYFUNCTION("""COMPUTED_VALUE"""),1723.0)</f>
        <v>1723</v>
      </c>
      <c r="K1724" s="35" t="b">
        <f>IFERROR(__xludf.DUMMYFUNCTION("""COMPUTED_VALUE"""),FALSE)</f>
        <v>0</v>
      </c>
      <c r="L1724" s="35" t="str">
        <f>IFERROR(__xludf.DUMMYFUNCTION("""COMPUTED_VALUE"""),"Array;Dynamic Programming;Backtracking;Bit Manipulation;Bitmask;")</f>
        <v>Array;Dynamic Programming;Backtracking;Bit Manipulation;Bitmask;</v>
      </c>
      <c r="M1724" s="35" t="b">
        <f>IFERROR(__xludf.DUMMYFUNCTION("""COMPUTED_VALUE"""),FALSE)</f>
        <v>0</v>
      </c>
      <c r="N1724" s="35" t="b">
        <f>IFERROR(__xludf.DUMMYFUNCTION("""COMPUTED_VALUE"""),FALSE)</f>
        <v>0</v>
      </c>
      <c r="O1724" s="35">
        <f>IFERROR(__xludf.DUMMYFUNCTION("""COMPUTED_VALUE"""),42.8183217103755)</f>
        <v>42.81832171</v>
      </c>
      <c r="P1724" s="35">
        <f>IFERROR(__xludf.DUMMYFUNCTION("""COMPUTED_VALUE"""),13078.0)</f>
        <v>13078</v>
      </c>
      <c r="Q1724" s="35">
        <f>IFERROR(__xludf.DUMMYFUNCTION("""COMPUTED_VALUE"""),30543.0)</f>
        <v>30543</v>
      </c>
    </row>
    <row r="1725">
      <c r="A1725" s="35">
        <f>IFERROR(__xludf.DUMMYFUNCTION("""COMPUTED_VALUE"""),1865.0)</f>
        <v>1865</v>
      </c>
      <c r="B1725" s="35" t="str">
        <f>IFERROR(__xludf.DUMMYFUNCTION("""COMPUTED_VALUE"""),"Checking Existence of Edge Length Limited Paths II")</f>
        <v>Checking Existence of Edge Length Limited Paths II</v>
      </c>
      <c r="C1725" s="35" t="str">
        <f>IFERROR(__xludf.DUMMYFUNCTION("""COMPUTED_VALUE"""),"checking-existence-of-edge-length-limited-paths-ii")</f>
        <v>checking-existence-of-edge-length-limited-paths-ii</v>
      </c>
      <c r="D1725" s="35" t="b">
        <f>IFERROR(__xludf.DUMMYFUNCTION("""COMPUTED_VALUE"""),TRUE)</f>
        <v>1</v>
      </c>
      <c r="E1725" s="35" t="str">
        <f>IFERROR(__xludf.DUMMYFUNCTION("""COMPUTED_VALUE"""),"Hard")</f>
        <v>Hard</v>
      </c>
      <c r="F1725" s="35">
        <f>IFERROR(__xludf.DUMMYFUNCTION("""COMPUTED_VALUE"""),43.0)</f>
        <v>43</v>
      </c>
      <c r="G1725" s="35">
        <f>IFERROR(__xludf.DUMMYFUNCTION("""COMPUTED_VALUE"""),6.0)</f>
        <v>6</v>
      </c>
      <c r="H1725" s="35" t="str">
        <f>IFERROR(__xludf.DUMMYFUNCTION("""COMPUTED_VALUE"""),"Algorithms")</f>
        <v>Algorithms</v>
      </c>
      <c r="I1725" s="35">
        <f>IFERROR(__xludf.DUMMYFUNCTION("""COMPUTED_VALUE"""),0.523)</f>
        <v>0.523</v>
      </c>
      <c r="J1725" s="35">
        <f>IFERROR(__xludf.DUMMYFUNCTION("""COMPUTED_VALUE"""),1724.0)</f>
        <v>1724</v>
      </c>
      <c r="K1725" s="35" t="b">
        <f>IFERROR(__xludf.DUMMYFUNCTION("""COMPUTED_VALUE"""),TRUE)</f>
        <v>1</v>
      </c>
      <c r="L1725" s="35" t="str">
        <f>IFERROR(__xludf.DUMMYFUNCTION("""COMPUTED_VALUE"""),"Union Find;Graph;Minimum Spanning Tree;")</f>
        <v>Union Find;Graph;Minimum Spanning Tree;</v>
      </c>
      <c r="M1725" s="35" t="b">
        <f>IFERROR(__xludf.DUMMYFUNCTION("""COMPUTED_VALUE"""),FALSE)</f>
        <v>0</v>
      </c>
      <c r="N1725" s="35" t="b">
        <f>IFERROR(__xludf.DUMMYFUNCTION("""COMPUTED_VALUE"""),FALSE)</f>
        <v>0</v>
      </c>
      <c r="O1725" s="35">
        <f>IFERROR(__xludf.DUMMYFUNCTION("""COMPUTED_VALUE"""),52.3076923076923)</f>
        <v>52.30769231</v>
      </c>
      <c r="P1725" s="35">
        <f>IFERROR(__xludf.DUMMYFUNCTION("""COMPUTED_VALUE"""),1564.0)</f>
        <v>1564</v>
      </c>
      <c r="Q1725" s="35">
        <f>IFERROR(__xludf.DUMMYFUNCTION("""COMPUTED_VALUE"""),2990.0)</f>
        <v>2990</v>
      </c>
    </row>
    <row r="1726">
      <c r="A1726" s="35">
        <f>IFERROR(__xludf.DUMMYFUNCTION("""COMPUTED_VALUE"""),1843.0)</f>
        <v>1843</v>
      </c>
      <c r="B1726" s="35" t="str">
        <f>IFERROR(__xludf.DUMMYFUNCTION("""COMPUTED_VALUE"""),"Number Of Rectangles That Can Form The Largest Square")</f>
        <v>Number Of Rectangles That Can Form The Largest Square</v>
      </c>
      <c r="C1726" s="35" t="str">
        <f>IFERROR(__xludf.DUMMYFUNCTION("""COMPUTED_VALUE"""),"number-of-rectangles-that-can-form-the-largest-square")</f>
        <v>number-of-rectangles-that-can-form-the-largest-square</v>
      </c>
      <c r="D1726" s="35" t="b">
        <f>IFERROR(__xludf.DUMMYFUNCTION("""COMPUTED_VALUE"""),FALSE)</f>
        <v>0</v>
      </c>
      <c r="E1726" s="35" t="str">
        <f>IFERROR(__xludf.DUMMYFUNCTION("""COMPUTED_VALUE"""),"Easy")</f>
        <v>Easy</v>
      </c>
      <c r="F1726" s="35">
        <f>IFERROR(__xludf.DUMMYFUNCTION("""COMPUTED_VALUE"""),320.0)</f>
        <v>320</v>
      </c>
      <c r="G1726" s="35">
        <f>IFERROR(__xludf.DUMMYFUNCTION("""COMPUTED_VALUE"""),40.0)</f>
        <v>40</v>
      </c>
      <c r="H1726" s="35" t="str">
        <f>IFERROR(__xludf.DUMMYFUNCTION("""COMPUTED_VALUE"""),"Algorithms")</f>
        <v>Algorithms</v>
      </c>
      <c r="I1726" s="35">
        <f>IFERROR(__xludf.DUMMYFUNCTION("""COMPUTED_VALUE"""),0.787)</f>
        <v>0.787</v>
      </c>
      <c r="J1726" s="35">
        <f>IFERROR(__xludf.DUMMYFUNCTION("""COMPUTED_VALUE"""),1725.0)</f>
        <v>1725</v>
      </c>
      <c r="K1726" s="35" t="b">
        <f>IFERROR(__xludf.DUMMYFUNCTION("""COMPUTED_VALUE"""),FALSE)</f>
        <v>0</v>
      </c>
      <c r="L1726" s="35" t="str">
        <f>IFERROR(__xludf.DUMMYFUNCTION("""COMPUTED_VALUE"""),"Array;")</f>
        <v>Array;</v>
      </c>
      <c r="M1726" s="35" t="b">
        <f>IFERROR(__xludf.DUMMYFUNCTION("""COMPUTED_VALUE"""),FALSE)</f>
        <v>0</v>
      </c>
      <c r="N1726" s="35" t="b">
        <f>IFERROR(__xludf.DUMMYFUNCTION("""COMPUTED_VALUE"""),FALSE)</f>
        <v>0</v>
      </c>
      <c r="O1726" s="35">
        <f>IFERROR(__xludf.DUMMYFUNCTION("""COMPUTED_VALUE"""),78.7087967238125)</f>
        <v>78.70879672</v>
      </c>
      <c r="P1726" s="35">
        <f>IFERROR(__xludf.DUMMYFUNCTION("""COMPUTED_VALUE"""),39207.0)</f>
        <v>39207</v>
      </c>
      <c r="Q1726" s="35">
        <f>IFERROR(__xludf.DUMMYFUNCTION("""COMPUTED_VALUE"""),49813.0)</f>
        <v>49813</v>
      </c>
    </row>
    <row r="1727">
      <c r="A1727" s="35">
        <f>IFERROR(__xludf.DUMMYFUNCTION("""COMPUTED_VALUE"""),1364.0)</f>
        <v>1364</v>
      </c>
      <c r="B1727" s="35" t="str">
        <f>IFERROR(__xludf.DUMMYFUNCTION("""COMPUTED_VALUE"""),"Tuple with Same Product")</f>
        <v>Tuple with Same Product</v>
      </c>
      <c r="C1727" s="35" t="str">
        <f>IFERROR(__xludf.DUMMYFUNCTION("""COMPUTED_VALUE"""),"tuple-with-same-product")</f>
        <v>tuple-with-same-product</v>
      </c>
      <c r="D1727" s="35" t="b">
        <f>IFERROR(__xludf.DUMMYFUNCTION("""COMPUTED_VALUE"""),FALSE)</f>
        <v>0</v>
      </c>
      <c r="E1727" s="35" t="str">
        <f>IFERROR(__xludf.DUMMYFUNCTION("""COMPUTED_VALUE"""),"Medium")</f>
        <v>Medium</v>
      </c>
      <c r="F1727" s="35">
        <f>IFERROR(__xludf.DUMMYFUNCTION("""COMPUTED_VALUE"""),389.0)</f>
        <v>389</v>
      </c>
      <c r="G1727" s="35">
        <f>IFERROR(__xludf.DUMMYFUNCTION("""COMPUTED_VALUE"""),17.0)</f>
        <v>17</v>
      </c>
      <c r="H1727" s="35" t="str">
        <f>IFERROR(__xludf.DUMMYFUNCTION("""COMPUTED_VALUE"""),"Algorithms")</f>
        <v>Algorithms</v>
      </c>
      <c r="I1727" s="35">
        <f>IFERROR(__xludf.DUMMYFUNCTION("""COMPUTED_VALUE"""),0.603)</f>
        <v>0.603</v>
      </c>
      <c r="J1727" s="35">
        <f>IFERROR(__xludf.DUMMYFUNCTION("""COMPUTED_VALUE"""),1726.0)</f>
        <v>1726</v>
      </c>
      <c r="K1727" s="35" t="b">
        <f>IFERROR(__xludf.DUMMYFUNCTION("""COMPUTED_VALUE"""),FALSE)</f>
        <v>0</v>
      </c>
      <c r="L1727" s="35" t="str">
        <f>IFERROR(__xludf.DUMMYFUNCTION("""COMPUTED_VALUE"""),"Array;Hash Table;")</f>
        <v>Array;Hash Table;</v>
      </c>
      <c r="M1727" s="35" t="b">
        <f>IFERROR(__xludf.DUMMYFUNCTION("""COMPUTED_VALUE"""),FALSE)</f>
        <v>0</v>
      </c>
      <c r="N1727" s="35" t="b">
        <f>IFERROR(__xludf.DUMMYFUNCTION("""COMPUTED_VALUE"""),FALSE)</f>
        <v>0</v>
      </c>
      <c r="O1727" s="35">
        <f>IFERROR(__xludf.DUMMYFUNCTION("""COMPUTED_VALUE"""),60.3130164940803)</f>
        <v>60.31301649</v>
      </c>
      <c r="P1727" s="35">
        <f>IFERROR(__xludf.DUMMYFUNCTION("""COMPUTED_VALUE"""),17881.0)</f>
        <v>17881</v>
      </c>
      <c r="Q1727" s="35">
        <f>IFERROR(__xludf.DUMMYFUNCTION("""COMPUTED_VALUE"""),29647.0)</f>
        <v>29647</v>
      </c>
    </row>
    <row r="1728">
      <c r="A1728" s="35">
        <f>IFERROR(__xludf.DUMMYFUNCTION("""COMPUTED_VALUE"""),1845.0)</f>
        <v>1845</v>
      </c>
      <c r="B1728" s="35" t="str">
        <f>IFERROR(__xludf.DUMMYFUNCTION("""COMPUTED_VALUE"""),"Largest Submatrix With Rearrangements")</f>
        <v>Largest Submatrix With Rearrangements</v>
      </c>
      <c r="C1728" s="35" t="str">
        <f>IFERROR(__xludf.DUMMYFUNCTION("""COMPUTED_VALUE"""),"largest-submatrix-with-rearrangements")</f>
        <v>largest-submatrix-with-rearrangements</v>
      </c>
      <c r="D1728" s="35" t="b">
        <f>IFERROR(__xludf.DUMMYFUNCTION("""COMPUTED_VALUE"""),FALSE)</f>
        <v>0</v>
      </c>
      <c r="E1728" s="35" t="str">
        <f>IFERROR(__xludf.DUMMYFUNCTION("""COMPUTED_VALUE"""),"Medium")</f>
        <v>Medium</v>
      </c>
      <c r="F1728" s="35">
        <f>IFERROR(__xludf.DUMMYFUNCTION("""COMPUTED_VALUE"""),617.0)</f>
        <v>617</v>
      </c>
      <c r="G1728" s="35">
        <f>IFERROR(__xludf.DUMMYFUNCTION("""COMPUTED_VALUE"""),16.0)</f>
        <v>16</v>
      </c>
      <c r="H1728" s="35" t="str">
        <f>IFERROR(__xludf.DUMMYFUNCTION("""COMPUTED_VALUE"""),"Algorithms")</f>
        <v>Algorithms</v>
      </c>
      <c r="I1728" s="35">
        <f>IFERROR(__xludf.DUMMYFUNCTION("""COMPUTED_VALUE"""),0.602)</f>
        <v>0.602</v>
      </c>
      <c r="J1728" s="35">
        <f>IFERROR(__xludf.DUMMYFUNCTION("""COMPUTED_VALUE"""),1727.0)</f>
        <v>1727</v>
      </c>
      <c r="K1728" s="35" t="b">
        <f>IFERROR(__xludf.DUMMYFUNCTION("""COMPUTED_VALUE"""),FALSE)</f>
        <v>0</v>
      </c>
      <c r="L1728" s="35" t="str">
        <f>IFERROR(__xludf.DUMMYFUNCTION("""COMPUTED_VALUE"""),"Array;Greedy;Sorting;Matrix;")</f>
        <v>Array;Greedy;Sorting;Matrix;</v>
      </c>
      <c r="M1728" s="35" t="b">
        <f>IFERROR(__xludf.DUMMYFUNCTION("""COMPUTED_VALUE"""),FALSE)</f>
        <v>0</v>
      </c>
      <c r="N1728" s="35" t="b">
        <f>IFERROR(__xludf.DUMMYFUNCTION("""COMPUTED_VALUE"""),FALSE)</f>
        <v>0</v>
      </c>
      <c r="O1728" s="35">
        <f>IFERROR(__xludf.DUMMYFUNCTION("""COMPUTED_VALUE"""),60.2055487512647)</f>
        <v>60.20554875</v>
      </c>
      <c r="P1728" s="35">
        <f>IFERROR(__xludf.DUMMYFUNCTION("""COMPUTED_VALUE"""),11306.0)</f>
        <v>11306</v>
      </c>
      <c r="Q1728" s="35">
        <f>IFERROR(__xludf.DUMMYFUNCTION("""COMPUTED_VALUE"""),18779.0)</f>
        <v>18779</v>
      </c>
    </row>
    <row r="1729">
      <c r="A1729" s="35">
        <f>IFERROR(__xludf.DUMMYFUNCTION("""COMPUTED_VALUE"""),1727.0)</f>
        <v>1727</v>
      </c>
      <c r="B1729" s="35" t="str">
        <f>IFERROR(__xludf.DUMMYFUNCTION("""COMPUTED_VALUE"""),"Cat and Mouse II")</f>
        <v>Cat and Mouse II</v>
      </c>
      <c r="C1729" s="35" t="str">
        <f>IFERROR(__xludf.DUMMYFUNCTION("""COMPUTED_VALUE"""),"cat-and-mouse-ii")</f>
        <v>cat-and-mouse-ii</v>
      </c>
      <c r="D1729" s="35" t="b">
        <f>IFERROR(__xludf.DUMMYFUNCTION("""COMPUTED_VALUE"""),FALSE)</f>
        <v>0</v>
      </c>
      <c r="E1729" s="35" t="str">
        <f>IFERROR(__xludf.DUMMYFUNCTION("""COMPUTED_VALUE"""),"Hard")</f>
        <v>Hard</v>
      </c>
      <c r="F1729" s="35">
        <f>IFERROR(__xludf.DUMMYFUNCTION("""COMPUTED_VALUE"""),144.0)</f>
        <v>144</v>
      </c>
      <c r="G1729" s="35">
        <f>IFERROR(__xludf.DUMMYFUNCTION("""COMPUTED_VALUE"""),24.0)</f>
        <v>24</v>
      </c>
      <c r="H1729" s="35" t="str">
        <f>IFERROR(__xludf.DUMMYFUNCTION("""COMPUTED_VALUE"""),"Algorithms")</f>
        <v>Algorithms</v>
      </c>
      <c r="I1729" s="35">
        <f>IFERROR(__xludf.DUMMYFUNCTION("""COMPUTED_VALUE"""),0.403)</f>
        <v>0.403</v>
      </c>
      <c r="J1729" s="35">
        <f>IFERROR(__xludf.DUMMYFUNCTION("""COMPUTED_VALUE"""),1728.0)</f>
        <v>1728</v>
      </c>
      <c r="K1729" s="35" t="b">
        <f>IFERROR(__xludf.DUMMYFUNCTION("""COMPUTED_VALUE"""),FALSE)</f>
        <v>0</v>
      </c>
      <c r="L1729" s="35" t="str">
        <f>IFERROR(__xludf.DUMMYFUNCTION("""COMPUTED_VALUE"""),"Math;Dynamic Programming;Breadth-First Search;Graph;Memoization;Game Theory;")</f>
        <v>Math;Dynamic Programming;Breadth-First Search;Graph;Memoization;Game Theory;</v>
      </c>
      <c r="M1729" s="35" t="b">
        <f>IFERROR(__xludf.DUMMYFUNCTION("""COMPUTED_VALUE"""),FALSE)</f>
        <v>0</v>
      </c>
      <c r="N1729" s="35" t="b">
        <f>IFERROR(__xludf.DUMMYFUNCTION("""COMPUTED_VALUE"""),FALSE)</f>
        <v>0</v>
      </c>
      <c r="O1729" s="35">
        <f>IFERROR(__xludf.DUMMYFUNCTION("""COMPUTED_VALUE"""),40.3133502204709)</f>
        <v>40.31335022</v>
      </c>
      <c r="P1729" s="35">
        <f>IFERROR(__xludf.DUMMYFUNCTION("""COMPUTED_VALUE"""),4297.0)</f>
        <v>4297</v>
      </c>
      <c r="Q1729" s="35">
        <f>IFERROR(__xludf.DUMMYFUNCTION("""COMPUTED_VALUE"""),10659.0)</f>
        <v>10659</v>
      </c>
    </row>
    <row r="1730">
      <c r="A1730" s="35">
        <f>IFERROR(__xludf.DUMMYFUNCTION("""COMPUTED_VALUE"""),1877.0)</f>
        <v>1877</v>
      </c>
      <c r="B1730" s="35" t="str">
        <f>IFERROR(__xludf.DUMMYFUNCTION("""COMPUTED_VALUE"""),"Find Followers Count")</f>
        <v>Find Followers Count</v>
      </c>
      <c r="C1730" s="35" t="str">
        <f>IFERROR(__xludf.DUMMYFUNCTION("""COMPUTED_VALUE"""),"find-followers-count")</f>
        <v>find-followers-count</v>
      </c>
      <c r="D1730" s="35" t="b">
        <f>IFERROR(__xludf.DUMMYFUNCTION("""COMPUTED_VALUE"""),TRUE)</f>
        <v>1</v>
      </c>
      <c r="E1730" s="35" t="str">
        <f>IFERROR(__xludf.DUMMYFUNCTION("""COMPUTED_VALUE"""),"Easy")</f>
        <v>Easy</v>
      </c>
      <c r="F1730" s="35">
        <f>IFERROR(__xludf.DUMMYFUNCTION("""COMPUTED_VALUE"""),37.0)</f>
        <v>37</v>
      </c>
      <c r="G1730" s="35">
        <f>IFERROR(__xludf.DUMMYFUNCTION("""COMPUTED_VALUE"""),7.0)</f>
        <v>7</v>
      </c>
      <c r="H1730" s="35" t="str">
        <f>IFERROR(__xludf.DUMMYFUNCTION("""COMPUTED_VALUE"""),"Database")</f>
        <v>Database</v>
      </c>
      <c r="I1730" s="35">
        <f>IFERROR(__xludf.DUMMYFUNCTION("""COMPUTED_VALUE"""),0.714)</f>
        <v>0.714</v>
      </c>
      <c r="J1730" s="35">
        <f>IFERROR(__xludf.DUMMYFUNCTION("""COMPUTED_VALUE"""),1729.0)</f>
        <v>1729</v>
      </c>
      <c r="K1730" s="35" t="b">
        <f>IFERROR(__xludf.DUMMYFUNCTION("""COMPUTED_VALUE"""),TRUE)</f>
        <v>1</v>
      </c>
      <c r="L1730" s="35" t="str">
        <f>IFERROR(__xludf.DUMMYFUNCTION("""COMPUTED_VALUE"""),"Database;")</f>
        <v>Database;</v>
      </c>
      <c r="M1730" s="35" t="b">
        <f>IFERROR(__xludf.DUMMYFUNCTION("""COMPUTED_VALUE"""),FALSE)</f>
        <v>0</v>
      </c>
      <c r="N1730" s="35" t="b">
        <f>IFERROR(__xludf.DUMMYFUNCTION("""COMPUTED_VALUE"""),FALSE)</f>
        <v>0</v>
      </c>
      <c r="O1730" s="35">
        <f>IFERROR(__xludf.DUMMYFUNCTION("""COMPUTED_VALUE"""),71.4223066803099)</f>
        <v>71.42230668</v>
      </c>
      <c r="P1730" s="35">
        <f>IFERROR(__xludf.DUMMYFUNCTION("""COMPUTED_VALUE"""),9772.0)</f>
        <v>9772</v>
      </c>
      <c r="Q1730" s="35">
        <f>IFERROR(__xludf.DUMMYFUNCTION("""COMPUTED_VALUE"""),13682.0)</f>
        <v>13682</v>
      </c>
    </row>
    <row r="1731">
      <c r="A1731" s="35">
        <f>IFERROR(__xludf.DUMMYFUNCTION("""COMPUTED_VALUE"""),550.0)</f>
        <v>550</v>
      </c>
      <c r="B1731" s="35" t="str">
        <f>IFERROR(__xludf.DUMMYFUNCTION("""COMPUTED_VALUE"""),"Shortest Path to Get Food")</f>
        <v>Shortest Path to Get Food</v>
      </c>
      <c r="C1731" s="35" t="str">
        <f>IFERROR(__xludf.DUMMYFUNCTION("""COMPUTED_VALUE"""),"shortest-path-to-get-food")</f>
        <v>shortest-path-to-get-food</v>
      </c>
      <c r="D1731" s="35" t="b">
        <f>IFERROR(__xludf.DUMMYFUNCTION("""COMPUTED_VALUE"""),TRUE)</f>
        <v>1</v>
      </c>
      <c r="E1731" s="35" t="str">
        <f>IFERROR(__xludf.DUMMYFUNCTION("""COMPUTED_VALUE"""),"Medium")</f>
        <v>Medium</v>
      </c>
      <c r="F1731" s="35">
        <f>IFERROR(__xludf.DUMMYFUNCTION("""COMPUTED_VALUE"""),333.0)</f>
        <v>333</v>
      </c>
      <c r="G1731" s="35">
        <f>IFERROR(__xludf.DUMMYFUNCTION("""COMPUTED_VALUE"""),15.0)</f>
        <v>15</v>
      </c>
      <c r="H1731" s="35" t="str">
        <f>IFERROR(__xludf.DUMMYFUNCTION("""COMPUTED_VALUE"""),"Algorithms")</f>
        <v>Algorithms</v>
      </c>
      <c r="I1731" s="35">
        <f>IFERROR(__xludf.DUMMYFUNCTION("""COMPUTED_VALUE"""),0.543)</f>
        <v>0.543</v>
      </c>
      <c r="J1731" s="35">
        <f>IFERROR(__xludf.DUMMYFUNCTION("""COMPUTED_VALUE"""),1730.0)</f>
        <v>1730</v>
      </c>
      <c r="K1731" s="35" t="b">
        <f>IFERROR(__xludf.DUMMYFUNCTION("""COMPUTED_VALUE"""),TRUE)</f>
        <v>1</v>
      </c>
      <c r="L1731" s="35" t="str">
        <f>IFERROR(__xludf.DUMMYFUNCTION("""COMPUTED_VALUE"""),"Array;Breadth-First Search;Matrix;")</f>
        <v>Array;Breadth-First Search;Matrix;</v>
      </c>
      <c r="M1731" s="35" t="b">
        <f>IFERROR(__xludf.DUMMYFUNCTION("""COMPUTED_VALUE"""),FALSE)</f>
        <v>0</v>
      </c>
      <c r="N1731" s="35" t="b">
        <f>IFERROR(__xludf.DUMMYFUNCTION("""COMPUTED_VALUE"""),FALSE)</f>
        <v>0</v>
      </c>
      <c r="O1731" s="35">
        <f>IFERROR(__xludf.DUMMYFUNCTION("""COMPUTED_VALUE"""),54.3010185790505)</f>
        <v>54.30101858</v>
      </c>
      <c r="P1731" s="35">
        <f>IFERROR(__xludf.DUMMYFUNCTION("""COMPUTED_VALUE"""),25748.0)</f>
        <v>25748</v>
      </c>
      <c r="Q1731" s="35">
        <f>IFERROR(__xludf.DUMMYFUNCTION("""COMPUTED_VALUE"""),47418.0)</f>
        <v>47418</v>
      </c>
    </row>
    <row r="1732">
      <c r="A1732" s="35">
        <f>IFERROR(__xludf.DUMMYFUNCTION("""COMPUTED_VALUE"""),1882.0)</f>
        <v>1882</v>
      </c>
      <c r="B1732" s="35" t="str">
        <f>IFERROR(__xludf.DUMMYFUNCTION("""COMPUTED_VALUE"""),"The Number of Employees Which Report to Each Employee")</f>
        <v>The Number of Employees Which Report to Each Employee</v>
      </c>
      <c r="C1732" s="35" t="str">
        <f>IFERROR(__xludf.DUMMYFUNCTION("""COMPUTED_VALUE"""),"the-number-of-employees-which-report-to-each-employee")</f>
        <v>the-number-of-employees-which-report-to-each-employee</v>
      </c>
      <c r="D1732" s="35" t="b">
        <f>IFERROR(__xludf.DUMMYFUNCTION("""COMPUTED_VALUE"""),TRUE)</f>
        <v>1</v>
      </c>
      <c r="E1732" s="35" t="str">
        <f>IFERROR(__xludf.DUMMYFUNCTION("""COMPUTED_VALUE"""),"Easy")</f>
        <v>Easy</v>
      </c>
      <c r="F1732" s="35">
        <f>IFERROR(__xludf.DUMMYFUNCTION("""COMPUTED_VALUE"""),53.0)</f>
        <v>53</v>
      </c>
      <c r="G1732" s="35">
        <f>IFERROR(__xludf.DUMMYFUNCTION("""COMPUTED_VALUE"""),14.0)</f>
        <v>14</v>
      </c>
      <c r="H1732" s="35" t="str">
        <f>IFERROR(__xludf.DUMMYFUNCTION("""COMPUTED_VALUE"""),"Database")</f>
        <v>Database</v>
      </c>
      <c r="I1732" s="35">
        <f>IFERROR(__xludf.DUMMYFUNCTION("""COMPUTED_VALUE"""),0.489)</f>
        <v>0.489</v>
      </c>
      <c r="J1732" s="35">
        <f>IFERROR(__xludf.DUMMYFUNCTION("""COMPUTED_VALUE"""),1731.0)</f>
        <v>1731</v>
      </c>
      <c r="K1732" s="35" t="b">
        <f>IFERROR(__xludf.DUMMYFUNCTION("""COMPUTED_VALUE"""),TRUE)</f>
        <v>1</v>
      </c>
      <c r="L1732" s="35" t="str">
        <f>IFERROR(__xludf.DUMMYFUNCTION("""COMPUTED_VALUE"""),"Database;")</f>
        <v>Database;</v>
      </c>
      <c r="M1732" s="35" t="b">
        <f>IFERROR(__xludf.DUMMYFUNCTION("""COMPUTED_VALUE"""),FALSE)</f>
        <v>0</v>
      </c>
      <c r="N1732" s="35" t="b">
        <f>IFERROR(__xludf.DUMMYFUNCTION("""COMPUTED_VALUE"""),FALSE)</f>
        <v>0</v>
      </c>
      <c r="O1732" s="35">
        <f>IFERROR(__xludf.DUMMYFUNCTION("""COMPUTED_VALUE"""),48.8906189178668)</f>
        <v>48.89061892</v>
      </c>
      <c r="P1732" s="35">
        <f>IFERROR(__xludf.DUMMYFUNCTION("""COMPUTED_VALUE"""),8790.0)</f>
        <v>8790</v>
      </c>
      <c r="Q1732" s="35">
        <f>IFERROR(__xludf.DUMMYFUNCTION("""COMPUTED_VALUE"""),17980.0)</f>
        <v>17980</v>
      </c>
    </row>
    <row r="1733">
      <c r="A1733" s="35">
        <f>IFERROR(__xludf.DUMMYFUNCTION("""COMPUTED_VALUE"""),1833.0)</f>
        <v>1833</v>
      </c>
      <c r="B1733" s="35" t="str">
        <f>IFERROR(__xludf.DUMMYFUNCTION("""COMPUTED_VALUE"""),"Find the Highest Altitude")</f>
        <v>Find the Highest Altitude</v>
      </c>
      <c r="C1733" s="35" t="str">
        <f>IFERROR(__xludf.DUMMYFUNCTION("""COMPUTED_VALUE"""),"find-the-highest-altitude")</f>
        <v>find-the-highest-altitude</v>
      </c>
      <c r="D1733" s="35" t="b">
        <f>IFERROR(__xludf.DUMMYFUNCTION("""COMPUTED_VALUE"""),FALSE)</f>
        <v>0</v>
      </c>
      <c r="E1733" s="35" t="str">
        <f>IFERROR(__xludf.DUMMYFUNCTION("""COMPUTED_VALUE"""),"Easy")</f>
        <v>Easy</v>
      </c>
      <c r="F1733" s="35">
        <f>IFERROR(__xludf.DUMMYFUNCTION("""COMPUTED_VALUE"""),724.0)</f>
        <v>724</v>
      </c>
      <c r="G1733" s="35">
        <f>IFERROR(__xludf.DUMMYFUNCTION("""COMPUTED_VALUE"""),73.0)</f>
        <v>73</v>
      </c>
      <c r="H1733" s="35" t="str">
        <f>IFERROR(__xludf.DUMMYFUNCTION("""COMPUTED_VALUE"""),"Algorithms")</f>
        <v>Algorithms</v>
      </c>
      <c r="I1733" s="35">
        <f>IFERROR(__xludf.DUMMYFUNCTION("""COMPUTED_VALUE"""),0.789)</f>
        <v>0.789</v>
      </c>
      <c r="J1733" s="35">
        <f>IFERROR(__xludf.DUMMYFUNCTION("""COMPUTED_VALUE"""),1732.0)</f>
        <v>1732</v>
      </c>
      <c r="K1733" s="35" t="b">
        <f>IFERROR(__xludf.DUMMYFUNCTION("""COMPUTED_VALUE"""),FALSE)</f>
        <v>0</v>
      </c>
      <c r="L1733" s="35" t="str">
        <f>IFERROR(__xludf.DUMMYFUNCTION("""COMPUTED_VALUE"""),"Array;Prefix Sum;")</f>
        <v>Array;Prefix Sum;</v>
      </c>
      <c r="M1733" s="35" t="b">
        <f>IFERROR(__xludf.DUMMYFUNCTION("""COMPUTED_VALUE"""),FALSE)</f>
        <v>0</v>
      </c>
      <c r="N1733" s="35" t="b">
        <f>IFERROR(__xludf.DUMMYFUNCTION("""COMPUTED_VALUE"""),FALSE)</f>
        <v>0</v>
      </c>
      <c r="O1733" s="35">
        <f>IFERROR(__xludf.DUMMYFUNCTION("""COMPUTED_VALUE"""),78.9323335118728)</f>
        <v>78.93233351</v>
      </c>
      <c r="P1733" s="35">
        <f>IFERROR(__xludf.DUMMYFUNCTION("""COMPUTED_VALUE"""),66314.0)</f>
        <v>66314</v>
      </c>
      <c r="Q1733" s="35">
        <f>IFERROR(__xludf.DUMMYFUNCTION("""COMPUTED_VALUE"""),84014.0)</f>
        <v>84014</v>
      </c>
    </row>
    <row r="1734">
      <c r="A1734" s="35">
        <f>IFERROR(__xludf.DUMMYFUNCTION("""COMPUTED_VALUE"""),1834.0)</f>
        <v>1834</v>
      </c>
      <c r="B1734" s="35" t="str">
        <f>IFERROR(__xludf.DUMMYFUNCTION("""COMPUTED_VALUE"""),"Minimum Number of People to Teach")</f>
        <v>Minimum Number of People to Teach</v>
      </c>
      <c r="C1734" s="35" t="str">
        <f>IFERROR(__xludf.DUMMYFUNCTION("""COMPUTED_VALUE"""),"minimum-number-of-people-to-teach")</f>
        <v>minimum-number-of-people-to-teach</v>
      </c>
      <c r="D1734" s="35" t="b">
        <f>IFERROR(__xludf.DUMMYFUNCTION("""COMPUTED_VALUE"""),FALSE)</f>
        <v>0</v>
      </c>
      <c r="E1734" s="35" t="str">
        <f>IFERROR(__xludf.DUMMYFUNCTION("""COMPUTED_VALUE"""),"Medium")</f>
        <v>Medium</v>
      </c>
      <c r="F1734" s="35">
        <f>IFERROR(__xludf.DUMMYFUNCTION("""COMPUTED_VALUE"""),130.0)</f>
        <v>130</v>
      </c>
      <c r="G1734" s="35">
        <f>IFERROR(__xludf.DUMMYFUNCTION("""COMPUTED_VALUE"""),293.0)</f>
        <v>293</v>
      </c>
      <c r="H1734" s="35" t="str">
        <f>IFERROR(__xludf.DUMMYFUNCTION("""COMPUTED_VALUE"""),"Algorithms")</f>
        <v>Algorithms</v>
      </c>
      <c r="I1734" s="35">
        <f>IFERROR(__xludf.DUMMYFUNCTION("""COMPUTED_VALUE"""),0.406)</f>
        <v>0.406</v>
      </c>
      <c r="J1734" s="35">
        <f>IFERROR(__xludf.DUMMYFUNCTION("""COMPUTED_VALUE"""),1733.0)</f>
        <v>1733</v>
      </c>
      <c r="K1734" s="35" t="b">
        <f>IFERROR(__xludf.DUMMYFUNCTION("""COMPUTED_VALUE"""),FALSE)</f>
        <v>0</v>
      </c>
      <c r="L1734" s="35" t="str">
        <f>IFERROR(__xludf.DUMMYFUNCTION("""COMPUTED_VALUE"""),"Array;Greedy;")</f>
        <v>Array;Greedy;</v>
      </c>
      <c r="M1734" s="35" t="b">
        <f>IFERROR(__xludf.DUMMYFUNCTION("""COMPUTED_VALUE"""),FALSE)</f>
        <v>0</v>
      </c>
      <c r="N1734" s="35" t="b">
        <f>IFERROR(__xludf.DUMMYFUNCTION("""COMPUTED_VALUE"""),FALSE)</f>
        <v>0</v>
      </c>
      <c r="O1734" s="35">
        <f>IFERROR(__xludf.DUMMYFUNCTION("""COMPUTED_VALUE"""),40.560696036459)</f>
        <v>40.56069604</v>
      </c>
      <c r="P1734" s="35">
        <f>IFERROR(__xludf.DUMMYFUNCTION("""COMPUTED_VALUE"""),5874.0)</f>
        <v>5874</v>
      </c>
      <c r="Q1734" s="35">
        <f>IFERROR(__xludf.DUMMYFUNCTION("""COMPUTED_VALUE"""),14482.0)</f>
        <v>14482</v>
      </c>
    </row>
    <row r="1735">
      <c r="A1735" s="35">
        <f>IFERROR(__xludf.DUMMYFUNCTION("""COMPUTED_VALUE"""),1835.0)</f>
        <v>1835</v>
      </c>
      <c r="B1735" s="35" t="str">
        <f>IFERROR(__xludf.DUMMYFUNCTION("""COMPUTED_VALUE"""),"Decode XORed Permutation")</f>
        <v>Decode XORed Permutation</v>
      </c>
      <c r="C1735" s="35" t="str">
        <f>IFERROR(__xludf.DUMMYFUNCTION("""COMPUTED_VALUE"""),"decode-xored-permutation")</f>
        <v>decode-xored-permutation</v>
      </c>
      <c r="D1735" s="35" t="b">
        <f>IFERROR(__xludf.DUMMYFUNCTION("""COMPUTED_VALUE"""),FALSE)</f>
        <v>0</v>
      </c>
      <c r="E1735" s="35" t="str">
        <f>IFERROR(__xludf.DUMMYFUNCTION("""COMPUTED_VALUE"""),"Medium")</f>
        <v>Medium</v>
      </c>
      <c r="F1735" s="35">
        <f>IFERROR(__xludf.DUMMYFUNCTION("""COMPUTED_VALUE"""),465.0)</f>
        <v>465</v>
      </c>
      <c r="G1735" s="35">
        <f>IFERROR(__xludf.DUMMYFUNCTION("""COMPUTED_VALUE"""),18.0)</f>
        <v>18</v>
      </c>
      <c r="H1735" s="35" t="str">
        <f>IFERROR(__xludf.DUMMYFUNCTION("""COMPUTED_VALUE"""),"Algorithms")</f>
        <v>Algorithms</v>
      </c>
      <c r="I1735" s="35">
        <f>IFERROR(__xludf.DUMMYFUNCTION("""COMPUTED_VALUE"""),0.602)</f>
        <v>0.602</v>
      </c>
      <c r="J1735" s="35">
        <f>IFERROR(__xludf.DUMMYFUNCTION("""COMPUTED_VALUE"""),1734.0)</f>
        <v>1734</v>
      </c>
      <c r="K1735" s="35" t="b">
        <f>IFERROR(__xludf.DUMMYFUNCTION("""COMPUTED_VALUE"""),FALSE)</f>
        <v>0</v>
      </c>
      <c r="L1735" s="35" t="str">
        <f>IFERROR(__xludf.DUMMYFUNCTION("""COMPUTED_VALUE"""),"Array;Bit Manipulation;")</f>
        <v>Array;Bit Manipulation;</v>
      </c>
      <c r="M1735" s="35" t="b">
        <f>IFERROR(__xludf.DUMMYFUNCTION("""COMPUTED_VALUE"""),FALSE)</f>
        <v>0</v>
      </c>
      <c r="N1735" s="35" t="b">
        <f>IFERROR(__xludf.DUMMYFUNCTION("""COMPUTED_VALUE"""),FALSE)</f>
        <v>0</v>
      </c>
      <c r="O1735" s="35">
        <f>IFERROR(__xludf.DUMMYFUNCTION("""COMPUTED_VALUE"""),60.2078744493392)</f>
        <v>60.20787445</v>
      </c>
      <c r="P1735" s="35">
        <f>IFERROR(__xludf.DUMMYFUNCTION("""COMPUTED_VALUE"""),8747.0)</f>
        <v>8747</v>
      </c>
      <c r="Q1735" s="35">
        <f>IFERROR(__xludf.DUMMYFUNCTION("""COMPUTED_VALUE"""),14528.0)</f>
        <v>14528</v>
      </c>
    </row>
    <row r="1736">
      <c r="A1736" s="35">
        <f>IFERROR(__xludf.DUMMYFUNCTION("""COMPUTED_VALUE"""),1836.0)</f>
        <v>1836</v>
      </c>
      <c r="B1736" s="35" t="str">
        <f>IFERROR(__xludf.DUMMYFUNCTION("""COMPUTED_VALUE"""),"Count Ways to Make Array With Product")</f>
        <v>Count Ways to Make Array With Product</v>
      </c>
      <c r="C1736" s="35" t="str">
        <f>IFERROR(__xludf.DUMMYFUNCTION("""COMPUTED_VALUE"""),"count-ways-to-make-array-with-product")</f>
        <v>count-ways-to-make-array-with-product</v>
      </c>
      <c r="D1736" s="35" t="b">
        <f>IFERROR(__xludf.DUMMYFUNCTION("""COMPUTED_VALUE"""),FALSE)</f>
        <v>0</v>
      </c>
      <c r="E1736" s="35" t="str">
        <f>IFERROR(__xludf.DUMMYFUNCTION("""COMPUTED_VALUE"""),"Hard")</f>
        <v>Hard</v>
      </c>
      <c r="F1736" s="35">
        <f>IFERROR(__xludf.DUMMYFUNCTION("""COMPUTED_VALUE"""),147.0)</f>
        <v>147</v>
      </c>
      <c r="G1736" s="35">
        <f>IFERROR(__xludf.DUMMYFUNCTION("""COMPUTED_VALUE"""),24.0)</f>
        <v>24</v>
      </c>
      <c r="H1736" s="35" t="str">
        <f>IFERROR(__xludf.DUMMYFUNCTION("""COMPUTED_VALUE"""),"Algorithms")</f>
        <v>Algorithms</v>
      </c>
      <c r="I1736" s="35">
        <f>IFERROR(__xludf.DUMMYFUNCTION("""COMPUTED_VALUE"""),0.495)</f>
        <v>0.495</v>
      </c>
      <c r="J1736" s="35">
        <f>IFERROR(__xludf.DUMMYFUNCTION("""COMPUTED_VALUE"""),1735.0)</f>
        <v>1735</v>
      </c>
      <c r="K1736" s="35" t="b">
        <f>IFERROR(__xludf.DUMMYFUNCTION("""COMPUTED_VALUE"""),FALSE)</f>
        <v>0</v>
      </c>
      <c r="L1736" s="35" t="str">
        <f>IFERROR(__xludf.DUMMYFUNCTION("""COMPUTED_VALUE"""),"Array;Math;Dynamic Programming;")</f>
        <v>Array;Math;Dynamic Programming;</v>
      </c>
      <c r="M1736" s="35" t="b">
        <f>IFERROR(__xludf.DUMMYFUNCTION("""COMPUTED_VALUE"""),FALSE)</f>
        <v>0</v>
      </c>
      <c r="N1736" s="35" t="b">
        <f>IFERROR(__xludf.DUMMYFUNCTION("""COMPUTED_VALUE"""),FALSE)</f>
        <v>0</v>
      </c>
      <c r="O1736" s="35">
        <f>IFERROR(__xludf.DUMMYFUNCTION("""COMPUTED_VALUE"""),49.4897959183673)</f>
        <v>49.48979592</v>
      </c>
      <c r="P1736" s="35">
        <f>IFERROR(__xludf.DUMMYFUNCTION("""COMPUTED_VALUE"""),3104.0)</f>
        <v>3104</v>
      </c>
      <c r="Q1736" s="35">
        <f>IFERROR(__xludf.DUMMYFUNCTION("""COMPUTED_VALUE"""),6272.0)</f>
        <v>6272</v>
      </c>
    </row>
    <row r="1737">
      <c r="A1737" s="35">
        <f>IFERROR(__xludf.DUMMYFUNCTION("""COMPUTED_VALUE"""),1858.0)</f>
        <v>1858</v>
      </c>
      <c r="B1737" s="35" t="str">
        <f>IFERROR(__xludf.DUMMYFUNCTION("""COMPUTED_VALUE"""),"Latest Time by Replacing Hidden Digits")</f>
        <v>Latest Time by Replacing Hidden Digits</v>
      </c>
      <c r="C1737" s="35" t="str">
        <f>IFERROR(__xludf.DUMMYFUNCTION("""COMPUTED_VALUE"""),"latest-time-by-replacing-hidden-digits")</f>
        <v>latest-time-by-replacing-hidden-digits</v>
      </c>
      <c r="D1737" s="35" t="b">
        <f>IFERROR(__xludf.DUMMYFUNCTION("""COMPUTED_VALUE"""),FALSE)</f>
        <v>0</v>
      </c>
      <c r="E1737" s="35" t="str">
        <f>IFERROR(__xludf.DUMMYFUNCTION("""COMPUTED_VALUE"""),"Easy")</f>
        <v>Easy</v>
      </c>
      <c r="F1737" s="35">
        <f>IFERROR(__xludf.DUMMYFUNCTION("""COMPUTED_VALUE"""),191.0)</f>
        <v>191</v>
      </c>
      <c r="G1737" s="35">
        <f>IFERROR(__xludf.DUMMYFUNCTION("""COMPUTED_VALUE"""),112.0)</f>
        <v>112</v>
      </c>
      <c r="H1737" s="35" t="str">
        <f>IFERROR(__xludf.DUMMYFUNCTION("""COMPUTED_VALUE"""),"Algorithms")</f>
        <v>Algorithms</v>
      </c>
      <c r="I1737" s="35">
        <f>IFERROR(__xludf.DUMMYFUNCTION("""COMPUTED_VALUE"""),0.419)</f>
        <v>0.419</v>
      </c>
      <c r="J1737" s="35">
        <f>IFERROR(__xludf.DUMMYFUNCTION("""COMPUTED_VALUE"""),1736.0)</f>
        <v>1736</v>
      </c>
      <c r="K1737" s="35" t="b">
        <f>IFERROR(__xludf.DUMMYFUNCTION("""COMPUTED_VALUE"""),FALSE)</f>
        <v>0</v>
      </c>
      <c r="L1737" s="35" t="str">
        <f>IFERROR(__xludf.DUMMYFUNCTION("""COMPUTED_VALUE"""),"String;Greedy;")</f>
        <v>String;Greedy;</v>
      </c>
      <c r="M1737" s="35" t="b">
        <f>IFERROR(__xludf.DUMMYFUNCTION("""COMPUTED_VALUE"""),FALSE)</f>
        <v>0</v>
      </c>
      <c r="N1737" s="35" t="b">
        <f>IFERROR(__xludf.DUMMYFUNCTION("""COMPUTED_VALUE"""),FALSE)</f>
        <v>0</v>
      </c>
      <c r="O1737" s="35">
        <f>IFERROR(__xludf.DUMMYFUNCTION("""COMPUTED_VALUE"""),41.9379585734799)</f>
        <v>41.93795857</v>
      </c>
      <c r="P1737" s="35">
        <f>IFERROR(__xludf.DUMMYFUNCTION("""COMPUTED_VALUE"""),21320.0)</f>
        <v>21320</v>
      </c>
      <c r="Q1737" s="35">
        <f>IFERROR(__xludf.DUMMYFUNCTION("""COMPUTED_VALUE"""),50837.0)</f>
        <v>50837</v>
      </c>
    </row>
    <row r="1738">
      <c r="A1738" s="35">
        <f>IFERROR(__xludf.DUMMYFUNCTION("""COMPUTED_VALUE"""),1859.0)</f>
        <v>1859</v>
      </c>
      <c r="B1738" s="35" t="str">
        <f>IFERROR(__xludf.DUMMYFUNCTION("""COMPUTED_VALUE"""),"Change Minimum Characters to Satisfy One of Three Conditions")</f>
        <v>Change Minimum Characters to Satisfy One of Three Conditions</v>
      </c>
      <c r="C1738" s="35" t="str">
        <f>IFERROR(__xludf.DUMMYFUNCTION("""COMPUTED_VALUE"""),"change-minimum-characters-to-satisfy-one-of-three-conditions")</f>
        <v>change-minimum-characters-to-satisfy-one-of-three-conditions</v>
      </c>
      <c r="D1738" s="35" t="b">
        <f>IFERROR(__xludf.DUMMYFUNCTION("""COMPUTED_VALUE"""),FALSE)</f>
        <v>0</v>
      </c>
      <c r="E1738" s="35" t="str">
        <f>IFERROR(__xludf.DUMMYFUNCTION("""COMPUTED_VALUE"""),"Medium")</f>
        <v>Medium</v>
      </c>
      <c r="F1738" s="35">
        <f>IFERROR(__xludf.DUMMYFUNCTION("""COMPUTED_VALUE"""),229.0)</f>
        <v>229</v>
      </c>
      <c r="G1738" s="35">
        <f>IFERROR(__xludf.DUMMYFUNCTION("""COMPUTED_VALUE"""),247.0)</f>
        <v>247</v>
      </c>
      <c r="H1738" s="35" t="str">
        <f>IFERROR(__xludf.DUMMYFUNCTION("""COMPUTED_VALUE"""),"Algorithms")</f>
        <v>Algorithms</v>
      </c>
      <c r="I1738" s="35">
        <f>IFERROR(__xludf.DUMMYFUNCTION("""COMPUTED_VALUE"""),0.336)</f>
        <v>0.336</v>
      </c>
      <c r="J1738" s="35">
        <f>IFERROR(__xludf.DUMMYFUNCTION("""COMPUTED_VALUE"""),1737.0)</f>
        <v>1737</v>
      </c>
      <c r="K1738" s="35" t="b">
        <f>IFERROR(__xludf.DUMMYFUNCTION("""COMPUTED_VALUE"""),FALSE)</f>
        <v>0</v>
      </c>
      <c r="L1738" s="35" t="str">
        <f>IFERROR(__xludf.DUMMYFUNCTION("""COMPUTED_VALUE"""),"Hash Table;String;Counting;Prefix Sum;")</f>
        <v>Hash Table;String;Counting;Prefix Sum;</v>
      </c>
      <c r="M1738" s="35" t="b">
        <f>IFERROR(__xludf.DUMMYFUNCTION("""COMPUTED_VALUE"""),FALSE)</f>
        <v>0</v>
      </c>
      <c r="N1738" s="35" t="b">
        <f>IFERROR(__xludf.DUMMYFUNCTION("""COMPUTED_VALUE"""),FALSE)</f>
        <v>0</v>
      </c>
      <c r="O1738" s="35">
        <f>IFERROR(__xludf.DUMMYFUNCTION("""COMPUTED_VALUE"""),33.6209190072593)</f>
        <v>33.62091901</v>
      </c>
      <c r="P1738" s="35">
        <f>IFERROR(__xludf.DUMMYFUNCTION("""COMPUTED_VALUE"""),8846.0)</f>
        <v>8846</v>
      </c>
      <c r="Q1738" s="35">
        <f>IFERROR(__xludf.DUMMYFUNCTION("""COMPUTED_VALUE"""),26311.0)</f>
        <v>26311</v>
      </c>
    </row>
    <row r="1739">
      <c r="A1739" s="35">
        <f>IFERROR(__xludf.DUMMYFUNCTION("""COMPUTED_VALUE"""),1860.0)</f>
        <v>1860</v>
      </c>
      <c r="B1739" s="35" t="str">
        <f>IFERROR(__xludf.DUMMYFUNCTION("""COMPUTED_VALUE"""),"Find Kth Largest XOR Coordinate Value")</f>
        <v>Find Kth Largest XOR Coordinate Value</v>
      </c>
      <c r="C1739" s="35" t="str">
        <f>IFERROR(__xludf.DUMMYFUNCTION("""COMPUTED_VALUE"""),"find-kth-largest-xor-coordinate-value")</f>
        <v>find-kth-largest-xor-coordinate-value</v>
      </c>
      <c r="D1739" s="35" t="b">
        <f>IFERROR(__xludf.DUMMYFUNCTION("""COMPUTED_VALUE"""),FALSE)</f>
        <v>0</v>
      </c>
      <c r="E1739" s="35" t="str">
        <f>IFERROR(__xludf.DUMMYFUNCTION("""COMPUTED_VALUE"""),"Medium")</f>
        <v>Medium</v>
      </c>
      <c r="F1739" s="35">
        <f>IFERROR(__xludf.DUMMYFUNCTION("""COMPUTED_VALUE"""),286.0)</f>
        <v>286</v>
      </c>
      <c r="G1739" s="35">
        <f>IFERROR(__xludf.DUMMYFUNCTION("""COMPUTED_VALUE"""),43.0)</f>
        <v>43</v>
      </c>
      <c r="H1739" s="35" t="str">
        <f>IFERROR(__xludf.DUMMYFUNCTION("""COMPUTED_VALUE"""),"Algorithms")</f>
        <v>Algorithms</v>
      </c>
      <c r="I1739" s="35">
        <f>IFERROR(__xludf.DUMMYFUNCTION("""COMPUTED_VALUE"""),0.622)</f>
        <v>0.622</v>
      </c>
      <c r="J1739" s="35">
        <f>IFERROR(__xludf.DUMMYFUNCTION("""COMPUTED_VALUE"""),1738.0)</f>
        <v>1738</v>
      </c>
      <c r="K1739" s="35" t="b">
        <f>IFERROR(__xludf.DUMMYFUNCTION("""COMPUTED_VALUE"""),FALSE)</f>
        <v>0</v>
      </c>
      <c r="L1739" s="35" t="str">
        <f>IFERROR(__xludf.DUMMYFUNCTION("""COMPUTED_VALUE"""),"Array;Divide and Conquer;Bit Manipulation;Heap (Priority Queue);Matrix;Prefix Sum;Quickselect;")</f>
        <v>Array;Divide and Conquer;Bit Manipulation;Heap (Priority Queue);Matrix;Prefix Sum;Quickselect;</v>
      </c>
      <c r="M1739" s="35" t="b">
        <f>IFERROR(__xludf.DUMMYFUNCTION("""COMPUTED_VALUE"""),FALSE)</f>
        <v>0</v>
      </c>
      <c r="N1739" s="35" t="b">
        <f>IFERROR(__xludf.DUMMYFUNCTION("""COMPUTED_VALUE"""),FALSE)</f>
        <v>0</v>
      </c>
      <c r="O1739" s="35">
        <f>IFERROR(__xludf.DUMMYFUNCTION("""COMPUTED_VALUE"""),62.1960072595281)</f>
        <v>62.19600726</v>
      </c>
      <c r="P1739" s="35">
        <f>IFERROR(__xludf.DUMMYFUNCTION("""COMPUTED_VALUE"""),13708.0)</f>
        <v>13708</v>
      </c>
      <c r="Q1739" s="35">
        <f>IFERROR(__xludf.DUMMYFUNCTION("""COMPUTED_VALUE"""),22040.0)</f>
        <v>22040</v>
      </c>
    </row>
    <row r="1740">
      <c r="A1740" s="35">
        <f>IFERROR(__xludf.DUMMYFUNCTION("""COMPUTED_VALUE"""),1861.0)</f>
        <v>1861</v>
      </c>
      <c r="B1740" s="35" t="str">
        <f>IFERROR(__xludf.DUMMYFUNCTION("""COMPUTED_VALUE"""),"Building Boxes")</f>
        <v>Building Boxes</v>
      </c>
      <c r="C1740" s="35" t="str">
        <f>IFERROR(__xludf.DUMMYFUNCTION("""COMPUTED_VALUE"""),"building-boxes")</f>
        <v>building-boxes</v>
      </c>
      <c r="D1740" s="35" t="b">
        <f>IFERROR(__xludf.DUMMYFUNCTION("""COMPUTED_VALUE"""),FALSE)</f>
        <v>0</v>
      </c>
      <c r="E1740" s="35" t="str">
        <f>IFERROR(__xludf.DUMMYFUNCTION("""COMPUTED_VALUE"""),"Hard")</f>
        <v>Hard</v>
      </c>
      <c r="F1740" s="35">
        <f>IFERROR(__xludf.DUMMYFUNCTION("""COMPUTED_VALUE"""),192.0)</f>
        <v>192</v>
      </c>
      <c r="G1740" s="35">
        <f>IFERROR(__xludf.DUMMYFUNCTION("""COMPUTED_VALUE"""),33.0)</f>
        <v>33</v>
      </c>
      <c r="H1740" s="35" t="str">
        <f>IFERROR(__xludf.DUMMYFUNCTION("""COMPUTED_VALUE"""),"Algorithms")</f>
        <v>Algorithms</v>
      </c>
      <c r="I1740" s="35">
        <f>IFERROR(__xludf.DUMMYFUNCTION("""COMPUTED_VALUE"""),0.507)</f>
        <v>0.507</v>
      </c>
      <c r="J1740" s="35">
        <f>IFERROR(__xludf.DUMMYFUNCTION("""COMPUTED_VALUE"""),1739.0)</f>
        <v>1739</v>
      </c>
      <c r="K1740" s="35" t="b">
        <f>IFERROR(__xludf.DUMMYFUNCTION("""COMPUTED_VALUE"""),FALSE)</f>
        <v>0</v>
      </c>
      <c r="L1740" s="35" t="str">
        <f>IFERROR(__xludf.DUMMYFUNCTION("""COMPUTED_VALUE"""),"Math;Binary Search;Greedy;")</f>
        <v>Math;Binary Search;Greedy;</v>
      </c>
      <c r="M1740" s="35" t="b">
        <f>IFERROR(__xludf.DUMMYFUNCTION("""COMPUTED_VALUE"""),FALSE)</f>
        <v>0</v>
      </c>
      <c r="N1740" s="35" t="b">
        <f>IFERROR(__xludf.DUMMYFUNCTION("""COMPUTED_VALUE"""),FALSE)</f>
        <v>0</v>
      </c>
      <c r="O1740" s="35">
        <f>IFERROR(__xludf.DUMMYFUNCTION("""COMPUTED_VALUE"""),50.6672406371071)</f>
        <v>50.66724064</v>
      </c>
      <c r="P1740" s="35">
        <f>IFERROR(__xludf.DUMMYFUNCTION("""COMPUTED_VALUE"""),4708.0)</f>
        <v>4708</v>
      </c>
      <c r="Q1740" s="35">
        <f>IFERROR(__xludf.DUMMYFUNCTION("""COMPUTED_VALUE"""),9292.0)</f>
        <v>9292</v>
      </c>
    </row>
    <row r="1741">
      <c r="A1741" s="35">
        <f>IFERROR(__xludf.DUMMYFUNCTION("""COMPUTED_VALUE"""),1883.0)</f>
        <v>1883</v>
      </c>
      <c r="B1741" s="35" t="str">
        <f>IFERROR(__xludf.DUMMYFUNCTION("""COMPUTED_VALUE"""),"Find Distance in a Binary Tree")</f>
        <v>Find Distance in a Binary Tree</v>
      </c>
      <c r="C1741" s="35" t="str">
        <f>IFERROR(__xludf.DUMMYFUNCTION("""COMPUTED_VALUE"""),"find-distance-in-a-binary-tree")</f>
        <v>find-distance-in-a-binary-tree</v>
      </c>
      <c r="D1741" s="35" t="b">
        <f>IFERROR(__xludf.DUMMYFUNCTION("""COMPUTED_VALUE"""),TRUE)</f>
        <v>1</v>
      </c>
      <c r="E1741" s="35" t="str">
        <f>IFERROR(__xludf.DUMMYFUNCTION("""COMPUTED_VALUE"""),"Medium")</f>
        <v>Medium</v>
      </c>
      <c r="F1741" s="35">
        <f>IFERROR(__xludf.DUMMYFUNCTION("""COMPUTED_VALUE"""),215.0)</f>
        <v>215</v>
      </c>
      <c r="G1741" s="35">
        <f>IFERROR(__xludf.DUMMYFUNCTION("""COMPUTED_VALUE"""),9.0)</f>
        <v>9</v>
      </c>
      <c r="H1741" s="35" t="str">
        <f>IFERROR(__xludf.DUMMYFUNCTION("""COMPUTED_VALUE"""),"Algorithms")</f>
        <v>Algorithms</v>
      </c>
      <c r="I1741" s="35">
        <f>IFERROR(__xludf.DUMMYFUNCTION("""COMPUTED_VALUE"""),0.683)</f>
        <v>0.683</v>
      </c>
      <c r="J1741" s="35">
        <f>IFERROR(__xludf.DUMMYFUNCTION("""COMPUTED_VALUE"""),1740.0)</f>
        <v>1740</v>
      </c>
      <c r="K1741" s="35" t="b">
        <f>IFERROR(__xludf.DUMMYFUNCTION("""COMPUTED_VALUE"""),TRUE)</f>
        <v>1</v>
      </c>
      <c r="L1741" s="35" t="str">
        <f>IFERROR(__xludf.DUMMYFUNCTION("""COMPUTED_VALUE"""),"Hash Table;Tree;Depth-First Search;Breadth-First Search;Binary Tree;")</f>
        <v>Hash Table;Tree;Depth-First Search;Breadth-First Search;Binary Tree;</v>
      </c>
      <c r="M1741" s="35" t="b">
        <f>IFERROR(__xludf.DUMMYFUNCTION("""COMPUTED_VALUE"""),FALSE)</f>
        <v>0</v>
      </c>
      <c r="N1741" s="35" t="b">
        <f>IFERROR(__xludf.DUMMYFUNCTION("""COMPUTED_VALUE"""),FALSE)</f>
        <v>0</v>
      </c>
      <c r="O1741" s="35">
        <f>IFERROR(__xludf.DUMMYFUNCTION("""COMPUTED_VALUE"""),68.2539682539682)</f>
        <v>68.25396825</v>
      </c>
      <c r="P1741" s="35">
        <f>IFERROR(__xludf.DUMMYFUNCTION("""COMPUTED_VALUE"""),9890.0)</f>
        <v>9890</v>
      </c>
      <c r="Q1741" s="35">
        <f>IFERROR(__xludf.DUMMYFUNCTION("""COMPUTED_VALUE"""),14490.0)</f>
        <v>14490</v>
      </c>
    </row>
    <row r="1742">
      <c r="A1742" s="35">
        <f>IFERROR(__xludf.DUMMYFUNCTION("""COMPUTED_VALUE"""),1892.0)</f>
        <v>1892</v>
      </c>
      <c r="B1742" s="35" t="str">
        <f>IFERROR(__xludf.DUMMYFUNCTION("""COMPUTED_VALUE"""),"Find Total Time Spent by Each Employee")</f>
        <v>Find Total Time Spent by Each Employee</v>
      </c>
      <c r="C1742" s="35" t="str">
        <f>IFERROR(__xludf.DUMMYFUNCTION("""COMPUTED_VALUE"""),"find-total-time-spent-by-each-employee")</f>
        <v>find-total-time-spent-by-each-employee</v>
      </c>
      <c r="D1742" s="35" t="b">
        <f>IFERROR(__xludf.DUMMYFUNCTION("""COMPUTED_VALUE"""),TRUE)</f>
        <v>1</v>
      </c>
      <c r="E1742" s="35" t="str">
        <f>IFERROR(__xludf.DUMMYFUNCTION("""COMPUTED_VALUE"""),"Easy")</f>
        <v>Easy</v>
      </c>
      <c r="F1742" s="35">
        <f>IFERROR(__xludf.DUMMYFUNCTION("""COMPUTED_VALUE"""),70.0)</f>
        <v>70</v>
      </c>
      <c r="G1742" s="35">
        <f>IFERROR(__xludf.DUMMYFUNCTION("""COMPUTED_VALUE"""),3.0)</f>
        <v>3</v>
      </c>
      <c r="H1742" s="35" t="str">
        <f>IFERROR(__xludf.DUMMYFUNCTION("""COMPUTED_VALUE"""),"Database")</f>
        <v>Database</v>
      </c>
      <c r="I1742" s="35">
        <f>IFERROR(__xludf.DUMMYFUNCTION("""COMPUTED_VALUE"""),0.914)</f>
        <v>0.914</v>
      </c>
      <c r="J1742" s="35">
        <f>IFERROR(__xludf.DUMMYFUNCTION("""COMPUTED_VALUE"""),1741.0)</f>
        <v>1741</v>
      </c>
      <c r="K1742" s="35" t="b">
        <f>IFERROR(__xludf.DUMMYFUNCTION("""COMPUTED_VALUE"""),TRUE)</f>
        <v>1</v>
      </c>
      <c r="L1742" s="35" t="str">
        <f>IFERROR(__xludf.DUMMYFUNCTION("""COMPUTED_VALUE"""),"Database;")</f>
        <v>Database;</v>
      </c>
      <c r="M1742" s="35" t="b">
        <f>IFERROR(__xludf.DUMMYFUNCTION("""COMPUTED_VALUE"""),FALSE)</f>
        <v>0</v>
      </c>
      <c r="N1742" s="35" t="b">
        <f>IFERROR(__xludf.DUMMYFUNCTION("""COMPUTED_VALUE"""),FALSE)</f>
        <v>0</v>
      </c>
      <c r="O1742" s="35">
        <f>IFERROR(__xludf.DUMMYFUNCTION("""COMPUTED_VALUE"""),91.391085549964)</f>
        <v>91.39108555</v>
      </c>
      <c r="P1742" s="35">
        <f>IFERROR(__xludf.DUMMYFUNCTION("""COMPUTED_VALUE"""),15254.0)</f>
        <v>15254</v>
      </c>
      <c r="Q1742" s="35">
        <f>IFERROR(__xludf.DUMMYFUNCTION("""COMPUTED_VALUE"""),16691.0)</f>
        <v>16691</v>
      </c>
    </row>
    <row r="1743">
      <c r="A1743" s="35">
        <f>IFERROR(__xludf.DUMMYFUNCTION("""COMPUTED_VALUE"""),1844.0)</f>
        <v>1844</v>
      </c>
      <c r="B1743" s="35" t="str">
        <f>IFERROR(__xludf.DUMMYFUNCTION("""COMPUTED_VALUE"""),"Maximum Number of Balls in a Box")</f>
        <v>Maximum Number of Balls in a Box</v>
      </c>
      <c r="C1743" s="35" t="str">
        <f>IFERROR(__xludf.DUMMYFUNCTION("""COMPUTED_VALUE"""),"maximum-number-of-balls-in-a-box")</f>
        <v>maximum-number-of-balls-in-a-box</v>
      </c>
      <c r="D1743" s="35" t="b">
        <f>IFERROR(__xludf.DUMMYFUNCTION("""COMPUTED_VALUE"""),FALSE)</f>
        <v>0</v>
      </c>
      <c r="E1743" s="35" t="str">
        <f>IFERROR(__xludf.DUMMYFUNCTION("""COMPUTED_VALUE"""),"Easy")</f>
        <v>Easy</v>
      </c>
      <c r="F1743" s="35">
        <f>IFERROR(__xludf.DUMMYFUNCTION("""COMPUTED_VALUE"""),347.0)</f>
        <v>347</v>
      </c>
      <c r="G1743" s="35">
        <f>IFERROR(__xludf.DUMMYFUNCTION("""COMPUTED_VALUE"""),80.0)</f>
        <v>80</v>
      </c>
      <c r="H1743" s="35" t="str">
        <f>IFERROR(__xludf.DUMMYFUNCTION("""COMPUTED_VALUE"""),"Algorithms")</f>
        <v>Algorithms</v>
      </c>
      <c r="I1743" s="35">
        <f>IFERROR(__xludf.DUMMYFUNCTION("""COMPUTED_VALUE"""),0.737)</f>
        <v>0.737</v>
      </c>
      <c r="J1743" s="35">
        <f>IFERROR(__xludf.DUMMYFUNCTION("""COMPUTED_VALUE"""),1742.0)</f>
        <v>1742</v>
      </c>
      <c r="K1743" s="35" t="b">
        <f>IFERROR(__xludf.DUMMYFUNCTION("""COMPUTED_VALUE"""),FALSE)</f>
        <v>0</v>
      </c>
      <c r="L1743" s="35" t="str">
        <f>IFERROR(__xludf.DUMMYFUNCTION("""COMPUTED_VALUE"""),"Hash Table;Math;Counting;")</f>
        <v>Hash Table;Math;Counting;</v>
      </c>
      <c r="M1743" s="35" t="b">
        <f>IFERROR(__xludf.DUMMYFUNCTION("""COMPUTED_VALUE"""),FALSE)</f>
        <v>0</v>
      </c>
      <c r="N1743" s="35" t="b">
        <f>IFERROR(__xludf.DUMMYFUNCTION("""COMPUTED_VALUE"""),FALSE)</f>
        <v>0</v>
      </c>
      <c r="O1743" s="35">
        <f>IFERROR(__xludf.DUMMYFUNCTION("""COMPUTED_VALUE"""),73.680836571978)</f>
        <v>73.68083657</v>
      </c>
      <c r="P1743" s="35">
        <f>IFERROR(__xludf.DUMMYFUNCTION("""COMPUTED_VALUE"""),36780.0)</f>
        <v>36780</v>
      </c>
      <c r="Q1743" s="35">
        <f>IFERROR(__xludf.DUMMYFUNCTION("""COMPUTED_VALUE"""),49918.0)</f>
        <v>49918</v>
      </c>
    </row>
    <row r="1744">
      <c r="A1744" s="35">
        <f>IFERROR(__xludf.DUMMYFUNCTION("""COMPUTED_VALUE"""),1866.0)</f>
        <v>1866</v>
      </c>
      <c r="B1744" s="35" t="str">
        <f>IFERROR(__xludf.DUMMYFUNCTION("""COMPUTED_VALUE"""),"Restore the Array From Adjacent Pairs")</f>
        <v>Restore the Array From Adjacent Pairs</v>
      </c>
      <c r="C1744" s="35" t="str">
        <f>IFERROR(__xludf.DUMMYFUNCTION("""COMPUTED_VALUE"""),"restore-the-array-from-adjacent-pairs")</f>
        <v>restore-the-array-from-adjacent-pairs</v>
      </c>
      <c r="D1744" s="35" t="b">
        <f>IFERROR(__xludf.DUMMYFUNCTION("""COMPUTED_VALUE"""),FALSE)</f>
        <v>0</v>
      </c>
      <c r="E1744" s="35" t="str">
        <f>IFERROR(__xludf.DUMMYFUNCTION("""COMPUTED_VALUE"""),"Medium")</f>
        <v>Medium</v>
      </c>
      <c r="F1744" s="35">
        <f>IFERROR(__xludf.DUMMYFUNCTION("""COMPUTED_VALUE"""),592.0)</f>
        <v>592</v>
      </c>
      <c r="G1744" s="35">
        <f>IFERROR(__xludf.DUMMYFUNCTION("""COMPUTED_VALUE"""),9.0)</f>
        <v>9</v>
      </c>
      <c r="H1744" s="35" t="str">
        <f>IFERROR(__xludf.DUMMYFUNCTION("""COMPUTED_VALUE"""),"Algorithms")</f>
        <v>Algorithms</v>
      </c>
      <c r="I1744" s="35">
        <f>IFERROR(__xludf.DUMMYFUNCTION("""COMPUTED_VALUE"""),0.681)</f>
        <v>0.681</v>
      </c>
      <c r="J1744" s="35">
        <f>IFERROR(__xludf.DUMMYFUNCTION("""COMPUTED_VALUE"""),1743.0)</f>
        <v>1743</v>
      </c>
      <c r="K1744" s="35" t="b">
        <f>IFERROR(__xludf.DUMMYFUNCTION("""COMPUTED_VALUE"""),FALSE)</f>
        <v>0</v>
      </c>
      <c r="L1744" s="35" t="str">
        <f>IFERROR(__xludf.DUMMYFUNCTION("""COMPUTED_VALUE"""),"Array;Hash Table;")</f>
        <v>Array;Hash Table;</v>
      </c>
      <c r="M1744" s="35" t="b">
        <f>IFERROR(__xludf.DUMMYFUNCTION("""COMPUTED_VALUE"""),FALSE)</f>
        <v>0</v>
      </c>
      <c r="N1744" s="35" t="b">
        <f>IFERROR(__xludf.DUMMYFUNCTION("""COMPUTED_VALUE"""),FALSE)</f>
        <v>0</v>
      </c>
      <c r="O1744" s="35">
        <f>IFERROR(__xludf.DUMMYFUNCTION("""COMPUTED_VALUE"""),68.0564317256408)</f>
        <v>68.05643173</v>
      </c>
      <c r="P1744" s="35">
        <f>IFERROR(__xludf.DUMMYFUNCTION("""COMPUTED_VALUE"""),23734.0)</f>
        <v>23734</v>
      </c>
      <c r="Q1744" s="35">
        <f>IFERROR(__xludf.DUMMYFUNCTION("""COMPUTED_VALUE"""),34874.0)</f>
        <v>34874</v>
      </c>
    </row>
    <row r="1745">
      <c r="A1745" s="35">
        <f>IFERROR(__xludf.DUMMYFUNCTION("""COMPUTED_VALUE"""),1872.0)</f>
        <v>1872</v>
      </c>
      <c r="B1745" s="35" t="str">
        <f>IFERROR(__xludf.DUMMYFUNCTION("""COMPUTED_VALUE"""),"Can You Eat Your Favorite Candy on Your Favorite Day?")</f>
        <v>Can You Eat Your Favorite Candy on Your Favorite Day?</v>
      </c>
      <c r="C1745" s="35" t="str">
        <f>IFERROR(__xludf.DUMMYFUNCTION("""COMPUTED_VALUE"""),"can-you-eat-your-favorite-candy-on-your-favorite-day")</f>
        <v>can-you-eat-your-favorite-candy-on-your-favorite-day</v>
      </c>
      <c r="D1745" s="35" t="b">
        <f>IFERROR(__xludf.DUMMYFUNCTION("""COMPUTED_VALUE"""),FALSE)</f>
        <v>0</v>
      </c>
      <c r="E1745" s="35" t="str">
        <f>IFERROR(__xludf.DUMMYFUNCTION("""COMPUTED_VALUE"""),"Medium")</f>
        <v>Medium</v>
      </c>
      <c r="F1745" s="35">
        <f>IFERROR(__xludf.DUMMYFUNCTION("""COMPUTED_VALUE"""),81.0)</f>
        <v>81</v>
      </c>
      <c r="G1745" s="35">
        <f>IFERROR(__xludf.DUMMYFUNCTION("""COMPUTED_VALUE"""),257.0)</f>
        <v>257</v>
      </c>
      <c r="H1745" s="35" t="str">
        <f>IFERROR(__xludf.DUMMYFUNCTION("""COMPUTED_VALUE"""),"Algorithms")</f>
        <v>Algorithms</v>
      </c>
      <c r="I1745" s="35">
        <f>IFERROR(__xludf.DUMMYFUNCTION("""COMPUTED_VALUE"""),0.321)</f>
        <v>0.321</v>
      </c>
      <c r="J1745" s="35">
        <f>IFERROR(__xludf.DUMMYFUNCTION("""COMPUTED_VALUE"""),1744.0)</f>
        <v>1744</v>
      </c>
      <c r="K1745" s="35" t="b">
        <f>IFERROR(__xludf.DUMMYFUNCTION("""COMPUTED_VALUE"""),FALSE)</f>
        <v>0</v>
      </c>
      <c r="L1745" s="35" t="str">
        <f>IFERROR(__xludf.DUMMYFUNCTION("""COMPUTED_VALUE"""),"Array;Prefix Sum;")</f>
        <v>Array;Prefix Sum;</v>
      </c>
      <c r="M1745" s="35" t="b">
        <f>IFERROR(__xludf.DUMMYFUNCTION("""COMPUTED_VALUE"""),FALSE)</f>
        <v>0</v>
      </c>
      <c r="N1745" s="35" t="b">
        <f>IFERROR(__xludf.DUMMYFUNCTION("""COMPUTED_VALUE"""),FALSE)</f>
        <v>0</v>
      </c>
      <c r="O1745" s="35">
        <f>IFERROR(__xludf.DUMMYFUNCTION("""COMPUTED_VALUE"""),32.0689367384409)</f>
        <v>32.06893674</v>
      </c>
      <c r="P1745" s="35">
        <f>IFERROR(__xludf.DUMMYFUNCTION("""COMPUTED_VALUE"""),7685.0)</f>
        <v>7685</v>
      </c>
      <c r="Q1745" s="35">
        <f>IFERROR(__xludf.DUMMYFUNCTION("""COMPUTED_VALUE"""),23964.0)</f>
        <v>23964</v>
      </c>
    </row>
    <row r="1746">
      <c r="A1746" s="35">
        <f>IFERROR(__xludf.DUMMYFUNCTION("""COMPUTED_VALUE"""),1871.0)</f>
        <v>1871</v>
      </c>
      <c r="B1746" s="35" t="str">
        <f>IFERROR(__xludf.DUMMYFUNCTION("""COMPUTED_VALUE"""),"Palindrome Partitioning IV")</f>
        <v>Palindrome Partitioning IV</v>
      </c>
      <c r="C1746" s="35" t="str">
        <f>IFERROR(__xludf.DUMMYFUNCTION("""COMPUTED_VALUE"""),"palindrome-partitioning-iv")</f>
        <v>palindrome-partitioning-iv</v>
      </c>
      <c r="D1746" s="35" t="b">
        <f>IFERROR(__xludf.DUMMYFUNCTION("""COMPUTED_VALUE"""),FALSE)</f>
        <v>0</v>
      </c>
      <c r="E1746" s="35" t="str">
        <f>IFERROR(__xludf.DUMMYFUNCTION("""COMPUTED_VALUE"""),"Hard")</f>
        <v>Hard</v>
      </c>
      <c r="F1746" s="35">
        <f>IFERROR(__xludf.DUMMYFUNCTION("""COMPUTED_VALUE"""),470.0)</f>
        <v>470</v>
      </c>
      <c r="G1746" s="35">
        <f>IFERROR(__xludf.DUMMYFUNCTION("""COMPUTED_VALUE"""),14.0)</f>
        <v>14</v>
      </c>
      <c r="H1746" s="35" t="str">
        <f>IFERROR(__xludf.DUMMYFUNCTION("""COMPUTED_VALUE"""),"Algorithms")</f>
        <v>Algorithms</v>
      </c>
      <c r="I1746" s="35">
        <f>IFERROR(__xludf.DUMMYFUNCTION("""COMPUTED_VALUE"""),0.493)</f>
        <v>0.493</v>
      </c>
      <c r="J1746" s="35">
        <f>IFERROR(__xludf.DUMMYFUNCTION("""COMPUTED_VALUE"""),1745.0)</f>
        <v>1745</v>
      </c>
      <c r="K1746" s="35" t="b">
        <f>IFERROR(__xludf.DUMMYFUNCTION("""COMPUTED_VALUE"""),FALSE)</f>
        <v>0</v>
      </c>
      <c r="L1746" s="35" t="str">
        <f>IFERROR(__xludf.DUMMYFUNCTION("""COMPUTED_VALUE"""),"String;Dynamic Programming;")</f>
        <v>String;Dynamic Programming;</v>
      </c>
      <c r="M1746" s="35" t="b">
        <f>IFERROR(__xludf.DUMMYFUNCTION("""COMPUTED_VALUE"""),FALSE)</f>
        <v>0</v>
      </c>
      <c r="N1746" s="35" t="b">
        <f>IFERROR(__xludf.DUMMYFUNCTION("""COMPUTED_VALUE"""),FALSE)</f>
        <v>0</v>
      </c>
      <c r="O1746" s="35">
        <f>IFERROR(__xludf.DUMMYFUNCTION("""COMPUTED_VALUE"""),49.2594932266442)</f>
        <v>49.25949323</v>
      </c>
      <c r="P1746" s="35">
        <f>IFERROR(__xludf.DUMMYFUNCTION("""COMPUTED_VALUE"""),14036.0)</f>
        <v>14036</v>
      </c>
      <c r="Q1746" s="35">
        <f>IFERROR(__xludf.DUMMYFUNCTION("""COMPUTED_VALUE"""),28494.0)</f>
        <v>28494</v>
      </c>
    </row>
    <row r="1747">
      <c r="A1747" s="35">
        <f>IFERROR(__xludf.DUMMYFUNCTION("""COMPUTED_VALUE"""),1893.0)</f>
        <v>1893</v>
      </c>
      <c r="B1747" s="35" t="str">
        <f>IFERROR(__xludf.DUMMYFUNCTION("""COMPUTED_VALUE"""),"Maximum Subarray Sum After One Operation")</f>
        <v>Maximum Subarray Sum After One Operation</v>
      </c>
      <c r="C1747" s="35" t="str">
        <f>IFERROR(__xludf.DUMMYFUNCTION("""COMPUTED_VALUE"""),"maximum-subarray-sum-after-one-operation")</f>
        <v>maximum-subarray-sum-after-one-operation</v>
      </c>
      <c r="D1747" s="35" t="b">
        <f>IFERROR(__xludf.DUMMYFUNCTION("""COMPUTED_VALUE"""),TRUE)</f>
        <v>1</v>
      </c>
      <c r="E1747" s="35" t="str">
        <f>IFERROR(__xludf.DUMMYFUNCTION("""COMPUTED_VALUE"""),"Medium")</f>
        <v>Medium</v>
      </c>
      <c r="F1747" s="35">
        <f>IFERROR(__xludf.DUMMYFUNCTION("""COMPUTED_VALUE"""),181.0)</f>
        <v>181</v>
      </c>
      <c r="G1747" s="35">
        <f>IFERROR(__xludf.DUMMYFUNCTION("""COMPUTED_VALUE"""),3.0)</f>
        <v>3</v>
      </c>
      <c r="H1747" s="35" t="str">
        <f>IFERROR(__xludf.DUMMYFUNCTION("""COMPUTED_VALUE"""),"Algorithms")</f>
        <v>Algorithms</v>
      </c>
      <c r="I1747" s="35">
        <f>IFERROR(__xludf.DUMMYFUNCTION("""COMPUTED_VALUE"""),0.62)</f>
        <v>0.62</v>
      </c>
      <c r="J1747" s="35">
        <f>IFERROR(__xludf.DUMMYFUNCTION("""COMPUTED_VALUE"""),1746.0)</f>
        <v>1746</v>
      </c>
      <c r="K1747" s="35" t="b">
        <f>IFERROR(__xludf.DUMMYFUNCTION("""COMPUTED_VALUE"""),TRUE)</f>
        <v>1</v>
      </c>
      <c r="L1747" s="35" t="str">
        <f>IFERROR(__xludf.DUMMYFUNCTION("""COMPUTED_VALUE"""),"Array;Dynamic Programming;")</f>
        <v>Array;Dynamic Programming;</v>
      </c>
      <c r="M1747" s="35" t="b">
        <f>IFERROR(__xludf.DUMMYFUNCTION("""COMPUTED_VALUE"""),FALSE)</f>
        <v>0</v>
      </c>
      <c r="N1747" s="35" t="b">
        <f>IFERROR(__xludf.DUMMYFUNCTION("""COMPUTED_VALUE"""),FALSE)</f>
        <v>0</v>
      </c>
      <c r="O1747" s="35">
        <f>IFERROR(__xludf.DUMMYFUNCTION("""COMPUTED_VALUE"""),62.0459599703484)</f>
        <v>62.04595997</v>
      </c>
      <c r="P1747" s="35">
        <f>IFERROR(__xludf.DUMMYFUNCTION("""COMPUTED_VALUE"""),5019.0)</f>
        <v>5019</v>
      </c>
      <c r="Q1747" s="35">
        <f>IFERROR(__xludf.DUMMYFUNCTION("""COMPUTED_VALUE"""),8091.0)</f>
        <v>8091</v>
      </c>
    </row>
    <row r="1748">
      <c r="A1748" s="35">
        <f>IFERROR(__xludf.DUMMYFUNCTION("""COMPUTED_VALUE"""),1898.0)</f>
        <v>1898</v>
      </c>
      <c r="B1748" s="35" t="str">
        <f>IFERROR(__xludf.DUMMYFUNCTION("""COMPUTED_VALUE"""),"Leetflex Banned Accounts")</f>
        <v>Leetflex Banned Accounts</v>
      </c>
      <c r="C1748" s="35" t="str">
        <f>IFERROR(__xludf.DUMMYFUNCTION("""COMPUTED_VALUE"""),"leetflex-banned-accounts")</f>
        <v>leetflex-banned-accounts</v>
      </c>
      <c r="D1748" s="35" t="b">
        <f>IFERROR(__xludf.DUMMYFUNCTION("""COMPUTED_VALUE"""),TRUE)</f>
        <v>1</v>
      </c>
      <c r="E1748" s="35" t="str">
        <f>IFERROR(__xludf.DUMMYFUNCTION("""COMPUTED_VALUE"""),"Medium")</f>
        <v>Medium</v>
      </c>
      <c r="F1748" s="35">
        <f>IFERROR(__xludf.DUMMYFUNCTION("""COMPUTED_VALUE"""),68.0)</f>
        <v>68</v>
      </c>
      <c r="G1748" s="35">
        <f>IFERROR(__xludf.DUMMYFUNCTION("""COMPUTED_VALUE"""),4.0)</f>
        <v>4</v>
      </c>
      <c r="H1748" s="35" t="str">
        <f>IFERROR(__xludf.DUMMYFUNCTION("""COMPUTED_VALUE"""),"Database")</f>
        <v>Database</v>
      </c>
      <c r="I1748" s="35">
        <f>IFERROR(__xludf.DUMMYFUNCTION("""COMPUTED_VALUE"""),0.674)</f>
        <v>0.674</v>
      </c>
      <c r="J1748" s="35">
        <f>IFERROR(__xludf.DUMMYFUNCTION("""COMPUTED_VALUE"""),1747.0)</f>
        <v>1747</v>
      </c>
      <c r="K1748" s="35" t="b">
        <f>IFERROR(__xludf.DUMMYFUNCTION("""COMPUTED_VALUE"""),TRUE)</f>
        <v>1</v>
      </c>
      <c r="L1748" s="35" t="str">
        <f>IFERROR(__xludf.DUMMYFUNCTION("""COMPUTED_VALUE"""),"Database;")</f>
        <v>Database;</v>
      </c>
      <c r="M1748" s="35" t="b">
        <f>IFERROR(__xludf.DUMMYFUNCTION("""COMPUTED_VALUE"""),FALSE)</f>
        <v>0</v>
      </c>
      <c r="N1748" s="35" t="b">
        <f>IFERROR(__xludf.DUMMYFUNCTION("""COMPUTED_VALUE"""),FALSE)</f>
        <v>0</v>
      </c>
      <c r="O1748" s="35">
        <f>IFERROR(__xludf.DUMMYFUNCTION("""COMPUTED_VALUE"""),67.4035792898841)</f>
        <v>67.40357929</v>
      </c>
      <c r="P1748" s="35">
        <f>IFERROR(__xludf.DUMMYFUNCTION("""COMPUTED_VALUE"""),7043.0)</f>
        <v>7043</v>
      </c>
      <c r="Q1748" s="35">
        <f>IFERROR(__xludf.DUMMYFUNCTION("""COMPUTED_VALUE"""),10449.0)</f>
        <v>10449</v>
      </c>
    </row>
    <row r="1749">
      <c r="A1749" s="35">
        <f>IFERROR(__xludf.DUMMYFUNCTION("""COMPUTED_VALUE"""),1848.0)</f>
        <v>1848</v>
      </c>
      <c r="B1749" s="35" t="str">
        <f>IFERROR(__xludf.DUMMYFUNCTION("""COMPUTED_VALUE"""),"Sum of Unique Elements")</f>
        <v>Sum of Unique Elements</v>
      </c>
      <c r="C1749" s="35" t="str">
        <f>IFERROR(__xludf.DUMMYFUNCTION("""COMPUTED_VALUE"""),"sum-of-unique-elements")</f>
        <v>sum-of-unique-elements</v>
      </c>
      <c r="D1749" s="35" t="b">
        <f>IFERROR(__xludf.DUMMYFUNCTION("""COMPUTED_VALUE"""),FALSE)</f>
        <v>0</v>
      </c>
      <c r="E1749" s="35" t="str">
        <f>IFERROR(__xludf.DUMMYFUNCTION("""COMPUTED_VALUE"""),"Easy")</f>
        <v>Easy</v>
      </c>
      <c r="F1749" s="35">
        <f>IFERROR(__xludf.DUMMYFUNCTION("""COMPUTED_VALUE"""),683.0)</f>
        <v>683</v>
      </c>
      <c r="G1749" s="35">
        <f>IFERROR(__xludf.DUMMYFUNCTION("""COMPUTED_VALUE"""),17.0)</f>
        <v>17</v>
      </c>
      <c r="H1749" s="35" t="str">
        <f>IFERROR(__xludf.DUMMYFUNCTION("""COMPUTED_VALUE"""),"Algorithms")</f>
        <v>Algorithms</v>
      </c>
      <c r="I1749" s="35">
        <f>IFERROR(__xludf.DUMMYFUNCTION("""COMPUTED_VALUE"""),0.754)</f>
        <v>0.754</v>
      </c>
      <c r="J1749" s="35">
        <f>IFERROR(__xludf.DUMMYFUNCTION("""COMPUTED_VALUE"""),1748.0)</f>
        <v>1748</v>
      </c>
      <c r="K1749" s="35" t="b">
        <f>IFERROR(__xludf.DUMMYFUNCTION("""COMPUTED_VALUE"""),FALSE)</f>
        <v>0</v>
      </c>
      <c r="L1749" s="35" t="str">
        <f>IFERROR(__xludf.DUMMYFUNCTION("""COMPUTED_VALUE"""),"Array;Hash Table;Counting;")</f>
        <v>Array;Hash Table;Counting;</v>
      </c>
      <c r="M1749" s="35" t="b">
        <f>IFERROR(__xludf.DUMMYFUNCTION("""COMPUTED_VALUE"""),FALSE)</f>
        <v>0</v>
      </c>
      <c r="N1749" s="35" t="b">
        <f>IFERROR(__xludf.DUMMYFUNCTION("""COMPUTED_VALUE"""),FALSE)</f>
        <v>0</v>
      </c>
      <c r="O1749" s="35">
        <f>IFERROR(__xludf.DUMMYFUNCTION("""COMPUTED_VALUE"""),75.3860803134611)</f>
        <v>75.38608031</v>
      </c>
      <c r="P1749" s="35">
        <f>IFERROR(__xludf.DUMMYFUNCTION("""COMPUTED_VALUE"""),68877.0)</f>
        <v>68877</v>
      </c>
      <c r="Q1749" s="35">
        <f>IFERROR(__xludf.DUMMYFUNCTION("""COMPUTED_VALUE"""),91366.0)</f>
        <v>91366</v>
      </c>
    </row>
    <row r="1750">
      <c r="A1750" s="35">
        <f>IFERROR(__xludf.DUMMYFUNCTION("""COMPUTED_VALUE"""),1849.0)</f>
        <v>1849</v>
      </c>
      <c r="B1750" s="35" t="str">
        <f>IFERROR(__xludf.DUMMYFUNCTION("""COMPUTED_VALUE"""),"Maximum Absolute Sum of Any Subarray")</f>
        <v>Maximum Absolute Sum of Any Subarray</v>
      </c>
      <c r="C1750" s="35" t="str">
        <f>IFERROR(__xludf.DUMMYFUNCTION("""COMPUTED_VALUE"""),"maximum-absolute-sum-of-any-subarray")</f>
        <v>maximum-absolute-sum-of-any-subarray</v>
      </c>
      <c r="D1750" s="35" t="b">
        <f>IFERROR(__xludf.DUMMYFUNCTION("""COMPUTED_VALUE"""),FALSE)</f>
        <v>0</v>
      </c>
      <c r="E1750" s="35" t="str">
        <f>IFERROR(__xludf.DUMMYFUNCTION("""COMPUTED_VALUE"""),"Medium")</f>
        <v>Medium</v>
      </c>
      <c r="F1750" s="35">
        <f>IFERROR(__xludf.DUMMYFUNCTION("""COMPUTED_VALUE"""),667.0)</f>
        <v>667</v>
      </c>
      <c r="G1750" s="35">
        <f>IFERROR(__xludf.DUMMYFUNCTION("""COMPUTED_VALUE"""),10.0)</f>
        <v>10</v>
      </c>
      <c r="H1750" s="35" t="str">
        <f>IFERROR(__xludf.DUMMYFUNCTION("""COMPUTED_VALUE"""),"Algorithms")</f>
        <v>Algorithms</v>
      </c>
      <c r="I1750" s="35">
        <f>IFERROR(__xludf.DUMMYFUNCTION("""COMPUTED_VALUE"""),0.566)</f>
        <v>0.566</v>
      </c>
      <c r="J1750" s="35">
        <f>IFERROR(__xludf.DUMMYFUNCTION("""COMPUTED_VALUE"""),1749.0)</f>
        <v>1749</v>
      </c>
      <c r="K1750" s="35" t="b">
        <f>IFERROR(__xludf.DUMMYFUNCTION("""COMPUTED_VALUE"""),FALSE)</f>
        <v>0</v>
      </c>
      <c r="L1750" s="35" t="str">
        <f>IFERROR(__xludf.DUMMYFUNCTION("""COMPUTED_VALUE"""),"Array;Dynamic Programming;")</f>
        <v>Array;Dynamic Programming;</v>
      </c>
      <c r="M1750" s="35" t="b">
        <f>IFERROR(__xludf.DUMMYFUNCTION("""COMPUTED_VALUE"""),FALSE)</f>
        <v>0</v>
      </c>
      <c r="N1750" s="35" t="b">
        <f>IFERROR(__xludf.DUMMYFUNCTION("""COMPUTED_VALUE"""),FALSE)</f>
        <v>0</v>
      </c>
      <c r="O1750" s="35">
        <f>IFERROR(__xludf.DUMMYFUNCTION("""COMPUTED_VALUE"""),56.5983815290589)</f>
        <v>56.59838153</v>
      </c>
      <c r="P1750" s="35">
        <f>IFERROR(__xludf.DUMMYFUNCTION("""COMPUTED_VALUE"""),20002.0)</f>
        <v>20002</v>
      </c>
      <c r="Q1750" s="35">
        <f>IFERROR(__xludf.DUMMYFUNCTION("""COMPUTED_VALUE"""),35341.0)</f>
        <v>35341</v>
      </c>
    </row>
    <row r="1751">
      <c r="A1751" s="35">
        <f>IFERROR(__xludf.DUMMYFUNCTION("""COMPUTED_VALUE"""),1850.0)</f>
        <v>1850</v>
      </c>
      <c r="B1751" s="35" t="str">
        <f>IFERROR(__xludf.DUMMYFUNCTION("""COMPUTED_VALUE"""),"Minimum Length of String After Deleting Similar Ends")</f>
        <v>Minimum Length of String After Deleting Similar Ends</v>
      </c>
      <c r="C1751" s="35" t="str">
        <f>IFERROR(__xludf.DUMMYFUNCTION("""COMPUTED_VALUE"""),"minimum-length-of-string-after-deleting-similar-ends")</f>
        <v>minimum-length-of-string-after-deleting-similar-ends</v>
      </c>
      <c r="D1751" s="35" t="b">
        <f>IFERROR(__xludf.DUMMYFUNCTION("""COMPUTED_VALUE"""),FALSE)</f>
        <v>0</v>
      </c>
      <c r="E1751" s="35" t="str">
        <f>IFERROR(__xludf.DUMMYFUNCTION("""COMPUTED_VALUE"""),"Medium")</f>
        <v>Medium</v>
      </c>
      <c r="F1751" s="35">
        <f>IFERROR(__xludf.DUMMYFUNCTION("""COMPUTED_VALUE"""),261.0)</f>
        <v>261</v>
      </c>
      <c r="G1751" s="35">
        <f>IFERROR(__xludf.DUMMYFUNCTION("""COMPUTED_VALUE"""),17.0)</f>
        <v>17</v>
      </c>
      <c r="H1751" s="35" t="str">
        <f>IFERROR(__xludf.DUMMYFUNCTION("""COMPUTED_VALUE"""),"Algorithms")</f>
        <v>Algorithms</v>
      </c>
      <c r="I1751" s="35">
        <f>IFERROR(__xludf.DUMMYFUNCTION("""COMPUTED_VALUE"""),0.43)</f>
        <v>0.43</v>
      </c>
      <c r="J1751" s="35">
        <f>IFERROR(__xludf.DUMMYFUNCTION("""COMPUTED_VALUE"""),1750.0)</f>
        <v>1750</v>
      </c>
      <c r="K1751" s="35" t="b">
        <f>IFERROR(__xludf.DUMMYFUNCTION("""COMPUTED_VALUE"""),FALSE)</f>
        <v>0</v>
      </c>
      <c r="L1751" s="35" t="str">
        <f>IFERROR(__xludf.DUMMYFUNCTION("""COMPUTED_VALUE"""),"Two Pointers;String;")</f>
        <v>Two Pointers;String;</v>
      </c>
      <c r="M1751" s="35" t="b">
        <f>IFERROR(__xludf.DUMMYFUNCTION("""COMPUTED_VALUE"""),FALSE)</f>
        <v>0</v>
      </c>
      <c r="N1751" s="35" t="b">
        <f>IFERROR(__xludf.DUMMYFUNCTION("""COMPUTED_VALUE"""),FALSE)</f>
        <v>0</v>
      </c>
      <c r="O1751" s="35">
        <f>IFERROR(__xludf.DUMMYFUNCTION("""COMPUTED_VALUE"""),43.0453976411675)</f>
        <v>43.04539764</v>
      </c>
      <c r="P1751" s="35">
        <f>IFERROR(__xludf.DUMMYFUNCTION("""COMPUTED_VALUE"""),13066.0)</f>
        <v>13066</v>
      </c>
      <c r="Q1751" s="35">
        <f>IFERROR(__xludf.DUMMYFUNCTION("""COMPUTED_VALUE"""),30354.0)</f>
        <v>30354</v>
      </c>
    </row>
    <row r="1752">
      <c r="A1752" s="35">
        <f>IFERROR(__xludf.DUMMYFUNCTION("""COMPUTED_VALUE"""),1851.0)</f>
        <v>1851</v>
      </c>
      <c r="B1752" s="35" t="str">
        <f>IFERROR(__xludf.DUMMYFUNCTION("""COMPUTED_VALUE"""),"Maximum Number of Events That Can Be Attended II")</f>
        <v>Maximum Number of Events That Can Be Attended II</v>
      </c>
      <c r="C1752" s="35" t="str">
        <f>IFERROR(__xludf.DUMMYFUNCTION("""COMPUTED_VALUE"""),"maximum-number-of-events-that-can-be-attended-ii")</f>
        <v>maximum-number-of-events-that-can-be-attended-ii</v>
      </c>
      <c r="D1752" s="35" t="b">
        <f>IFERROR(__xludf.DUMMYFUNCTION("""COMPUTED_VALUE"""),FALSE)</f>
        <v>0</v>
      </c>
      <c r="E1752" s="35" t="str">
        <f>IFERROR(__xludf.DUMMYFUNCTION("""COMPUTED_VALUE"""),"Hard")</f>
        <v>Hard</v>
      </c>
      <c r="F1752" s="35">
        <f>IFERROR(__xludf.DUMMYFUNCTION("""COMPUTED_VALUE"""),438.0)</f>
        <v>438</v>
      </c>
      <c r="G1752" s="35">
        <f>IFERROR(__xludf.DUMMYFUNCTION("""COMPUTED_VALUE"""),8.0)</f>
        <v>8</v>
      </c>
      <c r="H1752" s="35" t="str">
        <f>IFERROR(__xludf.DUMMYFUNCTION("""COMPUTED_VALUE"""),"Algorithms")</f>
        <v>Algorithms</v>
      </c>
      <c r="I1752" s="35">
        <f>IFERROR(__xludf.DUMMYFUNCTION("""COMPUTED_VALUE"""),0.546)</f>
        <v>0.546</v>
      </c>
      <c r="J1752" s="35">
        <f>IFERROR(__xludf.DUMMYFUNCTION("""COMPUTED_VALUE"""),1751.0)</f>
        <v>1751</v>
      </c>
      <c r="K1752" s="35" t="b">
        <f>IFERROR(__xludf.DUMMYFUNCTION("""COMPUTED_VALUE"""),FALSE)</f>
        <v>0</v>
      </c>
      <c r="L1752" s="35" t="str">
        <f>IFERROR(__xludf.DUMMYFUNCTION("""COMPUTED_VALUE"""),"Array;Binary Search;Dynamic Programming;")</f>
        <v>Array;Binary Search;Dynamic Programming;</v>
      </c>
      <c r="M1752" s="35" t="b">
        <f>IFERROR(__xludf.DUMMYFUNCTION("""COMPUTED_VALUE"""),FALSE)</f>
        <v>0</v>
      </c>
      <c r="N1752" s="35" t="b">
        <f>IFERROR(__xludf.DUMMYFUNCTION("""COMPUTED_VALUE"""),FALSE)</f>
        <v>0</v>
      </c>
      <c r="O1752" s="35">
        <f>IFERROR(__xludf.DUMMYFUNCTION("""COMPUTED_VALUE"""),54.5716957352522)</f>
        <v>54.57169574</v>
      </c>
      <c r="P1752" s="35">
        <f>IFERROR(__xludf.DUMMYFUNCTION("""COMPUTED_VALUE"""),13423.0)</f>
        <v>13423</v>
      </c>
      <c r="Q1752" s="35">
        <f>IFERROR(__xludf.DUMMYFUNCTION("""COMPUTED_VALUE"""),24597.0)</f>
        <v>24597</v>
      </c>
    </row>
    <row r="1753">
      <c r="A1753" s="35">
        <f>IFERROR(__xludf.DUMMYFUNCTION("""COMPUTED_VALUE"""),1878.0)</f>
        <v>1878</v>
      </c>
      <c r="B1753" s="35" t="str">
        <f>IFERROR(__xludf.DUMMYFUNCTION("""COMPUTED_VALUE"""),"Check if Array Is Sorted and Rotated")</f>
        <v>Check if Array Is Sorted and Rotated</v>
      </c>
      <c r="C1753" s="35" t="str">
        <f>IFERROR(__xludf.DUMMYFUNCTION("""COMPUTED_VALUE"""),"check-if-array-is-sorted-and-rotated")</f>
        <v>check-if-array-is-sorted-and-rotated</v>
      </c>
      <c r="D1753" s="35" t="b">
        <f>IFERROR(__xludf.DUMMYFUNCTION("""COMPUTED_VALUE"""),FALSE)</f>
        <v>0</v>
      </c>
      <c r="E1753" s="35" t="str">
        <f>IFERROR(__xludf.DUMMYFUNCTION("""COMPUTED_VALUE"""),"Easy")</f>
        <v>Easy</v>
      </c>
      <c r="F1753" s="35">
        <f>IFERROR(__xludf.DUMMYFUNCTION("""COMPUTED_VALUE"""),507.0)</f>
        <v>507</v>
      </c>
      <c r="G1753" s="35">
        <f>IFERROR(__xludf.DUMMYFUNCTION("""COMPUTED_VALUE"""),47.0)</f>
        <v>47</v>
      </c>
      <c r="H1753" s="35" t="str">
        <f>IFERROR(__xludf.DUMMYFUNCTION("""COMPUTED_VALUE"""),"Algorithms")</f>
        <v>Algorithms</v>
      </c>
      <c r="I1753" s="35">
        <f>IFERROR(__xludf.DUMMYFUNCTION("""COMPUTED_VALUE"""),0.474)</f>
        <v>0.474</v>
      </c>
      <c r="J1753" s="35">
        <f>IFERROR(__xludf.DUMMYFUNCTION("""COMPUTED_VALUE"""),1752.0)</f>
        <v>1752</v>
      </c>
      <c r="K1753" s="35" t="b">
        <f>IFERROR(__xludf.DUMMYFUNCTION("""COMPUTED_VALUE"""),FALSE)</f>
        <v>0</v>
      </c>
      <c r="L1753" s="35" t="str">
        <f>IFERROR(__xludf.DUMMYFUNCTION("""COMPUTED_VALUE"""),"Array;")</f>
        <v>Array;</v>
      </c>
      <c r="M1753" s="35" t="b">
        <f>IFERROR(__xludf.DUMMYFUNCTION("""COMPUTED_VALUE"""),FALSE)</f>
        <v>0</v>
      </c>
      <c r="N1753" s="35" t="b">
        <f>IFERROR(__xludf.DUMMYFUNCTION("""COMPUTED_VALUE"""),FALSE)</f>
        <v>0</v>
      </c>
      <c r="O1753" s="35">
        <f>IFERROR(__xludf.DUMMYFUNCTION("""COMPUTED_VALUE"""),47.4145526355764)</f>
        <v>47.41455264</v>
      </c>
      <c r="P1753" s="35">
        <f>IFERROR(__xludf.DUMMYFUNCTION("""COMPUTED_VALUE"""),31213.0)</f>
        <v>31213</v>
      </c>
      <c r="Q1753" s="35">
        <f>IFERROR(__xludf.DUMMYFUNCTION("""COMPUTED_VALUE"""),65830.0)</f>
        <v>65830</v>
      </c>
    </row>
    <row r="1754">
      <c r="A1754" s="35">
        <f>IFERROR(__xludf.DUMMYFUNCTION("""COMPUTED_VALUE"""),1879.0)</f>
        <v>1879</v>
      </c>
      <c r="B1754" s="35" t="str">
        <f>IFERROR(__xludf.DUMMYFUNCTION("""COMPUTED_VALUE"""),"Maximum Score From Removing Stones")</f>
        <v>Maximum Score From Removing Stones</v>
      </c>
      <c r="C1754" s="35" t="str">
        <f>IFERROR(__xludf.DUMMYFUNCTION("""COMPUTED_VALUE"""),"maximum-score-from-removing-stones")</f>
        <v>maximum-score-from-removing-stones</v>
      </c>
      <c r="D1754" s="35" t="b">
        <f>IFERROR(__xludf.DUMMYFUNCTION("""COMPUTED_VALUE"""),FALSE)</f>
        <v>0</v>
      </c>
      <c r="E1754" s="35" t="str">
        <f>IFERROR(__xludf.DUMMYFUNCTION("""COMPUTED_VALUE"""),"Medium")</f>
        <v>Medium</v>
      </c>
      <c r="F1754" s="35">
        <f>IFERROR(__xludf.DUMMYFUNCTION("""COMPUTED_VALUE"""),458.0)</f>
        <v>458</v>
      </c>
      <c r="G1754" s="35">
        <f>IFERROR(__xludf.DUMMYFUNCTION("""COMPUTED_VALUE"""),33.0)</f>
        <v>33</v>
      </c>
      <c r="H1754" s="35" t="str">
        <f>IFERROR(__xludf.DUMMYFUNCTION("""COMPUTED_VALUE"""),"Algorithms")</f>
        <v>Algorithms</v>
      </c>
      <c r="I1754" s="35">
        <f>IFERROR(__xludf.DUMMYFUNCTION("""COMPUTED_VALUE"""),0.649)</f>
        <v>0.649</v>
      </c>
      <c r="J1754" s="35">
        <f>IFERROR(__xludf.DUMMYFUNCTION("""COMPUTED_VALUE"""),1753.0)</f>
        <v>1753</v>
      </c>
      <c r="K1754" s="35" t="b">
        <f>IFERROR(__xludf.DUMMYFUNCTION("""COMPUTED_VALUE"""),FALSE)</f>
        <v>0</v>
      </c>
      <c r="L1754" s="35" t="str">
        <f>IFERROR(__xludf.DUMMYFUNCTION("""COMPUTED_VALUE"""),"Math;Greedy;Heap (Priority Queue);")</f>
        <v>Math;Greedy;Heap (Priority Queue);</v>
      </c>
      <c r="M1754" s="35" t="b">
        <f>IFERROR(__xludf.DUMMYFUNCTION("""COMPUTED_VALUE"""),FALSE)</f>
        <v>0</v>
      </c>
      <c r="N1754" s="35" t="b">
        <f>IFERROR(__xludf.DUMMYFUNCTION("""COMPUTED_VALUE"""),FALSE)</f>
        <v>0</v>
      </c>
      <c r="O1754" s="35">
        <f>IFERROR(__xludf.DUMMYFUNCTION("""COMPUTED_VALUE"""),64.86277042299)</f>
        <v>64.86277042</v>
      </c>
      <c r="P1754" s="35">
        <f>IFERROR(__xludf.DUMMYFUNCTION("""COMPUTED_VALUE"""),20088.0)</f>
        <v>20088</v>
      </c>
      <c r="Q1754" s="35">
        <f>IFERROR(__xludf.DUMMYFUNCTION("""COMPUTED_VALUE"""),30970.0)</f>
        <v>30970</v>
      </c>
    </row>
    <row r="1755">
      <c r="A1755" s="35">
        <f>IFERROR(__xludf.DUMMYFUNCTION("""COMPUTED_VALUE"""),1880.0)</f>
        <v>1880</v>
      </c>
      <c r="B1755" s="35" t="str">
        <f>IFERROR(__xludf.DUMMYFUNCTION("""COMPUTED_VALUE"""),"Largest Merge Of Two Strings")</f>
        <v>Largest Merge Of Two Strings</v>
      </c>
      <c r="C1755" s="35" t="str">
        <f>IFERROR(__xludf.DUMMYFUNCTION("""COMPUTED_VALUE"""),"largest-merge-of-two-strings")</f>
        <v>largest-merge-of-two-strings</v>
      </c>
      <c r="D1755" s="35" t="b">
        <f>IFERROR(__xludf.DUMMYFUNCTION("""COMPUTED_VALUE"""),FALSE)</f>
        <v>0</v>
      </c>
      <c r="E1755" s="35" t="str">
        <f>IFERROR(__xludf.DUMMYFUNCTION("""COMPUTED_VALUE"""),"Medium")</f>
        <v>Medium</v>
      </c>
      <c r="F1755" s="35">
        <f>IFERROR(__xludf.DUMMYFUNCTION("""COMPUTED_VALUE"""),329.0)</f>
        <v>329</v>
      </c>
      <c r="G1755" s="35">
        <f>IFERROR(__xludf.DUMMYFUNCTION("""COMPUTED_VALUE"""),50.0)</f>
        <v>50</v>
      </c>
      <c r="H1755" s="35" t="str">
        <f>IFERROR(__xludf.DUMMYFUNCTION("""COMPUTED_VALUE"""),"Algorithms")</f>
        <v>Algorithms</v>
      </c>
      <c r="I1755" s="35">
        <f>IFERROR(__xludf.DUMMYFUNCTION("""COMPUTED_VALUE"""),0.437)</f>
        <v>0.437</v>
      </c>
      <c r="J1755" s="35">
        <f>IFERROR(__xludf.DUMMYFUNCTION("""COMPUTED_VALUE"""),1754.0)</f>
        <v>1754</v>
      </c>
      <c r="K1755" s="35" t="b">
        <f>IFERROR(__xludf.DUMMYFUNCTION("""COMPUTED_VALUE"""),FALSE)</f>
        <v>0</v>
      </c>
      <c r="L1755" s="35" t="str">
        <f>IFERROR(__xludf.DUMMYFUNCTION("""COMPUTED_VALUE"""),"Two Pointers;String;Greedy;")</f>
        <v>Two Pointers;String;Greedy;</v>
      </c>
      <c r="M1755" s="35" t="b">
        <f>IFERROR(__xludf.DUMMYFUNCTION("""COMPUTED_VALUE"""),FALSE)</f>
        <v>0</v>
      </c>
      <c r="N1755" s="35" t="b">
        <f>IFERROR(__xludf.DUMMYFUNCTION("""COMPUTED_VALUE"""),FALSE)</f>
        <v>0</v>
      </c>
      <c r="O1755" s="35">
        <f>IFERROR(__xludf.DUMMYFUNCTION("""COMPUTED_VALUE"""),43.6862469222652)</f>
        <v>43.68624692</v>
      </c>
      <c r="P1755" s="35">
        <f>IFERROR(__xludf.DUMMYFUNCTION("""COMPUTED_VALUE"""),13662.0)</f>
        <v>13662</v>
      </c>
      <c r="Q1755" s="35">
        <f>IFERROR(__xludf.DUMMYFUNCTION("""COMPUTED_VALUE"""),31273.0)</f>
        <v>31273</v>
      </c>
    </row>
    <row r="1756">
      <c r="A1756" s="35">
        <f>IFERROR(__xludf.DUMMYFUNCTION("""COMPUTED_VALUE"""),1881.0)</f>
        <v>1881</v>
      </c>
      <c r="B1756" s="35" t="str">
        <f>IFERROR(__xludf.DUMMYFUNCTION("""COMPUTED_VALUE"""),"Closest Subsequence Sum")</f>
        <v>Closest Subsequence Sum</v>
      </c>
      <c r="C1756" s="35" t="str">
        <f>IFERROR(__xludf.DUMMYFUNCTION("""COMPUTED_VALUE"""),"closest-subsequence-sum")</f>
        <v>closest-subsequence-sum</v>
      </c>
      <c r="D1756" s="35" t="b">
        <f>IFERROR(__xludf.DUMMYFUNCTION("""COMPUTED_VALUE"""),FALSE)</f>
        <v>0</v>
      </c>
      <c r="E1756" s="35" t="str">
        <f>IFERROR(__xludf.DUMMYFUNCTION("""COMPUTED_VALUE"""),"Hard")</f>
        <v>Hard</v>
      </c>
      <c r="F1756" s="35">
        <f>IFERROR(__xludf.DUMMYFUNCTION("""COMPUTED_VALUE"""),421.0)</f>
        <v>421</v>
      </c>
      <c r="G1756" s="35">
        <f>IFERROR(__xludf.DUMMYFUNCTION("""COMPUTED_VALUE"""),54.0)</f>
        <v>54</v>
      </c>
      <c r="H1756" s="35" t="str">
        <f>IFERROR(__xludf.DUMMYFUNCTION("""COMPUTED_VALUE"""),"Algorithms")</f>
        <v>Algorithms</v>
      </c>
      <c r="I1756" s="35">
        <f>IFERROR(__xludf.DUMMYFUNCTION("""COMPUTED_VALUE"""),0.364)</f>
        <v>0.364</v>
      </c>
      <c r="J1756" s="35">
        <f>IFERROR(__xludf.DUMMYFUNCTION("""COMPUTED_VALUE"""),1755.0)</f>
        <v>1755</v>
      </c>
      <c r="K1756" s="35" t="b">
        <f>IFERROR(__xludf.DUMMYFUNCTION("""COMPUTED_VALUE"""),FALSE)</f>
        <v>0</v>
      </c>
      <c r="L1756" s="35" t="str">
        <f>IFERROR(__xludf.DUMMYFUNCTION("""COMPUTED_VALUE"""),"Array;Two Pointers;Dynamic Programming;Bit Manipulation;Bitmask;")</f>
        <v>Array;Two Pointers;Dynamic Programming;Bit Manipulation;Bitmask;</v>
      </c>
      <c r="M1756" s="35" t="b">
        <f>IFERROR(__xludf.DUMMYFUNCTION("""COMPUTED_VALUE"""),FALSE)</f>
        <v>0</v>
      </c>
      <c r="N1756" s="35" t="b">
        <f>IFERROR(__xludf.DUMMYFUNCTION("""COMPUTED_VALUE"""),FALSE)</f>
        <v>0</v>
      </c>
      <c r="O1756" s="35">
        <f>IFERROR(__xludf.DUMMYFUNCTION("""COMPUTED_VALUE"""),36.3913293011346)</f>
        <v>36.3913293</v>
      </c>
      <c r="P1756" s="35">
        <f>IFERROR(__xludf.DUMMYFUNCTION("""COMPUTED_VALUE"""),8243.0)</f>
        <v>8243</v>
      </c>
      <c r="Q1756" s="35">
        <f>IFERROR(__xludf.DUMMYFUNCTION("""COMPUTED_VALUE"""),22651.0)</f>
        <v>22651</v>
      </c>
    </row>
    <row r="1757">
      <c r="A1757" s="35">
        <f>IFERROR(__xludf.DUMMYFUNCTION("""COMPUTED_VALUE"""),1903.0)</f>
        <v>1903</v>
      </c>
      <c r="B1757" s="35" t="str">
        <f>IFERROR(__xludf.DUMMYFUNCTION("""COMPUTED_VALUE"""),"Design Most Recently Used Queue")</f>
        <v>Design Most Recently Used Queue</v>
      </c>
      <c r="C1757" s="35" t="str">
        <f>IFERROR(__xludf.DUMMYFUNCTION("""COMPUTED_VALUE"""),"design-most-recently-used-queue")</f>
        <v>design-most-recently-used-queue</v>
      </c>
      <c r="D1757" s="35" t="b">
        <f>IFERROR(__xludf.DUMMYFUNCTION("""COMPUTED_VALUE"""),TRUE)</f>
        <v>1</v>
      </c>
      <c r="E1757" s="35" t="str">
        <f>IFERROR(__xludf.DUMMYFUNCTION("""COMPUTED_VALUE"""),"Medium")</f>
        <v>Medium</v>
      </c>
      <c r="F1757" s="35">
        <f>IFERROR(__xludf.DUMMYFUNCTION("""COMPUTED_VALUE"""),142.0)</f>
        <v>142</v>
      </c>
      <c r="G1757" s="35">
        <f>IFERROR(__xludf.DUMMYFUNCTION("""COMPUTED_VALUE"""),12.0)</f>
        <v>12</v>
      </c>
      <c r="H1757" s="35" t="str">
        <f>IFERROR(__xludf.DUMMYFUNCTION("""COMPUTED_VALUE"""),"Algorithms")</f>
        <v>Algorithms</v>
      </c>
      <c r="I1757" s="35">
        <f>IFERROR(__xludf.DUMMYFUNCTION("""COMPUTED_VALUE"""),0.79)</f>
        <v>0.79</v>
      </c>
      <c r="J1757" s="35">
        <f>IFERROR(__xludf.DUMMYFUNCTION("""COMPUTED_VALUE"""),1756.0)</f>
        <v>1756</v>
      </c>
      <c r="K1757" s="35" t="b">
        <f>IFERROR(__xludf.DUMMYFUNCTION("""COMPUTED_VALUE"""),TRUE)</f>
        <v>1</v>
      </c>
      <c r="L1757" s="35" t="str">
        <f>IFERROR(__xludf.DUMMYFUNCTION("""COMPUTED_VALUE"""),"Array;Hash Table;Stack;Design;Binary Indexed Tree;Ordered Set;")</f>
        <v>Array;Hash Table;Stack;Design;Binary Indexed Tree;Ordered Set;</v>
      </c>
      <c r="M1757" s="35" t="b">
        <f>IFERROR(__xludf.DUMMYFUNCTION("""COMPUTED_VALUE"""),FALSE)</f>
        <v>0</v>
      </c>
      <c r="N1757" s="35" t="b">
        <f>IFERROR(__xludf.DUMMYFUNCTION("""COMPUTED_VALUE"""),FALSE)</f>
        <v>0</v>
      </c>
      <c r="O1757" s="35">
        <f>IFERROR(__xludf.DUMMYFUNCTION("""COMPUTED_VALUE"""),78.9850655288022)</f>
        <v>78.98506553</v>
      </c>
      <c r="P1757" s="35">
        <f>IFERROR(__xludf.DUMMYFUNCTION("""COMPUTED_VALUE"""),5183.0)</f>
        <v>5183</v>
      </c>
      <c r="Q1757" s="35">
        <f>IFERROR(__xludf.DUMMYFUNCTION("""COMPUTED_VALUE"""),6562.0)</f>
        <v>6562</v>
      </c>
    </row>
    <row r="1758">
      <c r="A1758" s="35">
        <f>IFERROR(__xludf.DUMMYFUNCTION("""COMPUTED_VALUE"""),1908.0)</f>
        <v>1908</v>
      </c>
      <c r="B1758" s="35" t="str">
        <f>IFERROR(__xludf.DUMMYFUNCTION("""COMPUTED_VALUE"""),"Recyclable and Low Fat Products")</f>
        <v>Recyclable and Low Fat Products</v>
      </c>
      <c r="C1758" s="35" t="str">
        <f>IFERROR(__xludf.DUMMYFUNCTION("""COMPUTED_VALUE"""),"recyclable-and-low-fat-products")</f>
        <v>recyclable-and-low-fat-products</v>
      </c>
      <c r="D1758" s="35" t="b">
        <f>IFERROR(__xludf.DUMMYFUNCTION("""COMPUTED_VALUE"""),TRUE)</f>
        <v>1</v>
      </c>
      <c r="E1758" s="35" t="str">
        <f>IFERROR(__xludf.DUMMYFUNCTION("""COMPUTED_VALUE"""),"Easy")</f>
        <v>Easy</v>
      </c>
      <c r="F1758" s="35">
        <f>IFERROR(__xludf.DUMMYFUNCTION("""COMPUTED_VALUE"""),99.0)</f>
        <v>99</v>
      </c>
      <c r="G1758" s="35">
        <f>IFERROR(__xludf.DUMMYFUNCTION("""COMPUTED_VALUE"""),50.0)</f>
        <v>50</v>
      </c>
      <c r="H1758" s="35" t="str">
        <f>IFERROR(__xludf.DUMMYFUNCTION("""COMPUTED_VALUE"""),"Database")</f>
        <v>Database</v>
      </c>
      <c r="I1758" s="35">
        <f>IFERROR(__xludf.DUMMYFUNCTION("""COMPUTED_VALUE"""),0.958)</f>
        <v>0.958</v>
      </c>
      <c r="J1758" s="35">
        <f>IFERROR(__xludf.DUMMYFUNCTION("""COMPUTED_VALUE"""),1757.0)</f>
        <v>1757</v>
      </c>
      <c r="K1758" s="35" t="b">
        <f>IFERROR(__xludf.DUMMYFUNCTION("""COMPUTED_VALUE"""),TRUE)</f>
        <v>1</v>
      </c>
      <c r="L1758" s="35" t="str">
        <f>IFERROR(__xludf.DUMMYFUNCTION("""COMPUTED_VALUE"""),"Database;")</f>
        <v>Database;</v>
      </c>
      <c r="M1758" s="35" t="b">
        <f>IFERROR(__xludf.DUMMYFUNCTION("""COMPUTED_VALUE"""),FALSE)</f>
        <v>0</v>
      </c>
      <c r="N1758" s="35" t="b">
        <f>IFERROR(__xludf.DUMMYFUNCTION("""COMPUTED_VALUE"""),FALSE)</f>
        <v>0</v>
      </c>
      <c r="O1758" s="35">
        <f>IFERROR(__xludf.DUMMYFUNCTION("""COMPUTED_VALUE"""),95.8051696613566)</f>
        <v>95.80516966</v>
      </c>
      <c r="P1758" s="35">
        <f>IFERROR(__xludf.DUMMYFUNCTION("""COMPUTED_VALUE"""),28204.0)</f>
        <v>28204</v>
      </c>
      <c r="Q1758" s="35">
        <f>IFERROR(__xludf.DUMMYFUNCTION("""COMPUTED_VALUE"""),29439.0)</f>
        <v>29439</v>
      </c>
    </row>
    <row r="1759">
      <c r="A1759" s="35">
        <f>IFERROR(__xludf.DUMMYFUNCTION("""COMPUTED_VALUE"""),1884.0)</f>
        <v>1884</v>
      </c>
      <c r="B1759" s="35" t="str">
        <f>IFERROR(__xludf.DUMMYFUNCTION("""COMPUTED_VALUE"""),"Minimum Changes To Make Alternating Binary String")</f>
        <v>Minimum Changes To Make Alternating Binary String</v>
      </c>
      <c r="C1759" s="35" t="str">
        <f>IFERROR(__xludf.DUMMYFUNCTION("""COMPUTED_VALUE"""),"minimum-changes-to-make-alternating-binary-string")</f>
        <v>minimum-changes-to-make-alternating-binary-string</v>
      </c>
      <c r="D1759" s="35" t="b">
        <f>IFERROR(__xludf.DUMMYFUNCTION("""COMPUTED_VALUE"""),FALSE)</f>
        <v>0</v>
      </c>
      <c r="E1759" s="35" t="str">
        <f>IFERROR(__xludf.DUMMYFUNCTION("""COMPUTED_VALUE"""),"Easy")</f>
        <v>Easy</v>
      </c>
      <c r="F1759" s="35">
        <f>IFERROR(__xludf.DUMMYFUNCTION("""COMPUTED_VALUE"""),383.0)</f>
        <v>383</v>
      </c>
      <c r="G1759" s="35">
        <f>IFERROR(__xludf.DUMMYFUNCTION("""COMPUTED_VALUE"""),11.0)</f>
        <v>11</v>
      </c>
      <c r="H1759" s="35" t="str">
        <f>IFERROR(__xludf.DUMMYFUNCTION("""COMPUTED_VALUE"""),"Algorithms")</f>
        <v>Algorithms</v>
      </c>
      <c r="I1759" s="35">
        <f>IFERROR(__xludf.DUMMYFUNCTION("""COMPUTED_VALUE"""),0.593)</f>
        <v>0.593</v>
      </c>
      <c r="J1759" s="35">
        <f>IFERROR(__xludf.DUMMYFUNCTION("""COMPUTED_VALUE"""),1758.0)</f>
        <v>1758</v>
      </c>
      <c r="K1759" s="35" t="b">
        <f>IFERROR(__xludf.DUMMYFUNCTION("""COMPUTED_VALUE"""),FALSE)</f>
        <v>0</v>
      </c>
      <c r="L1759" s="35" t="str">
        <f>IFERROR(__xludf.DUMMYFUNCTION("""COMPUTED_VALUE"""),"String;")</f>
        <v>String;</v>
      </c>
      <c r="M1759" s="35" t="b">
        <f>IFERROR(__xludf.DUMMYFUNCTION("""COMPUTED_VALUE"""),FALSE)</f>
        <v>0</v>
      </c>
      <c r="N1759" s="35" t="b">
        <f>IFERROR(__xludf.DUMMYFUNCTION("""COMPUTED_VALUE"""),FALSE)</f>
        <v>0</v>
      </c>
      <c r="O1759" s="35">
        <f>IFERROR(__xludf.DUMMYFUNCTION("""COMPUTED_VALUE"""),59.2698231602966)</f>
        <v>59.26982316</v>
      </c>
      <c r="P1759" s="35">
        <f>IFERROR(__xludf.DUMMYFUNCTION("""COMPUTED_VALUE"""),25975.0)</f>
        <v>25975</v>
      </c>
      <c r="Q1759" s="35">
        <f>IFERROR(__xludf.DUMMYFUNCTION("""COMPUTED_VALUE"""),43825.0)</f>
        <v>43825</v>
      </c>
    </row>
    <row r="1760">
      <c r="A1760" s="35">
        <f>IFERROR(__xludf.DUMMYFUNCTION("""COMPUTED_VALUE"""),1885.0)</f>
        <v>1885</v>
      </c>
      <c r="B1760" s="35" t="str">
        <f>IFERROR(__xludf.DUMMYFUNCTION("""COMPUTED_VALUE"""),"Count Number of Homogenous Substrings")</f>
        <v>Count Number of Homogenous Substrings</v>
      </c>
      <c r="C1760" s="35" t="str">
        <f>IFERROR(__xludf.DUMMYFUNCTION("""COMPUTED_VALUE"""),"count-number-of-homogenous-substrings")</f>
        <v>count-number-of-homogenous-substrings</v>
      </c>
      <c r="D1760" s="35" t="b">
        <f>IFERROR(__xludf.DUMMYFUNCTION("""COMPUTED_VALUE"""),FALSE)</f>
        <v>0</v>
      </c>
      <c r="E1760" s="35" t="str">
        <f>IFERROR(__xludf.DUMMYFUNCTION("""COMPUTED_VALUE"""),"Medium")</f>
        <v>Medium</v>
      </c>
      <c r="F1760" s="35">
        <f>IFERROR(__xludf.DUMMYFUNCTION("""COMPUTED_VALUE"""),359.0)</f>
        <v>359</v>
      </c>
      <c r="G1760" s="35">
        <f>IFERROR(__xludf.DUMMYFUNCTION("""COMPUTED_VALUE"""),35.0)</f>
        <v>35</v>
      </c>
      <c r="H1760" s="35" t="str">
        <f>IFERROR(__xludf.DUMMYFUNCTION("""COMPUTED_VALUE"""),"Algorithms")</f>
        <v>Algorithms</v>
      </c>
      <c r="I1760" s="35">
        <f>IFERROR(__xludf.DUMMYFUNCTION("""COMPUTED_VALUE"""),0.461)</f>
        <v>0.461</v>
      </c>
      <c r="J1760" s="35">
        <f>IFERROR(__xludf.DUMMYFUNCTION("""COMPUTED_VALUE"""),1759.0)</f>
        <v>1759</v>
      </c>
      <c r="K1760" s="35" t="b">
        <f>IFERROR(__xludf.DUMMYFUNCTION("""COMPUTED_VALUE"""),FALSE)</f>
        <v>0</v>
      </c>
      <c r="L1760" s="35" t="str">
        <f>IFERROR(__xludf.DUMMYFUNCTION("""COMPUTED_VALUE"""),"Math;String;")</f>
        <v>Math;String;</v>
      </c>
      <c r="M1760" s="35" t="b">
        <f>IFERROR(__xludf.DUMMYFUNCTION("""COMPUTED_VALUE"""),FALSE)</f>
        <v>0</v>
      </c>
      <c r="N1760" s="35" t="b">
        <f>IFERROR(__xludf.DUMMYFUNCTION("""COMPUTED_VALUE"""),FALSE)</f>
        <v>0</v>
      </c>
      <c r="O1760" s="35">
        <f>IFERROR(__xludf.DUMMYFUNCTION("""COMPUTED_VALUE"""),46.0521425157967)</f>
        <v>46.05214252</v>
      </c>
      <c r="P1760" s="35">
        <f>IFERROR(__xludf.DUMMYFUNCTION("""COMPUTED_VALUE"""),17345.0)</f>
        <v>17345</v>
      </c>
      <c r="Q1760" s="35">
        <f>IFERROR(__xludf.DUMMYFUNCTION("""COMPUTED_VALUE"""),37664.0)</f>
        <v>37664</v>
      </c>
    </row>
    <row r="1761">
      <c r="A1761" s="35">
        <f>IFERROR(__xludf.DUMMYFUNCTION("""COMPUTED_VALUE"""),1886.0)</f>
        <v>1886</v>
      </c>
      <c r="B1761" s="35" t="str">
        <f>IFERROR(__xludf.DUMMYFUNCTION("""COMPUTED_VALUE"""),"Minimum Limit of Balls in a Bag")</f>
        <v>Minimum Limit of Balls in a Bag</v>
      </c>
      <c r="C1761" s="35" t="str">
        <f>IFERROR(__xludf.DUMMYFUNCTION("""COMPUTED_VALUE"""),"minimum-limit-of-balls-in-a-bag")</f>
        <v>minimum-limit-of-balls-in-a-bag</v>
      </c>
      <c r="D1761" s="35" t="b">
        <f>IFERROR(__xludf.DUMMYFUNCTION("""COMPUTED_VALUE"""),FALSE)</f>
        <v>0</v>
      </c>
      <c r="E1761" s="35" t="str">
        <f>IFERROR(__xludf.DUMMYFUNCTION("""COMPUTED_VALUE"""),"Medium")</f>
        <v>Medium</v>
      </c>
      <c r="F1761" s="35">
        <f>IFERROR(__xludf.DUMMYFUNCTION("""COMPUTED_VALUE"""),861.0)</f>
        <v>861</v>
      </c>
      <c r="G1761" s="35">
        <f>IFERROR(__xludf.DUMMYFUNCTION("""COMPUTED_VALUE"""),30.0)</f>
        <v>30</v>
      </c>
      <c r="H1761" s="35" t="str">
        <f>IFERROR(__xludf.DUMMYFUNCTION("""COMPUTED_VALUE"""),"Algorithms")</f>
        <v>Algorithms</v>
      </c>
      <c r="I1761" s="35">
        <f>IFERROR(__xludf.DUMMYFUNCTION("""COMPUTED_VALUE"""),0.564)</f>
        <v>0.564</v>
      </c>
      <c r="J1761" s="35">
        <f>IFERROR(__xludf.DUMMYFUNCTION("""COMPUTED_VALUE"""),1760.0)</f>
        <v>1760</v>
      </c>
      <c r="K1761" s="35" t="b">
        <f>IFERROR(__xludf.DUMMYFUNCTION("""COMPUTED_VALUE"""),FALSE)</f>
        <v>0</v>
      </c>
      <c r="L1761" s="35" t="str">
        <f>IFERROR(__xludf.DUMMYFUNCTION("""COMPUTED_VALUE"""),"Array;Binary Search;")</f>
        <v>Array;Binary Search;</v>
      </c>
      <c r="M1761" s="35" t="b">
        <f>IFERROR(__xludf.DUMMYFUNCTION("""COMPUTED_VALUE"""),FALSE)</f>
        <v>0</v>
      </c>
      <c r="N1761" s="35" t="b">
        <f>IFERROR(__xludf.DUMMYFUNCTION("""COMPUTED_VALUE"""),FALSE)</f>
        <v>0</v>
      </c>
      <c r="O1761" s="35">
        <f>IFERROR(__xludf.DUMMYFUNCTION("""COMPUTED_VALUE"""),56.4398496240601)</f>
        <v>56.43984962</v>
      </c>
      <c r="P1761" s="35">
        <f>IFERROR(__xludf.DUMMYFUNCTION("""COMPUTED_VALUE"""),15013.0)</f>
        <v>15013</v>
      </c>
      <c r="Q1761" s="35">
        <f>IFERROR(__xludf.DUMMYFUNCTION("""COMPUTED_VALUE"""),26600.0)</f>
        <v>26600</v>
      </c>
    </row>
    <row r="1762">
      <c r="A1762" s="35">
        <f>IFERROR(__xludf.DUMMYFUNCTION("""COMPUTED_VALUE"""),1887.0)</f>
        <v>1887</v>
      </c>
      <c r="B1762" s="35" t="str">
        <f>IFERROR(__xludf.DUMMYFUNCTION("""COMPUTED_VALUE"""),"Minimum Degree of a Connected Trio in a Graph")</f>
        <v>Minimum Degree of a Connected Trio in a Graph</v>
      </c>
      <c r="C1762" s="35" t="str">
        <f>IFERROR(__xludf.DUMMYFUNCTION("""COMPUTED_VALUE"""),"minimum-degree-of-a-connected-trio-in-a-graph")</f>
        <v>minimum-degree-of-a-connected-trio-in-a-graph</v>
      </c>
      <c r="D1762" s="35" t="b">
        <f>IFERROR(__xludf.DUMMYFUNCTION("""COMPUTED_VALUE"""),FALSE)</f>
        <v>0</v>
      </c>
      <c r="E1762" s="35" t="str">
        <f>IFERROR(__xludf.DUMMYFUNCTION("""COMPUTED_VALUE"""),"Hard")</f>
        <v>Hard</v>
      </c>
      <c r="F1762" s="35">
        <f>IFERROR(__xludf.DUMMYFUNCTION("""COMPUTED_VALUE"""),181.0)</f>
        <v>181</v>
      </c>
      <c r="G1762" s="35">
        <f>IFERROR(__xludf.DUMMYFUNCTION("""COMPUTED_VALUE"""),199.0)</f>
        <v>199</v>
      </c>
      <c r="H1762" s="35" t="str">
        <f>IFERROR(__xludf.DUMMYFUNCTION("""COMPUTED_VALUE"""),"Algorithms")</f>
        <v>Algorithms</v>
      </c>
      <c r="I1762" s="35">
        <f>IFERROR(__xludf.DUMMYFUNCTION("""COMPUTED_VALUE"""),0.414)</f>
        <v>0.414</v>
      </c>
      <c r="J1762" s="35">
        <f>IFERROR(__xludf.DUMMYFUNCTION("""COMPUTED_VALUE"""),1761.0)</f>
        <v>1761</v>
      </c>
      <c r="K1762" s="35" t="b">
        <f>IFERROR(__xludf.DUMMYFUNCTION("""COMPUTED_VALUE"""),FALSE)</f>
        <v>0</v>
      </c>
      <c r="L1762" s="35" t="str">
        <f>IFERROR(__xludf.DUMMYFUNCTION("""COMPUTED_VALUE"""),"Graph;")</f>
        <v>Graph;</v>
      </c>
      <c r="M1762" s="35" t="b">
        <f>IFERROR(__xludf.DUMMYFUNCTION("""COMPUTED_VALUE"""),FALSE)</f>
        <v>0</v>
      </c>
      <c r="N1762" s="35" t="b">
        <f>IFERROR(__xludf.DUMMYFUNCTION("""COMPUTED_VALUE"""),FALSE)</f>
        <v>0</v>
      </c>
      <c r="O1762" s="35">
        <f>IFERROR(__xludf.DUMMYFUNCTION("""COMPUTED_VALUE"""),41.3978024540234)</f>
        <v>41.39780245</v>
      </c>
      <c r="P1762" s="35">
        <f>IFERROR(__xludf.DUMMYFUNCTION("""COMPUTED_VALUE"""),14204.0)</f>
        <v>14204</v>
      </c>
      <c r="Q1762" s="35">
        <f>IFERROR(__xludf.DUMMYFUNCTION("""COMPUTED_VALUE"""),34311.0)</f>
        <v>34311</v>
      </c>
    </row>
    <row r="1763">
      <c r="A1763" s="35">
        <f>IFERROR(__xludf.DUMMYFUNCTION("""COMPUTED_VALUE"""),1909.0)</f>
        <v>1909</v>
      </c>
      <c r="B1763" s="35" t="str">
        <f>IFERROR(__xludf.DUMMYFUNCTION("""COMPUTED_VALUE"""),"Buildings With an Ocean View")</f>
        <v>Buildings With an Ocean View</v>
      </c>
      <c r="C1763" s="35" t="str">
        <f>IFERROR(__xludf.DUMMYFUNCTION("""COMPUTED_VALUE"""),"buildings-with-an-ocean-view")</f>
        <v>buildings-with-an-ocean-view</v>
      </c>
      <c r="D1763" s="35" t="b">
        <f>IFERROR(__xludf.DUMMYFUNCTION("""COMPUTED_VALUE"""),TRUE)</f>
        <v>1</v>
      </c>
      <c r="E1763" s="35" t="str">
        <f>IFERROR(__xludf.DUMMYFUNCTION("""COMPUTED_VALUE"""),"Medium")</f>
        <v>Medium</v>
      </c>
      <c r="F1763" s="35">
        <f>IFERROR(__xludf.DUMMYFUNCTION("""COMPUTED_VALUE"""),681.0)</f>
        <v>681</v>
      </c>
      <c r="G1763" s="35">
        <f>IFERROR(__xludf.DUMMYFUNCTION("""COMPUTED_VALUE"""),95.0)</f>
        <v>95</v>
      </c>
      <c r="H1763" s="35" t="str">
        <f>IFERROR(__xludf.DUMMYFUNCTION("""COMPUTED_VALUE"""),"Algorithms")</f>
        <v>Algorithms</v>
      </c>
      <c r="I1763" s="35">
        <f>IFERROR(__xludf.DUMMYFUNCTION("""COMPUTED_VALUE"""),0.803)</f>
        <v>0.803</v>
      </c>
      <c r="J1763" s="35">
        <f>IFERROR(__xludf.DUMMYFUNCTION("""COMPUTED_VALUE"""),1762.0)</f>
        <v>1762</v>
      </c>
      <c r="K1763" s="35" t="b">
        <f>IFERROR(__xludf.DUMMYFUNCTION("""COMPUTED_VALUE"""),TRUE)</f>
        <v>1</v>
      </c>
      <c r="L1763" s="35" t="str">
        <f>IFERROR(__xludf.DUMMYFUNCTION("""COMPUTED_VALUE"""),"Array;Stack;Monotonic Stack;")</f>
        <v>Array;Stack;Monotonic Stack;</v>
      </c>
      <c r="M1763" s="35" t="b">
        <f>IFERROR(__xludf.DUMMYFUNCTION("""COMPUTED_VALUE"""),TRUE)</f>
        <v>1</v>
      </c>
      <c r="N1763" s="35" t="b">
        <f>IFERROR(__xludf.DUMMYFUNCTION("""COMPUTED_VALUE"""),FALSE)</f>
        <v>0</v>
      </c>
      <c r="O1763" s="35">
        <f>IFERROR(__xludf.DUMMYFUNCTION("""COMPUTED_VALUE"""),80.3337392323997)</f>
        <v>80.33373923</v>
      </c>
      <c r="P1763" s="35">
        <f>IFERROR(__xludf.DUMMYFUNCTION("""COMPUTED_VALUE"""),89055.0)</f>
        <v>89055</v>
      </c>
      <c r="Q1763" s="35">
        <f>IFERROR(__xludf.DUMMYFUNCTION("""COMPUTED_VALUE"""),110853.0)</f>
        <v>110853</v>
      </c>
    </row>
    <row r="1764">
      <c r="A1764" s="35">
        <f>IFERROR(__xludf.DUMMYFUNCTION("""COMPUTED_VALUE"""),1873.0)</f>
        <v>1873</v>
      </c>
      <c r="B1764" s="35" t="str">
        <f>IFERROR(__xludf.DUMMYFUNCTION("""COMPUTED_VALUE"""),"Longest Nice Substring")</f>
        <v>Longest Nice Substring</v>
      </c>
      <c r="C1764" s="35" t="str">
        <f>IFERROR(__xludf.DUMMYFUNCTION("""COMPUTED_VALUE"""),"longest-nice-substring")</f>
        <v>longest-nice-substring</v>
      </c>
      <c r="D1764" s="35" t="b">
        <f>IFERROR(__xludf.DUMMYFUNCTION("""COMPUTED_VALUE"""),FALSE)</f>
        <v>0</v>
      </c>
      <c r="E1764" s="35" t="str">
        <f>IFERROR(__xludf.DUMMYFUNCTION("""COMPUTED_VALUE"""),"Easy")</f>
        <v>Easy</v>
      </c>
      <c r="F1764" s="35">
        <f>IFERROR(__xludf.DUMMYFUNCTION("""COMPUTED_VALUE"""),522.0)</f>
        <v>522</v>
      </c>
      <c r="G1764" s="35">
        <f>IFERROR(__xludf.DUMMYFUNCTION("""COMPUTED_VALUE"""),394.0)</f>
        <v>394</v>
      </c>
      <c r="H1764" s="35" t="str">
        <f>IFERROR(__xludf.DUMMYFUNCTION("""COMPUTED_VALUE"""),"Algorithms")</f>
        <v>Algorithms</v>
      </c>
      <c r="I1764" s="35">
        <f>IFERROR(__xludf.DUMMYFUNCTION("""COMPUTED_VALUE"""),0.62)</f>
        <v>0.62</v>
      </c>
      <c r="J1764" s="35">
        <f>IFERROR(__xludf.DUMMYFUNCTION("""COMPUTED_VALUE"""),1763.0)</f>
        <v>1763</v>
      </c>
      <c r="K1764" s="35" t="b">
        <f>IFERROR(__xludf.DUMMYFUNCTION("""COMPUTED_VALUE"""),FALSE)</f>
        <v>0</v>
      </c>
      <c r="L1764" s="35" t="str">
        <f>IFERROR(__xludf.DUMMYFUNCTION("""COMPUTED_VALUE"""),"Hash Table;String;Bit Manipulation;Sliding Window;")</f>
        <v>Hash Table;String;Bit Manipulation;Sliding Window;</v>
      </c>
      <c r="M1764" s="35" t="b">
        <f>IFERROR(__xludf.DUMMYFUNCTION("""COMPUTED_VALUE"""),FALSE)</f>
        <v>0</v>
      </c>
      <c r="N1764" s="35" t="b">
        <f>IFERROR(__xludf.DUMMYFUNCTION("""COMPUTED_VALUE"""),FALSE)</f>
        <v>0</v>
      </c>
      <c r="O1764" s="35">
        <f>IFERROR(__xludf.DUMMYFUNCTION("""COMPUTED_VALUE"""),62.0177777777777)</f>
        <v>62.01777778</v>
      </c>
      <c r="P1764" s="35">
        <f>IFERROR(__xludf.DUMMYFUNCTION("""COMPUTED_VALUE"""),20931.0)</f>
        <v>20931</v>
      </c>
      <c r="Q1764" s="35">
        <f>IFERROR(__xludf.DUMMYFUNCTION("""COMPUTED_VALUE"""),33750.0)</f>
        <v>33750</v>
      </c>
    </row>
    <row r="1765">
      <c r="A1765" s="35">
        <f>IFERROR(__xludf.DUMMYFUNCTION("""COMPUTED_VALUE"""),1874.0)</f>
        <v>1874</v>
      </c>
      <c r="B1765" s="35" t="str">
        <f>IFERROR(__xludf.DUMMYFUNCTION("""COMPUTED_VALUE"""),"Form Array by Concatenating Subarrays of Another Array")</f>
        <v>Form Array by Concatenating Subarrays of Another Array</v>
      </c>
      <c r="C1765" s="35" t="str">
        <f>IFERROR(__xludf.DUMMYFUNCTION("""COMPUTED_VALUE"""),"form-array-by-concatenating-subarrays-of-another-array")</f>
        <v>form-array-by-concatenating-subarrays-of-another-array</v>
      </c>
      <c r="D1765" s="35" t="b">
        <f>IFERROR(__xludf.DUMMYFUNCTION("""COMPUTED_VALUE"""),FALSE)</f>
        <v>0</v>
      </c>
      <c r="E1765" s="35" t="str">
        <f>IFERROR(__xludf.DUMMYFUNCTION("""COMPUTED_VALUE"""),"Medium")</f>
        <v>Medium</v>
      </c>
      <c r="F1765" s="35">
        <f>IFERROR(__xludf.DUMMYFUNCTION("""COMPUTED_VALUE"""),193.0)</f>
        <v>193</v>
      </c>
      <c r="G1765" s="35">
        <f>IFERROR(__xludf.DUMMYFUNCTION("""COMPUTED_VALUE"""),21.0)</f>
        <v>21</v>
      </c>
      <c r="H1765" s="35" t="str">
        <f>IFERROR(__xludf.DUMMYFUNCTION("""COMPUTED_VALUE"""),"Algorithms")</f>
        <v>Algorithms</v>
      </c>
      <c r="I1765" s="35">
        <f>IFERROR(__xludf.DUMMYFUNCTION("""COMPUTED_VALUE"""),0.529)</f>
        <v>0.529</v>
      </c>
      <c r="J1765" s="35">
        <f>IFERROR(__xludf.DUMMYFUNCTION("""COMPUTED_VALUE"""),1764.0)</f>
        <v>1764</v>
      </c>
      <c r="K1765" s="35" t="b">
        <f>IFERROR(__xludf.DUMMYFUNCTION("""COMPUTED_VALUE"""),FALSE)</f>
        <v>0</v>
      </c>
      <c r="L1765" s="35" t="str">
        <f>IFERROR(__xludf.DUMMYFUNCTION("""COMPUTED_VALUE"""),"Array;Greedy;String Matching;")</f>
        <v>Array;Greedy;String Matching;</v>
      </c>
      <c r="M1765" s="35" t="b">
        <f>IFERROR(__xludf.DUMMYFUNCTION("""COMPUTED_VALUE"""),FALSE)</f>
        <v>0</v>
      </c>
      <c r="N1765" s="35" t="b">
        <f>IFERROR(__xludf.DUMMYFUNCTION("""COMPUTED_VALUE"""),FALSE)</f>
        <v>0</v>
      </c>
      <c r="O1765" s="35">
        <f>IFERROR(__xludf.DUMMYFUNCTION("""COMPUTED_VALUE"""),52.9330719092787)</f>
        <v>52.93307191</v>
      </c>
      <c r="P1765" s="35">
        <f>IFERROR(__xludf.DUMMYFUNCTION("""COMPUTED_VALUE"""),9989.0)</f>
        <v>9989</v>
      </c>
      <c r="Q1765" s="35">
        <f>IFERROR(__xludf.DUMMYFUNCTION("""COMPUTED_VALUE"""),18871.0)</f>
        <v>18871</v>
      </c>
    </row>
    <row r="1766">
      <c r="A1766" s="35">
        <f>IFERROR(__xludf.DUMMYFUNCTION("""COMPUTED_VALUE"""),1876.0)</f>
        <v>1876</v>
      </c>
      <c r="B1766" s="35" t="str">
        <f>IFERROR(__xludf.DUMMYFUNCTION("""COMPUTED_VALUE"""),"Map of Highest Peak")</f>
        <v>Map of Highest Peak</v>
      </c>
      <c r="C1766" s="35" t="str">
        <f>IFERROR(__xludf.DUMMYFUNCTION("""COMPUTED_VALUE"""),"map-of-highest-peak")</f>
        <v>map-of-highest-peak</v>
      </c>
      <c r="D1766" s="35" t="b">
        <f>IFERROR(__xludf.DUMMYFUNCTION("""COMPUTED_VALUE"""),FALSE)</f>
        <v>0</v>
      </c>
      <c r="E1766" s="35" t="str">
        <f>IFERROR(__xludf.DUMMYFUNCTION("""COMPUTED_VALUE"""),"Medium")</f>
        <v>Medium</v>
      </c>
      <c r="F1766" s="35">
        <f>IFERROR(__xludf.DUMMYFUNCTION("""COMPUTED_VALUE"""),466.0)</f>
        <v>466</v>
      </c>
      <c r="G1766" s="35">
        <f>IFERROR(__xludf.DUMMYFUNCTION("""COMPUTED_VALUE"""),30.0)</f>
        <v>30</v>
      </c>
      <c r="H1766" s="35" t="str">
        <f>IFERROR(__xludf.DUMMYFUNCTION("""COMPUTED_VALUE"""),"Algorithms")</f>
        <v>Algorithms</v>
      </c>
      <c r="I1766" s="35">
        <f>IFERROR(__xludf.DUMMYFUNCTION("""COMPUTED_VALUE"""),0.595)</f>
        <v>0.595</v>
      </c>
      <c r="J1766" s="35">
        <f>IFERROR(__xludf.DUMMYFUNCTION("""COMPUTED_VALUE"""),1765.0)</f>
        <v>1765</v>
      </c>
      <c r="K1766" s="35" t="b">
        <f>IFERROR(__xludf.DUMMYFUNCTION("""COMPUTED_VALUE"""),FALSE)</f>
        <v>0</v>
      </c>
      <c r="L1766" s="35" t="str">
        <f>IFERROR(__xludf.DUMMYFUNCTION("""COMPUTED_VALUE"""),"Array;Breadth-First Search;Matrix;")</f>
        <v>Array;Breadth-First Search;Matrix;</v>
      </c>
      <c r="M1766" s="35" t="b">
        <f>IFERROR(__xludf.DUMMYFUNCTION("""COMPUTED_VALUE"""),FALSE)</f>
        <v>0</v>
      </c>
      <c r="N1766" s="35" t="b">
        <f>IFERROR(__xludf.DUMMYFUNCTION("""COMPUTED_VALUE"""),FALSE)</f>
        <v>0</v>
      </c>
      <c r="O1766" s="35">
        <f>IFERROR(__xludf.DUMMYFUNCTION("""COMPUTED_VALUE"""),59.5103142471563)</f>
        <v>59.51031425</v>
      </c>
      <c r="P1766" s="35">
        <f>IFERROR(__xludf.DUMMYFUNCTION("""COMPUTED_VALUE"""),15430.0)</f>
        <v>15430</v>
      </c>
      <c r="Q1766" s="35">
        <f>IFERROR(__xludf.DUMMYFUNCTION("""COMPUTED_VALUE"""),25931.0)</f>
        <v>25931</v>
      </c>
    </row>
    <row r="1767">
      <c r="A1767" s="35">
        <f>IFERROR(__xludf.DUMMYFUNCTION("""COMPUTED_VALUE"""),1875.0)</f>
        <v>1875</v>
      </c>
      <c r="B1767" s="35" t="str">
        <f>IFERROR(__xludf.DUMMYFUNCTION("""COMPUTED_VALUE"""),"Tree of Coprimes")</f>
        <v>Tree of Coprimes</v>
      </c>
      <c r="C1767" s="35" t="str">
        <f>IFERROR(__xludf.DUMMYFUNCTION("""COMPUTED_VALUE"""),"tree-of-coprimes")</f>
        <v>tree-of-coprimes</v>
      </c>
      <c r="D1767" s="35" t="b">
        <f>IFERROR(__xludf.DUMMYFUNCTION("""COMPUTED_VALUE"""),FALSE)</f>
        <v>0</v>
      </c>
      <c r="E1767" s="35" t="str">
        <f>IFERROR(__xludf.DUMMYFUNCTION("""COMPUTED_VALUE"""),"Hard")</f>
        <v>Hard</v>
      </c>
      <c r="F1767" s="35">
        <f>IFERROR(__xludf.DUMMYFUNCTION("""COMPUTED_VALUE"""),220.0)</f>
        <v>220</v>
      </c>
      <c r="G1767" s="35">
        <f>IFERROR(__xludf.DUMMYFUNCTION("""COMPUTED_VALUE"""),17.0)</f>
        <v>17</v>
      </c>
      <c r="H1767" s="35" t="str">
        <f>IFERROR(__xludf.DUMMYFUNCTION("""COMPUTED_VALUE"""),"Algorithms")</f>
        <v>Algorithms</v>
      </c>
      <c r="I1767" s="35">
        <f>IFERROR(__xludf.DUMMYFUNCTION("""COMPUTED_VALUE"""),0.38)</f>
        <v>0.38</v>
      </c>
      <c r="J1767" s="35">
        <f>IFERROR(__xludf.DUMMYFUNCTION("""COMPUTED_VALUE"""),1766.0)</f>
        <v>1766</v>
      </c>
      <c r="K1767" s="35" t="b">
        <f>IFERROR(__xludf.DUMMYFUNCTION("""COMPUTED_VALUE"""),FALSE)</f>
        <v>0</v>
      </c>
      <c r="L1767" s="35" t="str">
        <f>IFERROR(__xludf.DUMMYFUNCTION("""COMPUTED_VALUE"""),"Math;Tree;Depth-First Search;Breadth-First Search;")</f>
        <v>Math;Tree;Depth-First Search;Breadth-First Search;</v>
      </c>
      <c r="M1767" s="35" t="b">
        <f>IFERROR(__xludf.DUMMYFUNCTION("""COMPUTED_VALUE"""),FALSE)</f>
        <v>0</v>
      </c>
      <c r="N1767" s="35" t="b">
        <f>IFERROR(__xludf.DUMMYFUNCTION("""COMPUTED_VALUE"""),FALSE)</f>
        <v>0</v>
      </c>
      <c r="O1767" s="35">
        <f>IFERROR(__xludf.DUMMYFUNCTION("""COMPUTED_VALUE"""),38.0021873860736)</f>
        <v>38.00218739</v>
      </c>
      <c r="P1767" s="35">
        <f>IFERROR(__xludf.DUMMYFUNCTION("""COMPUTED_VALUE"""),5212.0)</f>
        <v>5212</v>
      </c>
      <c r="Q1767" s="35">
        <f>IFERROR(__xludf.DUMMYFUNCTION("""COMPUTED_VALUE"""),13715.0)</f>
        <v>13715</v>
      </c>
    </row>
    <row r="1768">
      <c r="A1768" s="35">
        <f>IFERROR(__xludf.DUMMYFUNCTION("""COMPUTED_VALUE"""),1914.0)</f>
        <v>1914</v>
      </c>
      <c r="B1768" s="35" t="str">
        <f>IFERROR(__xludf.DUMMYFUNCTION("""COMPUTED_VALUE"""),"Find the Subtasks That Did Not Execute")</f>
        <v>Find the Subtasks That Did Not Execute</v>
      </c>
      <c r="C1768" s="35" t="str">
        <f>IFERROR(__xludf.DUMMYFUNCTION("""COMPUTED_VALUE"""),"find-the-subtasks-that-did-not-execute")</f>
        <v>find-the-subtasks-that-did-not-execute</v>
      </c>
      <c r="D1768" s="35" t="b">
        <f>IFERROR(__xludf.DUMMYFUNCTION("""COMPUTED_VALUE"""),TRUE)</f>
        <v>1</v>
      </c>
      <c r="E1768" s="35" t="str">
        <f>IFERROR(__xludf.DUMMYFUNCTION("""COMPUTED_VALUE"""),"Hard")</f>
        <v>Hard</v>
      </c>
      <c r="F1768" s="35">
        <f>IFERROR(__xludf.DUMMYFUNCTION("""COMPUTED_VALUE"""),79.0)</f>
        <v>79</v>
      </c>
      <c r="G1768" s="35">
        <f>IFERROR(__xludf.DUMMYFUNCTION("""COMPUTED_VALUE"""),7.0)</f>
        <v>7</v>
      </c>
      <c r="H1768" s="35" t="str">
        <f>IFERROR(__xludf.DUMMYFUNCTION("""COMPUTED_VALUE"""),"Database")</f>
        <v>Database</v>
      </c>
      <c r="I1768" s="35">
        <f>IFERROR(__xludf.DUMMYFUNCTION("""COMPUTED_VALUE"""),0.838)</f>
        <v>0.838</v>
      </c>
      <c r="J1768" s="35">
        <f>IFERROR(__xludf.DUMMYFUNCTION("""COMPUTED_VALUE"""),1767.0)</f>
        <v>1767</v>
      </c>
      <c r="K1768" s="35" t="b">
        <f>IFERROR(__xludf.DUMMYFUNCTION("""COMPUTED_VALUE"""),TRUE)</f>
        <v>1</v>
      </c>
      <c r="L1768" s="35" t="str">
        <f>IFERROR(__xludf.DUMMYFUNCTION("""COMPUTED_VALUE"""),"Database;")</f>
        <v>Database;</v>
      </c>
      <c r="M1768" s="35" t="b">
        <f>IFERROR(__xludf.DUMMYFUNCTION("""COMPUTED_VALUE"""),FALSE)</f>
        <v>0</v>
      </c>
      <c r="N1768" s="35" t="b">
        <f>IFERROR(__xludf.DUMMYFUNCTION("""COMPUTED_VALUE"""),FALSE)</f>
        <v>0</v>
      </c>
      <c r="O1768" s="35">
        <f>IFERROR(__xludf.DUMMYFUNCTION("""COMPUTED_VALUE"""),83.7556472205853)</f>
        <v>83.75564722</v>
      </c>
      <c r="P1768" s="35">
        <f>IFERROR(__xludf.DUMMYFUNCTION("""COMPUTED_VALUE"""),4264.0)</f>
        <v>4264</v>
      </c>
      <c r="Q1768" s="35">
        <f>IFERROR(__xludf.DUMMYFUNCTION("""COMPUTED_VALUE"""),5091.0)</f>
        <v>5091</v>
      </c>
    </row>
    <row r="1769">
      <c r="A1769" s="35">
        <f>IFERROR(__xludf.DUMMYFUNCTION("""COMPUTED_VALUE"""),1894.0)</f>
        <v>1894</v>
      </c>
      <c r="B1769" s="35" t="str">
        <f>IFERROR(__xludf.DUMMYFUNCTION("""COMPUTED_VALUE"""),"Merge Strings Alternately")</f>
        <v>Merge Strings Alternately</v>
      </c>
      <c r="C1769" s="35" t="str">
        <f>IFERROR(__xludf.DUMMYFUNCTION("""COMPUTED_VALUE"""),"merge-strings-alternately")</f>
        <v>merge-strings-alternately</v>
      </c>
      <c r="D1769" s="35" t="b">
        <f>IFERROR(__xludf.DUMMYFUNCTION("""COMPUTED_VALUE"""),FALSE)</f>
        <v>0</v>
      </c>
      <c r="E1769" s="35" t="str">
        <f>IFERROR(__xludf.DUMMYFUNCTION("""COMPUTED_VALUE"""),"Easy")</f>
        <v>Easy</v>
      </c>
      <c r="F1769" s="35">
        <f>IFERROR(__xludf.DUMMYFUNCTION("""COMPUTED_VALUE"""),489.0)</f>
        <v>489</v>
      </c>
      <c r="G1769" s="35">
        <f>IFERROR(__xludf.DUMMYFUNCTION("""COMPUTED_VALUE"""),8.0)</f>
        <v>8</v>
      </c>
      <c r="H1769" s="35" t="str">
        <f>IFERROR(__xludf.DUMMYFUNCTION("""COMPUTED_VALUE"""),"Algorithms")</f>
        <v>Algorithms</v>
      </c>
      <c r="I1769" s="35">
        <f>IFERROR(__xludf.DUMMYFUNCTION("""COMPUTED_VALUE"""),0.752)</f>
        <v>0.752</v>
      </c>
      <c r="J1769" s="35">
        <f>IFERROR(__xludf.DUMMYFUNCTION("""COMPUTED_VALUE"""),1768.0)</f>
        <v>1768</v>
      </c>
      <c r="K1769" s="35" t="b">
        <f>IFERROR(__xludf.DUMMYFUNCTION("""COMPUTED_VALUE"""),FALSE)</f>
        <v>0</v>
      </c>
      <c r="L1769" s="35" t="str">
        <f>IFERROR(__xludf.DUMMYFUNCTION("""COMPUTED_VALUE"""),"Two Pointers;String;")</f>
        <v>Two Pointers;String;</v>
      </c>
      <c r="M1769" s="35" t="b">
        <f>IFERROR(__xludf.DUMMYFUNCTION("""COMPUTED_VALUE"""),FALSE)</f>
        <v>0</v>
      </c>
      <c r="N1769" s="35" t="b">
        <f>IFERROR(__xludf.DUMMYFUNCTION("""COMPUTED_VALUE"""),FALSE)</f>
        <v>0</v>
      </c>
      <c r="O1769" s="35">
        <f>IFERROR(__xludf.DUMMYFUNCTION("""COMPUTED_VALUE"""),75.2369836437911)</f>
        <v>75.23698364</v>
      </c>
      <c r="P1769" s="35">
        <f>IFERROR(__xludf.DUMMYFUNCTION("""COMPUTED_VALUE"""),47699.0)</f>
        <v>47699</v>
      </c>
      <c r="Q1769" s="35">
        <f>IFERROR(__xludf.DUMMYFUNCTION("""COMPUTED_VALUE"""),63399.0)</f>
        <v>63399</v>
      </c>
    </row>
    <row r="1770">
      <c r="A1770" s="35">
        <f>IFERROR(__xludf.DUMMYFUNCTION("""COMPUTED_VALUE"""),1895.0)</f>
        <v>1895</v>
      </c>
      <c r="B1770" s="35" t="str">
        <f>IFERROR(__xludf.DUMMYFUNCTION("""COMPUTED_VALUE"""),"Minimum Number of Operations to Move All Balls to Each Box")</f>
        <v>Minimum Number of Operations to Move All Balls to Each Box</v>
      </c>
      <c r="C1770" s="35" t="str">
        <f>IFERROR(__xludf.DUMMYFUNCTION("""COMPUTED_VALUE"""),"minimum-number-of-operations-to-move-all-balls-to-each-box")</f>
        <v>minimum-number-of-operations-to-move-all-balls-to-each-box</v>
      </c>
      <c r="D1770" s="35" t="b">
        <f>IFERROR(__xludf.DUMMYFUNCTION("""COMPUTED_VALUE"""),FALSE)</f>
        <v>0</v>
      </c>
      <c r="E1770" s="35" t="str">
        <f>IFERROR(__xludf.DUMMYFUNCTION("""COMPUTED_VALUE"""),"Medium")</f>
        <v>Medium</v>
      </c>
      <c r="F1770" s="35">
        <f>IFERROR(__xludf.DUMMYFUNCTION("""COMPUTED_VALUE"""),1276.0)</f>
        <v>1276</v>
      </c>
      <c r="G1770" s="35">
        <f>IFERROR(__xludf.DUMMYFUNCTION("""COMPUTED_VALUE"""),47.0)</f>
        <v>47</v>
      </c>
      <c r="H1770" s="35" t="str">
        <f>IFERROR(__xludf.DUMMYFUNCTION("""COMPUTED_VALUE"""),"Algorithms")</f>
        <v>Algorithms</v>
      </c>
      <c r="I1770" s="35">
        <f>IFERROR(__xludf.DUMMYFUNCTION("""COMPUTED_VALUE"""),0.857)</f>
        <v>0.857</v>
      </c>
      <c r="J1770" s="35">
        <f>IFERROR(__xludf.DUMMYFUNCTION("""COMPUTED_VALUE"""),1769.0)</f>
        <v>1769</v>
      </c>
      <c r="K1770" s="35" t="b">
        <f>IFERROR(__xludf.DUMMYFUNCTION("""COMPUTED_VALUE"""),FALSE)</f>
        <v>0</v>
      </c>
      <c r="L1770" s="35" t="str">
        <f>IFERROR(__xludf.DUMMYFUNCTION("""COMPUTED_VALUE"""),"Array;String;")</f>
        <v>Array;String;</v>
      </c>
      <c r="M1770" s="35" t="b">
        <f>IFERROR(__xludf.DUMMYFUNCTION("""COMPUTED_VALUE"""),FALSE)</f>
        <v>0</v>
      </c>
      <c r="N1770" s="35" t="b">
        <f>IFERROR(__xludf.DUMMYFUNCTION("""COMPUTED_VALUE"""),FALSE)</f>
        <v>0</v>
      </c>
      <c r="O1770" s="35">
        <f>IFERROR(__xludf.DUMMYFUNCTION("""COMPUTED_VALUE"""),85.6503759398496)</f>
        <v>85.65037594</v>
      </c>
      <c r="P1770" s="35">
        <f>IFERROR(__xludf.DUMMYFUNCTION("""COMPUTED_VALUE"""),68349.0)</f>
        <v>68349</v>
      </c>
      <c r="Q1770" s="35">
        <f>IFERROR(__xludf.DUMMYFUNCTION("""COMPUTED_VALUE"""),79800.0)</f>
        <v>79800</v>
      </c>
    </row>
    <row r="1771">
      <c r="A1771" s="35">
        <f>IFERROR(__xludf.DUMMYFUNCTION("""COMPUTED_VALUE"""),1896.0)</f>
        <v>1896</v>
      </c>
      <c r="B1771" s="35" t="str">
        <f>IFERROR(__xludf.DUMMYFUNCTION("""COMPUTED_VALUE"""),"Maximum Score from Performing Multiplication Operations")</f>
        <v>Maximum Score from Performing Multiplication Operations</v>
      </c>
      <c r="C1771" s="35" t="str">
        <f>IFERROR(__xludf.DUMMYFUNCTION("""COMPUTED_VALUE"""),"maximum-score-from-performing-multiplication-operations")</f>
        <v>maximum-score-from-performing-multiplication-operations</v>
      </c>
      <c r="D1771" s="35" t="b">
        <f>IFERROR(__xludf.DUMMYFUNCTION("""COMPUTED_VALUE"""),FALSE)</f>
        <v>0</v>
      </c>
      <c r="E1771" s="35" t="str">
        <f>IFERROR(__xludf.DUMMYFUNCTION("""COMPUTED_VALUE"""),"Medium")</f>
        <v>Medium</v>
      </c>
      <c r="F1771" s="35">
        <f>IFERROR(__xludf.DUMMYFUNCTION("""COMPUTED_VALUE"""),683.0)</f>
        <v>683</v>
      </c>
      <c r="G1771" s="35">
        <f>IFERROR(__xludf.DUMMYFUNCTION("""COMPUTED_VALUE"""),160.0)</f>
        <v>160</v>
      </c>
      <c r="H1771" s="35" t="str">
        <f>IFERROR(__xludf.DUMMYFUNCTION("""COMPUTED_VALUE"""),"Algorithms")</f>
        <v>Algorithms</v>
      </c>
      <c r="I1771" s="35">
        <f>IFERROR(__xludf.DUMMYFUNCTION("""COMPUTED_VALUE"""),0.355)</f>
        <v>0.355</v>
      </c>
      <c r="J1771" s="35">
        <f>IFERROR(__xludf.DUMMYFUNCTION("""COMPUTED_VALUE"""),1770.0)</f>
        <v>1770</v>
      </c>
      <c r="K1771" s="35" t="b">
        <f>IFERROR(__xludf.DUMMYFUNCTION("""COMPUTED_VALUE"""),FALSE)</f>
        <v>0</v>
      </c>
      <c r="L1771" s="35" t="str">
        <f>IFERROR(__xludf.DUMMYFUNCTION("""COMPUTED_VALUE"""),"Array;Dynamic Programming;")</f>
        <v>Array;Dynamic Programming;</v>
      </c>
      <c r="M1771" s="35" t="b">
        <f>IFERROR(__xludf.DUMMYFUNCTION("""COMPUTED_VALUE"""),FALSE)</f>
        <v>0</v>
      </c>
      <c r="N1771" s="35" t="b">
        <f>IFERROR(__xludf.DUMMYFUNCTION("""COMPUTED_VALUE"""),FALSE)</f>
        <v>0</v>
      </c>
      <c r="O1771" s="35">
        <f>IFERROR(__xludf.DUMMYFUNCTION("""COMPUTED_VALUE"""),35.4503054421941)</f>
        <v>35.45030544</v>
      </c>
      <c r="P1771" s="35">
        <f>IFERROR(__xludf.DUMMYFUNCTION("""COMPUTED_VALUE"""),27969.0)</f>
        <v>27969</v>
      </c>
      <c r="Q1771" s="35">
        <f>IFERROR(__xludf.DUMMYFUNCTION("""COMPUTED_VALUE"""),78897.0)</f>
        <v>78897</v>
      </c>
    </row>
    <row r="1772">
      <c r="A1772" s="35">
        <f>IFERROR(__xludf.DUMMYFUNCTION("""COMPUTED_VALUE"""),1897.0)</f>
        <v>1897</v>
      </c>
      <c r="B1772" s="35" t="str">
        <f>IFERROR(__xludf.DUMMYFUNCTION("""COMPUTED_VALUE"""),"Maximize Palindrome Length From Subsequences")</f>
        <v>Maximize Palindrome Length From Subsequences</v>
      </c>
      <c r="C1772" s="35" t="str">
        <f>IFERROR(__xludf.DUMMYFUNCTION("""COMPUTED_VALUE"""),"maximize-palindrome-length-from-subsequences")</f>
        <v>maximize-palindrome-length-from-subsequences</v>
      </c>
      <c r="D1772" s="35" t="b">
        <f>IFERROR(__xludf.DUMMYFUNCTION("""COMPUTED_VALUE"""),FALSE)</f>
        <v>0</v>
      </c>
      <c r="E1772" s="35" t="str">
        <f>IFERROR(__xludf.DUMMYFUNCTION("""COMPUTED_VALUE"""),"Hard")</f>
        <v>Hard</v>
      </c>
      <c r="F1772" s="35">
        <f>IFERROR(__xludf.DUMMYFUNCTION("""COMPUTED_VALUE"""),336.0)</f>
        <v>336</v>
      </c>
      <c r="G1772" s="35">
        <f>IFERROR(__xludf.DUMMYFUNCTION("""COMPUTED_VALUE"""),6.0)</f>
        <v>6</v>
      </c>
      <c r="H1772" s="35" t="str">
        <f>IFERROR(__xludf.DUMMYFUNCTION("""COMPUTED_VALUE"""),"Algorithms")</f>
        <v>Algorithms</v>
      </c>
      <c r="I1772" s="35">
        <f>IFERROR(__xludf.DUMMYFUNCTION("""COMPUTED_VALUE"""),0.347)</f>
        <v>0.347</v>
      </c>
      <c r="J1772" s="35">
        <f>IFERROR(__xludf.DUMMYFUNCTION("""COMPUTED_VALUE"""),1771.0)</f>
        <v>1771</v>
      </c>
      <c r="K1772" s="35" t="b">
        <f>IFERROR(__xludf.DUMMYFUNCTION("""COMPUTED_VALUE"""),FALSE)</f>
        <v>0</v>
      </c>
      <c r="L1772" s="35" t="str">
        <f>IFERROR(__xludf.DUMMYFUNCTION("""COMPUTED_VALUE"""),"String;Dynamic Programming;")</f>
        <v>String;Dynamic Programming;</v>
      </c>
      <c r="M1772" s="35" t="b">
        <f>IFERROR(__xludf.DUMMYFUNCTION("""COMPUTED_VALUE"""),FALSE)</f>
        <v>0</v>
      </c>
      <c r="N1772" s="35" t="b">
        <f>IFERROR(__xludf.DUMMYFUNCTION("""COMPUTED_VALUE"""),FALSE)</f>
        <v>0</v>
      </c>
      <c r="O1772" s="35">
        <f>IFERROR(__xludf.DUMMYFUNCTION("""COMPUTED_VALUE"""),34.6606732789368)</f>
        <v>34.66067328</v>
      </c>
      <c r="P1772" s="35">
        <f>IFERROR(__xludf.DUMMYFUNCTION("""COMPUTED_VALUE"""),7094.0)</f>
        <v>7094</v>
      </c>
      <c r="Q1772" s="35">
        <f>IFERROR(__xludf.DUMMYFUNCTION("""COMPUTED_VALUE"""),20467.0)</f>
        <v>20467</v>
      </c>
    </row>
    <row r="1773">
      <c r="A1773" s="35">
        <f>IFERROR(__xludf.DUMMYFUNCTION("""COMPUTED_VALUE"""),1919.0)</f>
        <v>1919</v>
      </c>
      <c r="B1773" s="35" t="str">
        <f>IFERROR(__xludf.DUMMYFUNCTION("""COMPUTED_VALUE"""),"Sort Features by Popularity")</f>
        <v>Sort Features by Popularity</v>
      </c>
      <c r="C1773" s="35" t="str">
        <f>IFERROR(__xludf.DUMMYFUNCTION("""COMPUTED_VALUE"""),"sort-features-by-popularity")</f>
        <v>sort-features-by-popularity</v>
      </c>
      <c r="D1773" s="35" t="b">
        <f>IFERROR(__xludf.DUMMYFUNCTION("""COMPUTED_VALUE"""),TRUE)</f>
        <v>1</v>
      </c>
      <c r="E1773" s="35" t="str">
        <f>IFERROR(__xludf.DUMMYFUNCTION("""COMPUTED_VALUE"""),"Medium")</f>
        <v>Medium</v>
      </c>
      <c r="F1773" s="35">
        <f>IFERROR(__xludf.DUMMYFUNCTION("""COMPUTED_VALUE"""),43.0)</f>
        <v>43</v>
      </c>
      <c r="G1773" s="35">
        <f>IFERROR(__xludf.DUMMYFUNCTION("""COMPUTED_VALUE"""),35.0)</f>
        <v>35</v>
      </c>
      <c r="H1773" s="35" t="str">
        <f>IFERROR(__xludf.DUMMYFUNCTION("""COMPUTED_VALUE"""),"Algorithms")</f>
        <v>Algorithms</v>
      </c>
      <c r="I1773" s="35">
        <f>IFERROR(__xludf.DUMMYFUNCTION("""COMPUTED_VALUE"""),0.653)</f>
        <v>0.653</v>
      </c>
      <c r="J1773" s="35">
        <f>IFERROR(__xludf.DUMMYFUNCTION("""COMPUTED_VALUE"""),1772.0)</f>
        <v>1772</v>
      </c>
      <c r="K1773" s="35" t="b">
        <f>IFERROR(__xludf.DUMMYFUNCTION("""COMPUTED_VALUE"""),TRUE)</f>
        <v>1</v>
      </c>
      <c r="L1773" s="35" t="str">
        <f>IFERROR(__xludf.DUMMYFUNCTION("""COMPUTED_VALUE"""),"Array;Hash Table;String;Sorting;")</f>
        <v>Array;Hash Table;String;Sorting;</v>
      </c>
      <c r="M1773" s="35" t="b">
        <f>IFERROR(__xludf.DUMMYFUNCTION("""COMPUTED_VALUE"""),FALSE)</f>
        <v>0</v>
      </c>
      <c r="N1773" s="35" t="b">
        <f>IFERROR(__xludf.DUMMYFUNCTION("""COMPUTED_VALUE"""),FALSE)</f>
        <v>0</v>
      </c>
      <c r="O1773" s="35">
        <f>IFERROR(__xludf.DUMMYFUNCTION("""COMPUTED_VALUE"""),65.2990797546012)</f>
        <v>65.29907975</v>
      </c>
      <c r="P1773" s="35">
        <f>IFERROR(__xludf.DUMMYFUNCTION("""COMPUTED_VALUE"""),3406.0)</f>
        <v>3406</v>
      </c>
      <c r="Q1773" s="35">
        <f>IFERROR(__xludf.DUMMYFUNCTION("""COMPUTED_VALUE"""),5216.0)</f>
        <v>5216</v>
      </c>
    </row>
    <row r="1774">
      <c r="A1774" s="35">
        <f>IFERROR(__xludf.DUMMYFUNCTION("""COMPUTED_VALUE"""),1899.0)</f>
        <v>1899</v>
      </c>
      <c r="B1774" s="35" t="str">
        <f>IFERROR(__xludf.DUMMYFUNCTION("""COMPUTED_VALUE"""),"Count Items Matching a Rule")</f>
        <v>Count Items Matching a Rule</v>
      </c>
      <c r="C1774" s="35" t="str">
        <f>IFERROR(__xludf.DUMMYFUNCTION("""COMPUTED_VALUE"""),"count-items-matching-a-rule")</f>
        <v>count-items-matching-a-rule</v>
      </c>
      <c r="D1774" s="35" t="b">
        <f>IFERROR(__xludf.DUMMYFUNCTION("""COMPUTED_VALUE"""),FALSE)</f>
        <v>0</v>
      </c>
      <c r="E1774" s="35" t="str">
        <f>IFERROR(__xludf.DUMMYFUNCTION("""COMPUTED_VALUE"""),"Easy")</f>
        <v>Easy</v>
      </c>
      <c r="F1774" s="35">
        <f>IFERROR(__xludf.DUMMYFUNCTION("""COMPUTED_VALUE"""),770.0)</f>
        <v>770</v>
      </c>
      <c r="G1774" s="35">
        <f>IFERROR(__xludf.DUMMYFUNCTION("""COMPUTED_VALUE"""),101.0)</f>
        <v>101</v>
      </c>
      <c r="H1774" s="35" t="str">
        <f>IFERROR(__xludf.DUMMYFUNCTION("""COMPUTED_VALUE"""),"Algorithms")</f>
        <v>Algorithms</v>
      </c>
      <c r="I1774" s="35">
        <f>IFERROR(__xludf.DUMMYFUNCTION("""COMPUTED_VALUE"""),0.845)</f>
        <v>0.845</v>
      </c>
      <c r="J1774" s="35">
        <f>IFERROR(__xludf.DUMMYFUNCTION("""COMPUTED_VALUE"""),1773.0)</f>
        <v>1773</v>
      </c>
      <c r="K1774" s="35" t="b">
        <f>IFERROR(__xludf.DUMMYFUNCTION("""COMPUTED_VALUE"""),FALSE)</f>
        <v>0</v>
      </c>
      <c r="L1774" s="35" t="str">
        <f>IFERROR(__xludf.DUMMYFUNCTION("""COMPUTED_VALUE"""),"Array;String;")</f>
        <v>Array;String;</v>
      </c>
      <c r="M1774" s="35" t="b">
        <f>IFERROR(__xludf.DUMMYFUNCTION("""COMPUTED_VALUE"""),FALSE)</f>
        <v>0</v>
      </c>
      <c r="N1774" s="35" t="b">
        <f>IFERROR(__xludf.DUMMYFUNCTION("""COMPUTED_VALUE"""),FALSE)</f>
        <v>0</v>
      </c>
      <c r="O1774" s="35">
        <f>IFERROR(__xludf.DUMMYFUNCTION("""COMPUTED_VALUE"""),84.475808286242)</f>
        <v>84.47580829</v>
      </c>
      <c r="P1774" s="35">
        <f>IFERROR(__xludf.DUMMYFUNCTION("""COMPUTED_VALUE"""),92832.0)</f>
        <v>92832</v>
      </c>
      <c r="Q1774" s="35">
        <f>IFERROR(__xludf.DUMMYFUNCTION("""COMPUTED_VALUE"""),109892.0)</f>
        <v>109892</v>
      </c>
    </row>
    <row r="1775">
      <c r="A1775" s="35">
        <f>IFERROR(__xludf.DUMMYFUNCTION("""COMPUTED_VALUE"""),1900.0)</f>
        <v>1900</v>
      </c>
      <c r="B1775" s="35" t="str">
        <f>IFERROR(__xludf.DUMMYFUNCTION("""COMPUTED_VALUE"""),"Closest Dessert Cost")</f>
        <v>Closest Dessert Cost</v>
      </c>
      <c r="C1775" s="35" t="str">
        <f>IFERROR(__xludf.DUMMYFUNCTION("""COMPUTED_VALUE"""),"closest-dessert-cost")</f>
        <v>closest-dessert-cost</v>
      </c>
      <c r="D1775" s="35" t="b">
        <f>IFERROR(__xludf.DUMMYFUNCTION("""COMPUTED_VALUE"""),FALSE)</f>
        <v>0</v>
      </c>
      <c r="E1775" s="35" t="str">
        <f>IFERROR(__xludf.DUMMYFUNCTION("""COMPUTED_VALUE"""),"Medium")</f>
        <v>Medium</v>
      </c>
      <c r="F1775" s="35">
        <f>IFERROR(__xludf.DUMMYFUNCTION("""COMPUTED_VALUE"""),389.0)</f>
        <v>389</v>
      </c>
      <c r="G1775" s="35">
        <f>IFERROR(__xludf.DUMMYFUNCTION("""COMPUTED_VALUE"""),40.0)</f>
        <v>40</v>
      </c>
      <c r="H1775" s="35" t="str">
        <f>IFERROR(__xludf.DUMMYFUNCTION("""COMPUTED_VALUE"""),"Algorithms")</f>
        <v>Algorithms</v>
      </c>
      <c r="I1775" s="35">
        <f>IFERROR(__xludf.DUMMYFUNCTION("""COMPUTED_VALUE"""),0.46)</f>
        <v>0.46</v>
      </c>
      <c r="J1775" s="35">
        <f>IFERROR(__xludf.DUMMYFUNCTION("""COMPUTED_VALUE"""),1774.0)</f>
        <v>1774</v>
      </c>
      <c r="K1775" s="35" t="b">
        <f>IFERROR(__xludf.DUMMYFUNCTION("""COMPUTED_VALUE"""),FALSE)</f>
        <v>0</v>
      </c>
      <c r="L1775" s="35" t="str">
        <f>IFERROR(__xludf.DUMMYFUNCTION("""COMPUTED_VALUE"""),"Array;Dynamic Programming;Backtracking;")</f>
        <v>Array;Dynamic Programming;Backtracking;</v>
      </c>
      <c r="M1775" s="35" t="b">
        <f>IFERROR(__xludf.DUMMYFUNCTION("""COMPUTED_VALUE"""),FALSE)</f>
        <v>0</v>
      </c>
      <c r="N1775" s="35" t="b">
        <f>IFERROR(__xludf.DUMMYFUNCTION("""COMPUTED_VALUE"""),FALSE)</f>
        <v>0</v>
      </c>
      <c r="O1775" s="35">
        <f>IFERROR(__xludf.DUMMYFUNCTION("""COMPUTED_VALUE"""),45.9880277653951)</f>
        <v>45.98802777</v>
      </c>
      <c r="P1775" s="35">
        <f>IFERROR(__xludf.DUMMYFUNCTION("""COMPUTED_VALUE"""),14443.0)</f>
        <v>14443</v>
      </c>
      <c r="Q1775" s="35">
        <f>IFERROR(__xludf.DUMMYFUNCTION("""COMPUTED_VALUE"""),31406.0)</f>
        <v>31406</v>
      </c>
    </row>
    <row r="1776">
      <c r="A1776" s="35">
        <f>IFERROR(__xludf.DUMMYFUNCTION("""COMPUTED_VALUE"""),1901.0)</f>
        <v>1901</v>
      </c>
      <c r="B1776" s="35" t="str">
        <f>IFERROR(__xludf.DUMMYFUNCTION("""COMPUTED_VALUE"""),"Equal Sum Arrays With Minimum Number of Operations")</f>
        <v>Equal Sum Arrays With Minimum Number of Operations</v>
      </c>
      <c r="C1776" s="35" t="str">
        <f>IFERROR(__xludf.DUMMYFUNCTION("""COMPUTED_VALUE"""),"equal-sum-arrays-with-minimum-number-of-operations")</f>
        <v>equal-sum-arrays-with-minimum-number-of-operations</v>
      </c>
      <c r="D1776" s="35" t="b">
        <f>IFERROR(__xludf.DUMMYFUNCTION("""COMPUTED_VALUE"""),FALSE)</f>
        <v>0</v>
      </c>
      <c r="E1776" s="35" t="str">
        <f>IFERROR(__xludf.DUMMYFUNCTION("""COMPUTED_VALUE"""),"Medium")</f>
        <v>Medium</v>
      </c>
      <c r="F1776" s="35">
        <f>IFERROR(__xludf.DUMMYFUNCTION("""COMPUTED_VALUE"""),470.0)</f>
        <v>470</v>
      </c>
      <c r="G1776" s="35">
        <f>IFERROR(__xludf.DUMMYFUNCTION("""COMPUTED_VALUE"""),13.0)</f>
        <v>13</v>
      </c>
      <c r="H1776" s="35" t="str">
        <f>IFERROR(__xludf.DUMMYFUNCTION("""COMPUTED_VALUE"""),"Algorithms")</f>
        <v>Algorithms</v>
      </c>
      <c r="I1776" s="35">
        <f>IFERROR(__xludf.DUMMYFUNCTION("""COMPUTED_VALUE"""),0.513)</f>
        <v>0.513</v>
      </c>
      <c r="J1776" s="35">
        <f>IFERROR(__xludf.DUMMYFUNCTION("""COMPUTED_VALUE"""),1775.0)</f>
        <v>1775</v>
      </c>
      <c r="K1776" s="35" t="b">
        <f>IFERROR(__xludf.DUMMYFUNCTION("""COMPUTED_VALUE"""),FALSE)</f>
        <v>0</v>
      </c>
      <c r="L1776" s="35" t="str">
        <f>IFERROR(__xludf.DUMMYFUNCTION("""COMPUTED_VALUE"""),"Array;Hash Table;Greedy;Counting;")</f>
        <v>Array;Hash Table;Greedy;Counting;</v>
      </c>
      <c r="M1776" s="35" t="b">
        <f>IFERROR(__xludf.DUMMYFUNCTION("""COMPUTED_VALUE"""),FALSE)</f>
        <v>0</v>
      </c>
      <c r="N1776" s="35" t="b">
        <f>IFERROR(__xludf.DUMMYFUNCTION("""COMPUTED_VALUE"""),FALSE)</f>
        <v>0</v>
      </c>
      <c r="O1776" s="35">
        <f>IFERROR(__xludf.DUMMYFUNCTION("""COMPUTED_VALUE"""),51.275940456112)</f>
        <v>51.27594046</v>
      </c>
      <c r="P1776" s="35">
        <f>IFERROR(__xludf.DUMMYFUNCTION("""COMPUTED_VALUE"""),13985.0)</f>
        <v>13985</v>
      </c>
      <c r="Q1776" s="35">
        <f>IFERROR(__xludf.DUMMYFUNCTION("""COMPUTED_VALUE"""),27273.0)</f>
        <v>27273</v>
      </c>
    </row>
    <row r="1777">
      <c r="A1777" s="35">
        <f>IFERROR(__xludf.DUMMYFUNCTION("""COMPUTED_VALUE"""),1902.0)</f>
        <v>1902</v>
      </c>
      <c r="B1777" s="35" t="str">
        <f>IFERROR(__xludf.DUMMYFUNCTION("""COMPUTED_VALUE"""),"Car Fleet II")</f>
        <v>Car Fleet II</v>
      </c>
      <c r="C1777" s="35" t="str">
        <f>IFERROR(__xludf.DUMMYFUNCTION("""COMPUTED_VALUE"""),"car-fleet-ii")</f>
        <v>car-fleet-ii</v>
      </c>
      <c r="D1777" s="35" t="b">
        <f>IFERROR(__xludf.DUMMYFUNCTION("""COMPUTED_VALUE"""),FALSE)</f>
        <v>0</v>
      </c>
      <c r="E1777" s="35" t="str">
        <f>IFERROR(__xludf.DUMMYFUNCTION("""COMPUTED_VALUE"""),"Hard")</f>
        <v>Hard</v>
      </c>
      <c r="F1777" s="35">
        <f>IFERROR(__xludf.DUMMYFUNCTION("""COMPUTED_VALUE"""),552.0)</f>
        <v>552</v>
      </c>
      <c r="G1777" s="35">
        <f>IFERROR(__xludf.DUMMYFUNCTION("""COMPUTED_VALUE"""),15.0)</f>
        <v>15</v>
      </c>
      <c r="H1777" s="35" t="str">
        <f>IFERROR(__xludf.DUMMYFUNCTION("""COMPUTED_VALUE"""),"Algorithms")</f>
        <v>Algorithms</v>
      </c>
      <c r="I1777" s="35">
        <f>IFERROR(__xludf.DUMMYFUNCTION("""COMPUTED_VALUE"""),0.526)</f>
        <v>0.526</v>
      </c>
      <c r="J1777" s="35">
        <f>IFERROR(__xludf.DUMMYFUNCTION("""COMPUTED_VALUE"""),1776.0)</f>
        <v>1776</v>
      </c>
      <c r="K1777" s="35" t="b">
        <f>IFERROR(__xludf.DUMMYFUNCTION("""COMPUTED_VALUE"""),FALSE)</f>
        <v>0</v>
      </c>
      <c r="L1777" s="35" t="str">
        <f>IFERROR(__xludf.DUMMYFUNCTION("""COMPUTED_VALUE"""),"Array;Math;Stack;Heap (Priority Queue);Monotonic Stack;")</f>
        <v>Array;Math;Stack;Heap (Priority Queue);Monotonic Stack;</v>
      </c>
      <c r="M1777" s="35" t="b">
        <f>IFERROR(__xludf.DUMMYFUNCTION("""COMPUTED_VALUE"""),FALSE)</f>
        <v>0</v>
      </c>
      <c r="N1777" s="35" t="b">
        <f>IFERROR(__xludf.DUMMYFUNCTION("""COMPUTED_VALUE"""),FALSE)</f>
        <v>0</v>
      </c>
      <c r="O1777" s="35">
        <f>IFERROR(__xludf.DUMMYFUNCTION("""COMPUTED_VALUE"""),52.6290730546049)</f>
        <v>52.62907305</v>
      </c>
      <c r="P1777" s="35">
        <f>IFERROR(__xludf.DUMMYFUNCTION("""COMPUTED_VALUE"""),17686.0)</f>
        <v>17686</v>
      </c>
      <c r="Q1777" s="35">
        <f>IFERROR(__xludf.DUMMYFUNCTION("""COMPUTED_VALUE"""),33605.0)</f>
        <v>33605</v>
      </c>
    </row>
    <row r="1778">
      <c r="A1778" s="35">
        <f>IFERROR(__xludf.DUMMYFUNCTION("""COMPUTED_VALUE"""),1926.0)</f>
        <v>1926</v>
      </c>
      <c r="B1778" s="35" t="str">
        <f>IFERROR(__xludf.DUMMYFUNCTION("""COMPUTED_VALUE"""),"Product's Price for Each Store")</f>
        <v>Product's Price for Each Store</v>
      </c>
      <c r="C1778" s="35" t="str">
        <f>IFERROR(__xludf.DUMMYFUNCTION("""COMPUTED_VALUE"""),"products-price-for-each-store")</f>
        <v>products-price-for-each-store</v>
      </c>
      <c r="D1778" s="35" t="b">
        <f>IFERROR(__xludf.DUMMYFUNCTION("""COMPUTED_VALUE"""),TRUE)</f>
        <v>1</v>
      </c>
      <c r="E1778" s="35" t="str">
        <f>IFERROR(__xludf.DUMMYFUNCTION("""COMPUTED_VALUE"""),"Easy")</f>
        <v>Easy</v>
      </c>
      <c r="F1778" s="35">
        <f>IFERROR(__xludf.DUMMYFUNCTION("""COMPUTED_VALUE"""),72.0)</f>
        <v>72</v>
      </c>
      <c r="G1778" s="35">
        <f>IFERROR(__xludf.DUMMYFUNCTION("""COMPUTED_VALUE"""),6.0)</f>
        <v>6</v>
      </c>
      <c r="H1778" s="35" t="str">
        <f>IFERROR(__xludf.DUMMYFUNCTION("""COMPUTED_VALUE"""),"Database")</f>
        <v>Database</v>
      </c>
      <c r="I1778" s="35">
        <f>IFERROR(__xludf.DUMMYFUNCTION("""COMPUTED_VALUE"""),0.859)</f>
        <v>0.859</v>
      </c>
      <c r="J1778" s="35">
        <f>IFERROR(__xludf.DUMMYFUNCTION("""COMPUTED_VALUE"""),1777.0)</f>
        <v>1777</v>
      </c>
      <c r="K1778" s="35" t="b">
        <f>IFERROR(__xludf.DUMMYFUNCTION("""COMPUTED_VALUE"""),TRUE)</f>
        <v>1</v>
      </c>
      <c r="L1778" s="35" t="str">
        <f>IFERROR(__xludf.DUMMYFUNCTION("""COMPUTED_VALUE"""),"Database;")</f>
        <v>Database;</v>
      </c>
      <c r="M1778" s="35" t="b">
        <f>IFERROR(__xludf.DUMMYFUNCTION("""COMPUTED_VALUE"""),FALSE)</f>
        <v>0</v>
      </c>
      <c r="N1778" s="35" t="b">
        <f>IFERROR(__xludf.DUMMYFUNCTION("""COMPUTED_VALUE"""),FALSE)</f>
        <v>0</v>
      </c>
      <c r="O1778" s="35">
        <f>IFERROR(__xludf.DUMMYFUNCTION("""COMPUTED_VALUE"""),85.9237295115723)</f>
        <v>85.92372951</v>
      </c>
      <c r="P1778" s="35">
        <f>IFERROR(__xludf.DUMMYFUNCTION("""COMPUTED_VALUE"""),10432.0)</f>
        <v>10432</v>
      </c>
      <c r="Q1778" s="35">
        <f>IFERROR(__xludf.DUMMYFUNCTION("""COMPUTED_VALUE"""),12141.0)</f>
        <v>12141</v>
      </c>
    </row>
    <row r="1779">
      <c r="A1779" s="35">
        <f>IFERROR(__xludf.DUMMYFUNCTION("""COMPUTED_VALUE"""),1931.0)</f>
        <v>1931</v>
      </c>
      <c r="B1779" s="35" t="str">
        <f>IFERROR(__xludf.DUMMYFUNCTION("""COMPUTED_VALUE"""),"Shortest Path in a Hidden Grid")</f>
        <v>Shortest Path in a Hidden Grid</v>
      </c>
      <c r="C1779" s="35" t="str">
        <f>IFERROR(__xludf.DUMMYFUNCTION("""COMPUTED_VALUE"""),"shortest-path-in-a-hidden-grid")</f>
        <v>shortest-path-in-a-hidden-grid</v>
      </c>
      <c r="D1779" s="35" t="b">
        <f>IFERROR(__xludf.DUMMYFUNCTION("""COMPUTED_VALUE"""),TRUE)</f>
        <v>1</v>
      </c>
      <c r="E1779" s="35" t="str">
        <f>IFERROR(__xludf.DUMMYFUNCTION("""COMPUTED_VALUE"""),"Medium")</f>
        <v>Medium</v>
      </c>
      <c r="F1779" s="35">
        <f>IFERROR(__xludf.DUMMYFUNCTION("""COMPUTED_VALUE"""),109.0)</f>
        <v>109</v>
      </c>
      <c r="G1779" s="35">
        <f>IFERROR(__xludf.DUMMYFUNCTION("""COMPUTED_VALUE"""),43.0)</f>
        <v>43</v>
      </c>
      <c r="H1779" s="35" t="str">
        <f>IFERROR(__xludf.DUMMYFUNCTION("""COMPUTED_VALUE"""),"Algorithms")</f>
        <v>Algorithms</v>
      </c>
      <c r="I1779" s="35">
        <f>IFERROR(__xludf.DUMMYFUNCTION("""COMPUTED_VALUE"""),0.416)</f>
        <v>0.416</v>
      </c>
      <c r="J1779" s="35">
        <f>IFERROR(__xludf.DUMMYFUNCTION("""COMPUTED_VALUE"""),1778.0)</f>
        <v>1778</v>
      </c>
      <c r="K1779" s="35" t="b">
        <f>IFERROR(__xludf.DUMMYFUNCTION("""COMPUTED_VALUE"""),TRUE)</f>
        <v>1</v>
      </c>
      <c r="L1779" s="35" t="str">
        <f>IFERROR(__xludf.DUMMYFUNCTION("""COMPUTED_VALUE"""),"Depth-First Search;Breadth-First Search;Graph;Interactive;")</f>
        <v>Depth-First Search;Breadth-First Search;Graph;Interactive;</v>
      </c>
      <c r="M1779" s="35" t="b">
        <f>IFERROR(__xludf.DUMMYFUNCTION("""COMPUTED_VALUE"""),FALSE)</f>
        <v>0</v>
      </c>
      <c r="N1779" s="35" t="b">
        <f>IFERROR(__xludf.DUMMYFUNCTION("""COMPUTED_VALUE"""),FALSE)</f>
        <v>0</v>
      </c>
      <c r="O1779" s="35">
        <f>IFERROR(__xludf.DUMMYFUNCTION("""COMPUTED_VALUE"""),41.6322889954287)</f>
        <v>41.632289</v>
      </c>
      <c r="P1779" s="35">
        <f>IFERROR(__xludf.DUMMYFUNCTION("""COMPUTED_VALUE"""),3734.0)</f>
        <v>3734</v>
      </c>
      <c r="Q1779" s="35">
        <f>IFERROR(__xludf.DUMMYFUNCTION("""COMPUTED_VALUE"""),8969.0)</f>
        <v>8969</v>
      </c>
    </row>
    <row r="1780">
      <c r="A1780" s="35">
        <f>IFERROR(__xludf.DUMMYFUNCTION("""COMPUTED_VALUE"""),1888.0)</f>
        <v>1888</v>
      </c>
      <c r="B1780" s="35" t="str">
        <f>IFERROR(__xludf.DUMMYFUNCTION("""COMPUTED_VALUE"""),"Find Nearest Point That Has the Same X or Y Coordinate")</f>
        <v>Find Nearest Point That Has the Same X or Y Coordinate</v>
      </c>
      <c r="C1780" s="35" t="str">
        <f>IFERROR(__xludf.DUMMYFUNCTION("""COMPUTED_VALUE"""),"find-nearest-point-that-has-the-same-x-or-y-coordinate")</f>
        <v>find-nearest-point-that-has-the-same-x-or-y-coordinate</v>
      </c>
      <c r="D1780" s="35" t="b">
        <f>IFERROR(__xludf.DUMMYFUNCTION("""COMPUTED_VALUE"""),FALSE)</f>
        <v>0</v>
      </c>
      <c r="E1780" s="35" t="str">
        <f>IFERROR(__xludf.DUMMYFUNCTION("""COMPUTED_VALUE"""),"Easy")</f>
        <v>Easy</v>
      </c>
      <c r="F1780" s="35">
        <f>IFERROR(__xludf.DUMMYFUNCTION("""COMPUTED_VALUE"""),311.0)</f>
        <v>311</v>
      </c>
      <c r="G1780" s="35">
        <f>IFERROR(__xludf.DUMMYFUNCTION("""COMPUTED_VALUE"""),49.0)</f>
        <v>49</v>
      </c>
      <c r="H1780" s="35" t="str">
        <f>IFERROR(__xludf.DUMMYFUNCTION("""COMPUTED_VALUE"""),"Algorithms")</f>
        <v>Algorithms</v>
      </c>
      <c r="I1780" s="35">
        <f>IFERROR(__xludf.DUMMYFUNCTION("""COMPUTED_VALUE"""),0.684)</f>
        <v>0.684</v>
      </c>
      <c r="J1780" s="35">
        <f>IFERROR(__xludf.DUMMYFUNCTION("""COMPUTED_VALUE"""),1779.0)</f>
        <v>1779</v>
      </c>
      <c r="K1780" s="35" t="b">
        <f>IFERROR(__xludf.DUMMYFUNCTION("""COMPUTED_VALUE"""),FALSE)</f>
        <v>0</v>
      </c>
      <c r="L1780" s="35" t="str">
        <f>IFERROR(__xludf.DUMMYFUNCTION("""COMPUTED_VALUE"""),"Array;")</f>
        <v>Array;</v>
      </c>
      <c r="M1780" s="35" t="b">
        <f>IFERROR(__xludf.DUMMYFUNCTION("""COMPUTED_VALUE"""),FALSE)</f>
        <v>0</v>
      </c>
      <c r="N1780" s="35" t="b">
        <f>IFERROR(__xludf.DUMMYFUNCTION("""COMPUTED_VALUE"""),FALSE)</f>
        <v>0</v>
      </c>
      <c r="O1780" s="35">
        <f>IFERROR(__xludf.DUMMYFUNCTION("""COMPUTED_VALUE"""),68.4406599254922)</f>
        <v>68.44065993</v>
      </c>
      <c r="P1780" s="35">
        <f>IFERROR(__xludf.DUMMYFUNCTION("""COMPUTED_VALUE"""),34710.0)</f>
        <v>34710</v>
      </c>
      <c r="Q1780" s="35">
        <f>IFERROR(__xludf.DUMMYFUNCTION("""COMPUTED_VALUE"""),50719.0)</f>
        <v>50719</v>
      </c>
    </row>
    <row r="1781">
      <c r="A1781" s="35">
        <f>IFERROR(__xludf.DUMMYFUNCTION("""COMPUTED_VALUE"""),1889.0)</f>
        <v>1889</v>
      </c>
      <c r="B1781" s="35" t="str">
        <f>IFERROR(__xludf.DUMMYFUNCTION("""COMPUTED_VALUE"""),"Check if Number is a Sum of Powers of Three")</f>
        <v>Check if Number is a Sum of Powers of Three</v>
      </c>
      <c r="C1781" s="35" t="str">
        <f>IFERROR(__xludf.DUMMYFUNCTION("""COMPUTED_VALUE"""),"check-if-number-is-a-sum-of-powers-of-three")</f>
        <v>check-if-number-is-a-sum-of-powers-of-three</v>
      </c>
      <c r="D1781" s="35" t="b">
        <f>IFERROR(__xludf.DUMMYFUNCTION("""COMPUTED_VALUE"""),FALSE)</f>
        <v>0</v>
      </c>
      <c r="E1781" s="35" t="str">
        <f>IFERROR(__xludf.DUMMYFUNCTION("""COMPUTED_VALUE"""),"Medium")</f>
        <v>Medium</v>
      </c>
      <c r="F1781" s="35">
        <f>IFERROR(__xludf.DUMMYFUNCTION("""COMPUTED_VALUE"""),486.0)</f>
        <v>486</v>
      </c>
      <c r="G1781" s="35">
        <f>IFERROR(__xludf.DUMMYFUNCTION("""COMPUTED_VALUE"""),17.0)</f>
        <v>17</v>
      </c>
      <c r="H1781" s="35" t="str">
        <f>IFERROR(__xludf.DUMMYFUNCTION("""COMPUTED_VALUE"""),"Algorithms")</f>
        <v>Algorithms</v>
      </c>
      <c r="I1781" s="35">
        <f>IFERROR(__xludf.DUMMYFUNCTION("""COMPUTED_VALUE"""),0.648)</f>
        <v>0.648</v>
      </c>
      <c r="J1781" s="35">
        <f>IFERROR(__xludf.DUMMYFUNCTION("""COMPUTED_VALUE"""),1780.0)</f>
        <v>1780</v>
      </c>
      <c r="K1781" s="35" t="b">
        <f>IFERROR(__xludf.DUMMYFUNCTION("""COMPUTED_VALUE"""),FALSE)</f>
        <v>0</v>
      </c>
      <c r="L1781" s="35" t="str">
        <f>IFERROR(__xludf.DUMMYFUNCTION("""COMPUTED_VALUE"""),"Math;")</f>
        <v>Math;</v>
      </c>
      <c r="M1781" s="35" t="b">
        <f>IFERROR(__xludf.DUMMYFUNCTION("""COMPUTED_VALUE"""),FALSE)</f>
        <v>0</v>
      </c>
      <c r="N1781" s="35" t="b">
        <f>IFERROR(__xludf.DUMMYFUNCTION("""COMPUTED_VALUE"""),FALSE)</f>
        <v>0</v>
      </c>
      <c r="O1781" s="35">
        <f>IFERROR(__xludf.DUMMYFUNCTION("""COMPUTED_VALUE"""),64.7613585675141)</f>
        <v>64.76135857</v>
      </c>
      <c r="P1781" s="35">
        <f>IFERROR(__xludf.DUMMYFUNCTION("""COMPUTED_VALUE"""),20326.0)</f>
        <v>20326</v>
      </c>
      <c r="Q1781" s="35">
        <f>IFERROR(__xludf.DUMMYFUNCTION("""COMPUTED_VALUE"""),31386.0)</f>
        <v>31386</v>
      </c>
    </row>
    <row r="1782">
      <c r="A1782" s="35">
        <f>IFERROR(__xludf.DUMMYFUNCTION("""COMPUTED_VALUE"""),1890.0)</f>
        <v>1890</v>
      </c>
      <c r="B1782" s="35" t="str">
        <f>IFERROR(__xludf.DUMMYFUNCTION("""COMPUTED_VALUE"""),"Sum of Beauty of All Substrings")</f>
        <v>Sum of Beauty of All Substrings</v>
      </c>
      <c r="C1782" s="35" t="str">
        <f>IFERROR(__xludf.DUMMYFUNCTION("""COMPUTED_VALUE"""),"sum-of-beauty-of-all-substrings")</f>
        <v>sum-of-beauty-of-all-substrings</v>
      </c>
      <c r="D1782" s="35" t="b">
        <f>IFERROR(__xludf.DUMMYFUNCTION("""COMPUTED_VALUE"""),FALSE)</f>
        <v>0</v>
      </c>
      <c r="E1782" s="35" t="str">
        <f>IFERROR(__xludf.DUMMYFUNCTION("""COMPUTED_VALUE"""),"Medium")</f>
        <v>Medium</v>
      </c>
      <c r="F1782" s="35">
        <f>IFERROR(__xludf.DUMMYFUNCTION("""COMPUTED_VALUE"""),293.0)</f>
        <v>293</v>
      </c>
      <c r="G1782" s="35">
        <f>IFERROR(__xludf.DUMMYFUNCTION("""COMPUTED_VALUE"""),79.0)</f>
        <v>79</v>
      </c>
      <c r="H1782" s="35" t="str">
        <f>IFERROR(__xludf.DUMMYFUNCTION("""COMPUTED_VALUE"""),"Algorithms")</f>
        <v>Algorithms</v>
      </c>
      <c r="I1782" s="35">
        <f>IFERROR(__xludf.DUMMYFUNCTION("""COMPUTED_VALUE"""),0.598)</f>
        <v>0.598</v>
      </c>
      <c r="J1782" s="35">
        <f>IFERROR(__xludf.DUMMYFUNCTION("""COMPUTED_VALUE"""),1781.0)</f>
        <v>1781</v>
      </c>
      <c r="K1782" s="35" t="b">
        <f>IFERROR(__xludf.DUMMYFUNCTION("""COMPUTED_VALUE"""),FALSE)</f>
        <v>0</v>
      </c>
      <c r="L1782" s="35" t="str">
        <f>IFERROR(__xludf.DUMMYFUNCTION("""COMPUTED_VALUE"""),"Hash Table;String;Counting;")</f>
        <v>Hash Table;String;Counting;</v>
      </c>
      <c r="M1782" s="35" t="b">
        <f>IFERROR(__xludf.DUMMYFUNCTION("""COMPUTED_VALUE"""),FALSE)</f>
        <v>0</v>
      </c>
      <c r="N1782" s="35" t="b">
        <f>IFERROR(__xludf.DUMMYFUNCTION("""COMPUTED_VALUE"""),FALSE)</f>
        <v>0</v>
      </c>
      <c r="O1782" s="35">
        <f>IFERROR(__xludf.DUMMYFUNCTION("""COMPUTED_VALUE"""),59.8230511716881)</f>
        <v>59.82305117</v>
      </c>
      <c r="P1782" s="35">
        <f>IFERROR(__xludf.DUMMYFUNCTION("""COMPUTED_VALUE"""),12509.0)</f>
        <v>12509</v>
      </c>
      <c r="Q1782" s="35">
        <f>IFERROR(__xludf.DUMMYFUNCTION("""COMPUTED_VALUE"""),20910.0)</f>
        <v>20910</v>
      </c>
    </row>
    <row r="1783">
      <c r="A1783" s="35">
        <f>IFERROR(__xludf.DUMMYFUNCTION("""COMPUTED_VALUE"""),1891.0)</f>
        <v>1891</v>
      </c>
      <c r="B1783" s="35" t="str">
        <f>IFERROR(__xludf.DUMMYFUNCTION("""COMPUTED_VALUE"""),"Count Pairs Of Nodes")</f>
        <v>Count Pairs Of Nodes</v>
      </c>
      <c r="C1783" s="35" t="str">
        <f>IFERROR(__xludf.DUMMYFUNCTION("""COMPUTED_VALUE"""),"count-pairs-of-nodes")</f>
        <v>count-pairs-of-nodes</v>
      </c>
      <c r="D1783" s="35" t="b">
        <f>IFERROR(__xludf.DUMMYFUNCTION("""COMPUTED_VALUE"""),FALSE)</f>
        <v>0</v>
      </c>
      <c r="E1783" s="35" t="str">
        <f>IFERROR(__xludf.DUMMYFUNCTION("""COMPUTED_VALUE"""),"Hard")</f>
        <v>Hard</v>
      </c>
      <c r="F1783" s="35">
        <f>IFERROR(__xludf.DUMMYFUNCTION("""COMPUTED_VALUE"""),192.0)</f>
        <v>192</v>
      </c>
      <c r="G1783" s="35">
        <f>IFERROR(__xludf.DUMMYFUNCTION("""COMPUTED_VALUE"""),122.0)</f>
        <v>122</v>
      </c>
      <c r="H1783" s="35" t="str">
        <f>IFERROR(__xludf.DUMMYFUNCTION("""COMPUTED_VALUE"""),"Algorithms")</f>
        <v>Algorithms</v>
      </c>
      <c r="I1783" s="35">
        <f>IFERROR(__xludf.DUMMYFUNCTION("""COMPUTED_VALUE"""),0.371)</f>
        <v>0.371</v>
      </c>
      <c r="J1783" s="35">
        <f>IFERROR(__xludf.DUMMYFUNCTION("""COMPUTED_VALUE"""),1782.0)</f>
        <v>1782</v>
      </c>
      <c r="K1783" s="35" t="b">
        <f>IFERROR(__xludf.DUMMYFUNCTION("""COMPUTED_VALUE"""),FALSE)</f>
        <v>0</v>
      </c>
      <c r="L1783" s="35" t="str">
        <f>IFERROR(__xludf.DUMMYFUNCTION("""COMPUTED_VALUE"""),"Two Pointers;Binary Search;Graph;")</f>
        <v>Two Pointers;Binary Search;Graph;</v>
      </c>
      <c r="M1783" s="35" t="b">
        <f>IFERROR(__xludf.DUMMYFUNCTION("""COMPUTED_VALUE"""),FALSE)</f>
        <v>0</v>
      </c>
      <c r="N1783" s="35" t="b">
        <f>IFERROR(__xludf.DUMMYFUNCTION("""COMPUTED_VALUE"""),FALSE)</f>
        <v>0</v>
      </c>
      <c r="O1783" s="35">
        <f>IFERROR(__xludf.DUMMYFUNCTION("""COMPUTED_VALUE"""),37.0989127552373)</f>
        <v>37.09891276</v>
      </c>
      <c r="P1783" s="35">
        <f>IFERROR(__xludf.DUMMYFUNCTION("""COMPUTED_VALUE"""),4197.0)</f>
        <v>4197</v>
      </c>
      <c r="Q1783" s="35">
        <f>IFERROR(__xludf.DUMMYFUNCTION("""COMPUTED_VALUE"""),11313.0)</f>
        <v>11313</v>
      </c>
    </row>
    <row r="1784">
      <c r="A1784" s="35">
        <f>IFERROR(__xludf.DUMMYFUNCTION("""COMPUTED_VALUE"""),1932.0)</f>
        <v>1932</v>
      </c>
      <c r="B1784" s="35" t="str">
        <f>IFERROR(__xludf.DUMMYFUNCTION("""COMPUTED_VALUE"""),"Grand Slam Titles")</f>
        <v>Grand Slam Titles</v>
      </c>
      <c r="C1784" s="35" t="str">
        <f>IFERROR(__xludf.DUMMYFUNCTION("""COMPUTED_VALUE"""),"grand-slam-titles")</f>
        <v>grand-slam-titles</v>
      </c>
      <c r="D1784" s="35" t="b">
        <f>IFERROR(__xludf.DUMMYFUNCTION("""COMPUTED_VALUE"""),TRUE)</f>
        <v>1</v>
      </c>
      <c r="E1784" s="35" t="str">
        <f>IFERROR(__xludf.DUMMYFUNCTION("""COMPUTED_VALUE"""),"Medium")</f>
        <v>Medium</v>
      </c>
      <c r="F1784" s="35">
        <f>IFERROR(__xludf.DUMMYFUNCTION("""COMPUTED_VALUE"""),93.0)</f>
        <v>93</v>
      </c>
      <c r="G1784" s="35">
        <f>IFERROR(__xludf.DUMMYFUNCTION("""COMPUTED_VALUE"""),2.0)</f>
        <v>2</v>
      </c>
      <c r="H1784" s="35" t="str">
        <f>IFERROR(__xludf.DUMMYFUNCTION("""COMPUTED_VALUE"""),"Database")</f>
        <v>Database</v>
      </c>
      <c r="I1784" s="35">
        <f>IFERROR(__xludf.DUMMYFUNCTION("""COMPUTED_VALUE"""),0.894)</f>
        <v>0.894</v>
      </c>
      <c r="J1784" s="35">
        <f>IFERROR(__xludf.DUMMYFUNCTION("""COMPUTED_VALUE"""),1783.0)</f>
        <v>1783</v>
      </c>
      <c r="K1784" s="35" t="b">
        <f>IFERROR(__xludf.DUMMYFUNCTION("""COMPUTED_VALUE"""),TRUE)</f>
        <v>1</v>
      </c>
      <c r="L1784" s="35" t="str">
        <f>IFERROR(__xludf.DUMMYFUNCTION("""COMPUTED_VALUE"""),"Database;")</f>
        <v>Database;</v>
      </c>
      <c r="M1784" s="35" t="b">
        <f>IFERROR(__xludf.DUMMYFUNCTION("""COMPUTED_VALUE"""),FALSE)</f>
        <v>0</v>
      </c>
      <c r="N1784" s="35" t="b">
        <f>IFERROR(__xludf.DUMMYFUNCTION("""COMPUTED_VALUE"""),FALSE)</f>
        <v>0</v>
      </c>
      <c r="O1784" s="35">
        <f>IFERROR(__xludf.DUMMYFUNCTION("""COMPUTED_VALUE"""),89.367136505534)</f>
        <v>89.36713651</v>
      </c>
      <c r="P1784" s="35">
        <f>IFERROR(__xludf.DUMMYFUNCTION("""COMPUTED_VALUE"""),9447.0)</f>
        <v>9447</v>
      </c>
      <c r="Q1784" s="35">
        <f>IFERROR(__xludf.DUMMYFUNCTION("""COMPUTED_VALUE"""),10571.0)</f>
        <v>10571</v>
      </c>
    </row>
    <row r="1785">
      <c r="A1785" s="35">
        <f>IFERROR(__xludf.DUMMYFUNCTION("""COMPUTED_VALUE"""),1910.0)</f>
        <v>1910</v>
      </c>
      <c r="B1785" s="35" t="str">
        <f>IFERROR(__xludf.DUMMYFUNCTION("""COMPUTED_VALUE"""),"Check if Binary String Has at Most One Segment of Ones")</f>
        <v>Check if Binary String Has at Most One Segment of Ones</v>
      </c>
      <c r="C1785" s="35" t="str">
        <f>IFERROR(__xludf.DUMMYFUNCTION("""COMPUTED_VALUE"""),"check-if-binary-string-has-at-most-one-segment-of-ones")</f>
        <v>check-if-binary-string-has-at-most-one-segment-of-ones</v>
      </c>
      <c r="D1785" s="35" t="b">
        <f>IFERROR(__xludf.DUMMYFUNCTION("""COMPUTED_VALUE"""),FALSE)</f>
        <v>0</v>
      </c>
      <c r="E1785" s="35" t="str">
        <f>IFERROR(__xludf.DUMMYFUNCTION("""COMPUTED_VALUE"""),"Easy")</f>
        <v>Easy</v>
      </c>
      <c r="F1785" s="35">
        <f>IFERROR(__xludf.DUMMYFUNCTION("""COMPUTED_VALUE"""),155.0)</f>
        <v>155</v>
      </c>
      <c r="G1785" s="35">
        <f>IFERROR(__xludf.DUMMYFUNCTION("""COMPUTED_VALUE"""),488.0)</f>
        <v>488</v>
      </c>
      <c r="H1785" s="35" t="str">
        <f>IFERROR(__xludf.DUMMYFUNCTION("""COMPUTED_VALUE"""),"Algorithms")</f>
        <v>Algorithms</v>
      </c>
      <c r="I1785" s="35">
        <f>IFERROR(__xludf.DUMMYFUNCTION("""COMPUTED_VALUE"""),0.41)</f>
        <v>0.41</v>
      </c>
      <c r="J1785" s="35">
        <f>IFERROR(__xludf.DUMMYFUNCTION("""COMPUTED_VALUE"""),1784.0)</f>
        <v>1784</v>
      </c>
      <c r="K1785" s="35" t="b">
        <f>IFERROR(__xludf.DUMMYFUNCTION("""COMPUTED_VALUE"""),FALSE)</f>
        <v>0</v>
      </c>
      <c r="L1785" s="35" t="str">
        <f>IFERROR(__xludf.DUMMYFUNCTION("""COMPUTED_VALUE"""),"String;")</f>
        <v>String;</v>
      </c>
      <c r="M1785" s="35" t="b">
        <f>IFERROR(__xludf.DUMMYFUNCTION("""COMPUTED_VALUE"""),FALSE)</f>
        <v>0</v>
      </c>
      <c r="N1785" s="35" t="b">
        <f>IFERROR(__xludf.DUMMYFUNCTION("""COMPUTED_VALUE"""),FALSE)</f>
        <v>0</v>
      </c>
      <c r="O1785" s="35">
        <f>IFERROR(__xludf.DUMMYFUNCTION("""COMPUTED_VALUE"""),40.9599481109129)</f>
        <v>40.95994811</v>
      </c>
      <c r="P1785" s="35">
        <f>IFERROR(__xludf.DUMMYFUNCTION("""COMPUTED_VALUE"""),22734.0)</f>
        <v>22734</v>
      </c>
      <c r="Q1785" s="35">
        <f>IFERROR(__xludf.DUMMYFUNCTION("""COMPUTED_VALUE"""),55503.0)</f>
        <v>55503</v>
      </c>
    </row>
    <row r="1786">
      <c r="A1786" s="35">
        <f>IFERROR(__xludf.DUMMYFUNCTION("""COMPUTED_VALUE"""),1911.0)</f>
        <v>1911</v>
      </c>
      <c r="B1786" s="35" t="str">
        <f>IFERROR(__xludf.DUMMYFUNCTION("""COMPUTED_VALUE"""),"Minimum Elements to Add to Form a Given Sum")</f>
        <v>Minimum Elements to Add to Form a Given Sum</v>
      </c>
      <c r="C1786" s="35" t="str">
        <f>IFERROR(__xludf.DUMMYFUNCTION("""COMPUTED_VALUE"""),"minimum-elements-to-add-to-form-a-given-sum")</f>
        <v>minimum-elements-to-add-to-form-a-given-sum</v>
      </c>
      <c r="D1786" s="35" t="b">
        <f>IFERROR(__xludf.DUMMYFUNCTION("""COMPUTED_VALUE"""),FALSE)</f>
        <v>0</v>
      </c>
      <c r="E1786" s="35" t="str">
        <f>IFERROR(__xludf.DUMMYFUNCTION("""COMPUTED_VALUE"""),"Medium")</f>
        <v>Medium</v>
      </c>
      <c r="F1786" s="35">
        <f>IFERROR(__xludf.DUMMYFUNCTION("""COMPUTED_VALUE"""),144.0)</f>
        <v>144</v>
      </c>
      <c r="G1786" s="35">
        <f>IFERROR(__xludf.DUMMYFUNCTION("""COMPUTED_VALUE"""),140.0)</f>
        <v>140</v>
      </c>
      <c r="H1786" s="35" t="str">
        <f>IFERROR(__xludf.DUMMYFUNCTION("""COMPUTED_VALUE"""),"Algorithms")</f>
        <v>Algorithms</v>
      </c>
      <c r="I1786" s="35">
        <f>IFERROR(__xludf.DUMMYFUNCTION("""COMPUTED_VALUE"""),0.414)</f>
        <v>0.414</v>
      </c>
      <c r="J1786" s="35">
        <f>IFERROR(__xludf.DUMMYFUNCTION("""COMPUTED_VALUE"""),1785.0)</f>
        <v>1785</v>
      </c>
      <c r="K1786" s="35" t="b">
        <f>IFERROR(__xludf.DUMMYFUNCTION("""COMPUTED_VALUE"""),FALSE)</f>
        <v>0</v>
      </c>
      <c r="L1786" s="35" t="str">
        <f>IFERROR(__xludf.DUMMYFUNCTION("""COMPUTED_VALUE"""),"Array;Greedy;")</f>
        <v>Array;Greedy;</v>
      </c>
      <c r="M1786" s="35" t="b">
        <f>IFERROR(__xludf.DUMMYFUNCTION("""COMPUTED_VALUE"""),FALSE)</f>
        <v>0</v>
      </c>
      <c r="N1786" s="35" t="b">
        <f>IFERROR(__xludf.DUMMYFUNCTION("""COMPUTED_VALUE"""),FALSE)</f>
        <v>0</v>
      </c>
      <c r="O1786" s="35">
        <f>IFERROR(__xludf.DUMMYFUNCTION("""COMPUTED_VALUE"""),41.4191518964369)</f>
        <v>41.4191519</v>
      </c>
      <c r="P1786" s="35">
        <f>IFERROR(__xludf.DUMMYFUNCTION("""COMPUTED_VALUE"""),13694.0)</f>
        <v>13694</v>
      </c>
      <c r="Q1786" s="35">
        <f>IFERROR(__xludf.DUMMYFUNCTION("""COMPUTED_VALUE"""),33062.0)</f>
        <v>33062</v>
      </c>
    </row>
    <row r="1787">
      <c r="A1787" s="35">
        <f>IFERROR(__xludf.DUMMYFUNCTION("""COMPUTED_VALUE"""),1912.0)</f>
        <v>1912</v>
      </c>
      <c r="B1787" s="35" t="str">
        <f>IFERROR(__xludf.DUMMYFUNCTION("""COMPUTED_VALUE"""),"Number of Restricted Paths From First to Last Node")</f>
        <v>Number of Restricted Paths From First to Last Node</v>
      </c>
      <c r="C1787" s="35" t="str">
        <f>IFERROR(__xludf.DUMMYFUNCTION("""COMPUTED_VALUE"""),"number-of-restricted-paths-from-first-to-last-node")</f>
        <v>number-of-restricted-paths-from-first-to-last-node</v>
      </c>
      <c r="D1787" s="35" t="b">
        <f>IFERROR(__xludf.DUMMYFUNCTION("""COMPUTED_VALUE"""),FALSE)</f>
        <v>0</v>
      </c>
      <c r="E1787" s="35" t="str">
        <f>IFERROR(__xludf.DUMMYFUNCTION("""COMPUTED_VALUE"""),"Medium")</f>
        <v>Medium</v>
      </c>
      <c r="F1787" s="35">
        <f>IFERROR(__xludf.DUMMYFUNCTION("""COMPUTED_VALUE"""),545.0)</f>
        <v>545</v>
      </c>
      <c r="G1787" s="35">
        <f>IFERROR(__xludf.DUMMYFUNCTION("""COMPUTED_VALUE"""),97.0)</f>
        <v>97</v>
      </c>
      <c r="H1787" s="35" t="str">
        <f>IFERROR(__xludf.DUMMYFUNCTION("""COMPUTED_VALUE"""),"Algorithms")</f>
        <v>Algorithms</v>
      </c>
      <c r="I1787" s="35">
        <f>IFERROR(__xludf.DUMMYFUNCTION("""COMPUTED_VALUE"""),0.381)</f>
        <v>0.381</v>
      </c>
      <c r="J1787" s="35">
        <f>IFERROR(__xludf.DUMMYFUNCTION("""COMPUTED_VALUE"""),1786.0)</f>
        <v>1786</v>
      </c>
      <c r="K1787" s="35" t="b">
        <f>IFERROR(__xludf.DUMMYFUNCTION("""COMPUTED_VALUE"""),FALSE)</f>
        <v>0</v>
      </c>
      <c r="L1787" s="35" t="str">
        <f>IFERROR(__xludf.DUMMYFUNCTION("""COMPUTED_VALUE"""),"Dynamic Programming;Graph;Topological Sort;Heap (Priority Queue);Shortest Path;")</f>
        <v>Dynamic Programming;Graph;Topological Sort;Heap (Priority Queue);Shortest Path;</v>
      </c>
      <c r="M1787" s="35" t="b">
        <f>IFERROR(__xludf.DUMMYFUNCTION("""COMPUTED_VALUE"""),FALSE)</f>
        <v>0</v>
      </c>
      <c r="N1787" s="35" t="b">
        <f>IFERROR(__xludf.DUMMYFUNCTION("""COMPUTED_VALUE"""),FALSE)</f>
        <v>0</v>
      </c>
      <c r="O1787" s="35">
        <f>IFERROR(__xludf.DUMMYFUNCTION("""COMPUTED_VALUE"""),38.0717416003895)</f>
        <v>38.0717416</v>
      </c>
      <c r="P1787" s="35">
        <f>IFERROR(__xludf.DUMMYFUNCTION("""COMPUTED_VALUE"""),11728.0)</f>
        <v>11728</v>
      </c>
      <c r="Q1787" s="35">
        <f>IFERROR(__xludf.DUMMYFUNCTION("""COMPUTED_VALUE"""),30805.0)</f>
        <v>30805</v>
      </c>
    </row>
    <row r="1788">
      <c r="A1788" s="35">
        <f>IFERROR(__xludf.DUMMYFUNCTION("""COMPUTED_VALUE"""),1913.0)</f>
        <v>1913</v>
      </c>
      <c r="B1788" s="35" t="str">
        <f>IFERROR(__xludf.DUMMYFUNCTION("""COMPUTED_VALUE"""),"Make the XOR of All Segments Equal to Zero")</f>
        <v>Make the XOR of All Segments Equal to Zero</v>
      </c>
      <c r="C1788" s="35" t="str">
        <f>IFERROR(__xludf.DUMMYFUNCTION("""COMPUTED_VALUE"""),"make-the-xor-of-all-segments-equal-to-zero")</f>
        <v>make-the-xor-of-all-segments-equal-to-zero</v>
      </c>
      <c r="D1788" s="35" t="b">
        <f>IFERROR(__xludf.DUMMYFUNCTION("""COMPUTED_VALUE"""),FALSE)</f>
        <v>0</v>
      </c>
      <c r="E1788" s="35" t="str">
        <f>IFERROR(__xludf.DUMMYFUNCTION("""COMPUTED_VALUE"""),"Hard")</f>
        <v>Hard</v>
      </c>
      <c r="F1788" s="35">
        <f>IFERROR(__xludf.DUMMYFUNCTION("""COMPUTED_VALUE"""),251.0)</f>
        <v>251</v>
      </c>
      <c r="G1788" s="35">
        <f>IFERROR(__xludf.DUMMYFUNCTION("""COMPUTED_VALUE"""),12.0)</f>
        <v>12</v>
      </c>
      <c r="H1788" s="35" t="str">
        <f>IFERROR(__xludf.DUMMYFUNCTION("""COMPUTED_VALUE"""),"Algorithms")</f>
        <v>Algorithms</v>
      </c>
      <c r="I1788" s="35">
        <f>IFERROR(__xludf.DUMMYFUNCTION("""COMPUTED_VALUE"""),0.392)</f>
        <v>0.392</v>
      </c>
      <c r="J1788" s="35">
        <f>IFERROR(__xludf.DUMMYFUNCTION("""COMPUTED_VALUE"""),1787.0)</f>
        <v>1787</v>
      </c>
      <c r="K1788" s="35" t="b">
        <f>IFERROR(__xludf.DUMMYFUNCTION("""COMPUTED_VALUE"""),FALSE)</f>
        <v>0</v>
      </c>
      <c r="L1788" s="35" t="str">
        <f>IFERROR(__xludf.DUMMYFUNCTION("""COMPUTED_VALUE"""),"Array;Dynamic Programming;Bit Manipulation;")</f>
        <v>Array;Dynamic Programming;Bit Manipulation;</v>
      </c>
      <c r="M1788" s="35" t="b">
        <f>IFERROR(__xludf.DUMMYFUNCTION("""COMPUTED_VALUE"""),FALSE)</f>
        <v>0</v>
      </c>
      <c r="N1788" s="35" t="b">
        <f>IFERROR(__xludf.DUMMYFUNCTION("""COMPUTED_VALUE"""),FALSE)</f>
        <v>0</v>
      </c>
      <c r="O1788" s="35">
        <f>IFERROR(__xludf.DUMMYFUNCTION("""COMPUTED_VALUE"""),39.2083475104911)</f>
        <v>39.20834751</v>
      </c>
      <c r="P1788" s="35">
        <f>IFERROR(__xludf.DUMMYFUNCTION("""COMPUTED_VALUE"""),3457.0)</f>
        <v>3457</v>
      </c>
      <c r="Q1788" s="35">
        <f>IFERROR(__xludf.DUMMYFUNCTION("""COMPUTED_VALUE"""),8817.0)</f>
        <v>8817</v>
      </c>
    </row>
    <row r="1789">
      <c r="A1789" s="35">
        <f>IFERROR(__xludf.DUMMYFUNCTION("""COMPUTED_VALUE"""),1937.0)</f>
        <v>1937</v>
      </c>
      <c r="B1789" s="35" t="str">
        <f>IFERROR(__xludf.DUMMYFUNCTION("""COMPUTED_VALUE"""),"Maximize the Beauty of the Garden")</f>
        <v>Maximize the Beauty of the Garden</v>
      </c>
      <c r="C1789" s="35" t="str">
        <f>IFERROR(__xludf.DUMMYFUNCTION("""COMPUTED_VALUE"""),"maximize-the-beauty-of-the-garden")</f>
        <v>maximize-the-beauty-of-the-garden</v>
      </c>
      <c r="D1789" s="35" t="b">
        <f>IFERROR(__xludf.DUMMYFUNCTION("""COMPUTED_VALUE"""),TRUE)</f>
        <v>1</v>
      </c>
      <c r="E1789" s="35" t="str">
        <f>IFERROR(__xludf.DUMMYFUNCTION("""COMPUTED_VALUE"""),"Hard")</f>
        <v>Hard</v>
      </c>
      <c r="F1789" s="35">
        <f>IFERROR(__xludf.DUMMYFUNCTION("""COMPUTED_VALUE"""),43.0)</f>
        <v>43</v>
      </c>
      <c r="G1789" s="35">
        <f>IFERROR(__xludf.DUMMYFUNCTION("""COMPUTED_VALUE"""),4.0)</f>
        <v>4</v>
      </c>
      <c r="H1789" s="35" t="str">
        <f>IFERROR(__xludf.DUMMYFUNCTION("""COMPUTED_VALUE"""),"Algorithms")</f>
        <v>Algorithms</v>
      </c>
      <c r="I1789" s="35">
        <f>IFERROR(__xludf.DUMMYFUNCTION("""COMPUTED_VALUE"""),0.671)</f>
        <v>0.671</v>
      </c>
      <c r="J1789" s="35">
        <f>IFERROR(__xludf.DUMMYFUNCTION("""COMPUTED_VALUE"""),1788.0)</f>
        <v>1788</v>
      </c>
      <c r="K1789" s="35" t="b">
        <f>IFERROR(__xludf.DUMMYFUNCTION("""COMPUTED_VALUE"""),TRUE)</f>
        <v>1</v>
      </c>
      <c r="L1789" s="35" t="str">
        <f>IFERROR(__xludf.DUMMYFUNCTION("""COMPUTED_VALUE"""),"Array;Greedy;Prefix Sum;")</f>
        <v>Array;Greedy;Prefix Sum;</v>
      </c>
      <c r="M1789" s="35" t="b">
        <f>IFERROR(__xludf.DUMMYFUNCTION("""COMPUTED_VALUE"""),FALSE)</f>
        <v>0</v>
      </c>
      <c r="N1789" s="35" t="b">
        <f>IFERROR(__xludf.DUMMYFUNCTION("""COMPUTED_VALUE"""),FALSE)</f>
        <v>0</v>
      </c>
      <c r="O1789" s="35">
        <f>IFERROR(__xludf.DUMMYFUNCTION("""COMPUTED_VALUE"""),67.1495085359544)</f>
        <v>67.14950854</v>
      </c>
      <c r="P1789" s="35">
        <f>IFERROR(__xludf.DUMMYFUNCTION("""COMPUTED_VALUE"""),1298.0)</f>
        <v>1298</v>
      </c>
      <c r="Q1789" s="35">
        <f>IFERROR(__xludf.DUMMYFUNCTION("""COMPUTED_VALUE"""),1933.0)</f>
        <v>1933</v>
      </c>
    </row>
    <row r="1790">
      <c r="A1790" s="35">
        <f>IFERROR(__xludf.DUMMYFUNCTION("""COMPUTED_VALUE"""),1942.0)</f>
        <v>1942</v>
      </c>
      <c r="B1790" s="35" t="str">
        <f>IFERROR(__xludf.DUMMYFUNCTION("""COMPUTED_VALUE"""),"Primary Department for Each Employee")</f>
        <v>Primary Department for Each Employee</v>
      </c>
      <c r="C1790" s="35" t="str">
        <f>IFERROR(__xludf.DUMMYFUNCTION("""COMPUTED_VALUE"""),"primary-department-for-each-employee")</f>
        <v>primary-department-for-each-employee</v>
      </c>
      <c r="D1790" s="35" t="b">
        <f>IFERROR(__xludf.DUMMYFUNCTION("""COMPUTED_VALUE"""),TRUE)</f>
        <v>1</v>
      </c>
      <c r="E1790" s="35" t="str">
        <f>IFERROR(__xludf.DUMMYFUNCTION("""COMPUTED_VALUE"""),"Easy")</f>
        <v>Easy</v>
      </c>
      <c r="F1790" s="35">
        <f>IFERROR(__xludf.DUMMYFUNCTION("""COMPUTED_VALUE"""),55.0)</f>
        <v>55</v>
      </c>
      <c r="G1790" s="35">
        <f>IFERROR(__xludf.DUMMYFUNCTION("""COMPUTED_VALUE"""),23.0)</f>
        <v>23</v>
      </c>
      <c r="H1790" s="35" t="str">
        <f>IFERROR(__xludf.DUMMYFUNCTION("""COMPUTED_VALUE"""),"Database")</f>
        <v>Database</v>
      </c>
      <c r="I1790" s="35">
        <f>IFERROR(__xludf.DUMMYFUNCTION("""COMPUTED_VALUE"""),0.786)</f>
        <v>0.786</v>
      </c>
      <c r="J1790" s="35">
        <f>IFERROR(__xludf.DUMMYFUNCTION("""COMPUTED_VALUE"""),1789.0)</f>
        <v>1789</v>
      </c>
      <c r="K1790" s="35" t="b">
        <f>IFERROR(__xludf.DUMMYFUNCTION("""COMPUTED_VALUE"""),TRUE)</f>
        <v>1</v>
      </c>
      <c r="L1790" s="35" t="str">
        <f>IFERROR(__xludf.DUMMYFUNCTION("""COMPUTED_VALUE"""),"Database;")</f>
        <v>Database;</v>
      </c>
      <c r="M1790" s="35" t="b">
        <f>IFERROR(__xludf.DUMMYFUNCTION("""COMPUTED_VALUE"""),FALSE)</f>
        <v>0</v>
      </c>
      <c r="N1790" s="35" t="b">
        <f>IFERROR(__xludf.DUMMYFUNCTION("""COMPUTED_VALUE"""),FALSE)</f>
        <v>0</v>
      </c>
      <c r="O1790" s="35">
        <f>IFERROR(__xludf.DUMMYFUNCTION("""COMPUTED_VALUE"""),78.5830075331362)</f>
        <v>78.58300753</v>
      </c>
      <c r="P1790" s="35">
        <f>IFERROR(__xludf.DUMMYFUNCTION("""COMPUTED_VALUE"""),8241.0)</f>
        <v>8241</v>
      </c>
      <c r="Q1790" s="35">
        <f>IFERROR(__xludf.DUMMYFUNCTION("""COMPUTED_VALUE"""),10487.0)</f>
        <v>10487</v>
      </c>
    </row>
    <row r="1791">
      <c r="A1791" s="35">
        <f>IFERROR(__xludf.DUMMYFUNCTION("""COMPUTED_VALUE"""),1915.0)</f>
        <v>1915</v>
      </c>
      <c r="B1791" s="35" t="str">
        <f>IFERROR(__xludf.DUMMYFUNCTION("""COMPUTED_VALUE"""),"Check if One String Swap Can Make Strings Equal")</f>
        <v>Check if One String Swap Can Make Strings Equal</v>
      </c>
      <c r="C1791" s="35" t="str">
        <f>IFERROR(__xludf.DUMMYFUNCTION("""COMPUTED_VALUE"""),"check-if-one-string-swap-can-make-strings-equal")</f>
        <v>check-if-one-string-swap-can-make-strings-equal</v>
      </c>
      <c r="D1791" s="35" t="b">
        <f>IFERROR(__xludf.DUMMYFUNCTION("""COMPUTED_VALUE"""),FALSE)</f>
        <v>0</v>
      </c>
      <c r="E1791" s="35" t="str">
        <f>IFERROR(__xludf.DUMMYFUNCTION("""COMPUTED_VALUE"""),"Easy")</f>
        <v>Easy</v>
      </c>
      <c r="F1791" s="35">
        <f>IFERROR(__xludf.DUMMYFUNCTION("""COMPUTED_VALUE"""),378.0)</f>
        <v>378</v>
      </c>
      <c r="G1791" s="35">
        <f>IFERROR(__xludf.DUMMYFUNCTION("""COMPUTED_VALUE"""),15.0)</f>
        <v>15</v>
      </c>
      <c r="H1791" s="35" t="str">
        <f>IFERROR(__xludf.DUMMYFUNCTION("""COMPUTED_VALUE"""),"Algorithms")</f>
        <v>Algorithms</v>
      </c>
      <c r="I1791" s="35">
        <f>IFERROR(__xludf.DUMMYFUNCTION("""COMPUTED_VALUE"""),0.46)</f>
        <v>0.46</v>
      </c>
      <c r="J1791" s="35">
        <f>IFERROR(__xludf.DUMMYFUNCTION("""COMPUTED_VALUE"""),1790.0)</f>
        <v>1790</v>
      </c>
      <c r="K1791" s="35" t="b">
        <f>IFERROR(__xludf.DUMMYFUNCTION("""COMPUTED_VALUE"""),FALSE)</f>
        <v>0</v>
      </c>
      <c r="L1791" s="35" t="str">
        <f>IFERROR(__xludf.DUMMYFUNCTION("""COMPUTED_VALUE"""),"Hash Table;String;Counting;")</f>
        <v>Hash Table;String;Counting;</v>
      </c>
      <c r="M1791" s="35" t="b">
        <f>IFERROR(__xludf.DUMMYFUNCTION("""COMPUTED_VALUE"""),FALSE)</f>
        <v>0</v>
      </c>
      <c r="N1791" s="35" t="b">
        <f>IFERROR(__xludf.DUMMYFUNCTION("""COMPUTED_VALUE"""),FALSE)</f>
        <v>0</v>
      </c>
      <c r="O1791" s="35">
        <f>IFERROR(__xludf.DUMMYFUNCTION("""COMPUTED_VALUE"""),45.9601492183799)</f>
        <v>45.96014922</v>
      </c>
      <c r="P1791" s="35">
        <f>IFERROR(__xludf.DUMMYFUNCTION("""COMPUTED_VALUE"""),31042.0)</f>
        <v>31042</v>
      </c>
      <c r="Q1791" s="35">
        <f>IFERROR(__xludf.DUMMYFUNCTION("""COMPUTED_VALUE"""),67540.0)</f>
        <v>67540</v>
      </c>
    </row>
    <row r="1792">
      <c r="A1792" s="35">
        <f>IFERROR(__xludf.DUMMYFUNCTION("""COMPUTED_VALUE"""),1916.0)</f>
        <v>1916</v>
      </c>
      <c r="B1792" s="35" t="str">
        <f>IFERROR(__xludf.DUMMYFUNCTION("""COMPUTED_VALUE"""),"Find Center of Star Graph")</f>
        <v>Find Center of Star Graph</v>
      </c>
      <c r="C1792" s="35" t="str">
        <f>IFERROR(__xludf.DUMMYFUNCTION("""COMPUTED_VALUE"""),"find-center-of-star-graph")</f>
        <v>find-center-of-star-graph</v>
      </c>
      <c r="D1792" s="35" t="b">
        <f>IFERROR(__xludf.DUMMYFUNCTION("""COMPUTED_VALUE"""),FALSE)</f>
        <v>0</v>
      </c>
      <c r="E1792" s="35" t="str">
        <f>IFERROR(__xludf.DUMMYFUNCTION("""COMPUTED_VALUE"""),"Easy")</f>
        <v>Easy</v>
      </c>
      <c r="F1792" s="35">
        <f>IFERROR(__xludf.DUMMYFUNCTION("""COMPUTED_VALUE"""),474.0)</f>
        <v>474</v>
      </c>
      <c r="G1792" s="35">
        <f>IFERROR(__xludf.DUMMYFUNCTION("""COMPUTED_VALUE"""),65.0)</f>
        <v>65</v>
      </c>
      <c r="H1792" s="35" t="str">
        <f>IFERROR(__xludf.DUMMYFUNCTION("""COMPUTED_VALUE"""),"Algorithms")</f>
        <v>Algorithms</v>
      </c>
      <c r="I1792" s="35">
        <f>IFERROR(__xludf.DUMMYFUNCTION("""COMPUTED_VALUE"""),0.837)</f>
        <v>0.837</v>
      </c>
      <c r="J1792" s="35">
        <f>IFERROR(__xludf.DUMMYFUNCTION("""COMPUTED_VALUE"""),1791.0)</f>
        <v>1791</v>
      </c>
      <c r="K1792" s="35" t="b">
        <f>IFERROR(__xludf.DUMMYFUNCTION("""COMPUTED_VALUE"""),FALSE)</f>
        <v>0</v>
      </c>
      <c r="L1792" s="35" t="str">
        <f>IFERROR(__xludf.DUMMYFUNCTION("""COMPUTED_VALUE"""),"Graph;")</f>
        <v>Graph;</v>
      </c>
      <c r="M1792" s="35" t="b">
        <f>IFERROR(__xludf.DUMMYFUNCTION("""COMPUTED_VALUE"""),FALSE)</f>
        <v>0</v>
      </c>
      <c r="N1792" s="35" t="b">
        <f>IFERROR(__xludf.DUMMYFUNCTION("""COMPUTED_VALUE"""),FALSE)</f>
        <v>0</v>
      </c>
      <c r="O1792" s="35">
        <f>IFERROR(__xludf.DUMMYFUNCTION("""COMPUTED_VALUE"""),83.7354996385666)</f>
        <v>83.73549964</v>
      </c>
      <c r="P1792" s="35">
        <f>IFERROR(__xludf.DUMMYFUNCTION("""COMPUTED_VALUE"""),72976.0)</f>
        <v>72976</v>
      </c>
      <c r="Q1792" s="35">
        <f>IFERROR(__xludf.DUMMYFUNCTION("""COMPUTED_VALUE"""),87151.0)</f>
        <v>87151</v>
      </c>
    </row>
    <row r="1793">
      <c r="A1793" s="35">
        <f>IFERROR(__xludf.DUMMYFUNCTION("""COMPUTED_VALUE"""),1917.0)</f>
        <v>1917</v>
      </c>
      <c r="B1793" s="35" t="str">
        <f>IFERROR(__xludf.DUMMYFUNCTION("""COMPUTED_VALUE"""),"Maximum Average Pass Ratio")</f>
        <v>Maximum Average Pass Ratio</v>
      </c>
      <c r="C1793" s="35" t="str">
        <f>IFERROR(__xludf.DUMMYFUNCTION("""COMPUTED_VALUE"""),"maximum-average-pass-ratio")</f>
        <v>maximum-average-pass-ratio</v>
      </c>
      <c r="D1793" s="35" t="b">
        <f>IFERROR(__xludf.DUMMYFUNCTION("""COMPUTED_VALUE"""),FALSE)</f>
        <v>0</v>
      </c>
      <c r="E1793" s="35" t="str">
        <f>IFERROR(__xludf.DUMMYFUNCTION("""COMPUTED_VALUE"""),"Medium")</f>
        <v>Medium</v>
      </c>
      <c r="F1793" s="35">
        <f>IFERROR(__xludf.DUMMYFUNCTION("""COMPUTED_VALUE"""),461.0)</f>
        <v>461</v>
      </c>
      <c r="G1793" s="35">
        <f>IFERROR(__xludf.DUMMYFUNCTION("""COMPUTED_VALUE"""),57.0)</f>
        <v>57</v>
      </c>
      <c r="H1793" s="35" t="str">
        <f>IFERROR(__xludf.DUMMYFUNCTION("""COMPUTED_VALUE"""),"Algorithms")</f>
        <v>Algorithms</v>
      </c>
      <c r="I1793" s="35">
        <f>IFERROR(__xludf.DUMMYFUNCTION("""COMPUTED_VALUE"""),0.504)</f>
        <v>0.504</v>
      </c>
      <c r="J1793" s="35">
        <f>IFERROR(__xludf.DUMMYFUNCTION("""COMPUTED_VALUE"""),1792.0)</f>
        <v>1792</v>
      </c>
      <c r="K1793" s="35" t="b">
        <f>IFERROR(__xludf.DUMMYFUNCTION("""COMPUTED_VALUE"""),FALSE)</f>
        <v>0</v>
      </c>
      <c r="L1793" s="35" t="str">
        <f>IFERROR(__xludf.DUMMYFUNCTION("""COMPUTED_VALUE"""),"Array;Greedy;Heap (Priority Queue);")</f>
        <v>Array;Greedy;Heap (Priority Queue);</v>
      </c>
      <c r="M1793" s="35" t="b">
        <f>IFERROR(__xludf.DUMMYFUNCTION("""COMPUTED_VALUE"""),FALSE)</f>
        <v>0</v>
      </c>
      <c r="N1793" s="35" t="b">
        <f>IFERROR(__xludf.DUMMYFUNCTION("""COMPUTED_VALUE"""),FALSE)</f>
        <v>0</v>
      </c>
      <c r="O1793" s="35">
        <f>IFERROR(__xludf.DUMMYFUNCTION("""COMPUTED_VALUE"""),50.3638958259008)</f>
        <v>50.36389583</v>
      </c>
      <c r="P1793" s="35">
        <f>IFERROR(__xludf.DUMMYFUNCTION("""COMPUTED_VALUE"""),14117.0)</f>
        <v>14117</v>
      </c>
      <c r="Q1793" s="35">
        <f>IFERROR(__xludf.DUMMYFUNCTION("""COMPUTED_VALUE"""),28030.0)</f>
        <v>28030</v>
      </c>
    </row>
    <row r="1794">
      <c r="A1794" s="35">
        <f>IFERROR(__xludf.DUMMYFUNCTION("""COMPUTED_VALUE"""),1918.0)</f>
        <v>1918</v>
      </c>
      <c r="B1794" s="35" t="str">
        <f>IFERROR(__xludf.DUMMYFUNCTION("""COMPUTED_VALUE"""),"Maximum Score of a Good Subarray")</f>
        <v>Maximum Score of a Good Subarray</v>
      </c>
      <c r="C1794" s="35" t="str">
        <f>IFERROR(__xludf.DUMMYFUNCTION("""COMPUTED_VALUE"""),"maximum-score-of-a-good-subarray")</f>
        <v>maximum-score-of-a-good-subarray</v>
      </c>
      <c r="D1794" s="35" t="b">
        <f>IFERROR(__xludf.DUMMYFUNCTION("""COMPUTED_VALUE"""),FALSE)</f>
        <v>0</v>
      </c>
      <c r="E1794" s="35" t="str">
        <f>IFERROR(__xludf.DUMMYFUNCTION("""COMPUTED_VALUE"""),"Hard")</f>
        <v>Hard</v>
      </c>
      <c r="F1794" s="35">
        <f>IFERROR(__xludf.DUMMYFUNCTION("""COMPUTED_VALUE"""),550.0)</f>
        <v>550</v>
      </c>
      <c r="G1794" s="35">
        <f>IFERROR(__xludf.DUMMYFUNCTION("""COMPUTED_VALUE"""),24.0)</f>
        <v>24</v>
      </c>
      <c r="H1794" s="35" t="str">
        <f>IFERROR(__xludf.DUMMYFUNCTION("""COMPUTED_VALUE"""),"Algorithms")</f>
        <v>Algorithms</v>
      </c>
      <c r="I1794" s="35">
        <f>IFERROR(__xludf.DUMMYFUNCTION("""COMPUTED_VALUE"""),0.513)</f>
        <v>0.513</v>
      </c>
      <c r="J1794" s="35">
        <f>IFERROR(__xludf.DUMMYFUNCTION("""COMPUTED_VALUE"""),1793.0)</f>
        <v>1793</v>
      </c>
      <c r="K1794" s="35" t="b">
        <f>IFERROR(__xludf.DUMMYFUNCTION("""COMPUTED_VALUE"""),FALSE)</f>
        <v>0</v>
      </c>
      <c r="L1794" s="35" t="str">
        <f>IFERROR(__xludf.DUMMYFUNCTION("""COMPUTED_VALUE"""),"Array;Two Pointers;Binary Search;Stack;Monotonic Stack;")</f>
        <v>Array;Two Pointers;Binary Search;Stack;Monotonic Stack;</v>
      </c>
      <c r="M1794" s="35" t="b">
        <f>IFERROR(__xludf.DUMMYFUNCTION("""COMPUTED_VALUE"""),FALSE)</f>
        <v>0</v>
      </c>
      <c r="N1794" s="35" t="b">
        <f>IFERROR(__xludf.DUMMYFUNCTION("""COMPUTED_VALUE"""),FALSE)</f>
        <v>0</v>
      </c>
      <c r="O1794" s="35">
        <f>IFERROR(__xludf.DUMMYFUNCTION("""COMPUTED_VALUE"""),51.3349759663933)</f>
        <v>51.33497597</v>
      </c>
      <c r="P1794" s="35">
        <f>IFERROR(__xludf.DUMMYFUNCTION("""COMPUTED_VALUE"""),12709.0)</f>
        <v>12709</v>
      </c>
      <c r="Q1794" s="35">
        <f>IFERROR(__xludf.DUMMYFUNCTION("""COMPUTED_VALUE"""),24757.0)</f>
        <v>24757</v>
      </c>
    </row>
    <row r="1795">
      <c r="A1795" s="35">
        <f>IFERROR(__xludf.DUMMYFUNCTION("""COMPUTED_VALUE"""),1943.0)</f>
        <v>1943</v>
      </c>
      <c r="B1795" s="35" t="str">
        <f>IFERROR(__xludf.DUMMYFUNCTION("""COMPUTED_VALUE"""),"Count Pairs of Equal Substrings With Minimum Difference")</f>
        <v>Count Pairs of Equal Substrings With Minimum Difference</v>
      </c>
      <c r="C1795" s="35" t="str">
        <f>IFERROR(__xludf.DUMMYFUNCTION("""COMPUTED_VALUE"""),"count-pairs-of-equal-substrings-with-minimum-difference")</f>
        <v>count-pairs-of-equal-substrings-with-minimum-difference</v>
      </c>
      <c r="D1795" s="35" t="b">
        <f>IFERROR(__xludf.DUMMYFUNCTION("""COMPUTED_VALUE"""),TRUE)</f>
        <v>1</v>
      </c>
      <c r="E1795" s="35" t="str">
        <f>IFERROR(__xludf.DUMMYFUNCTION("""COMPUTED_VALUE"""),"Medium")</f>
        <v>Medium</v>
      </c>
      <c r="F1795" s="35">
        <f>IFERROR(__xludf.DUMMYFUNCTION("""COMPUTED_VALUE"""),28.0)</f>
        <v>28</v>
      </c>
      <c r="G1795" s="35">
        <f>IFERROR(__xludf.DUMMYFUNCTION("""COMPUTED_VALUE"""),33.0)</f>
        <v>33</v>
      </c>
      <c r="H1795" s="35" t="str">
        <f>IFERROR(__xludf.DUMMYFUNCTION("""COMPUTED_VALUE"""),"Algorithms")</f>
        <v>Algorithms</v>
      </c>
      <c r="I1795" s="35">
        <f>IFERROR(__xludf.DUMMYFUNCTION("""COMPUTED_VALUE"""),0.646)</f>
        <v>0.646</v>
      </c>
      <c r="J1795" s="35">
        <f>IFERROR(__xludf.DUMMYFUNCTION("""COMPUTED_VALUE"""),1794.0)</f>
        <v>1794</v>
      </c>
      <c r="K1795" s="35" t="b">
        <f>IFERROR(__xludf.DUMMYFUNCTION("""COMPUTED_VALUE"""),TRUE)</f>
        <v>1</v>
      </c>
      <c r="L1795" s="35" t="str">
        <f>IFERROR(__xludf.DUMMYFUNCTION("""COMPUTED_VALUE"""),"Hash Table;String;Greedy;")</f>
        <v>Hash Table;String;Greedy;</v>
      </c>
      <c r="M1795" s="35" t="b">
        <f>IFERROR(__xludf.DUMMYFUNCTION("""COMPUTED_VALUE"""),FALSE)</f>
        <v>0</v>
      </c>
      <c r="N1795" s="35" t="b">
        <f>IFERROR(__xludf.DUMMYFUNCTION("""COMPUTED_VALUE"""),FALSE)</f>
        <v>0</v>
      </c>
      <c r="O1795" s="35">
        <f>IFERROR(__xludf.DUMMYFUNCTION("""COMPUTED_VALUE"""),64.6295294753921)</f>
        <v>64.62952948</v>
      </c>
      <c r="P1795" s="35">
        <f>IFERROR(__xludf.DUMMYFUNCTION("""COMPUTED_VALUE"""),1195.0)</f>
        <v>1195</v>
      </c>
      <c r="Q1795" s="35">
        <f>IFERROR(__xludf.DUMMYFUNCTION("""COMPUTED_VALUE"""),1849.0)</f>
        <v>1849</v>
      </c>
    </row>
    <row r="1796">
      <c r="A1796" s="35">
        <f>IFERROR(__xludf.DUMMYFUNCTION("""COMPUTED_VALUE"""),1948.0)</f>
        <v>1948</v>
      </c>
      <c r="B1796" s="35" t="str">
        <f>IFERROR(__xludf.DUMMYFUNCTION("""COMPUTED_VALUE"""),"Rearrange Products Table")</f>
        <v>Rearrange Products Table</v>
      </c>
      <c r="C1796" s="35" t="str">
        <f>IFERROR(__xludf.DUMMYFUNCTION("""COMPUTED_VALUE"""),"rearrange-products-table")</f>
        <v>rearrange-products-table</v>
      </c>
      <c r="D1796" s="35" t="b">
        <f>IFERROR(__xludf.DUMMYFUNCTION("""COMPUTED_VALUE"""),TRUE)</f>
        <v>1</v>
      </c>
      <c r="E1796" s="35" t="str">
        <f>IFERROR(__xludf.DUMMYFUNCTION("""COMPUTED_VALUE"""),"Easy")</f>
        <v>Easy</v>
      </c>
      <c r="F1796" s="35">
        <f>IFERROR(__xludf.DUMMYFUNCTION("""COMPUTED_VALUE"""),72.0)</f>
        <v>72</v>
      </c>
      <c r="G1796" s="35">
        <f>IFERROR(__xludf.DUMMYFUNCTION("""COMPUTED_VALUE"""),5.0)</f>
        <v>5</v>
      </c>
      <c r="H1796" s="35" t="str">
        <f>IFERROR(__xludf.DUMMYFUNCTION("""COMPUTED_VALUE"""),"Database")</f>
        <v>Database</v>
      </c>
      <c r="I1796" s="35">
        <f>IFERROR(__xludf.DUMMYFUNCTION("""COMPUTED_VALUE"""),0.902)</f>
        <v>0.902</v>
      </c>
      <c r="J1796" s="35">
        <f>IFERROR(__xludf.DUMMYFUNCTION("""COMPUTED_VALUE"""),1795.0)</f>
        <v>1795</v>
      </c>
      <c r="K1796" s="35" t="b">
        <f>IFERROR(__xludf.DUMMYFUNCTION("""COMPUTED_VALUE"""),TRUE)</f>
        <v>1</v>
      </c>
      <c r="L1796" s="35" t="str">
        <f>IFERROR(__xludf.DUMMYFUNCTION("""COMPUTED_VALUE"""),"Database;")</f>
        <v>Database;</v>
      </c>
      <c r="M1796" s="35" t="b">
        <f>IFERROR(__xludf.DUMMYFUNCTION("""COMPUTED_VALUE"""),FALSE)</f>
        <v>0</v>
      </c>
      <c r="N1796" s="35" t="b">
        <f>IFERROR(__xludf.DUMMYFUNCTION("""COMPUTED_VALUE"""),FALSE)</f>
        <v>0</v>
      </c>
      <c r="O1796" s="35">
        <f>IFERROR(__xludf.DUMMYFUNCTION("""COMPUTED_VALUE"""),90.2195800172595)</f>
        <v>90.21958002</v>
      </c>
      <c r="P1796" s="35">
        <f>IFERROR(__xludf.DUMMYFUNCTION("""COMPUTED_VALUE"""),9409.0)</f>
        <v>9409</v>
      </c>
      <c r="Q1796" s="35">
        <f>IFERROR(__xludf.DUMMYFUNCTION("""COMPUTED_VALUE"""),10429.0)</f>
        <v>10429</v>
      </c>
    </row>
    <row r="1797">
      <c r="A1797" s="35">
        <f>IFERROR(__xludf.DUMMYFUNCTION("""COMPUTED_VALUE"""),1904.0)</f>
        <v>1904</v>
      </c>
      <c r="B1797" s="35" t="str">
        <f>IFERROR(__xludf.DUMMYFUNCTION("""COMPUTED_VALUE"""),"Second Largest Digit in a String")</f>
        <v>Second Largest Digit in a String</v>
      </c>
      <c r="C1797" s="35" t="str">
        <f>IFERROR(__xludf.DUMMYFUNCTION("""COMPUTED_VALUE"""),"second-largest-digit-in-a-string")</f>
        <v>second-largest-digit-in-a-string</v>
      </c>
      <c r="D1797" s="35" t="b">
        <f>IFERROR(__xludf.DUMMYFUNCTION("""COMPUTED_VALUE"""),FALSE)</f>
        <v>0</v>
      </c>
      <c r="E1797" s="35" t="str">
        <f>IFERROR(__xludf.DUMMYFUNCTION("""COMPUTED_VALUE"""),"Easy")</f>
        <v>Easy</v>
      </c>
      <c r="F1797" s="35">
        <f>IFERROR(__xludf.DUMMYFUNCTION("""COMPUTED_VALUE"""),234.0)</f>
        <v>234</v>
      </c>
      <c r="G1797" s="35">
        <f>IFERROR(__xludf.DUMMYFUNCTION("""COMPUTED_VALUE"""),69.0)</f>
        <v>69</v>
      </c>
      <c r="H1797" s="35" t="str">
        <f>IFERROR(__xludf.DUMMYFUNCTION("""COMPUTED_VALUE"""),"Algorithms")</f>
        <v>Algorithms</v>
      </c>
      <c r="I1797" s="35">
        <f>IFERROR(__xludf.DUMMYFUNCTION("""COMPUTED_VALUE"""),0.49)</f>
        <v>0.49</v>
      </c>
      <c r="J1797" s="35">
        <f>IFERROR(__xludf.DUMMYFUNCTION("""COMPUTED_VALUE"""),1796.0)</f>
        <v>1796</v>
      </c>
      <c r="K1797" s="35" t="b">
        <f>IFERROR(__xludf.DUMMYFUNCTION("""COMPUTED_VALUE"""),FALSE)</f>
        <v>0</v>
      </c>
      <c r="L1797" s="35" t="str">
        <f>IFERROR(__xludf.DUMMYFUNCTION("""COMPUTED_VALUE"""),"Hash Table;String;")</f>
        <v>Hash Table;String;</v>
      </c>
      <c r="M1797" s="35" t="b">
        <f>IFERROR(__xludf.DUMMYFUNCTION("""COMPUTED_VALUE"""),FALSE)</f>
        <v>0</v>
      </c>
      <c r="N1797" s="35" t="b">
        <f>IFERROR(__xludf.DUMMYFUNCTION("""COMPUTED_VALUE"""),FALSE)</f>
        <v>0</v>
      </c>
      <c r="O1797" s="35">
        <f>IFERROR(__xludf.DUMMYFUNCTION("""COMPUTED_VALUE"""),49.006430201203)</f>
        <v>49.0064302</v>
      </c>
      <c r="P1797" s="35">
        <f>IFERROR(__xludf.DUMMYFUNCTION("""COMPUTED_VALUE"""),23625.0)</f>
        <v>23625</v>
      </c>
      <c r="Q1797" s="35">
        <f>IFERROR(__xludf.DUMMYFUNCTION("""COMPUTED_VALUE"""),48206.0)</f>
        <v>48206</v>
      </c>
    </row>
    <row r="1798">
      <c r="A1798" s="35">
        <f>IFERROR(__xludf.DUMMYFUNCTION("""COMPUTED_VALUE"""),1905.0)</f>
        <v>1905</v>
      </c>
      <c r="B1798" s="35" t="str">
        <f>IFERROR(__xludf.DUMMYFUNCTION("""COMPUTED_VALUE"""),"Design Authentication Manager")</f>
        <v>Design Authentication Manager</v>
      </c>
      <c r="C1798" s="35" t="str">
        <f>IFERROR(__xludf.DUMMYFUNCTION("""COMPUTED_VALUE"""),"design-authentication-manager")</f>
        <v>design-authentication-manager</v>
      </c>
      <c r="D1798" s="35" t="b">
        <f>IFERROR(__xludf.DUMMYFUNCTION("""COMPUTED_VALUE"""),FALSE)</f>
        <v>0</v>
      </c>
      <c r="E1798" s="35" t="str">
        <f>IFERROR(__xludf.DUMMYFUNCTION("""COMPUTED_VALUE"""),"Medium")</f>
        <v>Medium</v>
      </c>
      <c r="F1798" s="35">
        <f>IFERROR(__xludf.DUMMYFUNCTION("""COMPUTED_VALUE"""),137.0)</f>
        <v>137</v>
      </c>
      <c r="G1798" s="35">
        <f>IFERROR(__xludf.DUMMYFUNCTION("""COMPUTED_VALUE"""),25.0)</f>
        <v>25</v>
      </c>
      <c r="H1798" s="35" t="str">
        <f>IFERROR(__xludf.DUMMYFUNCTION("""COMPUTED_VALUE"""),"Algorithms")</f>
        <v>Algorithms</v>
      </c>
      <c r="I1798" s="35">
        <f>IFERROR(__xludf.DUMMYFUNCTION("""COMPUTED_VALUE"""),0.526)</f>
        <v>0.526</v>
      </c>
      <c r="J1798" s="35">
        <f>IFERROR(__xludf.DUMMYFUNCTION("""COMPUTED_VALUE"""),1797.0)</f>
        <v>1797</v>
      </c>
      <c r="K1798" s="35" t="b">
        <f>IFERROR(__xludf.DUMMYFUNCTION("""COMPUTED_VALUE"""),FALSE)</f>
        <v>0</v>
      </c>
      <c r="L1798" s="35" t="str">
        <f>IFERROR(__xludf.DUMMYFUNCTION("""COMPUTED_VALUE"""),"Hash Table;Design;")</f>
        <v>Hash Table;Design;</v>
      </c>
      <c r="M1798" s="35" t="b">
        <f>IFERROR(__xludf.DUMMYFUNCTION("""COMPUTED_VALUE"""),FALSE)</f>
        <v>0</v>
      </c>
      <c r="N1798" s="35" t="b">
        <f>IFERROR(__xludf.DUMMYFUNCTION("""COMPUTED_VALUE"""),FALSE)</f>
        <v>0</v>
      </c>
      <c r="O1798" s="35">
        <f>IFERROR(__xludf.DUMMYFUNCTION("""COMPUTED_VALUE"""),52.6247386562694)</f>
        <v>52.62473866</v>
      </c>
      <c r="P1798" s="35">
        <f>IFERROR(__xludf.DUMMYFUNCTION("""COMPUTED_VALUE"""),9313.0)</f>
        <v>9313</v>
      </c>
      <c r="Q1798" s="35">
        <f>IFERROR(__xludf.DUMMYFUNCTION("""COMPUTED_VALUE"""),17697.0)</f>
        <v>17697</v>
      </c>
    </row>
    <row r="1799">
      <c r="A1799" s="35">
        <f>IFERROR(__xludf.DUMMYFUNCTION("""COMPUTED_VALUE"""),1930.0)</f>
        <v>1930</v>
      </c>
      <c r="B1799" s="35" t="str">
        <f>IFERROR(__xludf.DUMMYFUNCTION("""COMPUTED_VALUE"""),"Maximum Number of Consecutive Values You Can Make")</f>
        <v>Maximum Number of Consecutive Values You Can Make</v>
      </c>
      <c r="C1799" s="35" t="str">
        <f>IFERROR(__xludf.DUMMYFUNCTION("""COMPUTED_VALUE"""),"maximum-number-of-consecutive-values-you-can-make")</f>
        <v>maximum-number-of-consecutive-values-you-can-make</v>
      </c>
      <c r="D1799" s="35" t="b">
        <f>IFERROR(__xludf.DUMMYFUNCTION("""COMPUTED_VALUE"""),FALSE)</f>
        <v>0</v>
      </c>
      <c r="E1799" s="35" t="str">
        <f>IFERROR(__xludf.DUMMYFUNCTION("""COMPUTED_VALUE"""),"Medium")</f>
        <v>Medium</v>
      </c>
      <c r="F1799" s="35">
        <f>IFERROR(__xludf.DUMMYFUNCTION("""COMPUTED_VALUE"""),444.0)</f>
        <v>444</v>
      </c>
      <c r="G1799" s="35">
        <f>IFERROR(__xludf.DUMMYFUNCTION("""COMPUTED_VALUE"""),33.0)</f>
        <v>33</v>
      </c>
      <c r="H1799" s="35" t="str">
        <f>IFERROR(__xludf.DUMMYFUNCTION("""COMPUTED_VALUE"""),"Algorithms")</f>
        <v>Algorithms</v>
      </c>
      <c r="I1799" s="35">
        <f>IFERROR(__xludf.DUMMYFUNCTION("""COMPUTED_VALUE"""),0.51)</f>
        <v>0.51</v>
      </c>
      <c r="J1799" s="35">
        <f>IFERROR(__xludf.DUMMYFUNCTION("""COMPUTED_VALUE"""),1798.0)</f>
        <v>1798</v>
      </c>
      <c r="K1799" s="35" t="b">
        <f>IFERROR(__xludf.DUMMYFUNCTION("""COMPUTED_VALUE"""),FALSE)</f>
        <v>0</v>
      </c>
      <c r="L1799" s="35" t="str">
        <f>IFERROR(__xludf.DUMMYFUNCTION("""COMPUTED_VALUE"""),"Array;Greedy;")</f>
        <v>Array;Greedy;</v>
      </c>
      <c r="M1799" s="35" t="b">
        <f>IFERROR(__xludf.DUMMYFUNCTION("""COMPUTED_VALUE"""),FALSE)</f>
        <v>0</v>
      </c>
      <c r="N1799" s="35" t="b">
        <f>IFERROR(__xludf.DUMMYFUNCTION("""COMPUTED_VALUE"""),FALSE)</f>
        <v>0</v>
      </c>
      <c r="O1799" s="35">
        <f>IFERROR(__xludf.DUMMYFUNCTION("""COMPUTED_VALUE"""),51.0031678986272)</f>
        <v>51.0031679</v>
      </c>
      <c r="P1799" s="35">
        <f>IFERROR(__xludf.DUMMYFUNCTION("""COMPUTED_VALUE"""),9177.0)</f>
        <v>9177</v>
      </c>
      <c r="Q1799" s="35">
        <f>IFERROR(__xludf.DUMMYFUNCTION("""COMPUTED_VALUE"""),17993.0)</f>
        <v>17993</v>
      </c>
    </row>
    <row r="1800">
      <c r="A1800" s="35">
        <f>IFERROR(__xludf.DUMMYFUNCTION("""COMPUTED_VALUE"""),1906.0)</f>
        <v>1906</v>
      </c>
      <c r="B1800" s="35" t="str">
        <f>IFERROR(__xludf.DUMMYFUNCTION("""COMPUTED_VALUE"""),"Maximize Score After N Operations")</f>
        <v>Maximize Score After N Operations</v>
      </c>
      <c r="C1800" s="35" t="str">
        <f>IFERROR(__xludf.DUMMYFUNCTION("""COMPUTED_VALUE"""),"maximize-score-after-n-operations")</f>
        <v>maximize-score-after-n-operations</v>
      </c>
      <c r="D1800" s="35" t="b">
        <f>IFERROR(__xludf.DUMMYFUNCTION("""COMPUTED_VALUE"""),FALSE)</f>
        <v>0</v>
      </c>
      <c r="E1800" s="35" t="str">
        <f>IFERROR(__xludf.DUMMYFUNCTION("""COMPUTED_VALUE"""),"Hard")</f>
        <v>Hard</v>
      </c>
      <c r="F1800" s="35">
        <f>IFERROR(__xludf.DUMMYFUNCTION("""COMPUTED_VALUE"""),348.0)</f>
        <v>348</v>
      </c>
      <c r="G1800" s="35">
        <f>IFERROR(__xludf.DUMMYFUNCTION("""COMPUTED_VALUE"""),33.0)</f>
        <v>33</v>
      </c>
      <c r="H1800" s="35" t="str">
        <f>IFERROR(__xludf.DUMMYFUNCTION("""COMPUTED_VALUE"""),"Algorithms")</f>
        <v>Algorithms</v>
      </c>
      <c r="I1800" s="35">
        <f>IFERROR(__xludf.DUMMYFUNCTION("""COMPUTED_VALUE"""),0.463)</f>
        <v>0.463</v>
      </c>
      <c r="J1800" s="35">
        <f>IFERROR(__xludf.DUMMYFUNCTION("""COMPUTED_VALUE"""),1799.0)</f>
        <v>1799</v>
      </c>
      <c r="K1800" s="35" t="b">
        <f>IFERROR(__xludf.DUMMYFUNCTION("""COMPUTED_VALUE"""),FALSE)</f>
        <v>0</v>
      </c>
      <c r="L1800" s="35" t="str">
        <f>IFERROR(__xludf.DUMMYFUNCTION("""COMPUTED_VALUE"""),"Array;Math;Dynamic Programming;Backtracking;Bit Manipulation;Number Theory;Bitmask;")</f>
        <v>Array;Math;Dynamic Programming;Backtracking;Bit Manipulation;Number Theory;Bitmask;</v>
      </c>
      <c r="M1800" s="35" t="b">
        <f>IFERROR(__xludf.DUMMYFUNCTION("""COMPUTED_VALUE"""),FALSE)</f>
        <v>0</v>
      </c>
      <c r="N1800" s="35" t="b">
        <f>IFERROR(__xludf.DUMMYFUNCTION("""COMPUTED_VALUE"""),FALSE)</f>
        <v>0</v>
      </c>
      <c r="O1800" s="35">
        <f>IFERROR(__xludf.DUMMYFUNCTION("""COMPUTED_VALUE"""),46.3406561582061)</f>
        <v>46.34065616</v>
      </c>
      <c r="P1800" s="35">
        <f>IFERROR(__xludf.DUMMYFUNCTION("""COMPUTED_VALUE"""),11201.0)</f>
        <v>11201</v>
      </c>
      <c r="Q1800" s="35">
        <f>IFERROR(__xludf.DUMMYFUNCTION("""COMPUTED_VALUE"""),24171.0)</f>
        <v>24171</v>
      </c>
    </row>
    <row r="1801">
      <c r="A1801" s="35">
        <f>IFERROR(__xludf.DUMMYFUNCTION("""COMPUTED_VALUE"""),1927.0)</f>
        <v>1927</v>
      </c>
      <c r="B1801" s="35" t="str">
        <f>IFERROR(__xludf.DUMMYFUNCTION("""COMPUTED_VALUE"""),"Maximum Ascending Subarray Sum")</f>
        <v>Maximum Ascending Subarray Sum</v>
      </c>
      <c r="C1801" s="35" t="str">
        <f>IFERROR(__xludf.DUMMYFUNCTION("""COMPUTED_VALUE"""),"maximum-ascending-subarray-sum")</f>
        <v>maximum-ascending-subarray-sum</v>
      </c>
      <c r="D1801" s="35" t="b">
        <f>IFERROR(__xludf.DUMMYFUNCTION("""COMPUTED_VALUE"""),FALSE)</f>
        <v>0</v>
      </c>
      <c r="E1801" s="35" t="str">
        <f>IFERROR(__xludf.DUMMYFUNCTION("""COMPUTED_VALUE"""),"Easy")</f>
        <v>Easy</v>
      </c>
      <c r="F1801" s="35">
        <f>IFERROR(__xludf.DUMMYFUNCTION("""COMPUTED_VALUE"""),352.0)</f>
        <v>352</v>
      </c>
      <c r="G1801" s="35">
        <f>IFERROR(__xludf.DUMMYFUNCTION("""COMPUTED_VALUE"""),12.0)</f>
        <v>12</v>
      </c>
      <c r="H1801" s="35" t="str">
        <f>IFERROR(__xludf.DUMMYFUNCTION("""COMPUTED_VALUE"""),"Algorithms")</f>
        <v>Algorithms</v>
      </c>
      <c r="I1801" s="35">
        <f>IFERROR(__xludf.DUMMYFUNCTION("""COMPUTED_VALUE"""),0.645)</f>
        <v>0.645</v>
      </c>
      <c r="J1801" s="35">
        <f>IFERROR(__xludf.DUMMYFUNCTION("""COMPUTED_VALUE"""),1800.0)</f>
        <v>1800</v>
      </c>
      <c r="K1801" s="35" t="b">
        <f>IFERROR(__xludf.DUMMYFUNCTION("""COMPUTED_VALUE"""),FALSE)</f>
        <v>0</v>
      </c>
      <c r="L1801" s="35" t="str">
        <f>IFERROR(__xludf.DUMMYFUNCTION("""COMPUTED_VALUE"""),"Array;")</f>
        <v>Array;</v>
      </c>
      <c r="M1801" s="35" t="b">
        <f>IFERROR(__xludf.DUMMYFUNCTION("""COMPUTED_VALUE"""),FALSE)</f>
        <v>0</v>
      </c>
      <c r="N1801" s="35" t="b">
        <f>IFERROR(__xludf.DUMMYFUNCTION("""COMPUTED_VALUE"""),FALSE)</f>
        <v>0</v>
      </c>
      <c r="O1801" s="35">
        <f>IFERROR(__xludf.DUMMYFUNCTION("""COMPUTED_VALUE"""),64.5124168565444)</f>
        <v>64.51241686</v>
      </c>
      <c r="P1801" s="35">
        <f>IFERROR(__xludf.DUMMYFUNCTION("""COMPUTED_VALUE"""),28030.0)</f>
        <v>28030</v>
      </c>
      <c r="Q1801" s="35">
        <f>IFERROR(__xludf.DUMMYFUNCTION("""COMPUTED_VALUE"""),43449.0)</f>
        <v>43449</v>
      </c>
    </row>
    <row r="1802">
      <c r="A1802" s="35">
        <f>IFERROR(__xludf.DUMMYFUNCTION("""COMPUTED_VALUE"""),1928.0)</f>
        <v>1928</v>
      </c>
      <c r="B1802" s="35" t="str">
        <f>IFERROR(__xludf.DUMMYFUNCTION("""COMPUTED_VALUE"""),"Number of Orders in the Backlog")</f>
        <v>Number of Orders in the Backlog</v>
      </c>
      <c r="C1802" s="35" t="str">
        <f>IFERROR(__xludf.DUMMYFUNCTION("""COMPUTED_VALUE"""),"number-of-orders-in-the-backlog")</f>
        <v>number-of-orders-in-the-backlog</v>
      </c>
      <c r="D1802" s="35" t="b">
        <f>IFERROR(__xludf.DUMMYFUNCTION("""COMPUTED_VALUE"""),FALSE)</f>
        <v>0</v>
      </c>
      <c r="E1802" s="35" t="str">
        <f>IFERROR(__xludf.DUMMYFUNCTION("""COMPUTED_VALUE"""),"Medium")</f>
        <v>Medium</v>
      </c>
      <c r="F1802" s="35">
        <f>IFERROR(__xludf.DUMMYFUNCTION("""COMPUTED_VALUE"""),162.0)</f>
        <v>162</v>
      </c>
      <c r="G1802" s="35">
        <f>IFERROR(__xludf.DUMMYFUNCTION("""COMPUTED_VALUE"""),174.0)</f>
        <v>174</v>
      </c>
      <c r="H1802" s="35" t="str">
        <f>IFERROR(__xludf.DUMMYFUNCTION("""COMPUTED_VALUE"""),"Algorithms")</f>
        <v>Algorithms</v>
      </c>
      <c r="I1802" s="35">
        <f>IFERROR(__xludf.DUMMYFUNCTION("""COMPUTED_VALUE"""),0.457)</f>
        <v>0.457</v>
      </c>
      <c r="J1802" s="35">
        <f>IFERROR(__xludf.DUMMYFUNCTION("""COMPUTED_VALUE"""),1801.0)</f>
        <v>1801</v>
      </c>
      <c r="K1802" s="35" t="b">
        <f>IFERROR(__xludf.DUMMYFUNCTION("""COMPUTED_VALUE"""),FALSE)</f>
        <v>0</v>
      </c>
      <c r="L1802" s="35" t="str">
        <f>IFERROR(__xludf.DUMMYFUNCTION("""COMPUTED_VALUE"""),"Array;Heap (Priority Queue);Simulation;")</f>
        <v>Array;Heap (Priority Queue);Simulation;</v>
      </c>
      <c r="M1802" s="35" t="b">
        <f>IFERROR(__xludf.DUMMYFUNCTION("""COMPUTED_VALUE"""),FALSE)</f>
        <v>0</v>
      </c>
      <c r="N1802" s="35" t="b">
        <f>IFERROR(__xludf.DUMMYFUNCTION("""COMPUTED_VALUE"""),FALSE)</f>
        <v>0</v>
      </c>
      <c r="O1802" s="35">
        <f>IFERROR(__xludf.DUMMYFUNCTION("""COMPUTED_VALUE"""),45.7195421095666)</f>
        <v>45.71954211</v>
      </c>
      <c r="P1802" s="35">
        <f>IFERROR(__xludf.DUMMYFUNCTION("""COMPUTED_VALUE"""),11182.0)</f>
        <v>11182</v>
      </c>
      <c r="Q1802" s="35">
        <f>IFERROR(__xludf.DUMMYFUNCTION("""COMPUTED_VALUE"""),24459.0)</f>
        <v>24459</v>
      </c>
    </row>
    <row r="1803">
      <c r="A1803" s="35">
        <f>IFERROR(__xludf.DUMMYFUNCTION("""COMPUTED_VALUE"""),1929.0)</f>
        <v>1929</v>
      </c>
      <c r="B1803" s="35" t="str">
        <f>IFERROR(__xludf.DUMMYFUNCTION("""COMPUTED_VALUE"""),"Maximum Value at a Given Index in a Bounded Array")</f>
        <v>Maximum Value at a Given Index in a Bounded Array</v>
      </c>
      <c r="C1803" s="35" t="str">
        <f>IFERROR(__xludf.DUMMYFUNCTION("""COMPUTED_VALUE"""),"maximum-value-at-a-given-index-in-a-bounded-array")</f>
        <v>maximum-value-at-a-given-index-in-a-bounded-array</v>
      </c>
      <c r="D1803" s="35" t="b">
        <f>IFERROR(__xludf.DUMMYFUNCTION("""COMPUTED_VALUE"""),FALSE)</f>
        <v>0</v>
      </c>
      <c r="E1803" s="35" t="str">
        <f>IFERROR(__xludf.DUMMYFUNCTION("""COMPUTED_VALUE"""),"Medium")</f>
        <v>Medium</v>
      </c>
      <c r="F1803" s="35">
        <f>IFERROR(__xludf.DUMMYFUNCTION("""COMPUTED_VALUE"""),472.0)</f>
        <v>472</v>
      </c>
      <c r="G1803" s="35">
        <f>IFERROR(__xludf.DUMMYFUNCTION("""COMPUTED_VALUE"""),66.0)</f>
        <v>66</v>
      </c>
      <c r="H1803" s="35" t="str">
        <f>IFERROR(__xludf.DUMMYFUNCTION("""COMPUTED_VALUE"""),"Algorithms")</f>
        <v>Algorithms</v>
      </c>
      <c r="I1803" s="35">
        <f>IFERROR(__xludf.DUMMYFUNCTION("""COMPUTED_VALUE"""),0.297)</f>
        <v>0.297</v>
      </c>
      <c r="J1803" s="35">
        <f>IFERROR(__xludf.DUMMYFUNCTION("""COMPUTED_VALUE"""),1802.0)</f>
        <v>1802</v>
      </c>
      <c r="K1803" s="35" t="b">
        <f>IFERROR(__xludf.DUMMYFUNCTION("""COMPUTED_VALUE"""),FALSE)</f>
        <v>0</v>
      </c>
      <c r="L1803" s="35" t="str">
        <f>IFERROR(__xludf.DUMMYFUNCTION("""COMPUTED_VALUE"""),"Binary Search;Greedy;")</f>
        <v>Binary Search;Greedy;</v>
      </c>
      <c r="M1803" s="35" t="b">
        <f>IFERROR(__xludf.DUMMYFUNCTION("""COMPUTED_VALUE"""),FALSE)</f>
        <v>0</v>
      </c>
      <c r="N1803" s="35" t="b">
        <f>IFERROR(__xludf.DUMMYFUNCTION("""COMPUTED_VALUE"""),FALSE)</f>
        <v>0</v>
      </c>
      <c r="O1803" s="35">
        <f>IFERROR(__xludf.DUMMYFUNCTION("""COMPUTED_VALUE"""),29.6588253622059)</f>
        <v>29.65882536</v>
      </c>
      <c r="P1803" s="35">
        <f>IFERROR(__xludf.DUMMYFUNCTION("""COMPUTED_VALUE"""),9519.0)</f>
        <v>9519</v>
      </c>
      <c r="Q1803" s="35">
        <f>IFERROR(__xludf.DUMMYFUNCTION("""COMPUTED_VALUE"""),32095.0)</f>
        <v>32095</v>
      </c>
    </row>
    <row r="1804">
      <c r="A1804" s="35">
        <f>IFERROR(__xludf.DUMMYFUNCTION("""COMPUTED_VALUE"""),1907.0)</f>
        <v>1907</v>
      </c>
      <c r="B1804" s="35" t="str">
        <f>IFERROR(__xludf.DUMMYFUNCTION("""COMPUTED_VALUE"""),"Count Pairs With XOR in a Range")</f>
        <v>Count Pairs With XOR in a Range</v>
      </c>
      <c r="C1804" s="35" t="str">
        <f>IFERROR(__xludf.DUMMYFUNCTION("""COMPUTED_VALUE"""),"count-pairs-with-xor-in-a-range")</f>
        <v>count-pairs-with-xor-in-a-range</v>
      </c>
      <c r="D1804" s="35" t="b">
        <f>IFERROR(__xludf.DUMMYFUNCTION("""COMPUTED_VALUE"""),FALSE)</f>
        <v>0</v>
      </c>
      <c r="E1804" s="35" t="str">
        <f>IFERROR(__xludf.DUMMYFUNCTION("""COMPUTED_VALUE"""),"Hard")</f>
        <v>Hard</v>
      </c>
      <c r="F1804" s="35">
        <f>IFERROR(__xludf.DUMMYFUNCTION("""COMPUTED_VALUE"""),263.0)</f>
        <v>263</v>
      </c>
      <c r="G1804" s="35">
        <f>IFERROR(__xludf.DUMMYFUNCTION("""COMPUTED_VALUE"""),10.0)</f>
        <v>10</v>
      </c>
      <c r="H1804" s="35" t="str">
        <f>IFERROR(__xludf.DUMMYFUNCTION("""COMPUTED_VALUE"""),"Algorithms")</f>
        <v>Algorithms</v>
      </c>
      <c r="I1804" s="35">
        <f>IFERROR(__xludf.DUMMYFUNCTION("""COMPUTED_VALUE"""),0.464)</f>
        <v>0.464</v>
      </c>
      <c r="J1804" s="35">
        <f>IFERROR(__xludf.DUMMYFUNCTION("""COMPUTED_VALUE"""),1803.0)</f>
        <v>1803</v>
      </c>
      <c r="K1804" s="35" t="b">
        <f>IFERROR(__xludf.DUMMYFUNCTION("""COMPUTED_VALUE"""),FALSE)</f>
        <v>0</v>
      </c>
      <c r="L1804" s="35" t="str">
        <f>IFERROR(__xludf.DUMMYFUNCTION("""COMPUTED_VALUE"""),"Array;Bit Manipulation;Trie;")</f>
        <v>Array;Bit Manipulation;Trie;</v>
      </c>
      <c r="M1804" s="35" t="b">
        <f>IFERROR(__xludf.DUMMYFUNCTION("""COMPUTED_VALUE"""),FALSE)</f>
        <v>0</v>
      </c>
      <c r="N1804" s="35" t="b">
        <f>IFERROR(__xludf.DUMMYFUNCTION("""COMPUTED_VALUE"""),FALSE)</f>
        <v>0</v>
      </c>
      <c r="O1804" s="35">
        <f>IFERROR(__xludf.DUMMYFUNCTION("""COMPUTED_VALUE"""),46.3787721123829)</f>
        <v>46.37877211</v>
      </c>
      <c r="P1804" s="35">
        <f>IFERROR(__xludf.DUMMYFUNCTION("""COMPUTED_VALUE"""),4457.0)</f>
        <v>4457</v>
      </c>
      <c r="Q1804" s="35">
        <f>IFERROR(__xludf.DUMMYFUNCTION("""COMPUTED_VALUE"""),9610.0)</f>
        <v>9610</v>
      </c>
    </row>
    <row r="1805">
      <c r="A1805" s="35">
        <f>IFERROR(__xludf.DUMMYFUNCTION("""COMPUTED_VALUE"""),1949.0)</f>
        <v>1949</v>
      </c>
      <c r="B1805" s="35" t="str">
        <f>IFERROR(__xludf.DUMMYFUNCTION("""COMPUTED_VALUE"""),"Implement Trie II (Prefix Tree)")</f>
        <v>Implement Trie II (Prefix Tree)</v>
      </c>
      <c r="C1805" s="35" t="str">
        <f>IFERROR(__xludf.DUMMYFUNCTION("""COMPUTED_VALUE"""),"implement-trie-ii-prefix-tree")</f>
        <v>implement-trie-ii-prefix-tree</v>
      </c>
      <c r="D1805" s="35" t="b">
        <f>IFERROR(__xludf.DUMMYFUNCTION("""COMPUTED_VALUE"""),TRUE)</f>
        <v>1</v>
      </c>
      <c r="E1805" s="35" t="str">
        <f>IFERROR(__xludf.DUMMYFUNCTION("""COMPUTED_VALUE"""),"Medium")</f>
        <v>Medium</v>
      </c>
      <c r="F1805" s="35">
        <f>IFERROR(__xludf.DUMMYFUNCTION("""COMPUTED_VALUE"""),142.0)</f>
        <v>142</v>
      </c>
      <c r="G1805" s="35">
        <f>IFERROR(__xludf.DUMMYFUNCTION("""COMPUTED_VALUE"""),7.0)</f>
        <v>7</v>
      </c>
      <c r="H1805" s="35" t="str">
        <f>IFERROR(__xludf.DUMMYFUNCTION("""COMPUTED_VALUE"""),"Algorithms")</f>
        <v>Algorithms</v>
      </c>
      <c r="I1805" s="35">
        <f>IFERROR(__xludf.DUMMYFUNCTION("""COMPUTED_VALUE"""),0.588)</f>
        <v>0.588</v>
      </c>
      <c r="J1805" s="35">
        <f>IFERROR(__xludf.DUMMYFUNCTION("""COMPUTED_VALUE"""),1804.0)</f>
        <v>1804</v>
      </c>
      <c r="K1805" s="35" t="b">
        <f>IFERROR(__xludf.DUMMYFUNCTION("""COMPUTED_VALUE"""),TRUE)</f>
        <v>1</v>
      </c>
      <c r="L1805" s="35" t="str">
        <f>IFERROR(__xludf.DUMMYFUNCTION("""COMPUTED_VALUE"""),"Hash Table;String;Design;Trie;")</f>
        <v>Hash Table;String;Design;Trie;</v>
      </c>
      <c r="M1805" s="35" t="b">
        <f>IFERROR(__xludf.DUMMYFUNCTION("""COMPUTED_VALUE"""),FALSE)</f>
        <v>0</v>
      </c>
      <c r="N1805" s="35" t="b">
        <f>IFERROR(__xludf.DUMMYFUNCTION("""COMPUTED_VALUE"""),FALSE)</f>
        <v>0</v>
      </c>
      <c r="O1805" s="35">
        <f>IFERROR(__xludf.DUMMYFUNCTION("""COMPUTED_VALUE"""),58.790119004688)</f>
        <v>58.790119</v>
      </c>
      <c r="P1805" s="35">
        <f>IFERROR(__xludf.DUMMYFUNCTION("""COMPUTED_VALUE"""),6520.0)</f>
        <v>6520</v>
      </c>
      <c r="Q1805" s="35">
        <f>IFERROR(__xludf.DUMMYFUNCTION("""COMPUTED_VALUE"""),11090.0)</f>
        <v>11090</v>
      </c>
    </row>
    <row r="1806">
      <c r="A1806" s="35">
        <f>IFERROR(__xludf.DUMMYFUNCTION("""COMPUTED_VALUE"""),1933.0)</f>
        <v>1933</v>
      </c>
      <c r="B1806" s="35" t="str">
        <f>IFERROR(__xludf.DUMMYFUNCTION("""COMPUTED_VALUE"""),"Number of Different Integers in a String")</f>
        <v>Number of Different Integers in a String</v>
      </c>
      <c r="C1806" s="35" t="str">
        <f>IFERROR(__xludf.DUMMYFUNCTION("""COMPUTED_VALUE"""),"number-of-different-integers-in-a-string")</f>
        <v>number-of-different-integers-in-a-string</v>
      </c>
      <c r="D1806" s="35" t="b">
        <f>IFERROR(__xludf.DUMMYFUNCTION("""COMPUTED_VALUE"""),FALSE)</f>
        <v>0</v>
      </c>
      <c r="E1806" s="35" t="str">
        <f>IFERROR(__xludf.DUMMYFUNCTION("""COMPUTED_VALUE"""),"Easy")</f>
        <v>Easy</v>
      </c>
      <c r="F1806" s="35">
        <f>IFERROR(__xludf.DUMMYFUNCTION("""COMPUTED_VALUE"""),300.0)</f>
        <v>300</v>
      </c>
      <c r="G1806" s="35">
        <f>IFERROR(__xludf.DUMMYFUNCTION("""COMPUTED_VALUE"""),54.0)</f>
        <v>54</v>
      </c>
      <c r="H1806" s="35" t="str">
        <f>IFERROR(__xludf.DUMMYFUNCTION("""COMPUTED_VALUE"""),"Algorithms")</f>
        <v>Algorithms</v>
      </c>
      <c r="I1806" s="35">
        <f>IFERROR(__xludf.DUMMYFUNCTION("""COMPUTED_VALUE"""),0.355)</f>
        <v>0.355</v>
      </c>
      <c r="J1806" s="35">
        <f>IFERROR(__xludf.DUMMYFUNCTION("""COMPUTED_VALUE"""),1805.0)</f>
        <v>1805</v>
      </c>
      <c r="K1806" s="35" t="b">
        <f>IFERROR(__xludf.DUMMYFUNCTION("""COMPUTED_VALUE"""),FALSE)</f>
        <v>0</v>
      </c>
      <c r="L1806" s="35" t="str">
        <f>IFERROR(__xludf.DUMMYFUNCTION("""COMPUTED_VALUE"""),"Hash Table;String;")</f>
        <v>Hash Table;String;</v>
      </c>
      <c r="M1806" s="35" t="b">
        <f>IFERROR(__xludf.DUMMYFUNCTION("""COMPUTED_VALUE"""),FALSE)</f>
        <v>0</v>
      </c>
      <c r="N1806" s="35" t="b">
        <f>IFERROR(__xludf.DUMMYFUNCTION("""COMPUTED_VALUE"""),FALSE)</f>
        <v>0</v>
      </c>
      <c r="O1806" s="35">
        <f>IFERROR(__xludf.DUMMYFUNCTION("""COMPUTED_VALUE"""),35.4791718779888)</f>
        <v>35.47917188</v>
      </c>
      <c r="P1806" s="35">
        <f>IFERROR(__xludf.DUMMYFUNCTION("""COMPUTED_VALUE"""),24112.0)</f>
        <v>24112</v>
      </c>
      <c r="Q1806" s="35">
        <f>IFERROR(__xludf.DUMMYFUNCTION("""COMPUTED_VALUE"""),67960.0)</f>
        <v>67960</v>
      </c>
    </row>
    <row r="1807">
      <c r="A1807" s="35">
        <f>IFERROR(__xludf.DUMMYFUNCTION("""COMPUTED_VALUE"""),1935.0)</f>
        <v>1935</v>
      </c>
      <c r="B1807" s="35" t="str">
        <f>IFERROR(__xludf.DUMMYFUNCTION("""COMPUTED_VALUE"""),"Minimum Number of Operations to Reinitialize a Permutation")</f>
        <v>Minimum Number of Operations to Reinitialize a Permutation</v>
      </c>
      <c r="C1807" s="35" t="str">
        <f>IFERROR(__xludf.DUMMYFUNCTION("""COMPUTED_VALUE"""),"minimum-number-of-operations-to-reinitialize-a-permutation")</f>
        <v>minimum-number-of-operations-to-reinitialize-a-permutation</v>
      </c>
      <c r="D1807" s="35" t="b">
        <f>IFERROR(__xludf.DUMMYFUNCTION("""COMPUTED_VALUE"""),FALSE)</f>
        <v>0</v>
      </c>
      <c r="E1807" s="35" t="str">
        <f>IFERROR(__xludf.DUMMYFUNCTION("""COMPUTED_VALUE"""),"Medium")</f>
        <v>Medium</v>
      </c>
      <c r="F1807" s="35">
        <f>IFERROR(__xludf.DUMMYFUNCTION("""COMPUTED_VALUE"""),194.0)</f>
        <v>194</v>
      </c>
      <c r="G1807" s="35">
        <f>IFERROR(__xludf.DUMMYFUNCTION("""COMPUTED_VALUE"""),107.0)</f>
        <v>107</v>
      </c>
      <c r="H1807" s="35" t="str">
        <f>IFERROR(__xludf.DUMMYFUNCTION("""COMPUTED_VALUE"""),"Algorithms")</f>
        <v>Algorithms</v>
      </c>
      <c r="I1807" s="35">
        <f>IFERROR(__xludf.DUMMYFUNCTION("""COMPUTED_VALUE"""),0.709)</f>
        <v>0.709</v>
      </c>
      <c r="J1807" s="35">
        <f>IFERROR(__xludf.DUMMYFUNCTION("""COMPUTED_VALUE"""),1806.0)</f>
        <v>1806</v>
      </c>
      <c r="K1807" s="35" t="b">
        <f>IFERROR(__xludf.DUMMYFUNCTION("""COMPUTED_VALUE"""),FALSE)</f>
        <v>0</v>
      </c>
      <c r="L1807" s="35" t="str">
        <f>IFERROR(__xludf.DUMMYFUNCTION("""COMPUTED_VALUE"""),"Array;Math;Simulation;")</f>
        <v>Array;Math;Simulation;</v>
      </c>
      <c r="M1807" s="35" t="b">
        <f>IFERROR(__xludf.DUMMYFUNCTION("""COMPUTED_VALUE"""),FALSE)</f>
        <v>0</v>
      </c>
      <c r="N1807" s="35" t="b">
        <f>IFERROR(__xludf.DUMMYFUNCTION("""COMPUTED_VALUE"""),FALSE)</f>
        <v>0</v>
      </c>
      <c r="O1807" s="35">
        <f>IFERROR(__xludf.DUMMYFUNCTION("""COMPUTED_VALUE"""),70.8710057842421)</f>
        <v>70.87100578</v>
      </c>
      <c r="P1807" s="35">
        <f>IFERROR(__xludf.DUMMYFUNCTION("""COMPUTED_VALUE"""),12620.0)</f>
        <v>12620</v>
      </c>
      <c r="Q1807" s="35">
        <f>IFERROR(__xludf.DUMMYFUNCTION("""COMPUTED_VALUE"""),17807.0)</f>
        <v>17807</v>
      </c>
    </row>
    <row r="1808">
      <c r="A1808" s="35">
        <f>IFERROR(__xludf.DUMMYFUNCTION("""COMPUTED_VALUE"""),1934.0)</f>
        <v>1934</v>
      </c>
      <c r="B1808" s="35" t="str">
        <f>IFERROR(__xludf.DUMMYFUNCTION("""COMPUTED_VALUE"""),"Evaluate the Bracket Pairs of a String")</f>
        <v>Evaluate the Bracket Pairs of a String</v>
      </c>
      <c r="C1808" s="35" t="str">
        <f>IFERROR(__xludf.DUMMYFUNCTION("""COMPUTED_VALUE"""),"evaluate-the-bracket-pairs-of-a-string")</f>
        <v>evaluate-the-bracket-pairs-of-a-string</v>
      </c>
      <c r="D1808" s="35" t="b">
        <f>IFERROR(__xludf.DUMMYFUNCTION("""COMPUTED_VALUE"""),FALSE)</f>
        <v>0</v>
      </c>
      <c r="E1808" s="35" t="str">
        <f>IFERROR(__xludf.DUMMYFUNCTION("""COMPUTED_VALUE"""),"Medium")</f>
        <v>Medium</v>
      </c>
      <c r="F1808" s="35">
        <f>IFERROR(__xludf.DUMMYFUNCTION("""COMPUTED_VALUE"""),277.0)</f>
        <v>277</v>
      </c>
      <c r="G1808" s="35">
        <f>IFERROR(__xludf.DUMMYFUNCTION("""COMPUTED_VALUE"""),26.0)</f>
        <v>26</v>
      </c>
      <c r="H1808" s="35" t="str">
        <f>IFERROR(__xludf.DUMMYFUNCTION("""COMPUTED_VALUE"""),"Algorithms")</f>
        <v>Algorithms</v>
      </c>
      <c r="I1808" s="35">
        <f>IFERROR(__xludf.DUMMYFUNCTION("""COMPUTED_VALUE"""),0.667)</f>
        <v>0.667</v>
      </c>
      <c r="J1808" s="35">
        <f>IFERROR(__xludf.DUMMYFUNCTION("""COMPUTED_VALUE"""),1807.0)</f>
        <v>1807</v>
      </c>
      <c r="K1808" s="35" t="b">
        <f>IFERROR(__xludf.DUMMYFUNCTION("""COMPUTED_VALUE"""),FALSE)</f>
        <v>0</v>
      </c>
      <c r="L1808" s="35" t="str">
        <f>IFERROR(__xludf.DUMMYFUNCTION("""COMPUTED_VALUE"""),"Array;Hash Table;String;")</f>
        <v>Array;Hash Table;String;</v>
      </c>
      <c r="M1808" s="35" t="b">
        <f>IFERROR(__xludf.DUMMYFUNCTION("""COMPUTED_VALUE"""),FALSE)</f>
        <v>0</v>
      </c>
      <c r="N1808" s="35" t="b">
        <f>IFERROR(__xludf.DUMMYFUNCTION("""COMPUTED_VALUE"""),FALSE)</f>
        <v>0</v>
      </c>
      <c r="O1808" s="35">
        <f>IFERROR(__xludf.DUMMYFUNCTION("""COMPUTED_VALUE"""),66.7417972214011)</f>
        <v>66.74179722</v>
      </c>
      <c r="P1808" s="35">
        <f>IFERROR(__xludf.DUMMYFUNCTION("""COMPUTED_VALUE"""),18063.0)</f>
        <v>18063</v>
      </c>
      <c r="Q1808" s="35">
        <f>IFERROR(__xludf.DUMMYFUNCTION("""COMPUTED_VALUE"""),27064.0)</f>
        <v>27064</v>
      </c>
    </row>
    <row r="1809">
      <c r="A1809" s="35">
        <f>IFERROR(__xludf.DUMMYFUNCTION("""COMPUTED_VALUE"""),1936.0)</f>
        <v>1936</v>
      </c>
      <c r="B1809" s="35" t="str">
        <f>IFERROR(__xludf.DUMMYFUNCTION("""COMPUTED_VALUE"""),"Maximize Number of Nice Divisors")</f>
        <v>Maximize Number of Nice Divisors</v>
      </c>
      <c r="C1809" s="35" t="str">
        <f>IFERROR(__xludf.DUMMYFUNCTION("""COMPUTED_VALUE"""),"maximize-number-of-nice-divisors")</f>
        <v>maximize-number-of-nice-divisors</v>
      </c>
      <c r="D1809" s="35" t="b">
        <f>IFERROR(__xludf.DUMMYFUNCTION("""COMPUTED_VALUE"""),FALSE)</f>
        <v>0</v>
      </c>
      <c r="E1809" s="35" t="str">
        <f>IFERROR(__xludf.DUMMYFUNCTION("""COMPUTED_VALUE"""),"Hard")</f>
        <v>Hard</v>
      </c>
      <c r="F1809" s="35">
        <f>IFERROR(__xludf.DUMMYFUNCTION("""COMPUTED_VALUE"""),136.0)</f>
        <v>136</v>
      </c>
      <c r="G1809" s="35">
        <f>IFERROR(__xludf.DUMMYFUNCTION("""COMPUTED_VALUE"""),133.0)</f>
        <v>133</v>
      </c>
      <c r="H1809" s="35" t="str">
        <f>IFERROR(__xludf.DUMMYFUNCTION("""COMPUTED_VALUE"""),"Algorithms")</f>
        <v>Algorithms</v>
      </c>
      <c r="I1809" s="35">
        <f>IFERROR(__xludf.DUMMYFUNCTION("""COMPUTED_VALUE"""),0.301)</f>
        <v>0.301</v>
      </c>
      <c r="J1809" s="35">
        <f>IFERROR(__xludf.DUMMYFUNCTION("""COMPUTED_VALUE"""),1808.0)</f>
        <v>1808</v>
      </c>
      <c r="K1809" s="35" t="b">
        <f>IFERROR(__xludf.DUMMYFUNCTION("""COMPUTED_VALUE"""),FALSE)</f>
        <v>0</v>
      </c>
      <c r="L1809" s="35" t="str">
        <f>IFERROR(__xludf.DUMMYFUNCTION("""COMPUTED_VALUE"""),"Math;Recursion;")</f>
        <v>Math;Recursion;</v>
      </c>
      <c r="M1809" s="35" t="b">
        <f>IFERROR(__xludf.DUMMYFUNCTION("""COMPUTED_VALUE"""),FALSE)</f>
        <v>0</v>
      </c>
      <c r="N1809" s="35" t="b">
        <f>IFERROR(__xludf.DUMMYFUNCTION("""COMPUTED_VALUE"""),FALSE)</f>
        <v>0</v>
      </c>
      <c r="O1809" s="35">
        <f>IFERROR(__xludf.DUMMYFUNCTION("""COMPUTED_VALUE"""),30.0687629347753)</f>
        <v>30.06876293</v>
      </c>
      <c r="P1809" s="35">
        <f>IFERROR(__xludf.DUMMYFUNCTION("""COMPUTED_VALUE"""),4504.0)</f>
        <v>4504</v>
      </c>
      <c r="Q1809" s="35">
        <f>IFERROR(__xludf.DUMMYFUNCTION("""COMPUTED_VALUE"""),14979.0)</f>
        <v>14979</v>
      </c>
    </row>
    <row r="1810">
      <c r="A1810" s="35">
        <f>IFERROR(__xludf.DUMMYFUNCTION("""COMPUTED_VALUE"""),1958.0)</f>
        <v>1958</v>
      </c>
      <c r="B1810" s="35" t="str">
        <f>IFERROR(__xludf.DUMMYFUNCTION("""COMPUTED_VALUE"""),"Ad-Free Sessions")</f>
        <v>Ad-Free Sessions</v>
      </c>
      <c r="C1810" s="35" t="str">
        <f>IFERROR(__xludf.DUMMYFUNCTION("""COMPUTED_VALUE"""),"ad-free-sessions")</f>
        <v>ad-free-sessions</v>
      </c>
      <c r="D1810" s="35" t="b">
        <f>IFERROR(__xludf.DUMMYFUNCTION("""COMPUTED_VALUE"""),TRUE)</f>
        <v>1</v>
      </c>
      <c r="E1810" s="35" t="str">
        <f>IFERROR(__xludf.DUMMYFUNCTION("""COMPUTED_VALUE"""),"Easy")</f>
        <v>Easy</v>
      </c>
      <c r="F1810" s="35">
        <f>IFERROR(__xludf.DUMMYFUNCTION("""COMPUTED_VALUE"""),47.0)</f>
        <v>47</v>
      </c>
      <c r="G1810" s="35">
        <f>IFERROR(__xludf.DUMMYFUNCTION("""COMPUTED_VALUE"""),23.0)</f>
        <v>23</v>
      </c>
      <c r="H1810" s="35" t="str">
        <f>IFERROR(__xludf.DUMMYFUNCTION("""COMPUTED_VALUE"""),"Database")</f>
        <v>Database</v>
      </c>
      <c r="I1810" s="35">
        <f>IFERROR(__xludf.DUMMYFUNCTION("""COMPUTED_VALUE"""),0.6)</f>
        <v>0.6</v>
      </c>
      <c r="J1810" s="35">
        <f>IFERROR(__xludf.DUMMYFUNCTION("""COMPUTED_VALUE"""),1809.0)</f>
        <v>1809</v>
      </c>
      <c r="K1810" s="35" t="b">
        <f>IFERROR(__xludf.DUMMYFUNCTION("""COMPUTED_VALUE"""),TRUE)</f>
        <v>1</v>
      </c>
      <c r="L1810" s="35" t="str">
        <f>IFERROR(__xludf.DUMMYFUNCTION("""COMPUTED_VALUE"""),"Database;")</f>
        <v>Database;</v>
      </c>
      <c r="M1810" s="35" t="b">
        <f>IFERROR(__xludf.DUMMYFUNCTION("""COMPUTED_VALUE"""),FALSE)</f>
        <v>0</v>
      </c>
      <c r="N1810" s="35" t="b">
        <f>IFERROR(__xludf.DUMMYFUNCTION("""COMPUTED_VALUE"""),FALSE)</f>
        <v>0</v>
      </c>
      <c r="O1810" s="35">
        <f>IFERROR(__xludf.DUMMYFUNCTION("""COMPUTED_VALUE"""),59.9656228981391)</f>
        <v>59.9656229</v>
      </c>
      <c r="P1810" s="35">
        <f>IFERROR(__xludf.DUMMYFUNCTION("""COMPUTED_VALUE"""),8023.0)</f>
        <v>8023</v>
      </c>
      <c r="Q1810" s="35">
        <f>IFERROR(__xludf.DUMMYFUNCTION("""COMPUTED_VALUE"""),13380.0)</f>
        <v>13380</v>
      </c>
    </row>
    <row r="1811">
      <c r="A1811" s="35">
        <f>IFERROR(__xludf.DUMMYFUNCTION("""COMPUTED_VALUE"""),1959.0)</f>
        <v>1959</v>
      </c>
      <c r="B1811" s="35" t="str">
        <f>IFERROR(__xludf.DUMMYFUNCTION("""COMPUTED_VALUE"""),"Minimum Path Cost in a Hidden Grid")</f>
        <v>Minimum Path Cost in a Hidden Grid</v>
      </c>
      <c r="C1811" s="35" t="str">
        <f>IFERROR(__xludf.DUMMYFUNCTION("""COMPUTED_VALUE"""),"minimum-path-cost-in-a-hidden-grid")</f>
        <v>minimum-path-cost-in-a-hidden-grid</v>
      </c>
      <c r="D1811" s="35" t="b">
        <f>IFERROR(__xludf.DUMMYFUNCTION("""COMPUTED_VALUE"""),TRUE)</f>
        <v>1</v>
      </c>
      <c r="E1811" s="35" t="str">
        <f>IFERROR(__xludf.DUMMYFUNCTION("""COMPUTED_VALUE"""),"Medium")</f>
        <v>Medium</v>
      </c>
      <c r="F1811" s="35">
        <f>IFERROR(__xludf.DUMMYFUNCTION("""COMPUTED_VALUE"""),51.0)</f>
        <v>51</v>
      </c>
      <c r="G1811" s="35">
        <f>IFERROR(__xludf.DUMMYFUNCTION("""COMPUTED_VALUE"""),16.0)</f>
        <v>16</v>
      </c>
      <c r="H1811" s="35" t="str">
        <f>IFERROR(__xludf.DUMMYFUNCTION("""COMPUTED_VALUE"""),"Algorithms")</f>
        <v>Algorithms</v>
      </c>
      <c r="I1811" s="35">
        <f>IFERROR(__xludf.DUMMYFUNCTION("""COMPUTED_VALUE"""),0.536)</f>
        <v>0.536</v>
      </c>
      <c r="J1811" s="35">
        <f>IFERROR(__xludf.DUMMYFUNCTION("""COMPUTED_VALUE"""),1810.0)</f>
        <v>1810</v>
      </c>
      <c r="K1811" s="35" t="b">
        <f>IFERROR(__xludf.DUMMYFUNCTION("""COMPUTED_VALUE"""),TRUE)</f>
        <v>1</v>
      </c>
      <c r="L1811" s="35" t="str">
        <f>IFERROR(__xludf.DUMMYFUNCTION("""COMPUTED_VALUE"""),"Depth-First Search;Breadth-First Search;Graph;Heap (Priority Queue);Interactive;")</f>
        <v>Depth-First Search;Breadth-First Search;Graph;Heap (Priority Queue);Interactive;</v>
      </c>
      <c r="M1811" s="35" t="b">
        <f>IFERROR(__xludf.DUMMYFUNCTION("""COMPUTED_VALUE"""),FALSE)</f>
        <v>0</v>
      </c>
      <c r="N1811" s="35" t="b">
        <f>IFERROR(__xludf.DUMMYFUNCTION("""COMPUTED_VALUE"""),FALSE)</f>
        <v>0</v>
      </c>
      <c r="O1811" s="35">
        <f>IFERROR(__xludf.DUMMYFUNCTION("""COMPUTED_VALUE"""),53.6417630509534)</f>
        <v>53.64176305</v>
      </c>
      <c r="P1811" s="35">
        <f>IFERROR(__xludf.DUMMYFUNCTION("""COMPUTED_VALUE"""),1716.0)</f>
        <v>1716</v>
      </c>
      <c r="Q1811" s="35">
        <f>IFERROR(__xludf.DUMMYFUNCTION("""COMPUTED_VALUE"""),3199.0)</f>
        <v>3199</v>
      </c>
    </row>
    <row r="1812">
      <c r="A1812" s="35">
        <f>IFERROR(__xludf.DUMMYFUNCTION("""COMPUTED_VALUE"""),1964.0)</f>
        <v>1964</v>
      </c>
      <c r="B1812" s="35" t="str">
        <f>IFERROR(__xludf.DUMMYFUNCTION("""COMPUTED_VALUE"""),"Find Interview Candidates")</f>
        <v>Find Interview Candidates</v>
      </c>
      <c r="C1812" s="35" t="str">
        <f>IFERROR(__xludf.DUMMYFUNCTION("""COMPUTED_VALUE"""),"find-interview-candidates")</f>
        <v>find-interview-candidates</v>
      </c>
      <c r="D1812" s="35" t="b">
        <f>IFERROR(__xludf.DUMMYFUNCTION("""COMPUTED_VALUE"""),TRUE)</f>
        <v>1</v>
      </c>
      <c r="E1812" s="35" t="str">
        <f>IFERROR(__xludf.DUMMYFUNCTION("""COMPUTED_VALUE"""),"Medium")</f>
        <v>Medium</v>
      </c>
      <c r="F1812" s="35">
        <f>IFERROR(__xludf.DUMMYFUNCTION("""COMPUTED_VALUE"""),103.0)</f>
        <v>103</v>
      </c>
      <c r="G1812" s="35">
        <f>IFERROR(__xludf.DUMMYFUNCTION("""COMPUTED_VALUE"""),15.0)</f>
        <v>15</v>
      </c>
      <c r="H1812" s="35" t="str">
        <f>IFERROR(__xludf.DUMMYFUNCTION("""COMPUTED_VALUE"""),"Database")</f>
        <v>Database</v>
      </c>
      <c r="I1812" s="35">
        <f>IFERROR(__xludf.DUMMYFUNCTION("""COMPUTED_VALUE"""),0.654)</f>
        <v>0.654</v>
      </c>
      <c r="J1812" s="35">
        <f>IFERROR(__xludf.DUMMYFUNCTION("""COMPUTED_VALUE"""),1811.0)</f>
        <v>1811</v>
      </c>
      <c r="K1812" s="35" t="b">
        <f>IFERROR(__xludf.DUMMYFUNCTION("""COMPUTED_VALUE"""),TRUE)</f>
        <v>1</v>
      </c>
      <c r="L1812" s="35" t="str">
        <f>IFERROR(__xludf.DUMMYFUNCTION("""COMPUTED_VALUE"""),"Database;")</f>
        <v>Database;</v>
      </c>
      <c r="M1812" s="35" t="b">
        <f>IFERROR(__xludf.DUMMYFUNCTION("""COMPUTED_VALUE"""),FALSE)</f>
        <v>0</v>
      </c>
      <c r="N1812" s="35" t="b">
        <f>IFERROR(__xludf.DUMMYFUNCTION("""COMPUTED_VALUE"""),FALSE)</f>
        <v>0</v>
      </c>
      <c r="O1812" s="35">
        <f>IFERROR(__xludf.DUMMYFUNCTION("""COMPUTED_VALUE"""),65.3783637348744)</f>
        <v>65.37836373</v>
      </c>
      <c r="P1812" s="35">
        <f>IFERROR(__xludf.DUMMYFUNCTION("""COMPUTED_VALUE"""),7240.0)</f>
        <v>7240</v>
      </c>
      <c r="Q1812" s="35">
        <f>IFERROR(__xludf.DUMMYFUNCTION("""COMPUTED_VALUE"""),11074.0)</f>
        <v>11074</v>
      </c>
    </row>
    <row r="1813">
      <c r="A1813" s="35">
        <f>IFERROR(__xludf.DUMMYFUNCTION("""COMPUTED_VALUE"""),1920.0)</f>
        <v>1920</v>
      </c>
      <c r="B1813" s="35" t="str">
        <f>IFERROR(__xludf.DUMMYFUNCTION("""COMPUTED_VALUE"""),"Determine Color of a Chessboard Square")</f>
        <v>Determine Color of a Chessboard Square</v>
      </c>
      <c r="C1813" s="35" t="str">
        <f>IFERROR(__xludf.DUMMYFUNCTION("""COMPUTED_VALUE"""),"determine-color-of-a-chessboard-square")</f>
        <v>determine-color-of-a-chessboard-square</v>
      </c>
      <c r="D1813" s="35" t="b">
        <f>IFERROR(__xludf.DUMMYFUNCTION("""COMPUTED_VALUE"""),FALSE)</f>
        <v>0</v>
      </c>
      <c r="E1813" s="35" t="str">
        <f>IFERROR(__xludf.DUMMYFUNCTION("""COMPUTED_VALUE"""),"Easy")</f>
        <v>Easy</v>
      </c>
      <c r="F1813" s="35">
        <f>IFERROR(__xludf.DUMMYFUNCTION("""COMPUTED_VALUE"""),386.0)</f>
        <v>386</v>
      </c>
      <c r="G1813" s="35">
        <f>IFERROR(__xludf.DUMMYFUNCTION("""COMPUTED_VALUE"""),13.0)</f>
        <v>13</v>
      </c>
      <c r="H1813" s="35" t="str">
        <f>IFERROR(__xludf.DUMMYFUNCTION("""COMPUTED_VALUE"""),"Algorithms")</f>
        <v>Algorithms</v>
      </c>
      <c r="I1813" s="35">
        <f>IFERROR(__xludf.DUMMYFUNCTION("""COMPUTED_VALUE"""),0.776)</f>
        <v>0.776</v>
      </c>
      <c r="J1813" s="35">
        <f>IFERROR(__xludf.DUMMYFUNCTION("""COMPUTED_VALUE"""),1812.0)</f>
        <v>1812</v>
      </c>
      <c r="K1813" s="35" t="b">
        <f>IFERROR(__xludf.DUMMYFUNCTION("""COMPUTED_VALUE"""),FALSE)</f>
        <v>0</v>
      </c>
      <c r="L1813" s="35" t="str">
        <f>IFERROR(__xludf.DUMMYFUNCTION("""COMPUTED_VALUE"""),"Math;String;")</f>
        <v>Math;String;</v>
      </c>
      <c r="M1813" s="35" t="b">
        <f>IFERROR(__xludf.DUMMYFUNCTION("""COMPUTED_VALUE"""),FALSE)</f>
        <v>0</v>
      </c>
      <c r="N1813" s="35" t="b">
        <f>IFERROR(__xludf.DUMMYFUNCTION("""COMPUTED_VALUE"""),FALSE)</f>
        <v>0</v>
      </c>
      <c r="O1813" s="35">
        <f>IFERROR(__xludf.DUMMYFUNCTION("""COMPUTED_VALUE"""),77.6261874785395)</f>
        <v>77.62618748</v>
      </c>
      <c r="P1813" s="35">
        <f>IFERROR(__xludf.DUMMYFUNCTION("""COMPUTED_VALUE"""),33909.0)</f>
        <v>33909</v>
      </c>
      <c r="Q1813" s="35">
        <f>IFERROR(__xludf.DUMMYFUNCTION("""COMPUTED_VALUE"""),43683.0)</f>
        <v>43683</v>
      </c>
    </row>
    <row r="1814">
      <c r="A1814" s="35">
        <f>IFERROR(__xludf.DUMMYFUNCTION("""COMPUTED_VALUE"""),1923.0)</f>
        <v>1923</v>
      </c>
      <c r="B1814" s="35" t="str">
        <f>IFERROR(__xludf.DUMMYFUNCTION("""COMPUTED_VALUE"""),"Sentence Similarity III")</f>
        <v>Sentence Similarity III</v>
      </c>
      <c r="C1814" s="35" t="str">
        <f>IFERROR(__xludf.DUMMYFUNCTION("""COMPUTED_VALUE"""),"sentence-similarity-iii")</f>
        <v>sentence-similarity-iii</v>
      </c>
      <c r="D1814" s="35" t="b">
        <f>IFERROR(__xludf.DUMMYFUNCTION("""COMPUTED_VALUE"""),FALSE)</f>
        <v>0</v>
      </c>
      <c r="E1814" s="35" t="str">
        <f>IFERROR(__xludf.DUMMYFUNCTION("""COMPUTED_VALUE"""),"Medium")</f>
        <v>Medium</v>
      </c>
      <c r="F1814" s="35">
        <f>IFERROR(__xludf.DUMMYFUNCTION("""COMPUTED_VALUE"""),207.0)</f>
        <v>207</v>
      </c>
      <c r="G1814" s="35">
        <f>IFERROR(__xludf.DUMMYFUNCTION("""COMPUTED_VALUE"""),38.0)</f>
        <v>38</v>
      </c>
      <c r="H1814" s="35" t="str">
        <f>IFERROR(__xludf.DUMMYFUNCTION("""COMPUTED_VALUE"""),"Algorithms")</f>
        <v>Algorithms</v>
      </c>
      <c r="I1814" s="35">
        <f>IFERROR(__xludf.DUMMYFUNCTION("""COMPUTED_VALUE"""),0.322)</f>
        <v>0.322</v>
      </c>
      <c r="J1814" s="35">
        <f>IFERROR(__xludf.DUMMYFUNCTION("""COMPUTED_VALUE"""),1813.0)</f>
        <v>1813</v>
      </c>
      <c r="K1814" s="35" t="b">
        <f>IFERROR(__xludf.DUMMYFUNCTION("""COMPUTED_VALUE"""),FALSE)</f>
        <v>0</v>
      </c>
      <c r="L1814" s="35" t="str">
        <f>IFERROR(__xludf.DUMMYFUNCTION("""COMPUTED_VALUE"""),"Array;Two Pointers;String;")</f>
        <v>Array;Two Pointers;String;</v>
      </c>
      <c r="M1814" s="35" t="b">
        <f>IFERROR(__xludf.DUMMYFUNCTION("""COMPUTED_VALUE"""),FALSE)</f>
        <v>0</v>
      </c>
      <c r="N1814" s="35" t="b">
        <f>IFERROR(__xludf.DUMMYFUNCTION("""COMPUTED_VALUE"""),FALSE)</f>
        <v>0</v>
      </c>
      <c r="O1814" s="35">
        <f>IFERROR(__xludf.DUMMYFUNCTION("""COMPUTED_VALUE"""),32.2351945257662)</f>
        <v>32.23519453</v>
      </c>
      <c r="P1814" s="35">
        <f>IFERROR(__xludf.DUMMYFUNCTION("""COMPUTED_VALUE"""),9139.0)</f>
        <v>9139</v>
      </c>
      <c r="Q1814" s="35">
        <f>IFERROR(__xludf.DUMMYFUNCTION("""COMPUTED_VALUE"""),28351.0)</f>
        <v>28351</v>
      </c>
    </row>
    <row r="1815">
      <c r="A1815" s="35">
        <f>IFERROR(__xludf.DUMMYFUNCTION("""COMPUTED_VALUE"""),1925.0)</f>
        <v>1925</v>
      </c>
      <c r="B1815" s="35" t="str">
        <f>IFERROR(__xludf.DUMMYFUNCTION("""COMPUTED_VALUE"""),"Count Nice Pairs in an Array")</f>
        <v>Count Nice Pairs in an Array</v>
      </c>
      <c r="C1815" s="35" t="str">
        <f>IFERROR(__xludf.DUMMYFUNCTION("""COMPUTED_VALUE"""),"count-nice-pairs-in-an-array")</f>
        <v>count-nice-pairs-in-an-array</v>
      </c>
      <c r="D1815" s="35" t="b">
        <f>IFERROR(__xludf.DUMMYFUNCTION("""COMPUTED_VALUE"""),FALSE)</f>
        <v>0</v>
      </c>
      <c r="E1815" s="35" t="str">
        <f>IFERROR(__xludf.DUMMYFUNCTION("""COMPUTED_VALUE"""),"Medium")</f>
        <v>Medium</v>
      </c>
      <c r="F1815" s="35">
        <f>IFERROR(__xludf.DUMMYFUNCTION("""COMPUTED_VALUE"""),389.0)</f>
        <v>389</v>
      </c>
      <c r="G1815" s="35">
        <f>IFERROR(__xludf.DUMMYFUNCTION("""COMPUTED_VALUE"""),19.0)</f>
        <v>19</v>
      </c>
      <c r="H1815" s="35" t="str">
        <f>IFERROR(__xludf.DUMMYFUNCTION("""COMPUTED_VALUE"""),"Algorithms")</f>
        <v>Algorithms</v>
      </c>
      <c r="I1815" s="35">
        <f>IFERROR(__xludf.DUMMYFUNCTION("""COMPUTED_VALUE"""),0.401)</f>
        <v>0.401</v>
      </c>
      <c r="J1815" s="35">
        <f>IFERROR(__xludf.DUMMYFUNCTION("""COMPUTED_VALUE"""),1814.0)</f>
        <v>1814</v>
      </c>
      <c r="K1815" s="35" t="b">
        <f>IFERROR(__xludf.DUMMYFUNCTION("""COMPUTED_VALUE"""),FALSE)</f>
        <v>0</v>
      </c>
      <c r="L1815" s="35" t="str">
        <f>IFERROR(__xludf.DUMMYFUNCTION("""COMPUTED_VALUE"""),"Array;Hash Table;Math;Counting;")</f>
        <v>Array;Hash Table;Math;Counting;</v>
      </c>
      <c r="M1815" s="35" t="b">
        <f>IFERROR(__xludf.DUMMYFUNCTION("""COMPUTED_VALUE"""),FALSE)</f>
        <v>0</v>
      </c>
      <c r="N1815" s="35" t="b">
        <f>IFERROR(__xludf.DUMMYFUNCTION("""COMPUTED_VALUE"""),FALSE)</f>
        <v>0</v>
      </c>
      <c r="O1815" s="35">
        <f>IFERROR(__xludf.DUMMYFUNCTION("""COMPUTED_VALUE"""),40.089733438902)</f>
        <v>40.08973344</v>
      </c>
      <c r="P1815" s="35">
        <f>IFERROR(__xludf.DUMMYFUNCTION("""COMPUTED_VALUE"""),13671.0)</f>
        <v>13671</v>
      </c>
      <c r="Q1815" s="35">
        <f>IFERROR(__xludf.DUMMYFUNCTION("""COMPUTED_VALUE"""),34101.0)</f>
        <v>34101</v>
      </c>
    </row>
    <row r="1816">
      <c r="A1816" s="35">
        <f>IFERROR(__xludf.DUMMYFUNCTION("""COMPUTED_VALUE"""),1924.0)</f>
        <v>1924</v>
      </c>
      <c r="B1816" s="35" t="str">
        <f>IFERROR(__xludf.DUMMYFUNCTION("""COMPUTED_VALUE"""),"Maximum Number of Groups Getting Fresh Donuts")</f>
        <v>Maximum Number of Groups Getting Fresh Donuts</v>
      </c>
      <c r="C1816" s="35" t="str">
        <f>IFERROR(__xludf.DUMMYFUNCTION("""COMPUTED_VALUE"""),"maximum-number-of-groups-getting-fresh-donuts")</f>
        <v>maximum-number-of-groups-getting-fresh-donuts</v>
      </c>
      <c r="D1816" s="35" t="b">
        <f>IFERROR(__xludf.DUMMYFUNCTION("""COMPUTED_VALUE"""),FALSE)</f>
        <v>0</v>
      </c>
      <c r="E1816" s="35" t="str">
        <f>IFERROR(__xludf.DUMMYFUNCTION("""COMPUTED_VALUE"""),"Hard")</f>
        <v>Hard</v>
      </c>
      <c r="F1816" s="35">
        <f>IFERROR(__xludf.DUMMYFUNCTION("""COMPUTED_VALUE"""),212.0)</f>
        <v>212</v>
      </c>
      <c r="G1816" s="35">
        <f>IFERROR(__xludf.DUMMYFUNCTION("""COMPUTED_VALUE"""),13.0)</f>
        <v>13</v>
      </c>
      <c r="H1816" s="35" t="str">
        <f>IFERROR(__xludf.DUMMYFUNCTION("""COMPUTED_VALUE"""),"Algorithms")</f>
        <v>Algorithms</v>
      </c>
      <c r="I1816" s="35">
        <f>IFERROR(__xludf.DUMMYFUNCTION("""COMPUTED_VALUE"""),0.399)</f>
        <v>0.399</v>
      </c>
      <c r="J1816" s="35">
        <f>IFERROR(__xludf.DUMMYFUNCTION("""COMPUTED_VALUE"""),1815.0)</f>
        <v>1815</v>
      </c>
      <c r="K1816" s="35" t="b">
        <f>IFERROR(__xludf.DUMMYFUNCTION("""COMPUTED_VALUE"""),FALSE)</f>
        <v>0</v>
      </c>
      <c r="L1816" s="35" t="str">
        <f>IFERROR(__xludf.DUMMYFUNCTION("""COMPUTED_VALUE"""),"Array;Dynamic Programming;Bit Manipulation;Memoization;Bitmask;")</f>
        <v>Array;Dynamic Programming;Bit Manipulation;Memoization;Bitmask;</v>
      </c>
      <c r="M1816" s="35" t="b">
        <f>IFERROR(__xludf.DUMMYFUNCTION("""COMPUTED_VALUE"""),FALSE)</f>
        <v>0</v>
      </c>
      <c r="N1816" s="35" t="b">
        <f>IFERROR(__xludf.DUMMYFUNCTION("""COMPUTED_VALUE"""),FALSE)</f>
        <v>0</v>
      </c>
      <c r="O1816" s="35">
        <f>IFERROR(__xludf.DUMMYFUNCTION("""COMPUTED_VALUE"""),39.911330049261)</f>
        <v>39.91133005</v>
      </c>
      <c r="P1816" s="35">
        <f>IFERROR(__xludf.DUMMYFUNCTION("""COMPUTED_VALUE"""),4051.0)</f>
        <v>4051</v>
      </c>
      <c r="Q1816" s="35">
        <f>IFERROR(__xludf.DUMMYFUNCTION("""COMPUTED_VALUE"""),10150.0)</f>
        <v>10150</v>
      </c>
    </row>
    <row r="1817">
      <c r="A1817" s="35">
        <f>IFERROR(__xludf.DUMMYFUNCTION("""COMPUTED_VALUE"""),1944.0)</f>
        <v>1944</v>
      </c>
      <c r="B1817" s="35" t="str">
        <f>IFERROR(__xludf.DUMMYFUNCTION("""COMPUTED_VALUE"""),"Truncate Sentence")</f>
        <v>Truncate Sentence</v>
      </c>
      <c r="C1817" s="35" t="str">
        <f>IFERROR(__xludf.DUMMYFUNCTION("""COMPUTED_VALUE"""),"truncate-sentence")</f>
        <v>truncate-sentence</v>
      </c>
      <c r="D1817" s="35" t="b">
        <f>IFERROR(__xludf.DUMMYFUNCTION("""COMPUTED_VALUE"""),FALSE)</f>
        <v>0</v>
      </c>
      <c r="E1817" s="35" t="str">
        <f>IFERROR(__xludf.DUMMYFUNCTION("""COMPUTED_VALUE"""),"Easy")</f>
        <v>Easy</v>
      </c>
      <c r="F1817" s="35">
        <f>IFERROR(__xludf.DUMMYFUNCTION("""COMPUTED_VALUE"""),442.0)</f>
        <v>442</v>
      </c>
      <c r="G1817" s="35">
        <f>IFERROR(__xludf.DUMMYFUNCTION("""COMPUTED_VALUE"""),15.0)</f>
        <v>15</v>
      </c>
      <c r="H1817" s="35" t="str">
        <f>IFERROR(__xludf.DUMMYFUNCTION("""COMPUTED_VALUE"""),"Algorithms")</f>
        <v>Algorithms</v>
      </c>
      <c r="I1817" s="35">
        <f>IFERROR(__xludf.DUMMYFUNCTION("""COMPUTED_VALUE"""),0.811)</f>
        <v>0.811</v>
      </c>
      <c r="J1817" s="35">
        <f>IFERROR(__xludf.DUMMYFUNCTION("""COMPUTED_VALUE"""),1816.0)</f>
        <v>1816</v>
      </c>
      <c r="K1817" s="35" t="b">
        <f>IFERROR(__xludf.DUMMYFUNCTION("""COMPUTED_VALUE"""),FALSE)</f>
        <v>0</v>
      </c>
      <c r="L1817" s="35" t="str">
        <f>IFERROR(__xludf.DUMMYFUNCTION("""COMPUTED_VALUE"""),"Array;String;")</f>
        <v>Array;String;</v>
      </c>
      <c r="M1817" s="35" t="b">
        <f>IFERROR(__xludf.DUMMYFUNCTION("""COMPUTED_VALUE"""),FALSE)</f>
        <v>0</v>
      </c>
      <c r="N1817" s="35" t="b">
        <f>IFERROR(__xludf.DUMMYFUNCTION("""COMPUTED_VALUE"""),FALSE)</f>
        <v>0</v>
      </c>
      <c r="O1817" s="35">
        <f>IFERROR(__xludf.DUMMYFUNCTION("""COMPUTED_VALUE"""),81.0724899093691)</f>
        <v>81.07248991</v>
      </c>
      <c r="P1817" s="35">
        <f>IFERROR(__xludf.DUMMYFUNCTION("""COMPUTED_VALUE"""),54833.0)</f>
        <v>54833</v>
      </c>
      <c r="Q1817" s="35">
        <f>IFERROR(__xludf.DUMMYFUNCTION("""COMPUTED_VALUE"""),67635.0)</f>
        <v>67635</v>
      </c>
    </row>
    <row r="1818">
      <c r="A1818" s="35">
        <f>IFERROR(__xludf.DUMMYFUNCTION("""COMPUTED_VALUE"""),1945.0)</f>
        <v>1945</v>
      </c>
      <c r="B1818" s="35" t="str">
        <f>IFERROR(__xludf.DUMMYFUNCTION("""COMPUTED_VALUE"""),"Finding the Users Active Minutes")</f>
        <v>Finding the Users Active Minutes</v>
      </c>
      <c r="C1818" s="35" t="str">
        <f>IFERROR(__xludf.DUMMYFUNCTION("""COMPUTED_VALUE"""),"finding-the-users-active-minutes")</f>
        <v>finding-the-users-active-minutes</v>
      </c>
      <c r="D1818" s="35" t="b">
        <f>IFERROR(__xludf.DUMMYFUNCTION("""COMPUTED_VALUE"""),FALSE)</f>
        <v>0</v>
      </c>
      <c r="E1818" s="35" t="str">
        <f>IFERROR(__xludf.DUMMYFUNCTION("""COMPUTED_VALUE"""),"Medium")</f>
        <v>Medium</v>
      </c>
      <c r="F1818" s="35">
        <f>IFERROR(__xludf.DUMMYFUNCTION("""COMPUTED_VALUE"""),378.0)</f>
        <v>378</v>
      </c>
      <c r="G1818" s="35">
        <f>IFERROR(__xludf.DUMMYFUNCTION("""COMPUTED_VALUE"""),146.0)</f>
        <v>146</v>
      </c>
      <c r="H1818" s="35" t="str">
        <f>IFERROR(__xludf.DUMMYFUNCTION("""COMPUTED_VALUE"""),"Algorithms")</f>
        <v>Algorithms</v>
      </c>
      <c r="I1818" s="35">
        <f>IFERROR(__xludf.DUMMYFUNCTION("""COMPUTED_VALUE"""),0.805)</f>
        <v>0.805</v>
      </c>
      <c r="J1818" s="35">
        <f>IFERROR(__xludf.DUMMYFUNCTION("""COMPUTED_VALUE"""),1817.0)</f>
        <v>1817</v>
      </c>
      <c r="K1818" s="35" t="b">
        <f>IFERROR(__xludf.DUMMYFUNCTION("""COMPUTED_VALUE"""),FALSE)</f>
        <v>0</v>
      </c>
      <c r="L1818" s="35" t="str">
        <f>IFERROR(__xludf.DUMMYFUNCTION("""COMPUTED_VALUE"""),"Array;Hash Table;")</f>
        <v>Array;Hash Table;</v>
      </c>
      <c r="M1818" s="35" t="b">
        <f>IFERROR(__xludf.DUMMYFUNCTION("""COMPUTED_VALUE"""),FALSE)</f>
        <v>0</v>
      </c>
      <c r="N1818" s="35" t="b">
        <f>IFERROR(__xludf.DUMMYFUNCTION("""COMPUTED_VALUE"""),FALSE)</f>
        <v>0</v>
      </c>
      <c r="O1818" s="35">
        <f>IFERROR(__xludf.DUMMYFUNCTION("""COMPUTED_VALUE"""),80.5018016815694)</f>
        <v>80.50180168</v>
      </c>
      <c r="P1818" s="35">
        <f>IFERROR(__xludf.DUMMYFUNCTION("""COMPUTED_VALUE"""),30159.0)</f>
        <v>30159</v>
      </c>
      <c r="Q1818" s="35">
        <f>IFERROR(__xludf.DUMMYFUNCTION("""COMPUTED_VALUE"""),37464.0)</f>
        <v>37464</v>
      </c>
    </row>
    <row r="1819">
      <c r="A1819" s="35">
        <f>IFERROR(__xludf.DUMMYFUNCTION("""COMPUTED_VALUE"""),1946.0)</f>
        <v>1946</v>
      </c>
      <c r="B1819" s="35" t="str">
        <f>IFERROR(__xludf.DUMMYFUNCTION("""COMPUTED_VALUE"""),"Minimum Absolute Sum Difference")</f>
        <v>Minimum Absolute Sum Difference</v>
      </c>
      <c r="C1819" s="35" t="str">
        <f>IFERROR(__xludf.DUMMYFUNCTION("""COMPUTED_VALUE"""),"minimum-absolute-sum-difference")</f>
        <v>minimum-absolute-sum-difference</v>
      </c>
      <c r="D1819" s="35" t="b">
        <f>IFERROR(__xludf.DUMMYFUNCTION("""COMPUTED_VALUE"""),FALSE)</f>
        <v>0</v>
      </c>
      <c r="E1819" s="35" t="str">
        <f>IFERROR(__xludf.DUMMYFUNCTION("""COMPUTED_VALUE"""),"Medium")</f>
        <v>Medium</v>
      </c>
      <c r="F1819" s="35">
        <f>IFERROR(__xludf.DUMMYFUNCTION("""COMPUTED_VALUE"""),459.0)</f>
        <v>459</v>
      </c>
      <c r="G1819" s="35">
        <f>IFERROR(__xludf.DUMMYFUNCTION("""COMPUTED_VALUE"""),45.0)</f>
        <v>45</v>
      </c>
      <c r="H1819" s="35" t="str">
        <f>IFERROR(__xludf.DUMMYFUNCTION("""COMPUTED_VALUE"""),"Algorithms")</f>
        <v>Algorithms</v>
      </c>
      <c r="I1819" s="35">
        <f>IFERROR(__xludf.DUMMYFUNCTION("""COMPUTED_VALUE"""),0.287)</f>
        <v>0.287</v>
      </c>
      <c r="J1819" s="35">
        <f>IFERROR(__xludf.DUMMYFUNCTION("""COMPUTED_VALUE"""),1818.0)</f>
        <v>1818</v>
      </c>
      <c r="K1819" s="35" t="b">
        <f>IFERROR(__xludf.DUMMYFUNCTION("""COMPUTED_VALUE"""),FALSE)</f>
        <v>0</v>
      </c>
      <c r="L1819" s="35" t="str">
        <f>IFERROR(__xludf.DUMMYFUNCTION("""COMPUTED_VALUE"""),"Array;Binary Search;Sorting;Ordered Set;")</f>
        <v>Array;Binary Search;Sorting;Ordered Set;</v>
      </c>
      <c r="M1819" s="35" t="b">
        <f>IFERROR(__xludf.DUMMYFUNCTION("""COMPUTED_VALUE"""),FALSE)</f>
        <v>0</v>
      </c>
      <c r="N1819" s="35" t="b">
        <f>IFERROR(__xludf.DUMMYFUNCTION("""COMPUTED_VALUE"""),FALSE)</f>
        <v>0</v>
      </c>
      <c r="O1819" s="35">
        <f>IFERROR(__xludf.DUMMYFUNCTION("""COMPUTED_VALUE"""),28.7335187012288)</f>
        <v>28.7335187</v>
      </c>
      <c r="P1819" s="35">
        <f>IFERROR(__xludf.DUMMYFUNCTION("""COMPUTED_VALUE"""),12814.0)</f>
        <v>12814</v>
      </c>
      <c r="Q1819" s="35">
        <f>IFERROR(__xludf.DUMMYFUNCTION("""COMPUTED_VALUE"""),44596.0)</f>
        <v>44596</v>
      </c>
    </row>
    <row r="1820">
      <c r="A1820" s="35">
        <f>IFERROR(__xludf.DUMMYFUNCTION("""COMPUTED_VALUE"""),1947.0)</f>
        <v>1947</v>
      </c>
      <c r="B1820" s="35" t="str">
        <f>IFERROR(__xludf.DUMMYFUNCTION("""COMPUTED_VALUE"""),"Number of Different Subsequences GCDs")</f>
        <v>Number of Different Subsequences GCDs</v>
      </c>
      <c r="C1820" s="35" t="str">
        <f>IFERROR(__xludf.DUMMYFUNCTION("""COMPUTED_VALUE"""),"number-of-different-subsequences-gcds")</f>
        <v>number-of-different-subsequences-gcds</v>
      </c>
      <c r="D1820" s="35" t="b">
        <f>IFERROR(__xludf.DUMMYFUNCTION("""COMPUTED_VALUE"""),FALSE)</f>
        <v>0</v>
      </c>
      <c r="E1820" s="35" t="str">
        <f>IFERROR(__xludf.DUMMYFUNCTION("""COMPUTED_VALUE"""),"Hard")</f>
        <v>Hard</v>
      </c>
      <c r="F1820" s="35">
        <f>IFERROR(__xludf.DUMMYFUNCTION("""COMPUTED_VALUE"""),243.0)</f>
        <v>243</v>
      </c>
      <c r="G1820" s="35">
        <f>IFERROR(__xludf.DUMMYFUNCTION("""COMPUTED_VALUE"""),33.0)</f>
        <v>33</v>
      </c>
      <c r="H1820" s="35" t="str">
        <f>IFERROR(__xludf.DUMMYFUNCTION("""COMPUTED_VALUE"""),"Algorithms")</f>
        <v>Algorithms</v>
      </c>
      <c r="I1820" s="35">
        <f>IFERROR(__xludf.DUMMYFUNCTION("""COMPUTED_VALUE"""),0.369)</f>
        <v>0.369</v>
      </c>
      <c r="J1820" s="35">
        <f>IFERROR(__xludf.DUMMYFUNCTION("""COMPUTED_VALUE"""),1819.0)</f>
        <v>1819</v>
      </c>
      <c r="K1820" s="35" t="b">
        <f>IFERROR(__xludf.DUMMYFUNCTION("""COMPUTED_VALUE"""),FALSE)</f>
        <v>0</v>
      </c>
      <c r="L1820" s="35" t="str">
        <f>IFERROR(__xludf.DUMMYFUNCTION("""COMPUTED_VALUE"""),"Array;Math;Counting;Number Theory;")</f>
        <v>Array;Math;Counting;Number Theory;</v>
      </c>
      <c r="M1820" s="35" t="b">
        <f>IFERROR(__xludf.DUMMYFUNCTION("""COMPUTED_VALUE"""),FALSE)</f>
        <v>0</v>
      </c>
      <c r="N1820" s="35" t="b">
        <f>IFERROR(__xludf.DUMMYFUNCTION("""COMPUTED_VALUE"""),FALSE)</f>
        <v>0</v>
      </c>
      <c r="O1820" s="35">
        <f>IFERROR(__xludf.DUMMYFUNCTION("""COMPUTED_VALUE"""),36.8744512730465)</f>
        <v>36.87445127</v>
      </c>
      <c r="P1820" s="35">
        <f>IFERROR(__xludf.DUMMYFUNCTION("""COMPUTED_VALUE"""),5460.0)</f>
        <v>5460</v>
      </c>
      <c r="Q1820" s="35">
        <f>IFERROR(__xludf.DUMMYFUNCTION("""COMPUTED_VALUE"""),14807.0)</f>
        <v>14807</v>
      </c>
    </row>
    <row r="1821">
      <c r="A1821" s="35">
        <f>IFERROR(__xludf.DUMMYFUNCTION("""COMPUTED_VALUE"""),1969.0)</f>
        <v>1969</v>
      </c>
      <c r="B1821" s="35" t="str">
        <f>IFERROR(__xludf.DUMMYFUNCTION("""COMPUTED_VALUE"""),"Maximum Number of Accepted Invitations")</f>
        <v>Maximum Number of Accepted Invitations</v>
      </c>
      <c r="C1821" s="35" t="str">
        <f>IFERROR(__xludf.DUMMYFUNCTION("""COMPUTED_VALUE"""),"maximum-number-of-accepted-invitations")</f>
        <v>maximum-number-of-accepted-invitations</v>
      </c>
      <c r="D1821" s="35" t="b">
        <f>IFERROR(__xludf.DUMMYFUNCTION("""COMPUTED_VALUE"""),TRUE)</f>
        <v>1</v>
      </c>
      <c r="E1821" s="35" t="str">
        <f>IFERROR(__xludf.DUMMYFUNCTION("""COMPUTED_VALUE"""),"Medium")</f>
        <v>Medium</v>
      </c>
      <c r="F1821" s="35">
        <f>IFERROR(__xludf.DUMMYFUNCTION("""COMPUTED_VALUE"""),57.0)</f>
        <v>57</v>
      </c>
      <c r="G1821" s="35">
        <f>IFERROR(__xludf.DUMMYFUNCTION("""COMPUTED_VALUE"""),13.0)</f>
        <v>13</v>
      </c>
      <c r="H1821" s="35" t="str">
        <f>IFERROR(__xludf.DUMMYFUNCTION("""COMPUTED_VALUE"""),"Algorithms")</f>
        <v>Algorithms</v>
      </c>
      <c r="I1821" s="35">
        <f>IFERROR(__xludf.DUMMYFUNCTION("""COMPUTED_VALUE"""),0.466)</f>
        <v>0.466</v>
      </c>
      <c r="J1821" s="35">
        <f>IFERROR(__xludf.DUMMYFUNCTION("""COMPUTED_VALUE"""),1820.0)</f>
        <v>1820</v>
      </c>
      <c r="K1821" s="35" t="b">
        <f>IFERROR(__xludf.DUMMYFUNCTION("""COMPUTED_VALUE"""),TRUE)</f>
        <v>1</v>
      </c>
      <c r="L1821" s="35" t="str">
        <f>IFERROR(__xludf.DUMMYFUNCTION("""COMPUTED_VALUE"""),"Array;Backtracking;Matrix;")</f>
        <v>Array;Backtracking;Matrix;</v>
      </c>
      <c r="M1821" s="35" t="b">
        <f>IFERROR(__xludf.DUMMYFUNCTION("""COMPUTED_VALUE"""),FALSE)</f>
        <v>0</v>
      </c>
      <c r="N1821" s="35" t="b">
        <f>IFERROR(__xludf.DUMMYFUNCTION("""COMPUTED_VALUE"""),FALSE)</f>
        <v>0</v>
      </c>
      <c r="O1821" s="35">
        <f>IFERROR(__xludf.DUMMYFUNCTION("""COMPUTED_VALUE"""),46.6023875114784)</f>
        <v>46.60238751</v>
      </c>
      <c r="P1821" s="35">
        <f>IFERROR(__xludf.DUMMYFUNCTION("""COMPUTED_VALUE"""),1015.0)</f>
        <v>1015</v>
      </c>
      <c r="Q1821" s="35">
        <f>IFERROR(__xludf.DUMMYFUNCTION("""COMPUTED_VALUE"""),2178.0)</f>
        <v>2178</v>
      </c>
    </row>
    <row r="1822">
      <c r="A1822" s="35">
        <f>IFERROR(__xludf.DUMMYFUNCTION("""COMPUTED_VALUE"""),1974.0)</f>
        <v>1974</v>
      </c>
      <c r="B1822" s="35" t="str">
        <f>IFERROR(__xludf.DUMMYFUNCTION("""COMPUTED_VALUE"""),"Find Customers With Positive Revenue this Year")</f>
        <v>Find Customers With Positive Revenue this Year</v>
      </c>
      <c r="C1822" s="35" t="str">
        <f>IFERROR(__xludf.DUMMYFUNCTION("""COMPUTED_VALUE"""),"find-customers-with-positive-revenue-this-year")</f>
        <v>find-customers-with-positive-revenue-this-year</v>
      </c>
      <c r="D1822" s="35" t="b">
        <f>IFERROR(__xludf.DUMMYFUNCTION("""COMPUTED_VALUE"""),TRUE)</f>
        <v>1</v>
      </c>
      <c r="E1822" s="35" t="str">
        <f>IFERROR(__xludf.DUMMYFUNCTION("""COMPUTED_VALUE"""),"Easy")</f>
        <v>Easy</v>
      </c>
      <c r="F1822" s="35">
        <f>IFERROR(__xludf.DUMMYFUNCTION("""COMPUTED_VALUE"""),21.0)</f>
        <v>21</v>
      </c>
      <c r="G1822" s="35">
        <f>IFERROR(__xludf.DUMMYFUNCTION("""COMPUTED_VALUE"""),14.0)</f>
        <v>14</v>
      </c>
      <c r="H1822" s="35" t="str">
        <f>IFERROR(__xludf.DUMMYFUNCTION("""COMPUTED_VALUE"""),"Database")</f>
        <v>Database</v>
      </c>
      <c r="I1822" s="35">
        <f>IFERROR(__xludf.DUMMYFUNCTION("""COMPUTED_VALUE"""),0.898)</f>
        <v>0.898</v>
      </c>
      <c r="J1822" s="35">
        <f>IFERROR(__xludf.DUMMYFUNCTION("""COMPUTED_VALUE"""),1821.0)</f>
        <v>1821</v>
      </c>
      <c r="K1822" s="35" t="b">
        <f>IFERROR(__xludf.DUMMYFUNCTION("""COMPUTED_VALUE"""),TRUE)</f>
        <v>1</v>
      </c>
      <c r="L1822" s="35" t="str">
        <f>IFERROR(__xludf.DUMMYFUNCTION("""COMPUTED_VALUE"""),"Database;")</f>
        <v>Database;</v>
      </c>
      <c r="M1822" s="35" t="b">
        <f>IFERROR(__xludf.DUMMYFUNCTION("""COMPUTED_VALUE"""),FALSE)</f>
        <v>0</v>
      </c>
      <c r="N1822" s="35" t="b">
        <f>IFERROR(__xludf.DUMMYFUNCTION("""COMPUTED_VALUE"""),FALSE)</f>
        <v>0</v>
      </c>
      <c r="O1822" s="35">
        <f>IFERROR(__xludf.DUMMYFUNCTION("""COMPUTED_VALUE"""),89.7607461476074)</f>
        <v>89.76074615</v>
      </c>
      <c r="P1822" s="35">
        <f>IFERROR(__xludf.DUMMYFUNCTION("""COMPUTED_VALUE"""),8854.0)</f>
        <v>8854</v>
      </c>
      <c r="Q1822" s="35">
        <f>IFERROR(__xludf.DUMMYFUNCTION("""COMPUTED_VALUE"""),9864.0)</f>
        <v>9864</v>
      </c>
    </row>
    <row r="1823">
      <c r="A1823" s="35">
        <f>IFERROR(__xludf.DUMMYFUNCTION("""COMPUTED_VALUE"""),1950.0)</f>
        <v>1950</v>
      </c>
      <c r="B1823" s="35" t="str">
        <f>IFERROR(__xludf.DUMMYFUNCTION("""COMPUTED_VALUE"""),"Sign of the Product of an Array")</f>
        <v>Sign of the Product of an Array</v>
      </c>
      <c r="C1823" s="35" t="str">
        <f>IFERROR(__xludf.DUMMYFUNCTION("""COMPUTED_VALUE"""),"sign-of-the-product-of-an-array")</f>
        <v>sign-of-the-product-of-an-array</v>
      </c>
      <c r="D1823" s="35" t="b">
        <f>IFERROR(__xludf.DUMMYFUNCTION("""COMPUTED_VALUE"""),FALSE)</f>
        <v>0</v>
      </c>
      <c r="E1823" s="35" t="str">
        <f>IFERROR(__xludf.DUMMYFUNCTION("""COMPUTED_VALUE"""),"Easy")</f>
        <v>Easy</v>
      </c>
      <c r="F1823" s="35">
        <f>IFERROR(__xludf.DUMMYFUNCTION("""COMPUTED_VALUE"""),447.0)</f>
        <v>447</v>
      </c>
      <c r="G1823" s="35">
        <f>IFERROR(__xludf.DUMMYFUNCTION("""COMPUTED_VALUE"""),65.0)</f>
        <v>65</v>
      </c>
      <c r="H1823" s="35" t="str">
        <f>IFERROR(__xludf.DUMMYFUNCTION("""COMPUTED_VALUE"""),"Algorithms")</f>
        <v>Algorithms</v>
      </c>
      <c r="I1823" s="35">
        <f>IFERROR(__xludf.DUMMYFUNCTION("""COMPUTED_VALUE"""),0.673)</f>
        <v>0.673</v>
      </c>
      <c r="J1823" s="35">
        <f>IFERROR(__xludf.DUMMYFUNCTION("""COMPUTED_VALUE"""),1822.0)</f>
        <v>1822</v>
      </c>
      <c r="K1823" s="35" t="b">
        <f>IFERROR(__xludf.DUMMYFUNCTION("""COMPUTED_VALUE"""),FALSE)</f>
        <v>0</v>
      </c>
      <c r="L1823" s="35" t="str">
        <f>IFERROR(__xludf.DUMMYFUNCTION("""COMPUTED_VALUE"""),"Array;Math;")</f>
        <v>Array;Math;</v>
      </c>
      <c r="M1823" s="35" t="b">
        <f>IFERROR(__xludf.DUMMYFUNCTION("""COMPUTED_VALUE"""),FALSE)</f>
        <v>0</v>
      </c>
      <c r="N1823" s="35" t="b">
        <f>IFERROR(__xludf.DUMMYFUNCTION("""COMPUTED_VALUE"""),FALSE)</f>
        <v>0</v>
      </c>
      <c r="O1823" s="35">
        <f>IFERROR(__xludf.DUMMYFUNCTION("""COMPUTED_VALUE"""),67.308451462408)</f>
        <v>67.30845146</v>
      </c>
      <c r="P1823" s="35">
        <f>IFERROR(__xludf.DUMMYFUNCTION("""COMPUTED_VALUE"""),75016.0)</f>
        <v>75016</v>
      </c>
      <c r="Q1823" s="35">
        <f>IFERROR(__xludf.DUMMYFUNCTION("""COMPUTED_VALUE"""),111451.0)</f>
        <v>111451</v>
      </c>
    </row>
    <row r="1824">
      <c r="A1824" s="35">
        <f>IFERROR(__xludf.DUMMYFUNCTION("""COMPUTED_VALUE"""),1951.0)</f>
        <v>1951</v>
      </c>
      <c r="B1824" s="35" t="str">
        <f>IFERROR(__xludf.DUMMYFUNCTION("""COMPUTED_VALUE"""),"Find the Winner of the Circular Game")</f>
        <v>Find the Winner of the Circular Game</v>
      </c>
      <c r="C1824" s="35" t="str">
        <f>IFERROR(__xludf.DUMMYFUNCTION("""COMPUTED_VALUE"""),"find-the-winner-of-the-circular-game")</f>
        <v>find-the-winner-of-the-circular-game</v>
      </c>
      <c r="D1824" s="35" t="b">
        <f>IFERROR(__xludf.DUMMYFUNCTION("""COMPUTED_VALUE"""),FALSE)</f>
        <v>0</v>
      </c>
      <c r="E1824" s="35" t="str">
        <f>IFERROR(__xludf.DUMMYFUNCTION("""COMPUTED_VALUE"""),"Medium")</f>
        <v>Medium</v>
      </c>
      <c r="F1824" s="35">
        <f>IFERROR(__xludf.DUMMYFUNCTION("""COMPUTED_VALUE"""),1007.0)</f>
        <v>1007</v>
      </c>
      <c r="G1824" s="35">
        <f>IFERROR(__xludf.DUMMYFUNCTION("""COMPUTED_VALUE"""),29.0)</f>
        <v>29</v>
      </c>
      <c r="H1824" s="35" t="str">
        <f>IFERROR(__xludf.DUMMYFUNCTION("""COMPUTED_VALUE"""),"Algorithms")</f>
        <v>Algorithms</v>
      </c>
      <c r="I1824" s="35">
        <f>IFERROR(__xludf.DUMMYFUNCTION("""COMPUTED_VALUE"""),0.762)</f>
        <v>0.762</v>
      </c>
      <c r="J1824" s="35">
        <f>IFERROR(__xludf.DUMMYFUNCTION("""COMPUTED_VALUE"""),1823.0)</f>
        <v>1823</v>
      </c>
      <c r="K1824" s="35" t="b">
        <f>IFERROR(__xludf.DUMMYFUNCTION("""COMPUTED_VALUE"""),FALSE)</f>
        <v>0</v>
      </c>
      <c r="L1824" s="35" t="str">
        <f>IFERROR(__xludf.DUMMYFUNCTION("""COMPUTED_VALUE"""),"Array;Math;Recursion;Queue;Simulation;")</f>
        <v>Array;Math;Recursion;Queue;Simulation;</v>
      </c>
      <c r="M1824" s="35" t="b">
        <f>IFERROR(__xludf.DUMMYFUNCTION("""COMPUTED_VALUE"""),FALSE)</f>
        <v>0</v>
      </c>
      <c r="N1824" s="35" t="b">
        <f>IFERROR(__xludf.DUMMYFUNCTION("""COMPUTED_VALUE"""),FALSE)</f>
        <v>0</v>
      </c>
      <c r="O1824" s="35">
        <f>IFERROR(__xludf.DUMMYFUNCTION("""COMPUTED_VALUE"""),76.2077697728745)</f>
        <v>76.20776977</v>
      </c>
      <c r="P1824" s="35">
        <f>IFERROR(__xludf.DUMMYFUNCTION("""COMPUTED_VALUE"""),38818.0)</f>
        <v>38818</v>
      </c>
      <c r="Q1824" s="35">
        <f>IFERROR(__xludf.DUMMYFUNCTION("""COMPUTED_VALUE"""),50938.0)</f>
        <v>50938</v>
      </c>
    </row>
    <row r="1825">
      <c r="A1825" s="35">
        <f>IFERROR(__xludf.DUMMYFUNCTION("""COMPUTED_VALUE"""),1952.0)</f>
        <v>1952</v>
      </c>
      <c r="B1825" s="35" t="str">
        <f>IFERROR(__xludf.DUMMYFUNCTION("""COMPUTED_VALUE"""),"Minimum Sideway Jumps")</f>
        <v>Minimum Sideway Jumps</v>
      </c>
      <c r="C1825" s="35" t="str">
        <f>IFERROR(__xludf.DUMMYFUNCTION("""COMPUTED_VALUE"""),"minimum-sideway-jumps")</f>
        <v>minimum-sideway-jumps</v>
      </c>
      <c r="D1825" s="35" t="b">
        <f>IFERROR(__xludf.DUMMYFUNCTION("""COMPUTED_VALUE"""),FALSE)</f>
        <v>0</v>
      </c>
      <c r="E1825" s="35" t="str">
        <f>IFERROR(__xludf.DUMMYFUNCTION("""COMPUTED_VALUE"""),"Medium")</f>
        <v>Medium</v>
      </c>
      <c r="F1825" s="35">
        <f>IFERROR(__xludf.DUMMYFUNCTION("""COMPUTED_VALUE"""),536.0)</f>
        <v>536</v>
      </c>
      <c r="G1825" s="35">
        <f>IFERROR(__xludf.DUMMYFUNCTION("""COMPUTED_VALUE"""),26.0)</f>
        <v>26</v>
      </c>
      <c r="H1825" s="35" t="str">
        <f>IFERROR(__xludf.DUMMYFUNCTION("""COMPUTED_VALUE"""),"Algorithms")</f>
        <v>Algorithms</v>
      </c>
      <c r="I1825" s="35">
        <f>IFERROR(__xludf.DUMMYFUNCTION("""COMPUTED_VALUE"""),0.492)</f>
        <v>0.492</v>
      </c>
      <c r="J1825" s="35">
        <f>IFERROR(__xludf.DUMMYFUNCTION("""COMPUTED_VALUE"""),1824.0)</f>
        <v>1824</v>
      </c>
      <c r="K1825" s="35" t="b">
        <f>IFERROR(__xludf.DUMMYFUNCTION("""COMPUTED_VALUE"""),FALSE)</f>
        <v>0</v>
      </c>
      <c r="L1825" s="35" t="str">
        <f>IFERROR(__xludf.DUMMYFUNCTION("""COMPUTED_VALUE"""),"Array;Dynamic Programming;Greedy;")</f>
        <v>Array;Dynamic Programming;Greedy;</v>
      </c>
      <c r="M1825" s="35" t="b">
        <f>IFERROR(__xludf.DUMMYFUNCTION("""COMPUTED_VALUE"""),FALSE)</f>
        <v>0</v>
      </c>
      <c r="N1825" s="35" t="b">
        <f>IFERROR(__xludf.DUMMYFUNCTION("""COMPUTED_VALUE"""),FALSE)</f>
        <v>0</v>
      </c>
      <c r="O1825" s="35">
        <f>IFERROR(__xludf.DUMMYFUNCTION("""COMPUTED_VALUE"""),49.2208779375435)</f>
        <v>49.22087794</v>
      </c>
      <c r="P1825" s="35">
        <f>IFERROR(__xludf.DUMMYFUNCTION("""COMPUTED_VALUE"""),15541.0)</f>
        <v>15541</v>
      </c>
      <c r="Q1825" s="35">
        <f>IFERROR(__xludf.DUMMYFUNCTION("""COMPUTED_VALUE"""),31574.0)</f>
        <v>31574</v>
      </c>
    </row>
    <row r="1826">
      <c r="A1826" s="35">
        <f>IFERROR(__xludf.DUMMYFUNCTION("""COMPUTED_VALUE"""),1953.0)</f>
        <v>1953</v>
      </c>
      <c r="B1826" s="35" t="str">
        <f>IFERROR(__xludf.DUMMYFUNCTION("""COMPUTED_VALUE"""),"Finding MK Average")</f>
        <v>Finding MK Average</v>
      </c>
      <c r="C1826" s="35" t="str">
        <f>IFERROR(__xludf.DUMMYFUNCTION("""COMPUTED_VALUE"""),"finding-mk-average")</f>
        <v>finding-mk-average</v>
      </c>
      <c r="D1826" s="35" t="b">
        <f>IFERROR(__xludf.DUMMYFUNCTION("""COMPUTED_VALUE"""),FALSE)</f>
        <v>0</v>
      </c>
      <c r="E1826" s="35" t="str">
        <f>IFERROR(__xludf.DUMMYFUNCTION("""COMPUTED_VALUE"""),"Hard")</f>
        <v>Hard</v>
      </c>
      <c r="F1826" s="35">
        <f>IFERROR(__xludf.DUMMYFUNCTION("""COMPUTED_VALUE"""),190.0)</f>
        <v>190</v>
      </c>
      <c r="G1826" s="35">
        <f>IFERROR(__xludf.DUMMYFUNCTION("""COMPUTED_VALUE"""),79.0)</f>
        <v>79</v>
      </c>
      <c r="H1826" s="35" t="str">
        <f>IFERROR(__xludf.DUMMYFUNCTION("""COMPUTED_VALUE"""),"Algorithms")</f>
        <v>Algorithms</v>
      </c>
      <c r="I1826" s="35">
        <f>IFERROR(__xludf.DUMMYFUNCTION("""COMPUTED_VALUE"""),0.329)</f>
        <v>0.329</v>
      </c>
      <c r="J1826" s="35">
        <f>IFERROR(__xludf.DUMMYFUNCTION("""COMPUTED_VALUE"""),1825.0)</f>
        <v>1825</v>
      </c>
      <c r="K1826" s="35" t="b">
        <f>IFERROR(__xludf.DUMMYFUNCTION("""COMPUTED_VALUE"""),FALSE)</f>
        <v>0</v>
      </c>
      <c r="L1826" s="35" t="str">
        <f>IFERROR(__xludf.DUMMYFUNCTION("""COMPUTED_VALUE"""),"Design;Queue;Heap (Priority Queue);Ordered Set;")</f>
        <v>Design;Queue;Heap (Priority Queue);Ordered Set;</v>
      </c>
      <c r="M1826" s="35" t="b">
        <f>IFERROR(__xludf.DUMMYFUNCTION("""COMPUTED_VALUE"""),FALSE)</f>
        <v>0</v>
      </c>
      <c r="N1826" s="35" t="b">
        <f>IFERROR(__xludf.DUMMYFUNCTION("""COMPUTED_VALUE"""),FALSE)</f>
        <v>0</v>
      </c>
      <c r="O1826" s="35">
        <f>IFERROR(__xludf.DUMMYFUNCTION("""COMPUTED_VALUE"""),32.8990062867572)</f>
        <v>32.89900629</v>
      </c>
      <c r="P1826" s="35">
        <f>IFERROR(__xludf.DUMMYFUNCTION("""COMPUTED_VALUE"""),6489.0)</f>
        <v>6489</v>
      </c>
      <c r="Q1826" s="35">
        <f>IFERROR(__xludf.DUMMYFUNCTION("""COMPUTED_VALUE"""),19724.0)</f>
        <v>19724</v>
      </c>
    </row>
    <row r="1827">
      <c r="A1827" s="35">
        <f>IFERROR(__xludf.DUMMYFUNCTION("""COMPUTED_VALUE"""),1980.0)</f>
        <v>1980</v>
      </c>
      <c r="B1827" s="35" t="str">
        <f>IFERROR(__xludf.DUMMYFUNCTION("""COMPUTED_VALUE"""),"Faulty Sensor")</f>
        <v>Faulty Sensor</v>
      </c>
      <c r="C1827" s="35" t="str">
        <f>IFERROR(__xludf.DUMMYFUNCTION("""COMPUTED_VALUE"""),"faulty-sensor")</f>
        <v>faulty-sensor</v>
      </c>
      <c r="D1827" s="35" t="b">
        <f>IFERROR(__xludf.DUMMYFUNCTION("""COMPUTED_VALUE"""),TRUE)</f>
        <v>1</v>
      </c>
      <c r="E1827" s="35" t="str">
        <f>IFERROR(__xludf.DUMMYFUNCTION("""COMPUTED_VALUE"""),"Easy")</f>
        <v>Easy</v>
      </c>
      <c r="F1827" s="35">
        <f>IFERROR(__xludf.DUMMYFUNCTION("""COMPUTED_VALUE"""),43.0)</f>
        <v>43</v>
      </c>
      <c r="G1827" s="35">
        <f>IFERROR(__xludf.DUMMYFUNCTION("""COMPUTED_VALUE"""),35.0)</f>
        <v>35</v>
      </c>
      <c r="H1827" s="35" t="str">
        <f>IFERROR(__xludf.DUMMYFUNCTION("""COMPUTED_VALUE"""),"Algorithms")</f>
        <v>Algorithms</v>
      </c>
      <c r="I1827" s="35">
        <f>IFERROR(__xludf.DUMMYFUNCTION("""COMPUTED_VALUE"""),0.499)</f>
        <v>0.499</v>
      </c>
      <c r="J1827" s="35">
        <f>IFERROR(__xludf.DUMMYFUNCTION("""COMPUTED_VALUE"""),1826.0)</f>
        <v>1826</v>
      </c>
      <c r="K1827" s="35" t="b">
        <f>IFERROR(__xludf.DUMMYFUNCTION("""COMPUTED_VALUE"""),TRUE)</f>
        <v>1</v>
      </c>
      <c r="L1827" s="35" t="str">
        <f>IFERROR(__xludf.DUMMYFUNCTION("""COMPUTED_VALUE"""),"Array;Two Pointers;")</f>
        <v>Array;Two Pointers;</v>
      </c>
      <c r="M1827" s="35" t="b">
        <f>IFERROR(__xludf.DUMMYFUNCTION("""COMPUTED_VALUE"""),FALSE)</f>
        <v>0</v>
      </c>
      <c r="N1827" s="35" t="b">
        <f>IFERROR(__xludf.DUMMYFUNCTION("""COMPUTED_VALUE"""),FALSE)</f>
        <v>0</v>
      </c>
      <c r="O1827" s="35">
        <f>IFERROR(__xludf.DUMMYFUNCTION("""COMPUTED_VALUE"""),49.8704921299063)</f>
        <v>49.87049213</v>
      </c>
      <c r="P1827" s="35">
        <f>IFERROR(__xludf.DUMMYFUNCTION("""COMPUTED_VALUE"""),2503.0)</f>
        <v>2503</v>
      </c>
      <c r="Q1827" s="35">
        <f>IFERROR(__xludf.DUMMYFUNCTION("""COMPUTED_VALUE"""),5019.0)</f>
        <v>5019</v>
      </c>
    </row>
    <row r="1828">
      <c r="A1828" s="35">
        <f>IFERROR(__xludf.DUMMYFUNCTION("""COMPUTED_VALUE"""),1938.0)</f>
        <v>1938</v>
      </c>
      <c r="B1828" s="35" t="str">
        <f>IFERROR(__xludf.DUMMYFUNCTION("""COMPUTED_VALUE"""),"Minimum Operations to Make the Array Increasing")</f>
        <v>Minimum Operations to Make the Array Increasing</v>
      </c>
      <c r="C1828" s="35" t="str">
        <f>IFERROR(__xludf.DUMMYFUNCTION("""COMPUTED_VALUE"""),"minimum-operations-to-make-the-array-increasing")</f>
        <v>minimum-operations-to-make-the-array-increasing</v>
      </c>
      <c r="D1828" s="35" t="b">
        <f>IFERROR(__xludf.DUMMYFUNCTION("""COMPUTED_VALUE"""),FALSE)</f>
        <v>0</v>
      </c>
      <c r="E1828" s="35" t="str">
        <f>IFERROR(__xludf.DUMMYFUNCTION("""COMPUTED_VALUE"""),"Easy")</f>
        <v>Easy</v>
      </c>
      <c r="F1828" s="35">
        <f>IFERROR(__xludf.DUMMYFUNCTION("""COMPUTED_VALUE"""),516.0)</f>
        <v>516</v>
      </c>
      <c r="G1828" s="35">
        <f>IFERROR(__xludf.DUMMYFUNCTION("""COMPUTED_VALUE"""),27.0)</f>
        <v>27</v>
      </c>
      <c r="H1828" s="35" t="str">
        <f>IFERROR(__xludf.DUMMYFUNCTION("""COMPUTED_VALUE"""),"Algorithms")</f>
        <v>Algorithms</v>
      </c>
      <c r="I1828" s="35">
        <f>IFERROR(__xludf.DUMMYFUNCTION("""COMPUTED_VALUE"""),0.782)</f>
        <v>0.782</v>
      </c>
      <c r="J1828" s="35">
        <f>IFERROR(__xludf.DUMMYFUNCTION("""COMPUTED_VALUE"""),1827.0)</f>
        <v>1827</v>
      </c>
      <c r="K1828" s="35" t="b">
        <f>IFERROR(__xludf.DUMMYFUNCTION("""COMPUTED_VALUE"""),FALSE)</f>
        <v>0</v>
      </c>
      <c r="L1828" s="35" t="str">
        <f>IFERROR(__xludf.DUMMYFUNCTION("""COMPUTED_VALUE"""),"Array;Greedy;")</f>
        <v>Array;Greedy;</v>
      </c>
      <c r="M1828" s="35" t="b">
        <f>IFERROR(__xludf.DUMMYFUNCTION("""COMPUTED_VALUE"""),FALSE)</f>
        <v>0</v>
      </c>
      <c r="N1828" s="35" t="b">
        <f>IFERROR(__xludf.DUMMYFUNCTION("""COMPUTED_VALUE"""),FALSE)</f>
        <v>0</v>
      </c>
      <c r="O1828" s="35">
        <f>IFERROR(__xludf.DUMMYFUNCTION("""COMPUTED_VALUE"""),78.2152602324406)</f>
        <v>78.21526023</v>
      </c>
      <c r="P1828" s="35">
        <f>IFERROR(__xludf.DUMMYFUNCTION("""COMPUTED_VALUE"""),38697.0)</f>
        <v>38697</v>
      </c>
      <c r="Q1828" s="35">
        <f>IFERROR(__xludf.DUMMYFUNCTION("""COMPUTED_VALUE"""),49475.0)</f>
        <v>49475</v>
      </c>
    </row>
    <row r="1829">
      <c r="A1829" s="35">
        <f>IFERROR(__xludf.DUMMYFUNCTION("""COMPUTED_VALUE"""),1939.0)</f>
        <v>1939</v>
      </c>
      <c r="B1829" s="35" t="str">
        <f>IFERROR(__xludf.DUMMYFUNCTION("""COMPUTED_VALUE"""),"Queries on Number of Points Inside a Circle")</f>
        <v>Queries on Number of Points Inside a Circle</v>
      </c>
      <c r="C1829" s="35" t="str">
        <f>IFERROR(__xludf.DUMMYFUNCTION("""COMPUTED_VALUE"""),"queries-on-number-of-points-inside-a-circle")</f>
        <v>queries-on-number-of-points-inside-a-circle</v>
      </c>
      <c r="D1829" s="35" t="b">
        <f>IFERROR(__xludf.DUMMYFUNCTION("""COMPUTED_VALUE"""),FALSE)</f>
        <v>0</v>
      </c>
      <c r="E1829" s="35" t="str">
        <f>IFERROR(__xludf.DUMMYFUNCTION("""COMPUTED_VALUE"""),"Medium")</f>
        <v>Medium</v>
      </c>
      <c r="F1829" s="35">
        <f>IFERROR(__xludf.DUMMYFUNCTION("""COMPUTED_VALUE"""),487.0)</f>
        <v>487</v>
      </c>
      <c r="G1829" s="35">
        <f>IFERROR(__xludf.DUMMYFUNCTION("""COMPUTED_VALUE"""),52.0)</f>
        <v>52</v>
      </c>
      <c r="H1829" s="35" t="str">
        <f>IFERROR(__xludf.DUMMYFUNCTION("""COMPUTED_VALUE"""),"Algorithms")</f>
        <v>Algorithms</v>
      </c>
      <c r="I1829" s="35">
        <f>IFERROR(__xludf.DUMMYFUNCTION("""COMPUTED_VALUE"""),0.866)</f>
        <v>0.866</v>
      </c>
      <c r="J1829" s="35">
        <f>IFERROR(__xludf.DUMMYFUNCTION("""COMPUTED_VALUE"""),1828.0)</f>
        <v>1828</v>
      </c>
      <c r="K1829" s="35" t="b">
        <f>IFERROR(__xludf.DUMMYFUNCTION("""COMPUTED_VALUE"""),FALSE)</f>
        <v>0</v>
      </c>
      <c r="L1829" s="35" t="str">
        <f>IFERROR(__xludf.DUMMYFUNCTION("""COMPUTED_VALUE"""),"Array;Math;Geometry;")</f>
        <v>Array;Math;Geometry;</v>
      </c>
      <c r="M1829" s="35" t="b">
        <f>IFERROR(__xludf.DUMMYFUNCTION("""COMPUTED_VALUE"""),FALSE)</f>
        <v>0</v>
      </c>
      <c r="N1829" s="35" t="b">
        <f>IFERROR(__xludf.DUMMYFUNCTION("""COMPUTED_VALUE"""),FALSE)</f>
        <v>0</v>
      </c>
      <c r="O1829" s="35">
        <f>IFERROR(__xludf.DUMMYFUNCTION("""COMPUTED_VALUE"""),86.6371767450904)</f>
        <v>86.63717675</v>
      </c>
      <c r="P1829" s="35">
        <f>IFERROR(__xludf.DUMMYFUNCTION("""COMPUTED_VALUE"""),35645.0)</f>
        <v>35645</v>
      </c>
      <c r="Q1829" s="35">
        <f>IFERROR(__xludf.DUMMYFUNCTION("""COMPUTED_VALUE"""),41143.0)</f>
        <v>41143</v>
      </c>
    </row>
    <row r="1830">
      <c r="A1830" s="35">
        <f>IFERROR(__xludf.DUMMYFUNCTION("""COMPUTED_VALUE"""),1940.0)</f>
        <v>1940</v>
      </c>
      <c r="B1830" s="35" t="str">
        <f>IFERROR(__xludf.DUMMYFUNCTION("""COMPUTED_VALUE"""),"Maximum XOR for Each Query")</f>
        <v>Maximum XOR for Each Query</v>
      </c>
      <c r="C1830" s="35" t="str">
        <f>IFERROR(__xludf.DUMMYFUNCTION("""COMPUTED_VALUE"""),"maximum-xor-for-each-query")</f>
        <v>maximum-xor-for-each-query</v>
      </c>
      <c r="D1830" s="35" t="b">
        <f>IFERROR(__xludf.DUMMYFUNCTION("""COMPUTED_VALUE"""),FALSE)</f>
        <v>0</v>
      </c>
      <c r="E1830" s="35" t="str">
        <f>IFERROR(__xludf.DUMMYFUNCTION("""COMPUTED_VALUE"""),"Medium")</f>
        <v>Medium</v>
      </c>
      <c r="F1830" s="35">
        <f>IFERROR(__xludf.DUMMYFUNCTION("""COMPUTED_VALUE"""),364.0)</f>
        <v>364</v>
      </c>
      <c r="G1830" s="35">
        <f>IFERROR(__xludf.DUMMYFUNCTION("""COMPUTED_VALUE"""),28.0)</f>
        <v>28</v>
      </c>
      <c r="H1830" s="35" t="str">
        <f>IFERROR(__xludf.DUMMYFUNCTION("""COMPUTED_VALUE"""),"Algorithms")</f>
        <v>Algorithms</v>
      </c>
      <c r="I1830" s="35">
        <f>IFERROR(__xludf.DUMMYFUNCTION("""COMPUTED_VALUE"""),0.76)</f>
        <v>0.76</v>
      </c>
      <c r="J1830" s="35">
        <f>IFERROR(__xludf.DUMMYFUNCTION("""COMPUTED_VALUE"""),1829.0)</f>
        <v>1829</v>
      </c>
      <c r="K1830" s="35" t="b">
        <f>IFERROR(__xludf.DUMMYFUNCTION("""COMPUTED_VALUE"""),FALSE)</f>
        <v>0</v>
      </c>
      <c r="L1830" s="35" t="str">
        <f>IFERROR(__xludf.DUMMYFUNCTION("""COMPUTED_VALUE"""),"Array;Bit Manipulation;Prefix Sum;")</f>
        <v>Array;Bit Manipulation;Prefix Sum;</v>
      </c>
      <c r="M1830" s="35" t="b">
        <f>IFERROR(__xludf.DUMMYFUNCTION("""COMPUTED_VALUE"""),FALSE)</f>
        <v>0</v>
      </c>
      <c r="N1830" s="35" t="b">
        <f>IFERROR(__xludf.DUMMYFUNCTION("""COMPUTED_VALUE"""),FALSE)</f>
        <v>0</v>
      </c>
      <c r="O1830" s="35">
        <f>IFERROR(__xludf.DUMMYFUNCTION("""COMPUTED_VALUE"""),76.015625)</f>
        <v>76.015625</v>
      </c>
      <c r="P1830" s="35">
        <f>IFERROR(__xludf.DUMMYFUNCTION("""COMPUTED_VALUE"""),14595.0)</f>
        <v>14595</v>
      </c>
      <c r="Q1830" s="35">
        <f>IFERROR(__xludf.DUMMYFUNCTION("""COMPUTED_VALUE"""),19200.0)</f>
        <v>19200</v>
      </c>
    </row>
    <row r="1831">
      <c r="A1831" s="35">
        <f>IFERROR(__xludf.DUMMYFUNCTION("""COMPUTED_VALUE"""),1941.0)</f>
        <v>1941</v>
      </c>
      <c r="B1831" s="35" t="str">
        <f>IFERROR(__xludf.DUMMYFUNCTION("""COMPUTED_VALUE"""),"Minimum Number of Operations to Make String Sorted")</f>
        <v>Minimum Number of Operations to Make String Sorted</v>
      </c>
      <c r="C1831" s="35" t="str">
        <f>IFERROR(__xludf.DUMMYFUNCTION("""COMPUTED_VALUE"""),"minimum-number-of-operations-to-make-string-sorted")</f>
        <v>minimum-number-of-operations-to-make-string-sorted</v>
      </c>
      <c r="D1831" s="35" t="b">
        <f>IFERROR(__xludf.DUMMYFUNCTION("""COMPUTED_VALUE"""),FALSE)</f>
        <v>0</v>
      </c>
      <c r="E1831" s="35" t="str">
        <f>IFERROR(__xludf.DUMMYFUNCTION("""COMPUTED_VALUE"""),"Hard")</f>
        <v>Hard</v>
      </c>
      <c r="F1831" s="35">
        <f>IFERROR(__xludf.DUMMYFUNCTION("""COMPUTED_VALUE"""),113.0)</f>
        <v>113</v>
      </c>
      <c r="G1831" s="35">
        <f>IFERROR(__xludf.DUMMYFUNCTION("""COMPUTED_VALUE"""),90.0)</f>
        <v>90</v>
      </c>
      <c r="H1831" s="35" t="str">
        <f>IFERROR(__xludf.DUMMYFUNCTION("""COMPUTED_VALUE"""),"Algorithms")</f>
        <v>Algorithms</v>
      </c>
      <c r="I1831" s="35">
        <f>IFERROR(__xludf.DUMMYFUNCTION("""COMPUTED_VALUE"""),0.478)</f>
        <v>0.478</v>
      </c>
      <c r="J1831" s="35">
        <f>IFERROR(__xludf.DUMMYFUNCTION("""COMPUTED_VALUE"""),1830.0)</f>
        <v>1830</v>
      </c>
      <c r="K1831" s="35" t="b">
        <f>IFERROR(__xludf.DUMMYFUNCTION("""COMPUTED_VALUE"""),FALSE)</f>
        <v>0</v>
      </c>
      <c r="L1831" s="35" t="str">
        <f>IFERROR(__xludf.DUMMYFUNCTION("""COMPUTED_VALUE"""),"Math;String;Combinatorics;")</f>
        <v>Math;String;Combinatorics;</v>
      </c>
      <c r="M1831" s="35" t="b">
        <f>IFERROR(__xludf.DUMMYFUNCTION("""COMPUTED_VALUE"""),FALSE)</f>
        <v>0</v>
      </c>
      <c r="N1831" s="35" t="b">
        <f>IFERROR(__xludf.DUMMYFUNCTION("""COMPUTED_VALUE"""),FALSE)</f>
        <v>0</v>
      </c>
      <c r="O1831" s="35">
        <f>IFERROR(__xludf.DUMMYFUNCTION("""COMPUTED_VALUE"""),47.7601961221306)</f>
        <v>47.76019612</v>
      </c>
      <c r="P1831" s="35">
        <f>IFERROR(__xludf.DUMMYFUNCTION("""COMPUTED_VALUE"""),2143.0)</f>
        <v>2143</v>
      </c>
      <c r="Q1831" s="35">
        <f>IFERROR(__xludf.DUMMYFUNCTION("""COMPUTED_VALUE"""),4487.0)</f>
        <v>4487</v>
      </c>
    </row>
    <row r="1832">
      <c r="A1832" s="35">
        <f>IFERROR(__xludf.DUMMYFUNCTION("""COMPUTED_VALUE"""),1981.0)</f>
        <v>1981</v>
      </c>
      <c r="B1832" s="35" t="str">
        <f>IFERROR(__xludf.DUMMYFUNCTION("""COMPUTED_VALUE"""),"Maximum Transaction Each Day")</f>
        <v>Maximum Transaction Each Day</v>
      </c>
      <c r="C1832" s="35" t="str">
        <f>IFERROR(__xludf.DUMMYFUNCTION("""COMPUTED_VALUE"""),"maximum-transaction-each-day")</f>
        <v>maximum-transaction-each-day</v>
      </c>
      <c r="D1832" s="35" t="b">
        <f>IFERROR(__xludf.DUMMYFUNCTION("""COMPUTED_VALUE"""),TRUE)</f>
        <v>1</v>
      </c>
      <c r="E1832" s="35" t="str">
        <f>IFERROR(__xludf.DUMMYFUNCTION("""COMPUTED_VALUE"""),"Medium")</f>
        <v>Medium</v>
      </c>
      <c r="F1832" s="35">
        <f>IFERROR(__xludf.DUMMYFUNCTION("""COMPUTED_VALUE"""),35.0)</f>
        <v>35</v>
      </c>
      <c r="G1832" s="35">
        <f>IFERROR(__xludf.DUMMYFUNCTION("""COMPUTED_VALUE"""),1.0)</f>
        <v>1</v>
      </c>
      <c r="H1832" s="35" t="str">
        <f>IFERROR(__xludf.DUMMYFUNCTION("""COMPUTED_VALUE"""),"Database")</f>
        <v>Database</v>
      </c>
      <c r="I1832" s="35">
        <f>IFERROR(__xludf.DUMMYFUNCTION("""COMPUTED_VALUE"""),0.833)</f>
        <v>0.833</v>
      </c>
      <c r="J1832" s="35">
        <f>IFERROR(__xludf.DUMMYFUNCTION("""COMPUTED_VALUE"""),1831.0)</f>
        <v>1831</v>
      </c>
      <c r="K1832" s="35" t="b">
        <f>IFERROR(__xludf.DUMMYFUNCTION("""COMPUTED_VALUE"""),TRUE)</f>
        <v>1</v>
      </c>
      <c r="L1832" s="35" t="str">
        <f>IFERROR(__xludf.DUMMYFUNCTION("""COMPUTED_VALUE"""),"Database;")</f>
        <v>Database;</v>
      </c>
      <c r="M1832" s="35" t="b">
        <f>IFERROR(__xludf.DUMMYFUNCTION("""COMPUTED_VALUE"""),FALSE)</f>
        <v>0</v>
      </c>
      <c r="N1832" s="35" t="b">
        <f>IFERROR(__xludf.DUMMYFUNCTION("""COMPUTED_VALUE"""),FALSE)</f>
        <v>0</v>
      </c>
      <c r="O1832" s="35">
        <f>IFERROR(__xludf.DUMMYFUNCTION("""COMPUTED_VALUE"""),83.2545663558564)</f>
        <v>83.25456636</v>
      </c>
      <c r="P1832" s="35">
        <f>IFERROR(__xludf.DUMMYFUNCTION("""COMPUTED_VALUE"""),6516.0)</f>
        <v>6516</v>
      </c>
      <c r="Q1832" s="35">
        <f>IFERROR(__xludf.DUMMYFUNCTION("""COMPUTED_VALUE"""),7827.0)</f>
        <v>7827</v>
      </c>
    </row>
    <row r="1833">
      <c r="A1833" s="35">
        <f>IFERROR(__xludf.DUMMYFUNCTION("""COMPUTED_VALUE"""),1960.0)</f>
        <v>1960</v>
      </c>
      <c r="B1833" s="35" t="str">
        <f>IFERROR(__xludf.DUMMYFUNCTION("""COMPUTED_VALUE"""),"Check if the Sentence Is Pangram")</f>
        <v>Check if the Sentence Is Pangram</v>
      </c>
      <c r="C1833" s="35" t="str">
        <f>IFERROR(__xludf.DUMMYFUNCTION("""COMPUTED_VALUE"""),"check-if-the-sentence-is-pangram")</f>
        <v>check-if-the-sentence-is-pangram</v>
      </c>
      <c r="D1833" s="35" t="b">
        <f>IFERROR(__xludf.DUMMYFUNCTION("""COMPUTED_VALUE"""),FALSE)</f>
        <v>0</v>
      </c>
      <c r="E1833" s="35" t="str">
        <f>IFERROR(__xludf.DUMMYFUNCTION("""COMPUTED_VALUE"""),"Easy")</f>
        <v>Easy</v>
      </c>
      <c r="F1833" s="35">
        <f>IFERROR(__xludf.DUMMYFUNCTION("""COMPUTED_VALUE"""),648.0)</f>
        <v>648</v>
      </c>
      <c r="G1833" s="35">
        <f>IFERROR(__xludf.DUMMYFUNCTION("""COMPUTED_VALUE"""),18.0)</f>
        <v>18</v>
      </c>
      <c r="H1833" s="35" t="str">
        <f>IFERROR(__xludf.DUMMYFUNCTION("""COMPUTED_VALUE"""),"Algorithms")</f>
        <v>Algorithms</v>
      </c>
      <c r="I1833" s="35">
        <f>IFERROR(__xludf.DUMMYFUNCTION("""COMPUTED_VALUE"""),0.814)</f>
        <v>0.814</v>
      </c>
      <c r="J1833" s="35">
        <f>IFERROR(__xludf.DUMMYFUNCTION("""COMPUTED_VALUE"""),1832.0)</f>
        <v>1832</v>
      </c>
      <c r="K1833" s="35" t="b">
        <f>IFERROR(__xludf.DUMMYFUNCTION("""COMPUTED_VALUE"""),FALSE)</f>
        <v>0</v>
      </c>
      <c r="L1833" s="35" t="str">
        <f>IFERROR(__xludf.DUMMYFUNCTION("""COMPUTED_VALUE"""),"Hash Table;String;")</f>
        <v>Hash Table;String;</v>
      </c>
      <c r="M1833" s="35" t="b">
        <f>IFERROR(__xludf.DUMMYFUNCTION("""COMPUTED_VALUE"""),FALSE)</f>
        <v>0</v>
      </c>
      <c r="N1833" s="35" t="b">
        <f>IFERROR(__xludf.DUMMYFUNCTION("""COMPUTED_VALUE"""),FALSE)</f>
        <v>0</v>
      </c>
      <c r="O1833" s="35">
        <f>IFERROR(__xludf.DUMMYFUNCTION("""COMPUTED_VALUE"""),81.4090316977855)</f>
        <v>81.4090317</v>
      </c>
      <c r="P1833" s="35">
        <f>IFERROR(__xludf.DUMMYFUNCTION("""COMPUTED_VALUE"""),74992.0)</f>
        <v>74992</v>
      </c>
      <c r="Q1833" s="35">
        <f>IFERROR(__xludf.DUMMYFUNCTION("""COMPUTED_VALUE"""),92118.0)</f>
        <v>92118</v>
      </c>
    </row>
    <row r="1834">
      <c r="A1834" s="35">
        <f>IFERROR(__xludf.DUMMYFUNCTION("""COMPUTED_VALUE"""),1961.0)</f>
        <v>1961</v>
      </c>
      <c r="B1834" s="35" t="str">
        <f>IFERROR(__xludf.DUMMYFUNCTION("""COMPUTED_VALUE"""),"Maximum Ice Cream Bars")</f>
        <v>Maximum Ice Cream Bars</v>
      </c>
      <c r="C1834" s="35" t="str">
        <f>IFERROR(__xludf.DUMMYFUNCTION("""COMPUTED_VALUE"""),"maximum-ice-cream-bars")</f>
        <v>maximum-ice-cream-bars</v>
      </c>
      <c r="D1834" s="35" t="b">
        <f>IFERROR(__xludf.DUMMYFUNCTION("""COMPUTED_VALUE"""),FALSE)</f>
        <v>0</v>
      </c>
      <c r="E1834" s="35" t="str">
        <f>IFERROR(__xludf.DUMMYFUNCTION("""COMPUTED_VALUE"""),"Medium")</f>
        <v>Medium</v>
      </c>
      <c r="F1834" s="35">
        <f>IFERROR(__xludf.DUMMYFUNCTION("""COMPUTED_VALUE"""),312.0)</f>
        <v>312</v>
      </c>
      <c r="G1834" s="35">
        <f>IFERROR(__xludf.DUMMYFUNCTION("""COMPUTED_VALUE"""),131.0)</f>
        <v>131</v>
      </c>
      <c r="H1834" s="35" t="str">
        <f>IFERROR(__xludf.DUMMYFUNCTION("""COMPUTED_VALUE"""),"Algorithms")</f>
        <v>Algorithms</v>
      </c>
      <c r="I1834" s="35">
        <f>IFERROR(__xludf.DUMMYFUNCTION("""COMPUTED_VALUE"""),0.647)</f>
        <v>0.647</v>
      </c>
      <c r="J1834" s="35">
        <f>IFERROR(__xludf.DUMMYFUNCTION("""COMPUTED_VALUE"""),1833.0)</f>
        <v>1833</v>
      </c>
      <c r="K1834" s="35" t="b">
        <f>IFERROR(__xludf.DUMMYFUNCTION("""COMPUTED_VALUE"""),FALSE)</f>
        <v>0</v>
      </c>
      <c r="L1834" s="35" t="str">
        <f>IFERROR(__xludf.DUMMYFUNCTION("""COMPUTED_VALUE"""),"Array;Greedy;Sorting;")</f>
        <v>Array;Greedy;Sorting;</v>
      </c>
      <c r="M1834" s="35" t="b">
        <f>IFERROR(__xludf.DUMMYFUNCTION("""COMPUTED_VALUE"""),FALSE)</f>
        <v>0</v>
      </c>
      <c r="N1834" s="35" t="b">
        <f>IFERROR(__xludf.DUMMYFUNCTION("""COMPUTED_VALUE"""),FALSE)</f>
        <v>0</v>
      </c>
      <c r="O1834" s="35">
        <f>IFERROR(__xludf.DUMMYFUNCTION("""COMPUTED_VALUE"""),64.671374021375)</f>
        <v>64.67137402</v>
      </c>
      <c r="P1834" s="35">
        <f>IFERROR(__xludf.DUMMYFUNCTION("""COMPUTED_VALUE"""),30314.0)</f>
        <v>30314</v>
      </c>
      <c r="Q1834" s="35">
        <f>IFERROR(__xludf.DUMMYFUNCTION("""COMPUTED_VALUE"""),46875.0)</f>
        <v>46875</v>
      </c>
    </row>
    <row r="1835">
      <c r="A1835" s="35">
        <f>IFERROR(__xludf.DUMMYFUNCTION("""COMPUTED_VALUE"""),1962.0)</f>
        <v>1962</v>
      </c>
      <c r="B1835" s="35" t="str">
        <f>IFERROR(__xludf.DUMMYFUNCTION("""COMPUTED_VALUE"""),"Single-Threaded CPU")</f>
        <v>Single-Threaded CPU</v>
      </c>
      <c r="C1835" s="35" t="str">
        <f>IFERROR(__xludf.DUMMYFUNCTION("""COMPUTED_VALUE"""),"single-threaded-cpu")</f>
        <v>single-threaded-cpu</v>
      </c>
      <c r="D1835" s="35" t="b">
        <f>IFERROR(__xludf.DUMMYFUNCTION("""COMPUTED_VALUE"""),FALSE)</f>
        <v>0</v>
      </c>
      <c r="E1835" s="35" t="str">
        <f>IFERROR(__xludf.DUMMYFUNCTION("""COMPUTED_VALUE"""),"Medium")</f>
        <v>Medium</v>
      </c>
      <c r="F1835" s="35">
        <f>IFERROR(__xludf.DUMMYFUNCTION("""COMPUTED_VALUE"""),800.0)</f>
        <v>800</v>
      </c>
      <c r="G1835" s="35">
        <f>IFERROR(__xludf.DUMMYFUNCTION("""COMPUTED_VALUE"""),100.0)</f>
        <v>100</v>
      </c>
      <c r="H1835" s="35" t="str">
        <f>IFERROR(__xludf.DUMMYFUNCTION("""COMPUTED_VALUE"""),"Algorithms")</f>
        <v>Algorithms</v>
      </c>
      <c r="I1835" s="35">
        <f>IFERROR(__xludf.DUMMYFUNCTION("""COMPUTED_VALUE"""),0.405)</f>
        <v>0.405</v>
      </c>
      <c r="J1835" s="35">
        <f>IFERROR(__xludf.DUMMYFUNCTION("""COMPUTED_VALUE"""),1834.0)</f>
        <v>1834</v>
      </c>
      <c r="K1835" s="35" t="b">
        <f>IFERROR(__xludf.DUMMYFUNCTION("""COMPUTED_VALUE"""),FALSE)</f>
        <v>0</v>
      </c>
      <c r="L1835" s="35" t="str">
        <f>IFERROR(__xludf.DUMMYFUNCTION("""COMPUTED_VALUE"""),"Array;Sorting;Heap (Priority Queue);")</f>
        <v>Array;Sorting;Heap (Priority Queue);</v>
      </c>
      <c r="M1835" s="35" t="b">
        <f>IFERROR(__xludf.DUMMYFUNCTION("""COMPUTED_VALUE"""),FALSE)</f>
        <v>0</v>
      </c>
      <c r="N1835" s="35" t="b">
        <f>IFERROR(__xludf.DUMMYFUNCTION("""COMPUTED_VALUE"""),FALSE)</f>
        <v>0</v>
      </c>
      <c r="O1835" s="35">
        <f>IFERROR(__xludf.DUMMYFUNCTION("""COMPUTED_VALUE"""),40.4732056848022)</f>
        <v>40.47320568</v>
      </c>
      <c r="P1835" s="35">
        <f>IFERROR(__xludf.DUMMYFUNCTION("""COMPUTED_VALUE"""),30670.0)</f>
        <v>30670</v>
      </c>
      <c r="Q1835" s="35">
        <f>IFERROR(__xludf.DUMMYFUNCTION("""COMPUTED_VALUE"""),75776.0)</f>
        <v>75776</v>
      </c>
    </row>
    <row r="1836">
      <c r="A1836" s="35">
        <f>IFERROR(__xludf.DUMMYFUNCTION("""COMPUTED_VALUE"""),1963.0)</f>
        <v>1963</v>
      </c>
      <c r="B1836" s="35" t="str">
        <f>IFERROR(__xludf.DUMMYFUNCTION("""COMPUTED_VALUE"""),"Find XOR Sum of All Pairs Bitwise AND")</f>
        <v>Find XOR Sum of All Pairs Bitwise AND</v>
      </c>
      <c r="C1836" s="35" t="str">
        <f>IFERROR(__xludf.DUMMYFUNCTION("""COMPUTED_VALUE"""),"find-xor-sum-of-all-pairs-bitwise-and")</f>
        <v>find-xor-sum-of-all-pairs-bitwise-and</v>
      </c>
      <c r="D1836" s="35" t="b">
        <f>IFERROR(__xludf.DUMMYFUNCTION("""COMPUTED_VALUE"""),FALSE)</f>
        <v>0</v>
      </c>
      <c r="E1836" s="35" t="str">
        <f>IFERROR(__xludf.DUMMYFUNCTION("""COMPUTED_VALUE"""),"Hard")</f>
        <v>Hard</v>
      </c>
      <c r="F1836" s="35">
        <f>IFERROR(__xludf.DUMMYFUNCTION("""COMPUTED_VALUE"""),294.0)</f>
        <v>294</v>
      </c>
      <c r="G1836" s="35">
        <f>IFERROR(__xludf.DUMMYFUNCTION("""COMPUTED_VALUE"""),32.0)</f>
        <v>32</v>
      </c>
      <c r="H1836" s="35" t="str">
        <f>IFERROR(__xludf.DUMMYFUNCTION("""COMPUTED_VALUE"""),"Algorithms")</f>
        <v>Algorithms</v>
      </c>
      <c r="I1836" s="35">
        <f>IFERROR(__xludf.DUMMYFUNCTION("""COMPUTED_VALUE"""),0.588)</f>
        <v>0.588</v>
      </c>
      <c r="J1836" s="35">
        <f>IFERROR(__xludf.DUMMYFUNCTION("""COMPUTED_VALUE"""),1835.0)</f>
        <v>1835</v>
      </c>
      <c r="K1836" s="35" t="b">
        <f>IFERROR(__xludf.DUMMYFUNCTION("""COMPUTED_VALUE"""),FALSE)</f>
        <v>0</v>
      </c>
      <c r="L1836" s="35" t="str">
        <f>IFERROR(__xludf.DUMMYFUNCTION("""COMPUTED_VALUE"""),"Array;Math;Bit Manipulation;")</f>
        <v>Array;Math;Bit Manipulation;</v>
      </c>
      <c r="M1836" s="35" t="b">
        <f>IFERROR(__xludf.DUMMYFUNCTION("""COMPUTED_VALUE"""),FALSE)</f>
        <v>0</v>
      </c>
      <c r="N1836" s="35" t="b">
        <f>IFERROR(__xludf.DUMMYFUNCTION("""COMPUTED_VALUE"""),FALSE)</f>
        <v>0</v>
      </c>
      <c r="O1836" s="35">
        <f>IFERROR(__xludf.DUMMYFUNCTION("""COMPUTED_VALUE"""),58.7618601382218)</f>
        <v>58.76186014</v>
      </c>
      <c r="P1836" s="35">
        <f>IFERROR(__xludf.DUMMYFUNCTION("""COMPUTED_VALUE"""),10033.0)</f>
        <v>10033</v>
      </c>
      <c r="Q1836" s="35">
        <f>IFERROR(__xludf.DUMMYFUNCTION("""COMPUTED_VALUE"""),17074.0)</f>
        <v>17074</v>
      </c>
    </row>
    <row r="1837">
      <c r="A1837" s="35">
        <f>IFERROR(__xludf.DUMMYFUNCTION("""COMPUTED_VALUE"""),1982.0)</f>
        <v>1982</v>
      </c>
      <c r="B1837" s="35" t="str">
        <f>IFERROR(__xludf.DUMMYFUNCTION("""COMPUTED_VALUE"""),"Remove Duplicates From an Unsorted Linked List")</f>
        <v>Remove Duplicates From an Unsorted Linked List</v>
      </c>
      <c r="C1837" s="35" t="str">
        <f>IFERROR(__xludf.DUMMYFUNCTION("""COMPUTED_VALUE"""),"remove-duplicates-from-an-unsorted-linked-list")</f>
        <v>remove-duplicates-from-an-unsorted-linked-list</v>
      </c>
      <c r="D1837" s="35" t="b">
        <f>IFERROR(__xludf.DUMMYFUNCTION("""COMPUTED_VALUE"""),TRUE)</f>
        <v>1</v>
      </c>
      <c r="E1837" s="35" t="str">
        <f>IFERROR(__xludf.DUMMYFUNCTION("""COMPUTED_VALUE"""),"Medium")</f>
        <v>Medium</v>
      </c>
      <c r="F1837" s="35">
        <f>IFERROR(__xludf.DUMMYFUNCTION("""COMPUTED_VALUE"""),180.0)</f>
        <v>180</v>
      </c>
      <c r="G1837" s="35">
        <f>IFERROR(__xludf.DUMMYFUNCTION("""COMPUTED_VALUE"""),5.0)</f>
        <v>5</v>
      </c>
      <c r="H1837" s="35" t="str">
        <f>IFERROR(__xludf.DUMMYFUNCTION("""COMPUTED_VALUE"""),"Algorithms")</f>
        <v>Algorithms</v>
      </c>
      <c r="I1837" s="35">
        <f>IFERROR(__xludf.DUMMYFUNCTION("""COMPUTED_VALUE"""),0.698)</f>
        <v>0.698</v>
      </c>
      <c r="J1837" s="35">
        <f>IFERROR(__xludf.DUMMYFUNCTION("""COMPUTED_VALUE"""),1836.0)</f>
        <v>1836</v>
      </c>
      <c r="K1837" s="35" t="b">
        <f>IFERROR(__xludf.DUMMYFUNCTION("""COMPUTED_VALUE"""),TRUE)</f>
        <v>1</v>
      </c>
      <c r="L1837" s="35" t="str">
        <f>IFERROR(__xludf.DUMMYFUNCTION("""COMPUTED_VALUE"""),"Hash Table;Linked List;")</f>
        <v>Hash Table;Linked List;</v>
      </c>
      <c r="M1837" s="35" t="b">
        <f>IFERROR(__xludf.DUMMYFUNCTION("""COMPUTED_VALUE"""),FALSE)</f>
        <v>0</v>
      </c>
      <c r="N1837" s="35" t="b">
        <f>IFERROR(__xludf.DUMMYFUNCTION("""COMPUTED_VALUE"""),FALSE)</f>
        <v>0</v>
      </c>
      <c r="O1837" s="35">
        <f>IFERROR(__xludf.DUMMYFUNCTION("""COMPUTED_VALUE"""),69.8336693548387)</f>
        <v>69.83366935</v>
      </c>
      <c r="P1837" s="35">
        <f>IFERROR(__xludf.DUMMYFUNCTION("""COMPUTED_VALUE"""),11081.0)</f>
        <v>11081</v>
      </c>
      <c r="Q1837" s="35">
        <f>IFERROR(__xludf.DUMMYFUNCTION("""COMPUTED_VALUE"""),15868.0)</f>
        <v>15868</v>
      </c>
    </row>
    <row r="1838">
      <c r="A1838" s="35">
        <f>IFERROR(__xludf.DUMMYFUNCTION("""COMPUTED_VALUE"""),1965.0)</f>
        <v>1965</v>
      </c>
      <c r="B1838" s="35" t="str">
        <f>IFERROR(__xludf.DUMMYFUNCTION("""COMPUTED_VALUE"""),"Sum of Digits in Base K")</f>
        <v>Sum of Digits in Base K</v>
      </c>
      <c r="C1838" s="35" t="str">
        <f>IFERROR(__xludf.DUMMYFUNCTION("""COMPUTED_VALUE"""),"sum-of-digits-in-base-k")</f>
        <v>sum-of-digits-in-base-k</v>
      </c>
      <c r="D1838" s="35" t="b">
        <f>IFERROR(__xludf.DUMMYFUNCTION("""COMPUTED_VALUE"""),FALSE)</f>
        <v>0</v>
      </c>
      <c r="E1838" s="35" t="str">
        <f>IFERROR(__xludf.DUMMYFUNCTION("""COMPUTED_VALUE"""),"Easy")</f>
        <v>Easy</v>
      </c>
      <c r="F1838" s="35">
        <f>IFERROR(__xludf.DUMMYFUNCTION("""COMPUTED_VALUE"""),273.0)</f>
        <v>273</v>
      </c>
      <c r="G1838" s="35">
        <f>IFERROR(__xludf.DUMMYFUNCTION("""COMPUTED_VALUE"""),22.0)</f>
        <v>22</v>
      </c>
      <c r="H1838" s="35" t="str">
        <f>IFERROR(__xludf.DUMMYFUNCTION("""COMPUTED_VALUE"""),"Algorithms")</f>
        <v>Algorithms</v>
      </c>
      <c r="I1838" s="35">
        <f>IFERROR(__xludf.DUMMYFUNCTION("""COMPUTED_VALUE"""),0.763)</f>
        <v>0.763</v>
      </c>
      <c r="J1838" s="35">
        <f>IFERROR(__xludf.DUMMYFUNCTION("""COMPUTED_VALUE"""),1837.0)</f>
        <v>1837</v>
      </c>
      <c r="K1838" s="35" t="b">
        <f>IFERROR(__xludf.DUMMYFUNCTION("""COMPUTED_VALUE"""),FALSE)</f>
        <v>0</v>
      </c>
      <c r="L1838" s="35" t="str">
        <f>IFERROR(__xludf.DUMMYFUNCTION("""COMPUTED_VALUE"""),"Math;")</f>
        <v>Math;</v>
      </c>
      <c r="M1838" s="35" t="b">
        <f>IFERROR(__xludf.DUMMYFUNCTION("""COMPUTED_VALUE"""),FALSE)</f>
        <v>0</v>
      </c>
      <c r="N1838" s="35" t="b">
        <f>IFERROR(__xludf.DUMMYFUNCTION("""COMPUTED_VALUE"""),FALSE)</f>
        <v>0</v>
      </c>
      <c r="O1838" s="35">
        <f>IFERROR(__xludf.DUMMYFUNCTION("""COMPUTED_VALUE"""),76.2556679455877)</f>
        <v>76.25566795</v>
      </c>
      <c r="P1838" s="35">
        <f>IFERROR(__xludf.DUMMYFUNCTION("""COMPUTED_VALUE"""),26235.0)</f>
        <v>26235</v>
      </c>
      <c r="Q1838" s="35">
        <f>IFERROR(__xludf.DUMMYFUNCTION("""COMPUTED_VALUE"""),34404.0)</f>
        <v>34404</v>
      </c>
    </row>
    <row r="1839">
      <c r="A1839" s="35">
        <f>IFERROR(__xludf.DUMMYFUNCTION("""COMPUTED_VALUE"""),1966.0)</f>
        <v>1966</v>
      </c>
      <c r="B1839" s="35" t="str">
        <f>IFERROR(__xludf.DUMMYFUNCTION("""COMPUTED_VALUE"""),"Frequency of the Most Frequent Element")</f>
        <v>Frequency of the Most Frequent Element</v>
      </c>
      <c r="C1839" s="35" t="str">
        <f>IFERROR(__xludf.DUMMYFUNCTION("""COMPUTED_VALUE"""),"frequency-of-the-most-frequent-element")</f>
        <v>frequency-of-the-most-frequent-element</v>
      </c>
      <c r="D1839" s="35" t="b">
        <f>IFERROR(__xludf.DUMMYFUNCTION("""COMPUTED_VALUE"""),FALSE)</f>
        <v>0</v>
      </c>
      <c r="E1839" s="35" t="str">
        <f>IFERROR(__xludf.DUMMYFUNCTION("""COMPUTED_VALUE"""),"Medium")</f>
        <v>Medium</v>
      </c>
      <c r="F1839" s="35">
        <f>IFERROR(__xludf.DUMMYFUNCTION("""COMPUTED_VALUE"""),1064.0)</f>
        <v>1064</v>
      </c>
      <c r="G1839" s="35">
        <f>IFERROR(__xludf.DUMMYFUNCTION("""COMPUTED_VALUE"""),22.0)</f>
        <v>22</v>
      </c>
      <c r="H1839" s="35" t="str">
        <f>IFERROR(__xludf.DUMMYFUNCTION("""COMPUTED_VALUE"""),"Algorithms")</f>
        <v>Algorithms</v>
      </c>
      <c r="I1839" s="35">
        <f>IFERROR(__xludf.DUMMYFUNCTION("""COMPUTED_VALUE"""),0.363)</f>
        <v>0.363</v>
      </c>
      <c r="J1839" s="35">
        <f>IFERROR(__xludf.DUMMYFUNCTION("""COMPUTED_VALUE"""),1838.0)</f>
        <v>1838</v>
      </c>
      <c r="K1839" s="35" t="b">
        <f>IFERROR(__xludf.DUMMYFUNCTION("""COMPUTED_VALUE"""),FALSE)</f>
        <v>0</v>
      </c>
      <c r="L1839" s="35" t="str">
        <f>IFERROR(__xludf.DUMMYFUNCTION("""COMPUTED_VALUE"""),"Array;Binary Search;Greedy;Sliding Window;Sorting;Prefix Sum;")</f>
        <v>Array;Binary Search;Greedy;Sliding Window;Sorting;Prefix Sum;</v>
      </c>
      <c r="M1839" s="35" t="b">
        <f>IFERROR(__xludf.DUMMYFUNCTION("""COMPUTED_VALUE"""),FALSE)</f>
        <v>0</v>
      </c>
      <c r="N1839" s="35" t="b">
        <f>IFERROR(__xludf.DUMMYFUNCTION("""COMPUTED_VALUE"""),FALSE)</f>
        <v>0</v>
      </c>
      <c r="O1839" s="35">
        <f>IFERROR(__xludf.DUMMYFUNCTION("""COMPUTED_VALUE"""),36.2726928895612)</f>
        <v>36.27269289</v>
      </c>
      <c r="P1839" s="35">
        <f>IFERROR(__xludf.DUMMYFUNCTION("""COMPUTED_VALUE"""),19180.0)</f>
        <v>19180</v>
      </c>
      <c r="Q1839" s="35">
        <f>IFERROR(__xludf.DUMMYFUNCTION("""COMPUTED_VALUE"""),52879.0)</f>
        <v>52879</v>
      </c>
    </row>
    <row r="1840">
      <c r="A1840" s="35">
        <f>IFERROR(__xludf.DUMMYFUNCTION("""COMPUTED_VALUE"""),1967.0)</f>
        <v>1967</v>
      </c>
      <c r="B1840" s="35" t="str">
        <f>IFERROR(__xludf.DUMMYFUNCTION("""COMPUTED_VALUE"""),"Longest Substring Of All Vowels in Order")</f>
        <v>Longest Substring Of All Vowels in Order</v>
      </c>
      <c r="C1840" s="35" t="str">
        <f>IFERROR(__xludf.DUMMYFUNCTION("""COMPUTED_VALUE"""),"longest-substring-of-all-vowels-in-order")</f>
        <v>longest-substring-of-all-vowels-in-order</v>
      </c>
      <c r="D1840" s="35" t="b">
        <f>IFERROR(__xludf.DUMMYFUNCTION("""COMPUTED_VALUE"""),FALSE)</f>
        <v>0</v>
      </c>
      <c r="E1840" s="35" t="str">
        <f>IFERROR(__xludf.DUMMYFUNCTION("""COMPUTED_VALUE"""),"Medium")</f>
        <v>Medium</v>
      </c>
      <c r="F1840" s="35">
        <f>IFERROR(__xludf.DUMMYFUNCTION("""COMPUTED_VALUE"""),370.0)</f>
        <v>370</v>
      </c>
      <c r="G1840" s="35">
        <f>IFERROR(__xludf.DUMMYFUNCTION("""COMPUTED_VALUE"""),11.0)</f>
        <v>11</v>
      </c>
      <c r="H1840" s="35" t="str">
        <f>IFERROR(__xludf.DUMMYFUNCTION("""COMPUTED_VALUE"""),"Algorithms")</f>
        <v>Algorithms</v>
      </c>
      <c r="I1840" s="35">
        <f>IFERROR(__xludf.DUMMYFUNCTION("""COMPUTED_VALUE"""),0.479)</f>
        <v>0.479</v>
      </c>
      <c r="J1840" s="35">
        <f>IFERROR(__xludf.DUMMYFUNCTION("""COMPUTED_VALUE"""),1839.0)</f>
        <v>1839</v>
      </c>
      <c r="K1840" s="35" t="b">
        <f>IFERROR(__xludf.DUMMYFUNCTION("""COMPUTED_VALUE"""),FALSE)</f>
        <v>0</v>
      </c>
      <c r="L1840" s="35" t="str">
        <f>IFERROR(__xludf.DUMMYFUNCTION("""COMPUTED_VALUE"""),"String;Sliding Window;")</f>
        <v>String;Sliding Window;</v>
      </c>
      <c r="M1840" s="35" t="b">
        <f>IFERROR(__xludf.DUMMYFUNCTION("""COMPUTED_VALUE"""),FALSE)</f>
        <v>0</v>
      </c>
      <c r="N1840" s="35" t="b">
        <f>IFERROR(__xludf.DUMMYFUNCTION("""COMPUTED_VALUE"""),FALSE)</f>
        <v>0</v>
      </c>
      <c r="O1840" s="35">
        <f>IFERROR(__xludf.DUMMYFUNCTION("""COMPUTED_VALUE"""),47.8808548089881)</f>
        <v>47.88085481</v>
      </c>
      <c r="P1840" s="35">
        <f>IFERROR(__xludf.DUMMYFUNCTION("""COMPUTED_VALUE"""),17409.0)</f>
        <v>17409</v>
      </c>
      <c r="Q1840" s="35">
        <f>IFERROR(__xludf.DUMMYFUNCTION("""COMPUTED_VALUE"""),36359.0)</f>
        <v>36359</v>
      </c>
    </row>
    <row r="1841">
      <c r="A1841" s="35">
        <f>IFERROR(__xludf.DUMMYFUNCTION("""COMPUTED_VALUE"""),1968.0)</f>
        <v>1968</v>
      </c>
      <c r="B1841" s="35" t="str">
        <f>IFERROR(__xludf.DUMMYFUNCTION("""COMPUTED_VALUE"""),"Maximum Building Height")</f>
        <v>Maximum Building Height</v>
      </c>
      <c r="C1841" s="35" t="str">
        <f>IFERROR(__xludf.DUMMYFUNCTION("""COMPUTED_VALUE"""),"maximum-building-height")</f>
        <v>maximum-building-height</v>
      </c>
      <c r="D1841" s="35" t="b">
        <f>IFERROR(__xludf.DUMMYFUNCTION("""COMPUTED_VALUE"""),FALSE)</f>
        <v>0</v>
      </c>
      <c r="E1841" s="35" t="str">
        <f>IFERROR(__xludf.DUMMYFUNCTION("""COMPUTED_VALUE"""),"Hard")</f>
        <v>Hard</v>
      </c>
      <c r="F1841" s="35">
        <f>IFERROR(__xludf.DUMMYFUNCTION("""COMPUTED_VALUE"""),242.0)</f>
        <v>242</v>
      </c>
      <c r="G1841" s="35">
        <f>IFERROR(__xludf.DUMMYFUNCTION("""COMPUTED_VALUE"""),9.0)</f>
        <v>9</v>
      </c>
      <c r="H1841" s="35" t="str">
        <f>IFERROR(__xludf.DUMMYFUNCTION("""COMPUTED_VALUE"""),"Algorithms")</f>
        <v>Algorithms</v>
      </c>
      <c r="I1841" s="35">
        <f>IFERROR(__xludf.DUMMYFUNCTION("""COMPUTED_VALUE"""),0.348)</f>
        <v>0.348</v>
      </c>
      <c r="J1841" s="35">
        <f>IFERROR(__xludf.DUMMYFUNCTION("""COMPUTED_VALUE"""),1840.0)</f>
        <v>1840</v>
      </c>
      <c r="K1841" s="35" t="b">
        <f>IFERROR(__xludf.DUMMYFUNCTION("""COMPUTED_VALUE"""),FALSE)</f>
        <v>0</v>
      </c>
      <c r="L1841" s="35" t="str">
        <f>IFERROR(__xludf.DUMMYFUNCTION("""COMPUTED_VALUE"""),"Array;Math;")</f>
        <v>Array;Math;</v>
      </c>
      <c r="M1841" s="35" t="b">
        <f>IFERROR(__xludf.DUMMYFUNCTION("""COMPUTED_VALUE"""),FALSE)</f>
        <v>0</v>
      </c>
      <c r="N1841" s="35" t="b">
        <f>IFERROR(__xludf.DUMMYFUNCTION("""COMPUTED_VALUE"""),FALSE)</f>
        <v>0</v>
      </c>
      <c r="O1841" s="35">
        <f>IFERROR(__xludf.DUMMYFUNCTION("""COMPUTED_VALUE"""),34.8310461856278)</f>
        <v>34.83104619</v>
      </c>
      <c r="P1841" s="35">
        <f>IFERROR(__xludf.DUMMYFUNCTION("""COMPUTED_VALUE"""),4721.0)</f>
        <v>4721</v>
      </c>
      <c r="Q1841" s="35">
        <f>IFERROR(__xludf.DUMMYFUNCTION("""COMPUTED_VALUE"""),13554.0)</f>
        <v>13554</v>
      </c>
    </row>
    <row r="1842">
      <c r="A1842" s="35">
        <f>IFERROR(__xludf.DUMMYFUNCTION("""COMPUTED_VALUE"""),1991.0)</f>
        <v>1991</v>
      </c>
      <c r="B1842" s="35" t="str">
        <f>IFERROR(__xludf.DUMMYFUNCTION("""COMPUTED_VALUE"""),"League Statistics")</f>
        <v>League Statistics</v>
      </c>
      <c r="C1842" s="35" t="str">
        <f>IFERROR(__xludf.DUMMYFUNCTION("""COMPUTED_VALUE"""),"league-statistics")</f>
        <v>league-statistics</v>
      </c>
      <c r="D1842" s="35" t="b">
        <f>IFERROR(__xludf.DUMMYFUNCTION("""COMPUTED_VALUE"""),TRUE)</f>
        <v>1</v>
      </c>
      <c r="E1842" s="35" t="str">
        <f>IFERROR(__xludf.DUMMYFUNCTION("""COMPUTED_VALUE"""),"Medium")</f>
        <v>Medium</v>
      </c>
      <c r="F1842" s="35">
        <f>IFERROR(__xludf.DUMMYFUNCTION("""COMPUTED_VALUE"""),48.0)</f>
        <v>48</v>
      </c>
      <c r="G1842" s="35">
        <f>IFERROR(__xludf.DUMMYFUNCTION("""COMPUTED_VALUE"""),29.0)</f>
        <v>29</v>
      </c>
      <c r="H1842" s="35" t="str">
        <f>IFERROR(__xludf.DUMMYFUNCTION("""COMPUTED_VALUE"""),"Database")</f>
        <v>Database</v>
      </c>
      <c r="I1842" s="35">
        <f>IFERROR(__xludf.DUMMYFUNCTION("""COMPUTED_VALUE"""),0.587)</f>
        <v>0.587</v>
      </c>
      <c r="J1842" s="35">
        <f>IFERROR(__xludf.DUMMYFUNCTION("""COMPUTED_VALUE"""),1841.0)</f>
        <v>1841</v>
      </c>
      <c r="K1842" s="35" t="b">
        <f>IFERROR(__xludf.DUMMYFUNCTION("""COMPUTED_VALUE"""),TRUE)</f>
        <v>1</v>
      </c>
      <c r="L1842" s="35" t="str">
        <f>IFERROR(__xludf.DUMMYFUNCTION("""COMPUTED_VALUE"""),"Database;")</f>
        <v>Database;</v>
      </c>
      <c r="M1842" s="35" t="b">
        <f>IFERROR(__xludf.DUMMYFUNCTION("""COMPUTED_VALUE"""),FALSE)</f>
        <v>0</v>
      </c>
      <c r="N1842" s="35" t="b">
        <f>IFERROR(__xludf.DUMMYFUNCTION("""COMPUTED_VALUE"""),FALSE)</f>
        <v>0</v>
      </c>
      <c r="O1842" s="35">
        <f>IFERROR(__xludf.DUMMYFUNCTION("""COMPUTED_VALUE"""),58.7480698420239)</f>
        <v>58.74806984</v>
      </c>
      <c r="P1842" s="35">
        <f>IFERROR(__xludf.DUMMYFUNCTION("""COMPUTED_VALUE"""),4946.0)</f>
        <v>4946</v>
      </c>
      <c r="Q1842" s="35">
        <f>IFERROR(__xludf.DUMMYFUNCTION("""COMPUTED_VALUE"""),8419.0)</f>
        <v>8419</v>
      </c>
    </row>
    <row r="1843">
      <c r="A1843" s="35">
        <f>IFERROR(__xludf.DUMMYFUNCTION("""COMPUTED_VALUE"""),1997.0)</f>
        <v>1997</v>
      </c>
      <c r="B1843" s="35" t="str">
        <f>IFERROR(__xludf.DUMMYFUNCTION("""COMPUTED_VALUE"""),"Next Palindrome Using Same Digits")</f>
        <v>Next Palindrome Using Same Digits</v>
      </c>
      <c r="C1843" s="35" t="str">
        <f>IFERROR(__xludf.DUMMYFUNCTION("""COMPUTED_VALUE"""),"next-palindrome-using-same-digits")</f>
        <v>next-palindrome-using-same-digits</v>
      </c>
      <c r="D1843" s="35" t="b">
        <f>IFERROR(__xludf.DUMMYFUNCTION("""COMPUTED_VALUE"""),TRUE)</f>
        <v>1</v>
      </c>
      <c r="E1843" s="35" t="str">
        <f>IFERROR(__xludf.DUMMYFUNCTION("""COMPUTED_VALUE"""),"Hard")</f>
        <v>Hard</v>
      </c>
      <c r="F1843" s="35">
        <f>IFERROR(__xludf.DUMMYFUNCTION("""COMPUTED_VALUE"""),40.0)</f>
        <v>40</v>
      </c>
      <c r="G1843" s="35">
        <f>IFERROR(__xludf.DUMMYFUNCTION("""COMPUTED_VALUE"""),5.0)</f>
        <v>5</v>
      </c>
      <c r="H1843" s="35" t="str">
        <f>IFERROR(__xludf.DUMMYFUNCTION("""COMPUTED_VALUE"""),"Algorithms")</f>
        <v>Algorithms</v>
      </c>
      <c r="I1843" s="35">
        <f>IFERROR(__xludf.DUMMYFUNCTION("""COMPUTED_VALUE"""),0.569)</f>
        <v>0.569</v>
      </c>
      <c r="J1843" s="35">
        <f>IFERROR(__xludf.DUMMYFUNCTION("""COMPUTED_VALUE"""),1842.0)</f>
        <v>1842</v>
      </c>
      <c r="K1843" s="35" t="b">
        <f>IFERROR(__xludf.DUMMYFUNCTION("""COMPUTED_VALUE"""),TRUE)</f>
        <v>1</v>
      </c>
      <c r="L1843" s="35" t="str">
        <f>IFERROR(__xludf.DUMMYFUNCTION("""COMPUTED_VALUE"""),"Two Pointers;String;")</f>
        <v>Two Pointers;String;</v>
      </c>
      <c r="M1843" s="35" t="b">
        <f>IFERROR(__xludf.DUMMYFUNCTION("""COMPUTED_VALUE"""),FALSE)</f>
        <v>0</v>
      </c>
      <c r="N1843" s="35" t="b">
        <f>IFERROR(__xludf.DUMMYFUNCTION("""COMPUTED_VALUE"""),FALSE)</f>
        <v>0</v>
      </c>
      <c r="O1843" s="35">
        <f>IFERROR(__xludf.DUMMYFUNCTION("""COMPUTED_VALUE"""),56.8778280542986)</f>
        <v>56.87782805</v>
      </c>
      <c r="P1843" s="35">
        <f>IFERROR(__xludf.DUMMYFUNCTION("""COMPUTED_VALUE"""),1257.0)</f>
        <v>1257</v>
      </c>
      <c r="Q1843" s="35">
        <f>IFERROR(__xludf.DUMMYFUNCTION("""COMPUTED_VALUE"""),2210.0)</f>
        <v>2210</v>
      </c>
    </row>
    <row r="1844">
      <c r="A1844" s="35">
        <f>IFERROR(__xludf.DUMMYFUNCTION("""COMPUTED_VALUE"""),1998.0)</f>
        <v>1998</v>
      </c>
      <c r="B1844" s="35" t="str">
        <f>IFERROR(__xludf.DUMMYFUNCTION("""COMPUTED_VALUE"""),"Suspicious Bank Accounts")</f>
        <v>Suspicious Bank Accounts</v>
      </c>
      <c r="C1844" s="35" t="str">
        <f>IFERROR(__xludf.DUMMYFUNCTION("""COMPUTED_VALUE"""),"suspicious-bank-accounts")</f>
        <v>suspicious-bank-accounts</v>
      </c>
      <c r="D1844" s="35" t="b">
        <f>IFERROR(__xludf.DUMMYFUNCTION("""COMPUTED_VALUE"""),TRUE)</f>
        <v>1</v>
      </c>
      <c r="E1844" s="35" t="str">
        <f>IFERROR(__xludf.DUMMYFUNCTION("""COMPUTED_VALUE"""),"Medium")</f>
        <v>Medium</v>
      </c>
      <c r="F1844" s="35">
        <f>IFERROR(__xludf.DUMMYFUNCTION("""COMPUTED_VALUE"""),40.0)</f>
        <v>40</v>
      </c>
      <c r="G1844" s="35">
        <f>IFERROR(__xludf.DUMMYFUNCTION("""COMPUTED_VALUE"""),23.0)</f>
        <v>23</v>
      </c>
      <c r="H1844" s="35" t="str">
        <f>IFERROR(__xludf.DUMMYFUNCTION("""COMPUTED_VALUE"""),"Database")</f>
        <v>Database</v>
      </c>
      <c r="I1844" s="35">
        <f>IFERROR(__xludf.DUMMYFUNCTION("""COMPUTED_VALUE"""),0.491)</f>
        <v>0.491</v>
      </c>
      <c r="J1844" s="35">
        <f>IFERROR(__xludf.DUMMYFUNCTION("""COMPUTED_VALUE"""),1843.0)</f>
        <v>1843</v>
      </c>
      <c r="K1844" s="35" t="b">
        <f>IFERROR(__xludf.DUMMYFUNCTION("""COMPUTED_VALUE"""),TRUE)</f>
        <v>1</v>
      </c>
      <c r="L1844" s="35" t="str">
        <f>IFERROR(__xludf.DUMMYFUNCTION("""COMPUTED_VALUE"""),"Database;")</f>
        <v>Database;</v>
      </c>
      <c r="M1844" s="35" t="b">
        <f>IFERROR(__xludf.DUMMYFUNCTION("""COMPUTED_VALUE"""),FALSE)</f>
        <v>0</v>
      </c>
      <c r="N1844" s="35" t="b">
        <f>IFERROR(__xludf.DUMMYFUNCTION("""COMPUTED_VALUE"""),FALSE)</f>
        <v>0</v>
      </c>
      <c r="O1844" s="35">
        <f>IFERROR(__xludf.DUMMYFUNCTION("""COMPUTED_VALUE"""),49.077868852459)</f>
        <v>49.07786885</v>
      </c>
      <c r="P1844" s="35">
        <f>IFERROR(__xludf.DUMMYFUNCTION("""COMPUTED_VALUE"""),4790.0)</f>
        <v>4790</v>
      </c>
      <c r="Q1844" s="35">
        <f>IFERROR(__xludf.DUMMYFUNCTION("""COMPUTED_VALUE"""),9760.0)</f>
        <v>9760</v>
      </c>
    </row>
    <row r="1845">
      <c r="A1845" s="35">
        <f>IFERROR(__xludf.DUMMYFUNCTION("""COMPUTED_VALUE"""),1954.0)</f>
        <v>1954</v>
      </c>
      <c r="B1845" s="35" t="str">
        <f>IFERROR(__xludf.DUMMYFUNCTION("""COMPUTED_VALUE"""),"Replace All Digits with Characters")</f>
        <v>Replace All Digits with Characters</v>
      </c>
      <c r="C1845" s="35" t="str">
        <f>IFERROR(__xludf.DUMMYFUNCTION("""COMPUTED_VALUE"""),"replace-all-digits-with-characters")</f>
        <v>replace-all-digits-with-characters</v>
      </c>
      <c r="D1845" s="35" t="b">
        <f>IFERROR(__xludf.DUMMYFUNCTION("""COMPUTED_VALUE"""),FALSE)</f>
        <v>0</v>
      </c>
      <c r="E1845" s="35" t="str">
        <f>IFERROR(__xludf.DUMMYFUNCTION("""COMPUTED_VALUE"""),"Easy")</f>
        <v>Easy</v>
      </c>
      <c r="F1845" s="35">
        <f>IFERROR(__xludf.DUMMYFUNCTION("""COMPUTED_VALUE"""),357.0)</f>
        <v>357</v>
      </c>
      <c r="G1845" s="35">
        <f>IFERROR(__xludf.DUMMYFUNCTION("""COMPUTED_VALUE"""),45.0)</f>
        <v>45</v>
      </c>
      <c r="H1845" s="35" t="str">
        <f>IFERROR(__xludf.DUMMYFUNCTION("""COMPUTED_VALUE"""),"Algorithms")</f>
        <v>Algorithms</v>
      </c>
      <c r="I1845" s="35">
        <f>IFERROR(__xludf.DUMMYFUNCTION("""COMPUTED_VALUE"""),0.801)</f>
        <v>0.801</v>
      </c>
      <c r="J1845" s="35">
        <f>IFERROR(__xludf.DUMMYFUNCTION("""COMPUTED_VALUE"""),1844.0)</f>
        <v>1844</v>
      </c>
      <c r="K1845" s="35" t="b">
        <f>IFERROR(__xludf.DUMMYFUNCTION("""COMPUTED_VALUE"""),FALSE)</f>
        <v>0</v>
      </c>
      <c r="L1845" s="35" t="str">
        <f>IFERROR(__xludf.DUMMYFUNCTION("""COMPUTED_VALUE"""),"String;")</f>
        <v>String;</v>
      </c>
      <c r="M1845" s="35" t="b">
        <f>IFERROR(__xludf.DUMMYFUNCTION("""COMPUTED_VALUE"""),FALSE)</f>
        <v>0</v>
      </c>
      <c r="N1845" s="35" t="b">
        <f>IFERROR(__xludf.DUMMYFUNCTION("""COMPUTED_VALUE"""),FALSE)</f>
        <v>0</v>
      </c>
      <c r="O1845" s="35">
        <f>IFERROR(__xludf.DUMMYFUNCTION("""COMPUTED_VALUE"""),80.1093374152635)</f>
        <v>80.10933742</v>
      </c>
      <c r="P1845" s="35">
        <f>IFERROR(__xludf.DUMMYFUNCTION("""COMPUTED_VALUE"""),36631.0)</f>
        <v>36631</v>
      </c>
      <c r="Q1845" s="35">
        <f>IFERROR(__xludf.DUMMYFUNCTION("""COMPUTED_VALUE"""),45727.0)</f>
        <v>45727</v>
      </c>
    </row>
    <row r="1846">
      <c r="A1846" s="35">
        <f>IFERROR(__xludf.DUMMYFUNCTION("""COMPUTED_VALUE"""),1955.0)</f>
        <v>1955</v>
      </c>
      <c r="B1846" s="35" t="str">
        <f>IFERROR(__xludf.DUMMYFUNCTION("""COMPUTED_VALUE"""),"Seat Reservation Manager")</f>
        <v>Seat Reservation Manager</v>
      </c>
      <c r="C1846" s="35" t="str">
        <f>IFERROR(__xludf.DUMMYFUNCTION("""COMPUTED_VALUE"""),"seat-reservation-manager")</f>
        <v>seat-reservation-manager</v>
      </c>
      <c r="D1846" s="35" t="b">
        <f>IFERROR(__xludf.DUMMYFUNCTION("""COMPUTED_VALUE"""),FALSE)</f>
        <v>0</v>
      </c>
      <c r="E1846" s="35" t="str">
        <f>IFERROR(__xludf.DUMMYFUNCTION("""COMPUTED_VALUE"""),"Medium")</f>
        <v>Medium</v>
      </c>
      <c r="F1846" s="35">
        <f>IFERROR(__xludf.DUMMYFUNCTION("""COMPUTED_VALUE"""),269.0)</f>
        <v>269</v>
      </c>
      <c r="G1846" s="35">
        <f>IFERROR(__xludf.DUMMYFUNCTION("""COMPUTED_VALUE"""),21.0)</f>
        <v>21</v>
      </c>
      <c r="H1846" s="35" t="str">
        <f>IFERROR(__xludf.DUMMYFUNCTION("""COMPUTED_VALUE"""),"Algorithms")</f>
        <v>Algorithms</v>
      </c>
      <c r="I1846" s="35">
        <f>IFERROR(__xludf.DUMMYFUNCTION("""COMPUTED_VALUE"""),0.599)</f>
        <v>0.599</v>
      </c>
      <c r="J1846" s="35">
        <f>IFERROR(__xludf.DUMMYFUNCTION("""COMPUTED_VALUE"""),1845.0)</f>
        <v>1845</v>
      </c>
      <c r="K1846" s="35" t="b">
        <f>IFERROR(__xludf.DUMMYFUNCTION("""COMPUTED_VALUE"""),FALSE)</f>
        <v>0</v>
      </c>
      <c r="L1846" s="35" t="str">
        <f>IFERROR(__xludf.DUMMYFUNCTION("""COMPUTED_VALUE"""),"Design;Heap (Priority Queue);")</f>
        <v>Design;Heap (Priority Queue);</v>
      </c>
      <c r="M1846" s="35" t="b">
        <f>IFERROR(__xludf.DUMMYFUNCTION("""COMPUTED_VALUE"""),FALSE)</f>
        <v>0</v>
      </c>
      <c r="N1846" s="35" t="b">
        <f>IFERROR(__xludf.DUMMYFUNCTION("""COMPUTED_VALUE"""),FALSE)</f>
        <v>0</v>
      </c>
      <c r="O1846" s="35">
        <f>IFERROR(__xludf.DUMMYFUNCTION("""COMPUTED_VALUE"""),59.9365243384876)</f>
        <v>59.93652434</v>
      </c>
      <c r="P1846" s="35">
        <f>IFERROR(__xludf.DUMMYFUNCTION("""COMPUTED_VALUE"""),16240.0)</f>
        <v>16240</v>
      </c>
      <c r="Q1846" s="35">
        <f>IFERROR(__xludf.DUMMYFUNCTION("""COMPUTED_VALUE"""),27096.0)</f>
        <v>27096</v>
      </c>
    </row>
    <row r="1847">
      <c r="A1847" s="35">
        <f>IFERROR(__xludf.DUMMYFUNCTION("""COMPUTED_VALUE"""),1956.0)</f>
        <v>1956</v>
      </c>
      <c r="B1847" s="35" t="str">
        <f>IFERROR(__xludf.DUMMYFUNCTION("""COMPUTED_VALUE"""),"Maximum Element After Decreasing and Rearranging")</f>
        <v>Maximum Element After Decreasing and Rearranging</v>
      </c>
      <c r="C1847" s="35" t="str">
        <f>IFERROR(__xludf.DUMMYFUNCTION("""COMPUTED_VALUE"""),"maximum-element-after-decreasing-and-rearranging")</f>
        <v>maximum-element-after-decreasing-and-rearranging</v>
      </c>
      <c r="D1847" s="35" t="b">
        <f>IFERROR(__xludf.DUMMYFUNCTION("""COMPUTED_VALUE"""),FALSE)</f>
        <v>0</v>
      </c>
      <c r="E1847" s="35" t="str">
        <f>IFERROR(__xludf.DUMMYFUNCTION("""COMPUTED_VALUE"""),"Medium")</f>
        <v>Medium</v>
      </c>
      <c r="F1847" s="35">
        <f>IFERROR(__xludf.DUMMYFUNCTION("""COMPUTED_VALUE"""),191.0)</f>
        <v>191</v>
      </c>
      <c r="G1847" s="35">
        <f>IFERROR(__xludf.DUMMYFUNCTION("""COMPUTED_VALUE"""),43.0)</f>
        <v>43</v>
      </c>
      <c r="H1847" s="35" t="str">
        <f>IFERROR(__xludf.DUMMYFUNCTION("""COMPUTED_VALUE"""),"Algorithms")</f>
        <v>Algorithms</v>
      </c>
      <c r="I1847" s="35">
        <f>IFERROR(__xludf.DUMMYFUNCTION("""COMPUTED_VALUE"""),0.574)</f>
        <v>0.574</v>
      </c>
      <c r="J1847" s="35">
        <f>IFERROR(__xludf.DUMMYFUNCTION("""COMPUTED_VALUE"""),1846.0)</f>
        <v>1846</v>
      </c>
      <c r="K1847" s="35" t="b">
        <f>IFERROR(__xludf.DUMMYFUNCTION("""COMPUTED_VALUE"""),FALSE)</f>
        <v>0</v>
      </c>
      <c r="L1847" s="35" t="str">
        <f>IFERROR(__xludf.DUMMYFUNCTION("""COMPUTED_VALUE"""),"Array;Greedy;Sorting;")</f>
        <v>Array;Greedy;Sorting;</v>
      </c>
      <c r="M1847" s="35" t="b">
        <f>IFERROR(__xludf.DUMMYFUNCTION("""COMPUTED_VALUE"""),FALSE)</f>
        <v>0</v>
      </c>
      <c r="N1847" s="35" t="b">
        <f>IFERROR(__xludf.DUMMYFUNCTION("""COMPUTED_VALUE"""),FALSE)</f>
        <v>0</v>
      </c>
      <c r="O1847" s="35">
        <f>IFERROR(__xludf.DUMMYFUNCTION("""COMPUTED_VALUE"""),57.4243428318975)</f>
        <v>57.42434283</v>
      </c>
      <c r="P1847" s="35">
        <f>IFERROR(__xludf.DUMMYFUNCTION("""COMPUTED_VALUE"""),12998.0)</f>
        <v>12998</v>
      </c>
      <c r="Q1847" s="35">
        <f>IFERROR(__xludf.DUMMYFUNCTION("""COMPUTED_VALUE"""),22635.0)</f>
        <v>22635</v>
      </c>
    </row>
    <row r="1848">
      <c r="A1848" s="35">
        <f>IFERROR(__xludf.DUMMYFUNCTION("""COMPUTED_VALUE"""),1957.0)</f>
        <v>1957</v>
      </c>
      <c r="B1848" s="35" t="str">
        <f>IFERROR(__xludf.DUMMYFUNCTION("""COMPUTED_VALUE"""),"Closest Room")</f>
        <v>Closest Room</v>
      </c>
      <c r="C1848" s="35" t="str">
        <f>IFERROR(__xludf.DUMMYFUNCTION("""COMPUTED_VALUE"""),"closest-room")</f>
        <v>closest-room</v>
      </c>
      <c r="D1848" s="35" t="b">
        <f>IFERROR(__xludf.DUMMYFUNCTION("""COMPUTED_VALUE"""),FALSE)</f>
        <v>0</v>
      </c>
      <c r="E1848" s="35" t="str">
        <f>IFERROR(__xludf.DUMMYFUNCTION("""COMPUTED_VALUE"""),"Hard")</f>
        <v>Hard</v>
      </c>
      <c r="F1848" s="35">
        <f>IFERROR(__xludf.DUMMYFUNCTION("""COMPUTED_VALUE"""),303.0)</f>
        <v>303</v>
      </c>
      <c r="G1848" s="35">
        <f>IFERROR(__xludf.DUMMYFUNCTION("""COMPUTED_VALUE"""),12.0)</f>
        <v>12</v>
      </c>
      <c r="H1848" s="35" t="str">
        <f>IFERROR(__xludf.DUMMYFUNCTION("""COMPUTED_VALUE"""),"Algorithms")</f>
        <v>Algorithms</v>
      </c>
      <c r="I1848" s="35">
        <f>IFERROR(__xludf.DUMMYFUNCTION("""COMPUTED_VALUE"""),0.329)</f>
        <v>0.329</v>
      </c>
      <c r="J1848" s="35">
        <f>IFERROR(__xludf.DUMMYFUNCTION("""COMPUTED_VALUE"""),1847.0)</f>
        <v>1847</v>
      </c>
      <c r="K1848" s="35" t="b">
        <f>IFERROR(__xludf.DUMMYFUNCTION("""COMPUTED_VALUE"""),FALSE)</f>
        <v>0</v>
      </c>
      <c r="L1848" s="35" t="str">
        <f>IFERROR(__xludf.DUMMYFUNCTION("""COMPUTED_VALUE"""),"Array;Binary Search;Sorting;")</f>
        <v>Array;Binary Search;Sorting;</v>
      </c>
      <c r="M1848" s="35" t="b">
        <f>IFERROR(__xludf.DUMMYFUNCTION("""COMPUTED_VALUE"""),FALSE)</f>
        <v>0</v>
      </c>
      <c r="N1848" s="35" t="b">
        <f>IFERROR(__xludf.DUMMYFUNCTION("""COMPUTED_VALUE"""),FALSE)</f>
        <v>0</v>
      </c>
      <c r="O1848" s="35">
        <f>IFERROR(__xludf.DUMMYFUNCTION("""COMPUTED_VALUE"""),32.9188606229778)</f>
        <v>32.91886062</v>
      </c>
      <c r="P1848" s="35">
        <f>IFERROR(__xludf.DUMMYFUNCTION("""COMPUTED_VALUE"""),5189.0)</f>
        <v>5189</v>
      </c>
      <c r="Q1848" s="35">
        <f>IFERROR(__xludf.DUMMYFUNCTION("""COMPUTED_VALUE"""),15763.0)</f>
        <v>15763</v>
      </c>
    </row>
    <row r="1849">
      <c r="A1849" s="35">
        <f>IFERROR(__xludf.DUMMYFUNCTION("""COMPUTED_VALUE"""),1975.0)</f>
        <v>1975</v>
      </c>
      <c r="B1849" s="35" t="str">
        <f>IFERROR(__xludf.DUMMYFUNCTION("""COMPUTED_VALUE"""),"Minimum Distance to the Target Element")</f>
        <v>Minimum Distance to the Target Element</v>
      </c>
      <c r="C1849" s="35" t="str">
        <f>IFERROR(__xludf.DUMMYFUNCTION("""COMPUTED_VALUE"""),"minimum-distance-to-the-target-element")</f>
        <v>minimum-distance-to-the-target-element</v>
      </c>
      <c r="D1849" s="35" t="b">
        <f>IFERROR(__xludf.DUMMYFUNCTION("""COMPUTED_VALUE"""),FALSE)</f>
        <v>0</v>
      </c>
      <c r="E1849" s="35" t="str">
        <f>IFERROR(__xludf.DUMMYFUNCTION("""COMPUTED_VALUE"""),"Easy")</f>
        <v>Easy</v>
      </c>
      <c r="F1849" s="35">
        <f>IFERROR(__xludf.DUMMYFUNCTION("""COMPUTED_VALUE"""),160.0)</f>
        <v>160</v>
      </c>
      <c r="G1849" s="35">
        <f>IFERROR(__xludf.DUMMYFUNCTION("""COMPUTED_VALUE"""),37.0)</f>
        <v>37</v>
      </c>
      <c r="H1849" s="35" t="str">
        <f>IFERROR(__xludf.DUMMYFUNCTION("""COMPUTED_VALUE"""),"Algorithms")</f>
        <v>Algorithms</v>
      </c>
      <c r="I1849" s="35">
        <f>IFERROR(__xludf.DUMMYFUNCTION("""COMPUTED_VALUE"""),0.598)</f>
        <v>0.598</v>
      </c>
      <c r="J1849" s="35">
        <f>IFERROR(__xludf.DUMMYFUNCTION("""COMPUTED_VALUE"""),1848.0)</f>
        <v>1848</v>
      </c>
      <c r="K1849" s="35" t="b">
        <f>IFERROR(__xludf.DUMMYFUNCTION("""COMPUTED_VALUE"""),FALSE)</f>
        <v>0</v>
      </c>
      <c r="L1849" s="35" t="str">
        <f>IFERROR(__xludf.DUMMYFUNCTION("""COMPUTED_VALUE"""),"Array;")</f>
        <v>Array;</v>
      </c>
      <c r="M1849" s="35" t="b">
        <f>IFERROR(__xludf.DUMMYFUNCTION("""COMPUTED_VALUE"""),FALSE)</f>
        <v>0</v>
      </c>
      <c r="N1849" s="35" t="b">
        <f>IFERROR(__xludf.DUMMYFUNCTION("""COMPUTED_VALUE"""),FALSE)</f>
        <v>0</v>
      </c>
      <c r="O1849" s="35">
        <f>IFERROR(__xludf.DUMMYFUNCTION("""COMPUTED_VALUE"""),59.8101425190109)</f>
        <v>59.81014252</v>
      </c>
      <c r="P1849" s="35">
        <f>IFERROR(__xludf.DUMMYFUNCTION("""COMPUTED_VALUE"""),23753.0)</f>
        <v>23753</v>
      </c>
      <c r="Q1849" s="35">
        <f>IFERROR(__xludf.DUMMYFUNCTION("""COMPUTED_VALUE"""),39714.0)</f>
        <v>39714</v>
      </c>
    </row>
    <row r="1850">
      <c r="A1850" s="35">
        <f>IFERROR(__xludf.DUMMYFUNCTION("""COMPUTED_VALUE"""),1976.0)</f>
        <v>1976</v>
      </c>
      <c r="B1850" s="35" t="str">
        <f>IFERROR(__xludf.DUMMYFUNCTION("""COMPUTED_VALUE"""),"Splitting a String Into Descending Consecutive Values")</f>
        <v>Splitting a String Into Descending Consecutive Values</v>
      </c>
      <c r="C1850" s="35" t="str">
        <f>IFERROR(__xludf.DUMMYFUNCTION("""COMPUTED_VALUE"""),"splitting-a-string-into-descending-consecutive-values")</f>
        <v>splitting-a-string-into-descending-consecutive-values</v>
      </c>
      <c r="D1850" s="35" t="b">
        <f>IFERROR(__xludf.DUMMYFUNCTION("""COMPUTED_VALUE"""),FALSE)</f>
        <v>0</v>
      </c>
      <c r="E1850" s="35" t="str">
        <f>IFERROR(__xludf.DUMMYFUNCTION("""COMPUTED_VALUE"""),"Medium")</f>
        <v>Medium</v>
      </c>
      <c r="F1850" s="35">
        <f>IFERROR(__xludf.DUMMYFUNCTION("""COMPUTED_VALUE"""),299.0)</f>
        <v>299</v>
      </c>
      <c r="G1850" s="35">
        <f>IFERROR(__xludf.DUMMYFUNCTION("""COMPUTED_VALUE"""),79.0)</f>
        <v>79</v>
      </c>
      <c r="H1850" s="35" t="str">
        <f>IFERROR(__xludf.DUMMYFUNCTION("""COMPUTED_VALUE"""),"Algorithms")</f>
        <v>Algorithms</v>
      </c>
      <c r="I1850" s="35">
        <f>IFERROR(__xludf.DUMMYFUNCTION("""COMPUTED_VALUE"""),0.309)</f>
        <v>0.309</v>
      </c>
      <c r="J1850" s="35">
        <f>IFERROR(__xludf.DUMMYFUNCTION("""COMPUTED_VALUE"""),1849.0)</f>
        <v>1849</v>
      </c>
      <c r="K1850" s="35" t="b">
        <f>IFERROR(__xludf.DUMMYFUNCTION("""COMPUTED_VALUE"""),FALSE)</f>
        <v>0</v>
      </c>
      <c r="L1850" s="35" t="str">
        <f>IFERROR(__xludf.DUMMYFUNCTION("""COMPUTED_VALUE"""),"String;Backtracking;")</f>
        <v>String;Backtracking;</v>
      </c>
      <c r="M1850" s="35" t="b">
        <f>IFERROR(__xludf.DUMMYFUNCTION("""COMPUTED_VALUE"""),FALSE)</f>
        <v>0</v>
      </c>
      <c r="N1850" s="35" t="b">
        <f>IFERROR(__xludf.DUMMYFUNCTION("""COMPUTED_VALUE"""),FALSE)</f>
        <v>0</v>
      </c>
      <c r="O1850" s="35">
        <f>IFERROR(__xludf.DUMMYFUNCTION("""COMPUTED_VALUE"""),30.9041928576362)</f>
        <v>30.90419286</v>
      </c>
      <c r="P1850" s="35">
        <f>IFERROR(__xludf.DUMMYFUNCTION("""COMPUTED_VALUE"""),13422.0)</f>
        <v>13422</v>
      </c>
      <c r="Q1850" s="35">
        <f>IFERROR(__xludf.DUMMYFUNCTION("""COMPUTED_VALUE"""),43431.0)</f>
        <v>43431</v>
      </c>
    </row>
    <row r="1851">
      <c r="A1851" s="35">
        <f>IFERROR(__xludf.DUMMYFUNCTION("""COMPUTED_VALUE"""),1978.0)</f>
        <v>1978</v>
      </c>
      <c r="B1851" s="35" t="str">
        <f>IFERROR(__xludf.DUMMYFUNCTION("""COMPUTED_VALUE"""),"Minimum Adjacent Swaps to Reach the Kth Smallest Number")</f>
        <v>Minimum Adjacent Swaps to Reach the Kth Smallest Number</v>
      </c>
      <c r="C1851" s="35" t="str">
        <f>IFERROR(__xludf.DUMMYFUNCTION("""COMPUTED_VALUE"""),"minimum-adjacent-swaps-to-reach-the-kth-smallest-number")</f>
        <v>minimum-adjacent-swaps-to-reach-the-kth-smallest-number</v>
      </c>
      <c r="D1851" s="35" t="b">
        <f>IFERROR(__xludf.DUMMYFUNCTION("""COMPUTED_VALUE"""),FALSE)</f>
        <v>0</v>
      </c>
      <c r="E1851" s="35" t="str">
        <f>IFERROR(__xludf.DUMMYFUNCTION("""COMPUTED_VALUE"""),"Medium")</f>
        <v>Medium</v>
      </c>
      <c r="F1851" s="35">
        <f>IFERROR(__xludf.DUMMYFUNCTION("""COMPUTED_VALUE"""),395.0)</f>
        <v>395</v>
      </c>
      <c r="G1851" s="35">
        <f>IFERROR(__xludf.DUMMYFUNCTION("""COMPUTED_VALUE"""),53.0)</f>
        <v>53</v>
      </c>
      <c r="H1851" s="35" t="str">
        <f>IFERROR(__xludf.DUMMYFUNCTION("""COMPUTED_VALUE"""),"Algorithms")</f>
        <v>Algorithms</v>
      </c>
      <c r="I1851" s="35">
        <f>IFERROR(__xludf.DUMMYFUNCTION("""COMPUTED_VALUE"""),0.725)</f>
        <v>0.725</v>
      </c>
      <c r="J1851" s="35">
        <f>IFERROR(__xludf.DUMMYFUNCTION("""COMPUTED_VALUE"""),1850.0)</f>
        <v>1850</v>
      </c>
      <c r="K1851" s="35" t="b">
        <f>IFERROR(__xludf.DUMMYFUNCTION("""COMPUTED_VALUE"""),FALSE)</f>
        <v>0</v>
      </c>
      <c r="L1851" s="35" t="str">
        <f>IFERROR(__xludf.DUMMYFUNCTION("""COMPUTED_VALUE"""),"Two Pointers;String;Greedy;")</f>
        <v>Two Pointers;String;Greedy;</v>
      </c>
      <c r="M1851" s="35" t="b">
        <f>IFERROR(__xludf.DUMMYFUNCTION("""COMPUTED_VALUE"""),FALSE)</f>
        <v>0</v>
      </c>
      <c r="N1851" s="35" t="b">
        <f>IFERROR(__xludf.DUMMYFUNCTION("""COMPUTED_VALUE"""),FALSE)</f>
        <v>0</v>
      </c>
      <c r="O1851" s="35">
        <f>IFERROR(__xludf.DUMMYFUNCTION("""COMPUTED_VALUE"""),72.5643957958939)</f>
        <v>72.5643958</v>
      </c>
      <c r="P1851" s="35">
        <f>IFERROR(__xludf.DUMMYFUNCTION("""COMPUTED_VALUE"""),13314.0)</f>
        <v>13314</v>
      </c>
      <c r="Q1851" s="35">
        <f>IFERROR(__xludf.DUMMYFUNCTION("""COMPUTED_VALUE"""),18352.0)</f>
        <v>18352</v>
      </c>
    </row>
    <row r="1852">
      <c r="A1852" s="35">
        <f>IFERROR(__xludf.DUMMYFUNCTION("""COMPUTED_VALUE"""),1977.0)</f>
        <v>1977</v>
      </c>
      <c r="B1852" s="35" t="str">
        <f>IFERROR(__xludf.DUMMYFUNCTION("""COMPUTED_VALUE"""),"Minimum Interval to Include Each Query")</f>
        <v>Minimum Interval to Include Each Query</v>
      </c>
      <c r="C1852" s="35" t="str">
        <f>IFERROR(__xludf.DUMMYFUNCTION("""COMPUTED_VALUE"""),"minimum-interval-to-include-each-query")</f>
        <v>minimum-interval-to-include-each-query</v>
      </c>
      <c r="D1852" s="35" t="b">
        <f>IFERROR(__xludf.DUMMYFUNCTION("""COMPUTED_VALUE"""),FALSE)</f>
        <v>0</v>
      </c>
      <c r="E1852" s="35" t="str">
        <f>IFERROR(__xludf.DUMMYFUNCTION("""COMPUTED_VALUE"""),"Hard")</f>
        <v>Hard</v>
      </c>
      <c r="F1852" s="35">
        <f>IFERROR(__xludf.DUMMYFUNCTION("""COMPUTED_VALUE"""),324.0)</f>
        <v>324</v>
      </c>
      <c r="G1852" s="35">
        <f>IFERROR(__xludf.DUMMYFUNCTION("""COMPUTED_VALUE"""),5.0)</f>
        <v>5</v>
      </c>
      <c r="H1852" s="35" t="str">
        <f>IFERROR(__xludf.DUMMYFUNCTION("""COMPUTED_VALUE"""),"Algorithms")</f>
        <v>Algorithms</v>
      </c>
      <c r="I1852" s="35">
        <f>IFERROR(__xludf.DUMMYFUNCTION("""COMPUTED_VALUE"""),0.454)</f>
        <v>0.454</v>
      </c>
      <c r="J1852" s="35">
        <f>IFERROR(__xludf.DUMMYFUNCTION("""COMPUTED_VALUE"""),1851.0)</f>
        <v>1851</v>
      </c>
      <c r="K1852" s="35" t="b">
        <f>IFERROR(__xludf.DUMMYFUNCTION("""COMPUTED_VALUE"""),FALSE)</f>
        <v>0</v>
      </c>
      <c r="L1852" s="35" t="str">
        <f>IFERROR(__xludf.DUMMYFUNCTION("""COMPUTED_VALUE"""),"Array;Binary Search;Line Sweep;Sorting;Heap (Priority Queue);")</f>
        <v>Array;Binary Search;Line Sweep;Sorting;Heap (Priority Queue);</v>
      </c>
      <c r="M1852" s="35" t="b">
        <f>IFERROR(__xludf.DUMMYFUNCTION("""COMPUTED_VALUE"""),FALSE)</f>
        <v>0</v>
      </c>
      <c r="N1852" s="35" t="b">
        <f>IFERROR(__xludf.DUMMYFUNCTION("""COMPUTED_VALUE"""),FALSE)</f>
        <v>0</v>
      </c>
      <c r="O1852" s="35">
        <f>IFERROR(__xludf.DUMMYFUNCTION("""COMPUTED_VALUE"""),45.3953555668089)</f>
        <v>45.39535557</v>
      </c>
      <c r="P1852" s="35">
        <f>IFERROR(__xludf.DUMMYFUNCTION("""COMPUTED_VALUE"""),6275.0)</f>
        <v>6275</v>
      </c>
      <c r="Q1852" s="35">
        <f>IFERROR(__xludf.DUMMYFUNCTION("""COMPUTED_VALUE"""),13823.0)</f>
        <v>13823</v>
      </c>
    </row>
    <row r="1853">
      <c r="A1853" s="35">
        <f>IFERROR(__xludf.DUMMYFUNCTION("""COMPUTED_VALUE"""),2003.0)</f>
        <v>2003</v>
      </c>
      <c r="B1853" s="35" t="str">
        <f>IFERROR(__xludf.DUMMYFUNCTION("""COMPUTED_VALUE"""),"Distinct Numbers in Each Subarray")</f>
        <v>Distinct Numbers in Each Subarray</v>
      </c>
      <c r="C1853" s="35" t="str">
        <f>IFERROR(__xludf.DUMMYFUNCTION("""COMPUTED_VALUE"""),"distinct-numbers-in-each-subarray")</f>
        <v>distinct-numbers-in-each-subarray</v>
      </c>
      <c r="D1853" s="35" t="b">
        <f>IFERROR(__xludf.DUMMYFUNCTION("""COMPUTED_VALUE"""),TRUE)</f>
        <v>1</v>
      </c>
      <c r="E1853" s="35" t="str">
        <f>IFERROR(__xludf.DUMMYFUNCTION("""COMPUTED_VALUE"""),"Medium")</f>
        <v>Medium</v>
      </c>
      <c r="F1853" s="35">
        <f>IFERROR(__xludf.DUMMYFUNCTION("""COMPUTED_VALUE"""),72.0)</f>
        <v>72</v>
      </c>
      <c r="G1853" s="35">
        <f>IFERROR(__xludf.DUMMYFUNCTION("""COMPUTED_VALUE"""),3.0)</f>
        <v>3</v>
      </c>
      <c r="H1853" s="35" t="str">
        <f>IFERROR(__xludf.DUMMYFUNCTION("""COMPUTED_VALUE"""),"Algorithms")</f>
        <v>Algorithms</v>
      </c>
      <c r="I1853" s="35">
        <f>IFERROR(__xludf.DUMMYFUNCTION("""COMPUTED_VALUE"""),0.727)</f>
        <v>0.727</v>
      </c>
      <c r="J1853" s="35">
        <f>IFERROR(__xludf.DUMMYFUNCTION("""COMPUTED_VALUE"""),1852.0)</f>
        <v>1852</v>
      </c>
      <c r="K1853" s="35" t="b">
        <f>IFERROR(__xludf.DUMMYFUNCTION("""COMPUTED_VALUE"""),TRUE)</f>
        <v>1</v>
      </c>
      <c r="L1853" s="35" t="str">
        <f>IFERROR(__xludf.DUMMYFUNCTION("""COMPUTED_VALUE"""),"Array;Hash Table;Sliding Window;")</f>
        <v>Array;Hash Table;Sliding Window;</v>
      </c>
      <c r="M1853" s="35" t="b">
        <f>IFERROR(__xludf.DUMMYFUNCTION("""COMPUTED_VALUE"""),FALSE)</f>
        <v>0</v>
      </c>
      <c r="N1853" s="35" t="b">
        <f>IFERROR(__xludf.DUMMYFUNCTION("""COMPUTED_VALUE"""),FALSE)</f>
        <v>0</v>
      </c>
      <c r="O1853" s="35">
        <f>IFERROR(__xludf.DUMMYFUNCTION("""COMPUTED_VALUE"""),72.7291710169137)</f>
        <v>72.72917102</v>
      </c>
      <c r="P1853" s="35">
        <f>IFERROR(__xludf.DUMMYFUNCTION("""COMPUTED_VALUE"""),3482.0)</f>
        <v>3482</v>
      </c>
      <c r="Q1853" s="35">
        <f>IFERROR(__xludf.DUMMYFUNCTION("""COMPUTED_VALUE"""),4787.0)</f>
        <v>4787</v>
      </c>
    </row>
    <row r="1854">
      <c r="A1854" s="35">
        <f>IFERROR(__xludf.DUMMYFUNCTION("""COMPUTED_VALUE"""),2004.0)</f>
        <v>2004</v>
      </c>
      <c r="B1854" s="35" t="str">
        <f>IFERROR(__xludf.DUMMYFUNCTION("""COMPUTED_VALUE"""),"Convert Date Format")</f>
        <v>Convert Date Format</v>
      </c>
      <c r="C1854" s="35" t="str">
        <f>IFERROR(__xludf.DUMMYFUNCTION("""COMPUTED_VALUE"""),"convert-date-format")</f>
        <v>convert-date-format</v>
      </c>
      <c r="D1854" s="35" t="b">
        <f>IFERROR(__xludf.DUMMYFUNCTION("""COMPUTED_VALUE"""),TRUE)</f>
        <v>1</v>
      </c>
      <c r="E1854" s="35" t="str">
        <f>IFERROR(__xludf.DUMMYFUNCTION("""COMPUTED_VALUE"""),"Easy")</f>
        <v>Easy</v>
      </c>
      <c r="F1854" s="35">
        <f>IFERROR(__xludf.DUMMYFUNCTION("""COMPUTED_VALUE"""),25.0)</f>
        <v>25</v>
      </c>
      <c r="G1854" s="35">
        <f>IFERROR(__xludf.DUMMYFUNCTION("""COMPUTED_VALUE"""),27.0)</f>
        <v>27</v>
      </c>
      <c r="H1854" s="35" t="str">
        <f>IFERROR(__xludf.DUMMYFUNCTION("""COMPUTED_VALUE"""),"Database")</f>
        <v>Database</v>
      </c>
      <c r="I1854" s="35">
        <f>IFERROR(__xludf.DUMMYFUNCTION("""COMPUTED_VALUE"""),0.876)</f>
        <v>0.876</v>
      </c>
      <c r="J1854" s="35">
        <f>IFERROR(__xludf.DUMMYFUNCTION("""COMPUTED_VALUE"""),1853.0)</f>
        <v>1853</v>
      </c>
      <c r="K1854" s="35" t="b">
        <f>IFERROR(__xludf.DUMMYFUNCTION("""COMPUTED_VALUE"""),TRUE)</f>
        <v>1</v>
      </c>
      <c r="L1854" s="35" t="str">
        <f>IFERROR(__xludf.DUMMYFUNCTION("""COMPUTED_VALUE"""),"Database;")</f>
        <v>Database;</v>
      </c>
      <c r="M1854" s="35" t="b">
        <f>IFERROR(__xludf.DUMMYFUNCTION("""COMPUTED_VALUE"""),FALSE)</f>
        <v>0</v>
      </c>
      <c r="N1854" s="35" t="b">
        <f>IFERROR(__xludf.DUMMYFUNCTION("""COMPUTED_VALUE"""),FALSE)</f>
        <v>0</v>
      </c>
      <c r="O1854" s="35">
        <f>IFERROR(__xludf.DUMMYFUNCTION("""COMPUTED_VALUE"""),87.5905010136113)</f>
        <v>87.59050101</v>
      </c>
      <c r="P1854" s="35">
        <f>IFERROR(__xludf.DUMMYFUNCTION("""COMPUTED_VALUE"""),6047.0)</f>
        <v>6047</v>
      </c>
      <c r="Q1854" s="35">
        <f>IFERROR(__xludf.DUMMYFUNCTION("""COMPUTED_VALUE"""),6904.0)</f>
        <v>6904</v>
      </c>
    </row>
    <row r="1855">
      <c r="A1855" s="35">
        <f>IFERROR(__xludf.DUMMYFUNCTION("""COMPUTED_VALUE"""),1983.0)</f>
        <v>1983</v>
      </c>
      <c r="B1855" s="35" t="str">
        <f>IFERROR(__xludf.DUMMYFUNCTION("""COMPUTED_VALUE"""),"Maximum Population Year")</f>
        <v>Maximum Population Year</v>
      </c>
      <c r="C1855" s="35" t="str">
        <f>IFERROR(__xludf.DUMMYFUNCTION("""COMPUTED_VALUE"""),"maximum-population-year")</f>
        <v>maximum-population-year</v>
      </c>
      <c r="D1855" s="35" t="b">
        <f>IFERROR(__xludf.DUMMYFUNCTION("""COMPUTED_VALUE"""),FALSE)</f>
        <v>0</v>
      </c>
      <c r="E1855" s="35" t="str">
        <f>IFERROR(__xludf.DUMMYFUNCTION("""COMPUTED_VALUE"""),"Easy")</f>
        <v>Easy</v>
      </c>
      <c r="F1855" s="35">
        <f>IFERROR(__xludf.DUMMYFUNCTION("""COMPUTED_VALUE"""),497.0)</f>
        <v>497</v>
      </c>
      <c r="G1855" s="35">
        <f>IFERROR(__xludf.DUMMYFUNCTION("""COMPUTED_VALUE"""),74.0)</f>
        <v>74</v>
      </c>
      <c r="H1855" s="35" t="str">
        <f>IFERROR(__xludf.DUMMYFUNCTION("""COMPUTED_VALUE"""),"Algorithms")</f>
        <v>Algorithms</v>
      </c>
      <c r="I1855" s="35">
        <f>IFERROR(__xludf.DUMMYFUNCTION("""COMPUTED_VALUE"""),0.586)</f>
        <v>0.586</v>
      </c>
      <c r="J1855" s="35">
        <f>IFERROR(__xludf.DUMMYFUNCTION("""COMPUTED_VALUE"""),1854.0)</f>
        <v>1854</v>
      </c>
      <c r="K1855" s="35" t="b">
        <f>IFERROR(__xludf.DUMMYFUNCTION("""COMPUTED_VALUE"""),FALSE)</f>
        <v>0</v>
      </c>
      <c r="L1855" s="35" t="str">
        <f>IFERROR(__xludf.DUMMYFUNCTION("""COMPUTED_VALUE"""),"Array;Counting;")</f>
        <v>Array;Counting;</v>
      </c>
      <c r="M1855" s="35" t="b">
        <f>IFERROR(__xludf.DUMMYFUNCTION("""COMPUTED_VALUE"""),FALSE)</f>
        <v>0</v>
      </c>
      <c r="N1855" s="35" t="b">
        <f>IFERROR(__xludf.DUMMYFUNCTION("""COMPUTED_VALUE"""),FALSE)</f>
        <v>0</v>
      </c>
      <c r="O1855" s="35">
        <f>IFERROR(__xludf.DUMMYFUNCTION("""COMPUTED_VALUE"""),58.6151647685445)</f>
        <v>58.61516477</v>
      </c>
      <c r="P1855" s="35">
        <f>IFERROR(__xludf.DUMMYFUNCTION("""COMPUTED_VALUE"""),27072.0)</f>
        <v>27072</v>
      </c>
      <c r="Q1855" s="35">
        <f>IFERROR(__xludf.DUMMYFUNCTION("""COMPUTED_VALUE"""),46186.0)</f>
        <v>46186</v>
      </c>
    </row>
    <row r="1856">
      <c r="A1856" s="35">
        <f>IFERROR(__xludf.DUMMYFUNCTION("""COMPUTED_VALUE"""),1984.0)</f>
        <v>1984</v>
      </c>
      <c r="B1856" s="35" t="str">
        <f>IFERROR(__xludf.DUMMYFUNCTION("""COMPUTED_VALUE"""),"Maximum Distance Between a Pair of Values")</f>
        <v>Maximum Distance Between a Pair of Values</v>
      </c>
      <c r="C1856" s="35" t="str">
        <f>IFERROR(__xludf.DUMMYFUNCTION("""COMPUTED_VALUE"""),"maximum-distance-between-a-pair-of-values")</f>
        <v>maximum-distance-between-a-pair-of-values</v>
      </c>
      <c r="D1856" s="35" t="b">
        <f>IFERROR(__xludf.DUMMYFUNCTION("""COMPUTED_VALUE"""),FALSE)</f>
        <v>0</v>
      </c>
      <c r="E1856" s="35" t="str">
        <f>IFERROR(__xludf.DUMMYFUNCTION("""COMPUTED_VALUE"""),"Medium")</f>
        <v>Medium</v>
      </c>
      <c r="F1856" s="35">
        <f>IFERROR(__xludf.DUMMYFUNCTION("""COMPUTED_VALUE"""),481.0)</f>
        <v>481</v>
      </c>
      <c r="G1856" s="35">
        <f>IFERROR(__xludf.DUMMYFUNCTION("""COMPUTED_VALUE"""),9.0)</f>
        <v>9</v>
      </c>
      <c r="H1856" s="35" t="str">
        <f>IFERROR(__xludf.DUMMYFUNCTION("""COMPUTED_VALUE"""),"Algorithms")</f>
        <v>Algorithms</v>
      </c>
      <c r="I1856" s="35">
        <f>IFERROR(__xludf.DUMMYFUNCTION("""COMPUTED_VALUE"""),0.49)</f>
        <v>0.49</v>
      </c>
      <c r="J1856" s="35">
        <f>IFERROR(__xludf.DUMMYFUNCTION("""COMPUTED_VALUE"""),1855.0)</f>
        <v>1855</v>
      </c>
      <c r="K1856" s="35" t="b">
        <f>IFERROR(__xludf.DUMMYFUNCTION("""COMPUTED_VALUE"""),FALSE)</f>
        <v>0</v>
      </c>
      <c r="L1856" s="35" t="str">
        <f>IFERROR(__xludf.DUMMYFUNCTION("""COMPUTED_VALUE"""),"Array;Two Pointers;Binary Search;Greedy;")</f>
        <v>Array;Two Pointers;Binary Search;Greedy;</v>
      </c>
      <c r="M1856" s="35" t="b">
        <f>IFERROR(__xludf.DUMMYFUNCTION("""COMPUTED_VALUE"""),FALSE)</f>
        <v>0</v>
      </c>
      <c r="N1856" s="35" t="b">
        <f>IFERROR(__xludf.DUMMYFUNCTION("""COMPUTED_VALUE"""),FALSE)</f>
        <v>0</v>
      </c>
      <c r="O1856" s="35">
        <f>IFERROR(__xludf.DUMMYFUNCTION("""COMPUTED_VALUE"""),48.9519650655021)</f>
        <v>48.95196507</v>
      </c>
      <c r="P1856" s="35">
        <f>IFERROR(__xludf.DUMMYFUNCTION("""COMPUTED_VALUE"""),19057.0)</f>
        <v>19057</v>
      </c>
      <c r="Q1856" s="35">
        <f>IFERROR(__xludf.DUMMYFUNCTION("""COMPUTED_VALUE"""),38929.0)</f>
        <v>38929</v>
      </c>
    </row>
    <row r="1857">
      <c r="A1857" s="35">
        <f>IFERROR(__xludf.DUMMYFUNCTION("""COMPUTED_VALUE"""),1985.0)</f>
        <v>1985</v>
      </c>
      <c r="B1857" s="35" t="str">
        <f>IFERROR(__xludf.DUMMYFUNCTION("""COMPUTED_VALUE"""),"Maximum Subarray Min-Product")</f>
        <v>Maximum Subarray Min-Product</v>
      </c>
      <c r="C1857" s="35" t="str">
        <f>IFERROR(__xludf.DUMMYFUNCTION("""COMPUTED_VALUE"""),"maximum-subarray-min-product")</f>
        <v>maximum-subarray-min-product</v>
      </c>
      <c r="D1857" s="35" t="b">
        <f>IFERROR(__xludf.DUMMYFUNCTION("""COMPUTED_VALUE"""),FALSE)</f>
        <v>0</v>
      </c>
      <c r="E1857" s="35" t="str">
        <f>IFERROR(__xludf.DUMMYFUNCTION("""COMPUTED_VALUE"""),"Medium")</f>
        <v>Medium</v>
      </c>
      <c r="F1857" s="35">
        <f>IFERROR(__xludf.DUMMYFUNCTION("""COMPUTED_VALUE"""),719.0)</f>
        <v>719</v>
      </c>
      <c r="G1857" s="35">
        <f>IFERROR(__xludf.DUMMYFUNCTION("""COMPUTED_VALUE"""),41.0)</f>
        <v>41</v>
      </c>
      <c r="H1857" s="35" t="str">
        <f>IFERROR(__xludf.DUMMYFUNCTION("""COMPUTED_VALUE"""),"Algorithms")</f>
        <v>Algorithms</v>
      </c>
      <c r="I1857" s="35">
        <f>IFERROR(__xludf.DUMMYFUNCTION("""COMPUTED_VALUE"""),0.352)</f>
        <v>0.352</v>
      </c>
      <c r="J1857" s="35">
        <f>IFERROR(__xludf.DUMMYFUNCTION("""COMPUTED_VALUE"""),1856.0)</f>
        <v>1856</v>
      </c>
      <c r="K1857" s="35" t="b">
        <f>IFERROR(__xludf.DUMMYFUNCTION("""COMPUTED_VALUE"""),FALSE)</f>
        <v>0</v>
      </c>
      <c r="L1857" s="35" t="str">
        <f>IFERROR(__xludf.DUMMYFUNCTION("""COMPUTED_VALUE"""),"Array;Stack;Monotonic Stack;Prefix Sum;")</f>
        <v>Array;Stack;Monotonic Stack;Prefix Sum;</v>
      </c>
      <c r="M1857" s="35" t="b">
        <f>IFERROR(__xludf.DUMMYFUNCTION("""COMPUTED_VALUE"""),FALSE)</f>
        <v>0</v>
      </c>
      <c r="N1857" s="35" t="b">
        <f>IFERROR(__xludf.DUMMYFUNCTION("""COMPUTED_VALUE"""),FALSE)</f>
        <v>0</v>
      </c>
      <c r="O1857" s="35">
        <f>IFERROR(__xludf.DUMMYFUNCTION("""COMPUTED_VALUE"""),35.2458242898933)</f>
        <v>35.24582429</v>
      </c>
      <c r="P1857" s="35">
        <f>IFERROR(__xludf.DUMMYFUNCTION("""COMPUTED_VALUE"""),11205.0)</f>
        <v>11205</v>
      </c>
      <c r="Q1857" s="35">
        <f>IFERROR(__xludf.DUMMYFUNCTION("""COMPUTED_VALUE"""),31791.0)</f>
        <v>31791</v>
      </c>
    </row>
    <row r="1858">
      <c r="A1858" s="35">
        <f>IFERROR(__xludf.DUMMYFUNCTION("""COMPUTED_VALUE"""),1986.0)</f>
        <v>1986</v>
      </c>
      <c r="B1858" s="35" t="str">
        <f>IFERROR(__xludf.DUMMYFUNCTION("""COMPUTED_VALUE"""),"Largest Color Value in a Directed Graph")</f>
        <v>Largest Color Value in a Directed Graph</v>
      </c>
      <c r="C1858" s="35" t="str">
        <f>IFERROR(__xludf.DUMMYFUNCTION("""COMPUTED_VALUE"""),"largest-color-value-in-a-directed-graph")</f>
        <v>largest-color-value-in-a-directed-graph</v>
      </c>
      <c r="D1858" s="35" t="b">
        <f>IFERROR(__xludf.DUMMYFUNCTION("""COMPUTED_VALUE"""),FALSE)</f>
        <v>0</v>
      </c>
      <c r="E1858" s="35" t="str">
        <f>IFERROR(__xludf.DUMMYFUNCTION("""COMPUTED_VALUE"""),"Hard")</f>
        <v>Hard</v>
      </c>
      <c r="F1858" s="35">
        <f>IFERROR(__xludf.DUMMYFUNCTION("""COMPUTED_VALUE"""),415.0)</f>
        <v>415</v>
      </c>
      <c r="G1858" s="35">
        <f>IFERROR(__xludf.DUMMYFUNCTION("""COMPUTED_VALUE"""),15.0)</f>
        <v>15</v>
      </c>
      <c r="H1858" s="35" t="str">
        <f>IFERROR(__xludf.DUMMYFUNCTION("""COMPUTED_VALUE"""),"Algorithms")</f>
        <v>Algorithms</v>
      </c>
      <c r="I1858" s="35">
        <f>IFERROR(__xludf.DUMMYFUNCTION("""COMPUTED_VALUE"""),0.396)</f>
        <v>0.396</v>
      </c>
      <c r="J1858" s="35">
        <f>IFERROR(__xludf.DUMMYFUNCTION("""COMPUTED_VALUE"""),1857.0)</f>
        <v>1857</v>
      </c>
      <c r="K1858" s="35" t="b">
        <f>IFERROR(__xludf.DUMMYFUNCTION("""COMPUTED_VALUE"""),FALSE)</f>
        <v>0</v>
      </c>
      <c r="L1858" s="35" t="str">
        <f>IFERROR(__xludf.DUMMYFUNCTION("""COMPUTED_VALUE"""),"Hash Table;Dynamic Programming;Graph;Topological Sort;Memoization;Counting;")</f>
        <v>Hash Table;Dynamic Programming;Graph;Topological Sort;Memoization;Counting;</v>
      </c>
      <c r="M1858" s="35" t="b">
        <f>IFERROR(__xludf.DUMMYFUNCTION("""COMPUTED_VALUE"""),FALSE)</f>
        <v>0</v>
      </c>
      <c r="N1858" s="35" t="b">
        <f>IFERROR(__xludf.DUMMYFUNCTION("""COMPUTED_VALUE"""),FALSE)</f>
        <v>0</v>
      </c>
      <c r="O1858" s="35">
        <f>IFERROR(__xludf.DUMMYFUNCTION("""COMPUTED_VALUE"""),39.6311600857055)</f>
        <v>39.63116009</v>
      </c>
      <c r="P1858" s="35">
        <f>IFERROR(__xludf.DUMMYFUNCTION("""COMPUTED_VALUE"""),10358.0)</f>
        <v>10358</v>
      </c>
      <c r="Q1858" s="35">
        <f>IFERROR(__xludf.DUMMYFUNCTION("""COMPUTED_VALUE"""),26136.0)</f>
        <v>26136</v>
      </c>
    </row>
    <row r="1859">
      <c r="A1859" s="35">
        <f>IFERROR(__xludf.DUMMYFUNCTION("""COMPUTED_VALUE"""),2009.0)</f>
        <v>2009</v>
      </c>
      <c r="B1859" s="35" t="str">
        <f>IFERROR(__xludf.DUMMYFUNCTION("""COMPUTED_VALUE"""),"Longest Word With All Prefixes")</f>
        <v>Longest Word With All Prefixes</v>
      </c>
      <c r="C1859" s="35" t="str">
        <f>IFERROR(__xludf.DUMMYFUNCTION("""COMPUTED_VALUE"""),"longest-word-with-all-prefixes")</f>
        <v>longest-word-with-all-prefixes</v>
      </c>
      <c r="D1859" s="35" t="b">
        <f>IFERROR(__xludf.DUMMYFUNCTION("""COMPUTED_VALUE"""),TRUE)</f>
        <v>1</v>
      </c>
      <c r="E1859" s="35" t="str">
        <f>IFERROR(__xludf.DUMMYFUNCTION("""COMPUTED_VALUE"""),"Medium")</f>
        <v>Medium</v>
      </c>
      <c r="F1859" s="35">
        <f>IFERROR(__xludf.DUMMYFUNCTION("""COMPUTED_VALUE"""),92.0)</f>
        <v>92</v>
      </c>
      <c r="G1859" s="35">
        <f>IFERROR(__xludf.DUMMYFUNCTION("""COMPUTED_VALUE"""),3.0)</f>
        <v>3</v>
      </c>
      <c r="H1859" s="35" t="str">
        <f>IFERROR(__xludf.DUMMYFUNCTION("""COMPUTED_VALUE"""),"Algorithms")</f>
        <v>Algorithms</v>
      </c>
      <c r="I1859" s="35">
        <f>IFERROR(__xludf.DUMMYFUNCTION("""COMPUTED_VALUE"""),0.662)</f>
        <v>0.662</v>
      </c>
      <c r="J1859" s="35">
        <f>IFERROR(__xludf.DUMMYFUNCTION("""COMPUTED_VALUE"""),1858.0)</f>
        <v>1858</v>
      </c>
      <c r="K1859" s="35" t="b">
        <f>IFERROR(__xludf.DUMMYFUNCTION("""COMPUTED_VALUE"""),TRUE)</f>
        <v>1</v>
      </c>
      <c r="L1859" s="35" t="str">
        <f>IFERROR(__xludf.DUMMYFUNCTION("""COMPUTED_VALUE"""),"Depth-First Search;Trie;")</f>
        <v>Depth-First Search;Trie;</v>
      </c>
      <c r="M1859" s="35" t="b">
        <f>IFERROR(__xludf.DUMMYFUNCTION("""COMPUTED_VALUE"""),FALSE)</f>
        <v>0</v>
      </c>
      <c r="N1859" s="35" t="b">
        <f>IFERROR(__xludf.DUMMYFUNCTION("""COMPUTED_VALUE"""),FALSE)</f>
        <v>0</v>
      </c>
      <c r="O1859" s="35">
        <f>IFERROR(__xludf.DUMMYFUNCTION("""COMPUTED_VALUE"""),66.230979321108)</f>
        <v>66.23097932</v>
      </c>
      <c r="P1859" s="35">
        <f>IFERROR(__xludf.DUMMYFUNCTION("""COMPUTED_VALUE"""),3395.0)</f>
        <v>3395</v>
      </c>
      <c r="Q1859" s="35">
        <f>IFERROR(__xludf.DUMMYFUNCTION("""COMPUTED_VALUE"""),5126.0)</f>
        <v>5126</v>
      </c>
    </row>
    <row r="1860">
      <c r="A1860" s="35">
        <f>IFERROR(__xludf.DUMMYFUNCTION("""COMPUTED_VALUE"""),1970.0)</f>
        <v>1970</v>
      </c>
      <c r="B1860" s="35" t="str">
        <f>IFERROR(__xludf.DUMMYFUNCTION("""COMPUTED_VALUE"""),"Sorting the Sentence")</f>
        <v>Sorting the Sentence</v>
      </c>
      <c r="C1860" s="35" t="str">
        <f>IFERROR(__xludf.DUMMYFUNCTION("""COMPUTED_VALUE"""),"sorting-the-sentence")</f>
        <v>sorting-the-sentence</v>
      </c>
      <c r="D1860" s="35" t="b">
        <f>IFERROR(__xludf.DUMMYFUNCTION("""COMPUTED_VALUE"""),FALSE)</f>
        <v>0</v>
      </c>
      <c r="E1860" s="35" t="str">
        <f>IFERROR(__xludf.DUMMYFUNCTION("""COMPUTED_VALUE"""),"Easy")</f>
        <v>Easy</v>
      </c>
      <c r="F1860" s="35">
        <f>IFERROR(__xludf.DUMMYFUNCTION("""COMPUTED_VALUE"""),845.0)</f>
        <v>845</v>
      </c>
      <c r="G1860" s="35">
        <f>IFERROR(__xludf.DUMMYFUNCTION("""COMPUTED_VALUE"""),24.0)</f>
        <v>24</v>
      </c>
      <c r="H1860" s="35" t="str">
        <f>IFERROR(__xludf.DUMMYFUNCTION("""COMPUTED_VALUE"""),"Algorithms")</f>
        <v>Algorithms</v>
      </c>
      <c r="I1860" s="35">
        <f>IFERROR(__xludf.DUMMYFUNCTION("""COMPUTED_VALUE"""),0.845)</f>
        <v>0.845</v>
      </c>
      <c r="J1860" s="35">
        <f>IFERROR(__xludf.DUMMYFUNCTION("""COMPUTED_VALUE"""),1859.0)</f>
        <v>1859</v>
      </c>
      <c r="K1860" s="35" t="b">
        <f>IFERROR(__xludf.DUMMYFUNCTION("""COMPUTED_VALUE"""),FALSE)</f>
        <v>0</v>
      </c>
      <c r="L1860" s="35" t="str">
        <f>IFERROR(__xludf.DUMMYFUNCTION("""COMPUTED_VALUE"""),"String;Sorting;")</f>
        <v>String;Sorting;</v>
      </c>
      <c r="M1860" s="35" t="b">
        <f>IFERROR(__xludf.DUMMYFUNCTION("""COMPUTED_VALUE"""),FALSE)</f>
        <v>0</v>
      </c>
      <c r="N1860" s="35" t="b">
        <f>IFERROR(__xludf.DUMMYFUNCTION("""COMPUTED_VALUE"""),FALSE)</f>
        <v>0</v>
      </c>
      <c r="O1860" s="35">
        <f>IFERROR(__xludf.DUMMYFUNCTION("""COMPUTED_VALUE"""),84.4602433292679)</f>
        <v>84.46024333</v>
      </c>
      <c r="P1860" s="35">
        <f>IFERROR(__xludf.DUMMYFUNCTION("""COMPUTED_VALUE"""),56784.0)</f>
        <v>56784</v>
      </c>
      <c r="Q1860" s="35">
        <f>IFERROR(__xludf.DUMMYFUNCTION("""COMPUTED_VALUE"""),67232.0)</f>
        <v>67232</v>
      </c>
    </row>
    <row r="1861">
      <c r="A1861" s="35">
        <f>IFERROR(__xludf.DUMMYFUNCTION("""COMPUTED_VALUE"""),1971.0)</f>
        <v>1971</v>
      </c>
      <c r="B1861" s="35" t="str">
        <f>IFERROR(__xludf.DUMMYFUNCTION("""COMPUTED_VALUE"""),"Incremental Memory Leak")</f>
        <v>Incremental Memory Leak</v>
      </c>
      <c r="C1861" s="35" t="str">
        <f>IFERROR(__xludf.DUMMYFUNCTION("""COMPUTED_VALUE"""),"incremental-memory-leak")</f>
        <v>incremental-memory-leak</v>
      </c>
      <c r="D1861" s="35" t="b">
        <f>IFERROR(__xludf.DUMMYFUNCTION("""COMPUTED_VALUE"""),FALSE)</f>
        <v>0</v>
      </c>
      <c r="E1861" s="35" t="str">
        <f>IFERROR(__xludf.DUMMYFUNCTION("""COMPUTED_VALUE"""),"Medium")</f>
        <v>Medium</v>
      </c>
      <c r="F1861" s="35">
        <f>IFERROR(__xludf.DUMMYFUNCTION("""COMPUTED_VALUE"""),128.0)</f>
        <v>128</v>
      </c>
      <c r="G1861" s="35">
        <f>IFERROR(__xludf.DUMMYFUNCTION("""COMPUTED_VALUE"""),56.0)</f>
        <v>56</v>
      </c>
      <c r="H1861" s="35" t="str">
        <f>IFERROR(__xludf.DUMMYFUNCTION("""COMPUTED_VALUE"""),"Algorithms")</f>
        <v>Algorithms</v>
      </c>
      <c r="I1861" s="35">
        <f>IFERROR(__xludf.DUMMYFUNCTION("""COMPUTED_VALUE"""),0.708)</f>
        <v>0.708</v>
      </c>
      <c r="J1861" s="35">
        <f>IFERROR(__xludf.DUMMYFUNCTION("""COMPUTED_VALUE"""),1860.0)</f>
        <v>1860</v>
      </c>
      <c r="K1861" s="35" t="b">
        <f>IFERROR(__xludf.DUMMYFUNCTION("""COMPUTED_VALUE"""),FALSE)</f>
        <v>0</v>
      </c>
      <c r="L1861" s="35" t="str">
        <f>IFERROR(__xludf.DUMMYFUNCTION("""COMPUTED_VALUE"""),"Simulation;")</f>
        <v>Simulation;</v>
      </c>
      <c r="M1861" s="35" t="b">
        <f>IFERROR(__xludf.DUMMYFUNCTION("""COMPUTED_VALUE"""),FALSE)</f>
        <v>0</v>
      </c>
      <c r="N1861" s="35" t="b">
        <f>IFERROR(__xludf.DUMMYFUNCTION("""COMPUTED_VALUE"""),FALSE)</f>
        <v>0</v>
      </c>
      <c r="O1861" s="35">
        <f>IFERROR(__xludf.DUMMYFUNCTION("""COMPUTED_VALUE"""),70.8223762849629)</f>
        <v>70.82237628</v>
      </c>
      <c r="P1861" s="35">
        <f>IFERROR(__xludf.DUMMYFUNCTION("""COMPUTED_VALUE"""),11850.0)</f>
        <v>11850</v>
      </c>
      <c r="Q1861" s="35">
        <f>IFERROR(__xludf.DUMMYFUNCTION("""COMPUTED_VALUE"""),16732.0)</f>
        <v>16732</v>
      </c>
    </row>
    <row r="1862">
      <c r="A1862" s="35">
        <f>IFERROR(__xludf.DUMMYFUNCTION("""COMPUTED_VALUE"""),1972.0)</f>
        <v>1972</v>
      </c>
      <c r="B1862" s="35" t="str">
        <f>IFERROR(__xludf.DUMMYFUNCTION("""COMPUTED_VALUE"""),"Rotating the Box")</f>
        <v>Rotating the Box</v>
      </c>
      <c r="C1862" s="35" t="str">
        <f>IFERROR(__xludf.DUMMYFUNCTION("""COMPUTED_VALUE"""),"rotating-the-box")</f>
        <v>rotating-the-box</v>
      </c>
      <c r="D1862" s="35" t="b">
        <f>IFERROR(__xludf.DUMMYFUNCTION("""COMPUTED_VALUE"""),FALSE)</f>
        <v>0</v>
      </c>
      <c r="E1862" s="35" t="str">
        <f>IFERROR(__xludf.DUMMYFUNCTION("""COMPUTED_VALUE"""),"Medium")</f>
        <v>Medium</v>
      </c>
      <c r="F1862" s="35">
        <f>IFERROR(__xludf.DUMMYFUNCTION("""COMPUTED_VALUE"""),531.0)</f>
        <v>531</v>
      </c>
      <c r="G1862" s="35">
        <f>IFERROR(__xludf.DUMMYFUNCTION("""COMPUTED_VALUE"""),29.0)</f>
        <v>29</v>
      </c>
      <c r="H1862" s="35" t="str">
        <f>IFERROR(__xludf.DUMMYFUNCTION("""COMPUTED_VALUE"""),"Algorithms")</f>
        <v>Algorithms</v>
      </c>
      <c r="I1862" s="35">
        <f>IFERROR(__xludf.DUMMYFUNCTION("""COMPUTED_VALUE"""),0.642)</f>
        <v>0.642</v>
      </c>
      <c r="J1862" s="35">
        <f>IFERROR(__xludf.DUMMYFUNCTION("""COMPUTED_VALUE"""),1861.0)</f>
        <v>1861</v>
      </c>
      <c r="K1862" s="35" t="b">
        <f>IFERROR(__xludf.DUMMYFUNCTION("""COMPUTED_VALUE"""),FALSE)</f>
        <v>0</v>
      </c>
      <c r="L1862" s="35" t="str">
        <f>IFERROR(__xludf.DUMMYFUNCTION("""COMPUTED_VALUE"""),"Array;Two Pointers;Matrix;")</f>
        <v>Array;Two Pointers;Matrix;</v>
      </c>
      <c r="M1862" s="35" t="b">
        <f>IFERROR(__xludf.DUMMYFUNCTION("""COMPUTED_VALUE"""),FALSE)</f>
        <v>0</v>
      </c>
      <c r="N1862" s="35" t="b">
        <f>IFERROR(__xludf.DUMMYFUNCTION("""COMPUTED_VALUE"""),FALSE)</f>
        <v>0</v>
      </c>
      <c r="O1862" s="35">
        <f>IFERROR(__xludf.DUMMYFUNCTION("""COMPUTED_VALUE"""),64.2460360263186)</f>
        <v>64.24603603</v>
      </c>
      <c r="P1862" s="35">
        <f>IFERROR(__xludf.DUMMYFUNCTION("""COMPUTED_VALUE"""),23825.0)</f>
        <v>23825</v>
      </c>
      <c r="Q1862" s="35">
        <f>IFERROR(__xludf.DUMMYFUNCTION("""COMPUTED_VALUE"""),37084.0)</f>
        <v>37084</v>
      </c>
    </row>
    <row r="1863">
      <c r="A1863" s="35">
        <f>IFERROR(__xludf.DUMMYFUNCTION("""COMPUTED_VALUE"""),1326.0)</f>
        <v>1326</v>
      </c>
      <c r="B1863" s="35" t="str">
        <f>IFERROR(__xludf.DUMMYFUNCTION("""COMPUTED_VALUE"""),"Sum of Floored Pairs")</f>
        <v>Sum of Floored Pairs</v>
      </c>
      <c r="C1863" s="35" t="str">
        <f>IFERROR(__xludf.DUMMYFUNCTION("""COMPUTED_VALUE"""),"sum-of-floored-pairs")</f>
        <v>sum-of-floored-pairs</v>
      </c>
      <c r="D1863" s="35" t="b">
        <f>IFERROR(__xludf.DUMMYFUNCTION("""COMPUTED_VALUE"""),FALSE)</f>
        <v>0</v>
      </c>
      <c r="E1863" s="35" t="str">
        <f>IFERROR(__xludf.DUMMYFUNCTION("""COMPUTED_VALUE"""),"Hard")</f>
        <v>Hard</v>
      </c>
      <c r="F1863" s="35">
        <f>IFERROR(__xludf.DUMMYFUNCTION("""COMPUTED_VALUE"""),275.0)</f>
        <v>275</v>
      </c>
      <c r="G1863" s="35">
        <f>IFERROR(__xludf.DUMMYFUNCTION("""COMPUTED_VALUE"""),22.0)</f>
        <v>22</v>
      </c>
      <c r="H1863" s="35" t="str">
        <f>IFERROR(__xludf.DUMMYFUNCTION("""COMPUTED_VALUE"""),"Algorithms")</f>
        <v>Algorithms</v>
      </c>
      <c r="I1863" s="35">
        <f>IFERROR(__xludf.DUMMYFUNCTION("""COMPUTED_VALUE"""),0.278)</f>
        <v>0.278</v>
      </c>
      <c r="J1863" s="35">
        <f>IFERROR(__xludf.DUMMYFUNCTION("""COMPUTED_VALUE"""),1862.0)</f>
        <v>1862</v>
      </c>
      <c r="K1863" s="35" t="b">
        <f>IFERROR(__xludf.DUMMYFUNCTION("""COMPUTED_VALUE"""),FALSE)</f>
        <v>0</v>
      </c>
      <c r="L1863" s="35" t="str">
        <f>IFERROR(__xludf.DUMMYFUNCTION("""COMPUTED_VALUE"""),"Array;Math;Binary Search;Prefix Sum;")</f>
        <v>Array;Math;Binary Search;Prefix Sum;</v>
      </c>
      <c r="M1863" s="35" t="b">
        <f>IFERROR(__xludf.DUMMYFUNCTION("""COMPUTED_VALUE"""),FALSE)</f>
        <v>0</v>
      </c>
      <c r="N1863" s="35" t="b">
        <f>IFERROR(__xludf.DUMMYFUNCTION("""COMPUTED_VALUE"""),FALSE)</f>
        <v>0</v>
      </c>
      <c r="O1863" s="35">
        <f>IFERROR(__xludf.DUMMYFUNCTION("""COMPUTED_VALUE"""),27.7576232964016)</f>
        <v>27.7576233</v>
      </c>
      <c r="P1863" s="35">
        <f>IFERROR(__xludf.DUMMYFUNCTION("""COMPUTED_VALUE"""),5662.0)</f>
        <v>5662</v>
      </c>
      <c r="Q1863" s="35">
        <f>IFERROR(__xludf.DUMMYFUNCTION("""COMPUTED_VALUE"""),20398.0)</f>
        <v>20398</v>
      </c>
    </row>
    <row r="1864">
      <c r="A1864" s="35">
        <f>IFERROR(__xludf.DUMMYFUNCTION("""COMPUTED_VALUE"""),1993.0)</f>
        <v>1993</v>
      </c>
      <c r="B1864" s="35" t="str">
        <f>IFERROR(__xludf.DUMMYFUNCTION("""COMPUTED_VALUE"""),"Sum of All Subset XOR Totals")</f>
        <v>Sum of All Subset XOR Totals</v>
      </c>
      <c r="C1864" s="35" t="str">
        <f>IFERROR(__xludf.DUMMYFUNCTION("""COMPUTED_VALUE"""),"sum-of-all-subset-xor-totals")</f>
        <v>sum-of-all-subset-xor-totals</v>
      </c>
      <c r="D1864" s="35" t="b">
        <f>IFERROR(__xludf.DUMMYFUNCTION("""COMPUTED_VALUE"""),FALSE)</f>
        <v>0</v>
      </c>
      <c r="E1864" s="35" t="str">
        <f>IFERROR(__xludf.DUMMYFUNCTION("""COMPUTED_VALUE"""),"Easy")</f>
        <v>Easy</v>
      </c>
      <c r="F1864" s="35">
        <f>IFERROR(__xludf.DUMMYFUNCTION("""COMPUTED_VALUE"""),687.0)</f>
        <v>687</v>
      </c>
      <c r="G1864" s="35">
        <f>IFERROR(__xludf.DUMMYFUNCTION("""COMPUTED_VALUE"""),71.0)</f>
        <v>71</v>
      </c>
      <c r="H1864" s="35" t="str">
        <f>IFERROR(__xludf.DUMMYFUNCTION("""COMPUTED_VALUE"""),"Algorithms")</f>
        <v>Algorithms</v>
      </c>
      <c r="I1864" s="35">
        <f>IFERROR(__xludf.DUMMYFUNCTION("""COMPUTED_VALUE"""),0.786)</f>
        <v>0.786</v>
      </c>
      <c r="J1864" s="35">
        <f>IFERROR(__xludf.DUMMYFUNCTION("""COMPUTED_VALUE"""),1863.0)</f>
        <v>1863</v>
      </c>
      <c r="K1864" s="35" t="b">
        <f>IFERROR(__xludf.DUMMYFUNCTION("""COMPUTED_VALUE"""),FALSE)</f>
        <v>0</v>
      </c>
      <c r="L1864" s="35" t="str">
        <f>IFERROR(__xludf.DUMMYFUNCTION("""COMPUTED_VALUE"""),"Array;Math;Backtracking;Bit Manipulation;Combinatorics;")</f>
        <v>Array;Math;Backtracking;Bit Manipulation;Combinatorics;</v>
      </c>
      <c r="M1864" s="35" t="b">
        <f>IFERROR(__xludf.DUMMYFUNCTION("""COMPUTED_VALUE"""),FALSE)</f>
        <v>0</v>
      </c>
      <c r="N1864" s="35" t="b">
        <f>IFERROR(__xludf.DUMMYFUNCTION("""COMPUTED_VALUE"""),FALSE)</f>
        <v>0</v>
      </c>
      <c r="O1864" s="35">
        <f>IFERROR(__xludf.DUMMYFUNCTION("""COMPUTED_VALUE"""),78.6180532078121)</f>
        <v>78.61805321</v>
      </c>
      <c r="P1864" s="35">
        <f>IFERROR(__xludf.DUMMYFUNCTION("""COMPUTED_VALUE"""),30229.0)</f>
        <v>30229</v>
      </c>
      <c r="Q1864" s="35">
        <f>IFERROR(__xludf.DUMMYFUNCTION("""COMPUTED_VALUE"""),38450.0)</f>
        <v>38450</v>
      </c>
    </row>
    <row r="1865">
      <c r="A1865" s="35">
        <f>IFERROR(__xludf.DUMMYFUNCTION("""COMPUTED_VALUE"""),1994.0)</f>
        <v>1994</v>
      </c>
      <c r="B1865" s="35" t="str">
        <f>IFERROR(__xludf.DUMMYFUNCTION("""COMPUTED_VALUE"""),"Minimum Number of Swaps to Make the Binary String Alternating")</f>
        <v>Minimum Number of Swaps to Make the Binary String Alternating</v>
      </c>
      <c r="C1865" s="35" t="str">
        <f>IFERROR(__xludf.DUMMYFUNCTION("""COMPUTED_VALUE"""),"minimum-number-of-swaps-to-make-the-binary-string-alternating")</f>
        <v>minimum-number-of-swaps-to-make-the-binary-string-alternating</v>
      </c>
      <c r="D1865" s="35" t="b">
        <f>IFERROR(__xludf.DUMMYFUNCTION("""COMPUTED_VALUE"""),FALSE)</f>
        <v>0</v>
      </c>
      <c r="E1865" s="35" t="str">
        <f>IFERROR(__xludf.DUMMYFUNCTION("""COMPUTED_VALUE"""),"Medium")</f>
        <v>Medium</v>
      </c>
      <c r="F1865" s="35">
        <f>IFERROR(__xludf.DUMMYFUNCTION("""COMPUTED_VALUE"""),280.0)</f>
        <v>280</v>
      </c>
      <c r="G1865" s="35">
        <f>IFERROR(__xludf.DUMMYFUNCTION("""COMPUTED_VALUE"""),22.0)</f>
        <v>22</v>
      </c>
      <c r="H1865" s="35" t="str">
        <f>IFERROR(__xludf.DUMMYFUNCTION("""COMPUTED_VALUE"""),"Algorithms")</f>
        <v>Algorithms</v>
      </c>
      <c r="I1865" s="35">
        <f>IFERROR(__xludf.DUMMYFUNCTION("""COMPUTED_VALUE"""),0.383)</f>
        <v>0.383</v>
      </c>
      <c r="J1865" s="35">
        <f>IFERROR(__xludf.DUMMYFUNCTION("""COMPUTED_VALUE"""),1864.0)</f>
        <v>1864</v>
      </c>
      <c r="K1865" s="35" t="b">
        <f>IFERROR(__xludf.DUMMYFUNCTION("""COMPUTED_VALUE"""),FALSE)</f>
        <v>0</v>
      </c>
      <c r="L1865" s="35" t="str">
        <f>IFERROR(__xludf.DUMMYFUNCTION("""COMPUTED_VALUE"""),"String;Greedy;")</f>
        <v>String;Greedy;</v>
      </c>
      <c r="M1865" s="35" t="b">
        <f>IFERROR(__xludf.DUMMYFUNCTION("""COMPUTED_VALUE"""),FALSE)</f>
        <v>0</v>
      </c>
      <c r="N1865" s="35" t="b">
        <f>IFERROR(__xludf.DUMMYFUNCTION("""COMPUTED_VALUE"""),FALSE)</f>
        <v>0</v>
      </c>
      <c r="O1865" s="35">
        <f>IFERROR(__xludf.DUMMYFUNCTION("""COMPUTED_VALUE"""),38.3072407045009)</f>
        <v>38.3072407</v>
      </c>
      <c r="P1865" s="35">
        <f>IFERROR(__xludf.DUMMYFUNCTION("""COMPUTED_VALUE"""),12528.0)</f>
        <v>12528</v>
      </c>
      <c r="Q1865" s="35">
        <f>IFERROR(__xludf.DUMMYFUNCTION("""COMPUTED_VALUE"""),32704.0)</f>
        <v>32704</v>
      </c>
    </row>
    <row r="1866">
      <c r="A1866" s="35">
        <f>IFERROR(__xludf.DUMMYFUNCTION("""COMPUTED_VALUE"""),1995.0)</f>
        <v>1995</v>
      </c>
      <c r="B1866" s="35" t="str">
        <f>IFERROR(__xludf.DUMMYFUNCTION("""COMPUTED_VALUE"""),"Finding Pairs With a Certain Sum")</f>
        <v>Finding Pairs With a Certain Sum</v>
      </c>
      <c r="C1866" s="35" t="str">
        <f>IFERROR(__xludf.DUMMYFUNCTION("""COMPUTED_VALUE"""),"finding-pairs-with-a-certain-sum")</f>
        <v>finding-pairs-with-a-certain-sum</v>
      </c>
      <c r="D1866" s="35" t="b">
        <f>IFERROR(__xludf.DUMMYFUNCTION("""COMPUTED_VALUE"""),FALSE)</f>
        <v>0</v>
      </c>
      <c r="E1866" s="35" t="str">
        <f>IFERROR(__xludf.DUMMYFUNCTION("""COMPUTED_VALUE"""),"Medium")</f>
        <v>Medium</v>
      </c>
      <c r="F1866" s="35">
        <f>IFERROR(__xludf.DUMMYFUNCTION("""COMPUTED_VALUE"""),285.0)</f>
        <v>285</v>
      </c>
      <c r="G1866" s="35">
        <f>IFERROR(__xludf.DUMMYFUNCTION("""COMPUTED_VALUE"""),73.0)</f>
        <v>73</v>
      </c>
      <c r="H1866" s="35" t="str">
        <f>IFERROR(__xludf.DUMMYFUNCTION("""COMPUTED_VALUE"""),"Algorithms")</f>
        <v>Algorithms</v>
      </c>
      <c r="I1866" s="35">
        <f>IFERROR(__xludf.DUMMYFUNCTION("""COMPUTED_VALUE"""),0.488)</f>
        <v>0.488</v>
      </c>
      <c r="J1866" s="35">
        <f>IFERROR(__xludf.DUMMYFUNCTION("""COMPUTED_VALUE"""),1865.0)</f>
        <v>1865</v>
      </c>
      <c r="K1866" s="35" t="b">
        <f>IFERROR(__xludf.DUMMYFUNCTION("""COMPUTED_VALUE"""),FALSE)</f>
        <v>0</v>
      </c>
      <c r="L1866" s="35" t="str">
        <f>IFERROR(__xludf.DUMMYFUNCTION("""COMPUTED_VALUE"""),"Array;Hash Table;Design;")</f>
        <v>Array;Hash Table;Design;</v>
      </c>
      <c r="M1866" s="35" t="b">
        <f>IFERROR(__xludf.DUMMYFUNCTION("""COMPUTED_VALUE"""),FALSE)</f>
        <v>0</v>
      </c>
      <c r="N1866" s="35" t="b">
        <f>IFERROR(__xludf.DUMMYFUNCTION("""COMPUTED_VALUE"""),FALSE)</f>
        <v>0</v>
      </c>
      <c r="O1866" s="35">
        <f>IFERROR(__xludf.DUMMYFUNCTION("""COMPUTED_VALUE"""),48.795970468502)</f>
        <v>48.79597047</v>
      </c>
      <c r="P1866" s="35">
        <f>IFERROR(__xludf.DUMMYFUNCTION("""COMPUTED_VALUE"""),14144.0)</f>
        <v>14144</v>
      </c>
      <c r="Q1866" s="35">
        <f>IFERROR(__xludf.DUMMYFUNCTION("""COMPUTED_VALUE"""),28985.0)</f>
        <v>28985</v>
      </c>
    </row>
    <row r="1867">
      <c r="A1867" s="35">
        <f>IFERROR(__xludf.DUMMYFUNCTION("""COMPUTED_VALUE"""),1996.0)</f>
        <v>1996</v>
      </c>
      <c r="B1867" s="35" t="str">
        <f>IFERROR(__xludf.DUMMYFUNCTION("""COMPUTED_VALUE"""),"Number of Ways to Rearrange Sticks With K Sticks Visible")</f>
        <v>Number of Ways to Rearrange Sticks With K Sticks Visible</v>
      </c>
      <c r="C1867" s="35" t="str">
        <f>IFERROR(__xludf.DUMMYFUNCTION("""COMPUTED_VALUE"""),"number-of-ways-to-rearrange-sticks-with-k-sticks-visible")</f>
        <v>number-of-ways-to-rearrange-sticks-with-k-sticks-visible</v>
      </c>
      <c r="D1867" s="35" t="b">
        <f>IFERROR(__xludf.DUMMYFUNCTION("""COMPUTED_VALUE"""),FALSE)</f>
        <v>0</v>
      </c>
      <c r="E1867" s="35" t="str">
        <f>IFERROR(__xludf.DUMMYFUNCTION("""COMPUTED_VALUE"""),"Hard")</f>
        <v>Hard</v>
      </c>
      <c r="F1867" s="35">
        <f>IFERROR(__xludf.DUMMYFUNCTION("""COMPUTED_VALUE"""),423.0)</f>
        <v>423</v>
      </c>
      <c r="G1867" s="35">
        <f>IFERROR(__xludf.DUMMYFUNCTION("""COMPUTED_VALUE"""),9.0)</f>
        <v>9</v>
      </c>
      <c r="H1867" s="35" t="str">
        <f>IFERROR(__xludf.DUMMYFUNCTION("""COMPUTED_VALUE"""),"Algorithms")</f>
        <v>Algorithms</v>
      </c>
      <c r="I1867" s="35">
        <f>IFERROR(__xludf.DUMMYFUNCTION("""COMPUTED_VALUE"""),0.553)</f>
        <v>0.553</v>
      </c>
      <c r="J1867" s="35">
        <f>IFERROR(__xludf.DUMMYFUNCTION("""COMPUTED_VALUE"""),1866.0)</f>
        <v>1866</v>
      </c>
      <c r="K1867" s="35" t="b">
        <f>IFERROR(__xludf.DUMMYFUNCTION("""COMPUTED_VALUE"""),FALSE)</f>
        <v>0</v>
      </c>
      <c r="L1867" s="35" t="str">
        <f>IFERROR(__xludf.DUMMYFUNCTION("""COMPUTED_VALUE"""),"Math;Dynamic Programming;Combinatorics;")</f>
        <v>Math;Dynamic Programming;Combinatorics;</v>
      </c>
      <c r="M1867" s="35" t="b">
        <f>IFERROR(__xludf.DUMMYFUNCTION("""COMPUTED_VALUE"""),FALSE)</f>
        <v>0</v>
      </c>
      <c r="N1867" s="35" t="b">
        <f>IFERROR(__xludf.DUMMYFUNCTION("""COMPUTED_VALUE"""),FALSE)</f>
        <v>0</v>
      </c>
      <c r="O1867" s="35">
        <f>IFERROR(__xludf.DUMMYFUNCTION("""COMPUTED_VALUE"""),55.2878755287875)</f>
        <v>55.28787553</v>
      </c>
      <c r="P1867" s="35">
        <f>IFERROR(__xludf.DUMMYFUNCTION("""COMPUTED_VALUE"""),7711.0)</f>
        <v>7711</v>
      </c>
      <c r="Q1867" s="35">
        <f>IFERROR(__xludf.DUMMYFUNCTION("""COMPUTED_VALUE"""),13947.0)</f>
        <v>13947</v>
      </c>
    </row>
    <row r="1868">
      <c r="A1868" s="35">
        <f>IFERROR(__xludf.DUMMYFUNCTION("""COMPUTED_VALUE"""),2014.0)</f>
        <v>2014</v>
      </c>
      <c r="B1868" s="35" t="str">
        <f>IFERROR(__xludf.DUMMYFUNCTION("""COMPUTED_VALUE"""),"Orders With Maximum Quantity Above Average")</f>
        <v>Orders With Maximum Quantity Above Average</v>
      </c>
      <c r="C1868" s="35" t="str">
        <f>IFERROR(__xludf.DUMMYFUNCTION("""COMPUTED_VALUE"""),"orders-with-maximum-quantity-above-average")</f>
        <v>orders-with-maximum-quantity-above-average</v>
      </c>
      <c r="D1868" s="35" t="b">
        <f>IFERROR(__xludf.DUMMYFUNCTION("""COMPUTED_VALUE"""),TRUE)</f>
        <v>1</v>
      </c>
      <c r="E1868" s="35" t="str">
        <f>IFERROR(__xludf.DUMMYFUNCTION("""COMPUTED_VALUE"""),"Medium")</f>
        <v>Medium</v>
      </c>
      <c r="F1868" s="35">
        <f>IFERROR(__xludf.DUMMYFUNCTION("""COMPUTED_VALUE"""),27.0)</f>
        <v>27</v>
      </c>
      <c r="G1868" s="35">
        <f>IFERROR(__xludf.DUMMYFUNCTION("""COMPUTED_VALUE"""),99.0)</f>
        <v>99</v>
      </c>
      <c r="H1868" s="35" t="str">
        <f>IFERROR(__xludf.DUMMYFUNCTION("""COMPUTED_VALUE"""),"Database")</f>
        <v>Database</v>
      </c>
      <c r="I1868" s="35">
        <f>IFERROR(__xludf.DUMMYFUNCTION("""COMPUTED_VALUE"""),0.761)</f>
        <v>0.761</v>
      </c>
      <c r="J1868" s="35">
        <f>IFERROR(__xludf.DUMMYFUNCTION("""COMPUTED_VALUE"""),1867.0)</f>
        <v>1867</v>
      </c>
      <c r="K1868" s="35" t="b">
        <f>IFERROR(__xludf.DUMMYFUNCTION("""COMPUTED_VALUE"""),TRUE)</f>
        <v>1</v>
      </c>
      <c r="L1868" s="35" t="str">
        <f>IFERROR(__xludf.DUMMYFUNCTION("""COMPUTED_VALUE"""),"Database;")</f>
        <v>Database;</v>
      </c>
      <c r="M1868" s="35" t="b">
        <f>IFERROR(__xludf.DUMMYFUNCTION("""COMPUTED_VALUE"""),FALSE)</f>
        <v>0</v>
      </c>
      <c r="N1868" s="35" t="b">
        <f>IFERROR(__xludf.DUMMYFUNCTION("""COMPUTED_VALUE"""),FALSE)</f>
        <v>0</v>
      </c>
      <c r="O1868" s="35">
        <f>IFERROR(__xludf.DUMMYFUNCTION("""COMPUTED_VALUE"""),76.1274572786843)</f>
        <v>76.12745728</v>
      </c>
      <c r="P1868" s="35">
        <f>IFERROR(__xludf.DUMMYFUNCTION("""COMPUTED_VALUE"""),5925.0)</f>
        <v>5925</v>
      </c>
      <c r="Q1868" s="35">
        <f>IFERROR(__xludf.DUMMYFUNCTION("""COMPUTED_VALUE"""),7783.0)</f>
        <v>7783</v>
      </c>
    </row>
    <row r="1869">
      <c r="A1869" s="35">
        <f>IFERROR(__xludf.DUMMYFUNCTION("""COMPUTED_VALUE"""),2019.0)</f>
        <v>2019</v>
      </c>
      <c r="B1869" s="35" t="str">
        <f>IFERROR(__xludf.DUMMYFUNCTION("""COMPUTED_VALUE"""),"Product of Two Run-Length Encoded Arrays")</f>
        <v>Product of Two Run-Length Encoded Arrays</v>
      </c>
      <c r="C1869" s="35" t="str">
        <f>IFERROR(__xludf.DUMMYFUNCTION("""COMPUTED_VALUE"""),"product-of-two-run-length-encoded-arrays")</f>
        <v>product-of-two-run-length-encoded-arrays</v>
      </c>
      <c r="D1869" s="35" t="b">
        <f>IFERROR(__xludf.DUMMYFUNCTION("""COMPUTED_VALUE"""),TRUE)</f>
        <v>1</v>
      </c>
      <c r="E1869" s="35" t="str">
        <f>IFERROR(__xludf.DUMMYFUNCTION("""COMPUTED_VALUE"""),"Medium")</f>
        <v>Medium</v>
      </c>
      <c r="F1869" s="35">
        <f>IFERROR(__xludf.DUMMYFUNCTION("""COMPUTED_VALUE"""),195.0)</f>
        <v>195</v>
      </c>
      <c r="G1869" s="35">
        <f>IFERROR(__xludf.DUMMYFUNCTION("""COMPUTED_VALUE"""),26.0)</f>
        <v>26</v>
      </c>
      <c r="H1869" s="35" t="str">
        <f>IFERROR(__xludf.DUMMYFUNCTION("""COMPUTED_VALUE"""),"Algorithms")</f>
        <v>Algorithms</v>
      </c>
      <c r="I1869" s="35">
        <f>IFERROR(__xludf.DUMMYFUNCTION("""COMPUTED_VALUE"""),0.584)</f>
        <v>0.584</v>
      </c>
      <c r="J1869" s="35">
        <f>IFERROR(__xludf.DUMMYFUNCTION("""COMPUTED_VALUE"""),1868.0)</f>
        <v>1868</v>
      </c>
      <c r="K1869" s="35" t="b">
        <f>IFERROR(__xludf.DUMMYFUNCTION("""COMPUTED_VALUE"""),TRUE)</f>
        <v>1</v>
      </c>
      <c r="L1869" s="35" t="str">
        <f>IFERROR(__xludf.DUMMYFUNCTION("""COMPUTED_VALUE"""),"Array;Two Pointers;")</f>
        <v>Array;Two Pointers;</v>
      </c>
      <c r="M1869" s="35" t="b">
        <f>IFERROR(__xludf.DUMMYFUNCTION("""COMPUTED_VALUE"""),FALSE)</f>
        <v>0</v>
      </c>
      <c r="N1869" s="35" t="b">
        <f>IFERROR(__xludf.DUMMYFUNCTION("""COMPUTED_VALUE"""),FALSE)</f>
        <v>0</v>
      </c>
      <c r="O1869" s="35">
        <f>IFERROR(__xludf.DUMMYFUNCTION("""COMPUTED_VALUE"""),58.3857749158495)</f>
        <v>58.38577492</v>
      </c>
      <c r="P1869" s="35">
        <f>IFERROR(__xludf.DUMMYFUNCTION("""COMPUTED_VALUE"""),15958.0)</f>
        <v>15958</v>
      </c>
      <c r="Q1869" s="35">
        <f>IFERROR(__xludf.DUMMYFUNCTION("""COMPUTED_VALUE"""),27332.0)</f>
        <v>27332</v>
      </c>
    </row>
    <row r="1870">
      <c r="A1870" s="35">
        <f>IFERROR(__xludf.DUMMYFUNCTION("""COMPUTED_VALUE"""),1999.0)</f>
        <v>1999</v>
      </c>
      <c r="B1870" s="35" t="str">
        <f>IFERROR(__xludf.DUMMYFUNCTION("""COMPUTED_VALUE"""),"Longer Contiguous Segments of Ones than Zeros")</f>
        <v>Longer Contiguous Segments of Ones than Zeros</v>
      </c>
      <c r="C1870" s="35" t="str">
        <f>IFERROR(__xludf.DUMMYFUNCTION("""COMPUTED_VALUE"""),"longer-contiguous-segments-of-ones-than-zeros")</f>
        <v>longer-contiguous-segments-of-ones-than-zeros</v>
      </c>
      <c r="D1870" s="35" t="b">
        <f>IFERROR(__xludf.DUMMYFUNCTION("""COMPUTED_VALUE"""),FALSE)</f>
        <v>0</v>
      </c>
      <c r="E1870" s="35" t="str">
        <f>IFERROR(__xludf.DUMMYFUNCTION("""COMPUTED_VALUE"""),"Easy")</f>
        <v>Easy</v>
      </c>
      <c r="F1870" s="35">
        <f>IFERROR(__xludf.DUMMYFUNCTION("""COMPUTED_VALUE"""),269.0)</f>
        <v>269</v>
      </c>
      <c r="G1870" s="35">
        <f>IFERROR(__xludf.DUMMYFUNCTION("""COMPUTED_VALUE"""),6.0)</f>
        <v>6</v>
      </c>
      <c r="H1870" s="35" t="str">
        <f>IFERROR(__xludf.DUMMYFUNCTION("""COMPUTED_VALUE"""),"Algorithms")</f>
        <v>Algorithms</v>
      </c>
      <c r="I1870" s="35">
        <f>IFERROR(__xludf.DUMMYFUNCTION("""COMPUTED_VALUE"""),0.601)</f>
        <v>0.601</v>
      </c>
      <c r="J1870" s="35">
        <f>IFERROR(__xludf.DUMMYFUNCTION("""COMPUTED_VALUE"""),1869.0)</f>
        <v>1869</v>
      </c>
      <c r="K1870" s="35" t="b">
        <f>IFERROR(__xludf.DUMMYFUNCTION("""COMPUTED_VALUE"""),FALSE)</f>
        <v>0</v>
      </c>
      <c r="L1870" s="35" t="str">
        <f>IFERROR(__xludf.DUMMYFUNCTION("""COMPUTED_VALUE"""),"String;")</f>
        <v>String;</v>
      </c>
      <c r="M1870" s="35" t="b">
        <f>IFERROR(__xludf.DUMMYFUNCTION("""COMPUTED_VALUE"""),FALSE)</f>
        <v>0</v>
      </c>
      <c r="N1870" s="35" t="b">
        <f>IFERROR(__xludf.DUMMYFUNCTION("""COMPUTED_VALUE"""),FALSE)</f>
        <v>0</v>
      </c>
      <c r="O1870" s="35">
        <f>IFERROR(__xludf.DUMMYFUNCTION("""COMPUTED_VALUE"""),60.0890799503634)</f>
        <v>60.08907995</v>
      </c>
      <c r="P1870" s="35">
        <f>IFERROR(__xludf.DUMMYFUNCTION("""COMPUTED_VALUE"""),27117.0)</f>
        <v>27117</v>
      </c>
      <c r="Q1870" s="35">
        <f>IFERROR(__xludf.DUMMYFUNCTION("""COMPUTED_VALUE"""),45128.0)</f>
        <v>45128</v>
      </c>
    </row>
    <row r="1871">
      <c r="A1871" s="35">
        <f>IFERROR(__xludf.DUMMYFUNCTION("""COMPUTED_VALUE"""),2000.0)</f>
        <v>2000</v>
      </c>
      <c r="B1871" s="35" t="str">
        <f>IFERROR(__xludf.DUMMYFUNCTION("""COMPUTED_VALUE"""),"Minimum Speed to Arrive on Time")</f>
        <v>Minimum Speed to Arrive on Time</v>
      </c>
      <c r="C1871" s="35" t="str">
        <f>IFERROR(__xludf.DUMMYFUNCTION("""COMPUTED_VALUE"""),"minimum-speed-to-arrive-on-time")</f>
        <v>minimum-speed-to-arrive-on-time</v>
      </c>
      <c r="D1871" s="35" t="b">
        <f>IFERROR(__xludf.DUMMYFUNCTION("""COMPUTED_VALUE"""),FALSE)</f>
        <v>0</v>
      </c>
      <c r="E1871" s="35" t="str">
        <f>IFERROR(__xludf.DUMMYFUNCTION("""COMPUTED_VALUE"""),"Medium")</f>
        <v>Medium</v>
      </c>
      <c r="F1871" s="35">
        <f>IFERROR(__xludf.DUMMYFUNCTION("""COMPUTED_VALUE"""),419.0)</f>
        <v>419</v>
      </c>
      <c r="G1871" s="35">
        <f>IFERROR(__xludf.DUMMYFUNCTION("""COMPUTED_VALUE"""),73.0)</f>
        <v>73</v>
      </c>
      <c r="H1871" s="35" t="str">
        <f>IFERROR(__xludf.DUMMYFUNCTION("""COMPUTED_VALUE"""),"Algorithms")</f>
        <v>Algorithms</v>
      </c>
      <c r="I1871" s="35">
        <f>IFERROR(__xludf.DUMMYFUNCTION("""COMPUTED_VALUE"""),0.352)</f>
        <v>0.352</v>
      </c>
      <c r="J1871" s="35">
        <f>IFERROR(__xludf.DUMMYFUNCTION("""COMPUTED_VALUE"""),1870.0)</f>
        <v>1870</v>
      </c>
      <c r="K1871" s="35" t="b">
        <f>IFERROR(__xludf.DUMMYFUNCTION("""COMPUTED_VALUE"""),FALSE)</f>
        <v>0</v>
      </c>
      <c r="L1871" s="35" t="str">
        <f>IFERROR(__xludf.DUMMYFUNCTION("""COMPUTED_VALUE"""),"Array;Binary Search;")</f>
        <v>Array;Binary Search;</v>
      </c>
      <c r="M1871" s="35" t="b">
        <f>IFERROR(__xludf.DUMMYFUNCTION("""COMPUTED_VALUE"""),FALSE)</f>
        <v>0</v>
      </c>
      <c r="N1871" s="35" t="b">
        <f>IFERROR(__xludf.DUMMYFUNCTION("""COMPUTED_VALUE"""),FALSE)</f>
        <v>0</v>
      </c>
      <c r="O1871" s="35">
        <f>IFERROR(__xludf.DUMMYFUNCTION("""COMPUTED_VALUE"""),35.1669525079929)</f>
        <v>35.16695251</v>
      </c>
      <c r="P1871" s="35">
        <f>IFERROR(__xludf.DUMMYFUNCTION("""COMPUTED_VALUE"""),16609.0)</f>
        <v>16609</v>
      </c>
      <c r="Q1871" s="35">
        <f>IFERROR(__xludf.DUMMYFUNCTION("""COMPUTED_VALUE"""),47229.0)</f>
        <v>47229</v>
      </c>
    </row>
    <row r="1872">
      <c r="A1872" s="35">
        <f>IFERROR(__xludf.DUMMYFUNCTION("""COMPUTED_VALUE"""),2001.0)</f>
        <v>2001</v>
      </c>
      <c r="B1872" s="35" t="str">
        <f>IFERROR(__xludf.DUMMYFUNCTION("""COMPUTED_VALUE"""),"Jump Game VII")</f>
        <v>Jump Game VII</v>
      </c>
      <c r="C1872" s="35" t="str">
        <f>IFERROR(__xludf.DUMMYFUNCTION("""COMPUTED_VALUE"""),"jump-game-vii")</f>
        <v>jump-game-vii</v>
      </c>
      <c r="D1872" s="35" t="b">
        <f>IFERROR(__xludf.DUMMYFUNCTION("""COMPUTED_VALUE"""),FALSE)</f>
        <v>0</v>
      </c>
      <c r="E1872" s="35" t="str">
        <f>IFERROR(__xludf.DUMMYFUNCTION("""COMPUTED_VALUE"""),"Medium")</f>
        <v>Medium</v>
      </c>
      <c r="F1872" s="35">
        <f>IFERROR(__xludf.DUMMYFUNCTION("""COMPUTED_VALUE"""),781.0)</f>
        <v>781</v>
      </c>
      <c r="G1872" s="35">
        <f>IFERROR(__xludf.DUMMYFUNCTION("""COMPUTED_VALUE"""),45.0)</f>
        <v>45</v>
      </c>
      <c r="H1872" s="35" t="str">
        <f>IFERROR(__xludf.DUMMYFUNCTION("""COMPUTED_VALUE"""),"Algorithms")</f>
        <v>Algorithms</v>
      </c>
      <c r="I1872" s="35">
        <f>IFERROR(__xludf.DUMMYFUNCTION("""COMPUTED_VALUE"""),0.247)</f>
        <v>0.247</v>
      </c>
      <c r="J1872" s="35">
        <f>IFERROR(__xludf.DUMMYFUNCTION("""COMPUTED_VALUE"""),1871.0)</f>
        <v>1871</v>
      </c>
      <c r="K1872" s="35" t="b">
        <f>IFERROR(__xludf.DUMMYFUNCTION("""COMPUTED_VALUE"""),FALSE)</f>
        <v>0</v>
      </c>
      <c r="L1872" s="35" t="str">
        <f>IFERROR(__xludf.DUMMYFUNCTION("""COMPUTED_VALUE"""),"Two Pointers;String;Prefix Sum;")</f>
        <v>Two Pointers;String;Prefix Sum;</v>
      </c>
      <c r="M1872" s="35" t="b">
        <f>IFERROR(__xludf.DUMMYFUNCTION("""COMPUTED_VALUE"""),FALSE)</f>
        <v>0</v>
      </c>
      <c r="N1872" s="35" t="b">
        <f>IFERROR(__xludf.DUMMYFUNCTION("""COMPUTED_VALUE"""),FALSE)</f>
        <v>0</v>
      </c>
      <c r="O1872" s="35">
        <f>IFERROR(__xludf.DUMMYFUNCTION("""COMPUTED_VALUE"""),24.7017060632323)</f>
        <v>24.70170606</v>
      </c>
      <c r="P1872" s="35">
        <f>IFERROR(__xludf.DUMMYFUNCTION("""COMPUTED_VALUE"""),20806.0)</f>
        <v>20806</v>
      </c>
      <c r="Q1872" s="35">
        <f>IFERROR(__xludf.DUMMYFUNCTION("""COMPUTED_VALUE"""),84229.0)</f>
        <v>84229</v>
      </c>
    </row>
    <row r="1873">
      <c r="A1873" s="35">
        <f>IFERROR(__xludf.DUMMYFUNCTION("""COMPUTED_VALUE"""),2002.0)</f>
        <v>2002</v>
      </c>
      <c r="B1873" s="35" t="str">
        <f>IFERROR(__xludf.DUMMYFUNCTION("""COMPUTED_VALUE"""),"Stone Game VIII")</f>
        <v>Stone Game VIII</v>
      </c>
      <c r="C1873" s="35" t="str">
        <f>IFERROR(__xludf.DUMMYFUNCTION("""COMPUTED_VALUE"""),"stone-game-viii")</f>
        <v>stone-game-viii</v>
      </c>
      <c r="D1873" s="35" t="b">
        <f>IFERROR(__xludf.DUMMYFUNCTION("""COMPUTED_VALUE"""),FALSE)</f>
        <v>0</v>
      </c>
      <c r="E1873" s="35" t="str">
        <f>IFERROR(__xludf.DUMMYFUNCTION("""COMPUTED_VALUE"""),"Hard")</f>
        <v>Hard</v>
      </c>
      <c r="F1873" s="35">
        <f>IFERROR(__xludf.DUMMYFUNCTION("""COMPUTED_VALUE"""),252.0)</f>
        <v>252</v>
      </c>
      <c r="G1873" s="35">
        <f>IFERROR(__xludf.DUMMYFUNCTION("""COMPUTED_VALUE"""),11.0)</f>
        <v>11</v>
      </c>
      <c r="H1873" s="35" t="str">
        <f>IFERROR(__xludf.DUMMYFUNCTION("""COMPUTED_VALUE"""),"Algorithms")</f>
        <v>Algorithms</v>
      </c>
      <c r="I1873" s="35">
        <f>IFERROR(__xludf.DUMMYFUNCTION("""COMPUTED_VALUE"""),0.525)</f>
        <v>0.525</v>
      </c>
      <c r="J1873" s="35">
        <f>IFERROR(__xludf.DUMMYFUNCTION("""COMPUTED_VALUE"""),1872.0)</f>
        <v>1872</v>
      </c>
      <c r="K1873" s="35" t="b">
        <f>IFERROR(__xludf.DUMMYFUNCTION("""COMPUTED_VALUE"""),FALSE)</f>
        <v>0</v>
      </c>
      <c r="L1873" s="35" t="str">
        <f>IFERROR(__xludf.DUMMYFUNCTION("""COMPUTED_VALUE"""),"Array;Math;Dynamic Programming;Prefix Sum;Game Theory;")</f>
        <v>Array;Math;Dynamic Programming;Prefix Sum;Game Theory;</v>
      </c>
      <c r="M1873" s="35" t="b">
        <f>IFERROR(__xludf.DUMMYFUNCTION("""COMPUTED_VALUE"""),FALSE)</f>
        <v>0</v>
      </c>
      <c r="N1873" s="35" t="b">
        <f>IFERROR(__xludf.DUMMYFUNCTION("""COMPUTED_VALUE"""),FALSE)</f>
        <v>0</v>
      </c>
      <c r="O1873" s="35">
        <f>IFERROR(__xludf.DUMMYFUNCTION("""COMPUTED_VALUE"""),52.459994036378)</f>
        <v>52.45999404</v>
      </c>
      <c r="P1873" s="35">
        <f>IFERROR(__xludf.DUMMYFUNCTION("""COMPUTED_VALUE"""),5278.0)</f>
        <v>5278</v>
      </c>
      <c r="Q1873" s="35">
        <f>IFERROR(__xludf.DUMMYFUNCTION("""COMPUTED_VALUE"""),10061.0)</f>
        <v>10061</v>
      </c>
    </row>
    <row r="1874">
      <c r="A1874" s="35">
        <f>IFERROR(__xludf.DUMMYFUNCTION("""COMPUTED_VALUE"""),2024.0)</f>
        <v>2024</v>
      </c>
      <c r="B1874" s="35" t="str">
        <f>IFERROR(__xludf.DUMMYFUNCTION("""COMPUTED_VALUE"""),"Calculate Special Bonus")</f>
        <v>Calculate Special Bonus</v>
      </c>
      <c r="C1874" s="35" t="str">
        <f>IFERROR(__xludf.DUMMYFUNCTION("""COMPUTED_VALUE"""),"calculate-special-bonus")</f>
        <v>calculate-special-bonus</v>
      </c>
      <c r="D1874" s="35" t="b">
        <f>IFERROR(__xludf.DUMMYFUNCTION("""COMPUTED_VALUE"""),TRUE)</f>
        <v>1</v>
      </c>
      <c r="E1874" s="35" t="str">
        <f>IFERROR(__xludf.DUMMYFUNCTION("""COMPUTED_VALUE"""),"Easy")</f>
        <v>Easy</v>
      </c>
      <c r="F1874" s="35">
        <f>IFERROR(__xludf.DUMMYFUNCTION("""COMPUTED_VALUE"""),47.0)</f>
        <v>47</v>
      </c>
      <c r="G1874" s="35">
        <f>IFERROR(__xludf.DUMMYFUNCTION("""COMPUTED_VALUE"""),1.0)</f>
        <v>1</v>
      </c>
      <c r="H1874" s="35" t="str">
        <f>IFERROR(__xludf.DUMMYFUNCTION("""COMPUTED_VALUE"""),"Database")</f>
        <v>Database</v>
      </c>
      <c r="I1874" s="35">
        <f>IFERROR(__xludf.DUMMYFUNCTION("""COMPUTED_VALUE"""),0.911)</f>
        <v>0.911</v>
      </c>
      <c r="J1874" s="35">
        <f>IFERROR(__xludf.DUMMYFUNCTION("""COMPUTED_VALUE"""),1873.0)</f>
        <v>1873</v>
      </c>
      <c r="K1874" s="35" t="b">
        <f>IFERROR(__xludf.DUMMYFUNCTION("""COMPUTED_VALUE"""),TRUE)</f>
        <v>1</v>
      </c>
      <c r="L1874" s="35" t="str">
        <f>IFERROR(__xludf.DUMMYFUNCTION("""COMPUTED_VALUE"""),"Database;")</f>
        <v>Database;</v>
      </c>
      <c r="M1874" s="35" t="b">
        <f>IFERROR(__xludf.DUMMYFUNCTION("""COMPUTED_VALUE"""),FALSE)</f>
        <v>0</v>
      </c>
      <c r="N1874" s="35" t="b">
        <f>IFERROR(__xludf.DUMMYFUNCTION("""COMPUTED_VALUE"""),FALSE)</f>
        <v>0</v>
      </c>
      <c r="O1874" s="35">
        <f>IFERROR(__xludf.DUMMYFUNCTION("""COMPUTED_VALUE"""),91.1040508339952)</f>
        <v>91.10405083</v>
      </c>
      <c r="P1874" s="35">
        <f>IFERROR(__xludf.DUMMYFUNCTION("""COMPUTED_VALUE"""),8029.0)</f>
        <v>8029</v>
      </c>
      <c r="Q1874" s="35">
        <f>IFERROR(__xludf.DUMMYFUNCTION("""COMPUTED_VALUE"""),8813.0)</f>
        <v>8813</v>
      </c>
    </row>
    <row r="1875">
      <c r="A1875" s="35">
        <f>IFERROR(__xludf.DUMMYFUNCTION("""COMPUTED_VALUE"""),2029.0)</f>
        <v>2029</v>
      </c>
      <c r="B1875" s="35" t="str">
        <f>IFERROR(__xludf.DUMMYFUNCTION("""COMPUTED_VALUE"""),"Minimize Product Sum of Two Arrays")</f>
        <v>Minimize Product Sum of Two Arrays</v>
      </c>
      <c r="C1875" s="35" t="str">
        <f>IFERROR(__xludf.DUMMYFUNCTION("""COMPUTED_VALUE"""),"minimize-product-sum-of-two-arrays")</f>
        <v>minimize-product-sum-of-two-arrays</v>
      </c>
      <c r="D1875" s="35" t="b">
        <f>IFERROR(__xludf.DUMMYFUNCTION("""COMPUTED_VALUE"""),TRUE)</f>
        <v>1</v>
      </c>
      <c r="E1875" s="35" t="str">
        <f>IFERROR(__xludf.DUMMYFUNCTION("""COMPUTED_VALUE"""),"Medium")</f>
        <v>Medium</v>
      </c>
      <c r="F1875" s="35">
        <f>IFERROR(__xludf.DUMMYFUNCTION("""COMPUTED_VALUE"""),83.0)</f>
        <v>83</v>
      </c>
      <c r="G1875" s="35">
        <f>IFERROR(__xludf.DUMMYFUNCTION("""COMPUTED_VALUE"""),9.0)</f>
        <v>9</v>
      </c>
      <c r="H1875" s="35" t="str">
        <f>IFERROR(__xludf.DUMMYFUNCTION("""COMPUTED_VALUE"""),"Algorithms")</f>
        <v>Algorithms</v>
      </c>
      <c r="I1875" s="35">
        <f>IFERROR(__xludf.DUMMYFUNCTION("""COMPUTED_VALUE"""),0.895)</f>
        <v>0.895</v>
      </c>
      <c r="J1875" s="35">
        <f>IFERROR(__xludf.DUMMYFUNCTION("""COMPUTED_VALUE"""),1874.0)</f>
        <v>1874</v>
      </c>
      <c r="K1875" s="35" t="b">
        <f>IFERROR(__xludf.DUMMYFUNCTION("""COMPUTED_VALUE"""),TRUE)</f>
        <v>1</v>
      </c>
      <c r="L1875" s="35" t="str">
        <f>IFERROR(__xludf.DUMMYFUNCTION("""COMPUTED_VALUE"""),"Array;Greedy;Sorting;")</f>
        <v>Array;Greedy;Sorting;</v>
      </c>
      <c r="M1875" s="35" t="b">
        <f>IFERROR(__xludf.DUMMYFUNCTION("""COMPUTED_VALUE"""),FALSE)</f>
        <v>0</v>
      </c>
      <c r="N1875" s="35" t="b">
        <f>IFERROR(__xludf.DUMMYFUNCTION("""COMPUTED_VALUE"""),FALSE)</f>
        <v>0</v>
      </c>
      <c r="O1875" s="35">
        <f>IFERROR(__xludf.DUMMYFUNCTION("""COMPUTED_VALUE"""),89.4858730893932)</f>
        <v>89.48587309</v>
      </c>
      <c r="P1875" s="35">
        <f>IFERROR(__xludf.DUMMYFUNCTION("""COMPUTED_VALUE"""),5796.0)</f>
        <v>5796</v>
      </c>
      <c r="Q1875" s="35">
        <f>IFERROR(__xludf.DUMMYFUNCTION("""COMPUTED_VALUE"""),6477.0)</f>
        <v>6477</v>
      </c>
    </row>
    <row r="1876">
      <c r="A1876" s="35">
        <f>IFERROR(__xludf.DUMMYFUNCTION("""COMPUTED_VALUE"""),2030.0)</f>
        <v>2030</v>
      </c>
      <c r="B1876" s="35" t="str">
        <f>IFERROR(__xludf.DUMMYFUNCTION("""COMPUTED_VALUE"""),"Group Employees of the Same Salary")</f>
        <v>Group Employees of the Same Salary</v>
      </c>
      <c r="C1876" s="35" t="str">
        <f>IFERROR(__xludf.DUMMYFUNCTION("""COMPUTED_VALUE"""),"group-employees-of-the-same-salary")</f>
        <v>group-employees-of-the-same-salary</v>
      </c>
      <c r="D1876" s="35" t="b">
        <f>IFERROR(__xludf.DUMMYFUNCTION("""COMPUTED_VALUE"""),TRUE)</f>
        <v>1</v>
      </c>
      <c r="E1876" s="35" t="str">
        <f>IFERROR(__xludf.DUMMYFUNCTION("""COMPUTED_VALUE"""),"Medium")</f>
        <v>Medium</v>
      </c>
      <c r="F1876" s="35">
        <f>IFERROR(__xludf.DUMMYFUNCTION("""COMPUTED_VALUE"""),36.0)</f>
        <v>36</v>
      </c>
      <c r="G1876" s="35">
        <f>IFERROR(__xludf.DUMMYFUNCTION("""COMPUTED_VALUE"""),3.0)</f>
        <v>3</v>
      </c>
      <c r="H1876" s="35" t="str">
        <f>IFERROR(__xludf.DUMMYFUNCTION("""COMPUTED_VALUE"""),"Database")</f>
        <v>Database</v>
      </c>
      <c r="I1876" s="35">
        <f>IFERROR(__xludf.DUMMYFUNCTION("""COMPUTED_VALUE"""),0.753)</f>
        <v>0.753</v>
      </c>
      <c r="J1876" s="35">
        <f>IFERROR(__xludf.DUMMYFUNCTION("""COMPUTED_VALUE"""),1875.0)</f>
        <v>1875</v>
      </c>
      <c r="K1876" s="35" t="b">
        <f>IFERROR(__xludf.DUMMYFUNCTION("""COMPUTED_VALUE"""),TRUE)</f>
        <v>1</v>
      </c>
      <c r="L1876" s="35" t="str">
        <f>IFERROR(__xludf.DUMMYFUNCTION("""COMPUTED_VALUE"""),"Database;")</f>
        <v>Database;</v>
      </c>
      <c r="M1876" s="35" t="b">
        <f>IFERROR(__xludf.DUMMYFUNCTION("""COMPUTED_VALUE"""),FALSE)</f>
        <v>0</v>
      </c>
      <c r="N1876" s="35" t="b">
        <f>IFERROR(__xludf.DUMMYFUNCTION("""COMPUTED_VALUE"""),FALSE)</f>
        <v>0</v>
      </c>
      <c r="O1876" s="35">
        <f>IFERROR(__xludf.DUMMYFUNCTION("""COMPUTED_VALUE"""),75.303197353914)</f>
        <v>75.30319735</v>
      </c>
      <c r="P1876" s="35">
        <f>IFERROR(__xludf.DUMMYFUNCTION("""COMPUTED_VALUE"""),4781.0)</f>
        <v>4781</v>
      </c>
      <c r="Q1876" s="35">
        <f>IFERROR(__xludf.DUMMYFUNCTION("""COMPUTED_VALUE"""),6349.0)</f>
        <v>6349</v>
      </c>
    </row>
    <row r="1877">
      <c r="A1877" s="35">
        <f>IFERROR(__xludf.DUMMYFUNCTION("""COMPUTED_VALUE"""),1987.0)</f>
        <v>1987</v>
      </c>
      <c r="B1877" s="35" t="str">
        <f>IFERROR(__xludf.DUMMYFUNCTION("""COMPUTED_VALUE"""),"Substrings of Size Three with Distinct Characters")</f>
        <v>Substrings of Size Three with Distinct Characters</v>
      </c>
      <c r="C1877" s="35" t="str">
        <f>IFERROR(__xludf.DUMMYFUNCTION("""COMPUTED_VALUE"""),"substrings-of-size-three-with-distinct-characters")</f>
        <v>substrings-of-size-three-with-distinct-characters</v>
      </c>
      <c r="D1877" s="35" t="b">
        <f>IFERROR(__xludf.DUMMYFUNCTION("""COMPUTED_VALUE"""),FALSE)</f>
        <v>0</v>
      </c>
      <c r="E1877" s="35" t="str">
        <f>IFERROR(__xludf.DUMMYFUNCTION("""COMPUTED_VALUE"""),"Easy")</f>
        <v>Easy</v>
      </c>
      <c r="F1877" s="35">
        <f>IFERROR(__xludf.DUMMYFUNCTION("""COMPUTED_VALUE"""),514.0)</f>
        <v>514</v>
      </c>
      <c r="G1877" s="35">
        <f>IFERROR(__xludf.DUMMYFUNCTION("""COMPUTED_VALUE"""),17.0)</f>
        <v>17</v>
      </c>
      <c r="H1877" s="35" t="str">
        <f>IFERROR(__xludf.DUMMYFUNCTION("""COMPUTED_VALUE"""),"Algorithms")</f>
        <v>Algorithms</v>
      </c>
      <c r="I1877" s="35">
        <f>IFERROR(__xludf.DUMMYFUNCTION("""COMPUTED_VALUE"""),0.695)</f>
        <v>0.695</v>
      </c>
      <c r="J1877" s="35">
        <f>IFERROR(__xludf.DUMMYFUNCTION("""COMPUTED_VALUE"""),1876.0)</f>
        <v>1876</v>
      </c>
      <c r="K1877" s="35" t="b">
        <f>IFERROR(__xludf.DUMMYFUNCTION("""COMPUTED_VALUE"""),FALSE)</f>
        <v>0</v>
      </c>
      <c r="L1877" s="35" t="str">
        <f>IFERROR(__xludf.DUMMYFUNCTION("""COMPUTED_VALUE"""),"Hash Table;String;Sliding Window;Counting;")</f>
        <v>Hash Table;String;Sliding Window;Counting;</v>
      </c>
      <c r="M1877" s="35" t="b">
        <f>IFERROR(__xludf.DUMMYFUNCTION("""COMPUTED_VALUE"""),FALSE)</f>
        <v>0</v>
      </c>
      <c r="N1877" s="35" t="b">
        <f>IFERROR(__xludf.DUMMYFUNCTION("""COMPUTED_VALUE"""),FALSE)</f>
        <v>0</v>
      </c>
      <c r="O1877" s="35">
        <f>IFERROR(__xludf.DUMMYFUNCTION("""COMPUTED_VALUE"""),69.4995938568487)</f>
        <v>69.49959386</v>
      </c>
      <c r="P1877" s="35">
        <f>IFERROR(__xludf.DUMMYFUNCTION("""COMPUTED_VALUE"""),36791.0)</f>
        <v>36791</v>
      </c>
      <c r="Q1877" s="35">
        <f>IFERROR(__xludf.DUMMYFUNCTION("""COMPUTED_VALUE"""),52937.0)</f>
        <v>52937</v>
      </c>
    </row>
    <row r="1878">
      <c r="A1878" s="35">
        <f>IFERROR(__xludf.DUMMYFUNCTION("""COMPUTED_VALUE"""),1988.0)</f>
        <v>1988</v>
      </c>
      <c r="B1878" s="35" t="str">
        <f>IFERROR(__xludf.DUMMYFUNCTION("""COMPUTED_VALUE"""),"Minimize Maximum Pair Sum in Array")</f>
        <v>Minimize Maximum Pair Sum in Array</v>
      </c>
      <c r="C1878" s="35" t="str">
        <f>IFERROR(__xludf.DUMMYFUNCTION("""COMPUTED_VALUE"""),"minimize-maximum-pair-sum-in-array")</f>
        <v>minimize-maximum-pair-sum-in-array</v>
      </c>
      <c r="D1878" s="35" t="b">
        <f>IFERROR(__xludf.DUMMYFUNCTION("""COMPUTED_VALUE"""),FALSE)</f>
        <v>0</v>
      </c>
      <c r="E1878" s="35" t="str">
        <f>IFERROR(__xludf.DUMMYFUNCTION("""COMPUTED_VALUE"""),"Medium")</f>
        <v>Medium</v>
      </c>
      <c r="F1878" s="35">
        <f>IFERROR(__xludf.DUMMYFUNCTION("""COMPUTED_VALUE"""),572.0)</f>
        <v>572</v>
      </c>
      <c r="G1878" s="35">
        <f>IFERROR(__xludf.DUMMYFUNCTION("""COMPUTED_VALUE"""),148.0)</f>
        <v>148</v>
      </c>
      <c r="H1878" s="35" t="str">
        <f>IFERROR(__xludf.DUMMYFUNCTION("""COMPUTED_VALUE"""),"Algorithms")</f>
        <v>Algorithms</v>
      </c>
      <c r="I1878" s="35">
        <f>IFERROR(__xludf.DUMMYFUNCTION("""COMPUTED_VALUE"""),0.806)</f>
        <v>0.806</v>
      </c>
      <c r="J1878" s="35">
        <f>IFERROR(__xludf.DUMMYFUNCTION("""COMPUTED_VALUE"""),1877.0)</f>
        <v>1877</v>
      </c>
      <c r="K1878" s="35" t="b">
        <f>IFERROR(__xludf.DUMMYFUNCTION("""COMPUTED_VALUE"""),FALSE)</f>
        <v>0</v>
      </c>
      <c r="L1878" s="35" t="str">
        <f>IFERROR(__xludf.DUMMYFUNCTION("""COMPUTED_VALUE"""),"Array;Two Pointers;Greedy;Sorting;")</f>
        <v>Array;Two Pointers;Greedy;Sorting;</v>
      </c>
      <c r="M1878" s="35" t="b">
        <f>IFERROR(__xludf.DUMMYFUNCTION("""COMPUTED_VALUE"""),FALSE)</f>
        <v>0</v>
      </c>
      <c r="N1878" s="35" t="b">
        <f>IFERROR(__xludf.DUMMYFUNCTION("""COMPUTED_VALUE"""),FALSE)</f>
        <v>0</v>
      </c>
      <c r="O1878" s="35">
        <f>IFERROR(__xludf.DUMMYFUNCTION("""COMPUTED_VALUE"""),80.6088324083949)</f>
        <v>80.60883241</v>
      </c>
      <c r="P1878" s="35">
        <f>IFERROR(__xludf.DUMMYFUNCTION("""COMPUTED_VALUE"""),44592.0)</f>
        <v>44592</v>
      </c>
      <c r="Q1878" s="35">
        <f>IFERROR(__xludf.DUMMYFUNCTION("""COMPUTED_VALUE"""),55319.0)</f>
        <v>55319</v>
      </c>
    </row>
    <row r="1879">
      <c r="A1879" s="35">
        <f>IFERROR(__xludf.DUMMYFUNCTION("""COMPUTED_VALUE"""),1990.0)</f>
        <v>1990</v>
      </c>
      <c r="B1879" s="35" t="str">
        <f>IFERROR(__xludf.DUMMYFUNCTION("""COMPUTED_VALUE"""),"Get Biggest Three Rhombus Sums in a Grid")</f>
        <v>Get Biggest Three Rhombus Sums in a Grid</v>
      </c>
      <c r="C1879" s="35" t="str">
        <f>IFERROR(__xludf.DUMMYFUNCTION("""COMPUTED_VALUE"""),"get-biggest-three-rhombus-sums-in-a-grid")</f>
        <v>get-biggest-three-rhombus-sums-in-a-grid</v>
      </c>
      <c r="D1879" s="35" t="b">
        <f>IFERROR(__xludf.DUMMYFUNCTION("""COMPUTED_VALUE"""),FALSE)</f>
        <v>0</v>
      </c>
      <c r="E1879" s="35" t="str">
        <f>IFERROR(__xludf.DUMMYFUNCTION("""COMPUTED_VALUE"""),"Medium")</f>
        <v>Medium</v>
      </c>
      <c r="F1879" s="35">
        <f>IFERROR(__xludf.DUMMYFUNCTION("""COMPUTED_VALUE"""),124.0)</f>
        <v>124</v>
      </c>
      <c r="G1879" s="35">
        <f>IFERROR(__xludf.DUMMYFUNCTION("""COMPUTED_VALUE"""),323.0)</f>
        <v>323</v>
      </c>
      <c r="H1879" s="35" t="str">
        <f>IFERROR(__xludf.DUMMYFUNCTION("""COMPUTED_VALUE"""),"Algorithms")</f>
        <v>Algorithms</v>
      </c>
      <c r="I1879" s="35">
        <f>IFERROR(__xludf.DUMMYFUNCTION("""COMPUTED_VALUE"""),0.447)</f>
        <v>0.447</v>
      </c>
      <c r="J1879" s="35">
        <f>IFERROR(__xludf.DUMMYFUNCTION("""COMPUTED_VALUE"""),1878.0)</f>
        <v>1878</v>
      </c>
      <c r="K1879" s="35" t="b">
        <f>IFERROR(__xludf.DUMMYFUNCTION("""COMPUTED_VALUE"""),FALSE)</f>
        <v>0</v>
      </c>
      <c r="L1879" s="35" t="str">
        <f>IFERROR(__xludf.DUMMYFUNCTION("""COMPUTED_VALUE"""),"Array;Math;Sorting;Heap (Priority Queue);Matrix;Prefix Sum;")</f>
        <v>Array;Math;Sorting;Heap (Priority Queue);Matrix;Prefix Sum;</v>
      </c>
      <c r="M1879" s="35" t="b">
        <f>IFERROR(__xludf.DUMMYFUNCTION("""COMPUTED_VALUE"""),FALSE)</f>
        <v>0</v>
      </c>
      <c r="N1879" s="35" t="b">
        <f>IFERROR(__xludf.DUMMYFUNCTION("""COMPUTED_VALUE"""),FALSE)</f>
        <v>0</v>
      </c>
      <c r="O1879" s="35">
        <f>IFERROR(__xludf.DUMMYFUNCTION("""COMPUTED_VALUE"""),44.707557618269)</f>
        <v>44.70755762</v>
      </c>
      <c r="P1879" s="35">
        <f>IFERROR(__xludf.DUMMYFUNCTION("""COMPUTED_VALUE"""),8476.0)</f>
        <v>8476</v>
      </c>
      <c r="Q1879" s="35">
        <f>IFERROR(__xludf.DUMMYFUNCTION("""COMPUTED_VALUE"""),18960.0)</f>
        <v>18960</v>
      </c>
    </row>
    <row r="1880">
      <c r="A1880" s="35">
        <f>IFERROR(__xludf.DUMMYFUNCTION("""COMPUTED_VALUE"""),1989.0)</f>
        <v>1989</v>
      </c>
      <c r="B1880" s="35" t="str">
        <f>IFERROR(__xludf.DUMMYFUNCTION("""COMPUTED_VALUE"""),"Minimum XOR Sum of Two Arrays")</f>
        <v>Minimum XOR Sum of Two Arrays</v>
      </c>
      <c r="C1880" s="35" t="str">
        <f>IFERROR(__xludf.DUMMYFUNCTION("""COMPUTED_VALUE"""),"minimum-xor-sum-of-two-arrays")</f>
        <v>minimum-xor-sum-of-two-arrays</v>
      </c>
      <c r="D1880" s="35" t="b">
        <f>IFERROR(__xludf.DUMMYFUNCTION("""COMPUTED_VALUE"""),FALSE)</f>
        <v>0</v>
      </c>
      <c r="E1880" s="35" t="str">
        <f>IFERROR(__xludf.DUMMYFUNCTION("""COMPUTED_VALUE"""),"Hard")</f>
        <v>Hard</v>
      </c>
      <c r="F1880" s="35">
        <f>IFERROR(__xludf.DUMMYFUNCTION("""COMPUTED_VALUE"""),386.0)</f>
        <v>386</v>
      </c>
      <c r="G1880" s="35">
        <f>IFERROR(__xludf.DUMMYFUNCTION("""COMPUTED_VALUE"""),7.0)</f>
        <v>7</v>
      </c>
      <c r="H1880" s="35" t="str">
        <f>IFERROR(__xludf.DUMMYFUNCTION("""COMPUTED_VALUE"""),"Algorithms")</f>
        <v>Algorithms</v>
      </c>
      <c r="I1880" s="35">
        <f>IFERROR(__xludf.DUMMYFUNCTION("""COMPUTED_VALUE"""),0.418)</f>
        <v>0.418</v>
      </c>
      <c r="J1880" s="35">
        <f>IFERROR(__xludf.DUMMYFUNCTION("""COMPUTED_VALUE"""),1879.0)</f>
        <v>1879</v>
      </c>
      <c r="K1880" s="35" t="b">
        <f>IFERROR(__xludf.DUMMYFUNCTION("""COMPUTED_VALUE"""),FALSE)</f>
        <v>0</v>
      </c>
      <c r="L1880" s="35" t="str">
        <f>IFERROR(__xludf.DUMMYFUNCTION("""COMPUTED_VALUE"""),"Array;Dynamic Programming;Bit Manipulation;Bitmask;")</f>
        <v>Array;Dynamic Programming;Bit Manipulation;Bitmask;</v>
      </c>
      <c r="M1880" s="35" t="b">
        <f>IFERROR(__xludf.DUMMYFUNCTION("""COMPUTED_VALUE"""),FALSE)</f>
        <v>0</v>
      </c>
      <c r="N1880" s="35" t="b">
        <f>IFERROR(__xludf.DUMMYFUNCTION("""COMPUTED_VALUE"""),FALSE)</f>
        <v>0</v>
      </c>
      <c r="O1880" s="35">
        <f>IFERROR(__xludf.DUMMYFUNCTION("""COMPUTED_VALUE"""),41.8404147413501)</f>
        <v>41.84041474</v>
      </c>
      <c r="P1880" s="35">
        <f>IFERROR(__xludf.DUMMYFUNCTION("""COMPUTED_VALUE"""),7424.0)</f>
        <v>7424</v>
      </c>
      <c r="Q1880" s="35">
        <f>IFERROR(__xludf.DUMMYFUNCTION("""COMPUTED_VALUE"""),17745.0)</f>
        <v>17745</v>
      </c>
    </row>
    <row r="1881">
      <c r="A1881" s="35">
        <f>IFERROR(__xludf.DUMMYFUNCTION("""COMPUTED_VALUE"""),2010.0)</f>
        <v>2010</v>
      </c>
      <c r="B1881" s="35" t="str">
        <f>IFERROR(__xludf.DUMMYFUNCTION("""COMPUTED_VALUE"""),"Check if Word Equals Summation of Two Words")</f>
        <v>Check if Word Equals Summation of Two Words</v>
      </c>
      <c r="C1881" s="35" t="str">
        <f>IFERROR(__xludf.DUMMYFUNCTION("""COMPUTED_VALUE"""),"check-if-word-equals-summation-of-two-words")</f>
        <v>check-if-word-equals-summation-of-two-words</v>
      </c>
      <c r="D1881" s="35" t="b">
        <f>IFERROR(__xludf.DUMMYFUNCTION("""COMPUTED_VALUE"""),FALSE)</f>
        <v>0</v>
      </c>
      <c r="E1881" s="35" t="str">
        <f>IFERROR(__xludf.DUMMYFUNCTION("""COMPUTED_VALUE"""),"Easy")</f>
        <v>Easy</v>
      </c>
      <c r="F1881" s="35">
        <f>IFERROR(__xludf.DUMMYFUNCTION("""COMPUTED_VALUE"""),306.0)</f>
        <v>306</v>
      </c>
      <c r="G1881" s="35">
        <f>IFERROR(__xludf.DUMMYFUNCTION("""COMPUTED_VALUE"""),18.0)</f>
        <v>18</v>
      </c>
      <c r="H1881" s="35" t="str">
        <f>IFERROR(__xludf.DUMMYFUNCTION("""COMPUTED_VALUE"""),"Algorithms")</f>
        <v>Algorithms</v>
      </c>
      <c r="I1881" s="35">
        <f>IFERROR(__xludf.DUMMYFUNCTION("""COMPUTED_VALUE"""),0.731)</f>
        <v>0.731</v>
      </c>
      <c r="J1881" s="35">
        <f>IFERROR(__xludf.DUMMYFUNCTION("""COMPUTED_VALUE"""),1880.0)</f>
        <v>1880</v>
      </c>
      <c r="K1881" s="35" t="b">
        <f>IFERROR(__xludf.DUMMYFUNCTION("""COMPUTED_VALUE"""),FALSE)</f>
        <v>0</v>
      </c>
      <c r="L1881" s="35" t="str">
        <f>IFERROR(__xludf.DUMMYFUNCTION("""COMPUTED_VALUE"""),"String;")</f>
        <v>String;</v>
      </c>
      <c r="M1881" s="35" t="b">
        <f>IFERROR(__xludf.DUMMYFUNCTION("""COMPUTED_VALUE"""),FALSE)</f>
        <v>0</v>
      </c>
      <c r="N1881" s="35" t="b">
        <f>IFERROR(__xludf.DUMMYFUNCTION("""COMPUTED_VALUE"""),FALSE)</f>
        <v>0</v>
      </c>
      <c r="O1881" s="35">
        <f>IFERROR(__xludf.DUMMYFUNCTION("""COMPUTED_VALUE"""),73.1070142143382)</f>
        <v>73.10701421</v>
      </c>
      <c r="P1881" s="35">
        <f>IFERROR(__xludf.DUMMYFUNCTION("""COMPUTED_VALUE"""),37750.0)</f>
        <v>37750</v>
      </c>
      <c r="Q1881" s="35">
        <f>IFERROR(__xludf.DUMMYFUNCTION("""COMPUTED_VALUE"""),51637.0)</f>
        <v>51637</v>
      </c>
    </row>
    <row r="1882">
      <c r="A1882" s="35">
        <f>IFERROR(__xludf.DUMMYFUNCTION("""COMPUTED_VALUE"""),2011.0)</f>
        <v>2011</v>
      </c>
      <c r="B1882" s="35" t="str">
        <f>IFERROR(__xludf.DUMMYFUNCTION("""COMPUTED_VALUE"""),"Maximum Value after Insertion")</f>
        <v>Maximum Value after Insertion</v>
      </c>
      <c r="C1882" s="35" t="str">
        <f>IFERROR(__xludf.DUMMYFUNCTION("""COMPUTED_VALUE"""),"maximum-value-after-insertion")</f>
        <v>maximum-value-after-insertion</v>
      </c>
      <c r="D1882" s="35" t="b">
        <f>IFERROR(__xludf.DUMMYFUNCTION("""COMPUTED_VALUE"""),FALSE)</f>
        <v>0</v>
      </c>
      <c r="E1882" s="35" t="str">
        <f>IFERROR(__xludf.DUMMYFUNCTION("""COMPUTED_VALUE"""),"Medium")</f>
        <v>Medium</v>
      </c>
      <c r="F1882" s="35">
        <f>IFERROR(__xludf.DUMMYFUNCTION("""COMPUTED_VALUE"""),226.0)</f>
        <v>226</v>
      </c>
      <c r="G1882" s="35">
        <f>IFERROR(__xludf.DUMMYFUNCTION("""COMPUTED_VALUE"""),40.0)</f>
        <v>40</v>
      </c>
      <c r="H1882" s="35" t="str">
        <f>IFERROR(__xludf.DUMMYFUNCTION("""COMPUTED_VALUE"""),"Algorithms")</f>
        <v>Algorithms</v>
      </c>
      <c r="I1882" s="35">
        <f>IFERROR(__xludf.DUMMYFUNCTION("""COMPUTED_VALUE"""),0.356)</f>
        <v>0.356</v>
      </c>
      <c r="J1882" s="35">
        <f>IFERROR(__xludf.DUMMYFUNCTION("""COMPUTED_VALUE"""),1881.0)</f>
        <v>1881</v>
      </c>
      <c r="K1882" s="35" t="b">
        <f>IFERROR(__xludf.DUMMYFUNCTION("""COMPUTED_VALUE"""),FALSE)</f>
        <v>0</v>
      </c>
      <c r="L1882" s="35" t="str">
        <f>IFERROR(__xludf.DUMMYFUNCTION("""COMPUTED_VALUE"""),"String;Greedy;")</f>
        <v>String;Greedy;</v>
      </c>
      <c r="M1882" s="35" t="b">
        <f>IFERROR(__xludf.DUMMYFUNCTION("""COMPUTED_VALUE"""),FALSE)</f>
        <v>0</v>
      </c>
      <c r="N1882" s="35" t="b">
        <f>IFERROR(__xludf.DUMMYFUNCTION("""COMPUTED_VALUE"""),FALSE)</f>
        <v>0</v>
      </c>
      <c r="O1882" s="35">
        <f>IFERROR(__xludf.DUMMYFUNCTION("""COMPUTED_VALUE"""),35.5542948394688)</f>
        <v>35.55429484</v>
      </c>
      <c r="P1882" s="35">
        <f>IFERROR(__xludf.DUMMYFUNCTION("""COMPUTED_VALUE"""),16921.0)</f>
        <v>16921</v>
      </c>
      <c r="Q1882" s="35">
        <f>IFERROR(__xludf.DUMMYFUNCTION("""COMPUTED_VALUE"""),47592.0)</f>
        <v>47592</v>
      </c>
    </row>
    <row r="1883">
      <c r="A1883" s="35">
        <f>IFERROR(__xludf.DUMMYFUNCTION("""COMPUTED_VALUE"""),2012.0)</f>
        <v>2012</v>
      </c>
      <c r="B1883" s="35" t="str">
        <f>IFERROR(__xludf.DUMMYFUNCTION("""COMPUTED_VALUE"""),"Process Tasks Using Servers")</f>
        <v>Process Tasks Using Servers</v>
      </c>
      <c r="C1883" s="35" t="str">
        <f>IFERROR(__xludf.DUMMYFUNCTION("""COMPUTED_VALUE"""),"process-tasks-using-servers")</f>
        <v>process-tasks-using-servers</v>
      </c>
      <c r="D1883" s="35" t="b">
        <f>IFERROR(__xludf.DUMMYFUNCTION("""COMPUTED_VALUE"""),FALSE)</f>
        <v>0</v>
      </c>
      <c r="E1883" s="35" t="str">
        <f>IFERROR(__xludf.DUMMYFUNCTION("""COMPUTED_VALUE"""),"Medium")</f>
        <v>Medium</v>
      </c>
      <c r="F1883" s="35">
        <f>IFERROR(__xludf.DUMMYFUNCTION("""COMPUTED_VALUE"""),533.0)</f>
        <v>533</v>
      </c>
      <c r="G1883" s="35">
        <f>IFERROR(__xludf.DUMMYFUNCTION("""COMPUTED_VALUE"""),155.0)</f>
        <v>155</v>
      </c>
      <c r="H1883" s="35" t="str">
        <f>IFERROR(__xludf.DUMMYFUNCTION("""COMPUTED_VALUE"""),"Algorithms")</f>
        <v>Algorithms</v>
      </c>
      <c r="I1883" s="35">
        <f>IFERROR(__xludf.DUMMYFUNCTION("""COMPUTED_VALUE"""),0.369)</f>
        <v>0.369</v>
      </c>
      <c r="J1883" s="35">
        <f>IFERROR(__xludf.DUMMYFUNCTION("""COMPUTED_VALUE"""),1882.0)</f>
        <v>1882</v>
      </c>
      <c r="K1883" s="35" t="b">
        <f>IFERROR(__xludf.DUMMYFUNCTION("""COMPUTED_VALUE"""),FALSE)</f>
        <v>0</v>
      </c>
      <c r="L1883" s="35" t="str">
        <f>IFERROR(__xludf.DUMMYFUNCTION("""COMPUTED_VALUE"""),"Array;Heap (Priority Queue);")</f>
        <v>Array;Heap (Priority Queue);</v>
      </c>
      <c r="M1883" s="35" t="b">
        <f>IFERROR(__xludf.DUMMYFUNCTION("""COMPUTED_VALUE"""),FALSE)</f>
        <v>0</v>
      </c>
      <c r="N1883" s="35" t="b">
        <f>IFERROR(__xludf.DUMMYFUNCTION("""COMPUTED_VALUE"""),FALSE)</f>
        <v>0</v>
      </c>
      <c r="O1883" s="35">
        <f>IFERROR(__xludf.DUMMYFUNCTION("""COMPUTED_VALUE"""),36.9472048226816)</f>
        <v>36.94720482</v>
      </c>
      <c r="P1883" s="35">
        <f>IFERROR(__xludf.DUMMYFUNCTION("""COMPUTED_VALUE"""),15690.0)</f>
        <v>15690</v>
      </c>
      <c r="Q1883" s="35">
        <f>IFERROR(__xludf.DUMMYFUNCTION("""COMPUTED_VALUE"""),42464.0)</f>
        <v>42464</v>
      </c>
    </row>
    <row r="1884">
      <c r="A1884" s="35">
        <f>IFERROR(__xludf.DUMMYFUNCTION("""COMPUTED_VALUE"""),2013.0)</f>
        <v>2013</v>
      </c>
      <c r="B1884" s="35" t="str">
        <f>IFERROR(__xludf.DUMMYFUNCTION("""COMPUTED_VALUE"""),"Minimum Skips to Arrive at Meeting On Time")</f>
        <v>Minimum Skips to Arrive at Meeting On Time</v>
      </c>
      <c r="C1884" s="35" t="str">
        <f>IFERROR(__xludf.DUMMYFUNCTION("""COMPUTED_VALUE"""),"minimum-skips-to-arrive-at-meeting-on-time")</f>
        <v>minimum-skips-to-arrive-at-meeting-on-time</v>
      </c>
      <c r="D1884" s="35" t="b">
        <f>IFERROR(__xludf.DUMMYFUNCTION("""COMPUTED_VALUE"""),FALSE)</f>
        <v>0</v>
      </c>
      <c r="E1884" s="35" t="str">
        <f>IFERROR(__xludf.DUMMYFUNCTION("""COMPUTED_VALUE"""),"Hard")</f>
        <v>Hard</v>
      </c>
      <c r="F1884" s="35">
        <f>IFERROR(__xludf.DUMMYFUNCTION("""COMPUTED_VALUE"""),200.0)</f>
        <v>200</v>
      </c>
      <c r="G1884" s="35">
        <f>IFERROR(__xludf.DUMMYFUNCTION("""COMPUTED_VALUE"""),39.0)</f>
        <v>39</v>
      </c>
      <c r="H1884" s="35" t="str">
        <f>IFERROR(__xludf.DUMMYFUNCTION("""COMPUTED_VALUE"""),"Algorithms")</f>
        <v>Algorithms</v>
      </c>
      <c r="I1884" s="35">
        <f>IFERROR(__xludf.DUMMYFUNCTION("""COMPUTED_VALUE"""),0.387)</f>
        <v>0.387</v>
      </c>
      <c r="J1884" s="35">
        <f>IFERROR(__xludf.DUMMYFUNCTION("""COMPUTED_VALUE"""),1883.0)</f>
        <v>1883</v>
      </c>
      <c r="K1884" s="35" t="b">
        <f>IFERROR(__xludf.DUMMYFUNCTION("""COMPUTED_VALUE"""),FALSE)</f>
        <v>0</v>
      </c>
      <c r="L1884" s="35" t="str">
        <f>IFERROR(__xludf.DUMMYFUNCTION("""COMPUTED_VALUE"""),"Array;Dynamic Programming;")</f>
        <v>Array;Dynamic Programming;</v>
      </c>
      <c r="M1884" s="35" t="b">
        <f>IFERROR(__xludf.DUMMYFUNCTION("""COMPUTED_VALUE"""),FALSE)</f>
        <v>0</v>
      </c>
      <c r="N1884" s="35" t="b">
        <f>IFERROR(__xludf.DUMMYFUNCTION("""COMPUTED_VALUE"""),FALSE)</f>
        <v>0</v>
      </c>
      <c r="O1884" s="35">
        <f>IFERROR(__xludf.DUMMYFUNCTION("""COMPUTED_VALUE"""),38.6784992531412)</f>
        <v>38.67849925</v>
      </c>
      <c r="P1884" s="35">
        <f>IFERROR(__xludf.DUMMYFUNCTION("""COMPUTED_VALUE"""),4402.0)</f>
        <v>4402</v>
      </c>
      <c r="Q1884" s="35">
        <f>IFERROR(__xludf.DUMMYFUNCTION("""COMPUTED_VALUE"""),11381.0)</f>
        <v>11381</v>
      </c>
    </row>
    <row r="1885">
      <c r="A1885" s="35">
        <f>IFERROR(__xludf.DUMMYFUNCTION("""COMPUTED_VALUE"""),2031.0)</f>
        <v>2031</v>
      </c>
      <c r="B1885" s="35" t="str">
        <f>IFERROR(__xludf.DUMMYFUNCTION("""COMPUTED_VALUE"""),"Egg Drop With 2 Eggs and N Floors")</f>
        <v>Egg Drop With 2 Eggs and N Floors</v>
      </c>
      <c r="C1885" s="35" t="str">
        <f>IFERROR(__xludf.DUMMYFUNCTION("""COMPUTED_VALUE"""),"egg-drop-with-2-eggs-and-n-floors")</f>
        <v>egg-drop-with-2-eggs-and-n-floors</v>
      </c>
      <c r="D1885" s="35" t="b">
        <f>IFERROR(__xludf.DUMMYFUNCTION("""COMPUTED_VALUE"""),FALSE)</f>
        <v>0</v>
      </c>
      <c r="E1885" s="35" t="str">
        <f>IFERROR(__xludf.DUMMYFUNCTION("""COMPUTED_VALUE"""),"Medium")</f>
        <v>Medium</v>
      </c>
      <c r="F1885" s="35">
        <f>IFERROR(__xludf.DUMMYFUNCTION("""COMPUTED_VALUE"""),642.0)</f>
        <v>642</v>
      </c>
      <c r="G1885" s="35">
        <f>IFERROR(__xludf.DUMMYFUNCTION("""COMPUTED_VALUE"""),56.0)</f>
        <v>56</v>
      </c>
      <c r="H1885" s="35" t="str">
        <f>IFERROR(__xludf.DUMMYFUNCTION("""COMPUTED_VALUE"""),"Algorithms")</f>
        <v>Algorithms</v>
      </c>
      <c r="I1885" s="35">
        <f>IFERROR(__xludf.DUMMYFUNCTION("""COMPUTED_VALUE"""),0.701)</f>
        <v>0.701</v>
      </c>
      <c r="J1885" s="35">
        <f>IFERROR(__xludf.DUMMYFUNCTION("""COMPUTED_VALUE"""),1884.0)</f>
        <v>1884</v>
      </c>
      <c r="K1885" s="35" t="b">
        <f>IFERROR(__xludf.DUMMYFUNCTION("""COMPUTED_VALUE"""),FALSE)</f>
        <v>0</v>
      </c>
      <c r="L1885" s="35" t="str">
        <f>IFERROR(__xludf.DUMMYFUNCTION("""COMPUTED_VALUE"""),"Math;Dynamic Programming;")</f>
        <v>Math;Dynamic Programming;</v>
      </c>
      <c r="M1885" s="35" t="b">
        <f>IFERROR(__xludf.DUMMYFUNCTION("""COMPUTED_VALUE"""),FALSE)</f>
        <v>0</v>
      </c>
      <c r="N1885" s="35" t="b">
        <f>IFERROR(__xludf.DUMMYFUNCTION("""COMPUTED_VALUE"""),FALSE)</f>
        <v>0</v>
      </c>
      <c r="O1885" s="35">
        <f>IFERROR(__xludf.DUMMYFUNCTION("""COMPUTED_VALUE"""),70.1415149506841)</f>
        <v>70.14151495</v>
      </c>
      <c r="P1885" s="35">
        <f>IFERROR(__xludf.DUMMYFUNCTION("""COMPUTED_VALUE"""),17992.0)</f>
        <v>17992</v>
      </c>
      <c r="Q1885" s="35">
        <f>IFERROR(__xludf.DUMMYFUNCTION("""COMPUTED_VALUE"""),25651.0)</f>
        <v>25651</v>
      </c>
    </row>
    <row r="1886">
      <c r="A1886" s="35">
        <f>IFERROR(__xludf.DUMMYFUNCTION("""COMPUTED_VALUE"""),2036.0)</f>
        <v>2036</v>
      </c>
      <c r="B1886" s="35" t="str">
        <f>IFERROR(__xludf.DUMMYFUNCTION("""COMPUTED_VALUE"""),"Count Pairs in Two Arrays")</f>
        <v>Count Pairs in Two Arrays</v>
      </c>
      <c r="C1886" s="35" t="str">
        <f>IFERROR(__xludf.DUMMYFUNCTION("""COMPUTED_VALUE"""),"count-pairs-in-two-arrays")</f>
        <v>count-pairs-in-two-arrays</v>
      </c>
      <c r="D1886" s="35" t="b">
        <f>IFERROR(__xludf.DUMMYFUNCTION("""COMPUTED_VALUE"""),TRUE)</f>
        <v>1</v>
      </c>
      <c r="E1886" s="35" t="str">
        <f>IFERROR(__xludf.DUMMYFUNCTION("""COMPUTED_VALUE"""),"Medium")</f>
        <v>Medium</v>
      </c>
      <c r="F1886" s="35">
        <f>IFERROR(__xludf.DUMMYFUNCTION("""COMPUTED_VALUE"""),71.0)</f>
        <v>71</v>
      </c>
      <c r="G1886" s="35">
        <f>IFERROR(__xludf.DUMMYFUNCTION("""COMPUTED_VALUE"""),4.0)</f>
        <v>4</v>
      </c>
      <c r="H1886" s="35" t="str">
        <f>IFERROR(__xludf.DUMMYFUNCTION("""COMPUTED_VALUE"""),"Algorithms")</f>
        <v>Algorithms</v>
      </c>
      <c r="I1886" s="35">
        <f>IFERROR(__xludf.DUMMYFUNCTION("""COMPUTED_VALUE"""),0.578)</f>
        <v>0.578</v>
      </c>
      <c r="J1886" s="35">
        <f>IFERROR(__xludf.DUMMYFUNCTION("""COMPUTED_VALUE"""),1885.0)</f>
        <v>1885</v>
      </c>
      <c r="K1886" s="35" t="b">
        <f>IFERROR(__xludf.DUMMYFUNCTION("""COMPUTED_VALUE"""),TRUE)</f>
        <v>1</v>
      </c>
      <c r="L1886" s="35" t="str">
        <f>IFERROR(__xludf.DUMMYFUNCTION("""COMPUTED_VALUE"""),"Array;Binary Search;Sorting;")</f>
        <v>Array;Binary Search;Sorting;</v>
      </c>
      <c r="M1886" s="35" t="b">
        <f>IFERROR(__xludf.DUMMYFUNCTION("""COMPUTED_VALUE"""),FALSE)</f>
        <v>0</v>
      </c>
      <c r="N1886" s="35" t="b">
        <f>IFERROR(__xludf.DUMMYFUNCTION("""COMPUTED_VALUE"""),FALSE)</f>
        <v>0</v>
      </c>
      <c r="O1886" s="35">
        <f>IFERROR(__xludf.DUMMYFUNCTION("""COMPUTED_VALUE"""),57.7955271565495)</f>
        <v>57.79552716</v>
      </c>
      <c r="P1886" s="35">
        <f>IFERROR(__xludf.DUMMYFUNCTION("""COMPUTED_VALUE"""),1809.0)</f>
        <v>1809</v>
      </c>
      <c r="Q1886" s="35">
        <f>IFERROR(__xludf.DUMMYFUNCTION("""COMPUTED_VALUE"""),3130.0)</f>
        <v>3130</v>
      </c>
    </row>
    <row r="1887">
      <c r="A1887" s="35">
        <f>IFERROR(__xludf.DUMMYFUNCTION("""COMPUTED_VALUE"""),2015.0)</f>
        <v>2015</v>
      </c>
      <c r="B1887" s="35" t="str">
        <f>IFERROR(__xludf.DUMMYFUNCTION("""COMPUTED_VALUE"""),"Determine Whether Matrix Can Be Obtained By Rotation")</f>
        <v>Determine Whether Matrix Can Be Obtained By Rotation</v>
      </c>
      <c r="C1887" s="35" t="str">
        <f>IFERROR(__xludf.DUMMYFUNCTION("""COMPUTED_VALUE"""),"determine-whether-matrix-can-be-obtained-by-rotation")</f>
        <v>determine-whether-matrix-can-be-obtained-by-rotation</v>
      </c>
      <c r="D1887" s="35" t="b">
        <f>IFERROR(__xludf.DUMMYFUNCTION("""COMPUTED_VALUE"""),FALSE)</f>
        <v>0</v>
      </c>
      <c r="E1887" s="35" t="str">
        <f>IFERROR(__xludf.DUMMYFUNCTION("""COMPUTED_VALUE"""),"Easy")</f>
        <v>Easy</v>
      </c>
      <c r="F1887" s="35">
        <f>IFERROR(__xludf.DUMMYFUNCTION("""COMPUTED_VALUE"""),505.0)</f>
        <v>505</v>
      </c>
      <c r="G1887" s="35">
        <f>IFERROR(__xludf.DUMMYFUNCTION("""COMPUTED_VALUE"""),46.0)</f>
        <v>46</v>
      </c>
      <c r="H1887" s="35" t="str">
        <f>IFERROR(__xludf.DUMMYFUNCTION("""COMPUTED_VALUE"""),"Algorithms")</f>
        <v>Algorithms</v>
      </c>
      <c r="I1887" s="35">
        <f>IFERROR(__xludf.DUMMYFUNCTION("""COMPUTED_VALUE"""),0.547)</f>
        <v>0.547</v>
      </c>
      <c r="J1887" s="35">
        <f>IFERROR(__xludf.DUMMYFUNCTION("""COMPUTED_VALUE"""),1886.0)</f>
        <v>1886</v>
      </c>
      <c r="K1887" s="35" t="b">
        <f>IFERROR(__xludf.DUMMYFUNCTION("""COMPUTED_VALUE"""),FALSE)</f>
        <v>0</v>
      </c>
      <c r="L1887" s="35" t="str">
        <f>IFERROR(__xludf.DUMMYFUNCTION("""COMPUTED_VALUE"""),"Array;Matrix;")</f>
        <v>Array;Matrix;</v>
      </c>
      <c r="M1887" s="35" t="b">
        <f>IFERROR(__xludf.DUMMYFUNCTION("""COMPUTED_VALUE"""),FALSE)</f>
        <v>0</v>
      </c>
      <c r="N1887" s="35" t="b">
        <f>IFERROR(__xludf.DUMMYFUNCTION("""COMPUTED_VALUE"""),FALSE)</f>
        <v>0</v>
      </c>
      <c r="O1887" s="35">
        <f>IFERROR(__xludf.DUMMYFUNCTION("""COMPUTED_VALUE"""),54.686776894274)</f>
        <v>54.68677689</v>
      </c>
      <c r="P1887" s="35">
        <f>IFERROR(__xludf.DUMMYFUNCTION("""COMPUTED_VALUE"""),25995.0)</f>
        <v>25995</v>
      </c>
      <c r="Q1887" s="35">
        <f>IFERROR(__xludf.DUMMYFUNCTION("""COMPUTED_VALUE"""),47535.0)</f>
        <v>47535</v>
      </c>
    </row>
    <row r="1888">
      <c r="A1888" s="35">
        <f>IFERROR(__xludf.DUMMYFUNCTION("""COMPUTED_VALUE"""),2016.0)</f>
        <v>2016</v>
      </c>
      <c r="B1888" s="35" t="str">
        <f>IFERROR(__xludf.DUMMYFUNCTION("""COMPUTED_VALUE"""),"Reduction Operations to Make the Array Elements Equal")</f>
        <v>Reduction Operations to Make the Array Elements Equal</v>
      </c>
      <c r="C1888" s="35" t="str">
        <f>IFERROR(__xludf.DUMMYFUNCTION("""COMPUTED_VALUE"""),"reduction-operations-to-make-the-array-elements-equal")</f>
        <v>reduction-operations-to-make-the-array-elements-equal</v>
      </c>
      <c r="D1888" s="35" t="b">
        <f>IFERROR(__xludf.DUMMYFUNCTION("""COMPUTED_VALUE"""),FALSE)</f>
        <v>0</v>
      </c>
      <c r="E1888" s="35" t="str">
        <f>IFERROR(__xludf.DUMMYFUNCTION("""COMPUTED_VALUE"""),"Medium")</f>
        <v>Medium</v>
      </c>
      <c r="F1888" s="35">
        <f>IFERROR(__xludf.DUMMYFUNCTION("""COMPUTED_VALUE"""),316.0)</f>
        <v>316</v>
      </c>
      <c r="G1888" s="35">
        <f>IFERROR(__xludf.DUMMYFUNCTION("""COMPUTED_VALUE"""),11.0)</f>
        <v>11</v>
      </c>
      <c r="H1888" s="35" t="str">
        <f>IFERROR(__xludf.DUMMYFUNCTION("""COMPUTED_VALUE"""),"Algorithms")</f>
        <v>Algorithms</v>
      </c>
      <c r="I1888" s="35">
        <f>IFERROR(__xludf.DUMMYFUNCTION("""COMPUTED_VALUE"""),0.614)</f>
        <v>0.614</v>
      </c>
      <c r="J1888" s="35">
        <f>IFERROR(__xludf.DUMMYFUNCTION("""COMPUTED_VALUE"""),1887.0)</f>
        <v>1887</v>
      </c>
      <c r="K1888" s="35" t="b">
        <f>IFERROR(__xludf.DUMMYFUNCTION("""COMPUTED_VALUE"""),FALSE)</f>
        <v>0</v>
      </c>
      <c r="L1888" s="35" t="str">
        <f>IFERROR(__xludf.DUMMYFUNCTION("""COMPUTED_VALUE"""),"Array;Sorting;")</f>
        <v>Array;Sorting;</v>
      </c>
      <c r="M1888" s="35" t="b">
        <f>IFERROR(__xludf.DUMMYFUNCTION("""COMPUTED_VALUE"""),FALSE)</f>
        <v>0</v>
      </c>
      <c r="N1888" s="35" t="b">
        <f>IFERROR(__xludf.DUMMYFUNCTION("""COMPUTED_VALUE"""),FALSE)</f>
        <v>0</v>
      </c>
      <c r="O1888" s="35">
        <f>IFERROR(__xludf.DUMMYFUNCTION("""COMPUTED_VALUE"""),61.3782542113323)</f>
        <v>61.37825421</v>
      </c>
      <c r="P1888" s="35">
        <f>IFERROR(__xludf.DUMMYFUNCTION("""COMPUTED_VALUE"""),16032.0)</f>
        <v>16032</v>
      </c>
      <c r="Q1888" s="35">
        <f>IFERROR(__xludf.DUMMYFUNCTION("""COMPUTED_VALUE"""),26120.0)</f>
        <v>26120</v>
      </c>
    </row>
    <row r="1889">
      <c r="A1889" s="35">
        <f>IFERROR(__xludf.DUMMYFUNCTION("""COMPUTED_VALUE"""),2017.0)</f>
        <v>2017</v>
      </c>
      <c r="B1889" s="35" t="str">
        <f>IFERROR(__xludf.DUMMYFUNCTION("""COMPUTED_VALUE"""),"Minimum Number of Flips to Make the Binary String Alternating")</f>
        <v>Minimum Number of Flips to Make the Binary String Alternating</v>
      </c>
      <c r="C1889" s="35" t="str">
        <f>IFERROR(__xludf.DUMMYFUNCTION("""COMPUTED_VALUE"""),"minimum-number-of-flips-to-make-the-binary-string-alternating")</f>
        <v>minimum-number-of-flips-to-make-the-binary-string-alternating</v>
      </c>
      <c r="D1889" s="35" t="b">
        <f>IFERROR(__xludf.DUMMYFUNCTION("""COMPUTED_VALUE"""),FALSE)</f>
        <v>0</v>
      </c>
      <c r="E1889" s="35" t="str">
        <f>IFERROR(__xludf.DUMMYFUNCTION("""COMPUTED_VALUE"""),"Medium")</f>
        <v>Medium</v>
      </c>
      <c r="F1889" s="35">
        <f>IFERROR(__xludf.DUMMYFUNCTION("""COMPUTED_VALUE"""),597.0)</f>
        <v>597</v>
      </c>
      <c r="G1889" s="35">
        <f>IFERROR(__xludf.DUMMYFUNCTION("""COMPUTED_VALUE"""),18.0)</f>
        <v>18</v>
      </c>
      <c r="H1889" s="35" t="str">
        <f>IFERROR(__xludf.DUMMYFUNCTION("""COMPUTED_VALUE"""),"Algorithms")</f>
        <v>Algorithms</v>
      </c>
      <c r="I1889" s="35">
        <f>IFERROR(__xludf.DUMMYFUNCTION("""COMPUTED_VALUE"""),0.367)</f>
        <v>0.367</v>
      </c>
      <c r="J1889" s="35">
        <f>IFERROR(__xludf.DUMMYFUNCTION("""COMPUTED_VALUE"""),1888.0)</f>
        <v>1888</v>
      </c>
      <c r="K1889" s="35" t="b">
        <f>IFERROR(__xludf.DUMMYFUNCTION("""COMPUTED_VALUE"""),FALSE)</f>
        <v>0</v>
      </c>
      <c r="L1889" s="35" t="str">
        <f>IFERROR(__xludf.DUMMYFUNCTION("""COMPUTED_VALUE"""),"String;Greedy;")</f>
        <v>String;Greedy;</v>
      </c>
      <c r="M1889" s="35" t="b">
        <f>IFERROR(__xludf.DUMMYFUNCTION("""COMPUTED_VALUE"""),FALSE)</f>
        <v>0</v>
      </c>
      <c r="N1889" s="35" t="b">
        <f>IFERROR(__xludf.DUMMYFUNCTION("""COMPUTED_VALUE"""),FALSE)</f>
        <v>0</v>
      </c>
      <c r="O1889" s="35">
        <f>IFERROR(__xludf.DUMMYFUNCTION("""COMPUTED_VALUE"""),36.6930622087528)</f>
        <v>36.69306221</v>
      </c>
      <c r="P1889" s="35">
        <f>IFERROR(__xludf.DUMMYFUNCTION("""COMPUTED_VALUE"""),11258.0)</f>
        <v>11258</v>
      </c>
      <c r="Q1889" s="35">
        <f>IFERROR(__xludf.DUMMYFUNCTION("""COMPUTED_VALUE"""),30685.0)</f>
        <v>30685</v>
      </c>
    </row>
    <row r="1890">
      <c r="A1890" s="35">
        <f>IFERROR(__xludf.DUMMYFUNCTION("""COMPUTED_VALUE"""),2018.0)</f>
        <v>2018</v>
      </c>
      <c r="B1890" s="35" t="str">
        <f>IFERROR(__xludf.DUMMYFUNCTION("""COMPUTED_VALUE"""),"Minimum Space Wasted From Packaging")</f>
        <v>Minimum Space Wasted From Packaging</v>
      </c>
      <c r="C1890" s="35" t="str">
        <f>IFERROR(__xludf.DUMMYFUNCTION("""COMPUTED_VALUE"""),"minimum-space-wasted-from-packaging")</f>
        <v>minimum-space-wasted-from-packaging</v>
      </c>
      <c r="D1890" s="35" t="b">
        <f>IFERROR(__xludf.DUMMYFUNCTION("""COMPUTED_VALUE"""),FALSE)</f>
        <v>0</v>
      </c>
      <c r="E1890" s="35" t="str">
        <f>IFERROR(__xludf.DUMMYFUNCTION("""COMPUTED_VALUE"""),"Hard")</f>
        <v>Hard</v>
      </c>
      <c r="F1890" s="35">
        <f>IFERROR(__xludf.DUMMYFUNCTION("""COMPUTED_VALUE"""),234.0)</f>
        <v>234</v>
      </c>
      <c r="G1890" s="35">
        <f>IFERROR(__xludf.DUMMYFUNCTION("""COMPUTED_VALUE"""),27.0)</f>
        <v>27</v>
      </c>
      <c r="H1890" s="35" t="str">
        <f>IFERROR(__xludf.DUMMYFUNCTION("""COMPUTED_VALUE"""),"Algorithms")</f>
        <v>Algorithms</v>
      </c>
      <c r="I1890" s="35">
        <f>IFERROR(__xludf.DUMMYFUNCTION("""COMPUTED_VALUE"""),0.299)</f>
        <v>0.299</v>
      </c>
      <c r="J1890" s="35">
        <f>IFERROR(__xludf.DUMMYFUNCTION("""COMPUTED_VALUE"""),1889.0)</f>
        <v>1889</v>
      </c>
      <c r="K1890" s="35" t="b">
        <f>IFERROR(__xludf.DUMMYFUNCTION("""COMPUTED_VALUE"""),FALSE)</f>
        <v>0</v>
      </c>
      <c r="L1890" s="35" t="str">
        <f>IFERROR(__xludf.DUMMYFUNCTION("""COMPUTED_VALUE"""),"Array;Binary Search;Sorting;Prefix Sum;")</f>
        <v>Array;Binary Search;Sorting;Prefix Sum;</v>
      </c>
      <c r="M1890" s="35" t="b">
        <f>IFERROR(__xludf.DUMMYFUNCTION("""COMPUTED_VALUE"""),FALSE)</f>
        <v>0</v>
      </c>
      <c r="N1890" s="35" t="b">
        <f>IFERROR(__xludf.DUMMYFUNCTION("""COMPUTED_VALUE"""),FALSE)</f>
        <v>0</v>
      </c>
      <c r="O1890" s="35">
        <f>IFERROR(__xludf.DUMMYFUNCTION("""COMPUTED_VALUE"""),29.9206510681586)</f>
        <v>29.92065107</v>
      </c>
      <c r="P1890" s="35">
        <f>IFERROR(__xludf.DUMMYFUNCTION("""COMPUTED_VALUE"""),7353.0)</f>
        <v>7353</v>
      </c>
      <c r="Q1890" s="35">
        <f>IFERROR(__xludf.DUMMYFUNCTION("""COMPUTED_VALUE"""),24575.0)</f>
        <v>24575</v>
      </c>
    </row>
    <row r="1891">
      <c r="A1891" s="35">
        <f>IFERROR(__xludf.DUMMYFUNCTION("""COMPUTED_VALUE"""),2041.0)</f>
        <v>2041</v>
      </c>
      <c r="B1891" s="35" t="str">
        <f>IFERROR(__xludf.DUMMYFUNCTION("""COMPUTED_VALUE"""),"The Latest Login in 2020")</f>
        <v>The Latest Login in 2020</v>
      </c>
      <c r="C1891" s="35" t="str">
        <f>IFERROR(__xludf.DUMMYFUNCTION("""COMPUTED_VALUE"""),"the-latest-login-in-2020")</f>
        <v>the-latest-login-in-2020</v>
      </c>
      <c r="D1891" s="35" t="b">
        <f>IFERROR(__xludf.DUMMYFUNCTION("""COMPUTED_VALUE"""),TRUE)</f>
        <v>1</v>
      </c>
      <c r="E1891" s="35" t="str">
        <f>IFERROR(__xludf.DUMMYFUNCTION("""COMPUTED_VALUE"""),"Easy")</f>
        <v>Easy</v>
      </c>
      <c r="F1891" s="35">
        <f>IFERROR(__xludf.DUMMYFUNCTION("""COMPUTED_VALUE"""),31.0)</f>
        <v>31</v>
      </c>
      <c r="G1891" s="35">
        <f>IFERROR(__xludf.DUMMYFUNCTION("""COMPUTED_VALUE"""),0.0)</f>
        <v>0</v>
      </c>
      <c r="H1891" s="35" t="str">
        <f>IFERROR(__xludf.DUMMYFUNCTION("""COMPUTED_VALUE"""),"Database")</f>
        <v>Database</v>
      </c>
      <c r="I1891" s="35">
        <f>IFERROR(__xludf.DUMMYFUNCTION("""COMPUTED_VALUE"""),0.839)</f>
        <v>0.839</v>
      </c>
      <c r="J1891" s="35">
        <f>IFERROR(__xludf.DUMMYFUNCTION("""COMPUTED_VALUE"""),1890.0)</f>
        <v>1890</v>
      </c>
      <c r="K1891" s="35" t="b">
        <f>IFERROR(__xludf.DUMMYFUNCTION("""COMPUTED_VALUE"""),TRUE)</f>
        <v>1</v>
      </c>
      <c r="L1891" s="35" t="str">
        <f>IFERROR(__xludf.DUMMYFUNCTION("""COMPUTED_VALUE"""),"Database;")</f>
        <v>Database;</v>
      </c>
      <c r="M1891" s="35" t="b">
        <f>IFERROR(__xludf.DUMMYFUNCTION("""COMPUTED_VALUE"""),FALSE)</f>
        <v>0</v>
      </c>
      <c r="N1891" s="35" t="b">
        <f>IFERROR(__xludf.DUMMYFUNCTION("""COMPUTED_VALUE"""),FALSE)</f>
        <v>0</v>
      </c>
      <c r="O1891" s="35">
        <f>IFERROR(__xludf.DUMMYFUNCTION("""COMPUTED_VALUE"""),83.920675331636)</f>
        <v>83.92067533</v>
      </c>
      <c r="P1891" s="35">
        <f>IFERROR(__xludf.DUMMYFUNCTION("""COMPUTED_VALUE"""),6263.0)</f>
        <v>6263</v>
      </c>
      <c r="Q1891" s="35">
        <f>IFERROR(__xludf.DUMMYFUNCTION("""COMPUTED_VALUE"""),7463.0)</f>
        <v>7463</v>
      </c>
    </row>
    <row r="1892">
      <c r="A1892" s="35">
        <f>IFERROR(__xludf.DUMMYFUNCTION("""COMPUTED_VALUE"""),2045.0)</f>
        <v>2045</v>
      </c>
      <c r="B1892" s="35" t="str">
        <f>IFERROR(__xludf.DUMMYFUNCTION("""COMPUTED_VALUE"""),"Cutting Ribbons")</f>
        <v>Cutting Ribbons</v>
      </c>
      <c r="C1892" s="35" t="str">
        <f>IFERROR(__xludf.DUMMYFUNCTION("""COMPUTED_VALUE"""),"cutting-ribbons")</f>
        <v>cutting-ribbons</v>
      </c>
      <c r="D1892" s="35" t="b">
        <f>IFERROR(__xludf.DUMMYFUNCTION("""COMPUTED_VALUE"""),TRUE)</f>
        <v>1</v>
      </c>
      <c r="E1892" s="35" t="str">
        <f>IFERROR(__xludf.DUMMYFUNCTION("""COMPUTED_VALUE"""),"Medium")</f>
        <v>Medium</v>
      </c>
      <c r="F1892" s="35">
        <f>IFERROR(__xludf.DUMMYFUNCTION("""COMPUTED_VALUE"""),310.0)</f>
        <v>310</v>
      </c>
      <c r="G1892" s="35">
        <f>IFERROR(__xludf.DUMMYFUNCTION("""COMPUTED_VALUE"""),17.0)</f>
        <v>17</v>
      </c>
      <c r="H1892" s="35" t="str">
        <f>IFERROR(__xludf.DUMMYFUNCTION("""COMPUTED_VALUE"""),"Algorithms")</f>
        <v>Algorithms</v>
      </c>
      <c r="I1892" s="35">
        <f>IFERROR(__xludf.DUMMYFUNCTION("""COMPUTED_VALUE"""),0.485)</f>
        <v>0.485</v>
      </c>
      <c r="J1892" s="35">
        <f>IFERROR(__xludf.DUMMYFUNCTION("""COMPUTED_VALUE"""),1891.0)</f>
        <v>1891</v>
      </c>
      <c r="K1892" s="35" t="b">
        <f>IFERROR(__xludf.DUMMYFUNCTION("""COMPUTED_VALUE"""),TRUE)</f>
        <v>1</v>
      </c>
      <c r="L1892" s="35" t="str">
        <f>IFERROR(__xludf.DUMMYFUNCTION("""COMPUTED_VALUE"""),"Array;Binary Search;")</f>
        <v>Array;Binary Search;</v>
      </c>
      <c r="M1892" s="35" t="b">
        <f>IFERROR(__xludf.DUMMYFUNCTION("""COMPUTED_VALUE"""),FALSE)</f>
        <v>0</v>
      </c>
      <c r="N1892" s="35" t="b">
        <f>IFERROR(__xludf.DUMMYFUNCTION("""COMPUTED_VALUE"""),FALSE)</f>
        <v>0</v>
      </c>
      <c r="O1892" s="35">
        <f>IFERROR(__xludf.DUMMYFUNCTION("""COMPUTED_VALUE"""),48.4545072833564)</f>
        <v>48.45450728</v>
      </c>
      <c r="P1892" s="35">
        <f>IFERROR(__xludf.DUMMYFUNCTION("""COMPUTED_VALUE"""),30004.0)</f>
        <v>30004</v>
      </c>
      <c r="Q1892" s="35">
        <f>IFERROR(__xludf.DUMMYFUNCTION("""COMPUTED_VALUE"""),61922.0)</f>
        <v>61922</v>
      </c>
    </row>
    <row r="1893">
      <c r="A1893" s="35">
        <f>IFERROR(__xludf.DUMMYFUNCTION("""COMPUTED_VALUE"""),2046.0)</f>
        <v>2046</v>
      </c>
      <c r="B1893" s="35" t="str">
        <f>IFERROR(__xludf.DUMMYFUNCTION("""COMPUTED_VALUE"""),"Page Recommendations II")</f>
        <v>Page Recommendations II</v>
      </c>
      <c r="C1893" s="35" t="str">
        <f>IFERROR(__xludf.DUMMYFUNCTION("""COMPUTED_VALUE"""),"page-recommendations-ii")</f>
        <v>page-recommendations-ii</v>
      </c>
      <c r="D1893" s="35" t="b">
        <f>IFERROR(__xludf.DUMMYFUNCTION("""COMPUTED_VALUE"""),TRUE)</f>
        <v>1</v>
      </c>
      <c r="E1893" s="35" t="str">
        <f>IFERROR(__xludf.DUMMYFUNCTION("""COMPUTED_VALUE"""),"Hard")</f>
        <v>Hard</v>
      </c>
      <c r="F1893" s="35">
        <f>IFERROR(__xludf.DUMMYFUNCTION("""COMPUTED_VALUE"""),47.0)</f>
        <v>47</v>
      </c>
      <c r="G1893" s="35">
        <f>IFERROR(__xludf.DUMMYFUNCTION("""COMPUTED_VALUE"""),11.0)</f>
        <v>11</v>
      </c>
      <c r="H1893" s="35" t="str">
        <f>IFERROR(__xludf.DUMMYFUNCTION("""COMPUTED_VALUE"""),"Database")</f>
        <v>Database</v>
      </c>
      <c r="I1893" s="35">
        <f>IFERROR(__xludf.DUMMYFUNCTION("""COMPUTED_VALUE"""),0.44)</f>
        <v>0.44</v>
      </c>
      <c r="J1893" s="35">
        <f>IFERROR(__xludf.DUMMYFUNCTION("""COMPUTED_VALUE"""),1892.0)</f>
        <v>1892</v>
      </c>
      <c r="K1893" s="35" t="b">
        <f>IFERROR(__xludf.DUMMYFUNCTION("""COMPUTED_VALUE"""),TRUE)</f>
        <v>1</v>
      </c>
      <c r="L1893" s="35" t="str">
        <f>IFERROR(__xludf.DUMMYFUNCTION("""COMPUTED_VALUE"""),"Database;")</f>
        <v>Database;</v>
      </c>
      <c r="M1893" s="35" t="b">
        <f>IFERROR(__xludf.DUMMYFUNCTION("""COMPUTED_VALUE"""),FALSE)</f>
        <v>0</v>
      </c>
      <c r="N1893" s="35" t="b">
        <f>IFERROR(__xludf.DUMMYFUNCTION("""COMPUTED_VALUE"""),FALSE)</f>
        <v>0</v>
      </c>
      <c r="O1893" s="35">
        <f>IFERROR(__xludf.DUMMYFUNCTION("""COMPUTED_VALUE"""),43.9912699495293)</f>
        <v>43.99126995</v>
      </c>
      <c r="P1893" s="35">
        <f>IFERROR(__xludf.DUMMYFUNCTION("""COMPUTED_VALUE"""),3225.0)</f>
        <v>3225</v>
      </c>
      <c r="Q1893" s="35">
        <f>IFERROR(__xludf.DUMMYFUNCTION("""COMPUTED_VALUE"""),7331.0)</f>
        <v>7331</v>
      </c>
    </row>
    <row r="1894">
      <c r="A1894" s="35">
        <f>IFERROR(__xludf.DUMMYFUNCTION("""COMPUTED_VALUE"""),2005.0)</f>
        <v>2005</v>
      </c>
      <c r="B1894" s="35" t="str">
        <f>IFERROR(__xludf.DUMMYFUNCTION("""COMPUTED_VALUE"""),"Check if All the Integers in a Range Are Covered")</f>
        <v>Check if All the Integers in a Range Are Covered</v>
      </c>
      <c r="C1894" s="35" t="str">
        <f>IFERROR(__xludf.DUMMYFUNCTION("""COMPUTED_VALUE"""),"check-if-all-the-integers-in-a-range-are-covered")</f>
        <v>check-if-all-the-integers-in-a-range-are-covered</v>
      </c>
      <c r="D1894" s="35" t="b">
        <f>IFERROR(__xludf.DUMMYFUNCTION("""COMPUTED_VALUE"""),FALSE)</f>
        <v>0</v>
      </c>
      <c r="E1894" s="35" t="str">
        <f>IFERROR(__xludf.DUMMYFUNCTION("""COMPUTED_VALUE"""),"Easy")</f>
        <v>Easy</v>
      </c>
      <c r="F1894" s="35">
        <f>IFERROR(__xludf.DUMMYFUNCTION("""COMPUTED_VALUE"""),240.0)</f>
        <v>240</v>
      </c>
      <c r="G1894" s="35">
        <f>IFERROR(__xludf.DUMMYFUNCTION("""COMPUTED_VALUE"""),51.0)</f>
        <v>51</v>
      </c>
      <c r="H1894" s="35" t="str">
        <f>IFERROR(__xludf.DUMMYFUNCTION("""COMPUTED_VALUE"""),"Algorithms")</f>
        <v>Algorithms</v>
      </c>
      <c r="I1894" s="35">
        <f>IFERROR(__xludf.DUMMYFUNCTION("""COMPUTED_VALUE"""),0.508)</f>
        <v>0.508</v>
      </c>
      <c r="J1894" s="35">
        <f>IFERROR(__xludf.DUMMYFUNCTION("""COMPUTED_VALUE"""),1893.0)</f>
        <v>1893</v>
      </c>
      <c r="K1894" s="35" t="b">
        <f>IFERROR(__xludf.DUMMYFUNCTION("""COMPUTED_VALUE"""),FALSE)</f>
        <v>0</v>
      </c>
      <c r="L1894" s="35" t="str">
        <f>IFERROR(__xludf.DUMMYFUNCTION("""COMPUTED_VALUE"""),"Array;Hash Table;Prefix Sum;")</f>
        <v>Array;Hash Table;Prefix Sum;</v>
      </c>
      <c r="M1894" s="35" t="b">
        <f>IFERROR(__xludf.DUMMYFUNCTION("""COMPUTED_VALUE"""),FALSE)</f>
        <v>0</v>
      </c>
      <c r="N1894" s="35" t="b">
        <f>IFERROR(__xludf.DUMMYFUNCTION("""COMPUTED_VALUE"""),FALSE)</f>
        <v>0</v>
      </c>
      <c r="O1894" s="35">
        <f>IFERROR(__xludf.DUMMYFUNCTION("""COMPUTED_VALUE"""),50.82178703202)</f>
        <v>50.82178703</v>
      </c>
      <c r="P1894" s="35">
        <f>IFERROR(__xludf.DUMMYFUNCTION("""COMPUTED_VALUE"""),19697.0)</f>
        <v>19697</v>
      </c>
      <c r="Q1894" s="35">
        <f>IFERROR(__xludf.DUMMYFUNCTION("""COMPUTED_VALUE"""),38757.0)</f>
        <v>38757</v>
      </c>
    </row>
    <row r="1895">
      <c r="A1895" s="35">
        <f>IFERROR(__xludf.DUMMYFUNCTION("""COMPUTED_VALUE"""),2006.0)</f>
        <v>2006</v>
      </c>
      <c r="B1895" s="35" t="str">
        <f>IFERROR(__xludf.DUMMYFUNCTION("""COMPUTED_VALUE"""),"Find the Student that Will Replace the Chalk")</f>
        <v>Find the Student that Will Replace the Chalk</v>
      </c>
      <c r="C1895" s="35" t="str">
        <f>IFERROR(__xludf.DUMMYFUNCTION("""COMPUTED_VALUE"""),"find-the-student-that-will-replace-the-chalk")</f>
        <v>find-the-student-that-will-replace-the-chalk</v>
      </c>
      <c r="D1895" s="35" t="b">
        <f>IFERROR(__xludf.DUMMYFUNCTION("""COMPUTED_VALUE"""),FALSE)</f>
        <v>0</v>
      </c>
      <c r="E1895" s="35" t="str">
        <f>IFERROR(__xludf.DUMMYFUNCTION("""COMPUTED_VALUE"""),"Medium")</f>
        <v>Medium</v>
      </c>
      <c r="F1895" s="35">
        <f>IFERROR(__xludf.DUMMYFUNCTION("""COMPUTED_VALUE"""),204.0)</f>
        <v>204</v>
      </c>
      <c r="G1895" s="35">
        <f>IFERROR(__xludf.DUMMYFUNCTION("""COMPUTED_VALUE"""),34.0)</f>
        <v>34</v>
      </c>
      <c r="H1895" s="35" t="str">
        <f>IFERROR(__xludf.DUMMYFUNCTION("""COMPUTED_VALUE"""),"Algorithms")</f>
        <v>Algorithms</v>
      </c>
      <c r="I1895" s="35">
        <f>IFERROR(__xludf.DUMMYFUNCTION("""COMPUTED_VALUE"""),0.405)</f>
        <v>0.405</v>
      </c>
      <c r="J1895" s="35">
        <f>IFERROR(__xludf.DUMMYFUNCTION("""COMPUTED_VALUE"""),1894.0)</f>
        <v>1894</v>
      </c>
      <c r="K1895" s="35" t="b">
        <f>IFERROR(__xludf.DUMMYFUNCTION("""COMPUTED_VALUE"""),FALSE)</f>
        <v>0</v>
      </c>
      <c r="L1895" s="35" t="str">
        <f>IFERROR(__xludf.DUMMYFUNCTION("""COMPUTED_VALUE"""),"Array;Binary Search;Simulation;Prefix Sum;")</f>
        <v>Array;Binary Search;Simulation;Prefix Sum;</v>
      </c>
      <c r="M1895" s="35" t="b">
        <f>IFERROR(__xludf.DUMMYFUNCTION("""COMPUTED_VALUE"""),FALSE)</f>
        <v>0</v>
      </c>
      <c r="N1895" s="35" t="b">
        <f>IFERROR(__xludf.DUMMYFUNCTION("""COMPUTED_VALUE"""),FALSE)</f>
        <v>0</v>
      </c>
      <c r="O1895" s="35">
        <f>IFERROR(__xludf.DUMMYFUNCTION("""COMPUTED_VALUE"""),40.4609815820291)</f>
        <v>40.46098158</v>
      </c>
      <c r="P1895" s="35">
        <f>IFERROR(__xludf.DUMMYFUNCTION("""COMPUTED_VALUE"""),15202.0)</f>
        <v>15202</v>
      </c>
      <c r="Q1895" s="35">
        <f>IFERROR(__xludf.DUMMYFUNCTION("""COMPUTED_VALUE"""),37572.0)</f>
        <v>37572</v>
      </c>
    </row>
    <row r="1896">
      <c r="A1896" s="35">
        <f>IFERROR(__xludf.DUMMYFUNCTION("""COMPUTED_VALUE"""),1311.0)</f>
        <v>1311</v>
      </c>
      <c r="B1896" s="35" t="str">
        <f>IFERROR(__xludf.DUMMYFUNCTION("""COMPUTED_VALUE"""),"Largest Magic Square")</f>
        <v>Largest Magic Square</v>
      </c>
      <c r="C1896" s="35" t="str">
        <f>IFERROR(__xludf.DUMMYFUNCTION("""COMPUTED_VALUE"""),"largest-magic-square")</f>
        <v>largest-magic-square</v>
      </c>
      <c r="D1896" s="35" t="b">
        <f>IFERROR(__xludf.DUMMYFUNCTION("""COMPUTED_VALUE"""),FALSE)</f>
        <v>0</v>
      </c>
      <c r="E1896" s="35" t="str">
        <f>IFERROR(__xludf.DUMMYFUNCTION("""COMPUTED_VALUE"""),"Medium")</f>
        <v>Medium</v>
      </c>
      <c r="F1896" s="35">
        <f>IFERROR(__xludf.DUMMYFUNCTION("""COMPUTED_VALUE"""),176.0)</f>
        <v>176</v>
      </c>
      <c r="G1896" s="35">
        <f>IFERROR(__xludf.DUMMYFUNCTION("""COMPUTED_VALUE"""),195.0)</f>
        <v>195</v>
      </c>
      <c r="H1896" s="35" t="str">
        <f>IFERROR(__xludf.DUMMYFUNCTION("""COMPUTED_VALUE"""),"Algorithms")</f>
        <v>Algorithms</v>
      </c>
      <c r="I1896" s="35">
        <f>IFERROR(__xludf.DUMMYFUNCTION("""COMPUTED_VALUE"""),0.511)</f>
        <v>0.511</v>
      </c>
      <c r="J1896" s="35">
        <f>IFERROR(__xludf.DUMMYFUNCTION("""COMPUTED_VALUE"""),1895.0)</f>
        <v>1895</v>
      </c>
      <c r="K1896" s="35" t="b">
        <f>IFERROR(__xludf.DUMMYFUNCTION("""COMPUTED_VALUE"""),FALSE)</f>
        <v>0</v>
      </c>
      <c r="L1896" s="35" t="str">
        <f>IFERROR(__xludf.DUMMYFUNCTION("""COMPUTED_VALUE"""),"Array;Matrix;Prefix Sum;")</f>
        <v>Array;Matrix;Prefix Sum;</v>
      </c>
      <c r="M1896" s="35" t="b">
        <f>IFERROR(__xludf.DUMMYFUNCTION("""COMPUTED_VALUE"""),FALSE)</f>
        <v>0</v>
      </c>
      <c r="N1896" s="35" t="b">
        <f>IFERROR(__xludf.DUMMYFUNCTION("""COMPUTED_VALUE"""),FALSE)</f>
        <v>0</v>
      </c>
      <c r="O1896" s="35">
        <f>IFERROR(__xludf.DUMMYFUNCTION("""COMPUTED_VALUE"""),51.1214887143564)</f>
        <v>51.12148871</v>
      </c>
      <c r="P1896" s="35">
        <f>IFERROR(__xludf.DUMMYFUNCTION("""COMPUTED_VALUE"""),7224.0)</f>
        <v>7224</v>
      </c>
      <c r="Q1896" s="35">
        <f>IFERROR(__xludf.DUMMYFUNCTION("""COMPUTED_VALUE"""),14132.0)</f>
        <v>14132</v>
      </c>
    </row>
    <row r="1897">
      <c r="A1897" s="35">
        <f>IFERROR(__xludf.DUMMYFUNCTION("""COMPUTED_VALUE"""),2008.0)</f>
        <v>2008</v>
      </c>
      <c r="B1897" s="35" t="str">
        <f>IFERROR(__xludf.DUMMYFUNCTION("""COMPUTED_VALUE"""),"Minimum Cost to Change the Final Value of Expression")</f>
        <v>Minimum Cost to Change the Final Value of Expression</v>
      </c>
      <c r="C1897" s="35" t="str">
        <f>IFERROR(__xludf.DUMMYFUNCTION("""COMPUTED_VALUE"""),"minimum-cost-to-change-the-final-value-of-expression")</f>
        <v>minimum-cost-to-change-the-final-value-of-expression</v>
      </c>
      <c r="D1897" s="35" t="b">
        <f>IFERROR(__xludf.DUMMYFUNCTION("""COMPUTED_VALUE"""),FALSE)</f>
        <v>0</v>
      </c>
      <c r="E1897" s="35" t="str">
        <f>IFERROR(__xludf.DUMMYFUNCTION("""COMPUTED_VALUE"""),"Hard")</f>
        <v>Hard</v>
      </c>
      <c r="F1897" s="35">
        <f>IFERROR(__xludf.DUMMYFUNCTION("""COMPUTED_VALUE"""),149.0)</f>
        <v>149</v>
      </c>
      <c r="G1897" s="35">
        <f>IFERROR(__xludf.DUMMYFUNCTION("""COMPUTED_VALUE"""),33.0)</f>
        <v>33</v>
      </c>
      <c r="H1897" s="35" t="str">
        <f>IFERROR(__xludf.DUMMYFUNCTION("""COMPUTED_VALUE"""),"Algorithms")</f>
        <v>Algorithms</v>
      </c>
      <c r="I1897" s="35">
        <f>IFERROR(__xludf.DUMMYFUNCTION("""COMPUTED_VALUE"""),0.533)</f>
        <v>0.533</v>
      </c>
      <c r="J1897" s="35">
        <f>IFERROR(__xludf.DUMMYFUNCTION("""COMPUTED_VALUE"""),1896.0)</f>
        <v>1896</v>
      </c>
      <c r="K1897" s="35" t="b">
        <f>IFERROR(__xludf.DUMMYFUNCTION("""COMPUTED_VALUE"""),FALSE)</f>
        <v>0</v>
      </c>
      <c r="L1897" s="35" t="str">
        <f>IFERROR(__xludf.DUMMYFUNCTION("""COMPUTED_VALUE"""),"Math;String;Dynamic Programming;Stack;")</f>
        <v>Math;String;Dynamic Programming;Stack;</v>
      </c>
      <c r="M1897" s="35" t="b">
        <f>IFERROR(__xludf.DUMMYFUNCTION("""COMPUTED_VALUE"""),FALSE)</f>
        <v>0</v>
      </c>
      <c r="N1897" s="35" t="b">
        <f>IFERROR(__xludf.DUMMYFUNCTION("""COMPUTED_VALUE"""),FALSE)</f>
        <v>0</v>
      </c>
      <c r="O1897" s="35">
        <f>IFERROR(__xludf.DUMMYFUNCTION("""COMPUTED_VALUE"""),53.3348007924279)</f>
        <v>53.33480079</v>
      </c>
      <c r="P1897" s="35">
        <f>IFERROR(__xludf.DUMMYFUNCTION("""COMPUTED_VALUE"""),2423.0)</f>
        <v>2423</v>
      </c>
      <c r="Q1897" s="35">
        <f>IFERROR(__xludf.DUMMYFUNCTION("""COMPUTED_VALUE"""),4543.0)</f>
        <v>4543</v>
      </c>
    </row>
    <row r="1898">
      <c r="A1898" s="35">
        <f>IFERROR(__xludf.DUMMYFUNCTION("""COMPUTED_VALUE"""),2025.0)</f>
        <v>2025</v>
      </c>
      <c r="B1898" s="35" t="str">
        <f>IFERROR(__xludf.DUMMYFUNCTION("""COMPUTED_VALUE"""),"Redistribute Characters to Make All Strings Equal")</f>
        <v>Redistribute Characters to Make All Strings Equal</v>
      </c>
      <c r="C1898" s="35" t="str">
        <f>IFERROR(__xludf.DUMMYFUNCTION("""COMPUTED_VALUE"""),"redistribute-characters-to-make-all-strings-equal")</f>
        <v>redistribute-characters-to-make-all-strings-equal</v>
      </c>
      <c r="D1898" s="35" t="b">
        <f>IFERROR(__xludf.DUMMYFUNCTION("""COMPUTED_VALUE"""),FALSE)</f>
        <v>0</v>
      </c>
      <c r="E1898" s="35" t="str">
        <f>IFERROR(__xludf.DUMMYFUNCTION("""COMPUTED_VALUE"""),"Easy")</f>
        <v>Easy</v>
      </c>
      <c r="F1898" s="35">
        <f>IFERROR(__xludf.DUMMYFUNCTION("""COMPUTED_VALUE"""),244.0)</f>
        <v>244</v>
      </c>
      <c r="G1898" s="35">
        <f>IFERROR(__xludf.DUMMYFUNCTION("""COMPUTED_VALUE"""),31.0)</f>
        <v>31</v>
      </c>
      <c r="H1898" s="35" t="str">
        <f>IFERROR(__xludf.DUMMYFUNCTION("""COMPUTED_VALUE"""),"Algorithms")</f>
        <v>Algorithms</v>
      </c>
      <c r="I1898" s="35">
        <f>IFERROR(__xludf.DUMMYFUNCTION("""COMPUTED_VALUE"""),0.6)</f>
        <v>0.6</v>
      </c>
      <c r="J1898" s="35">
        <f>IFERROR(__xludf.DUMMYFUNCTION("""COMPUTED_VALUE"""),1897.0)</f>
        <v>1897</v>
      </c>
      <c r="K1898" s="35" t="b">
        <f>IFERROR(__xludf.DUMMYFUNCTION("""COMPUTED_VALUE"""),FALSE)</f>
        <v>0</v>
      </c>
      <c r="L1898" s="35" t="str">
        <f>IFERROR(__xludf.DUMMYFUNCTION("""COMPUTED_VALUE"""),"Hash Table;String;Counting;")</f>
        <v>Hash Table;String;Counting;</v>
      </c>
      <c r="M1898" s="35" t="b">
        <f>IFERROR(__xludf.DUMMYFUNCTION("""COMPUTED_VALUE"""),FALSE)</f>
        <v>0</v>
      </c>
      <c r="N1898" s="35" t="b">
        <f>IFERROR(__xludf.DUMMYFUNCTION("""COMPUTED_VALUE"""),FALSE)</f>
        <v>0</v>
      </c>
      <c r="O1898" s="35">
        <f>IFERROR(__xludf.DUMMYFUNCTION("""COMPUTED_VALUE"""),60.0023013635579)</f>
        <v>60.00230136</v>
      </c>
      <c r="P1898" s="35">
        <f>IFERROR(__xludf.DUMMYFUNCTION("""COMPUTED_VALUE"""),20858.0)</f>
        <v>20858</v>
      </c>
      <c r="Q1898" s="35">
        <f>IFERROR(__xludf.DUMMYFUNCTION("""COMPUTED_VALUE"""),34762.0)</f>
        <v>34762</v>
      </c>
    </row>
    <row r="1899">
      <c r="A1899" s="35">
        <f>IFERROR(__xludf.DUMMYFUNCTION("""COMPUTED_VALUE"""),2027.0)</f>
        <v>2027</v>
      </c>
      <c r="B1899" s="35" t="str">
        <f>IFERROR(__xludf.DUMMYFUNCTION("""COMPUTED_VALUE"""),"Maximum Number of Removable Characters")</f>
        <v>Maximum Number of Removable Characters</v>
      </c>
      <c r="C1899" s="35" t="str">
        <f>IFERROR(__xludf.DUMMYFUNCTION("""COMPUTED_VALUE"""),"maximum-number-of-removable-characters")</f>
        <v>maximum-number-of-removable-characters</v>
      </c>
      <c r="D1899" s="35" t="b">
        <f>IFERROR(__xludf.DUMMYFUNCTION("""COMPUTED_VALUE"""),FALSE)</f>
        <v>0</v>
      </c>
      <c r="E1899" s="35" t="str">
        <f>IFERROR(__xludf.DUMMYFUNCTION("""COMPUTED_VALUE"""),"Medium")</f>
        <v>Medium</v>
      </c>
      <c r="F1899" s="35">
        <f>IFERROR(__xludf.DUMMYFUNCTION("""COMPUTED_VALUE"""),504.0)</f>
        <v>504</v>
      </c>
      <c r="G1899" s="35">
        <f>IFERROR(__xludf.DUMMYFUNCTION("""COMPUTED_VALUE"""),61.0)</f>
        <v>61</v>
      </c>
      <c r="H1899" s="35" t="str">
        <f>IFERROR(__xludf.DUMMYFUNCTION("""COMPUTED_VALUE"""),"Algorithms")</f>
        <v>Algorithms</v>
      </c>
      <c r="I1899" s="35">
        <f>IFERROR(__xludf.DUMMYFUNCTION("""COMPUTED_VALUE"""),0.351)</f>
        <v>0.351</v>
      </c>
      <c r="J1899" s="35">
        <f>IFERROR(__xludf.DUMMYFUNCTION("""COMPUTED_VALUE"""),1898.0)</f>
        <v>1898</v>
      </c>
      <c r="K1899" s="35" t="b">
        <f>IFERROR(__xludf.DUMMYFUNCTION("""COMPUTED_VALUE"""),FALSE)</f>
        <v>0</v>
      </c>
      <c r="L1899" s="35" t="str">
        <f>IFERROR(__xludf.DUMMYFUNCTION("""COMPUTED_VALUE"""),"Array;String;Binary Search;")</f>
        <v>Array;String;Binary Search;</v>
      </c>
      <c r="M1899" s="35" t="b">
        <f>IFERROR(__xludf.DUMMYFUNCTION("""COMPUTED_VALUE"""),FALSE)</f>
        <v>0</v>
      </c>
      <c r="N1899" s="35" t="b">
        <f>IFERROR(__xludf.DUMMYFUNCTION("""COMPUTED_VALUE"""),FALSE)</f>
        <v>0</v>
      </c>
      <c r="O1899" s="35">
        <f>IFERROR(__xludf.DUMMYFUNCTION("""COMPUTED_VALUE"""),35.1435686639263)</f>
        <v>35.14356866</v>
      </c>
      <c r="P1899" s="35">
        <f>IFERROR(__xludf.DUMMYFUNCTION("""COMPUTED_VALUE"""),11713.0)</f>
        <v>11713</v>
      </c>
      <c r="Q1899" s="35">
        <f>IFERROR(__xludf.DUMMYFUNCTION("""COMPUTED_VALUE"""),33329.0)</f>
        <v>33329</v>
      </c>
    </row>
    <row r="1900">
      <c r="A1900" s="35">
        <f>IFERROR(__xludf.DUMMYFUNCTION("""COMPUTED_VALUE"""),2026.0)</f>
        <v>2026</v>
      </c>
      <c r="B1900" s="35" t="str">
        <f>IFERROR(__xludf.DUMMYFUNCTION("""COMPUTED_VALUE"""),"Merge Triplets to Form Target Triplet")</f>
        <v>Merge Triplets to Form Target Triplet</v>
      </c>
      <c r="C1900" s="35" t="str">
        <f>IFERROR(__xludf.DUMMYFUNCTION("""COMPUTED_VALUE"""),"merge-triplets-to-form-target-triplet")</f>
        <v>merge-triplets-to-form-target-triplet</v>
      </c>
      <c r="D1900" s="35" t="b">
        <f>IFERROR(__xludf.DUMMYFUNCTION("""COMPUTED_VALUE"""),FALSE)</f>
        <v>0</v>
      </c>
      <c r="E1900" s="35" t="str">
        <f>IFERROR(__xludf.DUMMYFUNCTION("""COMPUTED_VALUE"""),"Medium")</f>
        <v>Medium</v>
      </c>
      <c r="F1900" s="35">
        <f>IFERROR(__xludf.DUMMYFUNCTION("""COMPUTED_VALUE"""),274.0)</f>
        <v>274</v>
      </c>
      <c r="G1900" s="35">
        <f>IFERROR(__xludf.DUMMYFUNCTION("""COMPUTED_VALUE"""),23.0)</f>
        <v>23</v>
      </c>
      <c r="H1900" s="35" t="str">
        <f>IFERROR(__xludf.DUMMYFUNCTION("""COMPUTED_VALUE"""),"Algorithms")</f>
        <v>Algorithms</v>
      </c>
      <c r="I1900" s="35">
        <f>IFERROR(__xludf.DUMMYFUNCTION("""COMPUTED_VALUE"""),0.608)</f>
        <v>0.608</v>
      </c>
      <c r="J1900" s="35">
        <f>IFERROR(__xludf.DUMMYFUNCTION("""COMPUTED_VALUE"""),1899.0)</f>
        <v>1899</v>
      </c>
      <c r="K1900" s="35" t="b">
        <f>IFERROR(__xludf.DUMMYFUNCTION("""COMPUTED_VALUE"""),FALSE)</f>
        <v>0</v>
      </c>
      <c r="L1900" s="35" t="str">
        <f>IFERROR(__xludf.DUMMYFUNCTION("""COMPUTED_VALUE"""),"Array;Greedy;")</f>
        <v>Array;Greedy;</v>
      </c>
      <c r="M1900" s="35" t="b">
        <f>IFERROR(__xludf.DUMMYFUNCTION("""COMPUTED_VALUE"""),FALSE)</f>
        <v>0</v>
      </c>
      <c r="N1900" s="35" t="b">
        <f>IFERROR(__xludf.DUMMYFUNCTION("""COMPUTED_VALUE"""),FALSE)</f>
        <v>0</v>
      </c>
      <c r="O1900" s="35">
        <f>IFERROR(__xludf.DUMMYFUNCTION("""COMPUTED_VALUE"""),60.8361045130641)</f>
        <v>60.83610451</v>
      </c>
      <c r="P1900" s="35">
        <f>IFERROR(__xludf.DUMMYFUNCTION("""COMPUTED_VALUE"""),12806.0)</f>
        <v>12806</v>
      </c>
      <c r="Q1900" s="35">
        <f>IFERROR(__xludf.DUMMYFUNCTION("""COMPUTED_VALUE"""),21050.0)</f>
        <v>21050</v>
      </c>
    </row>
    <row r="1901">
      <c r="A1901" s="35">
        <f>IFERROR(__xludf.DUMMYFUNCTION("""COMPUTED_VALUE"""),2028.0)</f>
        <v>2028</v>
      </c>
      <c r="B1901" s="35" t="str">
        <f>IFERROR(__xludf.DUMMYFUNCTION("""COMPUTED_VALUE"""),"The Earliest and Latest Rounds Where Players Compete")</f>
        <v>The Earliest and Latest Rounds Where Players Compete</v>
      </c>
      <c r="C1901" s="35" t="str">
        <f>IFERROR(__xludf.DUMMYFUNCTION("""COMPUTED_VALUE"""),"the-earliest-and-latest-rounds-where-players-compete")</f>
        <v>the-earliest-and-latest-rounds-where-players-compete</v>
      </c>
      <c r="D1901" s="35" t="b">
        <f>IFERROR(__xludf.DUMMYFUNCTION("""COMPUTED_VALUE"""),FALSE)</f>
        <v>0</v>
      </c>
      <c r="E1901" s="35" t="str">
        <f>IFERROR(__xludf.DUMMYFUNCTION("""COMPUTED_VALUE"""),"Hard")</f>
        <v>Hard</v>
      </c>
      <c r="F1901" s="35">
        <f>IFERROR(__xludf.DUMMYFUNCTION("""COMPUTED_VALUE"""),157.0)</f>
        <v>157</v>
      </c>
      <c r="G1901" s="35">
        <f>IFERROR(__xludf.DUMMYFUNCTION("""COMPUTED_VALUE"""),13.0)</f>
        <v>13</v>
      </c>
      <c r="H1901" s="35" t="str">
        <f>IFERROR(__xludf.DUMMYFUNCTION("""COMPUTED_VALUE"""),"Algorithms")</f>
        <v>Algorithms</v>
      </c>
      <c r="I1901" s="35">
        <f>IFERROR(__xludf.DUMMYFUNCTION("""COMPUTED_VALUE"""),0.514)</f>
        <v>0.514</v>
      </c>
      <c r="J1901" s="35">
        <f>IFERROR(__xludf.DUMMYFUNCTION("""COMPUTED_VALUE"""),1900.0)</f>
        <v>1900</v>
      </c>
      <c r="K1901" s="35" t="b">
        <f>IFERROR(__xludf.DUMMYFUNCTION("""COMPUTED_VALUE"""),FALSE)</f>
        <v>0</v>
      </c>
      <c r="L1901" s="35" t="str">
        <f>IFERROR(__xludf.DUMMYFUNCTION("""COMPUTED_VALUE"""),"Dynamic Programming;Memoization;")</f>
        <v>Dynamic Programming;Memoization;</v>
      </c>
      <c r="M1901" s="35" t="b">
        <f>IFERROR(__xludf.DUMMYFUNCTION("""COMPUTED_VALUE"""),FALSE)</f>
        <v>0</v>
      </c>
      <c r="N1901" s="35" t="b">
        <f>IFERROR(__xludf.DUMMYFUNCTION("""COMPUTED_VALUE"""),FALSE)</f>
        <v>0</v>
      </c>
      <c r="O1901" s="35">
        <f>IFERROR(__xludf.DUMMYFUNCTION("""COMPUTED_VALUE"""),51.3856655290102)</f>
        <v>51.38566553</v>
      </c>
      <c r="P1901" s="35">
        <f>IFERROR(__xludf.DUMMYFUNCTION("""COMPUTED_VALUE"""),3764.0)</f>
        <v>3764</v>
      </c>
      <c r="Q1901" s="35">
        <f>IFERROR(__xludf.DUMMYFUNCTION("""COMPUTED_VALUE"""),7325.0)</f>
        <v>7325</v>
      </c>
    </row>
    <row r="1902">
      <c r="A1902" s="35">
        <f>IFERROR(__xludf.DUMMYFUNCTION("""COMPUTED_VALUE"""),2047.0)</f>
        <v>2047</v>
      </c>
      <c r="B1902" s="35" t="str">
        <f>IFERROR(__xludf.DUMMYFUNCTION("""COMPUTED_VALUE"""),"Find a Peak Element II")</f>
        <v>Find a Peak Element II</v>
      </c>
      <c r="C1902" s="35" t="str">
        <f>IFERROR(__xludf.DUMMYFUNCTION("""COMPUTED_VALUE"""),"find-a-peak-element-ii")</f>
        <v>find-a-peak-element-ii</v>
      </c>
      <c r="D1902" s="35" t="b">
        <f>IFERROR(__xludf.DUMMYFUNCTION("""COMPUTED_VALUE"""),FALSE)</f>
        <v>0</v>
      </c>
      <c r="E1902" s="35" t="str">
        <f>IFERROR(__xludf.DUMMYFUNCTION("""COMPUTED_VALUE"""),"Medium")</f>
        <v>Medium</v>
      </c>
      <c r="F1902" s="35">
        <f>IFERROR(__xludf.DUMMYFUNCTION("""COMPUTED_VALUE"""),612.0)</f>
        <v>612</v>
      </c>
      <c r="G1902" s="35">
        <f>IFERROR(__xludf.DUMMYFUNCTION("""COMPUTED_VALUE"""),48.0)</f>
        <v>48</v>
      </c>
      <c r="H1902" s="35" t="str">
        <f>IFERROR(__xludf.DUMMYFUNCTION("""COMPUTED_VALUE"""),"Algorithms")</f>
        <v>Algorithms</v>
      </c>
      <c r="I1902" s="35">
        <f>IFERROR(__xludf.DUMMYFUNCTION("""COMPUTED_VALUE"""),0.536)</f>
        <v>0.536</v>
      </c>
      <c r="J1902" s="35">
        <f>IFERROR(__xludf.DUMMYFUNCTION("""COMPUTED_VALUE"""),1901.0)</f>
        <v>1901</v>
      </c>
      <c r="K1902" s="35" t="b">
        <f>IFERROR(__xludf.DUMMYFUNCTION("""COMPUTED_VALUE"""),FALSE)</f>
        <v>0</v>
      </c>
      <c r="L1902" s="35" t="str">
        <f>IFERROR(__xludf.DUMMYFUNCTION("""COMPUTED_VALUE"""),"Array;Binary Search;Divide and Conquer;Matrix;")</f>
        <v>Array;Binary Search;Divide and Conquer;Matrix;</v>
      </c>
      <c r="M1902" s="35" t="b">
        <f>IFERROR(__xludf.DUMMYFUNCTION("""COMPUTED_VALUE"""),FALSE)</f>
        <v>0</v>
      </c>
      <c r="N1902" s="35" t="b">
        <f>IFERROR(__xludf.DUMMYFUNCTION("""COMPUTED_VALUE"""),FALSE)</f>
        <v>0</v>
      </c>
      <c r="O1902" s="35">
        <f>IFERROR(__xludf.DUMMYFUNCTION("""COMPUTED_VALUE"""),53.5664933868526)</f>
        <v>53.56649339</v>
      </c>
      <c r="P1902" s="35">
        <f>IFERROR(__xludf.DUMMYFUNCTION("""COMPUTED_VALUE"""),16279.0)</f>
        <v>16279</v>
      </c>
      <c r="Q1902" s="35">
        <f>IFERROR(__xludf.DUMMYFUNCTION("""COMPUTED_VALUE"""),30392.0)</f>
        <v>30392</v>
      </c>
    </row>
    <row r="1903">
      <c r="A1903" s="35">
        <f>IFERROR(__xludf.DUMMYFUNCTION("""COMPUTED_VALUE"""),2052.0)</f>
        <v>2052</v>
      </c>
      <c r="B1903" s="35" t="str">
        <f>IFERROR(__xludf.DUMMYFUNCTION("""COMPUTED_VALUE"""),"Depth of BST Given Insertion Order")</f>
        <v>Depth of BST Given Insertion Order</v>
      </c>
      <c r="C1903" s="35" t="str">
        <f>IFERROR(__xludf.DUMMYFUNCTION("""COMPUTED_VALUE"""),"depth-of-bst-given-insertion-order")</f>
        <v>depth-of-bst-given-insertion-order</v>
      </c>
      <c r="D1903" s="35" t="b">
        <f>IFERROR(__xludf.DUMMYFUNCTION("""COMPUTED_VALUE"""),TRUE)</f>
        <v>1</v>
      </c>
      <c r="E1903" s="35" t="str">
        <f>IFERROR(__xludf.DUMMYFUNCTION("""COMPUTED_VALUE"""),"Medium")</f>
        <v>Medium</v>
      </c>
      <c r="F1903" s="35">
        <f>IFERROR(__xludf.DUMMYFUNCTION("""COMPUTED_VALUE"""),57.0)</f>
        <v>57</v>
      </c>
      <c r="G1903" s="35">
        <f>IFERROR(__xludf.DUMMYFUNCTION("""COMPUTED_VALUE"""),5.0)</f>
        <v>5</v>
      </c>
      <c r="H1903" s="35" t="str">
        <f>IFERROR(__xludf.DUMMYFUNCTION("""COMPUTED_VALUE"""),"Algorithms")</f>
        <v>Algorithms</v>
      </c>
      <c r="I1903" s="35">
        <f>IFERROR(__xludf.DUMMYFUNCTION("""COMPUTED_VALUE"""),0.466)</f>
        <v>0.466</v>
      </c>
      <c r="J1903" s="35">
        <f>IFERROR(__xludf.DUMMYFUNCTION("""COMPUTED_VALUE"""),1902.0)</f>
        <v>1902</v>
      </c>
      <c r="K1903" s="35" t="b">
        <f>IFERROR(__xludf.DUMMYFUNCTION("""COMPUTED_VALUE"""),TRUE)</f>
        <v>1</v>
      </c>
      <c r="L1903" s="35" t="str">
        <f>IFERROR(__xludf.DUMMYFUNCTION("""COMPUTED_VALUE"""),"Tree;Binary Search Tree;Binary Tree;Ordered Set;")</f>
        <v>Tree;Binary Search Tree;Binary Tree;Ordered Set;</v>
      </c>
      <c r="M1903" s="35" t="b">
        <f>IFERROR(__xludf.DUMMYFUNCTION("""COMPUTED_VALUE"""),FALSE)</f>
        <v>0</v>
      </c>
      <c r="N1903" s="35" t="b">
        <f>IFERROR(__xludf.DUMMYFUNCTION("""COMPUTED_VALUE"""),FALSE)</f>
        <v>0</v>
      </c>
      <c r="O1903" s="35">
        <f>IFERROR(__xludf.DUMMYFUNCTION("""COMPUTED_VALUE"""),46.5592972181552)</f>
        <v>46.55929722</v>
      </c>
      <c r="P1903" s="35">
        <f>IFERROR(__xludf.DUMMYFUNCTION("""COMPUTED_VALUE"""),1272.0)</f>
        <v>1272</v>
      </c>
      <c r="Q1903" s="35">
        <f>IFERROR(__xludf.DUMMYFUNCTION("""COMPUTED_VALUE"""),2732.0)</f>
        <v>2732</v>
      </c>
    </row>
    <row r="1904">
      <c r="A1904" s="35">
        <f>IFERROR(__xludf.DUMMYFUNCTION("""COMPUTED_VALUE"""),2032.0)</f>
        <v>2032</v>
      </c>
      <c r="B1904" s="35" t="str">
        <f>IFERROR(__xludf.DUMMYFUNCTION("""COMPUTED_VALUE"""),"Largest Odd Number in String")</f>
        <v>Largest Odd Number in String</v>
      </c>
      <c r="C1904" s="35" t="str">
        <f>IFERROR(__xludf.DUMMYFUNCTION("""COMPUTED_VALUE"""),"largest-odd-number-in-string")</f>
        <v>largest-odd-number-in-string</v>
      </c>
      <c r="D1904" s="35" t="b">
        <f>IFERROR(__xludf.DUMMYFUNCTION("""COMPUTED_VALUE"""),FALSE)</f>
        <v>0</v>
      </c>
      <c r="E1904" s="35" t="str">
        <f>IFERROR(__xludf.DUMMYFUNCTION("""COMPUTED_VALUE"""),"Easy")</f>
        <v>Easy</v>
      </c>
      <c r="F1904" s="35">
        <f>IFERROR(__xludf.DUMMYFUNCTION("""COMPUTED_VALUE"""),332.0)</f>
        <v>332</v>
      </c>
      <c r="G1904" s="35">
        <f>IFERROR(__xludf.DUMMYFUNCTION("""COMPUTED_VALUE"""),26.0)</f>
        <v>26</v>
      </c>
      <c r="H1904" s="35" t="str">
        <f>IFERROR(__xludf.DUMMYFUNCTION("""COMPUTED_VALUE"""),"Algorithms")</f>
        <v>Algorithms</v>
      </c>
      <c r="I1904" s="35">
        <f>IFERROR(__xludf.DUMMYFUNCTION("""COMPUTED_VALUE"""),0.57)</f>
        <v>0.57</v>
      </c>
      <c r="J1904" s="35">
        <f>IFERROR(__xludf.DUMMYFUNCTION("""COMPUTED_VALUE"""),1903.0)</f>
        <v>1903</v>
      </c>
      <c r="K1904" s="35" t="b">
        <f>IFERROR(__xludf.DUMMYFUNCTION("""COMPUTED_VALUE"""),FALSE)</f>
        <v>0</v>
      </c>
      <c r="L1904" s="35" t="str">
        <f>IFERROR(__xludf.DUMMYFUNCTION("""COMPUTED_VALUE"""),"Math;String;Greedy;")</f>
        <v>Math;String;Greedy;</v>
      </c>
      <c r="M1904" s="35" t="b">
        <f>IFERROR(__xludf.DUMMYFUNCTION("""COMPUTED_VALUE"""),FALSE)</f>
        <v>0</v>
      </c>
      <c r="N1904" s="35" t="b">
        <f>IFERROR(__xludf.DUMMYFUNCTION("""COMPUTED_VALUE"""),FALSE)</f>
        <v>0</v>
      </c>
      <c r="O1904" s="35">
        <f>IFERROR(__xludf.DUMMYFUNCTION("""COMPUTED_VALUE"""),56.9803456714591)</f>
        <v>56.98034567</v>
      </c>
      <c r="P1904" s="35">
        <f>IFERROR(__xludf.DUMMYFUNCTION("""COMPUTED_VALUE"""),29802.0)</f>
        <v>29802</v>
      </c>
      <c r="Q1904" s="35">
        <f>IFERROR(__xludf.DUMMYFUNCTION("""COMPUTED_VALUE"""),52302.0)</f>
        <v>52302</v>
      </c>
    </row>
    <row r="1905">
      <c r="A1905" s="35">
        <f>IFERROR(__xludf.DUMMYFUNCTION("""COMPUTED_VALUE"""),2033.0)</f>
        <v>2033</v>
      </c>
      <c r="B1905" s="35" t="str">
        <f>IFERROR(__xludf.DUMMYFUNCTION("""COMPUTED_VALUE"""),"The Number of Full Rounds You Have Played")</f>
        <v>The Number of Full Rounds You Have Played</v>
      </c>
      <c r="C1905" s="35" t="str">
        <f>IFERROR(__xludf.DUMMYFUNCTION("""COMPUTED_VALUE"""),"the-number-of-full-rounds-you-have-played")</f>
        <v>the-number-of-full-rounds-you-have-played</v>
      </c>
      <c r="D1905" s="35" t="b">
        <f>IFERROR(__xludf.DUMMYFUNCTION("""COMPUTED_VALUE"""),FALSE)</f>
        <v>0</v>
      </c>
      <c r="E1905" s="35" t="str">
        <f>IFERROR(__xludf.DUMMYFUNCTION("""COMPUTED_VALUE"""),"Medium")</f>
        <v>Medium</v>
      </c>
      <c r="F1905" s="35">
        <f>IFERROR(__xludf.DUMMYFUNCTION("""COMPUTED_VALUE"""),144.0)</f>
        <v>144</v>
      </c>
      <c r="G1905" s="35">
        <f>IFERROR(__xludf.DUMMYFUNCTION("""COMPUTED_VALUE"""),201.0)</f>
        <v>201</v>
      </c>
      <c r="H1905" s="35" t="str">
        <f>IFERROR(__xludf.DUMMYFUNCTION("""COMPUTED_VALUE"""),"Algorithms")</f>
        <v>Algorithms</v>
      </c>
      <c r="I1905" s="35">
        <f>IFERROR(__xludf.DUMMYFUNCTION("""COMPUTED_VALUE"""),0.474)</f>
        <v>0.474</v>
      </c>
      <c r="J1905" s="35">
        <f>IFERROR(__xludf.DUMMYFUNCTION("""COMPUTED_VALUE"""),1904.0)</f>
        <v>1904</v>
      </c>
      <c r="K1905" s="35" t="b">
        <f>IFERROR(__xludf.DUMMYFUNCTION("""COMPUTED_VALUE"""),FALSE)</f>
        <v>0</v>
      </c>
      <c r="L1905" s="35" t="str">
        <f>IFERROR(__xludf.DUMMYFUNCTION("""COMPUTED_VALUE"""),"Math;String;")</f>
        <v>Math;String;</v>
      </c>
      <c r="M1905" s="35" t="b">
        <f>IFERROR(__xludf.DUMMYFUNCTION("""COMPUTED_VALUE"""),FALSE)</f>
        <v>0</v>
      </c>
      <c r="N1905" s="35" t="b">
        <f>IFERROR(__xludf.DUMMYFUNCTION("""COMPUTED_VALUE"""),FALSE)</f>
        <v>0</v>
      </c>
      <c r="O1905" s="35">
        <f>IFERROR(__xludf.DUMMYFUNCTION("""COMPUTED_VALUE"""),47.3906346272335)</f>
        <v>47.39063463</v>
      </c>
      <c r="P1905" s="35">
        <f>IFERROR(__xludf.DUMMYFUNCTION("""COMPUTED_VALUE"""),15383.0)</f>
        <v>15383</v>
      </c>
      <c r="Q1905" s="35">
        <f>IFERROR(__xludf.DUMMYFUNCTION("""COMPUTED_VALUE"""),32460.0)</f>
        <v>32460</v>
      </c>
    </row>
    <row r="1906">
      <c r="A1906" s="35">
        <f>IFERROR(__xludf.DUMMYFUNCTION("""COMPUTED_VALUE"""),2035.0)</f>
        <v>2035</v>
      </c>
      <c r="B1906" s="35" t="str">
        <f>IFERROR(__xludf.DUMMYFUNCTION("""COMPUTED_VALUE"""),"Count Sub Islands")</f>
        <v>Count Sub Islands</v>
      </c>
      <c r="C1906" s="35" t="str">
        <f>IFERROR(__xludf.DUMMYFUNCTION("""COMPUTED_VALUE"""),"count-sub-islands")</f>
        <v>count-sub-islands</v>
      </c>
      <c r="D1906" s="35" t="b">
        <f>IFERROR(__xludf.DUMMYFUNCTION("""COMPUTED_VALUE"""),FALSE)</f>
        <v>0</v>
      </c>
      <c r="E1906" s="35" t="str">
        <f>IFERROR(__xludf.DUMMYFUNCTION("""COMPUTED_VALUE"""),"Medium")</f>
        <v>Medium</v>
      </c>
      <c r="F1906" s="35">
        <f>IFERROR(__xludf.DUMMYFUNCTION("""COMPUTED_VALUE"""),742.0)</f>
        <v>742</v>
      </c>
      <c r="G1906" s="35">
        <f>IFERROR(__xludf.DUMMYFUNCTION("""COMPUTED_VALUE"""),25.0)</f>
        <v>25</v>
      </c>
      <c r="H1906" s="35" t="str">
        <f>IFERROR(__xludf.DUMMYFUNCTION("""COMPUTED_VALUE"""),"Algorithms")</f>
        <v>Algorithms</v>
      </c>
      <c r="I1906" s="35">
        <f>IFERROR(__xludf.DUMMYFUNCTION("""COMPUTED_VALUE"""),0.642)</f>
        <v>0.642</v>
      </c>
      <c r="J1906" s="35">
        <f>IFERROR(__xludf.DUMMYFUNCTION("""COMPUTED_VALUE"""),1905.0)</f>
        <v>1905</v>
      </c>
      <c r="K1906" s="35" t="b">
        <f>IFERROR(__xludf.DUMMYFUNCTION("""COMPUTED_VALUE"""),FALSE)</f>
        <v>0</v>
      </c>
      <c r="L1906" s="35" t="str">
        <f>IFERROR(__xludf.DUMMYFUNCTION("""COMPUTED_VALUE"""),"Array;Depth-First Search;Breadth-First Search;Union Find;Matrix;")</f>
        <v>Array;Depth-First Search;Breadth-First Search;Union Find;Matrix;</v>
      </c>
      <c r="M1906" s="35" t="b">
        <f>IFERROR(__xludf.DUMMYFUNCTION("""COMPUTED_VALUE"""),FALSE)</f>
        <v>0</v>
      </c>
      <c r="N1906" s="35" t="b">
        <f>IFERROR(__xludf.DUMMYFUNCTION("""COMPUTED_VALUE"""),FALSE)</f>
        <v>0</v>
      </c>
      <c r="O1906" s="35">
        <f>IFERROR(__xludf.DUMMYFUNCTION("""COMPUTED_VALUE"""),64.2464480148718)</f>
        <v>64.24644801</v>
      </c>
      <c r="P1906" s="35">
        <f>IFERROR(__xludf.DUMMYFUNCTION("""COMPUTED_VALUE"""),24192.0)</f>
        <v>24192</v>
      </c>
      <c r="Q1906" s="35">
        <f>IFERROR(__xludf.DUMMYFUNCTION("""COMPUTED_VALUE"""),37655.0)</f>
        <v>37655</v>
      </c>
    </row>
    <row r="1907">
      <c r="A1907" s="35">
        <f>IFERROR(__xludf.DUMMYFUNCTION("""COMPUTED_VALUE"""),2034.0)</f>
        <v>2034</v>
      </c>
      <c r="B1907" s="35" t="str">
        <f>IFERROR(__xludf.DUMMYFUNCTION("""COMPUTED_VALUE"""),"Minimum Absolute Difference Queries")</f>
        <v>Minimum Absolute Difference Queries</v>
      </c>
      <c r="C1907" s="35" t="str">
        <f>IFERROR(__xludf.DUMMYFUNCTION("""COMPUTED_VALUE"""),"minimum-absolute-difference-queries")</f>
        <v>minimum-absolute-difference-queries</v>
      </c>
      <c r="D1907" s="35" t="b">
        <f>IFERROR(__xludf.DUMMYFUNCTION("""COMPUTED_VALUE"""),FALSE)</f>
        <v>0</v>
      </c>
      <c r="E1907" s="35" t="str">
        <f>IFERROR(__xludf.DUMMYFUNCTION("""COMPUTED_VALUE"""),"Medium")</f>
        <v>Medium</v>
      </c>
      <c r="F1907" s="35">
        <f>IFERROR(__xludf.DUMMYFUNCTION("""COMPUTED_VALUE"""),346.0)</f>
        <v>346</v>
      </c>
      <c r="G1907" s="35">
        <f>IFERROR(__xludf.DUMMYFUNCTION("""COMPUTED_VALUE"""),28.0)</f>
        <v>28</v>
      </c>
      <c r="H1907" s="35" t="str">
        <f>IFERROR(__xludf.DUMMYFUNCTION("""COMPUTED_VALUE"""),"Algorithms")</f>
        <v>Algorithms</v>
      </c>
      <c r="I1907" s="35">
        <f>IFERROR(__xludf.DUMMYFUNCTION("""COMPUTED_VALUE"""),0.427)</f>
        <v>0.427</v>
      </c>
      <c r="J1907" s="35">
        <f>IFERROR(__xludf.DUMMYFUNCTION("""COMPUTED_VALUE"""),1906.0)</f>
        <v>1906</v>
      </c>
      <c r="K1907" s="35" t="b">
        <f>IFERROR(__xludf.DUMMYFUNCTION("""COMPUTED_VALUE"""),FALSE)</f>
        <v>0</v>
      </c>
      <c r="L1907" s="35" t="str">
        <f>IFERROR(__xludf.DUMMYFUNCTION("""COMPUTED_VALUE"""),"Array;Hash Table;")</f>
        <v>Array;Hash Table;</v>
      </c>
      <c r="M1907" s="35" t="b">
        <f>IFERROR(__xludf.DUMMYFUNCTION("""COMPUTED_VALUE"""),FALSE)</f>
        <v>0</v>
      </c>
      <c r="N1907" s="35" t="b">
        <f>IFERROR(__xludf.DUMMYFUNCTION("""COMPUTED_VALUE"""),FALSE)</f>
        <v>0</v>
      </c>
      <c r="O1907" s="35">
        <f>IFERROR(__xludf.DUMMYFUNCTION("""COMPUTED_VALUE"""),42.724695878115)</f>
        <v>42.72469588</v>
      </c>
      <c r="P1907" s="35">
        <f>IFERROR(__xludf.DUMMYFUNCTION("""COMPUTED_VALUE"""),7235.0)</f>
        <v>7235</v>
      </c>
      <c r="Q1907" s="35">
        <f>IFERROR(__xludf.DUMMYFUNCTION("""COMPUTED_VALUE"""),16934.0)</f>
        <v>16934</v>
      </c>
    </row>
    <row r="1908">
      <c r="A1908" s="35">
        <f>IFERROR(__xludf.DUMMYFUNCTION("""COMPUTED_VALUE"""),2057.0)</f>
        <v>2057</v>
      </c>
      <c r="B1908" s="35" t="str">
        <f>IFERROR(__xludf.DUMMYFUNCTION("""COMPUTED_VALUE"""),"Count Salary Categories")</f>
        <v>Count Salary Categories</v>
      </c>
      <c r="C1908" s="35" t="str">
        <f>IFERROR(__xludf.DUMMYFUNCTION("""COMPUTED_VALUE"""),"count-salary-categories")</f>
        <v>count-salary-categories</v>
      </c>
      <c r="D1908" s="35" t="b">
        <f>IFERROR(__xludf.DUMMYFUNCTION("""COMPUTED_VALUE"""),TRUE)</f>
        <v>1</v>
      </c>
      <c r="E1908" s="35" t="str">
        <f>IFERROR(__xludf.DUMMYFUNCTION("""COMPUTED_VALUE"""),"Medium")</f>
        <v>Medium</v>
      </c>
      <c r="F1908" s="35">
        <f>IFERROR(__xludf.DUMMYFUNCTION("""COMPUTED_VALUE"""),28.0)</f>
        <v>28</v>
      </c>
      <c r="G1908" s="35">
        <f>IFERROR(__xludf.DUMMYFUNCTION("""COMPUTED_VALUE"""),13.0)</f>
        <v>13</v>
      </c>
      <c r="H1908" s="35" t="str">
        <f>IFERROR(__xludf.DUMMYFUNCTION("""COMPUTED_VALUE"""),"Database")</f>
        <v>Database</v>
      </c>
      <c r="I1908" s="35">
        <f>IFERROR(__xludf.DUMMYFUNCTION("""COMPUTED_VALUE"""),0.67)</f>
        <v>0.67</v>
      </c>
      <c r="J1908" s="35">
        <f>IFERROR(__xludf.DUMMYFUNCTION("""COMPUTED_VALUE"""),1907.0)</f>
        <v>1907</v>
      </c>
      <c r="K1908" s="35" t="b">
        <f>IFERROR(__xludf.DUMMYFUNCTION("""COMPUTED_VALUE"""),TRUE)</f>
        <v>1</v>
      </c>
      <c r="L1908" s="35" t="str">
        <f>IFERROR(__xludf.DUMMYFUNCTION("""COMPUTED_VALUE"""),"Database;")</f>
        <v>Database;</v>
      </c>
      <c r="M1908" s="35" t="b">
        <f>IFERROR(__xludf.DUMMYFUNCTION("""COMPUTED_VALUE"""),FALSE)</f>
        <v>0</v>
      </c>
      <c r="N1908" s="35" t="b">
        <f>IFERROR(__xludf.DUMMYFUNCTION("""COMPUTED_VALUE"""),FALSE)</f>
        <v>0</v>
      </c>
      <c r="O1908" s="35">
        <f>IFERROR(__xludf.DUMMYFUNCTION("""COMPUTED_VALUE"""),66.9824086603518)</f>
        <v>66.98240866</v>
      </c>
      <c r="P1908" s="35">
        <f>IFERROR(__xludf.DUMMYFUNCTION("""COMPUTED_VALUE"""),4455.0)</f>
        <v>4455</v>
      </c>
      <c r="Q1908" s="35">
        <f>IFERROR(__xludf.DUMMYFUNCTION("""COMPUTED_VALUE"""),6651.0)</f>
        <v>6651</v>
      </c>
    </row>
    <row r="1909">
      <c r="A1909" s="35">
        <f>IFERROR(__xludf.DUMMYFUNCTION("""COMPUTED_VALUE"""),2062.0)</f>
        <v>2062</v>
      </c>
      <c r="B1909" s="35" t="str">
        <f>IFERROR(__xludf.DUMMYFUNCTION("""COMPUTED_VALUE"""),"Game of Nim")</f>
        <v>Game of Nim</v>
      </c>
      <c r="C1909" s="35" t="str">
        <f>IFERROR(__xludf.DUMMYFUNCTION("""COMPUTED_VALUE"""),"game-of-nim")</f>
        <v>game-of-nim</v>
      </c>
      <c r="D1909" s="35" t="b">
        <f>IFERROR(__xludf.DUMMYFUNCTION("""COMPUTED_VALUE"""),TRUE)</f>
        <v>1</v>
      </c>
      <c r="E1909" s="35" t="str">
        <f>IFERROR(__xludf.DUMMYFUNCTION("""COMPUTED_VALUE"""),"Medium")</f>
        <v>Medium</v>
      </c>
      <c r="F1909" s="35">
        <f>IFERROR(__xludf.DUMMYFUNCTION("""COMPUTED_VALUE"""),24.0)</f>
        <v>24</v>
      </c>
      <c r="G1909" s="35">
        <f>IFERROR(__xludf.DUMMYFUNCTION("""COMPUTED_VALUE"""),12.0)</f>
        <v>12</v>
      </c>
      <c r="H1909" s="35" t="str">
        <f>IFERROR(__xludf.DUMMYFUNCTION("""COMPUTED_VALUE"""),"Algorithms")</f>
        <v>Algorithms</v>
      </c>
      <c r="I1909" s="35">
        <f>IFERROR(__xludf.DUMMYFUNCTION("""COMPUTED_VALUE"""),0.582)</f>
        <v>0.582</v>
      </c>
      <c r="J1909" s="35">
        <f>IFERROR(__xludf.DUMMYFUNCTION("""COMPUTED_VALUE"""),1908.0)</f>
        <v>1908</v>
      </c>
      <c r="K1909" s="35" t="b">
        <f>IFERROR(__xludf.DUMMYFUNCTION("""COMPUTED_VALUE"""),TRUE)</f>
        <v>1</v>
      </c>
      <c r="L1909" s="35" t="str">
        <f>IFERROR(__xludf.DUMMYFUNCTION("""COMPUTED_VALUE"""),"Array;Math;Dynamic Programming;Bit Manipulation;Brainteaser;Game Theory;")</f>
        <v>Array;Math;Dynamic Programming;Bit Manipulation;Brainteaser;Game Theory;</v>
      </c>
      <c r="M1909" s="35" t="b">
        <f>IFERROR(__xludf.DUMMYFUNCTION("""COMPUTED_VALUE"""),FALSE)</f>
        <v>0</v>
      </c>
      <c r="N1909" s="35" t="b">
        <f>IFERROR(__xludf.DUMMYFUNCTION("""COMPUTED_VALUE"""),FALSE)</f>
        <v>0</v>
      </c>
      <c r="O1909" s="35">
        <f>IFERROR(__xludf.DUMMYFUNCTION("""COMPUTED_VALUE"""),58.173395102581)</f>
        <v>58.1733951</v>
      </c>
      <c r="P1909" s="35">
        <f>IFERROR(__xludf.DUMMYFUNCTION("""COMPUTED_VALUE"""),879.0)</f>
        <v>879</v>
      </c>
      <c r="Q1909" s="35">
        <f>IFERROR(__xludf.DUMMYFUNCTION("""COMPUTED_VALUE"""),1511.0)</f>
        <v>1511</v>
      </c>
    </row>
    <row r="1910">
      <c r="A1910" s="35">
        <f>IFERROR(__xludf.DUMMYFUNCTION("""COMPUTED_VALUE"""),2020.0)</f>
        <v>2020</v>
      </c>
      <c r="B1910" s="35" t="str">
        <f>IFERROR(__xludf.DUMMYFUNCTION("""COMPUTED_VALUE"""),"Remove One Element to Make the Array Strictly Increasing")</f>
        <v>Remove One Element to Make the Array Strictly Increasing</v>
      </c>
      <c r="C1910" s="35" t="str">
        <f>IFERROR(__xludf.DUMMYFUNCTION("""COMPUTED_VALUE"""),"remove-one-element-to-make-the-array-strictly-increasing")</f>
        <v>remove-one-element-to-make-the-array-strictly-increasing</v>
      </c>
      <c r="D1910" s="35" t="b">
        <f>IFERROR(__xludf.DUMMYFUNCTION("""COMPUTED_VALUE"""),FALSE)</f>
        <v>0</v>
      </c>
      <c r="E1910" s="35" t="str">
        <f>IFERROR(__xludf.DUMMYFUNCTION("""COMPUTED_VALUE"""),"Easy")</f>
        <v>Easy</v>
      </c>
      <c r="F1910" s="35">
        <f>IFERROR(__xludf.DUMMYFUNCTION("""COMPUTED_VALUE"""),436.0)</f>
        <v>436</v>
      </c>
      <c r="G1910" s="35">
        <f>IFERROR(__xludf.DUMMYFUNCTION("""COMPUTED_VALUE"""),191.0)</f>
        <v>191</v>
      </c>
      <c r="H1910" s="35" t="str">
        <f>IFERROR(__xludf.DUMMYFUNCTION("""COMPUTED_VALUE"""),"Algorithms")</f>
        <v>Algorithms</v>
      </c>
      <c r="I1910" s="35">
        <f>IFERROR(__xludf.DUMMYFUNCTION("""COMPUTED_VALUE"""),0.275)</f>
        <v>0.275</v>
      </c>
      <c r="J1910" s="35">
        <f>IFERROR(__xludf.DUMMYFUNCTION("""COMPUTED_VALUE"""),1909.0)</f>
        <v>1909</v>
      </c>
      <c r="K1910" s="35" t="b">
        <f>IFERROR(__xludf.DUMMYFUNCTION("""COMPUTED_VALUE"""),FALSE)</f>
        <v>0</v>
      </c>
      <c r="L1910" s="35" t="str">
        <f>IFERROR(__xludf.DUMMYFUNCTION("""COMPUTED_VALUE"""),"Array;")</f>
        <v>Array;</v>
      </c>
      <c r="M1910" s="35" t="b">
        <f>IFERROR(__xludf.DUMMYFUNCTION("""COMPUTED_VALUE"""),FALSE)</f>
        <v>0</v>
      </c>
      <c r="N1910" s="35" t="b">
        <f>IFERROR(__xludf.DUMMYFUNCTION("""COMPUTED_VALUE"""),FALSE)</f>
        <v>0</v>
      </c>
      <c r="O1910" s="35">
        <f>IFERROR(__xludf.DUMMYFUNCTION("""COMPUTED_VALUE"""),27.5175433335332)</f>
        <v>27.51754333</v>
      </c>
      <c r="P1910" s="35">
        <f>IFERROR(__xludf.DUMMYFUNCTION("""COMPUTED_VALUE"""),22939.0)</f>
        <v>22939</v>
      </c>
      <c r="Q1910" s="35">
        <f>IFERROR(__xludf.DUMMYFUNCTION("""COMPUTED_VALUE"""),83361.0)</f>
        <v>83361</v>
      </c>
    </row>
    <row r="1911">
      <c r="A1911" s="35">
        <f>IFERROR(__xludf.DUMMYFUNCTION("""COMPUTED_VALUE"""),2021.0)</f>
        <v>2021</v>
      </c>
      <c r="B1911" s="35" t="str">
        <f>IFERROR(__xludf.DUMMYFUNCTION("""COMPUTED_VALUE"""),"Remove All Occurrences of a Substring")</f>
        <v>Remove All Occurrences of a Substring</v>
      </c>
      <c r="C1911" s="35" t="str">
        <f>IFERROR(__xludf.DUMMYFUNCTION("""COMPUTED_VALUE"""),"remove-all-occurrences-of-a-substring")</f>
        <v>remove-all-occurrences-of-a-substring</v>
      </c>
      <c r="D1911" s="35" t="b">
        <f>IFERROR(__xludf.DUMMYFUNCTION("""COMPUTED_VALUE"""),FALSE)</f>
        <v>0</v>
      </c>
      <c r="E1911" s="35" t="str">
        <f>IFERROR(__xludf.DUMMYFUNCTION("""COMPUTED_VALUE"""),"Medium")</f>
        <v>Medium</v>
      </c>
      <c r="F1911" s="35">
        <f>IFERROR(__xludf.DUMMYFUNCTION("""COMPUTED_VALUE"""),515.0)</f>
        <v>515</v>
      </c>
      <c r="G1911" s="35">
        <f>IFERROR(__xludf.DUMMYFUNCTION("""COMPUTED_VALUE"""),30.0)</f>
        <v>30</v>
      </c>
      <c r="H1911" s="35" t="str">
        <f>IFERROR(__xludf.DUMMYFUNCTION("""COMPUTED_VALUE"""),"Algorithms")</f>
        <v>Algorithms</v>
      </c>
      <c r="I1911" s="35">
        <f>IFERROR(__xludf.DUMMYFUNCTION("""COMPUTED_VALUE"""),0.719)</f>
        <v>0.719</v>
      </c>
      <c r="J1911" s="35">
        <f>IFERROR(__xludf.DUMMYFUNCTION("""COMPUTED_VALUE"""),1910.0)</f>
        <v>1910</v>
      </c>
      <c r="K1911" s="35" t="b">
        <f>IFERROR(__xludf.DUMMYFUNCTION("""COMPUTED_VALUE"""),FALSE)</f>
        <v>0</v>
      </c>
      <c r="L1911" s="35" t="str">
        <f>IFERROR(__xludf.DUMMYFUNCTION("""COMPUTED_VALUE"""),"String;")</f>
        <v>String;</v>
      </c>
      <c r="M1911" s="35" t="b">
        <f>IFERROR(__xludf.DUMMYFUNCTION("""COMPUTED_VALUE"""),FALSE)</f>
        <v>0</v>
      </c>
      <c r="N1911" s="35" t="b">
        <f>IFERROR(__xludf.DUMMYFUNCTION("""COMPUTED_VALUE"""),FALSE)</f>
        <v>0</v>
      </c>
      <c r="O1911" s="35">
        <f>IFERROR(__xludf.DUMMYFUNCTION("""COMPUTED_VALUE"""),71.8527850265454)</f>
        <v>71.85278503</v>
      </c>
      <c r="P1911" s="35">
        <f>IFERROR(__xludf.DUMMYFUNCTION("""COMPUTED_VALUE"""),23955.0)</f>
        <v>23955</v>
      </c>
      <c r="Q1911" s="35">
        <f>IFERROR(__xludf.DUMMYFUNCTION("""COMPUTED_VALUE"""),33339.0)</f>
        <v>33339</v>
      </c>
    </row>
    <row r="1912">
      <c r="A1912" s="35">
        <f>IFERROR(__xludf.DUMMYFUNCTION("""COMPUTED_VALUE"""),2022.0)</f>
        <v>2022</v>
      </c>
      <c r="B1912" s="35" t="str">
        <f>IFERROR(__xludf.DUMMYFUNCTION("""COMPUTED_VALUE"""),"Maximum Alternating Subsequence Sum")</f>
        <v>Maximum Alternating Subsequence Sum</v>
      </c>
      <c r="C1912" s="35" t="str">
        <f>IFERROR(__xludf.DUMMYFUNCTION("""COMPUTED_VALUE"""),"maximum-alternating-subsequence-sum")</f>
        <v>maximum-alternating-subsequence-sum</v>
      </c>
      <c r="D1912" s="35" t="b">
        <f>IFERROR(__xludf.DUMMYFUNCTION("""COMPUTED_VALUE"""),FALSE)</f>
        <v>0</v>
      </c>
      <c r="E1912" s="35" t="str">
        <f>IFERROR(__xludf.DUMMYFUNCTION("""COMPUTED_VALUE"""),"Medium")</f>
        <v>Medium</v>
      </c>
      <c r="F1912" s="35">
        <f>IFERROR(__xludf.DUMMYFUNCTION("""COMPUTED_VALUE"""),599.0)</f>
        <v>599</v>
      </c>
      <c r="G1912" s="35">
        <f>IFERROR(__xludf.DUMMYFUNCTION("""COMPUTED_VALUE"""),10.0)</f>
        <v>10</v>
      </c>
      <c r="H1912" s="35" t="str">
        <f>IFERROR(__xludf.DUMMYFUNCTION("""COMPUTED_VALUE"""),"Algorithms")</f>
        <v>Algorithms</v>
      </c>
      <c r="I1912" s="35">
        <f>IFERROR(__xludf.DUMMYFUNCTION("""COMPUTED_VALUE"""),0.588)</f>
        <v>0.588</v>
      </c>
      <c r="J1912" s="35">
        <f>IFERROR(__xludf.DUMMYFUNCTION("""COMPUTED_VALUE"""),1911.0)</f>
        <v>1911</v>
      </c>
      <c r="K1912" s="35" t="b">
        <f>IFERROR(__xludf.DUMMYFUNCTION("""COMPUTED_VALUE"""),FALSE)</f>
        <v>0</v>
      </c>
      <c r="L1912" s="35" t="str">
        <f>IFERROR(__xludf.DUMMYFUNCTION("""COMPUTED_VALUE"""),"Array;Dynamic Programming;")</f>
        <v>Array;Dynamic Programming;</v>
      </c>
      <c r="M1912" s="35" t="b">
        <f>IFERROR(__xludf.DUMMYFUNCTION("""COMPUTED_VALUE"""),FALSE)</f>
        <v>0</v>
      </c>
      <c r="N1912" s="35" t="b">
        <f>IFERROR(__xludf.DUMMYFUNCTION("""COMPUTED_VALUE"""),FALSE)</f>
        <v>0</v>
      </c>
      <c r="O1912" s="35">
        <f>IFERROR(__xludf.DUMMYFUNCTION("""COMPUTED_VALUE"""),58.7705592105263)</f>
        <v>58.77055921</v>
      </c>
      <c r="P1912" s="35">
        <f>IFERROR(__xludf.DUMMYFUNCTION("""COMPUTED_VALUE"""),14289.0)</f>
        <v>14289</v>
      </c>
      <c r="Q1912" s="35">
        <f>IFERROR(__xludf.DUMMYFUNCTION("""COMPUTED_VALUE"""),24315.0)</f>
        <v>24315</v>
      </c>
    </row>
    <row r="1913">
      <c r="A1913" s="35">
        <f>IFERROR(__xludf.DUMMYFUNCTION("""COMPUTED_VALUE"""),2023.0)</f>
        <v>2023</v>
      </c>
      <c r="B1913" s="35" t="str">
        <f>IFERROR(__xludf.DUMMYFUNCTION("""COMPUTED_VALUE"""),"Design Movie Rental System")</f>
        <v>Design Movie Rental System</v>
      </c>
      <c r="C1913" s="35" t="str">
        <f>IFERROR(__xludf.DUMMYFUNCTION("""COMPUTED_VALUE"""),"design-movie-rental-system")</f>
        <v>design-movie-rental-system</v>
      </c>
      <c r="D1913" s="35" t="b">
        <f>IFERROR(__xludf.DUMMYFUNCTION("""COMPUTED_VALUE"""),FALSE)</f>
        <v>0</v>
      </c>
      <c r="E1913" s="35" t="str">
        <f>IFERROR(__xludf.DUMMYFUNCTION("""COMPUTED_VALUE"""),"Hard")</f>
        <v>Hard</v>
      </c>
      <c r="F1913" s="35">
        <f>IFERROR(__xludf.DUMMYFUNCTION("""COMPUTED_VALUE"""),138.0)</f>
        <v>138</v>
      </c>
      <c r="G1913" s="35">
        <f>IFERROR(__xludf.DUMMYFUNCTION("""COMPUTED_VALUE"""),27.0)</f>
        <v>27</v>
      </c>
      <c r="H1913" s="35" t="str">
        <f>IFERROR(__xludf.DUMMYFUNCTION("""COMPUTED_VALUE"""),"Algorithms")</f>
        <v>Algorithms</v>
      </c>
      <c r="I1913" s="35">
        <f>IFERROR(__xludf.DUMMYFUNCTION("""COMPUTED_VALUE"""),0.427)</f>
        <v>0.427</v>
      </c>
      <c r="J1913" s="35">
        <f>IFERROR(__xludf.DUMMYFUNCTION("""COMPUTED_VALUE"""),1912.0)</f>
        <v>1912</v>
      </c>
      <c r="K1913" s="35" t="b">
        <f>IFERROR(__xludf.DUMMYFUNCTION("""COMPUTED_VALUE"""),FALSE)</f>
        <v>0</v>
      </c>
      <c r="L1913" s="35" t="str">
        <f>IFERROR(__xludf.DUMMYFUNCTION("""COMPUTED_VALUE"""),"Array;Hash Table;Design;Heap (Priority Queue);Ordered Set;")</f>
        <v>Array;Hash Table;Design;Heap (Priority Queue);Ordered Set;</v>
      </c>
      <c r="M1913" s="35" t="b">
        <f>IFERROR(__xludf.DUMMYFUNCTION("""COMPUTED_VALUE"""),FALSE)</f>
        <v>0</v>
      </c>
      <c r="N1913" s="35" t="b">
        <f>IFERROR(__xludf.DUMMYFUNCTION("""COMPUTED_VALUE"""),FALSE)</f>
        <v>0</v>
      </c>
      <c r="O1913" s="35">
        <f>IFERROR(__xludf.DUMMYFUNCTION("""COMPUTED_VALUE"""),42.7297668038408)</f>
        <v>42.7297668</v>
      </c>
      <c r="P1913" s="35">
        <f>IFERROR(__xludf.DUMMYFUNCTION("""COMPUTED_VALUE"""),3738.0)</f>
        <v>3738</v>
      </c>
      <c r="Q1913" s="35">
        <f>IFERROR(__xludf.DUMMYFUNCTION("""COMPUTED_VALUE"""),8748.0)</f>
        <v>8748</v>
      </c>
    </row>
    <row r="1914">
      <c r="A1914" s="35">
        <f>IFERROR(__xludf.DUMMYFUNCTION("""COMPUTED_VALUE"""),2042.0)</f>
        <v>2042</v>
      </c>
      <c r="B1914" s="35" t="str">
        <f>IFERROR(__xludf.DUMMYFUNCTION("""COMPUTED_VALUE"""),"Maximum Product Difference Between Two Pairs")</f>
        <v>Maximum Product Difference Between Two Pairs</v>
      </c>
      <c r="C1914" s="35" t="str">
        <f>IFERROR(__xludf.DUMMYFUNCTION("""COMPUTED_VALUE"""),"maximum-product-difference-between-two-pairs")</f>
        <v>maximum-product-difference-between-two-pairs</v>
      </c>
      <c r="D1914" s="35" t="b">
        <f>IFERROR(__xludf.DUMMYFUNCTION("""COMPUTED_VALUE"""),FALSE)</f>
        <v>0</v>
      </c>
      <c r="E1914" s="35" t="str">
        <f>IFERROR(__xludf.DUMMYFUNCTION("""COMPUTED_VALUE"""),"Easy")</f>
        <v>Easy</v>
      </c>
      <c r="F1914" s="35">
        <f>IFERROR(__xludf.DUMMYFUNCTION("""COMPUTED_VALUE"""),373.0)</f>
        <v>373</v>
      </c>
      <c r="G1914" s="35">
        <f>IFERROR(__xludf.DUMMYFUNCTION("""COMPUTED_VALUE"""),18.0)</f>
        <v>18</v>
      </c>
      <c r="H1914" s="35" t="str">
        <f>IFERROR(__xludf.DUMMYFUNCTION("""COMPUTED_VALUE"""),"Algorithms")</f>
        <v>Algorithms</v>
      </c>
      <c r="I1914" s="35">
        <f>IFERROR(__xludf.DUMMYFUNCTION("""COMPUTED_VALUE"""),0.812)</f>
        <v>0.812</v>
      </c>
      <c r="J1914" s="35">
        <f>IFERROR(__xludf.DUMMYFUNCTION("""COMPUTED_VALUE"""),1913.0)</f>
        <v>1913</v>
      </c>
      <c r="K1914" s="35" t="b">
        <f>IFERROR(__xludf.DUMMYFUNCTION("""COMPUTED_VALUE"""),FALSE)</f>
        <v>0</v>
      </c>
      <c r="L1914" s="35" t="str">
        <f>IFERROR(__xludf.DUMMYFUNCTION("""COMPUTED_VALUE"""),"Array;Sorting;")</f>
        <v>Array;Sorting;</v>
      </c>
      <c r="M1914" s="35" t="b">
        <f>IFERROR(__xludf.DUMMYFUNCTION("""COMPUTED_VALUE"""),FALSE)</f>
        <v>0</v>
      </c>
      <c r="N1914" s="35" t="b">
        <f>IFERROR(__xludf.DUMMYFUNCTION("""COMPUTED_VALUE"""),FALSE)</f>
        <v>0</v>
      </c>
      <c r="O1914" s="35">
        <f>IFERROR(__xludf.DUMMYFUNCTION("""COMPUTED_VALUE"""),81.2492099893461)</f>
        <v>81.24920999</v>
      </c>
      <c r="P1914" s="35">
        <f>IFERROR(__xludf.DUMMYFUNCTION("""COMPUTED_VALUE"""),44994.0)</f>
        <v>44994</v>
      </c>
      <c r="Q1914" s="35">
        <f>IFERROR(__xludf.DUMMYFUNCTION("""COMPUTED_VALUE"""),55378.0)</f>
        <v>55378</v>
      </c>
    </row>
    <row r="1915">
      <c r="A1915" s="35">
        <f>IFERROR(__xludf.DUMMYFUNCTION("""COMPUTED_VALUE"""),2043.0)</f>
        <v>2043</v>
      </c>
      <c r="B1915" s="35" t="str">
        <f>IFERROR(__xludf.DUMMYFUNCTION("""COMPUTED_VALUE"""),"Cyclically Rotating a Grid")</f>
        <v>Cyclically Rotating a Grid</v>
      </c>
      <c r="C1915" s="35" t="str">
        <f>IFERROR(__xludf.DUMMYFUNCTION("""COMPUTED_VALUE"""),"cyclically-rotating-a-grid")</f>
        <v>cyclically-rotating-a-grid</v>
      </c>
      <c r="D1915" s="35" t="b">
        <f>IFERROR(__xludf.DUMMYFUNCTION("""COMPUTED_VALUE"""),FALSE)</f>
        <v>0</v>
      </c>
      <c r="E1915" s="35" t="str">
        <f>IFERROR(__xludf.DUMMYFUNCTION("""COMPUTED_VALUE"""),"Medium")</f>
        <v>Medium</v>
      </c>
      <c r="F1915" s="35">
        <f>IFERROR(__xludf.DUMMYFUNCTION("""COMPUTED_VALUE"""),164.0)</f>
        <v>164</v>
      </c>
      <c r="G1915" s="35">
        <f>IFERROR(__xludf.DUMMYFUNCTION("""COMPUTED_VALUE"""),222.0)</f>
        <v>222</v>
      </c>
      <c r="H1915" s="35" t="str">
        <f>IFERROR(__xludf.DUMMYFUNCTION("""COMPUTED_VALUE"""),"Algorithms")</f>
        <v>Algorithms</v>
      </c>
      <c r="I1915" s="35">
        <f>IFERROR(__xludf.DUMMYFUNCTION("""COMPUTED_VALUE"""),0.465)</f>
        <v>0.465</v>
      </c>
      <c r="J1915" s="35">
        <f>IFERROR(__xludf.DUMMYFUNCTION("""COMPUTED_VALUE"""),1914.0)</f>
        <v>1914</v>
      </c>
      <c r="K1915" s="35" t="b">
        <f>IFERROR(__xludf.DUMMYFUNCTION("""COMPUTED_VALUE"""),FALSE)</f>
        <v>0</v>
      </c>
      <c r="L1915" s="35" t="str">
        <f>IFERROR(__xludf.DUMMYFUNCTION("""COMPUTED_VALUE"""),"Array;Matrix;Simulation;")</f>
        <v>Array;Matrix;Simulation;</v>
      </c>
      <c r="M1915" s="35" t="b">
        <f>IFERROR(__xludf.DUMMYFUNCTION("""COMPUTED_VALUE"""),FALSE)</f>
        <v>0</v>
      </c>
      <c r="N1915" s="35" t="b">
        <f>IFERROR(__xludf.DUMMYFUNCTION("""COMPUTED_VALUE"""),FALSE)</f>
        <v>0</v>
      </c>
      <c r="O1915" s="35">
        <f>IFERROR(__xludf.DUMMYFUNCTION("""COMPUTED_VALUE"""),46.514801595633)</f>
        <v>46.5148016</v>
      </c>
      <c r="P1915" s="35">
        <f>IFERROR(__xludf.DUMMYFUNCTION("""COMPUTED_VALUE"""),8862.0)</f>
        <v>8862</v>
      </c>
      <c r="Q1915" s="35">
        <f>IFERROR(__xludf.DUMMYFUNCTION("""COMPUTED_VALUE"""),19052.0)</f>
        <v>19052</v>
      </c>
    </row>
    <row r="1916">
      <c r="A1916" s="35">
        <f>IFERROR(__xludf.DUMMYFUNCTION("""COMPUTED_VALUE"""),2044.0)</f>
        <v>2044</v>
      </c>
      <c r="B1916" s="35" t="str">
        <f>IFERROR(__xludf.DUMMYFUNCTION("""COMPUTED_VALUE"""),"Number of Wonderful Substrings")</f>
        <v>Number of Wonderful Substrings</v>
      </c>
      <c r="C1916" s="35" t="str">
        <f>IFERROR(__xludf.DUMMYFUNCTION("""COMPUTED_VALUE"""),"number-of-wonderful-substrings")</f>
        <v>number-of-wonderful-substrings</v>
      </c>
      <c r="D1916" s="35" t="b">
        <f>IFERROR(__xludf.DUMMYFUNCTION("""COMPUTED_VALUE"""),FALSE)</f>
        <v>0</v>
      </c>
      <c r="E1916" s="35" t="str">
        <f>IFERROR(__xludf.DUMMYFUNCTION("""COMPUTED_VALUE"""),"Medium")</f>
        <v>Medium</v>
      </c>
      <c r="F1916" s="35">
        <f>IFERROR(__xludf.DUMMYFUNCTION("""COMPUTED_VALUE"""),580.0)</f>
        <v>580</v>
      </c>
      <c r="G1916" s="35">
        <f>IFERROR(__xludf.DUMMYFUNCTION("""COMPUTED_VALUE"""),42.0)</f>
        <v>42</v>
      </c>
      <c r="H1916" s="35" t="str">
        <f>IFERROR(__xludf.DUMMYFUNCTION("""COMPUTED_VALUE"""),"Algorithms")</f>
        <v>Algorithms</v>
      </c>
      <c r="I1916" s="35">
        <f>IFERROR(__xludf.DUMMYFUNCTION("""COMPUTED_VALUE"""),0.432)</f>
        <v>0.432</v>
      </c>
      <c r="J1916" s="35">
        <f>IFERROR(__xludf.DUMMYFUNCTION("""COMPUTED_VALUE"""),1915.0)</f>
        <v>1915</v>
      </c>
      <c r="K1916" s="35" t="b">
        <f>IFERROR(__xludf.DUMMYFUNCTION("""COMPUTED_VALUE"""),FALSE)</f>
        <v>0</v>
      </c>
      <c r="L1916" s="35" t="str">
        <f>IFERROR(__xludf.DUMMYFUNCTION("""COMPUTED_VALUE"""),"Hash Table;String;Bit Manipulation;Prefix Sum;")</f>
        <v>Hash Table;String;Bit Manipulation;Prefix Sum;</v>
      </c>
      <c r="M1916" s="35" t="b">
        <f>IFERROR(__xludf.DUMMYFUNCTION("""COMPUTED_VALUE"""),FALSE)</f>
        <v>0</v>
      </c>
      <c r="N1916" s="35" t="b">
        <f>IFERROR(__xludf.DUMMYFUNCTION("""COMPUTED_VALUE"""),FALSE)</f>
        <v>0</v>
      </c>
      <c r="O1916" s="35">
        <f>IFERROR(__xludf.DUMMYFUNCTION("""COMPUTED_VALUE"""),43.233584040113)</f>
        <v>43.23358404</v>
      </c>
      <c r="P1916" s="35">
        <f>IFERROR(__xludf.DUMMYFUNCTION("""COMPUTED_VALUE"""),8105.0)</f>
        <v>8105</v>
      </c>
      <c r="Q1916" s="35">
        <f>IFERROR(__xludf.DUMMYFUNCTION("""COMPUTED_VALUE"""),18747.0)</f>
        <v>18747</v>
      </c>
    </row>
    <row r="1917">
      <c r="A1917" s="35">
        <f>IFERROR(__xludf.DUMMYFUNCTION("""COMPUTED_VALUE"""),1313.0)</f>
        <v>1313</v>
      </c>
      <c r="B1917" s="35" t="str">
        <f>IFERROR(__xludf.DUMMYFUNCTION("""COMPUTED_VALUE"""),"Count Ways to Build Rooms in an Ant Colony")</f>
        <v>Count Ways to Build Rooms in an Ant Colony</v>
      </c>
      <c r="C1917" s="35" t="str">
        <f>IFERROR(__xludf.DUMMYFUNCTION("""COMPUTED_VALUE"""),"count-ways-to-build-rooms-in-an-ant-colony")</f>
        <v>count-ways-to-build-rooms-in-an-ant-colony</v>
      </c>
      <c r="D1917" s="35" t="b">
        <f>IFERROR(__xludf.DUMMYFUNCTION("""COMPUTED_VALUE"""),FALSE)</f>
        <v>0</v>
      </c>
      <c r="E1917" s="35" t="str">
        <f>IFERROR(__xludf.DUMMYFUNCTION("""COMPUTED_VALUE"""),"Hard")</f>
        <v>Hard</v>
      </c>
      <c r="F1917" s="35">
        <f>IFERROR(__xludf.DUMMYFUNCTION("""COMPUTED_VALUE"""),238.0)</f>
        <v>238</v>
      </c>
      <c r="G1917" s="35">
        <f>IFERROR(__xludf.DUMMYFUNCTION("""COMPUTED_VALUE"""),30.0)</f>
        <v>30</v>
      </c>
      <c r="H1917" s="35" t="str">
        <f>IFERROR(__xludf.DUMMYFUNCTION("""COMPUTED_VALUE"""),"Algorithms")</f>
        <v>Algorithms</v>
      </c>
      <c r="I1917" s="35">
        <f>IFERROR(__xludf.DUMMYFUNCTION("""COMPUTED_VALUE"""),0.483)</f>
        <v>0.483</v>
      </c>
      <c r="J1917" s="35">
        <f>IFERROR(__xludf.DUMMYFUNCTION("""COMPUTED_VALUE"""),1916.0)</f>
        <v>1916</v>
      </c>
      <c r="K1917" s="35" t="b">
        <f>IFERROR(__xludf.DUMMYFUNCTION("""COMPUTED_VALUE"""),FALSE)</f>
        <v>0</v>
      </c>
      <c r="L1917" s="35" t="str">
        <f>IFERROR(__xludf.DUMMYFUNCTION("""COMPUTED_VALUE"""),"Math;Dynamic Programming;Tree;Graph;Topological Sort;Combinatorics;")</f>
        <v>Math;Dynamic Programming;Tree;Graph;Topological Sort;Combinatorics;</v>
      </c>
      <c r="M1917" s="35" t="b">
        <f>IFERROR(__xludf.DUMMYFUNCTION("""COMPUTED_VALUE"""),FALSE)</f>
        <v>0</v>
      </c>
      <c r="N1917" s="35" t="b">
        <f>IFERROR(__xludf.DUMMYFUNCTION("""COMPUTED_VALUE"""),FALSE)</f>
        <v>0</v>
      </c>
      <c r="O1917" s="35">
        <f>IFERROR(__xludf.DUMMYFUNCTION("""COMPUTED_VALUE"""),48.2984658298465)</f>
        <v>48.29846583</v>
      </c>
      <c r="P1917" s="35">
        <f>IFERROR(__xludf.DUMMYFUNCTION("""COMPUTED_VALUE"""),3463.0)</f>
        <v>3463</v>
      </c>
      <c r="Q1917" s="35">
        <f>IFERROR(__xludf.DUMMYFUNCTION("""COMPUTED_VALUE"""),7170.0)</f>
        <v>7170</v>
      </c>
    </row>
    <row r="1918">
      <c r="A1918" s="35">
        <f>IFERROR(__xludf.DUMMYFUNCTION("""COMPUTED_VALUE"""),2063.0)</f>
        <v>2063</v>
      </c>
      <c r="B1918" s="35" t="str">
        <f>IFERROR(__xludf.DUMMYFUNCTION("""COMPUTED_VALUE"""),"Leetcodify Friends Recommendations")</f>
        <v>Leetcodify Friends Recommendations</v>
      </c>
      <c r="C1918" s="35" t="str">
        <f>IFERROR(__xludf.DUMMYFUNCTION("""COMPUTED_VALUE"""),"leetcodify-friends-recommendations")</f>
        <v>leetcodify-friends-recommendations</v>
      </c>
      <c r="D1918" s="35" t="b">
        <f>IFERROR(__xludf.DUMMYFUNCTION("""COMPUTED_VALUE"""),TRUE)</f>
        <v>1</v>
      </c>
      <c r="E1918" s="35" t="str">
        <f>IFERROR(__xludf.DUMMYFUNCTION("""COMPUTED_VALUE"""),"Hard")</f>
        <v>Hard</v>
      </c>
      <c r="F1918" s="35">
        <f>IFERROR(__xludf.DUMMYFUNCTION("""COMPUTED_VALUE"""),31.0)</f>
        <v>31</v>
      </c>
      <c r="G1918" s="35">
        <f>IFERROR(__xludf.DUMMYFUNCTION("""COMPUTED_VALUE"""),18.0)</f>
        <v>18</v>
      </c>
      <c r="H1918" s="35" t="str">
        <f>IFERROR(__xludf.DUMMYFUNCTION("""COMPUTED_VALUE"""),"Database")</f>
        <v>Database</v>
      </c>
      <c r="I1918" s="35">
        <f>IFERROR(__xludf.DUMMYFUNCTION("""COMPUTED_VALUE"""),0.302)</f>
        <v>0.302</v>
      </c>
      <c r="J1918" s="35">
        <f>IFERROR(__xludf.DUMMYFUNCTION("""COMPUTED_VALUE"""),1917.0)</f>
        <v>1917</v>
      </c>
      <c r="K1918" s="35" t="b">
        <f>IFERROR(__xludf.DUMMYFUNCTION("""COMPUTED_VALUE"""),TRUE)</f>
        <v>1</v>
      </c>
      <c r="L1918" s="35" t="str">
        <f>IFERROR(__xludf.DUMMYFUNCTION("""COMPUTED_VALUE"""),"Database;")</f>
        <v>Database;</v>
      </c>
      <c r="M1918" s="35" t="b">
        <f>IFERROR(__xludf.DUMMYFUNCTION("""COMPUTED_VALUE"""),FALSE)</f>
        <v>0</v>
      </c>
      <c r="N1918" s="35" t="b">
        <f>IFERROR(__xludf.DUMMYFUNCTION("""COMPUTED_VALUE"""),FALSE)</f>
        <v>0</v>
      </c>
      <c r="O1918" s="35">
        <f>IFERROR(__xludf.DUMMYFUNCTION("""COMPUTED_VALUE"""),30.2195526097763)</f>
        <v>30.21955261</v>
      </c>
      <c r="P1918" s="35">
        <f>IFERROR(__xludf.DUMMYFUNCTION("""COMPUTED_VALUE"""),2918.0)</f>
        <v>2918</v>
      </c>
      <c r="Q1918" s="35">
        <f>IFERROR(__xludf.DUMMYFUNCTION("""COMPUTED_VALUE"""),9656.0)</f>
        <v>9656</v>
      </c>
    </row>
    <row r="1919">
      <c r="A1919" s="35">
        <f>IFERROR(__xludf.DUMMYFUNCTION("""COMPUTED_VALUE"""),2069.0)</f>
        <v>2069</v>
      </c>
      <c r="B1919" s="35" t="str">
        <f>IFERROR(__xludf.DUMMYFUNCTION("""COMPUTED_VALUE"""),"Kth Smallest Subarray Sum")</f>
        <v>Kth Smallest Subarray Sum</v>
      </c>
      <c r="C1919" s="35" t="str">
        <f>IFERROR(__xludf.DUMMYFUNCTION("""COMPUTED_VALUE"""),"kth-smallest-subarray-sum")</f>
        <v>kth-smallest-subarray-sum</v>
      </c>
      <c r="D1919" s="35" t="b">
        <f>IFERROR(__xludf.DUMMYFUNCTION("""COMPUTED_VALUE"""),TRUE)</f>
        <v>1</v>
      </c>
      <c r="E1919" s="35" t="str">
        <f>IFERROR(__xludf.DUMMYFUNCTION("""COMPUTED_VALUE"""),"Medium")</f>
        <v>Medium</v>
      </c>
      <c r="F1919" s="35">
        <f>IFERROR(__xludf.DUMMYFUNCTION("""COMPUTED_VALUE"""),99.0)</f>
        <v>99</v>
      </c>
      <c r="G1919" s="35">
        <f>IFERROR(__xludf.DUMMYFUNCTION("""COMPUTED_VALUE"""),4.0)</f>
        <v>4</v>
      </c>
      <c r="H1919" s="35" t="str">
        <f>IFERROR(__xludf.DUMMYFUNCTION("""COMPUTED_VALUE"""),"Algorithms")</f>
        <v>Algorithms</v>
      </c>
      <c r="I1919" s="35">
        <f>IFERROR(__xludf.DUMMYFUNCTION("""COMPUTED_VALUE"""),0.547)</f>
        <v>0.547</v>
      </c>
      <c r="J1919" s="35">
        <f>IFERROR(__xludf.DUMMYFUNCTION("""COMPUTED_VALUE"""),1918.0)</f>
        <v>1918</v>
      </c>
      <c r="K1919" s="35" t="b">
        <f>IFERROR(__xludf.DUMMYFUNCTION("""COMPUTED_VALUE"""),TRUE)</f>
        <v>1</v>
      </c>
      <c r="L1919" s="35" t="str">
        <f>IFERROR(__xludf.DUMMYFUNCTION("""COMPUTED_VALUE"""),"Array;Binary Search;Sliding Window;")</f>
        <v>Array;Binary Search;Sliding Window;</v>
      </c>
      <c r="M1919" s="35" t="b">
        <f>IFERROR(__xludf.DUMMYFUNCTION("""COMPUTED_VALUE"""),FALSE)</f>
        <v>0</v>
      </c>
      <c r="N1919" s="35" t="b">
        <f>IFERROR(__xludf.DUMMYFUNCTION("""COMPUTED_VALUE"""),FALSE)</f>
        <v>0</v>
      </c>
      <c r="O1919" s="35">
        <f>IFERROR(__xludf.DUMMYFUNCTION("""COMPUTED_VALUE"""),54.6993578517221)</f>
        <v>54.69935785</v>
      </c>
      <c r="P1919" s="35">
        <f>IFERROR(__xludf.DUMMYFUNCTION("""COMPUTED_VALUE"""),1874.0)</f>
        <v>1874</v>
      </c>
      <c r="Q1919" s="35">
        <f>IFERROR(__xludf.DUMMYFUNCTION("""COMPUTED_VALUE"""),3426.0)</f>
        <v>3426</v>
      </c>
    </row>
    <row r="1920">
      <c r="A1920" s="35">
        <f>IFERROR(__xludf.DUMMYFUNCTION("""COMPUTED_VALUE"""),2064.0)</f>
        <v>2064</v>
      </c>
      <c r="B1920" s="35" t="str">
        <f>IFERROR(__xludf.DUMMYFUNCTION("""COMPUTED_VALUE"""),"Leetcodify Similar Friends")</f>
        <v>Leetcodify Similar Friends</v>
      </c>
      <c r="C1920" s="35" t="str">
        <f>IFERROR(__xludf.DUMMYFUNCTION("""COMPUTED_VALUE"""),"leetcodify-similar-friends")</f>
        <v>leetcodify-similar-friends</v>
      </c>
      <c r="D1920" s="35" t="b">
        <f>IFERROR(__xludf.DUMMYFUNCTION("""COMPUTED_VALUE"""),TRUE)</f>
        <v>1</v>
      </c>
      <c r="E1920" s="35" t="str">
        <f>IFERROR(__xludf.DUMMYFUNCTION("""COMPUTED_VALUE"""),"Hard")</f>
        <v>Hard</v>
      </c>
      <c r="F1920" s="35">
        <f>IFERROR(__xludf.DUMMYFUNCTION("""COMPUTED_VALUE"""),28.0)</f>
        <v>28</v>
      </c>
      <c r="G1920" s="35">
        <f>IFERROR(__xludf.DUMMYFUNCTION("""COMPUTED_VALUE"""),4.0)</f>
        <v>4</v>
      </c>
      <c r="H1920" s="35" t="str">
        <f>IFERROR(__xludf.DUMMYFUNCTION("""COMPUTED_VALUE"""),"Database")</f>
        <v>Database</v>
      </c>
      <c r="I1920" s="35">
        <f>IFERROR(__xludf.DUMMYFUNCTION("""COMPUTED_VALUE"""),0.422)</f>
        <v>0.422</v>
      </c>
      <c r="J1920" s="35">
        <f>IFERROR(__xludf.DUMMYFUNCTION("""COMPUTED_VALUE"""),1919.0)</f>
        <v>1919</v>
      </c>
      <c r="K1920" s="35" t="b">
        <f>IFERROR(__xludf.DUMMYFUNCTION("""COMPUTED_VALUE"""),TRUE)</f>
        <v>1</v>
      </c>
      <c r="L1920" s="35" t="str">
        <f>IFERROR(__xludf.DUMMYFUNCTION("""COMPUTED_VALUE"""),"Database;")</f>
        <v>Database;</v>
      </c>
      <c r="M1920" s="35" t="b">
        <f>IFERROR(__xludf.DUMMYFUNCTION("""COMPUTED_VALUE"""),FALSE)</f>
        <v>0</v>
      </c>
      <c r="N1920" s="35" t="b">
        <f>IFERROR(__xludf.DUMMYFUNCTION("""COMPUTED_VALUE"""),FALSE)</f>
        <v>0</v>
      </c>
      <c r="O1920" s="35">
        <f>IFERROR(__xludf.DUMMYFUNCTION("""COMPUTED_VALUE"""),42.1627525942108)</f>
        <v>42.16275259</v>
      </c>
      <c r="P1920" s="35">
        <f>IFERROR(__xludf.DUMMYFUNCTION("""COMPUTED_VALUE"""),2316.0)</f>
        <v>2316</v>
      </c>
      <c r="Q1920" s="35">
        <f>IFERROR(__xludf.DUMMYFUNCTION("""COMPUTED_VALUE"""),5494.0)</f>
        <v>5494</v>
      </c>
    </row>
    <row r="1921">
      <c r="A1921" s="35">
        <f>IFERROR(__xludf.DUMMYFUNCTION("""COMPUTED_VALUE"""),2048.0)</f>
        <v>2048</v>
      </c>
      <c r="B1921" s="35" t="str">
        <f>IFERROR(__xludf.DUMMYFUNCTION("""COMPUTED_VALUE"""),"Build Array from Permutation")</f>
        <v>Build Array from Permutation</v>
      </c>
      <c r="C1921" s="35" t="str">
        <f>IFERROR(__xludf.DUMMYFUNCTION("""COMPUTED_VALUE"""),"build-array-from-permutation")</f>
        <v>build-array-from-permutation</v>
      </c>
      <c r="D1921" s="35" t="b">
        <f>IFERROR(__xludf.DUMMYFUNCTION("""COMPUTED_VALUE"""),FALSE)</f>
        <v>0</v>
      </c>
      <c r="E1921" s="35" t="str">
        <f>IFERROR(__xludf.DUMMYFUNCTION("""COMPUTED_VALUE"""),"Easy")</f>
        <v>Easy</v>
      </c>
      <c r="F1921" s="35">
        <f>IFERROR(__xludf.DUMMYFUNCTION("""COMPUTED_VALUE"""),1050.0)</f>
        <v>1050</v>
      </c>
      <c r="G1921" s="35">
        <f>IFERROR(__xludf.DUMMYFUNCTION("""COMPUTED_VALUE"""),146.0)</f>
        <v>146</v>
      </c>
      <c r="H1921" s="35" t="str">
        <f>IFERROR(__xludf.DUMMYFUNCTION("""COMPUTED_VALUE"""),"Algorithms")</f>
        <v>Algorithms</v>
      </c>
      <c r="I1921" s="35">
        <f>IFERROR(__xludf.DUMMYFUNCTION("""COMPUTED_VALUE"""),0.918)</f>
        <v>0.918</v>
      </c>
      <c r="J1921" s="35">
        <f>IFERROR(__xludf.DUMMYFUNCTION("""COMPUTED_VALUE"""),1920.0)</f>
        <v>1920</v>
      </c>
      <c r="K1921" s="35" t="b">
        <f>IFERROR(__xludf.DUMMYFUNCTION("""COMPUTED_VALUE"""),FALSE)</f>
        <v>0</v>
      </c>
      <c r="L1921" s="35" t="str">
        <f>IFERROR(__xludf.DUMMYFUNCTION("""COMPUTED_VALUE"""),"Array;Simulation;")</f>
        <v>Array;Simulation;</v>
      </c>
      <c r="M1921" s="35" t="b">
        <f>IFERROR(__xludf.DUMMYFUNCTION("""COMPUTED_VALUE"""),FALSE)</f>
        <v>0</v>
      </c>
      <c r="N1921" s="35" t="b">
        <f>IFERROR(__xludf.DUMMYFUNCTION("""COMPUTED_VALUE"""),FALSE)</f>
        <v>0</v>
      </c>
      <c r="O1921" s="35">
        <f>IFERROR(__xludf.DUMMYFUNCTION("""COMPUTED_VALUE"""),91.758520207779)</f>
        <v>91.75852021</v>
      </c>
      <c r="P1921" s="35">
        <f>IFERROR(__xludf.DUMMYFUNCTION("""COMPUTED_VALUE"""),130357.0)</f>
        <v>130357</v>
      </c>
      <c r="Q1921" s="35">
        <f>IFERROR(__xludf.DUMMYFUNCTION("""COMPUTED_VALUE"""),142066.0)</f>
        <v>142066</v>
      </c>
    </row>
    <row r="1922">
      <c r="A1922" s="35">
        <f>IFERROR(__xludf.DUMMYFUNCTION("""COMPUTED_VALUE"""),2049.0)</f>
        <v>2049</v>
      </c>
      <c r="B1922" s="35" t="str">
        <f>IFERROR(__xludf.DUMMYFUNCTION("""COMPUTED_VALUE"""),"Eliminate Maximum Number of Monsters")</f>
        <v>Eliminate Maximum Number of Monsters</v>
      </c>
      <c r="C1922" s="35" t="str">
        <f>IFERROR(__xludf.DUMMYFUNCTION("""COMPUTED_VALUE"""),"eliminate-maximum-number-of-monsters")</f>
        <v>eliminate-maximum-number-of-monsters</v>
      </c>
      <c r="D1922" s="35" t="b">
        <f>IFERROR(__xludf.DUMMYFUNCTION("""COMPUTED_VALUE"""),FALSE)</f>
        <v>0</v>
      </c>
      <c r="E1922" s="35" t="str">
        <f>IFERROR(__xludf.DUMMYFUNCTION("""COMPUTED_VALUE"""),"Medium")</f>
        <v>Medium</v>
      </c>
      <c r="F1922" s="35">
        <f>IFERROR(__xludf.DUMMYFUNCTION("""COMPUTED_VALUE"""),294.0)</f>
        <v>294</v>
      </c>
      <c r="G1922" s="35">
        <f>IFERROR(__xludf.DUMMYFUNCTION("""COMPUTED_VALUE"""),47.0)</f>
        <v>47</v>
      </c>
      <c r="H1922" s="35" t="str">
        <f>IFERROR(__xludf.DUMMYFUNCTION("""COMPUTED_VALUE"""),"Algorithms")</f>
        <v>Algorithms</v>
      </c>
      <c r="I1922" s="35">
        <f>IFERROR(__xludf.DUMMYFUNCTION("""COMPUTED_VALUE"""),0.375)</f>
        <v>0.375</v>
      </c>
      <c r="J1922" s="35">
        <f>IFERROR(__xludf.DUMMYFUNCTION("""COMPUTED_VALUE"""),1921.0)</f>
        <v>1921</v>
      </c>
      <c r="K1922" s="35" t="b">
        <f>IFERROR(__xludf.DUMMYFUNCTION("""COMPUTED_VALUE"""),FALSE)</f>
        <v>0</v>
      </c>
      <c r="L1922" s="35" t="str">
        <f>IFERROR(__xludf.DUMMYFUNCTION("""COMPUTED_VALUE"""),"Array;Greedy;Sorting;")</f>
        <v>Array;Greedy;Sorting;</v>
      </c>
      <c r="M1922" s="35" t="b">
        <f>IFERROR(__xludf.DUMMYFUNCTION("""COMPUTED_VALUE"""),FALSE)</f>
        <v>0</v>
      </c>
      <c r="N1922" s="35" t="b">
        <f>IFERROR(__xludf.DUMMYFUNCTION("""COMPUTED_VALUE"""),FALSE)</f>
        <v>0</v>
      </c>
      <c r="O1922" s="35">
        <f>IFERROR(__xludf.DUMMYFUNCTION("""COMPUTED_VALUE"""),37.4549466715704)</f>
        <v>37.45494667</v>
      </c>
      <c r="P1922" s="35">
        <f>IFERROR(__xludf.DUMMYFUNCTION("""COMPUTED_VALUE"""),15276.0)</f>
        <v>15276</v>
      </c>
      <c r="Q1922" s="35">
        <f>IFERROR(__xludf.DUMMYFUNCTION("""COMPUTED_VALUE"""),40785.0)</f>
        <v>40785</v>
      </c>
    </row>
    <row r="1923">
      <c r="A1923" s="35">
        <f>IFERROR(__xludf.DUMMYFUNCTION("""COMPUTED_VALUE"""),2050.0)</f>
        <v>2050</v>
      </c>
      <c r="B1923" s="35" t="str">
        <f>IFERROR(__xludf.DUMMYFUNCTION("""COMPUTED_VALUE"""),"Count Good Numbers")</f>
        <v>Count Good Numbers</v>
      </c>
      <c r="C1923" s="35" t="str">
        <f>IFERROR(__xludf.DUMMYFUNCTION("""COMPUTED_VALUE"""),"count-good-numbers")</f>
        <v>count-good-numbers</v>
      </c>
      <c r="D1923" s="35" t="b">
        <f>IFERROR(__xludf.DUMMYFUNCTION("""COMPUTED_VALUE"""),FALSE)</f>
        <v>0</v>
      </c>
      <c r="E1923" s="35" t="str">
        <f>IFERROR(__xludf.DUMMYFUNCTION("""COMPUTED_VALUE"""),"Medium")</f>
        <v>Medium</v>
      </c>
      <c r="F1923" s="35">
        <f>IFERROR(__xludf.DUMMYFUNCTION("""COMPUTED_VALUE"""),297.0)</f>
        <v>297</v>
      </c>
      <c r="G1923" s="35">
        <f>IFERROR(__xludf.DUMMYFUNCTION("""COMPUTED_VALUE"""),211.0)</f>
        <v>211</v>
      </c>
      <c r="H1923" s="35" t="str">
        <f>IFERROR(__xludf.DUMMYFUNCTION("""COMPUTED_VALUE"""),"Algorithms")</f>
        <v>Algorithms</v>
      </c>
      <c r="I1923" s="35">
        <f>IFERROR(__xludf.DUMMYFUNCTION("""COMPUTED_VALUE"""),0.383)</f>
        <v>0.383</v>
      </c>
      <c r="J1923" s="35">
        <f>IFERROR(__xludf.DUMMYFUNCTION("""COMPUTED_VALUE"""),1922.0)</f>
        <v>1922</v>
      </c>
      <c r="K1923" s="35" t="b">
        <f>IFERROR(__xludf.DUMMYFUNCTION("""COMPUTED_VALUE"""),FALSE)</f>
        <v>0</v>
      </c>
      <c r="L1923" s="35" t="str">
        <f>IFERROR(__xludf.DUMMYFUNCTION("""COMPUTED_VALUE"""),"Math;Recursion;")</f>
        <v>Math;Recursion;</v>
      </c>
      <c r="M1923" s="35" t="b">
        <f>IFERROR(__xludf.DUMMYFUNCTION("""COMPUTED_VALUE"""),FALSE)</f>
        <v>0</v>
      </c>
      <c r="N1923" s="35" t="b">
        <f>IFERROR(__xludf.DUMMYFUNCTION("""COMPUTED_VALUE"""),FALSE)</f>
        <v>0</v>
      </c>
      <c r="O1923" s="35">
        <f>IFERROR(__xludf.DUMMYFUNCTION("""COMPUTED_VALUE"""),38.3273390949594)</f>
        <v>38.32733909</v>
      </c>
      <c r="P1923" s="35">
        <f>IFERROR(__xludf.DUMMYFUNCTION("""COMPUTED_VALUE"""),14279.0)</f>
        <v>14279</v>
      </c>
      <c r="Q1923" s="35">
        <f>IFERROR(__xludf.DUMMYFUNCTION("""COMPUTED_VALUE"""),37257.0)</f>
        <v>37257</v>
      </c>
    </row>
    <row r="1924">
      <c r="A1924" s="35">
        <f>IFERROR(__xludf.DUMMYFUNCTION("""COMPUTED_VALUE"""),2051.0)</f>
        <v>2051</v>
      </c>
      <c r="B1924" s="35" t="str">
        <f>IFERROR(__xludf.DUMMYFUNCTION("""COMPUTED_VALUE"""),"Longest Common Subpath")</f>
        <v>Longest Common Subpath</v>
      </c>
      <c r="C1924" s="35" t="str">
        <f>IFERROR(__xludf.DUMMYFUNCTION("""COMPUTED_VALUE"""),"longest-common-subpath")</f>
        <v>longest-common-subpath</v>
      </c>
      <c r="D1924" s="35" t="b">
        <f>IFERROR(__xludf.DUMMYFUNCTION("""COMPUTED_VALUE"""),FALSE)</f>
        <v>0</v>
      </c>
      <c r="E1924" s="35" t="str">
        <f>IFERROR(__xludf.DUMMYFUNCTION("""COMPUTED_VALUE"""),"Hard")</f>
        <v>Hard</v>
      </c>
      <c r="F1924" s="35">
        <f>IFERROR(__xludf.DUMMYFUNCTION("""COMPUTED_VALUE"""),254.0)</f>
        <v>254</v>
      </c>
      <c r="G1924" s="35">
        <f>IFERROR(__xludf.DUMMYFUNCTION("""COMPUTED_VALUE"""),23.0)</f>
        <v>23</v>
      </c>
      <c r="H1924" s="35" t="str">
        <f>IFERROR(__xludf.DUMMYFUNCTION("""COMPUTED_VALUE"""),"Algorithms")</f>
        <v>Algorithms</v>
      </c>
      <c r="I1924" s="35">
        <f>IFERROR(__xludf.DUMMYFUNCTION("""COMPUTED_VALUE"""),0.28)</f>
        <v>0.28</v>
      </c>
      <c r="J1924" s="35">
        <f>IFERROR(__xludf.DUMMYFUNCTION("""COMPUTED_VALUE"""),1923.0)</f>
        <v>1923</v>
      </c>
      <c r="K1924" s="35" t="b">
        <f>IFERROR(__xludf.DUMMYFUNCTION("""COMPUTED_VALUE"""),FALSE)</f>
        <v>0</v>
      </c>
      <c r="L1924" s="35" t="str">
        <f>IFERROR(__xludf.DUMMYFUNCTION("""COMPUTED_VALUE"""),"Array;Binary Search;Rolling Hash;Suffix Array;Hash Function;")</f>
        <v>Array;Binary Search;Rolling Hash;Suffix Array;Hash Function;</v>
      </c>
      <c r="M1924" s="35" t="b">
        <f>IFERROR(__xludf.DUMMYFUNCTION("""COMPUTED_VALUE"""),FALSE)</f>
        <v>0</v>
      </c>
      <c r="N1924" s="35" t="b">
        <f>IFERROR(__xludf.DUMMYFUNCTION("""COMPUTED_VALUE"""),FALSE)</f>
        <v>0</v>
      </c>
      <c r="O1924" s="35">
        <f>IFERROR(__xludf.DUMMYFUNCTION("""COMPUTED_VALUE"""),27.966694209623)</f>
        <v>27.96669421</v>
      </c>
      <c r="P1924" s="35">
        <f>IFERROR(__xludf.DUMMYFUNCTION("""COMPUTED_VALUE"""),4400.0)</f>
        <v>4400</v>
      </c>
      <c r="Q1924" s="35">
        <f>IFERROR(__xludf.DUMMYFUNCTION("""COMPUTED_VALUE"""),15733.0)</f>
        <v>15733</v>
      </c>
    </row>
    <row r="1925">
      <c r="A1925" s="35">
        <f>IFERROR(__xludf.DUMMYFUNCTION("""COMPUTED_VALUE"""),2074.0)</f>
        <v>2074</v>
      </c>
      <c r="B1925" s="35" t="str">
        <f>IFERROR(__xludf.DUMMYFUNCTION("""COMPUTED_VALUE"""),"Erect the Fence II")</f>
        <v>Erect the Fence II</v>
      </c>
      <c r="C1925" s="35" t="str">
        <f>IFERROR(__xludf.DUMMYFUNCTION("""COMPUTED_VALUE"""),"erect-the-fence-ii")</f>
        <v>erect-the-fence-ii</v>
      </c>
      <c r="D1925" s="35" t="b">
        <f>IFERROR(__xludf.DUMMYFUNCTION("""COMPUTED_VALUE"""),TRUE)</f>
        <v>1</v>
      </c>
      <c r="E1925" s="35" t="str">
        <f>IFERROR(__xludf.DUMMYFUNCTION("""COMPUTED_VALUE"""),"Hard")</f>
        <v>Hard</v>
      </c>
      <c r="F1925" s="35">
        <f>IFERROR(__xludf.DUMMYFUNCTION("""COMPUTED_VALUE"""),8.0)</f>
        <v>8</v>
      </c>
      <c r="G1925" s="35">
        <f>IFERROR(__xludf.DUMMYFUNCTION("""COMPUTED_VALUE"""),31.0)</f>
        <v>31</v>
      </c>
      <c r="H1925" s="35" t="str">
        <f>IFERROR(__xludf.DUMMYFUNCTION("""COMPUTED_VALUE"""),"Algorithms")</f>
        <v>Algorithms</v>
      </c>
      <c r="I1925" s="35">
        <f>IFERROR(__xludf.DUMMYFUNCTION("""COMPUTED_VALUE"""),0.583)</f>
        <v>0.583</v>
      </c>
      <c r="J1925" s="35">
        <f>IFERROR(__xludf.DUMMYFUNCTION("""COMPUTED_VALUE"""),1924.0)</f>
        <v>1924</v>
      </c>
      <c r="K1925" s="35" t="b">
        <f>IFERROR(__xludf.DUMMYFUNCTION("""COMPUTED_VALUE"""),TRUE)</f>
        <v>1</v>
      </c>
      <c r="L1925" s="35" t="str">
        <f>IFERROR(__xludf.DUMMYFUNCTION("""COMPUTED_VALUE"""),"Array;Math;Geometry;")</f>
        <v>Array;Math;Geometry;</v>
      </c>
      <c r="M1925" s="35" t="b">
        <f>IFERROR(__xludf.DUMMYFUNCTION("""COMPUTED_VALUE"""),FALSE)</f>
        <v>0</v>
      </c>
      <c r="N1925" s="35" t="b">
        <f>IFERROR(__xludf.DUMMYFUNCTION("""COMPUTED_VALUE"""),FALSE)</f>
        <v>0</v>
      </c>
      <c r="O1925" s="35">
        <f>IFERROR(__xludf.DUMMYFUNCTION("""COMPUTED_VALUE"""),58.3216783216783)</f>
        <v>58.32167832</v>
      </c>
      <c r="P1925" s="35">
        <f>IFERROR(__xludf.DUMMYFUNCTION("""COMPUTED_VALUE"""),417.0)</f>
        <v>417</v>
      </c>
      <c r="Q1925" s="35">
        <f>IFERROR(__xludf.DUMMYFUNCTION("""COMPUTED_VALUE"""),715.0)</f>
        <v>715</v>
      </c>
    </row>
    <row r="1926">
      <c r="A1926" s="35">
        <f>IFERROR(__xludf.DUMMYFUNCTION("""COMPUTED_VALUE"""),2037.0)</f>
        <v>2037</v>
      </c>
      <c r="B1926" s="35" t="str">
        <f>IFERROR(__xludf.DUMMYFUNCTION("""COMPUTED_VALUE"""),"Count Square Sum Triples")</f>
        <v>Count Square Sum Triples</v>
      </c>
      <c r="C1926" s="35" t="str">
        <f>IFERROR(__xludf.DUMMYFUNCTION("""COMPUTED_VALUE"""),"count-square-sum-triples")</f>
        <v>count-square-sum-triples</v>
      </c>
      <c r="D1926" s="35" t="b">
        <f>IFERROR(__xludf.DUMMYFUNCTION("""COMPUTED_VALUE"""),FALSE)</f>
        <v>0</v>
      </c>
      <c r="E1926" s="35" t="str">
        <f>IFERROR(__xludf.DUMMYFUNCTION("""COMPUTED_VALUE"""),"Easy")</f>
        <v>Easy</v>
      </c>
      <c r="F1926" s="35">
        <f>IFERROR(__xludf.DUMMYFUNCTION("""COMPUTED_VALUE"""),167.0)</f>
        <v>167</v>
      </c>
      <c r="G1926" s="35">
        <f>IFERROR(__xludf.DUMMYFUNCTION("""COMPUTED_VALUE"""),18.0)</f>
        <v>18</v>
      </c>
      <c r="H1926" s="35" t="str">
        <f>IFERROR(__xludf.DUMMYFUNCTION("""COMPUTED_VALUE"""),"Algorithms")</f>
        <v>Algorithms</v>
      </c>
      <c r="I1926" s="35">
        <f>IFERROR(__xludf.DUMMYFUNCTION("""COMPUTED_VALUE"""),0.671)</f>
        <v>0.671</v>
      </c>
      <c r="J1926" s="35">
        <f>IFERROR(__xludf.DUMMYFUNCTION("""COMPUTED_VALUE"""),1925.0)</f>
        <v>1925</v>
      </c>
      <c r="K1926" s="35" t="b">
        <f>IFERROR(__xludf.DUMMYFUNCTION("""COMPUTED_VALUE"""),FALSE)</f>
        <v>0</v>
      </c>
      <c r="L1926" s="35" t="str">
        <f>IFERROR(__xludf.DUMMYFUNCTION("""COMPUTED_VALUE"""),"Math;Enumeration;")</f>
        <v>Math;Enumeration;</v>
      </c>
      <c r="M1926" s="35" t="b">
        <f>IFERROR(__xludf.DUMMYFUNCTION("""COMPUTED_VALUE"""),FALSE)</f>
        <v>0</v>
      </c>
      <c r="N1926" s="35" t="b">
        <f>IFERROR(__xludf.DUMMYFUNCTION("""COMPUTED_VALUE"""),FALSE)</f>
        <v>0</v>
      </c>
      <c r="O1926" s="35">
        <f>IFERROR(__xludf.DUMMYFUNCTION("""COMPUTED_VALUE"""),67.1301887443497)</f>
        <v>67.13018874</v>
      </c>
      <c r="P1926" s="35">
        <f>IFERROR(__xludf.DUMMYFUNCTION("""COMPUTED_VALUE"""),19455.0)</f>
        <v>19455</v>
      </c>
      <c r="Q1926" s="35">
        <f>IFERROR(__xludf.DUMMYFUNCTION("""COMPUTED_VALUE"""),28981.0)</f>
        <v>28981</v>
      </c>
    </row>
    <row r="1927">
      <c r="A1927" s="35">
        <f>IFERROR(__xludf.DUMMYFUNCTION("""COMPUTED_VALUE"""),2038.0)</f>
        <v>2038</v>
      </c>
      <c r="B1927" s="35" t="str">
        <f>IFERROR(__xludf.DUMMYFUNCTION("""COMPUTED_VALUE"""),"Nearest Exit from Entrance in Maze")</f>
        <v>Nearest Exit from Entrance in Maze</v>
      </c>
      <c r="C1927" s="35" t="str">
        <f>IFERROR(__xludf.DUMMYFUNCTION("""COMPUTED_VALUE"""),"nearest-exit-from-entrance-in-maze")</f>
        <v>nearest-exit-from-entrance-in-maze</v>
      </c>
      <c r="D1927" s="35" t="b">
        <f>IFERROR(__xludf.DUMMYFUNCTION("""COMPUTED_VALUE"""),FALSE)</f>
        <v>0</v>
      </c>
      <c r="E1927" s="35" t="str">
        <f>IFERROR(__xludf.DUMMYFUNCTION("""COMPUTED_VALUE"""),"Medium")</f>
        <v>Medium</v>
      </c>
      <c r="F1927" s="35">
        <f>IFERROR(__xludf.DUMMYFUNCTION("""COMPUTED_VALUE"""),390.0)</f>
        <v>390</v>
      </c>
      <c r="G1927" s="35">
        <f>IFERROR(__xludf.DUMMYFUNCTION("""COMPUTED_VALUE"""),18.0)</f>
        <v>18</v>
      </c>
      <c r="H1927" s="35" t="str">
        <f>IFERROR(__xludf.DUMMYFUNCTION("""COMPUTED_VALUE"""),"Algorithms")</f>
        <v>Algorithms</v>
      </c>
      <c r="I1927" s="35">
        <f>IFERROR(__xludf.DUMMYFUNCTION("""COMPUTED_VALUE"""),0.385)</f>
        <v>0.385</v>
      </c>
      <c r="J1927" s="35">
        <f>IFERROR(__xludf.DUMMYFUNCTION("""COMPUTED_VALUE"""),1926.0)</f>
        <v>1926</v>
      </c>
      <c r="K1927" s="35" t="b">
        <f>IFERROR(__xludf.DUMMYFUNCTION("""COMPUTED_VALUE"""),FALSE)</f>
        <v>0</v>
      </c>
      <c r="L1927" s="35" t="str">
        <f>IFERROR(__xludf.DUMMYFUNCTION("""COMPUTED_VALUE"""),"Array;Breadth-First Search;Matrix;")</f>
        <v>Array;Breadth-First Search;Matrix;</v>
      </c>
      <c r="M1927" s="35" t="b">
        <f>IFERROR(__xludf.DUMMYFUNCTION("""COMPUTED_VALUE"""),FALSE)</f>
        <v>0</v>
      </c>
      <c r="N1927" s="35" t="b">
        <f>IFERROR(__xludf.DUMMYFUNCTION("""COMPUTED_VALUE"""),FALSE)</f>
        <v>0</v>
      </c>
      <c r="O1927" s="35">
        <f>IFERROR(__xludf.DUMMYFUNCTION("""COMPUTED_VALUE"""),38.4642084746215)</f>
        <v>38.46420847</v>
      </c>
      <c r="P1927" s="35">
        <f>IFERROR(__xludf.DUMMYFUNCTION("""COMPUTED_VALUE"""),14406.0)</f>
        <v>14406</v>
      </c>
      <c r="Q1927" s="35">
        <f>IFERROR(__xludf.DUMMYFUNCTION("""COMPUTED_VALUE"""),37452.0)</f>
        <v>37452</v>
      </c>
    </row>
    <row r="1928">
      <c r="A1928" s="35">
        <f>IFERROR(__xludf.DUMMYFUNCTION("""COMPUTED_VALUE"""),2039.0)</f>
        <v>2039</v>
      </c>
      <c r="B1928" s="35" t="str">
        <f>IFERROR(__xludf.DUMMYFUNCTION("""COMPUTED_VALUE"""),"Sum Game")</f>
        <v>Sum Game</v>
      </c>
      <c r="C1928" s="35" t="str">
        <f>IFERROR(__xludf.DUMMYFUNCTION("""COMPUTED_VALUE"""),"sum-game")</f>
        <v>sum-game</v>
      </c>
      <c r="D1928" s="35" t="b">
        <f>IFERROR(__xludf.DUMMYFUNCTION("""COMPUTED_VALUE"""),FALSE)</f>
        <v>0</v>
      </c>
      <c r="E1928" s="35" t="str">
        <f>IFERROR(__xludf.DUMMYFUNCTION("""COMPUTED_VALUE"""),"Medium")</f>
        <v>Medium</v>
      </c>
      <c r="F1928" s="35">
        <f>IFERROR(__xludf.DUMMYFUNCTION("""COMPUTED_VALUE"""),295.0)</f>
        <v>295</v>
      </c>
      <c r="G1928" s="35">
        <f>IFERROR(__xludf.DUMMYFUNCTION("""COMPUTED_VALUE"""),42.0)</f>
        <v>42</v>
      </c>
      <c r="H1928" s="35" t="str">
        <f>IFERROR(__xludf.DUMMYFUNCTION("""COMPUTED_VALUE"""),"Algorithms")</f>
        <v>Algorithms</v>
      </c>
      <c r="I1928" s="35">
        <f>IFERROR(__xludf.DUMMYFUNCTION("""COMPUTED_VALUE"""),0.468)</f>
        <v>0.468</v>
      </c>
      <c r="J1928" s="35">
        <f>IFERROR(__xludf.DUMMYFUNCTION("""COMPUTED_VALUE"""),1927.0)</f>
        <v>1927</v>
      </c>
      <c r="K1928" s="35" t="b">
        <f>IFERROR(__xludf.DUMMYFUNCTION("""COMPUTED_VALUE"""),FALSE)</f>
        <v>0</v>
      </c>
      <c r="L1928" s="35" t="str">
        <f>IFERROR(__xludf.DUMMYFUNCTION("""COMPUTED_VALUE"""),"Math;Greedy;Game Theory;")</f>
        <v>Math;Greedy;Game Theory;</v>
      </c>
      <c r="M1928" s="35" t="b">
        <f>IFERROR(__xludf.DUMMYFUNCTION("""COMPUTED_VALUE"""),FALSE)</f>
        <v>0</v>
      </c>
      <c r="N1928" s="35" t="b">
        <f>IFERROR(__xludf.DUMMYFUNCTION("""COMPUTED_VALUE"""),FALSE)</f>
        <v>0</v>
      </c>
      <c r="O1928" s="35">
        <f>IFERROR(__xludf.DUMMYFUNCTION("""COMPUTED_VALUE"""),46.8041394003956)</f>
        <v>46.8041394</v>
      </c>
      <c r="P1928" s="35">
        <f>IFERROR(__xludf.DUMMYFUNCTION("""COMPUTED_VALUE"""),6151.0)</f>
        <v>6151</v>
      </c>
      <c r="Q1928" s="35">
        <f>IFERROR(__xludf.DUMMYFUNCTION("""COMPUTED_VALUE"""),13142.0)</f>
        <v>13142</v>
      </c>
    </row>
    <row r="1929">
      <c r="A1929" s="35">
        <f>IFERROR(__xludf.DUMMYFUNCTION("""COMPUTED_VALUE"""),2040.0)</f>
        <v>2040</v>
      </c>
      <c r="B1929" s="35" t="str">
        <f>IFERROR(__xludf.DUMMYFUNCTION("""COMPUTED_VALUE"""),"Minimum Cost to Reach Destination in Time")</f>
        <v>Minimum Cost to Reach Destination in Time</v>
      </c>
      <c r="C1929" s="35" t="str">
        <f>IFERROR(__xludf.DUMMYFUNCTION("""COMPUTED_VALUE"""),"minimum-cost-to-reach-destination-in-time")</f>
        <v>minimum-cost-to-reach-destination-in-time</v>
      </c>
      <c r="D1929" s="35" t="b">
        <f>IFERROR(__xludf.DUMMYFUNCTION("""COMPUTED_VALUE"""),FALSE)</f>
        <v>0</v>
      </c>
      <c r="E1929" s="35" t="str">
        <f>IFERROR(__xludf.DUMMYFUNCTION("""COMPUTED_VALUE"""),"Hard")</f>
        <v>Hard</v>
      </c>
      <c r="F1929" s="35">
        <f>IFERROR(__xludf.DUMMYFUNCTION("""COMPUTED_VALUE"""),407.0)</f>
        <v>407</v>
      </c>
      <c r="G1929" s="35">
        <f>IFERROR(__xludf.DUMMYFUNCTION("""COMPUTED_VALUE"""),6.0)</f>
        <v>6</v>
      </c>
      <c r="H1929" s="35" t="str">
        <f>IFERROR(__xludf.DUMMYFUNCTION("""COMPUTED_VALUE"""),"Algorithms")</f>
        <v>Algorithms</v>
      </c>
      <c r="I1929" s="35">
        <f>IFERROR(__xludf.DUMMYFUNCTION("""COMPUTED_VALUE"""),0.371)</f>
        <v>0.371</v>
      </c>
      <c r="J1929" s="35">
        <f>IFERROR(__xludf.DUMMYFUNCTION("""COMPUTED_VALUE"""),1928.0)</f>
        <v>1928</v>
      </c>
      <c r="K1929" s="35" t="b">
        <f>IFERROR(__xludf.DUMMYFUNCTION("""COMPUTED_VALUE"""),FALSE)</f>
        <v>0</v>
      </c>
      <c r="L1929" s="35" t="str">
        <f>IFERROR(__xludf.DUMMYFUNCTION("""COMPUTED_VALUE"""),"Dynamic Programming;Graph;")</f>
        <v>Dynamic Programming;Graph;</v>
      </c>
      <c r="M1929" s="35" t="b">
        <f>IFERROR(__xludf.DUMMYFUNCTION("""COMPUTED_VALUE"""),FALSE)</f>
        <v>0</v>
      </c>
      <c r="N1929" s="35" t="b">
        <f>IFERROR(__xludf.DUMMYFUNCTION("""COMPUTED_VALUE"""),FALSE)</f>
        <v>0</v>
      </c>
      <c r="O1929" s="35">
        <f>IFERROR(__xludf.DUMMYFUNCTION("""COMPUTED_VALUE"""),37.1382701184025)</f>
        <v>37.13827012</v>
      </c>
      <c r="P1929" s="35">
        <f>IFERROR(__xludf.DUMMYFUNCTION("""COMPUTED_VALUE"""),9253.0)</f>
        <v>9253</v>
      </c>
      <c r="Q1929" s="35">
        <f>IFERROR(__xludf.DUMMYFUNCTION("""COMPUTED_VALUE"""),24915.0)</f>
        <v>24915</v>
      </c>
    </row>
    <row r="1930">
      <c r="A1930" s="35">
        <f>IFERROR(__xludf.DUMMYFUNCTION("""COMPUTED_VALUE"""),2058.0)</f>
        <v>2058</v>
      </c>
      <c r="B1930" s="35" t="str">
        <f>IFERROR(__xludf.DUMMYFUNCTION("""COMPUTED_VALUE"""),"Concatenation of Array")</f>
        <v>Concatenation of Array</v>
      </c>
      <c r="C1930" s="35" t="str">
        <f>IFERROR(__xludf.DUMMYFUNCTION("""COMPUTED_VALUE"""),"concatenation-of-array")</f>
        <v>concatenation-of-array</v>
      </c>
      <c r="D1930" s="35" t="b">
        <f>IFERROR(__xludf.DUMMYFUNCTION("""COMPUTED_VALUE"""),FALSE)</f>
        <v>0</v>
      </c>
      <c r="E1930" s="35" t="str">
        <f>IFERROR(__xludf.DUMMYFUNCTION("""COMPUTED_VALUE"""),"Easy")</f>
        <v>Easy</v>
      </c>
      <c r="F1930" s="35">
        <f>IFERROR(__xludf.DUMMYFUNCTION("""COMPUTED_VALUE"""),825.0)</f>
        <v>825</v>
      </c>
      <c r="G1930" s="35">
        <f>IFERROR(__xludf.DUMMYFUNCTION("""COMPUTED_VALUE"""),168.0)</f>
        <v>168</v>
      </c>
      <c r="H1930" s="35" t="str">
        <f>IFERROR(__xludf.DUMMYFUNCTION("""COMPUTED_VALUE"""),"Algorithms")</f>
        <v>Algorithms</v>
      </c>
      <c r="I1930" s="35">
        <f>IFERROR(__xludf.DUMMYFUNCTION("""COMPUTED_VALUE"""),0.917)</f>
        <v>0.917</v>
      </c>
      <c r="J1930" s="35">
        <f>IFERROR(__xludf.DUMMYFUNCTION("""COMPUTED_VALUE"""),1929.0)</f>
        <v>1929</v>
      </c>
      <c r="K1930" s="35" t="b">
        <f>IFERROR(__xludf.DUMMYFUNCTION("""COMPUTED_VALUE"""),FALSE)</f>
        <v>0</v>
      </c>
      <c r="L1930" s="35" t="str">
        <f>IFERROR(__xludf.DUMMYFUNCTION("""COMPUTED_VALUE"""),"Array;")</f>
        <v>Array;</v>
      </c>
      <c r="M1930" s="35" t="b">
        <f>IFERROR(__xludf.DUMMYFUNCTION("""COMPUTED_VALUE"""),FALSE)</f>
        <v>0</v>
      </c>
      <c r="N1930" s="35" t="b">
        <f>IFERROR(__xludf.DUMMYFUNCTION("""COMPUTED_VALUE"""),FALSE)</f>
        <v>0</v>
      </c>
      <c r="O1930" s="35">
        <f>IFERROR(__xludf.DUMMYFUNCTION("""COMPUTED_VALUE"""),91.7116302375176)</f>
        <v>91.71163024</v>
      </c>
      <c r="P1930" s="35">
        <f>IFERROR(__xludf.DUMMYFUNCTION("""COMPUTED_VALUE"""),150078.0)</f>
        <v>150078</v>
      </c>
      <c r="Q1930" s="35">
        <f>IFERROR(__xludf.DUMMYFUNCTION("""COMPUTED_VALUE"""),163642.0)</f>
        <v>163642</v>
      </c>
    </row>
    <row r="1931">
      <c r="A1931" s="35">
        <f>IFERROR(__xludf.DUMMYFUNCTION("""COMPUTED_VALUE"""),2059.0)</f>
        <v>2059</v>
      </c>
      <c r="B1931" s="35" t="str">
        <f>IFERROR(__xludf.DUMMYFUNCTION("""COMPUTED_VALUE"""),"Unique Length-3 Palindromic Subsequences")</f>
        <v>Unique Length-3 Palindromic Subsequences</v>
      </c>
      <c r="C1931" s="35" t="str">
        <f>IFERROR(__xludf.DUMMYFUNCTION("""COMPUTED_VALUE"""),"unique-length-3-palindromic-subsequences")</f>
        <v>unique-length-3-palindromic-subsequences</v>
      </c>
      <c r="D1931" s="35" t="b">
        <f>IFERROR(__xludf.DUMMYFUNCTION("""COMPUTED_VALUE"""),FALSE)</f>
        <v>0</v>
      </c>
      <c r="E1931" s="35" t="str">
        <f>IFERROR(__xludf.DUMMYFUNCTION("""COMPUTED_VALUE"""),"Medium")</f>
        <v>Medium</v>
      </c>
      <c r="F1931" s="35">
        <f>IFERROR(__xludf.DUMMYFUNCTION("""COMPUTED_VALUE"""),400.0)</f>
        <v>400</v>
      </c>
      <c r="G1931" s="35">
        <f>IFERROR(__xludf.DUMMYFUNCTION("""COMPUTED_VALUE"""),11.0)</f>
        <v>11</v>
      </c>
      <c r="H1931" s="35" t="str">
        <f>IFERROR(__xludf.DUMMYFUNCTION("""COMPUTED_VALUE"""),"Algorithms")</f>
        <v>Algorithms</v>
      </c>
      <c r="I1931" s="35">
        <f>IFERROR(__xludf.DUMMYFUNCTION("""COMPUTED_VALUE"""),0.509)</f>
        <v>0.509</v>
      </c>
      <c r="J1931" s="35">
        <f>IFERROR(__xludf.DUMMYFUNCTION("""COMPUTED_VALUE"""),1930.0)</f>
        <v>1930</v>
      </c>
      <c r="K1931" s="35" t="b">
        <f>IFERROR(__xludf.DUMMYFUNCTION("""COMPUTED_VALUE"""),FALSE)</f>
        <v>0</v>
      </c>
      <c r="L1931" s="35" t="str">
        <f>IFERROR(__xludf.DUMMYFUNCTION("""COMPUTED_VALUE"""),"Hash Table;String;Prefix Sum;")</f>
        <v>Hash Table;String;Prefix Sum;</v>
      </c>
      <c r="M1931" s="35" t="b">
        <f>IFERROR(__xludf.DUMMYFUNCTION("""COMPUTED_VALUE"""),FALSE)</f>
        <v>0</v>
      </c>
      <c r="N1931" s="35" t="b">
        <f>IFERROR(__xludf.DUMMYFUNCTION("""COMPUTED_VALUE"""),FALSE)</f>
        <v>0</v>
      </c>
      <c r="O1931" s="35">
        <f>IFERROR(__xludf.DUMMYFUNCTION("""COMPUTED_VALUE"""),50.8614056802595)</f>
        <v>50.86140568</v>
      </c>
      <c r="P1931" s="35">
        <f>IFERROR(__xludf.DUMMYFUNCTION("""COMPUTED_VALUE"""),15204.0)</f>
        <v>15204</v>
      </c>
      <c r="Q1931" s="35">
        <f>IFERROR(__xludf.DUMMYFUNCTION("""COMPUTED_VALUE"""),29893.0)</f>
        <v>29893</v>
      </c>
    </row>
    <row r="1932">
      <c r="A1932" s="35">
        <f>IFERROR(__xludf.DUMMYFUNCTION("""COMPUTED_VALUE"""),2061.0)</f>
        <v>2061</v>
      </c>
      <c r="B1932" s="35" t="str">
        <f>IFERROR(__xludf.DUMMYFUNCTION("""COMPUTED_VALUE"""),"Painting a Grid With Three Different Colors")</f>
        <v>Painting a Grid With Three Different Colors</v>
      </c>
      <c r="C1932" s="35" t="str">
        <f>IFERROR(__xludf.DUMMYFUNCTION("""COMPUTED_VALUE"""),"painting-a-grid-with-three-different-colors")</f>
        <v>painting-a-grid-with-three-different-colors</v>
      </c>
      <c r="D1932" s="35" t="b">
        <f>IFERROR(__xludf.DUMMYFUNCTION("""COMPUTED_VALUE"""),FALSE)</f>
        <v>0</v>
      </c>
      <c r="E1932" s="35" t="str">
        <f>IFERROR(__xludf.DUMMYFUNCTION("""COMPUTED_VALUE"""),"Hard")</f>
        <v>Hard</v>
      </c>
      <c r="F1932" s="35">
        <f>IFERROR(__xludf.DUMMYFUNCTION("""COMPUTED_VALUE"""),280.0)</f>
        <v>280</v>
      </c>
      <c r="G1932" s="35">
        <f>IFERROR(__xludf.DUMMYFUNCTION("""COMPUTED_VALUE"""),13.0)</f>
        <v>13</v>
      </c>
      <c r="H1932" s="35" t="str">
        <f>IFERROR(__xludf.DUMMYFUNCTION("""COMPUTED_VALUE"""),"Algorithms")</f>
        <v>Algorithms</v>
      </c>
      <c r="I1932" s="35">
        <f>IFERROR(__xludf.DUMMYFUNCTION("""COMPUTED_VALUE"""),0.567)</f>
        <v>0.567</v>
      </c>
      <c r="J1932" s="35">
        <f>IFERROR(__xludf.DUMMYFUNCTION("""COMPUTED_VALUE"""),1931.0)</f>
        <v>1931</v>
      </c>
      <c r="K1932" s="35" t="b">
        <f>IFERROR(__xludf.DUMMYFUNCTION("""COMPUTED_VALUE"""),FALSE)</f>
        <v>0</v>
      </c>
      <c r="L1932" s="35" t="str">
        <f>IFERROR(__xludf.DUMMYFUNCTION("""COMPUTED_VALUE"""),"Dynamic Programming;")</f>
        <v>Dynamic Programming;</v>
      </c>
      <c r="M1932" s="35" t="b">
        <f>IFERROR(__xludf.DUMMYFUNCTION("""COMPUTED_VALUE"""),FALSE)</f>
        <v>0</v>
      </c>
      <c r="N1932" s="35" t="b">
        <f>IFERROR(__xludf.DUMMYFUNCTION("""COMPUTED_VALUE"""),FALSE)</f>
        <v>0</v>
      </c>
      <c r="O1932" s="35">
        <f>IFERROR(__xludf.DUMMYFUNCTION("""COMPUTED_VALUE"""),56.697229419972)</f>
        <v>56.69722942</v>
      </c>
      <c r="P1932" s="35">
        <f>IFERROR(__xludf.DUMMYFUNCTION("""COMPUTED_VALUE"""),5689.0)</f>
        <v>5689</v>
      </c>
      <c r="Q1932" s="35">
        <f>IFERROR(__xludf.DUMMYFUNCTION("""COMPUTED_VALUE"""),10034.0)</f>
        <v>10034</v>
      </c>
    </row>
    <row r="1933">
      <c r="A1933" s="35">
        <f>IFERROR(__xludf.DUMMYFUNCTION("""COMPUTED_VALUE"""),2060.0)</f>
        <v>2060</v>
      </c>
      <c r="B1933" s="35" t="str">
        <f>IFERROR(__xludf.DUMMYFUNCTION("""COMPUTED_VALUE"""),"Merge BSTs to Create Single BST")</f>
        <v>Merge BSTs to Create Single BST</v>
      </c>
      <c r="C1933" s="35" t="str">
        <f>IFERROR(__xludf.DUMMYFUNCTION("""COMPUTED_VALUE"""),"merge-bsts-to-create-single-bst")</f>
        <v>merge-bsts-to-create-single-bst</v>
      </c>
      <c r="D1933" s="35" t="b">
        <f>IFERROR(__xludf.DUMMYFUNCTION("""COMPUTED_VALUE"""),FALSE)</f>
        <v>0</v>
      </c>
      <c r="E1933" s="35" t="str">
        <f>IFERROR(__xludf.DUMMYFUNCTION("""COMPUTED_VALUE"""),"Hard")</f>
        <v>Hard</v>
      </c>
      <c r="F1933" s="35">
        <f>IFERROR(__xludf.DUMMYFUNCTION("""COMPUTED_VALUE"""),212.0)</f>
        <v>212</v>
      </c>
      <c r="G1933" s="35">
        <f>IFERROR(__xludf.DUMMYFUNCTION("""COMPUTED_VALUE"""),22.0)</f>
        <v>22</v>
      </c>
      <c r="H1933" s="35" t="str">
        <f>IFERROR(__xludf.DUMMYFUNCTION("""COMPUTED_VALUE"""),"Algorithms")</f>
        <v>Algorithms</v>
      </c>
      <c r="I1933" s="35">
        <f>IFERROR(__xludf.DUMMYFUNCTION("""COMPUTED_VALUE"""),0.35)</f>
        <v>0.35</v>
      </c>
      <c r="J1933" s="35">
        <f>IFERROR(__xludf.DUMMYFUNCTION("""COMPUTED_VALUE"""),1932.0)</f>
        <v>1932</v>
      </c>
      <c r="K1933" s="35" t="b">
        <f>IFERROR(__xludf.DUMMYFUNCTION("""COMPUTED_VALUE"""),FALSE)</f>
        <v>0</v>
      </c>
      <c r="L1933" s="35" t="str">
        <f>IFERROR(__xludf.DUMMYFUNCTION("""COMPUTED_VALUE"""),"Hash Table;Binary Search;Tree;Depth-First Search;Binary Tree;")</f>
        <v>Hash Table;Binary Search;Tree;Depth-First Search;Binary Tree;</v>
      </c>
      <c r="M1933" s="35" t="b">
        <f>IFERROR(__xludf.DUMMYFUNCTION("""COMPUTED_VALUE"""),FALSE)</f>
        <v>0</v>
      </c>
      <c r="N1933" s="35" t="b">
        <f>IFERROR(__xludf.DUMMYFUNCTION("""COMPUTED_VALUE"""),FALSE)</f>
        <v>0</v>
      </c>
      <c r="O1933" s="35">
        <f>IFERROR(__xludf.DUMMYFUNCTION("""COMPUTED_VALUE"""),34.9520488230165)</f>
        <v>34.95204882</v>
      </c>
      <c r="P1933" s="35">
        <f>IFERROR(__xludf.DUMMYFUNCTION("""COMPUTED_VALUE"""),4009.0)</f>
        <v>4009</v>
      </c>
      <c r="Q1933" s="35">
        <f>IFERROR(__xludf.DUMMYFUNCTION("""COMPUTED_VALUE"""),11470.0)</f>
        <v>11470</v>
      </c>
    </row>
    <row r="1934">
      <c r="A1934" s="35">
        <f>IFERROR(__xludf.DUMMYFUNCTION("""COMPUTED_VALUE"""),2070.0)</f>
        <v>2070</v>
      </c>
      <c r="B1934" s="35" t="str">
        <f>IFERROR(__xludf.DUMMYFUNCTION("""COMPUTED_VALUE"""),"Check if String Is Decomposable Into Value-Equal Substrings")</f>
        <v>Check if String Is Decomposable Into Value-Equal Substrings</v>
      </c>
      <c r="C1934" s="35" t="str">
        <f>IFERROR(__xludf.DUMMYFUNCTION("""COMPUTED_VALUE"""),"check-if-string-is-decomposable-into-value-equal-substrings")</f>
        <v>check-if-string-is-decomposable-into-value-equal-substrings</v>
      </c>
      <c r="D1934" s="35" t="b">
        <f>IFERROR(__xludf.DUMMYFUNCTION("""COMPUTED_VALUE"""),TRUE)</f>
        <v>1</v>
      </c>
      <c r="E1934" s="35" t="str">
        <f>IFERROR(__xludf.DUMMYFUNCTION("""COMPUTED_VALUE"""),"Easy")</f>
        <v>Easy</v>
      </c>
      <c r="F1934" s="35">
        <f>IFERROR(__xludf.DUMMYFUNCTION("""COMPUTED_VALUE"""),31.0)</f>
        <v>31</v>
      </c>
      <c r="G1934" s="35">
        <f>IFERROR(__xludf.DUMMYFUNCTION("""COMPUTED_VALUE"""),6.0)</f>
        <v>6</v>
      </c>
      <c r="H1934" s="35" t="str">
        <f>IFERROR(__xludf.DUMMYFUNCTION("""COMPUTED_VALUE"""),"Algorithms")</f>
        <v>Algorithms</v>
      </c>
      <c r="I1934" s="35">
        <f>IFERROR(__xludf.DUMMYFUNCTION("""COMPUTED_VALUE"""),0.516)</f>
        <v>0.516</v>
      </c>
      <c r="J1934" s="35">
        <f>IFERROR(__xludf.DUMMYFUNCTION("""COMPUTED_VALUE"""),1933.0)</f>
        <v>1933</v>
      </c>
      <c r="K1934" s="35" t="b">
        <f>IFERROR(__xludf.DUMMYFUNCTION("""COMPUTED_VALUE"""),TRUE)</f>
        <v>1</v>
      </c>
      <c r="L1934" s="35" t="str">
        <f>IFERROR(__xludf.DUMMYFUNCTION("""COMPUTED_VALUE"""),"String;")</f>
        <v>String;</v>
      </c>
      <c r="M1934" s="35" t="b">
        <f>IFERROR(__xludf.DUMMYFUNCTION("""COMPUTED_VALUE"""),FALSE)</f>
        <v>0</v>
      </c>
      <c r="N1934" s="35" t="b">
        <f>IFERROR(__xludf.DUMMYFUNCTION("""COMPUTED_VALUE"""),FALSE)</f>
        <v>0</v>
      </c>
      <c r="O1934" s="35">
        <f>IFERROR(__xludf.DUMMYFUNCTION("""COMPUTED_VALUE"""),51.6348773841961)</f>
        <v>51.63487738</v>
      </c>
      <c r="P1934" s="35">
        <f>IFERROR(__xludf.DUMMYFUNCTION("""COMPUTED_VALUE"""),1895.0)</f>
        <v>1895</v>
      </c>
      <c r="Q1934" s="35">
        <f>IFERROR(__xludf.DUMMYFUNCTION("""COMPUTED_VALUE"""),3670.0)</f>
        <v>3670</v>
      </c>
    </row>
    <row r="1935">
      <c r="A1935" s="35">
        <f>IFERROR(__xludf.DUMMYFUNCTION("""COMPUTED_VALUE"""),2087.0)</f>
        <v>2087</v>
      </c>
      <c r="B1935" s="35" t="str">
        <f>IFERROR(__xludf.DUMMYFUNCTION("""COMPUTED_VALUE"""),"Confirmation Rate")</f>
        <v>Confirmation Rate</v>
      </c>
      <c r="C1935" s="35" t="str">
        <f>IFERROR(__xludf.DUMMYFUNCTION("""COMPUTED_VALUE"""),"confirmation-rate")</f>
        <v>confirmation-rate</v>
      </c>
      <c r="D1935" s="35" t="b">
        <f>IFERROR(__xludf.DUMMYFUNCTION("""COMPUTED_VALUE"""),TRUE)</f>
        <v>1</v>
      </c>
      <c r="E1935" s="35" t="str">
        <f>IFERROR(__xludf.DUMMYFUNCTION("""COMPUTED_VALUE"""),"Medium")</f>
        <v>Medium</v>
      </c>
      <c r="F1935" s="35">
        <f>IFERROR(__xludf.DUMMYFUNCTION("""COMPUTED_VALUE"""),28.0)</f>
        <v>28</v>
      </c>
      <c r="G1935" s="35">
        <f>IFERROR(__xludf.DUMMYFUNCTION("""COMPUTED_VALUE"""),9.0)</f>
        <v>9</v>
      </c>
      <c r="H1935" s="35" t="str">
        <f>IFERROR(__xludf.DUMMYFUNCTION("""COMPUTED_VALUE"""),"Database")</f>
        <v>Database</v>
      </c>
      <c r="I1935" s="35">
        <f>IFERROR(__xludf.DUMMYFUNCTION("""COMPUTED_VALUE"""),0.773)</f>
        <v>0.773</v>
      </c>
      <c r="J1935" s="35">
        <f>IFERROR(__xludf.DUMMYFUNCTION("""COMPUTED_VALUE"""),1934.0)</f>
        <v>1934</v>
      </c>
      <c r="K1935" s="35" t="b">
        <f>IFERROR(__xludf.DUMMYFUNCTION("""COMPUTED_VALUE"""),TRUE)</f>
        <v>1</v>
      </c>
      <c r="L1935" s="35" t="str">
        <f>IFERROR(__xludf.DUMMYFUNCTION("""COMPUTED_VALUE"""),"Database;")</f>
        <v>Database;</v>
      </c>
      <c r="M1935" s="35" t="b">
        <f>IFERROR(__xludf.DUMMYFUNCTION("""COMPUTED_VALUE"""),FALSE)</f>
        <v>0</v>
      </c>
      <c r="N1935" s="35" t="b">
        <f>IFERROR(__xludf.DUMMYFUNCTION("""COMPUTED_VALUE"""),FALSE)</f>
        <v>0</v>
      </c>
      <c r="O1935" s="35">
        <f>IFERROR(__xludf.DUMMYFUNCTION("""COMPUTED_VALUE"""),77.347659699735)</f>
        <v>77.3476597</v>
      </c>
      <c r="P1935" s="35">
        <f>IFERROR(__xludf.DUMMYFUNCTION("""COMPUTED_VALUE"""),5255.0)</f>
        <v>5255</v>
      </c>
      <c r="Q1935" s="35">
        <f>IFERROR(__xludf.DUMMYFUNCTION("""COMPUTED_VALUE"""),6794.0)</f>
        <v>6794</v>
      </c>
    </row>
    <row r="1936">
      <c r="A1936" s="35">
        <f>IFERROR(__xludf.DUMMYFUNCTION("""COMPUTED_VALUE"""),1264.0)</f>
        <v>1264</v>
      </c>
      <c r="B1936" s="35" t="str">
        <f>IFERROR(__xludf.DUMMYFUNCTION("""COMPUTED_VALUE"""),"Maximum Number of Words You Can Type")</f>
        <v>Maximum Number of Words You Can Type</v>
      </c>
      <c r="C1936" s="35" t="str">
        <f>IFERROR(__xludf.DUMMYFUNCTION("""COMPUTED_VALUE"""),"maximum-number-of-words-you-can-type")</f>
        <v>maximum-number-of-words-you-can-type</v>
      </c>
      <c r="D1936" s="35" t="b">
        <f>IFERROR(__xludf.DUMMYFUNCTION("""COMPUTED_VALUE"""),FALSE)</f>
        <v>0</v>
      </c>
      <c r="E1936" s="35" t="str">
        <f>IFERROR(__xludf.DUMMYFUNCTION("""COMPUTED_VALUE"""),"Easy")</f>
        <v>Easy</v>
      </c>
      <c r="F1936" s="35">
        <f>IFERROR(__xludf.DUMMYFUNCTION("""COMPUTED_VALUE"""),253.0)</f>
        <v>253</v>
      </c>
      <c r="G1936" s="35">
        <f>IFERROR(__xludf.DUMMYFUNCTION("""COMPUTED_VALUE"""),11.0)</f>
        <v>11</v>
      </c>
      <c r="H1936" s="35" t="str">
        <f>IFERROR(__xludf.DUMMYFUNCTION("""COMPUTED_VALUE"""),"Algorithms")</f>
        <v>Algorithms</v>
      </c>
      <c r="I1936" s="35">
        <f>IFERROR(__xludf.DUMMYFUNCTION("""COMPUTED_VALUE"""),0.716)</f>
        <v>0.716</v>
      </c>
      <c r="J1936" s="35">
        <f>IFERROR(__xludf.DUMMYFUNCTION("""COMPUTED_VALUE"""),1935.0)</f>
        <v>1935</v>
      </c>
      <c r="K1936" s="35" t="b">
        <f>IFERROR(__xludf.DUMMYFUNCTION("""COMPUTED_VALUE"""),FALSE)</f>
        <v>0</v>
      </c>
      <c r="L1936" s="35" t="str">
        <f>IFERROR(__xludf.DUMMYFUNCTION("""COMPUTED_VALUE"""),"Hash Table;String;")</f>
        <v>Hash Table;String;</v>
      </c>
      <c r="M1936" s="35" t="b">
        <f>IFERROR(__xludf.DUMMYFUNCTION("""COMPUTED_VALUE"""),FALSE)</f>
        <v>0</v>
      </c>
      <c r="N1936" s="35" t="b">
        <f>IFERROR(__xludf.DUMMYFUNCTION("""COMPUTED_VALUE"""),FALSE)</f>
        <v>0</v>
      </c>
      <c r="O1936" s="35">
        <f>IFERROR(__xludf.DUMMYFUNCTION("""COMPUTED_VALUE"""),71.6091679281863)</f>
        <v>71.60916793</v>
      </c>
      <c r="P1936" s="35">
        <f>IFERROR(__xludf.DUMMYFUNCTION("""COMPUTED_VALUE"""),26963.0)</f>
        <v>26963</v>
      </c>
      <c r="Q1936" s="35">
        <f>IFERROR(__xludf.DUMMYFUNCTION("""COMPUTED_VALUE"""),37653.0)</f>
        <v>37653</v>
      </c>
    </row>
    <row r="1937">
      <c r="A1937" s="35">
        <f>IFERROR(__xludf.DUMMYFUNCTION("""COMPUTED_VALUE"""),2066.0)</f>
        <v>2066</v>
      </c>
      <c r="B1937" s="35" t="str">
        <f>IFERROR(__xludf.DUMMYFUNCTION("""COMPUTED_VALUE"""),"Add Minimum Number of Rungs")</f>
        <v>Add Minimum Number of Rungs</v>
      </c>
      <c r="C1937" s="35" t="str">
        <f>IFERROR(__xludf.DUMMYFUNCTION("""COMPUTED_VALUE"""),"add-minimum-number-of-rungs")</f>
        <v>add-minimum-number-of-rungs</v>
      </c>
      <c r="D1937" s="35" t="b">
        <f>IFERROR(__xludf.DUMMYFUNCTION("""COMPUTED_VALUE"""),FALSE)</f>
        <v>0</v>
      </c>
      <c r="E1937" s="35" t="str">
        <f>IFERROR(__xludf.DUMMYFUNCTION("""COMPUTED_VALUE"""),"Medium")</f>
        <v>Medium</v>
      </c>
      <c r="F1937" s="35">
        <f>IFERROR(__xludf.DUMMYFUNCTION("""COMPUTED_VALUE"""),212.0)</f>
        <v>212</v>
      </c>
      <c r="G1937" s="35">
        <f>IFERROR(__xludf.DUMMYFUNCTION("""COMPUTED_VALUE"""),17.0)</f>
        <v>17</v>
      </c>
      <c r="H1937" s="35" t="str">
        <f>IFERROR(__xludf.DUMMYFUNCTION("""COMPUTED_VALUE"""),"Algorithms")</f>
        <v>Algorithms</v>
      </c>
      <c r="I1937" s="35">
        <f>IFERROR(__xludf.DUMMYFUNCTION("""COMPUTED_VALUE"""),0.422)</f>
        <v>0.422</v>
      </c>
      <c r="J1937" s="35">
        <f>IFERROR(__xludf.DUMMYFUNCTION("""COMPUTED_VALUE"""),1936.0)</f>
        <v>1936</v>
      </c>
      <c r="K1937" s="35" t="b">
        <f>IFERROR(__xludf.DUMMYFUNCTION("""COMPUTED_VALUE"""),FALSE)</f>
        <v>0</v>
      </c>
      <c r="L1937" s="35" t="str">
        <f>IFERROR(__xludf.DUMMYFUNCTION("""COMPUTED_VALUE"""),"Array;Greedy;")</f>
        <v>Array;Greedy;</v>
      </c>
      <c r="M1937" s="35" t="b">
        <f>IFERROR(__xludf.DUMMYFUNCTION("""COMPUTED_VALUE"""),FALSE)</f>
        <v>0</v>
      </c>
      <c r="N1937" s="35" t="b">
        <f>IFERROR(__xludf.DUMMYFUNCTION("""COMPUTED_VALUE"""),FALSE)</f>
        <v>0</v>
      </c>
      <c r="O1937" s="35">
        <f>IFERROR(__xludf.DUMMYFUNCTION("""COMPUTED_VALUE"""),42.2405855270924)</f>
        <v>42.24058553</v>
      </c>
      <c r="P1937" s="35">
        <f>IFERROR(__xludf.DUMMYFUNCTION("""COMPUTED_VALUE"""),17891.0)</f>
        <v>17891</v>
      </c>
      <c r="Q1937" s="35">
        <f>IFERROR(__xludf.DUMMYFUNCTION("""COMPUTED_VALUE"""),42355.0)</f>
        <v>42355</v>
      </c>
    </row>
    <row r="1938">
      <c r="A1938" s="35">
        <f>IFERROR(__xludf.DUMMYFUNCTION("""COMPUTED_VALUE"""),2067.0)</f>
        <v>2067</v>
      </c>
      <c r="B1938" s="35" t="str">
        <f>IFERROR(__xludf.DUMMYFUNCTION("""COMPUTED_VALUE"""),"Maximum Number of Points with Cost")</f>
        <v>Maximum Number of Points with Cost</v>
      </c>
      <c r="C1938" s="35" t="str">
        <f>IFERROR(__xludf.DUMMYFUNCTION("""COMPUTED_VALUE"""),"maximum-number-of-points-with-cost")</f>
        <v>maximum-number-of-points-with-cost</v>
      </c>
      <c r="D1938" s="35" t="b">
        <f>IFERROR(__xludf.DUMMYFUNCTION("""COMPUTED_VALUE"""),FALSE)</f>
        <v>0</v>
      </c>
      <c r="E1938" s="35" t="str">
        <f>IFERROR(__xludf.DUMMYFUNCTION("""COMPUTED_VALUE"""),"Medium")</f>
        <v>Medium</v>
      </c>
      <c r="F1938" s="35">
        <f>IFERROR(__xludf.DUMMYFUNCTION("""COMPUTED_VALUE"""),1274.0)</f>
        <v>1274</v>
      </c>
      <c r="G1938" s="35">
        <f>IFERROR(__xludf.DUMMYFUNCTION("""COMPUTED_VALUE"""),67.0)</f>
        <v>67</v>
      </c>
      <c r="H1938" s="35" t="str">
        <f>IFERROR(__xludf.DUMMYFUNCTION("""COMPUTED_VALUE"""),"Algorithms")</f>
        <v>Algorithms</v>
      </c>
      <c r="I1938" s="35">
        <f>IFERROR(__xludf.DUMMYFUNCTION("""COMPUTED_VALUE"""),0.35)</f>
        <v>0.35</v>
      </c>
      <c r="J1938" s="35">
        <f>IFERROR(__xludf.DUMMYFUNCTION("""COMPUTED_VALUE"""),1937.0)</f>
        <v>1937</v>
      </c>
      <c r="K1938" s="35" t="b">
        <f>IFERROR(__xludf.DUMMYFUNCTION("""COMPUTED_VALUE"""),FALSE)</f>
        <v>0</v>
      </c>
      <c r="L1938" s="35" t="str">
        <f>IFERROR(__xludf.DUMMYFUNCTION("""COMPUTED_VALUE"""),"Array;Dynamic Programming;")</f>
        <v>Array;Dynamic Programming;</v>
      </c>
      <c r="M1938" s="35" t="b">
        <f>IFERROR(__xludf.DUMMYFUNCTION("""COMPUTED_VALUE"""),FALSE)</f>
        <v>0</v>
      </c>
      <c r="N1938" s="35" t="b">
        <f>IFERROR(__xludf.DUMMYFUNCTION("""COMPUTED_VALUE"""),FALSE)</f>
        <v>0</v>
      </c>
      <c r="O1938" s="35">
        <f>IFERROR(__xludf.DUMMYFUNCTION("""COMPUTED_VALUE"""),34.9626982561579)</f>
        <v>34.96269826</v>
      </c>
      <c r="P1938" s="35">
        <f>IFERROR(__xludf.DUMMYFUNCTION("""COMPUTED_VALUE"""),30131.0)</f>
        <v>30131</v>
      </c>
      <c r="Q1938" s="35">
        <f>IFERROR(__xludf.DUMMYFUNCTION("""COMPUTED_VALUE"""),86183.0)</f>
        <v>86183</v>
      </c>
    </row>
    <row r="1939">
      <c r="A1939" s="35">
        <f>IFERROR(__xludf.DUMMYFUNCTION("""COMPUTED_VALUE"""),2068.0)</f>
        <v>2068</v>
      </c>
      <c r="B1939" s="35" t="str">
        <f>IFERROR(__xludf.DUMMYFUNCTION("""COMPUTED_VALUE"""),"Maximum Genetic Difference Query")</f>
        <v>Maximum Genetic Difference Query</v>
      </c>
      <c r="C1939" s="35" t="str">
        <f>IFERROR(__xludf.DUMMYFUNCTION("""COMPUTED_VALUE"""),"maximum-genetic-difference-query")</f>
        <v>maximum-genetic-difference-query</v>
      </c>
      <c r="D1939" s="35" t="b">
        <f>IFERROR(__xludf.DUMMYFUNCTION("""COMPUTED_VALUE"""),FALSE)</f>
        <v>0</v>
      </c>
      <c r="E1939" s="35" t="str">
        <f>IFERROR(__xludf.DUMMYFUNCTION("""COMPUTED_VALUE"""),"Hard")</f>
        <v>Hard</v>
      </c>
      <c r="F1939" s="35">
        <f>IFERROR(__xludf.DUMMYFUNCTION("""COMPUTED_VALUE"""),213.0)</f>
        <v>213</v>
      </c>
      <c r="G1939" s="35">
        <f>IFERROR(__xludf.DUMMYFUNCTION("""COMPUTED_VALUE"""),10.0)</f>
        <v>10</v>
      </c>
      <c r="H1939" s="35" t="str">
        <f>IFERROR(__xludf.DUMMYFUNCTION("""COMPUTED_VALUE"""),"Algorithms")</f>
        <v>Algorithms</v>
      </c>
      <c r="I1939" s="35">
        <f>IFERROR(__xludf.DUMMYFUNCTION("""COMPUTED_VALUE"""),0.392)</f>
        <v>0.392</v>
      </c>
      <c r="J1939" s="35">
        <f>IFERROR(__xludf.DUMMYFUNCTION("""COMPUTED_VALUE"""),1938.0)</f>
        <v>1938</v>
      </c>
      <c r="K1939" s="35" t="b">
        <f>IFERROR(__xludf.DUMMYFUNCTION("""COMPUTED_VALUE"""),FALSE)</f>
        <v>0</v>
      </c>
      <c r="L1939" s="35" t="str">
        <f>IFERROR(__xludf.DUMMYFUNCTION("""COMPUTED_VALUE"""),"Array;Bit Manipulation;Trie;")</f>
        <v>Array;Bit Manipulation;Trie;</v>
      </c>
      <c r="M1939" s="35" t="b">
        <f>IFERROR(__xludf.DUMMYFUNCTION("""COMPUTED_VALUE"""),FALSE)</f>
        <v>0</v>
      </c>
      <c r="N1939" s="35" t="b">
        <f>IFERROR(__xludf.DUMMYFUNCTION("""COMPUTED_VALUE"""),FALSE)</f>
        <v>0</v>
      </c>
      <c r="O1939" s="35">
        <f>IFERROR(__xludf.DUMMYFUNCTION("""COMPUTED_VALUE"""),39.2494426554372)</f>
        <v>39.24944266</v>
      </c>
      <c r="P1939" s="35">
        <f>IFERROR(__xludf.DUMMYFUNCTION("""COMPUTED_VALUE"""),3169.0)</f>
        <v>3169</v>
      </c>
      <c r="Q1939" s="35">
        <f>IFERROR(__xludf.DUMMYFUNCTION("""COMPUTED_VALUE"""),8074.0)</f>
        <v>8074</v>
      </c>
    </row>
    <row r="1940">
      <c r="A1940" s="35">
        <f>IFERROR(__xludf.DUMMYFUNCTION("""COMPUTED_VALUE"""),2092.0)</f>
        <v>2092</v>
      </c>
      <c r="B1940" s="35" t="str">
        <f>IFERROR(__xludf.DUMMYFUNCTION("""COMPUTED_VALUE"""),"Users That Actively Request Confirmation Messages")</f>
        <v>Users That Actively Request Confirmation Messages</v>
      </c>
      <c r="C1940" s="35" t="str">
        <f>IFERROR(__xludf.DUMMYFUNCTION("""COMPUTED_VALUE"""),"users-that-actively-request-confirmation-messages")</f>
        <v>users-that-actively-request-confirmation-messages</v>
      </c>
      <c r="D1940" s="35" t="b">
        <f>IFERROR(__xludf.DUMMYFUNCTION("""COMPUTED_VALUE"""),TRUE)</f>
        <v>1</v>
      </c>
      <c r="E1940" s="35" t="str">
        <f>IFERROR(__xludf.DUMMYFUNCTION("""COMPUTED_VALUE"""),"Easy")</f>
        <v>Easy</v>
      </c>
      <c r="F1940" s="35">
        <f>IFERROR(__xludf.DUMMYFUNCTION("""COMPUTED_VALUE"""),24.0)</f>
        <v>24</v>
      </c>
      <c r="G1940" s="35">
        <f>IFERROR(__xludf.DUMMYFUNCTION("""COMPUTED_VALUE"""),19.0)</f>
        <v>19</v>
      </c>
      <c r="H1940" s="35" t="str">
        <f>IFERROR(__xludf.DUMMYFUNCTION("""COMPUTED_VALUE"""),"Database")</f>
        <v>Database</v>
      </c>
      <c r="I1940" s="35">
        <f>IFERROR(__xludf.DUMMYFUNCTION("""COMPUTED_VALUE"""),0.617)</f>
        <v>0.617</v>
      </c>
      <c r="J1940" s="35">
        <f>IFERROR(__xludf.DUMMYFUNCTION("""COMPUTED_VALUE"""),1939.0)</f>
        <v>1939</v>
      </c>
      <c r="K1940" s="35" t="b">
        <f>IFERROR(__xludf.DUMMYFUNCTION("""COMPUTED_VALUE"""),TRUE)</f>
        <v>1</v>
      </c>
      <c r="L1940" s="35" t="str">
        <f>IFERROR(__xludf.DUMMYFUNCTION("""COMPUTED_VALUE"""),"Database;")</f>
        <v>Database;</v>
      </c>
      <c r="M1940" s="35" t="b">
        <f>IFERROR(__xludf.DUMMYFUNCTION("""COMPUTED_VALUE"""),FALSE)</f>
        <v>0</v>
      </c>
      <c r="N1940" s="35" t="b">
        <f>IFERROR(__xludf.DUMMYFUNCTION("""COMPUTED_VALUE"""),FALSE)</f>
        <v>0</v>
      </c>
      <c r="O1940" s="35">
        <f>IFERROR(__xludf.DUMMYFUNCTION("""COMPUTED_VALUE"""),61.661574276153)</f>
        <v>61.66157428</v>
      </c>
      <c r="P1940" s="35">
        <f>IFERROR(__xludf.DUMMYFUNCTION("""COMPUTED_VALUE"""),4238.0)</f>
        <v>4238</v>
      </c>
      <c r="Q1940" s="35">
        <f>IFERROR(__xludf.DUMMYFUNCTION("""COMPUTED_VALUE"""),6873.0)</f>
        <v>6873</v>
      </c>
    </row>
    <row r="1941">
      <c r="A1941" s="35">
        <f>IFERROR(__xludf.DUMMYFUNCTION("""COMPUTED_VALUE"""),2071.0)</f>
        <v>2071</v>
      </c>
      <c r="B1941" s="35" t="str">
        <f>IFERROR(__xludf.DUMMYFUNCTION("""COMPUTED_VALUE"""),"Longest Common Subsequence Between Sorted Arrays")</f>
        <v>Longest Common Subsequence Between Sorted Arrays</v>
      </c>
      <c r="C1941" s="35" t="str">
        <f>IFERROR(__xludf.DUMMYFUNCTION("""COMPUTED_VALUE"""),"longest-common-subsequence-between-sorted-arrays")</f>
        <v>longest-common-subsequence-between-sorted-arrays</v>
      </c>
      <c r="D1941" s="35" t="b">
        <f>IFERROR(__xludf.DUMMYFUNCTION("""COMPUTED_VALUE"""),TRUE)</f>
        <v>1</v>
      </c>
      <c r="E1941" s="35" t="str">
        <f>IFERROR(__xludf.DUMMYFUNCTION("""COMPUTED_VALUE"""),"Medium")</f>
        <v>Medium</v>
      </c>
      <c r="F1941" s="35">
        <f>IFERROR(__xludf.DUMMYFUNCTION("""COMPUTED_VALUE"""),89.0)</f>
        <v>89</v>
      </c>
      <c r="G1941" s="35">
        <f>IFERROR(__xludf.DUMMYFUNCTION("""COMPUTED_VALUE"""),3.0)</f>
        <v>3</v>
      </c>
      <c r="H1941" s="35" t="str">
        <f>IFERROR(__xludf.DUMMYFUNCTION("""COMPUTED_VALUE"""),"Algorithms")</f>
        <v>Algorithms</v>
      </c>
      <c r="I1941" s="35">
        <f>IFERROR(__xludf.DUMMYFUNCTION("""COMPUTED_VALUE"""),0.797)</f>
        <v>0.797</v>
      </c>
      <c r="J1941" s="35">
        <f>IFERROR(__xludf.DUMMYFUNCTION("""COMPUTED_VALUE"""),1940.0)</f>
        <v>1940</v>
      </c>
      <c r="K1941" s="35" t="b">
        <f>IFERROR(__xludf.DUMMYFUNCTION("""COMPUTED_VALUE"""),TRUE)</f>
        <v>1</v>
      </c>
      <c r="L1941" s="35" t="str">
        <f>IFERROR(__xludf.DUMMYFUNCTION("""COMPUTED_VALUE"""),"Array;Hash Table;Counting;")</f>
        <v>Array;Hash Table;Counting;</v>
      </c>
      <c r="M1941" s="35" t="b">
        <f>IFERROR(__xludf.DUMMYFUNCTION("""COMPUTED_VALUE"""),FALSE)</f>
        <v>0</v>
      </c>
      <c r="N1941" s="35" t="b">
        <f>IFERROR(__xludf.DUMMYFUNCTION("""COMPUTED_VALUE"""),FALSE)</f>
        <v>0</v>
      </c>
      <c r="O1941" s="35">
        <f>IFERROR(__xludf.DUMMYFUNCTION("""COMPUTED_VALUE"""),79.7362414405275)</f>
        <v>79.73624144</v>
      </c>
      <c r="P1941" s="35">
        <f>IFERROR(__xludf.DUMMYFUNCTION("""COMPUTED_VALUE"""),3144.0)</f>
        <v>3144</v>
      </c>
      <c r="Q1941" s="35">
        <f>IFERROR(__xludf.DUMMYFUNCTION("""COMPUTED_VALUE"""),3943.0)</f>
        <v>3943</v>
      </c>
    </row>
    <row r="1942">
      <c r="A1942" s="35">
        <f>IFERROR(__xludf.DUMMYFUNCTION("""COMPUTED_VALUE"""),2053.0)</f>
        <v>2053</v>
      </c>
      <c r="B1942" s="35" t="str">
        <f>IFERROR(__xludf.DUMMYFUNCTION("""COMPUTED_VALUE"""),"Check if All Characters Have Equal Number of Occurrences")</f>
        <v>Check if All Characters Have Equal Number of Occurrences</v>
      </c>
      <c r="C1942" s="35" t="str">
        <f>IFERROR(__xludf.DUMMYFUNCTION("""COMPUTED_VALUE"""),"check-if-all-characters-have-equal-number-of-occurrences")</f>
        <v>check-if-all-characters-have-equal-number-of-occurrences</v>
      </c>
      <c r="D1942" s="35" t="b">
        <f>IFERROR(__xludf.DUMMYFUNCTION("""COMPUTED_VALUE"""),FALSE)</f>
        <v>0</v>
      </c>
      <c r="E1942" s="35" t="str">
        <f>IFERROR(__xludf.DUMMYFUNCTION("""COMPUTED_VALUE"""),"Easy")</f>
        <v>Easy</v>
      </c>
      <c r="F1942" s="35">
        <f>IFERROR(__xludf.DUMMYFUNCTION("""COMPUTED_VALUE"""),297.0)</f>
        <v>297</v>
      </c>
      <c r="G1942" s="35">
        <f>IFERROR(__xludf.DUMMYFUNCTION("""COMPUTED_VALUE"""),10.0)</f>
        <v>10</v>
      </c>
      <c r="H1942" s="35" t="str">
        <f>IFERROR(__xludf.DUMMYFUNCTION("""COMPUTED_VALUE"""),"Algorithms")</f>
        <v>Algorithms</v>
      </c>
      <c r="I1942" s="35">
        <f>IFERROR(__xludf.DUMMYFUNCTION("""COMPUTED_VALUE"""),0.771)</f>
        <v>0.771</v>
      </c>
      <c r="J1942" s="35">
        <f>IFERROR(__xludf.DUMMYFUNCTION("""COMPUTED_VALUE"""),1941.0)</f>
        <v>1941</v>
      </c>
      <c r="K1942" s="35" t="b">
        <f>IFERROR(__xludf.DUMMYFUNCTION("""COMPUTED_VALUE"""),FALSE)</f>
        <v>0</v>
      </c>
      <c r="L1942" s="35" t="str">
        <f>IFERROR(__xludf.DUMMYFUNCTION("""COMPUTED_VALUE"""),"Hash Table;String;Counting;")</f>
        <v>Hash Table;String;Counting;</v>
      </c>
      <c r="M1942" s="35" t="b">
        <f>IFERROR(__xludf.DUMMYFUNCTION("""COMPUTED_VALUE"""),FALSE)</f>
        <v>0</v>
      </c>
      <c r="N1942" s="35" t="b">
        <f>IFERROR(__xludf.DUMMYFUNCTION("""COMPUTED_VALUE"""),FALSE)</f>
        <v>0</v>
      </c>
      <c r="O1942" s="35">
        <f>IFERROR(__xludf.DUMMYFUNCTION("""COMPUTED_VALUE"""),77.1079826269282)</f>
        <v>77.10798263</v>
      </c>
      <c r="P1942" s="35">
        <f>IFERROR(__xludf.DUMMYFUNCTION("""COMPUTED_VALUE"""),30891.0)</f>
        <v>30891</v>
      </c>
      <c r="Q1942" s="35">
        <f>IFERROR(__xludf.DUMMYFUNCTION("""COMPUTED_VALUE"""),40062.0)</f>
        <v>40062</v>
      </c>
    </row>
    <row r="1943">
      <c r="A1943" s="35">
        <f>IFERROR(__xludf.DUMMYFUNCTION("""COMPUTED_VALUE"""),2054.0)</f>
        <v>2054</v>
      </c>
      <c r="B1943" s="35" t="str">
        <f>IFERROR(__xludf.DUMMYFUNCTION("""COMPUTED_VALUE"""),"The Number of the Smallest Unoccupied Chair")</f>
        <v>The Number of the Smallest Unoccupied Chair</v>
      </c>
      <c r="C1943" s="35" t="str">
        <f>IFERROR(__xludf.DUMMYFUNCTION("""COMPUTED_VALUE"""),"the-number-of-the-smallest-unoccupied-chair")</f>
        <v>the-number-of-the-smallest-unoccupied-chair</v>
      </c>
      <c r="D1943" s="35" t="b">
        <f>IFERROR(__xludf.DUMMYFUNCTION("""COMPUTED_VALUE"""),FALSE)</f>
        <v>0</v>
      </c>
      <c r="E1943" s="35" t="str">
        <f>IFERROR(__xludf.DUMMYFUNCTION("""COMPUTED_VALUE"""),"Medium")</f>
        <v>Medium</v>
      </c>
      <c r="F1943" s="35">
        <f>IFERROR(__xludf.DUMMYFUNCTION("""COMPUTED_VALUE"""),363.0)</f>
        <v>363</v>
      </c>
      <c r="G1943" s="35">
        <f>IFERROR(__xludf.DUMMYFUNCTION("""COMPUTED_VALUE"""),18.0)</f>
        <v>18</v>
      </c>
      <c r="H1943" s="35" t="str">
        <f>IFERROR(__xludf.DUMMYFUNCTION("""COMPUTED_VALUE"""),"Algorithms")</f>
        <v>Algorithms</v>
      </c>
      <c r="I1943" s="35">
        <f>IFERROR(__xludf.DUMMYFUNCTION("""COMPUTED_VALUE"""),0.386)</f>
        <v>0.386</v>
      </c>
      <c r="J1943" s="35">
        <f>IFERROR(__xludf.DUMMYFUNCTION("""COMPUTED_VALUE"""),1942.0)</f>
        <v>1942</v>
      </c>
      <c r="K1943" s="35" t="b">
        <f>IFERROR(__xludf.DUMMYFUNCTION("""COMPUTED_VALUE"""),FALSE)</f>
        <v>0</v>
      </c>
      <c r="L1943" s="35" t="str">
        <f>IFERROR(__xludf.DUMMYFUNCTION("""COMPUTED_VALUE"""),"Array;Heap (Priority Queue);Ordered Set;")</f>
        <v>Array;Heap (Priority Queue);Ordered Set;</v>
      </c>
      <c r="M1943" s="35" t="b">
        <f>IFERROR(__xludf.DUMMYFUNCTION("""COMPUTED_VALUE"""),FALSE)</f>
        <v>0</v>
      </c>
      <c r="N1943" s="35" t="b">
        <f>IFERROR(__xludf.DUMMYFUNCTION("""COMPUTED_VALUE"""),FALSE)</f>
        <v>0</v>
      </c>
      <c r="O1943" s="35">
        <f>IFERROR(__xludf.DUMMYFUNCTION("""COMPUTED_VALUE"""),38.5909994844221)</f>
        <v>38.59099948</v>
      </c>
      <c r="P1943" s="35">
        <f>IFERROR(__xludf.DUMMYFUNCTION("""COMPUTED_VALUE"""),10479.0)</f>
        <v>10479</v>
      </c>
      <c r="Q1943" s="35">
        <f>IFERROR(__xludf.DUMMYFUNCTION("""COMPUTED_VALUE"""),27154.0)</f>
        <v>27154</v>
      </c>
    </row>
    <row r="1944">
      <c r="A1944" s="35">
        <f>IFERROR(__xludf.DUMMYFUNCTION("""COMPUTED_VALUE"""),2055.0)</f>
        <v>2055</v>
      </c>
      <c r="B1944" s="35" t="str">
        <f>IFERROR(__xludf.DUMMYFUNCTION("""COMPUTED_VALUE"""),"Describe the Painting")</f>
        <v>Describe the Painting</v>
      </c>
      <c r="C1944" s="35" t="str">
        <f>IFERROR(__xludf.DUMMYFUNCTION("""COMPUTED_VALUE"""),"describe-the-painting")</f>
        <v>describe-the-painting</v>
      </c>
      <c r="D1944" s="35" t="b">
        <f>IFERROR(__xludf.DUMMYFUNCTION("""COMPUTED_VALUE"""),FALSE)</f>
        <v>0</v>
      </c>
      <c r="E1944" s="35" t="str">
        <f>IFERROR(__xludf.DUMMYFUNCTION("""COMPUTED_VALUE"""),"Medium")</f>
        <v>Medium</v>
      </c>
      <c r="F1944" s="35">
        <f>IFERROR(__xludf.DUMMYFUNCTION("""COMPUTED_VALUE"""),264.0)</f>
        <v>264</v>
      </c>
      <c r="G1944" s="35">
        <f>IFERROR(__xludf.DUMMYFUNCTION("""COMPUTED_VALUE"""),16.0)</f>
        <v>16</v>
      </c>
      <c r="H1944" s="35" t="str">
        <f>IFERROR(__xludf.DUMMYFUNCTION("""COMPUTED_VALUE"""),"Algorithms")</f>
        <v>Algorithms</v>
      </c>
      <c r="I1944" s="35">
        <f>IFERROR(__xludf.DUMMYFUNCTION("""COMPUTED_VALUE"""),0.461)</f>
        <v>0.461</v>
      </c>
      <c r="J1944" s="35">
        <f>IFERROR(__xludf.DUMMYFUNCTION("""COMPUTED_VALUE"""),1943.0)</f>
        <v>1943</v>
      </c>
      <c r="K1944" s="35" t="b">
        <f>IFERROR(__xludf.DUMMYFUNCTION("""COMPUTED_VALUE"""),FALSE)</f>
        <v>0</v>
      </c>
      <c r="L1944" s="35" t="str">
        <f>IFERROR(__xludf.DUMMYFUNCTION("""COMPUTED_VALUE"""),"Array;Prefix Sum;")</f>
        <v>Array;Prefix Sum;</v>
      </c>
      <c r="M1944" s="35" t="b">
        <f>IFERROR(__xludf.DUMMYFUNCTION("""COMPUTED_VALUE"""),FALSE)</f>
        <v>0</v>
      </c>
      <c r="N1944" s="35" t="b">
        <f>IFERROR(__xludf.DUMMYFUNCTION("""COMPUTED_VALUE"""),FALSE)</f>
        <v>0</v>
      </c>
      <c r="O1944" s="35">
        <f>IFERROR(__xludf.DUMMYFUNCTION("""COMPUTED_VALUE"""),46.1146074859224)</f>
        <v>46.11460749</v>
      </c>
      <c r="P1944" s="35">
        <f>IFERROR(__xludf.DUMMYFUNCTION("""COMPUTED_VALUE"""),6961.0)</f>
        <v>6961</v>
      </c>
      <c r="Q1944" s="35">
        <f>IFERROR(__xludf.DUMMYFUNCTION("""COMPUTED_VALUE"""),15095.0)</f>
        <v>15095</v>
      </c>
    </row>
    <row r="1945">
      <c r="A1945" s="35">
        <f>IFERROR(__xludf.DUMMYFUNCTION("""COMPUTED_VALUE"""),1305.0)</f>
        <v>1305</v>
      </c>
      <c r="B1945" s="35" t="str">
        <f>IFERROR(__xludf.DUMMYFUNCTION("""COMPUTED_VALUE"""),"Number of Visible People in a Queue")</f>
        <v>Number of Visible People in a Queue</v>
      </c>
      <c r="C1945" s="35" t="str">
        <f>IFERROR(__xludf.DUMMYFUNCTION("""COMPUTED_VALUE"""),"number-of-visible-people-in-a-queue")</f>
        <v>number-of-visible-people-in-a-queue</v>
      </c>
      <c r="D1945" s="35" t="b">
        <f>IFERROR(__xludf.DUMMYFUNCTION("""COMPUTED_VALUE"""),FALSE)</f>
        <v>0</v>
      </c>
      <c r="E1945" s="35" t="str">
        <f>IFERROR(__xludf.DUMMYFUNCTION("""COMPUTED_VALUE"""),"Hard")</f>
        <v>Hard</v>
      </c>
      <c r="F1945" s="35">
        <f>IFERROR(__xludf.DUMMYFUNCTION("""COMPUTED_VALUE"""),664.0)</f>
        <v>664</v>
      </c>
      <c r="G1945" s="35">
        <f>IFERROR(__xludf.DUMMYFUNCTION("""COMPUTED_VALUE"""),13.0)</f>
        <v>13</v>
      </c>
      <c r="H1945" s="35" t="str">
        <f>IFERROR(__xludf.DUMMYFUNCTION("""COMPUTED_VALUE"""),"Algorithms")</f>
        <v>Algorithms</v>
      </c>
      <c r="I1945" s="35">
        <f>IFERROR(__xludf.DUMMYFUNCTION("""COMPUTED_VALUE"""),0.698)</f>
        <v>0.698</v>
      </c>
      <c r="J1945" s="35">
        <f>IFERROR(__xludf.DUMMYFUNCTION("""COMPUTED_VALUE"""),1944.0)</f>
        <v>1944</v>
      </c>
      <c r="K1945" s="35" t="b">
        <f>IFERROR(__xludf.DUMMYFUNCTION("""COMPUTED_VALUE"""),FALSE)</f>
        <v>0</v>
      </c>
      <c r="L1945" s="35" t="str">
        <f>IFERROR(__xludf.DUMMYFUNCTION("""COMPUTED_VALUE"""),"Array;Stack;Monotonic Stack;")</f>
        <v>Array;Stack;Monotonic Stack;</v>
      </c>
      <c r="M1945" s="35" t="b">
        <f>IFERROR(__xludf.DUMMYFUNCTION("""COMPUTED_VALUE"""),FALSE)</f>
        <v>0</v>
      </c>
      <c r="N1945" s="35" t="b">
        <f>IFERROR(__xludf.DUMMYFUNCTION("""COMPUTED_VALUE"""),FALSE)</f>
        <v>0</v>
      </c>
      <c r="O1945" s="35">
        <f>IFERROR(__xludf.DUMMYFUNCTION("""COMPUTED_VALUE"""),69.8218463199568)</f>
        <v>69.82184632</v>
      </c>
      <c r="P1945" s="35">
        <f>IFERROR(__xludf.DUMMYFUNCTION("""COMPUTED_VALUE"""),15520.0)</f>
        <v>15520</v>
      </c>
      <c r="Q1945" s="35">
        <f>IFERROR(__xludf.DUMMYFUNCTION("""COMPUTED_VALUE"""),22228.0)</f>
        <v>22228</v>
      </c>
    </row>
    <row r="1946">
      <c r="A1946" s="35">
        <f>IFERROR(__xludf.DUMMYFUNCTION("""COMPUTED_VALUE"""),2076.0)</f>
        <v>2076</v>
      </c>
      <c r="B1946" s="35" t="str">
        <f>IFERROR(__xludf.DUMMYFUNCTION("""COMPUTED_VALUE"""),"Sum of Digits of String After Convert")</f>
        <v>Sum of Digits of String After Convert</v>
      </c>
      <c r="C1946" s="35" t="str">
        <f>IFERROR(__xludf.DUMMYFUNCTION("""COMPUTED_VALUE"""),"sum-of-digits-of-string-after-convert")</f>
        <v>sum-of-digits-of-string-after-convert</v>
      </c>
      <c r="D1946" s="35" t="b">
        <f>IFERROR(__xludf.DUMMYFUNCTION("""COMPUTED_VALUE"""),FALSE)</f>
        <v>0</v>
      </c>
      <c r="E1946" s="35" t="str">
        <f>IFERROR(__xludf.DUMMYFUNCTION("""COMPUTED_VALUE"""),"Easy")</f>
        <v>Easy</v>
      </c>
      <c r="F1946" s="35">
        <f>IFERROR(__xludf.DUMMYFUNCTION("""COMPUTED_VALUE"""),248.0)</f>
        <v>248</v>
      </c>
      <c r="G1946" s="35">
        <f>IFERROR(__xludf.DUMMYFUNCTION("""COMPUTED_VALUE"""),29.0)</f>
        <v>29</v>
      </c>
      <c r="H1946" s="35" t="str">
        <f>IFERROR(__xludf.DUMMYFUNCTION("""COMPUTED_VALUE"""),"Algorithms")</f>
        <v>Algorithms</v>
      </c>
      <c r="I1946" s="35">
        <f>IFERROR(__xludf.DUMMYFUNCTION("""COMPUTED_VALUE"""),0.615)</f>
        <v>0.615</v>
      </c>
      <c r="J1946" s="35">
        <f>IFERROR(__xludf.DUMMYFUNCTION("""COMPUTED_VALUE"""),1945.0)</f>
        <v>1945</v>
      </c>
      <c r="K1946" s="35" t="b">
        <f>IFERROR(__xludf.DUMMYFUNCTION("""COMPUTED_VALUE"""),FALSE)</f>
        <v>0</v>
      </c>
      <c r="L1946" s="35" t="str">
        <f>IFERROR(__xludf.DUMMYFUNCTION("""COMPUTED_VALUE"""),"String;Simulation;")</f>
        <v>String;Simulation;</v>
      </c>
      <c r="M1946" s="35" t="b">
        <f>IFERROR(__xludf.DUMMYFUNCTION("""COMPUTED_VALUE"""),FALSE)</f>
        <v>0</v>
      </c>
      <c r="N1946" s="35" t="b">
        <f>IFERROR(__xludf.DUMMYFUNCTION("""COMPUTED_VALUE"""),FALSE)</f>
        <v>0</v>
      </c>
      <c r="O1946" s="35">
        <f>IFERROR(__xludf.DUMMYFUNCTION("""COMPUTED_VALUE"""),61.4701465485992)</f>
        <v>61.47014655</v>
      </c>
      <c r="P1946" s="35">
        <f>IFERROR(__xludf.DUMMYFUNCTION("""COMPUTED_VALUE"""),23741.0)</f>
        <v>23741</v>
      </c>
      <c r="Q1946" s="35">
        <f>IFERROR(__xludf.DUMMYFUNCTION("""COMPUTED_VALUE"""),38622.0)</f>
        <v>38622</v>
      </c>
    </row>
    <row r="1947">
      <c r="A1947" s="35">
        <f>IFERROR(__xludf.DUMMYFUNCTION("""COMPUTED_VALUE"""),2077.0)</f>
        <v>2077</v>
      </c>
      <c r="B1947" s="35" t="str">
        <f>IFERROR(__xludf.DUMMYFUNCTION("""COMPUTED_VALUE"""),"Largest Number After Mutating Substring")</f>
        <v>Largest Number After Mutating Substring</v>
      </c>
      <c r="C1947" s="35" t="str">
        <f>IFERROR(__xludf.DUMMYFUNCTION("""COMPUTED_VALUE"""),"largest-number-after-mutating-substring")</f>
        <v>largest-number-after-mutating-substring</v>
      </c>
      <c r="D1947" s="35" t="b">
        <f>IFERROR(__xludf.DUMMYFUNCTION("""COMPUTED_VALUE"""),FALSE)</f>
        <v>0</v>
      </c>
      <c r="E1947" s="35" t="str">
        <f>IFERROR(__xludf.DUMMYFUNCTION("""COMPUTED_VALUE"""),"Medium")</f>
        <v>Medium</v>
      </c>
      <c r="F1947" s="35">
        <f>IFERROR(__xludf.DUMMYFUNCTION("""COMPUTED_VALUE"""),131.0)</f>
        <v>131</v>
      </c>
      <c r="G1947" s="35">
        <f>IFERROR(__xludf.DUMMYFUNCTION("""COMPUTED_VALUE"""),159.0)</f>
        <v>159</v>
      </c>
      <c r="H1947" s="35" t="str">
        <f>IFERROR(__xludf.DUMMYFUNCTION("""COMPUTED_VALUE"""),"Algorithms")</f>
        <v>Algorithms</v>
      </c>
      <c r="I1947" s="35">
        <f>IFERROR(__xludf.DUMMYFUNCTION("""COMPUTED_VALUE"""),0.338)</f>
        <v>0.338</v>
      </c>
      <c r="J1947" s="35">
        <f>IFERROR(__xludf.DUMMYFUNCTION("""COMPUTED_VALUE"""),1946.0)</f>
        <v>1946</v>
      </c>
      <c r="K1947" s="35" t="b">
        <f>IFERROR(__xludf.DUMMYFUNCTION("""COMPUTED_VALUE"""),FALSE)</f>
        <v>0</v>
      </c>
      <c r="L1947" s="35" t="str">
        <f>IFERROR(__xludf.DUMMYFUNCTION("""COMPUTED_VALUE"""),"Array;String;Greedy;")</f>
        <v>Array;String;Greedy;</v>
      </c>
      <c r="M1947" s="35" t="b">
        <f>IFERROR(__xludf.DUMMYFUNCTION("""COMPUTED_VALUE"""),FALSE)</f>
        <v>0</v>
      </c>
      <c r="N1947" s="35" t="b">
        <f>IFERROR(__xludf.DUMMYFUNCTION("""COMPUTED_VALUE"""),FALSE)</f>
        <v>0</v>
      </c>
      <c r="O1947" s="35">
        <f>IFERROR(__xludf.DUMMYFUNCTION("""COMPUTED_VALUE"""),33.7639416595171)</f>
        <v>33.76394166</v>
      </c>
      <c r="P1947" s="35">
        <f>IFERROR(__xludf.DUMMYFUNCTION("""COMPUTED_VALUE"""),13774.0)</f>
        <v>13774</v>
      </c>
      <c r="Q1947" s="35">
        <f>IFERROR(__xludf.DUMMYFUNCTION("""COMPUTED_VALUE"""),40795.0)</f>
        <v>40795</v>
      </c>
    </row>
    <row r="1948">
      <c r="A1948" s="35">
        <f>IFERROR(__xludf.DUMMYFUNCTION("""COMPUTED_VALUE"""),2078.0)</f>
        <v>2078</v>
      </c>
      <c r="B1948" s="35" t="str">
        <f>IFERROR(__xludf.DUMMYFUNCTION("""COMPUTED_VALUE"""),"Maximum Compatibility Score Sum")</f>
        <v>Maximum Compatibility Score Sum</v>
      </c>
      <c r="C1948" s="35" t="str">
        <f>IFERROR(__xludf.DUMMYFUNCTION("""COMPUTED_VALUE"""),"maximum-compatibility-score-sum")</f>
        <v>maximum-compatibility-score-sum</v>
      </c>
      <c r="D1948" s="35" t="b">
        <f>IFERROR(__xludf.DUMMYFUNCTION("""COMPUTED_VALUE"""),FALSE)</f>
        <v>0</v>
      </c>
      <c r="E1948" s="35" t="str">
        <f>IFERROR(__xludf.DUMMYFUNCTION("""COMPUTED_VALUE"""),"Medium")</f>
        <v>Medium</v>
      </c>
      <c r="F1948" s="35">
        <f>IFERROR(__xludf.DUMMYFUNCTION("""COMPUTED_VALUE"""),428.0)</f>
        <v>428</v>
      </c>
      <c r="G1948" s="35">
        <f>IFERROR(__xludf.DUMMYFUNCTION("""COMPUTED_VALUE"""),10.0)</f>
        <v>10</v>
      </c>
      <c r="H1948" s="35" t="str">
        <f>IFERROR(__xludf.DUMMYFUNCTION("""COMPUTED_VALUE"""),"Algorithms")</f>
        <v>Algorithms</v>
      </c>
      <c r="I1948" s="35">
        <f>IFERROR(__xludf.DUMMYFUNCTION("""COMPUTED_VALUE"""),0.597)</f>
        <v>0.597</v>
      </c>
      <c r="J1948" s="35">
        <f>IFERROR(__xludf.DUMMYFUNCTION("""COMPUTED_VALUE"""),1947.0)</f>
        <v>1947</v>
      </c>
      <c r="K1948" s="35" t="b">
        <f>IFERROR(__xludf.DUMMYFUNCTION("""COMPUTED_VALUE"""),FALSE)</f>
        <v>0</v>
      </c>
      <c r="L1948" s="35" t="str">
        <f>IFERROR(__xludf.DUMMYFUNCTION("""COMPUTED_VALUE"""),"Array;Dynamic Programming;Backtracking;Bit Manipulation;Bitmask;")</f>
        <v>Array;Dynamic Programming;Backtracking;Bit Manipulation;Bitmask;</v>
      </c>
      <c r="M1948" s="35" t="b">
        <f>IFERROR(__xludf.DUMMYFUNCTION("""COMPUTED_VALUE"""),FALSE)</f>
        <v>0</v>
      </c>
      <c r="N1948" s="35" t="b">
        <f>IFERROR(__xludf.DUMMYFUNCTION("""COMPUTED_VALUE"""),FALSE)</f>
        <v>0</v>
      </c>
      <c r="O1948" s="35">
        <f>IFERROR(__xludf.DUMMYFUNCTION("""COMPUTED_VALUE"""),59.7301990116201)</f>
        <v>59.73019901</v>
      </c>
      <c r="P1948" s="35">
        <f>IFERROR(__xludf.DUMMYFUNCTION("""COMPUTED_VALUE"""),13416.0)</f>
        <v>13416</v>
      </c>
      <c r="Q1948" s="35">
        <f>IFERROR(__xludf.DUMMYFUNCTION("""COMPUTED_VALUE"""),22461.0)</f>
        <v>22461</v>
      </c>
    </row>
    <row r="1949">
      <c r="A1949" s="35">
        <f>IFERROR(__xludf.DUMMYFUNCTION("""COMPUTED_VALUE"""),2079.0)</f>
        <v>2079</v>
      </c>
      <c r="B1949" s="35" t="str">
        <f>IFERROR(__xludf.DUMMYFUNCTION("""COMPUTED_VALUE"""),"Delete Duplicate Folders in System")</f>
        <v>Delete Duplicate Folders in System</v>
      </c>
      <c r="C1949" s="35" t="str">
        <f>IFERROR(__xludf.DUMMYFUNCTION("""COMPUTED_VALUE"""),"delete-duplicate-folders-in-system")</f>
        <v>delete-duplicate-folders-in-system</v>
      </c>
      <c r="D1949" s="35" t="b">
        <f>IFERROR(__xludf.DUMMYFUNCTION("""COMPUTED_VALUE"""),FALSE)</f>
        <v>0</v>
      </c>
      <c r="E1949" s="35" t="str">
        <f>IFERROR(__xludf.DUMMYFUNCTION("""COMPUTED_VALUE"""),"Hard")</f>
        <v>Hard</v>
      </c>
      <c r="F1949" s="35">
        <f>IFERROR(__xludf.DUMMYFUNCTION("""COMPUTED_VALUE"""),157.0)</f>
        <v>157</v>
      </c>
      <c r="G1949" s="35">
        <f>IFERROR(__xludf.DUMMYFUNCTION("""COMPUTED_VALUE"""),46.0)</f>
        <v>46</v>
      </c>
      <c r="H1949" s="35" t="str">
        <f>IFERROR(__xludf.DUMMYFUNCTION("""COMPUTED_VALUE"""),"Algorithms")</f>
        <v>Algorithms</v>
      </c>
      <c r="I1949" s="35">
        <f>IFERROR(__xludf.DUMMYFUNCTION("""COMPUTED_VALUE"""),0.589)</f>
        <v>0.589</v>
      </c>
      <c r="J1949" s="35">
        <f>IFERROR(__xludf.DUMMYFUNCTION("""COMPUTED_VALUE"""),1948.0)</f>
        <v>1948</v>
      </c>
      <c r="K1949" s="35" t="b">
        <f>IFERROR(__xludf.DUMMYFUNCTION("""COMPUTED_VALUE"""),FALSE)</f>
        <v>0</v>
      </c>
      <c r="L1949" s="35" t="str">
        <f>IFERROR(__xludf.DUMMYFUNCTION("""COMPUTED_VALUE"""),"Array;Hash Table;String;Trie;Hash Function;")</f>
        <v>Array;Hash Table;String;Trie;Hash Function;</v>
      </c>
      <c r="M1949" s="35" t="b">
        <f>IFERROR(__xludf.DUMMYFUNCTION("""COMPUTED_VALUE"""),FALSE)</f>
        <v>0</v>
      </c>
      <c r="N1949" s="35" t="b">
        <f>IFERROR(__xludf.DUMMYFUNCTION("""COMPUTED_VALUE"""),FALSE)</f>
        <v>0</v>
      </c>
      <c r="O1949" s="35">
        <f>IFERROR(__xludf.DUMMYFUNCTION("""COMPUTED_VALUE"""),58.9192247842693)</f>
        <v>58.91922478</v>
      </c>
      <c r="P1949" s="35">
        <f>IFERROR(__xludf.DUMMYFUNCTION("""COMPUTED_VALUE"""),4165.0)</f>
        <v>4165</v>
      </c>
      <c r="Q1949" s="35">
        <f>IFERROR(__xludf.DUMMYFUNCTION("""COMPUTED_VALUE"""),7069.0)</f>
        <v>7069</v>
      </c>
    </row>
    <row r="1950">
      <c r="A1950" s="35">
        <f>IFERROR(__xludf.DUMMYFUNCTION("""COMPUTED_VALUE"""),2097.0)</f>
        <v>2097</v>
      </c>
      <c r="B1950" s="35" t="str">
        <f>IFERROR(__xludf.DUMMYFUNCTION("""COMPUTED_VALUE"""),"Strong Friendship")</f>
        <v>Strong Friendship</v>
      </c>
      <c r="C1950" s="35" t="str">
        <f>IFERROR(__xludf.DUMMYFUNCTION("""COMPUTED_VALUE"""),"strong-friendship")</f>
        <v>strong-friendship</v>
      </c>
      <c r="D1950" s="35" t="b">
        <f>IFERROR(__xludf.DUMMYFUNCTION("""COMPUTED_VALUE"""),TRUE)</f>
        <v>1</v>
      </c>
      <c r="E1950" s="35" t="str">
        <f>IFERROR(__xludf.DUMMYFUNCTION("""COMPUTED_VALUE"""),"Medium")</f>
        <v>Medium</v>
      </c>
      <c r="F1950" s="35">
        <f>IFERROR(__xludf.DUMMYFUNCTION("""COMPUTED_VALUE"""),70.0)</f>
        <v>70</v>
      </c>
      <c r="G1950" s="35">
        <f>IFERROR(__xludf.DUMMYFUNCTION("""COMPUTED_VALUE"""),25.0)</f>
        <v>25</v>
      </c>
      <c r="H1950" s="35" t="str">
        <f>IFERROR(__xludf.DUMMYFUNCTION("""COMPUTED_VALUE"""),"Database")</f>
        <v>Database</v>
      </c>
      <c r="I1950" s="35">
        <f>IFERROR(__xludf.DUMMYFUNCTION("""COMPUTED_VALUE"""),0.602)</f>
        <v>0.602</v>
      </c>
      <c r="J1950" s="35">
        <f>IFERROR(__xludf.DUMMYFUNCTION("""COMPUTED_VALUE"""),1949.0)</f>
        <v>1949</v>
      </c>
      <c r="K1950" s="35" t="b">
        <f>IFERROR(__xludf.DUMMYFUNCTION("""COMPUTED_VALUE"""),TRUE)</f>
        <v>1</v>
      </c>
      <c r="L1950" s="35" t="str">
        <f>IFERROR(__xludf.DUMMYFUNCTION("""COMPUTED_VALUE"""),"Database;")</f>
        <v>Database;</v>
      </c>
      <c r="M1950" s="35" t="b">
        <f>IFERROR(__xludf.DUMMYFUNCTION("""COMPUTED_VALUE"""),FALSE)</f>
        <v>0</v>
      </c>
      <c r="N1950" s="35" t="b">
        <f>IFERROR(__xludf.DUMMYFUNCTION("""COMPUTED_VALUE"""),FALSE)</f>
        <v>0</v>
      </c>
      <c r="O1950" s="35">
        <f>IFERROR(__xludf.DUMMYFUNCTION("""COMPUTED_VALUE"""),60.1696176164261)</f>
        <v>60.16961762</v>
      </c>
      <c r="P1950" s="35">
        <f>IFERROR(__xludf.DUMMYFUNCTION("""COMPUTED_VALUE"""),4044.0)</f>
        <v>4044</v>
      </c>
      <c r="Q1950" s="35">
        <f>IFERROR(__xludf.DUMMYFUNCTION("""COMPUTED_VALUE"""),6721.0)</f>
        <v>6721</v>
      </c>
    </row>
    <row r="1951">
      <c r="A1951" s="35">
        <f>IFERROR(__xludf.DUMMYFUNCTION("""COMPUTED_VALUE"""),2072.0)</f>
        <v>2072</v>
      </c>
      <c r="B1951" s="35" t="str">
        <f>IFERROR(__xludf.DUMMYFUNCTION("""COMPUTED_VALUE"""),"Maximum of Minimum Values in All Subarrays")</f>
        <v>Maximum of Minimum Values in All Subarrays</v>
      </c>
      <c r="C1951" s="35" t="str">
        <f>IFERROR(__xludf.DUMMYFUNCTION("""COMPUTED_VALUE"""),"maximum-of-minimum-values-in-all-subarrays")</f>
        <v>maximum-of-minimum-values-in-all-subarrays</v>
      </c>
      <c r="D1951" s="35" t="b">
        <f>IFERROR(__xludf.DUMMYFUNCTION("""COMPUTED_VALUE"""),TRUE)</f>
        <v>1</v>
      </c>
      <c r="E1951" s="35" t="str">
        <f>IFERROR(__xludf.DUMMYFUNCTION("""COMPUTED_VALUE"""),"Medium")</f>
        <v>Medium</v>
      </c>
      <c r="F1951" s="35">
        <f>IFERROR(__xludf.DUMMYFUNCTION("""COMPUTED_VALUE"""),75.0)</f>
        <v>75</v>
      </c>
      <c r="G1951" s="35">
        <f>IFERROR(__xludf.DUMMYFUNCTION("""COMPUTED_VALUE"""),11.0)</f>
        <v>11</v>
      </c>
      <c r="H1951" s="35" t="str">
        <f>IFERROR(__xludf.DUMMYFUNCTION("""COMPUTED_VALUE"""),"Algorithms")</f>
        <v>Algorithms</v>
      </c>
      <c r="I1951" s="35">
        <f>IFERROR(__xludf.DUMMYFUNCTION("""COMPUTED_VALUE"""),0.518)</f>
        <v>0.518</v>
      </c>
      <c r="J1951" s="35">
        <f>IFERROR(__xludf.DUMMYFUNCTION("""COMPUTED_VALUE"""),1950.0)</f>
        <v>1950</v>
      </c>
      <c r="K1951" s="35" t="b">
        <f>IFERROR(__xludf.DUMMYFUNCTION("""COMPUTED_VALUE"""),TRUE)</f>
        <v>1</v>
      </c>
      <c r="L1951" s="35" t="str">
        <f>IFERROR(__xludf.DUMMYFUNCTION("""COMPUTED_VALUE"""),"Array;Stack;Monotonic Stack;")</f>
        <v>Array;Stack;Monotonic Stack;</v>
      </c>
      <c r="M1951" s="35" t="b">
        <f>IFERROR(__xludf.DUMMYFUNCTION("""COMPUTED_VALUE"""),FALSE)</f>
        <v>0</v>
      </c>
      <c r="N1951" s="35" t="b">
        <f>IFERROR(__xludf.DUMMYFUNCTION("""COMPUTED_VALUE"""),FALSE)</f>
        <v>0</v>
      </c>
      <c r="O1951" s="35">
        <f>IFERROR(__xludf.DUMMYFUNCTION("""COMPUTED_VALUE"""),51.7967145790554)</f>
        <v>51.79671458</v>
      </c>
      <c r="P1951" s="35">
        <f>IFERROR(__xludf.DUMMYFUNCTION("""COMPUTED_VALUE"""),1009.0)</f>
        <v>1009</v>
      </c>
      <c r="Q1951" s="35">
        <f>IFERROR(__xludf.DUMMYFUNCTION("""COMPUTED_VALUE"""),1947.0)</f>
        <v>1947</v>
      </c>
    </row>
    <row r="1952">
      <c r="A1952" s="35">
        <f>IFERROR(__xludf.DUMMYFUNCTION("""COMPUTED_VALUE"""),2098.0)</f>
        <v>2098</v>
      </c>
      <c r="B1952" s="35" t="str">
        <f>IFERROR(__xludf.DUMMYFUNCTION("""COMPUTED_VALUE"""),"All the Pairs With the Maximum Number of Common Followers")</f>
        <v>All the Pairs With the Maximum Number of Common Followers</v>
      </c>
      <c r="C1952" s="35" t="str">
        <f>IFERROR(__xludf.DUMMYFUNCTION("""COMPUTED_VALUE"""),"all-the-pairs-with-the-maximum-number-of-common-followers")</f>
        <v>all-the-pairs-with-the-maximum-number-of-common-followers</v>
      </c>
      <c r="D1952" s="35" t="b">
        <f>IFERROR(__xludf.DUMMYFUNCTION("""COMPUTED_VALUE"""),TRUE)</f>
        <v>1</v>
      </c>
      <c r="E1952" s="35" t="str">
        <f>IFERROR(__xludf.DUMMYFUNCTION("""COMPUTED_VALUE"""),"Medium")</f>
        <v>Medium</v>
      </c>
      <c r="F1952" s="35">
        <f>IFERROR(__xludf.DUMMYFUNCTION("""COMPUTED_VALUE"""),27.0)</f>
        <v>27</v>
      </c>
      <c r="G1952" s="35">
        <f>IFERROR(__xludf.DUMMYFUNCTION("""COMPUTED_VALUE"""),2.0)</f>
        <v>2</v>
      </c>
      <c r="H1952" s="35" t="str">
        <f>IFERROR(__xludf.DUMMYFUNCTION("""COMPUTED_VALUE"""),"Database")</f>
        <v>Database</v>
      </c>
      <c r="I1952" s="35">
        <f>IFERROR(__xludf.DUMMYFUNCTION("""COMPUTED_VALUE"""),0.712)</f>
        <v>0.712</v>
      </c>
      <c r="J1952" s="35">
        <f>IFERROR(__xludf.DUMMYFUNCTION("""COMPUTED_VALUE"""),1951.0)</f>
        <v>1951</v>
      </c>
      <c r="K1952" s="35" t="b">
        <f>IFERROR(__xludf.DUMMYFUNCTION("""COMPUTED_VALUE"""),TRUE)</f>
        <v>1</v>
      </c>
      <c r="L1952" s="35" t="str">
        <f>IFERROR(__xludf.DUMMYFUNCTION("""COMPUTED_VALUE"""),"Database;")</f>
        <v>Database;</v>
      </c>
      <c r="M1952" s="35" t="b">
        <f>IFERROR(__xludf.DUMMYFUNCTION("""COMPUTED_VALUE"""),FALSE)</f>
        <v>0</v>
      </c>
      <c r="N1952" s="35" t="b">
        <f>IFERROR(__xludf.DUMMYFUNCTION("""COMPUTED_VALUE"""),FALSE)</f>
        <v>0</v>
      </c>
      <c r="O1952" s="35">
        <f>IFERROR(__xludf.DUMMYFUNCTION("""COMPUTED_VALUE"""),71.1966604823747)</f>
        <v>71.19666048</v>
      </c>
      <c r="P1952" s="35">
        <f>IFERROR(__xludf.DUMMYFUNCTION("""COMPUTED_VALUE"""),3070.0)</f>
        <v>3070</v>
      </c>
      <c r="Q1952" s="35">
        <f>IFERROR(__xludf.DUMMYFUNCTION("""COMPUTED_VALUE"""),4312.0)</f>
        <v>4312</v>
      </c>
    </row>
    <row r="1953">
      <c r="A1953" s="35">
        <f>IFERROR(__xludf.DUMMYFUNCTION("""COMPUTED_VALUE"""),2083.0)</f>
        <v>2083</v>
      </c>
      <c r="B1953" s="35" t="str">
        <f>IFERROR(__xludf.DUMMYFUNCTION("""COMPUTED_VALUE"""),"Three Divisors")</f>
        <v>Three Divisors</v>
      </c>
      <c r="C1953" s="35" t="str">
        <f>IFERROR(__xludf.DUMMYFUNCTION("""COMPUTED_VALUE"""),"three-divisors")</f>
        <v>three-divisors</v>
      </c>
      <c r="D1953" s="35" t="b">
        <f>IFERROR(__xludf.DUMMYFUNCTION("""COMPUTED_VALUE"""),FALSE)</f>
        <v>0</v>
      </c>
      <c r="E1953" s="35" t="str">
        <f>IFERROR(__xludf.DUMMYFUNCTION("""COMPUTED_VALUE"""),"Easy")</f>
        <v>Easy</v>
      </c>
      <c r="F1953" s="35">
        <f>IFERROR(__xludf.DUMMYFUNCTION("""COMPUTED_VALUE"""),206.0)</f>
        <v>206</v>
      </c>
      <c r="G1953" s="35">
        <f>IFERROR(__xludf.DUMMYFUNCTION("""COMPUTED_VALUE"""),15.0)</f>
        <v>15</v>
      </c>
      <c r="H1953" s="35" t="str">
        <f>IFERROR(__xludf.DUMMYFUNCTION("""COMPUTED_VALUE"""),"Algorithms")</f>
        <v>Algorithms</v>
      </c>
      <c r="I1953" s="35">
        <f>IFERROR(__xludf.DUMMYFUNCTION("""COMPUTED_VALUE"""),0.565)</f>
        <v>0.565</v>
      </c>
      <c r="J1953" s="35">
        <f>IFERROR(__xludf.DUMMYFUNCTION("""COMPUTED_VALUE"""),1952.0)</f>
        <v>1952</v>
      </c>
      <c r="K1953" s="35" t="b">
        <f>IFERROR(__xludf.DUMMYFUNCTION("""COMPUTED_VALUE"""),FALSE)</f>
        <v>0</v>
      </c>
      <c r="L1953" s="35" t="str">
        <f>IFERROR(__xludf.DUMMYFUNCTION("""COMPUTED_VALUE"""),"Math;")</f>
        <v>Math;</v>
      </c>
      <c r="M1953" s="35" t="b">
        <f>IFERROR(__xludf.DUMMYFUNCTION("""COMPUTED_VALUE"""),FALSE)</f>
        <v>0</v>
      </c>
      <c r="N1953" s="35" t="b">
        <f>IFERROR(__xludf.DUMMYFUNCTION("""COMPUTED_VALUE"""),FALSE)</f>
        <v>0</v>
      </c>
      <c r="O1953" s="35">
        <f>IFERROR(__xludf.DUMMYFUNCTION("""COMPUTED_VALUE"""),56.5033469691335)</f>
        <v>56.50334697</v>
      </c>
      <c r="P1953" s="35">
        <f>IFERROR(__xludf.DUMMYFUNCTION("""COMPUTED_VALUE"""),24310.0)</f>
        <v>24310</v>
      </c>
      <c r="Q1953" s="35">
        <f>IFERROR(__xludf.DUMMYFUNCTION("""COMPUTED_VALUE"""),43024.0)</f>
        <v>43024</v>
      </c>
    </row>
    <row r="1954">
      <c r="A1954" s="35">
        <f>IFERROR(__xludf.DUMMYFUNCTION("""COMPUTED_VALUE"""),2084.0)</f>
        <v>2084</v>
      </c>
      <c r="B1954" s="35" t="str">
        <f>IFERROR(__xludf.DUMMYFUNCTION("""COMPUTED_VALUE"""),"Maximum Number of Weeks for Which You Can Work")</f>
        <v>Maximum Number of Weeks for Which You Can Work</v>
      </c>
      <c r="C1954" s="35" t="str">
        <f>IFERROR(__xludf.DUMMYFUNCTION("""COMPUTED_VALUE"""),"maximum-number-of-weeks-for-which-you-can-work")</f>
        <v>maximum-number-of-weeks-for-which-you-can-work</v>
      </c>
      <c r="D1954" s="35" t="b">
        <f>IFERROR(__xludf.DUMMYFUNCTION("""COMPUTED_VALUE"""),FALSE)</f>
        <v>0</v>
      </c>
      <c r="E1954" s="35" t="str">
        <f>IFERROR(__xludf.DUMMYFUNCTION("""COMPUTED_VALUE"""),"Medium")</f>
        <v>Medium</v>
      </c>
      <c r="F1954" s="35">
        <f>IFERROR(__xludf.DUMMYFUNCTION("""COMPUTED_VALUE"""),360.0)</f>
        <v>360</v>
      </c>
      <c r="G1954" s="35">
        <f>IFERROR(__xludf.DUMMYFUNCTION("""COMPUTED_VALUE"""),92.0)</f>
        <v>92</v>
      </c>
      <c r="H1954" s="35" t="str">
        <f>IFERROR(__xludf.DUMMYFUNCTION("""COMPUTED_VALUE"""),"Algorithms")</f>
        <v>Algorithms</v>
      </c>
      <c r="I1954" s="35">
        <f>IFERROR(__xludf.DUMMYFUNCTION("""COMPUTED_VALUE"""),0.371)</f>
        <v>0.371</v>
      </c>
      <c r="J1954" s="35">
        <f>IFERROR(__xludf.DUMMYFUNCTION("""COMPUTED_VALUE"""),1953.0)</f>
        <v>1953</v>
      </c>
      <c r="K1954" s="35" t="b">
        <f>IFERROR(__xludf.DUMMYFUNCTION("""COMPUTED_VALUE"""),FALSE)</f>
        <v>0</v>
      </c>
      <c r="L1954" s="35" t="str">
        <f>IFERROR(__xludf.DUMMYFUNCTION("""COMPUTED_VALUE"""),"Array;Greedy;")</f>
        <v>Array;Greedy;</v>
      </c>
      <c r="M1954" s="35" t="b">
        <f>IFERROR(__xludf.DUMMYFUNCTION("""COMPUTED_VALUE"""),FALSE)</f>
        <v>0</v>
      </c>
      <c r="N1954" s="35" t="b">
        <f>IFERROR(__xludf.DUMMYFUNCTION("""COMPUTED_VALUE"""),FALSE)</f>
        <v>0</v>
      </c>
      <c r="O1954" s="35">
        <f>IFERROR(__xludf.DUMMYFUNCTION("""COMPUTED_VALUE"""),37.1166898356366)</f>
        <v>37.11668984</v>
      </c>
      <c r="P1954" s="35">
        <f>IFERROR(__xludf.DUMMYFUNCTION("""COMPUTED_VALUE"""),13617.0)</f>
        <v>13617</v>
      </c>
      <c r="Q1954" s="35">
        <f>IFERROR(__xludf.DUMMYFUNCTION("""COMPUTED_VALUE"""),36687.0)</f>
        <v>36687</v>
      </c>
    </row>
    <row r="1955">
      <c r="A1955" s="35">
        <f>IFERROR(__xludf.DUMMYFUNCTION("""COMPUTED_VALUE"""),1295.0)</f>
        <v>1295</v>
      </c>
      <c r="B1955" s="35" t="str">
        <f>IFERROR(__xludf.DUMMYFUNCTION("""COMPUTED_VALUE"""),"Minimum Garden Perimeter to Collect Enough Apples")</f>
        <v>Minimum Garden Perimeter to Collect Enough Apples</v>
      </c>
      <c r="C1955" s="35" t="str">
        <f>IFERROR(__xludf.DUMMYFUNCTION("""COMPUTED_VALUE"""),"minimum-garden-perimeter-to-collect-enough-apples")</f>
        <v>minimum-garden-perimeter-to-collect-enough-apples</v>
      </c>
      <c r="D1955" s="35" t="b">
        <f>IFERROR(__xludf.DUMMYFUNCTION("""COMPUTED_VALUE"""),FALSE)</f>
        <v>0</v>
      </c>
      <c r="E1955" s="35" t="str">
        <f>IFERROR(__xludf.DUMMYFUNCTION("""COMPUTED_VALUE"""),"Medium")</f>
        <v>Medium</v>
      </c>
      <c r="F1955" s="35">
        <f>IFERROR(__xludf.DUMMYFUNCTION("""COMPUTED_VALUE"""),197.0)</f>
        <v>197</v>
      </c>
      <c r="G1955" s="35">
        <f>IFERROR(__xludf.DUMMYFUNCTION("""COMPUTED_VALUE"""),64.0)</f>
        <v>64</v>
      </c>
      <c r="H1955" s="35" t="str">
        <f>IFERROR(__xludf.DUMMYFUNCTION("""COMPUTED_VALUE"""),"Algorithms")</f>
        <v>Algorithms</v>
      </c>
      <c r="I1955" s="35">
        <f>IFERROR(__xludf.DUMMYFUNCTION("""COMPUTED_VALUE"""),0.524)</f>
        <v>0.524</v>
      </c>
      <c r="J1955" s="35">
        <f>IFERROR(__xludf.DUMMYFUNCTION("""COMPUTED_VALUE"""),1954.0)</f>
        <v>1954</v>
      </c>
      <c r="K1955" s="35" t="b">
        <f>IFERROR(__xludf.DUMMYFUNCTION("""COMPUTED_VALUE"""),FALSE)</f>
        <v>0</v>
      </c>
      <c r="L1955" s="35" t="str">
        <f>IFERROR(__xludf.DUMMYFUNCTION("""COMPUTED_VALUE"""),"Math;Binary Search;")</f>
        <v>Math;Binary Search;</v>
      </c>
      <c r="M1955" s="35" t="b">
        <f>IFERROR(__xludf.DUMMYFUNCTION("""COMPUTED_VALUE"""),FALSE)</f>
        <v>0</v>
      </c>
      <c r="N1955" s="35" t="b">
        <f>IFERROR(__xludf.DUMMYFUNCTION("""COMPUTED_VALUE"""),FALSE)</f>
        <v>0</v>
      </c>
      <c r="O1955" s="35">
        <f>IFERROR(__xludf.DUMMYFUNCTION("""COMPUTED_VALUE"""),52.4202775981294)</f>
        <v>52.4202776</v>
      </c>
      <c r="P1955" s="35">
        <f>IFERROR(__xludf.DUMMYFUNCTION("""COMPUTED_VALUE"""),10537.0)</f>
        <v>10537</v>
      </c>
      <c r="Q1955" s="35">
        <f>IFERROR(__xludf.DUMMYFUNCTION("""COMPUTED_VALUE"""),20101.0)</f>
        <v>20101</v>
      </c>
    </row>
    <row r="1956">
      <c r="A1956" s="35">
        <f>IFERROR(__xludf.DUMMYFUNCTION("""COMPUTED_VALUE"""),2086.0)</f>
        <v>2086</v>
      </c>
      <c r="B1956" s="35" t="str">
        <f>IFERROR(__xludf.DUMMYFUNCTION("""COMPUTED_VALUE"""),"Count Number of Special Subsequences")</f>
        <v>Count Number of Special Subsequences</v>
      </c>
      <c r="C1956" s="35" t="str">
        <f>IFERROR(__xludf.DUMMYFUNCTION("""COMPUTED_VALUE"""),"count-number-of-special-subsequences")</f>
        <v>count-number-of-special-subsequences</v>
      </c>
      <c r="D1956" s="35" t="b">
        <f>IFERROR(__xludf.DUMMYFUNCTION("""COMPUTED_VALUE"""),FALSE)</f>
        <v>0</v>
      </c>
      <c r="E1956" s="35" t="str">
        <f>IFERROR(__xludf.DUMMYFUNCTION("""COMPUTED_VALUE"""),"Hard")</f>
        <v>Hard</v>
      </c>
      <c r="F1956" s="35">
        <f>IFERROR(__xludf.DUMMYFUNCTION("""COMPUTED_VALUE"""),326.0)</f>
        <v>326</v>
      </c>
      <c r="G1956" s="35">
        <f>IFERROR(__xludf.DUMMYFUNCTION("""COMPUTED_VALUE"""),6.0)</f>
        <v>6</v>
      </c>
      <c r="H1956" s="35" t="str">
        <f>IFERROR(__xludf.DUMMYFUNCTION("""COMPUTED_VALUE"""),"Algorithms")</f>
        <v>Algorithms</v>
      </c>
      <c r="I1956" s="35">
        <f>IFERROR(__xludf.DUMMYFUNCTION("""COMPUTED_VALUE"""),0.508)</f>
        <v>0.508</v>
      </c>
      <c r="J1956" s="35">
        <f>IFERROR(__xludf.DUMMYFUNCTION("""COMPUTED_VALUE"""),1955.0)</f>
        <v>1955</v>
      </c>
      <c r="K1956" s="35" t="b">
        <f>IFERROR(__xludf.DUMMYFUNCTION("""COMPUTED_VALUE"""),FALSE)</f>
        <v>0</v>
      </c>
      <c r="L1956" s="35" t="str">
        <f>IFERROR(__xludf.DUMMYFUNCTION("""COMPUTED_VALUE"""),"Array;Dynamic Programming;")</f>
        <v>Array;Dynamic Programming;</v>
      </c>
      <c r="M1956" s="35" t="b">
        <f>IFERROR(__xludf.DUMMYFUNCTION("""COMPUTED_VALUE"""),FALSE)</f>
        <v>0</v>
      </c>
      <c r="N1956" s="35" t="b">
        <f>IFERROR(__xludf.DUMMYFUNCTION("""COMPUTED_VALUE"""),FALSE)</f>
        <v>0</v>
      </c>
      <c r="O1956" s="35">
        <f>IFERROR(__xludf.DUMMYFUNCTION("""COMPUTED_VALUE"""),50.8013391267184)</f>
        <v>50.80133913</v>
      </c>
      <c r="P1956" s="35">
        <f>IFERROR(__xludf.DUMMYFUNCTION("""COMPUTED_VALUE"""),7132.0)</f>
        <v>7132</v>
      </c>
      <c r="Q1956" s="35">
        <f>IFERROR(__xludf.DUMMYFUNCTION("""COMPUTED_VALUE"""),14039.0)</f>
        <v>14039</v>
      </c>
    </row>
    <row r="1957">
      <c r="A1957" s="35">
        <f>IFERROR(__xludf.DUMMYFUNCTION("""COMPUTED_VALUE"""),2073.0)</f>
        <v>2073</v>
      </c>
      <c r="B1957" s="35" t="str">
        <f>IFERROR(__xludf.DUMMYFUNCTION("""COMPUTED_VALUE"""),"Minimum Time For K Virus Variants to Spread")</f>
        <v>Minimum Time For K Virus Variants to Spread</v>
      </c>
      <c r="C1957" s="35" t="str">
        <f>IFERROR(__xludf.DUMMYFUNCTION("""COMPUTED_VALUE"""),"minimum-time-for-k-virus-variants-to-spread")</f>
        <v>minimum-time-for-k-virus-variants-to-spread</v>
      </c>
      <c r="D1957" s="35" t="b">
        <f>IFERROR(__xludf.DUMMYFUNCTION("""COMPUTED_VALUE"""),TRUE)</f>
        <v>1</v>
      </c>
      <c r="E1957" s="35" t="str">
        <f>IFERROR(__xludf.DUMMYFUNCTION("""COMPUTED_VALUE"""),"Hard")</f>
        <v>Hard</v>
      </c>
      <c r="F1957" s="35">
        <f>IFERROR(__xludf.DUMMYFUNCTION("""COMPUTED_VALUE"""),16.0)</f>
        <v>16</v>
      </c>
      <c r="G1957" s="35">
        <f>IFERROR(__xludf.DUMMYFUNCTION("""COMPUTED_VALUE"""),4.0)</f>
        <v>4</v>
      </c>
      <c r="H1957" s="35" t="str">
        <f>IFERROR(__xludf.DUMMYFUNCTION("""COMPUTED_VALUE"""),"Algorithms")</f>
        <v>Algorithms</v>
      </c>
      <c r="I1957" s="35">
        <f>IFERROR(__xludf.DUMMYFUNCTION("""COMPUTED_VALUE"""),0.439)</f>
        <v>0.439</v>
      </c>
      <c r="J1957" s="35">
        <f>IFERROR(__xludf.DUMMYFUNCTION("""COMPUTED_VALUE"""),1956.0)</f>
        <v>1956</v>
      </c>
      <c r="K1957" s="35" t="b">
        <f>IFERROR(__xludf.DUMMYFUNCTION("""COMPUTED_VALUE"""),TRUE)</f>
        <v>1</v>
      </c>
      <c r="L1957" s="35" t="str">
        <f>IFERROR(__xludf.DUMMYFUNCTION("""COMPUTED_VALUE"""),"Array;Math;Binary Search;Geometry;Enumeration;")</f>
        <v>Array;Math;Binary Search;Geometry;Enumeration;</v>
      </c>
      <c r="M1957" s="35" t="b">
        <f>IFERROR(__xludf.DUMMYFUNCTION("""COMPUTED_VALUE"""),FALSE)</f>
        <v>0</v>
      </c>
      <c r="N1957" s="35" t="b">
        <f>IFERROR(__xludf.DUMMYFUNCTION("""COMPUTED_VALUE"""),FALSE)</f>
        <v>0</v>
      </c>
      <c r="O1957" s="35">
        <f>IFERROR(__xludf.DUMMYFUNCTION("""COMPUTED_VALUE"""),43.942731277533)</f>
        <v>43.94273128</v>
      </c>
      <c r="P1957" s="35">
        <f>IFERROR(__xludf.DUMMYFUNCTION("""COMPUTED_VALUE"""),399.0)</f>
        <v>399</v>
      </c>
      <c r="Q1957" s="35">
        <f>IFERROR(__xludf.DUMMYFUNCTION("""COMPUTED_VALUE"""),908.0)</f>
        <v>908</v>
      </c>
    </row>
    <row r="1958">
      <c r="A1958" s="35">
        <f>IFERROR(__xludf.DUMMYFUNCTION("""COMPUTED_VALUE"""),1302.0)</f>
        <v>1302</v>
      </c>
      <c r="B1958" s="35" t="str">
        <f>IFERROR(__xludf.DUMMYFUNCTION("""COMPUTED_VALUE"""),"Delete Characters to Make Fancy String")</f>
        <v>Delete Characters to Make Fancy String</v>
      </c>
      <c r="C1958" s="35" t="str">
        <f>IFERROR(__xludf.DUMMYFUNCTION("""COMPUTED_VALUE"""),"delete-characters-to-make-fancy-string")</f>
        <v>delete-characters-to-make-fancy-string</v>
      </c>
      <c r="D1958" s="35" t="b">
        <f>IFERROR(__xludf.DUMMYFUNCTION("""COMPUTED_VALUE"""),FALSE)</f>
        <v>0</v>
      </c>
      <c r="E1958" s="35" t="str">
        <f>IFERROR(__xludf.DUMMYFUNCTION("""COMPUTED_VALUE"""),"Easy")</f>
        <v>Easy</v>
      </c>
      <c r="F1958" s="35">
        <f>IFERROR(__xludf.DUMMYFUNCTION("""COMPUTED_VALUE"""),204.0)</f>
        <v>204</v>
      </c>
      <c r="G1958" s="35">
        <f>IFERROR(__xludf.DUMMYFUNCTION("""COMPUTED_VALUE"""),10.0)</f>
        <v>10</v>
      </c>
      <c r="H1958" s="35" t="str">
        <f>IFERROR(__xludf.DUMMYFUNCTION("""COMPUTED_VALUE"""),"Algorithms")</f>
        <v>Algorithms</v>
      </c>
      <c r="I1958" s="35">
        <f>IFERROR(__xludf.DUMMYFUNCTION("""COMPUTED_VALUE"""),0.565)</f>
        <v>0.565</v>
      </c>
      <c r="J1958" s="35">
        <f>IFERROR(__xludf.DUMMYFUNCTION("""COMPUTED_VALUE"""),1957.0)</f>
        <v>1957</v>
      </c>
      <c r="K1958" s="35" t="b">
        <f>IFERROR(__xludf.DUMMYFUNCTION("""COMPUTED_VALUE"""),FALSE)</f>
        <v>0</v>
      </c>
      <c r="L1958" s="35" t="str">
        <f>IFERROR(__xludf.DUMMYFUNCTION("""COMPUTED_VALUE"""),"String;")</f>
        <v>String;</v>
      </c>
      <c r="M1958" s="35" t="b">
        <f>IFERROR(__xludf.DUMMYFUNCTION("""COMPUTED_VALUE"""),FALSE)</f>
        <v>0</v>
      </c>
      <c r="N1958" s="35" t="b">
        <f>IFERROR(__xludf.DUMMYFUNCTION("""COMPUTED_VALUE"""),FALSE)</f>
        <v>0</v>
      </c>
      <c r="O1958" s="35">
        <f>IFERROR(__xludf.DUMMYFUNCTION("""COMPUTED_VALUE"""),56.5167243367935)</f>
        <v>56.51672434</v>
      </c>
      <c r="P1958" s="35">
        <f>IFERROR(__xludf.DUMMYFUNCTION("""COMPUTED_VALUE"""),17640.0)</f>
        <v>17640</v>
      </c>
      <c r="Q1958" s="35">
        <f>IFERROR(__xludf.DUMMYFUNCTION("""COMPUTED_VALUE"""),31212.0)</f>
        <v>31212</v>
      </c>
    </row>
    <row r="1959">
      <c r="A1959" s="35">
        <f>IFERROR(__xludf.DUMMYFUNCTION("""COMPUTED_VALUE"""),2080.0)</f>
        <v>2080</v>
      </c>
      <c r="B1959" s="35" t="str">
        <f>IFERROR(__xludf.DUMMYFUNCTION("""COMPUTED_VALUE"""),"Check if Move is Legal")</f>
        <v>Check if Move is Legal</v>
      </c>
      <c r="C1959" s="35" t="str">
        <f>IFERROR(__xludf.DUMMYFUNCTION("""COMPUTED_VALUE"""),"check-if-move-is-legal")</f>
        <v>check-if-move-is-legal</v>
      </c>
      <c r="D1959" s="35" t="b">
        <f>IFERROR(__xludf.DUMMYFUNCTION("""COMPUTED_VALUE"""),FALSE)</f>
        <v>0</v>
      </c>
      <c r="E1959" s="35" t="str">
        <f>IFERROR(__xludf.DUMMYFUNCTION("""COMPUTED_VALUE"""),"Medium")</f>
        <v>Medium</v>
      </c>
      <c r="F1959" s="35">
        <f>IFERROR(__xludf.DUMMYFUNCTION("""COMPUTED_VALUE"""),78.0)</f>
        <v>78</v>
      </c>
      <c r="G1959" s="35">
        <f>IFERROR(__xludf.DUMMYFUNCTION("""COMPUTED_VALUE"""),166.0)</f>
        <v>166</v>
      </c>
      <c r="H1959" s="35" t="str">
        <f>IFERROR(__xludf.DUMMYFUNCTION("""COMPUTED_VALUE"""),"Algorithms")</f>
        <v>Algorithms</v>
      </c>
      <c r="I1959" s="35">
        <f>IFERROR(__xludf.DUMMYFUNCTION("""COMPUTED_VALUE"""),0.431)</f>
        <v>0.431</v>
      </c>
      <c r="J1959" s="35">
        <f>IFERROR(__xludf.DUMMYFUNCTION("""COMPUTED_VALUE"""),1958.0)</f>
        <v>1958</v>
      </c>
      <c r="K1959" s="35" t="b">
        <f>IFERROR(__xludf.DUMMYFUNCTION("""COMPUTED_VALUE"""),FALSE)</f>
        <v>0</v>
      </c>
      <c r="L1959" s="35" t="str">
        <f>IFERROR(__xludf.DUMMYFUNCTION("""COMPUTED_VALUE"""),"Array;Matrix;Enumeration;")</f>
        <v>Array;Matrix;Enumeration;</v>
      </c>
      <c r="M1959" s="35" t="b">
        <f>IFERROR(__xludf.DUMMYFUNCTION("""COMPUTED_VALUE"""),FALSE)</f>
        <v>0</v>
      </c>
      <c r="N1959" s="35" t="b">
        <f>IFERROR(__xludf.DUMMYFUNCTION("""COMPUTED_VALUE"""),FALSE)</f>
        <v>0</v>
      </c>
      <c r="O1959" s="35">
        <f>IFERROR(__xludf.DUMMYFUNCTION("""COMPUTED_VALUE"""),43.0874387412948)</f>
        <v>43.08743874</v>
      </c>
      <c r="P1959" s="35">
        <f>IFERROR(__xludf.DUMMYFUNCTION("""COMPUTED_VALUE"""),6682.0)</f>
        <v>6682</v>
      </c>
      <c r="Q1959" s="35">
        <f>IFERROR(__xludf.DUMMYFUNCTION("""COMPUTED_VALUE"""),15508.0)</f>
        <v>15508</v>
      </c>
    </row>
    <row r="1960">
      <c r="A1960" s="35">
        <f>IFERROR(__xludf.DUMMYFUNCTION("""COMPUTED_VALUE"""),2081.0)</f>
        <v>2081</v>
      </c>
      <c r="B1960" s="35" t="str">
        <f>IFERROR(__xludf.DUMMYFUNCTION("""COMPUTED_VALUE"""),"Minimum Total Space Wasted With K Resizing Operations")</f>
        <v>Minimum Total Space Wasted With K Resizing Operations</v>
      </c>
      <c r="C1960" s="35" t="str">
        <f>IFERROR(__xludf.DUMMYFUNCTION("""COMPUTED_VALUE"""),"minimum-total-space-wasted-with-k-resizing-operations")</f>
        <v>minimum-total-space-wasted-with-k-resizing-operations</v>
      </c>
      <c r="D1960" s="35" t="b">
        <f>IFERROR(__xludf.DUMMYFUNCTION("""COMPUTED_VALUE"""),FALSE)</f>
        <v>0</v>
      </c>
      <c r="E1960" s="35" t="str">
        <f>IFERROR(__xludf.DUMMYFUNCTION("""COMPUTED_VALUE"""),"Medium")</f>
        <v>Medium</v>
      </c>
      <c r="F1960" s="35">
        <f>IFERROR(__xludf.DUMMYFUNCTION("""COMPUTED_VALUE"""),363.0)</f>
        <v>363</v>
      </c>
      <c r="G1960" s="35">
        <f>IFERROR(__xludf.DUMMYFUNCTION("""COMPUTED_VALUE"""),29.0)</f>
        <v>29</v>
      </c>
      <c r="H1960" s="35" t="str">
        <f>IFERROR(__xludf.DUMMYFUNCTION("""COMPUTED_VALUE"""),"Algorithms")</f>
        <v>Algorithms</v>
      </c>
      <c r="I1960" s="35">
        <f>IFERROR(__xludf.DUMMYFUNCTION("""COMPUTED_VALUE"""),0.417)</f>
        <v>0.417</v>
      </c>
      <c r="J1960" s="35">
        <f>IFERROR(__xludf.DUMMYFUNCTION("""COMPUTED_VALUE"""),1959.0)</f>
        <v>1959</v>
      </c>
      <c r="K1960" s="35" t="b">
        <f>IFERROR(__xludf.DUMMYFUNCTION("""COMPUTED_VALUE"""),FALSE)</f>
        <v>0</v>
      </c>
      <c r="L1960" s="35" t="str">
        <f>IFERROR(__xludf.DUMMYFUNCTION("""COMPUTED_VALUE"""),"Array;Dynamic Programming;")</f>
        <v>Array;Dynamic Programming;</v>
      </c>
      <c r="M1960" s="35" t="b">
        <f>IFERROR(__xludf.DUMMYFUNCTION("""COMPUTED_VALUE"""),FALSE)</f>
        <v>0</v>
      </c>
      <c r="N1960" s="35" t="b">
        <f>IFERROR(__xludf.DUMMYFUNCTION("""COMPUTED_VALUE"""),FALSE)</f>
        <v>0</v>
      </c>
      <c r="O1960" s="35">
        <f>IFERROR(__xludf.DUMMYFUNCTION("""COMPUTED_VALUE"""),41.7113643982567)</f>
        <v>41.7113644</v>
      </c>
      <c r="P1960" s="35">
        <f>IFERROR(__xludf.DUMMYFUNCTION("""COMPUTED_VALUE"""),4977.0)</f>
        <v>4977</v>
      </c>
      <c r="Q1960" s="35">
        <f>IFERROR(__xludf.DUMMYFUNCTION("""COMPUTED_VALUE"""),11932.0)</f>
        <v>11932</v>
      </c>
    </row>
    <row r="1961">
      <c r="A1961" s="35">
        <f>IFERROR(__xludf.DUMMYFUNCTION("""COMPUTED_VALUE"""),1336.0)</f>
        <v>1336</v>
      </c>
      <c r="B1961" s="35" t="str">
        <f>IFERROR(__xludf.DUMMYFUNCTION("""COMPUTED_VALUE"""),"Maximum Product of the Length of Two Palindromic Substrings")</f>
        <v>Maximum Product of the Length of Two Palindromic Substrings</v>
      </c>
      <c r="C1961" s="35" t="str">
        <f>IFERROR(__xludf.DUMMYFUNCTION("""COMPUTED_VALUE"""),"maximum-product-of-the-length-of-two-palindromic-substrings")</f>
        <v>maximum-product-of-the-length-of-two-palindromic-substrings</v>
      </c>
      <c r="D1961" s="35" t="b">
        <f>IFERROR(__xludf.DUMMYFUNCTION("""COMPUTED_VALUE"""),FALSE)</f>
        <v>0</v>
      </c>
      <c r="E1961" s="35" t="str">
        <f>IFERROR(__xludf.DUMMYFUNCTION("""COMPUTED_VALUE"""),"Hard")</f>
        <v>Hard</v>
      </c>
      <c r="F1961" s="35">
        <f>IFERROR(__xludf.DUMMYFUNCTION("""COMPUTED_VALUE"""),116.0)</f>
        <v>116</v>
      </c>
      <c r="G1961" s="35">
        <f>IFERROR(__xludf.DUMMYFUNCTION("""COMPUTED_VALUE"""),25.0)</f>
        <v>25</v>
      </c>
      <c r="H1961" s="35" t="str">
        <f>IFERROR(__xludf.DUMMYFUNCTION("""COMPUTED_VALUE"""),"Algorithms")</f>
        <v>Algorithms</v>
      </c>
      <c r="I1961" s="35">
        <f>IFERROR(__xludf.DUMMYFUNCTION("""COMPUTED_VALUE"""),0.288)</f>
        <v>0.288</v>
      </c>
      <c r="J1961" s="35">
        <f>IFERROR(__xludf.DUMMYFUNCTION("""COMPUTED_VALUE"""),1960.0)</f>
        <v>1960</v>
      </c>
      <c r="K1961" s="35" t="b">
        <f>IFERROR(__xludf.DUMMYFUNCTION("""COMPUTED_VALUE"""),FALSE)</f>
        <v>0</v>
      </c>
      <c r="L1961" s="35" t="str">
        <f>IFERROR(__xludf.DUMMYFUNCTION("""COMPUTED_VALUE"""),"String;Rolling Hash;Hash Function;")</f>
        <v>String;Rolling Hash;Hash Function;</v>
      </c>
      <c r="M1961" s="35" t="b">
        <f>IFERROR(__xludf.DUMMYFUNCTION("""COMPUTED_VALUE"""),FALSE)</f>
        <v>0</v>
      </c>
      <c r="N1961" s="35" t="b">
        <f>IFERROR(__xludf.DUMMYFUNCTION("""COMPUTED_VALUE"""),FALSE)</f>
        <v>0</v>
      </c>
      <c r="O1961" s="35">
        <f>IFERROR(__xludf.DUMMYFUNCTION("""COMPUTED_VALUE"""),28.798426150121)</f>
        <v>28.79842615</v>
      </c>
      <c r="P1961" s="35">
        <f>IFERROR(__xludf.DUMMYFUNCTION("""COMPUTED_VALUE"""),1903.0)</f>
        <v>1903</v>
      </c>
      <c r="Q1961" s="35">
        <f>IFERROR(__xludf.DUMMYFUNCTION("""COMPUTED_VALUE"""),6608.0)</f>
        <v>6608</v>
      </c>
    </row>
    <row r="1962">
      <c r="A1962" s="35">
        <f>IFERROR(__xludf.DUMMYFUNCTION("""COMPUTED_VALUE"""),2093.0)</f>
        <v>2093</v>
      </c>
      <c r="B1962" s="35" t="str">
        <f>IFERROR(__xludf.DUMMYFUNCTION("""COMPUTED_VALUE"""),"Check If String Is a Prefix of Array")</f>
        <v>Check If String Is a Prefix of Array</v>
      </c>
      <c r="C1962" s="35" t="str">
        <f>IFERROR(__xludf.DUMMYFUNCTION("""COMPUTED_VALUE"""),"check-if-string-is-a-prefix-of-array")</f>
        <v>check-if-string-is-a-prefix-of-array</v>
      </c>
      <c r="D1962" s="35" t="b">
        <f>IFERROR(__xludf.DUMMYFUNCTION("""COMPUTED_VALUE"""),FALSE)</f>
        <v>0</v>
      </c>
      <c r="E1962" s="35" t="str">
        <f>IFERROR(__xludf.DUMMYFUNCTION("""COMPUTED_VALUE"""),"Easy")</f>
        <v>Easy</v>
      </c>
      <c r="F1962" s="35">
        <f>IFERROR(__xludf.DUMMYFUNCTION("""COMPUTED_VALUE"""),198.0)</f>
        <v>198</v>
      </c>
      <c r="G1962" s="35">
        <f>IFERROR(__xludf.DUMMYFUNCTION("""COMPUTED_VALUE"""),29.0)</f>
        <v>29</v>
      </c>
      <c r="H1962" s="35" t="str">
        <f>IFERROR(__xludf.DUMMYFUNCTION("""COMPUTED_VALUE"""),"Algorithms")</f>
        <v>Algorithms</v>
      </c>
      <c r="I1962" s="35">
        <f>IFERROR(__xludf.DUMMYFUNCTION("""COMPUTED_VALUE"""),0.547)</f>
        <v>0.547</v>
      </c>
      <c r="J1962" s="35">
        <f>IFERROR(__xludf.DUMMYFUNCTION("""COMPUTED_VALUE"""),1961.0)</f>
        <v>1961</v>
      </c>
      <c r="K1962" s="35" t="b">
        <f>IFERROR(__xludf.DUMMYFUNCTION("""COMPUTED_VALUE"""),FALSE)</f>
        <v>0</v>
      </c>
      <c r="L1962" s="35" t="str">
        <f>IFERROR(__xludf.DUMMYFUNCTION("""COMPUTED_VALUE"""),"Array;String;")</f>
        <v>Array;String;</v>
      </c>
      <c r="M1962" s="35" t="b">
        <f>IFERROR(__xludf.DUMMYFUNCTION("""COMPUTED_VALUE"""),FALSE)</f>
        <v>0</v>
      </c>
      <c r="N1962" s="35" t="b">
        <f>IFERROR(__xludf.DUMMYFUNCTION("""COMPUTED_VALUE"""),FALSE)</f>
        <v>0</v>
      </c>
      <c r="O1962" s="35">
        <f>IFERROR(__xludf.DUMMYFUNCTION("""COMPUTED_VALUE"""),54.7254494027443)</f>
        <v>54.7254494</v>
      </c>
      <c r="P1962" s="35">
        <f>IFERROR(__xludf.DUMMYFUNCTION("""COMPUTED_VALUE"""),23409.0)</f>
        <v>23409</v>
      </c>
      <c r="Q1962" s="35">
        <f>IFERROR(__xludf.DUMMYFUNCTION("""COMPUTED_VALUE"""),42775.0)</f>
        <v>42775</v>
      </c>
    </row>
    <row r="1963">
      <c r="A1963" s="35">
        <f>IFERROR(__xludf.DUMMYFUNCTION("""COMPUTED_VALUE"""),2094.0)</f>
        <v>2094</v>
      </c>
      <c r="B1963" s="35" t="str">
        <f>IFERROR(__xludf.DUMMYFUNCTION("""COMPUTED_VALUE"""),"Remove Stones to Minimize the Total")</f>
        <v>Remove Stones to Minimize the Total</v>
      </c>
      <c r="C1963" s="35" t="str">
        <f>IFERROR(__xludf.DUMMYFUNCTION("""COMPUTED_VALUE"""),"remove-stones-to-minimize-the-total")</f>
        <v>remove-stones-to-minimize-the-total</v>
      </c>
      <c r="D1963" s="35" t="b">
        <f>IFERROR(__xludf.DUMMYFUNCTION("""COMPUTED_VALUE"""),FALSE)</f>
        <v>0</v>
      </c>
      <c r="E1963" s="35" t="str">
        <f>IFERROR(__xludf.DUMMYFUNCTION("""COMPUTED_VALUE"""),"Medium")</f>
        <v>Medium</v>
      </c>
      <c r="F1963" s="35">
        <f>IFERROR(__xludf.DUMMYFUNCTION("""COMPUTED_VALUE"""),262.0)</f>
        <v>262</v>
      </c>
      <c r="G1963" s="35">
        <f>IFERROR(__xludf.DUMMYFUNCTION("""COMPUTED_VALUE"""),12.0)</f>
        <v>12</v>
      </c>
      <c r="H1963" s="35" t="str">
        <f>IFERROR(__xludf.DUMMYFUNCTION("""COMPUTED_VALUE"""),"Algorithms")</f>
        <v>Algorithms</v>
      </c>
      <c r="I1963" s="35">
        <f>IFERROR(__xludf.DUMMYFUNCTION("""COMPUTED_VALUE"""),0.56)</f>
        <v>0.56</v>
      </c>
      <c r="J1963" s="35">
        <f>IFERROR(__xludf.DUMMYFUNCTION("""COMPUTED_VALUE"""),1962.0)</f>
        <v>1962</v>
      </c>
      <c r="K1963" s="35" t="b">
        <f>IFERROR(__xludf.DUMMYFUNCTION("""COMPUTED_VALUE"""),FALSE)</f>
        <v>0</v>
      </c>
      <c r="L1963" s="35" t="str">
        <f>IFERROR(__xludf.DUMMYFUNCTION("""COMPUTED_VALUE"""),"Array;Heap (Priority Queue);")</f>
        <v>Array;Heap (Priority Queue);</v>
      </c>
      <c r="M1963" s="35" t="b">
        <f>IFERROR(__xludf.DUMMYFUNCTION("""COMPUTED_VALUE"""),FALSE)</f>
        <v>0</v>
      </c>
      <c r="N1963" s="35" t="b">
        <f>IFERROR(__xludf.DUMMYFUNCTION("""COMPUTED_VALUE"""),FALSE)</f>
        <v>0</v>
      </c>
      <c r="O1963" s="35">
        <f>IFERROR(__xludf.DUMMYFUNCTION("""COMPUTED_VALUE"""),55.9842335571366)</f>
        <v>55.98423356</v>
      </c>
      <c r="P1963" s="35">
        <f>IFERROR(__xludf.DUMMYFUNCTION("""COMPUTED_VALUE"""),16760.0)</f>
        <v>16760</v>
      </c>
      <c r="Q1963" s="35">
        <f>IFERROR(__xludf.DUMMYFUNCTION("""COMPUTED_VALUE"""),29937.0)</f>
        <v>29937</v>
      </c>
    </row>
    <row r="1964">
      <c r="A1964" s="35">
        <f>IFERROR(__xludf.DUMMYFUNCTION("""COMPUTED_VALUE"""),2095.0)</f>
        <v>2095</v>
      </c>
      <c r="B1964" s="35" t="str">
        <f>IFERROR(__xludf.DUMMYFUNCTION("""COMPUTED_VALUE"""),"Minimum Number of Swaps to Make the String Balanced")</f>
        <v>Minimum Number of Swaps to Make the String Balanced</v>
      </c>
      <c r="C1964" s="35" t="str">
        <f>IFERROR(__xludf.DUMMYFUNCTION("""COMPUTED_VALUE"""),"minimum-number-of-swaps-to-make-the-string-balanced")</f>
        <v>minimum-number-of-swaps-to-make-the-string-balanced</v>
      </c>
      <c r="D1964" s="35" t="b">
        <f>IFERROR(__xludf.DUMMYFUNCTION("""COMPUTED_VALUE"""),FALSE)</f>
        <v>0</v>
      </c>
      <c r="E1964" s="35" t="str">
        <f>IFERROR(__xludf.DUMMYFUNCTION("""COMPUTED_VALUE"""),"Medium")</f>
        <v>Medium</v>
      </c>
      <c r="F1964" s="35">
        <f>IFERROR(__xludf.DUMMYFUNCTION("""COMPUTED_VALUE"""),634.0)</f>
        <v>634</v>
      </c>
      <c r="G1964" s="35">
        <f>IFERROR(__xludf.DUMMYFUNCTION("""COMPUTED_VALUE"""),28.0)</f>
        <v>28</v>
      </c>
      <c r="H1964" s="35" t="str">
        <f>IFERROR(__xludf.DUMMYFUNCTION("""COMPUTED_VALUE"""),"Algorithms")</f>
        <v>Algorithms</v>
      </c>
      <c r="I1964" s="35">
        <f>IFERROR(__xludf.DUMMYFUNCTION("""COMPUTED_VALUE"""),0.666)</f>
        <v>0.666</v>
      </c>
      <c r="J1964" s="35">
        <f>IFERROR(__xludf.DUMMYFUNCTION("""COMPUTED_VALUE"""),1963.0)</f>
        <v>1963</v>
      </c>
      <c r="K1964" s="35" t="b">
        <f>IFERROR(__xludf.DUMMYFUNCTION("""COMPUTED_VALUE"""),FALSE)</f>
        <v>0</v>
      </c>
      <c r="L1964" s="35" t="str">
        <f>IFERROR(__xludf.DUMMYFUNCTION("""COMPUTED_VALUE"""),"Two Pointers;String;Stack;Greedy;")</f>
        <v>Two Pointers;String;Stack;Greedy;</v>
      </c>
      <c r="M1964" s="35" t="b">
        <f>IFERROR(__xludf.DUMMYFUNCTION("""COMPUTED_VALUE"""),FALSE)</f>
        <v>0</v>
      </c>
      <c r="N1964" s="35" t="b">
        <f>IFERROR(__xludf.DUMMYFUNCTION("""COMPUTED_VALUE"""),FALSE)</f>
        <v>0</v>
      </c>
      <c r="O1964" s="35">
        <f>IFERROR(__xludf.DUMMYFUNCTION("""COMPUTED_VALUE"""),66.5559604984716)</f>
        <v>66.5559605</v>
      </c>
      <c r="P1964" s="35">
        <f>IFERROR(__xludf.DUMMYFUNCTION("""COMPUTED_VALUE"""),22645.0)</f>
        <v>22645</v>
      </c>
      <c r="Q1964" s="35">
        <f>IFERROR(__xludf.DUMMYFUNCTION("""COMPUTED_VALUE"""),34023.0)</f>
        <v>34023</v>
      </c>
    </row>
    <row r="1965">
      <c r="A1965" s="35">
        <f>IFERROR(__xludf.DUMMYFUNCTION("""COMPUTED_VALUE"""),2096.0)</f>
        <v>2096</v>
      </c>
      <c r="B1965" s="35" t="str">
        <f>IFERROR(__xludf.DUMMYFUNCTION("""COMPUTED_VALUE"""),"Find the Longest Valid Obstacle Course at Each Position")</f>
        <v>Find the Longest Valid Obstacle Course at Each Position</v>
      </c>
      <c r="C1965" s="35" t="str">
        <f>IFERROR(__xludf.DUMMYFUNCTION("""COMPUTED_VALUE"""),"find-the-longest-valid-obstacle-course-at-each-position")</f>
        <v>find-the-longest-valid-obstacle-course-at-each-position</v>
      </c>
      <c r="D1965" s="35" t="b">
        <f>IFERROR(__xludf.DUMMYFUNCTION("""COMPUTED_VALUE"""),FALSE)</f>
        <v>0</v>
      </c>
      <c r="E1965" s="35" t="str">
        <f>IFERROR(__xludf.DUMMYFUNCTION("""COMPUTED_VALUE"""),"Hard")</f>
        <v>Hard</v>
      </c>
      <c r="F1965" s="35">
        <f>IFERROR(__xludf.DUMMYFUNCTION("""COMPUTED_VALUE"""),339.0)</f>
        <v>339</v>
      </c>
      <c r="G1965" s="35">
        <f>IFERROR(__xludf.DUMMYFUNCTION("""COMPUTED_VALUE"""),5.0)</f>
        <v>5</v>
      </c>
      <c r="H1965" s="35" t="str">
        <f>IFERROR(__xludf.DUMMYFUNCTION("""COMPUTED_VALUE"""),"Algorithms")</f>
        <v>Algorithms</v>
      </c>
      <c r="I1965" s="35">
        <f>IFERROR(__xludf.DUMMYFUNCTION("""COMPUTED_VALUE"""),0.452)</f>
        <v>0.452</v>
      </c>
      <c r="J1965" s="35">
        <f>IFERROR(__xludf.DUMMYFUNCTION("""COMPUTED_VALUE"""),1964.0)</f>
        <v>1964</v>
      </c>
      <c r="K1965" s="35" t="b">
        <f>IFERROR(__xludf.DUMMYFUNCTION("""COMPUTED_VALUE"""),FALSE)</f>
        <v>0</v>
      </c>
      <c r="L1965" s="35" t="str">
        <f>IFERROR(__xludf.DUMMYFUNCTION("""COMPUTED_VALUE"""),"Array;Binary Search;Binary Indexed Tree;")</f>
        <v>Array;Binary Search;Binary Indexed Tree;</v>
      </c>
      <c r="M1965" s="35" t="b">
        <f>IFERROR(__xludf.DUMMYFUNCTION("""COMPUTED_VALUE"""),FALSE)</f>
        <v>0</v>
      </c>
      <c r="N1965" s="35" t="b">
        <f>IFERROR(__xludf.DUMMYFUNCTION("""COMPUTED_VALUE"""),FALSE)</f>
        <v>0</v>
      </c>
      <c r="O1965" s="35">
        <f>IFERROR(__xludf.DUMMYFUNCTION("""COMPUTED_VALUE"""),45.178783257075)</f>
        <v>45.17878326</v>
      </c>
      <c r="P1965" s="35">
        <f>IFERROR(__xludf.DUMMYFUNCTION("""COMPUTED_VALUE"""),7998.0)</f>
        <v>7998</v>
      </c>
      <c r="Q1965" s="35">
        <f>IFERROR(__xludf.DUMMYFUNCTION("""COMPUTED_VALUE"""),17703.0)</f>
        <v>17703</v>
      </c>
    </row>
    <row r="1966">
      <c r="A1966" s="35">
        <f>IFERROR(__xludf.DUMMYFUNCTION("""COMPUTED_VALUE"""),2110.0)</f>
        <v>2110</v>
      </c>
      <c r="B1966" s="35" t="str">
        <f>IFERROR(__xludf.DUMMYFUNCTION("""COMPUTED_VALUE"""),"Employees With Missing Information")</f>
        <v>Employees With Missing Information</v>
      </c>
      <c r="C1966" s="35" t="str">
        <f>IFERROR(__xludf.DUMMYFUNCTION("""COMPUTED_VALUE"""),"employees-with-missing-information")</f>
        <v>employees-with-missing-information</v>
      </c>
      <c r="D1966" s="35" t="b">
        <f>IFERROR(__xludf.DUMMYFUNCTION("""COMPUTED_VALUE"""),TRUE)</f>
        <v>1</v>
      </c>
      <c r="E1966" s="35" t="str">
        <f>IFERROR(__xludf.DUMMYFUNCTION("""COMPUTED_VALUE"""),"Easy")</f>
        <v>Easy</v>
      </c>
      <c r="F1966" s="35">
        <f>IFERROR(__xludf.DUMMYFUNCTION("""COMPUTED_VALUE"""),30.0)</f>
        <v>30</v>
      </c>
      <c r="G1966" s="35">
        <f>IFERROR(__xludf.DUMMYFUNCTION("""COMPUTED_VALUE"""),0.0)</f>
        <v>0</v>
      </c>
      <c r="H1966" s="35" t="str">
        <f>IFERROR(__xludf.DUMMYFUNCTION("""COMPUTED_VALUE"""),"Database")</f>
        <v>Database</v>
      </c>
      <c r="I1966" s="35">
        <f>IFERROR(__xludf.DUMMYFUNCTION("""COMPUTED_VALUE"""),0.807)</f>
        <v>0.807</v>
      </c>
      <c r="J1966" s="35">
        <f>IFERROR(__xludf.DUMMYFUNCTION("""COMPUTED_VALUE"""),1965.0)</f>
        <v>1965</v>
      </c>
      <c r="K1966" s="35" t="b">
        <f>IFERROR(__xludf.DUMMYFUNCTION("""COMPUTED_VALUE"""),TRUE)</f>
        <v>1</v>
      </c>
      <c r="L1966" s="35" t="str">
        <f>IFERROR(__xludf.DUMMYFUNCTION("""COMPUTED_VALUE"""),"Database;")</f>
        <v>Database;</v>
      </c>
      <c r="M1966" s="35" t="b">
        <f>IFERROR(__xludf.DUMMYFUNCTION("""COMPUTED_VALUE"""),FALSE)</f>
        <v>0</v>
      </c>
      <c r="N1966" s="35" t="b">
        <f>IFERROR(__xludf.DUMMYFUNCTION("""COMPUTED_VALUE"""),FALSE)</f>
        <v>0</v>
      </c>
      <c r="O1966" s="35">
        <f>IFERROR(__xludf.DUMMYFUNCTION("""COMPUTED_VALUE"""),80.7377049180327)</f>
        <v>80.73770492</v>
      </c>
      <c r="P1966" s="35">
        <f>IFERROR(__xludf.DUMMYFUNCTION("""COMPUTED_VALUE"""),4925.0)</f>
        <v>4925</v>
      </c>
      <c r="Q1966" s="35">
        <f>IFERROR(__xludf.DUMMYFUNCTION("""COMPUTED_VALUE"""),6100.0)</f>
        <v>6100</v>
      </c>
    </row>
    <row r="1967">
      <c r="A1967" s="35">
        <f>IFERROR(__xludf.DUMMYFUNCTION("""COMPUTED_VALUE"""),2111.0)</f>
        <v>2111</v>
      </c>
      <c r="B1967" s="35" t="str">
        <f>IFERROR(__xludf.DUMMYFUNCTION("""COMPUTED_VALUE"""),"Binary Searchable Numbers in an Unsorted Array")</f>
        <v>Binary Searchable Numbers in an Unsorted Array</v>
      </c>
      <c r="C1967" s="35" t="str">
        <f>IFERROR(__xludf.DUMMYFUNCTION("""COMPUTED_VALUE"""),"binary-searchable-numbers-in-an-unsorted-array")</f>
        <v>binary-searchable-numbers-in-an-unsorted-array</v>
      </c>
      <c r="D1967" s="35" t="b">
        <f>IFERROR(__xludf.DUMMYFUNCTION("""COMPUTED_VALUE"""),TRUE)</f>
        <v>1</v>
      </c>
      <c r="E1967" s="35" t="str">
        <f>IFERROR(__xludf.DUMMYFUNCTION("""COMPUTED_VALUE"""),"Medium")</f>
        <v>Medium</v>
      </c>
      <c r="F1967" s="35">
        <f>IFERROR(__xludf.DUMMYFUNCTION("""COMPUTED_VALUE"""),39.0)</f>
        <v>39</v>
      </c>
      <c r="G1967" s="35">
        <f>IFERROR(__xludf.DUMMYFUNCTION("""COMPUTED_VALUE"""),5.0)</f>
        <v>5</v>
      </c>
      <c r="H1967" s="35" t="str">
        <f>IFERROR(__xludf.DUMMYFUNCTION("""COMPUTED_VALUE"""),"Algorithms")</f>
        <v>Algorithms</v>
      </c>
      <c r="I1967" s="35">
        <f>IFERROR(__xludf.DUMMYFUNCTION("""COMPUTED_VALUE"""),0.663)</f>
        <v>0.663</v>
      </c>
      <c r="J1967" s="35">
        <f>IFERROR(__xludf.DUMMYFUNCTION("""COMPUTED_VALUE"""),1966.0)</f>
        <v>1966</v>
      </c>
      <c r="K1967" s="35" t="b">
        <f>IFERROR(__xludf.DUMMYFUNCTION("""COMPUTED_VALUE"""),TRUE)</f>
        <v>1</v>
      </c>
      <c r="L1967" s="35" t="str">
        <f>IFERROR(__xludf.DUMMYFUNCTION("""COMPUTED_VALUE"""),"Array;Binary Search;")</f>
        <v>Array;Binary Search;</v>
      </c>
      <c r="M1967" s="35" t="b">
        <f>IFERROR(__xludf.DUMMYFUNCTION("""COMPUTED_VALUE"""),FALSE)</f>
        <v>0</v>
      </c>
      <c r="N1967" s="35" t="b">
        <f>IFERROR(__xludf.DUMMYFUNCTION("""COMPUTED_VALUE"""),FALSE)</f>
        <v>0</v>
      </c>
      <c r="O1967" s="35">
        <f>IFERROR(__xludf.DUMMYFUNCTION("""COMPUTED_VALUE"""),66.3316582914572)</f>
        <v>66.33165829</v>
      </c>
      <c r="P1967" s="35">
        <f>IFERROR(__xludf.DUMMYFUNCTION("""COMPUTED_VALUE"""),1320.0)</f>
        <v>1320</v>
      </c>
      <c r="Q1967" s="35">
        <f>IFERROR(__xludf.DUMMYFUNCTION("""COMPUTED_VALUE"""),1990.0)</f>
        <v>1990</v>
      </c>
    </row>
    <row r="1968">
      <c r="A1968" s="35">
        <f>IFERROR(__xludf.DUMMYFUNCTION("""COMPUTED_VALUE"""),2099.0)</f>
        <v>2099</v>
      </c>
      <c r="B1968" s="35" t="str">
        <f>IFERROR(__xludf.DUMMYFUNCTION("""COMPUTED_VALUE"""),"Number of Strings That Appear as Substrings in Word")</f>
        <v>Number of Strings That Appear as Substrings in Word</v>
      </c>
      <c r="C1968" s="35" t="str">
        <f>IFERROR(__xludf.DUMMYFUNCTION("""COMPUTED_VALUE"""),"number-of-strings-that-appear-as-substrings-in-word")</f>
        <v>number-of-strings-that-appear-as-substrings-in-word</v>
      </c>
      <c r="D1968" s="35" t="b">
        <f>IFERROR(__xludf.DUMMYFUNCTION("""COMPUTED_VALUE"""),FALSE)</f>
        <v>0</v>
      </c>
      <c r="E1968" s="35" t="str">
        <f>IFERROR(__xludf.DUMMYFUNCTION("""COMPUTED_VALUE"""),"Easy")</f>
        <v>Easy</v>
      </c>
      <c r="F1968" s="35">
        <f>IFERROR(__xludf.DUMMYFUNCTION("""COMPUTED_VALUE"""),254.0)</f>
        <v>254</v>
      </c>
      <c r="G1968" s="35">
        <f>IFERROR(__xludf.DUMMYFUNCTION("""COMPUTED_VALUE"""),10.0)</f>
        <v>10</v>
      </c>
      <c r="H1968" s="35" t="str">
        <f>IFERROR(__xludf.DUMMYFUNCTION("""COMPUTED_VALUE"""),"Algorithms")</f>
        <v>Algorithms</v>
      </c>
      <c r="I1968" s="35">
        <f>IFERROR(__xludf.DUMMYFUNCTION("""COMPUTED_VALUE"""),0.793)</f>
        <v>0.793</v>
      </c>
      <c r="J1968" s="35">
        <f>IFERROR(__xludf.DUMMYFUNCTION("""COMPUTED_VALUE"""),1967.0)</f>
        <v>1967</v>
      </c>
      <c r="K1968" s="35" t="b">
        <f>IFERROR(__xludf.DUMMYFUNCTION("""COMPUTED_VALUE"""),FALSE)</f>
        <v>0</v>
      </c>
      <c r="L1968" s="35" t="str">
        <f>IFERROR(__xludf.DUMMYFUNCTION("""COMPUTED_VALUE"""),"String;")</f>
        <v>String;</v>
      </c>
      <c r="M1968" s="35" t="b">
        <f>IFERROR(__xludf.DUMMYFUNCTION("""COMPUTED_VALUE"""),FALSE)</f>
        <v>0</v>
      </c>
      <c r="N1968" s="35" t="b">
        <f>IFERROR(__xludf.DUMMYFUNCTION("""COMPUTED_VALUE"""),FALSE)</f>
        <v>0</v>
      </c>
      <c r="O1968" s="35">
        <f>IFERROR(__xludf.DUMMYFUNCTION("""COMPUTED_VALUE"""),79.3471224684812)</f>
        <v>79.34712247</v>
      </c>
      <c r="P1968" s="35">
        <f>IFERROR(__xludf.DUMMYFUNCTION("""COMPUTED_VALUE"""),25740.0)</f>
        <v>25740</v>
      </c>
      <c r="Q1968" s="35">
        <f>IFERROR(__xludf.DUMMYFUNCTION("""COMPUTED_VALUE"""),32439.0)</f>
        <v>32439</v>
      </c>
    </row>
    <row r="1969">
      <c r="A1969" s="35">
        <f>IFERROR(__xludf.DUMMYFUNCTION("""COMPUTED_VALUE"""),2085.0)</f>
        <v>2085</v>
      </c>
      <c r="B1969" s="35" t="str">
        <f>IFERROR(__xludf.DUMMYFUNCTION("""COMPUTED_VALUE"""),"Array With Elements Not Equal to Average of Neighbors")</f>
        <v>Array With Elements Not Equal to Average of Neighbors</v>
      </c>
      <c r="C1969" s="35" t="str">
        <f>IFERROR(__xludf.DUMMYFUNCTION("""COMPUTED_VALUE"""),"array-with-elements-not-equal-to-average-of-neighbors")</f>
        <v>array-with-elements-not-equal-to-average-of-neighbors</v>
      </c>
      <c r="D1969" s="35" t="b">
        <f>IFERROR(__xludf.DUMMYFUNCTION("""COMPUTED_VALUE"""),FALSE)</f>
        <v>0</v>
      </c>
      <c r="E1969" s="35" t="str">
        <f>IFERROR(__xludf.DUMMYFUNCTION("""COMPUTED_VALUE"""),"Medium")</f>
        <v>Medium</v>
      </c>
      <c r="F1969" s="35">
        <f>IFERROR(__xludf.DUMMYFUNCTION("""COMPUTED_VALUE"""),246.0)</f>
        <v>246</v>
      </c>
      <c r="G1969" s="35">
        <f>IFERROR(__xludf.DUMMYFUNCTION("""COMPUTED_VALUE"""),16.0)</f>
        <v>16</v>
      </c>
      <c r="H1969" s="35" t="str">
        <f>IFERROR(__xludf.DUMMYFUNCTION("""COMPUTED_VALUE"""),"Algorithms")</f>
        <v>Algorithms</v>
      </c>
      <c r="I1969" s="35">
        <f>IFERROR(__xludf.DUMMYFUNCTION("""COMPUTED_VALUE"""),0.482)</f>
        <v>0.482</v>
      </c>
      <c r="J1969" s="35">
        <f>IFERROR(__xludf.DUMMYFUNCTION("""COMPUTED_VALUE"""),1968.0)</f>
        <v>1968</v>
      </c>
      <c r="K1969" s="35" t="b">
        <f>IFERROR(__xludf.DUMMYFUNCTION("""COMPUTED_VALUE"""),FALSE)</f>
        <v>0</v>
      </c>
      <c r="L1969" s="35" t="str">
        <f>IFERROR(__xludf.DUMMYFUNCTION("""COMPUTED_VALUE"""),"Array;Greedy;Sorting;")</f>
        <v>Array;Greedy;Sorting;</v>
      </c>
      <c r="M1969" s="35" t="b">
        <f>IFERROR(__xludf.DUMMYFUNCTION("""COMPUTED_VALUE"""),FALSE)</f>
        <v>0</v>
      </c>
      <c r="N1969" s="35" t="b">
        <f>IFERROR(__xludf.DUMMYFUNCTION("""COMPUTED_VALUE"""),FALSE)</f>
        <v>0</v>
      </c>
      <c r="O1969" s="35">
        <f>IFERROR(__xludf.DUMMYFUNCTION("""COMPUTED_VALUE"""),48.2207720248722)</f>
        <v>48.22077202</v>
      </c>
      <c r="P1969" s="35">
        <f>IFERROR(__xludf.DUMMYFUNCTION("""COMPUTED_VALUE"""),15665.0)</f>
        <v>15665</v>
      </c>
      <c r="Q1969" s="35">
        <f>IFERROR(__xludf.DUMMYFUNCTION("""COMPUTED_VALUE"""),32486.0)</f>
        <v>32486</v>
      </c>
    </row>
    <row r="1970">
      <c r="A1970" s="35">
        <f>IFERROR(__xludf.DUMMYFUNCTION("""COMPUTED_VALUE"""),2100.0)</f>
        <v>2100</v>
      </c>
      <c r="B1970" s="35" t="str">
        <f>IFERROR(__xludf.DUMMYFUNCTION("""COMPUTED_VALUE"""),"Minimum Non-Zero Product of the Array Elements")</f>
        <v>Minimum Non-Zero Product of the Array Elements</v>
      </c>
      <c r="C1970" s="35" t="str">
        <f>IFERROR(__xludf.DUMMYFUNCTION("""COMPUTED_VALUE"""),"minimum-non-zero-product-of-the-array-elements")</f>
        <v>minimum-non-zero-product-of-the-array-elements</v>
      </c>
      <c r="D1970" s="35" t="b">
        <f>IFERROR(__xludf.DUMMYFUNCTION("""COMPUTED_VALUE"""),FALSE)</f>
        <v>0</v>
      </c>
      <c r="E1970" s="35" t="str">
        <f>IFERROR(__xludf.DUMMYFUNCTION("""COMPUTED_VALUE"""),"Medium")</f>
        <v>Medium</v>
      </c>
      <c r="F1970" s="35">
        <f>IFERROR(__xludf.DUMMYFUNCTION("""COMPUTED_VALUE"""),102.0)</f>
        <v>102</v>
      </c>
      <c r="G1970" s="35">
        <f>IFERROR(__xludf.DUMMYFUNCTION("""COMPUTED_VALUE"""),272.0)</f>
        <v>272</v>
      </c>
      <c r="H1970" s="35" t="str">
        <f>IFERROR(__xludf.DUMMYFUNCTION("""COMPUTED_VALUE"""),"Algorithms")</f>
        <v>Algorithms</v>
      </c>
      <c r="I1970" s="35">
        <f>IFERROR(__xludf.DUMMYFUNCTION("""COMPUTED_VALUE"""),0.322)</f>
        <v>0.322</v>
      </c>
      <c r="J1970" s="35">
        <f>IFERROR(__xludf.DUMMYFUNCTION("""COMPUTED_VALUE"""),1969.0)</f>
        <v>1969</v>
      </c>
      <c r="K1970" s="35" t="b">
        <f>IFERROR(__xludf.DUMMYFUNCTION("""COMPUTED_VALUE"""),FALSE)</f>
        <v>0</v>
      </c>
      <c r="L1970" s="35" t="str">
        <f>IFERROR(__xludf.DUMMYFUNCTION("""COMPUTED_VALUE"""),"Math;Greedy;Recursion;")</f>
        <v>Math;Greedy;Recursion;</v>
      </c>
      <c r="M1970" s="35" t="b">
        <f>IFERROR(__xludf.DUMMYFUNCTION("""COMPUTED_VALUE"""),FALSE)</f>
        <v>0</v>
      </c>
      <c r="N1970" s="35" t="b">
        <f>IFERROR(__xludf.DUMMYFUNCTION("""COMPUTED_VALUE"""),FALSE)</f>
        <v>0</v>
      </c>
      <c r="O1970" s="35">
        <f>IFERROR(__xludf.DUMMYFUNCTION("""COMPUTED_VALUE"""),32.180889861415)</f>
        <v>32.18088986</v>
      </c>
      <c r="P1970" s="35">
        <f>IFERROR(__xludf.DUMMYFUNCTION("""COMPUTED_VALUE"""),6618.0)</f>
        <v>6618</v>
      </c>
      <c r="Q1970" s="35">
        <f>IFERROR(__xludf.DUMMYFUNCTION("""COMPUTED_VALUE"""),20565.0)</f>
        <v>20565</v>
      </c>
    </row>
    <row r="1971">
      <c r="A1971" s="35">
        <f>IFERROR(__xludf.DUMMYFUNCTION("""COMPUTED_VALUE"""),2101.0)</f>
        <v>2101</v>
      </c>
      <c r="B1971" s="35" t="str">
        <f>IFERROR(__xludf.DUMMYFUNCTION("""COMPUTED_VALUE"""),"Last Day Where You Can Still Cross")</f>
        <v>Last Day Where You Can Still Cross</v>
      </c>
      <c r="C1971" s="35" t="str">
        <f>IFERROR(__xludf.DUMMYFUNCTION("""COMPUTED_VALUE"""),"last-day-where-you-can-still-cross")</f>
        <v>last-day-where-you-can-still-cross</v>
      </c>
      <c r="D1971" s="35" t="b">
        <f>IFERROR(__xludf.DUMMYFUNCTION("""COMPUTED_VALUE"""),FALSE)</f>
        <v>0</v>
      </c>
      <c r="E1971" s="35" t="str">
        <f>IFERROR(__xludf.DUMMYFUNCTION("""COMPUTED_VALUE"""),"Hard")</f>
        <v>Hard</v>
      </c>
      <c r="F1971" s="35">
        <f>IFERROR(__xludf.DUMMYFUNCTION("""COMPUTED_VALUE"""),405.0)</f>
        <v>405</v>
      </c>
      <c r="G1971" s="35">
        <f>IFERROR(__xludf.DUMMYFUNCTION("""COMPUTED_VALUE"""),7.0)</f>
        <v>7</v>
      </c>
      <c r="H1971" s="35" t="str">
        <f>IFERROR(__xludf.DUMMYFUNCTION("""COMPUTED_VALUE"""),"Algorithms")</f>
        <v>Algorithms</v>
      </c>
      <c r="I1971" s="35">
        <f>IFERROR(__xludf.DUMMYFUNCTION("""COMPUTED_VALUE"""),0.484)</f>
        <v>0.484</v>
      </c>
      <c r="J1971" s="35">
        <f>IFERROR(__xludf.DUMMYFUNCTION("""COMPUTED_VALUE"""),1970.0)</f>
        <v>1970</v>
      </c>
      <c r="K1971" s="35" t="b">
        <f>IFERROR(__xludf.DUMMYFUNCTION("""COMPUTED_VALUE"""),FALSE)</f>
        <v>0</v>
      </c>
      <c r="L1971" s="35" t="str">
        <f>IFERROR(__xludf.DUMMYFUNCTION("""COMPUTED_VALUE"""),"Array;Binary Search;Depth-First Search;Breadth-First Search;Union Find;Matrix;")</f>
        <v>Array;Binary Search;Depth-First Search;Breadth-First Search;Union Find;Matrix;</v>
      </c>
      <c r="M1971" s="35" t="b">
        <f>IFERROR(__xludf.DUMMYFUNCTION("""COMPUTED_VALUE"""),FALSE)</f>
        <v>0</v>
      </c>
      <c r="N1971" s="35" t="b">
        <f>IFERROR(__xludf.DUMMYFUNCTION("""COMPUTED_VALUE"""),FALSE)</f>
        <v>0</v>
      </c>
      <c r="O1971" s="35">
        <f>IFERROR(__xludf.DUMMYFUNCTION("""COMPUTED_VALUE"""),48.4185362265538)</f>
        <v>48.41853623</v>
      </c>
      <c r="P1971" s="35">
        <f>IFERROR(__xludf.DUMMYFUNCTION("""COMPUTED_VALUE"""),7899.0)</f>
        <v>7899</v>
      </c>
      <c r="Q1971" s="35">
        <f>IFERROR(__xludf.DUMMYFUNCTION("""COMPUTED_VALUE"""),16314.0)</f>
        <v>16314</v>
      </c>
    </row>
    <row r="1972">
      <c r="A1972" s="35">
        <f>IFERROR(__xludf.DUMMYFUNCTION("""COMPUTED_VALUE"""),2121.0)</f>
        <v>2121</v>
      </c>
      <c r="B1972" s="35" t="str">
        <f>IFERROR(__xludf.DUMMYFUNCTION("""COMPUTED_VALUE"""),"Find if Path Exists in Graph")</f>
        <v>Find if Path Exists in Graph</v>
      </c>
      <c r="C1972" s="35" t="str">
        <f>IFERROR(__xludf.DUMMYFUNCTION("""COMPUTED_VALUE"""),"find-if-path-exists-in-graph")</f>
        <v>find-if-path-exists-in-graph</v>
      </c>
      <c r="D1972" s="35" t="b">
        <f>IFERROR(__xludf.DUMMYFUNCTION("""COMPUTED_VALUE"""),FALSE)</f>
        <v>0</v>
      </c>
      <c r="E1972" s="35" t="str">
        <f>IFERROR(__xludf.DUMMYFUNCTION("""COMPUTED_VALUE"""),"Easy")</f>
        <v>Easy</v>
      </c>
      <c r="F1972" s="35">
        <f>IFERROR(__xludf.DUMMYFUNCTION("""COMPUTED_VALUE"""),774.0)</f>
        <v>774</v>
      </c>
      <c r="G1972" s="35">
        <f>IFERROR(__xludf.DUMMYFUNCTION("""COMPUTED_VALUE"""),42.0)</f>
        <v>42</v>
      </c>
      <c r="H1972" s="35" t="str">
        <f>IFERROR(__xludf.DUMMYFUNCTION("""COMPUTED_VALUE"""),"Algorithms")</f>
        <v>Algorithms</v>
      </c>
      <c r="I1972" s="35">
        <f>IFERROR(__xludf.DUMMYFUNCTION("""COMPUTED_VALUE"""),0.504)</f>
        <v>0.504</v>
      </c>
      <c r="J1972" s="35">
        <f>IFERROR(__xludf.DUMMYFUNCTION("""COMPUTED_VALUE"""),1971.0)</f>
        <v>1971</v>
      </c>
      <c r="K1972" s="35" t="b">
        <f>IFERROR(__xludf.DUMMYFUNCTION("""COMPUTED_VALUE"""),FALSE)</f>
        <v>0</v>
      </c>
      <c r="L1972" s="35" t="str">
        <f>IFERROR(__xludf.DUMMYFUNCTION("""COMPUTED_VALUE"""),"Depth-First Search;Breadth-First Search;Graph;")</f>
        <v>Depth-First Search;Breadth-First Search;Graph;</v>
      </c>
      <c r="M1972" s="35" t="b">
        <f>IFERROR(__xludf.DUMMYFUNCTION("""COMPUTED_VALUE"""),FALSE)</f>
        <v>0</v>
      </c>
      <c r="N1972" s="35" t="b">
        <f>IFERROR(__xludf.DUMMYFUNCTION("""COMPUTED_VALUE"""),FALSE)</f>
        <v>0</v>
      </c>
      <c r="O1972" s="35">
        <f>IFERROR(__xludf.DUMMYFUNCTION("""COMPUTED_VALUE"""),50.405647976707)</f>
        <v>50.40564798</v>
      </c>
      <c r="P1972" s="35">
        <f>IFERROR(__xludf.DUMMYFUNCTION("""COMPUTED_VALUE"""),71323.0)</f>
        <v>71323</v>
      </c>
      <c r="Q1972" s="35">
        <f>IFERROR(__xludf.DUMMYFUNCTION("""COMPUTED_VALUE"""),141492.0)</f>
        <v>141492</v>
      </c>
    </row>
    <row r="1973">
      <c r="A1973" s="35">
        <f>IFERROR(__xludf.DUMMYFUNCTION("""COMPUTED_VALUE"""),2120.0)</f>
        <v>2120</v>
      </c>
      <c r="B1973" s="35" t="str">
        <f>IFERROR(__xludf.DUMMYFUNCTION("""COMPUTED_VALUE"""),"First and Last Call On the Same Day")</f>
        <v>First and Last Call On the Same Day</v>
      </c>
      <c r="C1973" s="35" t="str">
        <f>IFERROR(__xludf.DUMMYFUNCTION("""COMPUTED_VALUE"""),"first-and-last-call-on-the-same-day")</f>
        <v>first-and-last-call-on-the-same-day</v>
      </c>
      <c r="D1973" s="35" t="b">
        <f>IFERROR(__xludf.DUMMYFUNCTION("""COMPUTED_VALUE"""),TRUE)</f>
        <v>1</v>
      </c>
      <c r="E1973" s="35" t="str">
        <f>IFERROR(__xludf.DUMMYFUNCTION("""COMPUTED_VALUE"""),"Hard")</f>
        <v>Hard</v>
      </c>
      <c r="F1973" s="35">
        <f>IFERROR(__xludf.DUMMYFUNCTION("""COMPUTED_VALUE"""),46.0)</f>
        <v>46</v>
      </c>
      <c r="G1973" s="35">
        <f>IFERROR(__xludf.DUMMYFUNCTION("""COMPUTED_VALUE"""),8.0)</f>
        <v>8</v>
      </c>
      <c r="H1973" s="35" t="str">
        <f>IFERROR(__xludf.DUMMYFUNCTION("""COMPUTED_VALUE"""),"Database")</f>
        <v>Database</v>
      </c>
      <c r="I1973" s="35">
        <f>IFERROR(__xludf.DUMMYFUNCTION("""COMPUTED_VALUE"""),0.514)</f>
        <v>0.514</v>
      </c>
      <c r="J1973" s="35">
        <f>IFERROR(__xludf.DUMMYFUNCTION("""COMPUTED_VALUE"""),1972.0)</f>
        <v>1972</v>
      </c>
      <c r="K1973" s="35" t="b">
        <f>IFERROR(__xludf.DUMMYFUNCTION("""COMPUTED_VALUE"""),TRUE)</f>
        <v>1</v>
      </c>
      <c r="L1973" s="35" t="str">
        <f>IFERROR(__xludf.DUMMYFUNCTION("""COMPUTED_VALUE"""),"Database;")</f>
        <v>Database;</v>
      </c>
      <c r="M1973" s="35" t="b">
        <f>IFERROR(__xludf.DUMMYFUNCTION("""COMPUTED_VALUE"""),FALSE)</f>
        <v>0</v>
      </c>
      <c r="N1973" s="35" t="b">
        <f>IFERROR(__xludf.DUMMYFUNCTION("""COMPUTED_VALUE"""),FALSE)</f>
        <v>0</v>
      </c>
      <c r="O1973" s="35">
        <f>IFERROR(__xludf.DUMMYFUNCTION("""COMPUTED_VALUE"""),51.3815650706601)</f>
        <v>51.38156507</v>
      </c>
      <c r="P1973" s="35">
        <f>IFERROR(__xludf.DUMMYFUNCTION("""COMPUTED_VALUE"""),2436.0)</f>
        <v>2436</v>
      </c>
      <c r="Q1973" s="35">
        <f>IFERROR(__xludf.DUMMYFUNCTION("""COMPUTED_VALUE"""),4741.0)</f>
        <v>4741</v>
      </c>
    </row>
    <row r="1974">
      <c r="A1974" s="35">
        <f>IFERROR(__xludf.DUMMYFUNCTION("""COMPUTED_VALUE"""),2126.0)</f>
        <v>2126</v>
      </c>
      <c r="B1974" s="35" t="str">
        <f>IFERROR(__xludf.DUMMYFUNCTION("""COMPUTED_VALUE"""),"Count Nodes Equal to Sum of Descendants")</f>
        <v>Count Nodes Equal to Sum of Descendants</v>
      </c>
      <c r="C1974" s="35" t="str">
        <f>IFERROR(__xludf.DUMMYFUNCTION("""COMPUTED_VALUE"""),"count-nodes-equal-to-sum-of-descendants")</f>
        <v>count-nodes-equal-to-sum-of-descendants</v>
      </c>
      <c r="D1974" s="35" t="b">
        <f>IFERROR(__xludf.DUMMYFUNCTION("""COMPUTED_VALUE"""),TRUE)</f>
        <v>1</v>
      </c>
      <c r="E1974" s="35" t="str">
        <f>IFERROR(__xludf.DUMMYFUNCTION("""COMPUTED_VALUE"""),"Medium")</f>
        <v>Medium</v>
      </c>
      <c r="F1974" s="35">
        <f>IFERROR(__xludf.DUMMYFUNCTION("""COMPUTED_VALUE"""),84.0)</f>
        <v>84</v>
      </c>
      <c r="G1974" s="35">
        <f>IFERROR(__xludf.DUMMYFUNCTION("""COMPUTED_VALUE"""),2.0)</f>
        <v>2</v>
      </c>
      <c r="H1974" s="35" t="str">
        <f>IFERROR(__xludf.DUMMYFUNCTION("""COMPUTED_VALUE"""),"Algorithms")</f>
        <v>Algorithms</v>
      </c>
      <c r="I1974" s="35">
        <f>IFERROR(__xludf.DUMMYFUNCTION("""COMPUTED_VALUE"""),0.749)</f>
        <v>0.749</v>
      </c>
      <c r="J1974" s="35">
        <f>IFERROR(__xludf.DUMMYFUNCTION("""COMPUTED_VALUE"""),1973.0)</f>
        <v>1973</v>
      </c>
      <c r="K1974" s="35" t="b">
        <f>IFERROR(__xludf.DUMMYFUNCTION("""COMPUTED_VALUE"""),TRUE)</f>
        <v>1</v>
      </c>
      <c r="L1974" s="35" t="str">
        <f>IFERROR(__xludf.DUMMYFUNCTION("""COMPUTED_VALUE"""),"Tree;Depth-First Search;Binary Search Tree;Binary Tree;")</f>
        <v>Tree;Depth-First Search;Binary Search Tree;Binary Tree;</v>
      </c>
      <c r="M1974" s="35" t="b">
        <f>IFERROR(__xludf.DUMMYFUNCTION("""COMPUTED_VALUE"""),FALSE)</f>
        <v>0</v>
      </c>
      <c r="N1974" s="35" t="b">
        <f>IFERROR(__xludf.DUMMYFUNCTION("""COMPUTED_VALUE"""),FALSE)</f>
        <v>0</v>
      </c>
      <c r="O1974" s="35">
        <f>IFERROR(__xludf.DUMMYFUNCTION("""COMPUTED_VALUE"""),74.8809523809523)</f>
        <v>74.88095238</v>
      </c>
      <c r="P1974" s="35">
        <f>IFERROR(__xludf.DUMMYFUNCTION("""COMPUTED_VALUE"""),4403.0)</f>
        <v>4403</v>
      </c>
      <c r="Q1974" s="35">
        <f>IFERROR(__xludf.DUMMYFUNCTION("""COMPUTED_VALUE"""),5880.0)</f>
        <v>5880</v>
      </c>
    </row>
    <row r="1975">
      <c r="A1975" s="35">
        <f>IFERROR(__xludf.DUMMYFUNCTION("""COMPUTED_VALUE"""),2088.0)</f>
        <v>2088</v>
      </c>
      <c r="B1975" s="35" t="str">
        <f>IFERROR(__xludf.DUMMYFUNCTION("""COMPUTED_VALUE"""),"Minimum Time to Type Word Using Special Typewriter")</f>
        <v>Minimum Time to Type Word Using Special Typewriter</v>
      </c>
      <c r="C1975" s="35" t="str">
        <f>IFERROR(__xludf.DUMMYFUNCTION("""COMPUTED_VALUE"""),"minimum-time-to-type-word-using-special-typewriter")</f>
        <v>minimum-time-to-type-word-using-special-typewriter</v>
      </c>
      <c r="D1975" s="35" t="b">
        <f>IFERROR(__xludf.DUMMYFUNCTION("""COMPUTED_VALUE"""),FALSE)</f>
        <v>0</v>
      </c>
      <c r="E1975" s="35" t="str">
        <f>IFERROR(__xludf.DUMMYFUNCTION("""COMPUTED_VALUE"""),"Easy")</f>
        <v>Easy</v>
      </c>
      <c r="F1975" s="35">
        <f>IFERROR(__xludf.DUMMYFUNCTION("""COMPUTED_VALUE"""),299.0)</f>
        <v>299</v>
      </c>
      <c r="G1975" s="35">
        <f>IFERROR(__xludf.DUMMYFUNCTION("""COMPUTED_VALUE"""),14.0)</f>
        <v>14</v>
      </c>
      <c r="H1975" s="35" t="str">
        <f>IFERROR(__xludf.DUMMYFUNCTION("""COMPUTED_VALUE"""),"Algorithms")</f>
        <v>Algorithms</v>
      </c>
      <c r="I1975" s="35">
        <f>IFERROR(__xludf.DUMMYFUNCTION("""COMPUTED_VALUE"""),0.719)</f>
        <v>0.719</v>
      </c>
      <c r="J1975" s="35">
        <f>IFERROR(__xludf.DUMMYFUNCTION("""COMPUTED_VALUE"""),1974.0)</f>
        <v>1974</v>
      </c>
      <c r="K1975" s="35" t="b">
        <f>IFERROR(__xludf.DUMMYFUNCTION("""COMPUTED_VALUE"""),FALSE)</f>
        <v>0</v>
      </c>
      <c r="L1975" s="35" t="str">
        <f>IFERROR(__xludf.DUMMYFUNCTION("""COMPUTED_VALUE"""),"String;Greedy;")</f>
        <v>String;Greedy;</v>
      </c>
      <c r="M1975" s="35" t="b">
        <f>IFERROR(__xludf.DUMMYFUNCTION("""COMPUTED_VALUE"""),FALSE)</f>
        <v>0</v>
      </c>
      <c r="N1975" s="35" t="b">
        <f>IFERROR(__xludf.DUMMYFUNCTION("""COMPUTED_VALUE"""),FALSE)</f>
        <v>0</v>
      </c>
      <c r="O1975" s="35">
        <f>IFERROR(__xludf.DUMMYFUNCTION("""COMPUTED_VALUE"""),71.9013970110461)</f>
        <v>71.90139701</v>
      </c>
      <c r="P1975" s="35">
        <f>IFERROR(__xludf.DUMMYFUNCTION("""COMPUTED_VALUE"""),17704.0)</f>
        <v>17704</v>
      </c>
      <c r="Q1975" s="35">
        <f>IFERROR(__xludf.DUMMYFUNCTION("""COMPUTED_VALUE"""),24623.0)</f>
        <v>24623</v>
      </c>
    </row>
    <row r="1976">
      <c r="A1976" s="35">
        <f>IFERROR(__xludf.DUMMYFUNCTION("""COMPUTED_VALUE"""),2089.0)</f>
        <v>2089</v>
      </c>
      <c r="B1976" s="35" t="str">
        <f>IFERROR(__xludf.DUMMYFUNCTION("""COMPUTED_VALUE"""),"Maximum Matrix Sum")</f>
        <v>Maximum Matrix Sum</v>
      </c>
      <c r="C1976" s="35" t="str">
        <f>IFERROR(__xludf.DUMMYFUNCTION("""COMPUTED_VALUE"""),"maximum-matrix-sum")</f>
        <v>maximum-matrix-sum</v>
      </c>
      <c r="D1976" s="35" t="b">
        <f>IFERROR(__xludf.DUMMYFUNCTION("""COMPUTED_VALUE"""),FALSE)</f>
        <v>0</v>
      </c>
      <c r="E1976" s="35" t="str">
        <f>IFERROR(__xludf.DUMMYFUNCTION("""COMPUTED_VALUE"""),"Medium")</f>
        <v>Medium</v>
      </c>
      <c r="F1976" s="35">
        <f>IFERROR(__xludf.DUMMYFUNCTION("""COMPUTED_VALUE"""),271.0)</f>
        <v>271</v>
      </c>
      <c r="G1976" s="35">
        <f>IFERROR(__xludf.DUMMYFUNCTION("""COMPUTED_VALUE"""),9.0)</f>
        <v>9</v>
      </c>
      <c r="H1976" s="35" t="str">
        <f>IFERROR(__xludf.DUMMYFUNCTION("""COMPUTED_VALUE"""),"Algorithms")</f>
        <v>Algorithms</v>
      </c>
      <c r="I1976" s="35">
        <f>IFERROR(__xludf.DUMMYFUNCTION("""COMPUTED_VALUE"""),0.443)</f>
        <v>0.443</v>
      </c>
      <c r="J1976" s="35">
        <f>IFERROR(__xludf.DUMMYFUNCTION("""COMPUTED_VALUE"""),1975.0)</f>
        <v>1975</v>
      </c>
      <c r="K1976" s="35" t="b">
        <f>IFERROR(__xludf.DUMMYFUNCTION("""COMPUTED_VALUE"""),FALSE)</f>
        <v>0</v>
      </c>
      <c r="L1976" s="35" t="str">
        <f>IFERROR(__xludf.DUMMYFUNCTION("""COMPUTED_VALUE"""),"Array;Greedy;Matrix;")</f>
        <v>Array;Greedy;Matrix;</v>
      </c>
      <c r="M1976" s="35" t="b">
        <f>IFERROR(__xludf.DUMMYFUNCTION("""COMPUTED_VALUE"""),FALSE)</f>
        <v>0</v>
      </c>
      <c r="N1976" s="35" t="b">
        <f>IFERROR(__xludf.DUMMYFUNCTION("""COMPUTED_VALUE"""),FALSE)</f>
        <v>0</v>
      </c>
      <c r="O1976" s="35">
        <f>IFERROR(__xludf.DUMMYFUNCTION("""COMPUTED_VALUE"""),44.3204202232436)</f>
        <v>44.32042022</v>
      </c>
      <c r="P1976" s="35">
        <f>IFERROR(__xludf.DUMMYFUNCTION("""COMPUTED_VALUE"""),9449.0)</f>
        <v>9449</v>
      </c>
      <c r="Q1976" s="35">
        <f>IFERROR(__xludf.DUMMYFUNCTION("""COMPUTED_VALUE"""),21321.0)</f>
        <v>21321</v>
      </c>
    </row>
    <row r="1977">
      <c r="A1977" s="35">
        <f>IFERROR(__xludf.DUMMYFUNCTION("""COMPUTED_VALUE"""),2090.0)</f>
        <v>2090</v>
      </c>
      <c r="B1977" s="35" t="str">
        <f>IFERROR(__xludf.DUMMYFUNCTION("""COMPUTED_VALUE"""),"Number of Ways to Arrive at Destination")</f>
        <v>Number of Ways to Arrive at Destination</v>
      </c>
      <c r="C1977" s="35" t="str">
        <f>IFERROR(__xludf.DUMMYFUNCTION("""COMPUTED_VALUE"""),"number-of-ways-to-arrive-at-destination")</f>
        <v>number-of-ways-to-arrive-at-destination</v>
      </c>
      <c r="D1977" s="35" t="b">
        <f>IFERROR(__xludf.DUMMYFUNCTION("""COMPUTED_VALUE"""),FALSE)</f>
        <v>0</v>
      </c>
      <c r="E1977" s="35" t="str">
        <f>IFERROR(__xludf.DUMMYFUNCTION("""COMPUTED_VALUE"""),"Medium")</f>
        <v>Medium</v>
      </c>
      <c r="F1977" s="35">
        <f>IFERROR(__xludf.DUMMYFUNCTION("""COMPUTED_VALUE"""),728.0)</f>
        <v>728</v>
      </c>
      <c r="G1977" s="35">
        <f>IFERROR(__xludf.DUMMYFUNCTION("""COMPUTED_VALUE"""),22.0)</f>
        <v>22</v>
      </c>
      <c r="H1977" s="35" t="str">
        <f>IFERROR(__xludf.DUMMYFUNCTION("""COMPUTED_VALUE"""),"Algorithms")</f>
        <v>Algorithms</v>
      </c>
      <c r="I1977" s="35">
        <f>IFERROR(__xludf.DUMMYFUNCTION("""COMPUTED_VALUE"""),0.325)</f>
        <v>0.325</v>
      </c>
      <c r="J1977" s="35">
        <f>IFERROR(__xludf.DUMMYFUNCTION("""COMPUTED_VALUE"""),1976.0)</f>
        <v>1976</v>
      </c>
      <c r="K1977" s="35" t="b">
        <f>IFERROR(__xludf.DUMMYFUNCTION("""COMPUTED_VALUE"""),FALSE)</f>
        <v>0</v>
      </c>
      <c r="L1977" s="35" t="str">
        <f>IFERROR(__xludf.DUMMYFUNCTION("""COMPUTED_VALUE"""),"Dynamic Programming;Graph;Topological Sort;Shortest Path;")</f>
        <v>Dynamic Programming;Graph;Topological Sort;Shortest Path;</v>
      </c>
      <c r="M1977" s="35" t="b">
        <f>IFERROR(__xludf.DUMMYFUNCTION("""COMPUTED_VALUE"""),FALSE)</f>
        <v>0</v>
      </c>
      <c r="N1977" s="35" t="b">
        <f>IFERROR(__xludf.DUMMYFUNCTION("""COMPUTED_VALUE"""),FALSE)</f>
        <v>0</v>
      </c>
      <c r="O1977" s="35">
        <f>IFERROR(__xludf.DUMMYFUNCTION("""COMPUTED_VALUE"""),32.5075114648674)</f>
        <v>32.50751146</v>
      </c>
      <c r="P1977" s="35">
        <f>IFERROR(__xludf.DUMMYFUNCTION("""COMPUTED_VALUE"""),12333.0)</f>
        <v>12333</v>
      </c>
      <c r="Q1977" s="35">
        <f>IFERROR(__xludf.DUMMYFUNCTION("""COMPUTED_VALUE"""),37941.0)</f>
        <v>37941</v>
      </c>
    </row>
    <row r="1978">
      <c r="A1978" s="35">
        <f>IFERROR(__xludf.DUMMYFUNCTION("""COMPUTED_VALUE"""),2091.0)</f>
        <v>2091</v>
      </c>
      <c r="B1978" s="35" t="str">
        <f>IFERROR(__xludf.DUMMYFUNCTION("""COMPUTED_VALUE"""),"Number of Ways to Separate Numbers")</f>
        <v>Number of Ways to Separate Numbers</v>
      </c>
      <c r="C1978" s="35" t="str">
        <f>IFERROR(__xludf.DUMMYFUNCTION("""COMPUTED_VALUE"""),"number-of-ways-to-separate-numbers")</f>
        <v>number-of-ways-to-separate-numbers</v>
      </c>
      <c r="D1978" s="35" t="b">
        <f>IFERROR(__xludf.DUMMYFUNCTION("""COMPUTED_VALUE"""),FALSE)</f>
        <v>0</v>
      </c>
      <c r="E1978" s="35" t="str">
        <f>IFERROR(__xludf.DUMMYFUNCTION("""COMPUTED_VALUE"""),"Hard")</f>
        <v>Hard</v>
      </c>
      <c r="F1978" s="35">
        <f>IFERROR(__xludf.DUMMYFUNCTION("""COMPUTED_VALUE"""),211.0)</f>
        <v>211</v>
      </c>
      <c r="G1978" s="35">
        <f>IFERROR(__xludf.DUMMYFUNCTION("""COMPUTED_VALUE"""),26.0)</f>
        <v>26</v>
      </c>
      <c r="H1978" s="35" t="str">
        <f>IFERROR(__xludf.DUMMYFUNCTION("""COMPUTED_VALUE"""),"Algorithms")</f>
        <v>Algorithms</v>
      </c>
      <c r="I1978" s="35">
        <f>IFERROR(__xludf.DUMMYFUNCTION("""COMPUTED_VALUE"""),0.226)</f>
        <v>0.226</v>
      </c>
      <c r="J1978" s="35">
        <f>IFERROR(__xludf.DUMMYFUNCTION("""COMPUTED_VALUE"""),1977.0)</f>
        <v>1977</v>
      </c>
      <c r="K1978" s="35" t="b">
        <f>IFERROR(__xludf.DUMMYFUNCTION("""COMPUTED_VALUE"""),FALSE)</f>
        <v>0</v>
      </c>
      <c r="L1978" s="35" t="str">
        <f>IFERROR(__xludf.DUMMYFUNCTION("""COMPUTED_VALUE"""),"String;Dynamic Programming;Suffix Array;")</f>
        <v>String;Dynamic Programming;Suffix Array;</v>
      </c>
      <c r="M1978" s="35" t="b">
        <f>IFERROR(__xludf.DUMMYFUNCTION("""COMPUTED_VALUE"""),FALSE)</f>
        <v>0</v>
      </c>
      <c r="N1978" s="35" t="b">
        <f>IFERROR(__xludf.DUMMYFUNCTION("""COMPUTED_VALUE"""),FALSE)</f>
        <v>0</v>
      </c>
      <c r="O1978" s="35">
        <f>IFERROR(__xludf.DUMMYFUNCTION("""COMPUTED_VALUE"""),22.6392040495723)</f>
        <v>22.63920405</v>
      </c>
      <c r="P1978" s="35">
        <f>IFERROR(__xludf.DUMMYFUNCTION("""COMPUTED_VALUE"""),2594.0)</f>
        <v>2594</v>
      </c>
      <c r="Q1978" s="35">
        <f>IFERROR(__xludf.DUMMYFUNCTION("""COMPUTED_VALUE"""),11458.0)</f>
        <v>11458</v>
      </c>
    </row>
    <row r="1979">
      <c r="A1979" s="35">
        <f>IFERROR(__xludf.DUMMYFUNCTION("""COMPUTED_VALUE"""),2127.0)</f>
        <v>2127</v>
      </c>
      <c r="B1979" s="35" t="str">
        <f>IFERROR(__xludf.DUMMYFUNCTION("""COMPUTED_VALUE"""),"Employees Whose Manager Left the Company")</f>
        <v>Employees Whose Manager Left the Company</v>
      </c>
      <c r="C1979" s="35" t="str">
        <f>IFERROR(__xludf.DUMMYFUNCTION("""COMPUTED_VALUE"""),"employees-whose-manager-left-the-company")</f>
        <v>employees-whose-manager-left-the-company</v>
      </c>
      <c r="D1979" s="35" t="b">
        <f>IFERROR(__xludf.DUMMYFUNCTION("""COMPUTED_VALUE"""),TRUE)</f>
        <v>1</v>
      </c>
      <c r="E1979" s="35" t="str">
        <f>IFERROR(__xludf.DUMMYFUNCTION("""COMPUTED_VALUE"""),"Easy")</f>
        <v>Easy</v>
      </c>
      <c r="F1979" s="35">
        <f>IFERROR(__xludf.DUMMYFUNCTION("""COMPUTED_VALUE"""),22.0)</f>
        <v>22</v>
      </c>
      <c r="G1979" s="35">
        <f>IFERROR(__xludf.DUMMYFUNCTION("""COMPUTED_VALUE"""),4.0)</f>
        <v>4</v>
      </c>
      <c r="H1979" s="35" t="str">
        <f>IFERROR(__xludf.DUMMYFUNCTION("""COMPUTED_VALUE"""),"Database")</f>
        <v>Database</v>
      </c>
      <c r="I1979" s="35">
        <f>IFERROR(__xludf.DUMMYFUNCTION("""COMPUTED_VALUE"""),0.498)</f>
        <v>0.498</v>
      </c>
      <c r="J1979" s="35">
        <f>IFERROR(__xludf.DUMMYFUNCTION("""COMPUTED_VALUE"""),1978.0)</f>
        <v>1978</v>
      </c>
      <c r="K1979" s="35" t="b">
        <f>IFERROR(__xludf.DUMMYFUNCTION("""COMPUTED_VALUE"""),TRUE)</f>
        <v>1</v>
      </c>
      <c r="L1979" s="35" t="str">
        <f>IFERROR(__xludf.DUMMYFUNCTION("""COMPUTED_VALUE"""),"Database;")</f>
        <v>Database;</v>
      </c>
      <c r="M1979" s="35" t="b">
        <f>IFERROR(__xludf.DUMMYFUNCTION("""COMPUTED_VALUE"""),FALSE)</f>
        <v>0</v>
      </c>
      <c r="N1979" s="35" t="b">
        <f>IFERROR(__xludf.DUMMYFUNCTION("""COMPUTED_VALUE"""),FALSE)</f>
        <v>0</v>
      </c>
      <c r="O1979" s="35">
        <f>IFERROR(__xludf.DUMMYFUNCTION("""COMPUTED_VALUE"""),49.7865593365044)</f>
        <v>49.78655934</v>
      </c>
      <c r="P1979" s="35">
        <f>IFERROR(__xludf.DUMMYFUNCTION("""COMPUTED_VALUE"""),4082.0)</f>
        <v>4082</v>
      </c>
      <c r="Q1979" s="35">
        <f>IFERROR(__xludf.DUMMYFUNCTION("""COMPUTED_VALUE"""),8199.0)</f>
        <v>8199</v>
      </c>
    </row>
    <row r="1980">
      <c r="A1980" s="35">
        <f>IFERROR(__xludf.DUMMYFUNCTION("""COMPUTED_VALUE"""),2106.0)</f>
        <v>2106</v>
      </c>
      <c r="B1980" s="35" t="str">
        <f>IFERROR(__xludf.DUMMYFUNCTION("""COMPUTED_VALUE"""),"Find Greatest Common Divisor of Array")</f>
        <v>Find Greatest Common Divisor of Array</v>
      </c>
      <c r="C1980" s="35" t="str">
        <f>IFERROR(__xludf.DUMMYFUNCTION("""COMPUTED_VALUE"""),"find-greatest-common-divisor-of-array")</f>
        <v>find-greatest-common-divisor-of-array</v>
      </c>
      <c r="D1980" s="35" t="b">
        <f>IFERROR(__xludf.DUMMYFUNCTION("""COMPUTED_VALUE"""),FALSE)</f>
        <v>0</v>
      </c>
      <c r="E1980" s="35" t="str">
        <f>IFERROR(__xludf.DUMMYFUNCTION("""COMPUTED_VALUE"""),"Easy")</f>
        <v>Easy</v>
      </c>
      <c r="F1980" s="35">
        <f>IFERROR(__xludf.DUMMYFUNCTION("""COMPUTED_VALUE"""),320.0)</f>
        <v>320</v>
      </c>
      <c r="G1980" s="35">
        <f>IFERROR(__xludf.DUMMYFUNCTION("""COMPUTED_VALUE"""),14.0)</f>
        <v>14</v>
      </c>
      <c r="H1980" s="35" t="str">
        <f>IFERROR(__xludf.DUMMYFUNCTION("""COMPUTED_VALUE"""),"Algorithms")</f>
        <v>Algorithms</v>
      </c>
      <c r="I1980" s="35">
        <f>IFERROR(__xludf.DUMMYFUNCTION("""COMPUTED_VALUE"""),0.782)</f>
        <v>0.782</v>
      </c>
      <c r="J1980" s="35">
        <f>IFERROR(__xludf.DUMMYFUNCTION("""COMPUTED_VALUE"""),1979.0)</f>
        <v>1979</v>
      </c>
      <c r="K1980" s="35" t="b">
        <f>IFERROR(__xludf.DUMMYFUNCTION("""COMPUTED_VALUE"""),FALSE)</f>
        <v>0</v>
      </c>
      <c r="L1980" s="35" t="str">
        <f>IFERROR(__xludf.DUMMYFUNCTION("""COMPUTED_VALUE"""),"Array;Math;Number Theory;")</f>
        <v>Array;Math;Number Theory;</v>
      </c>
      <c r="M1980" s="35" t="b">
        <f>IFERROR(__xludf.DUMMYFUNCTION("""COMPUTED_VALUE"""),FALSE)</f>
        <v>0</v>
      </c>
      <c r="N1980" s="35" t="b">
        <f>IFERROR(__xludf.DUMMYFUNCTION("""COMPUTED_VALUE"""),FALSE)</f>
        <v>0</v>
      </c>
      <c r="O1980" s="35">
        <f>IFERROR(__xludf.DUMMYFUNCTION("""COMPUTED_VALUE"""),78.1715727868067)</f>
        <v>78.17157279</v>
      </c>
      <c r="P1980" s="35">
        <f>IFERROR(__xludf.DUMMYFUNCTION("""COMPUTED_VALUE"""),35930.0)</f>
        <v>35930</v>
      </c>
      <c r="Q1980" s="35">
        <f>IFERROR(__xludf.DUMMYFUNCTION("""COMPUTED_VALUE"""),45963.0)</f>
        <v>45963</v>
      </c>
    </row>
    <row r="1981">
      <c r="A1981" s="35">
        <f>IFERROR(__xludf.DUMMYFUNCTION("""COMPUTED_VALUE"""),2107.0)</f>
        <v>2107</v>
      </c>
      <c r="B1981" s="35" t="str">
        <f>IFERROR(__xludf.DUMMYFUNCTION("""COMPUTED_VALUE"""),"Find Unique Binary String")</f>
        <v>Find Unique Binary String</v>
      </c>
      <c r="C1981" s="35" t="str">
        <f>IFERROR(__xludf.DUMMYFUNCTION("""COMPUTED_VALUE"""),"find-unique-binary-string")</f>
        <v>find-unique-binary-string</v>
      </c>
      <c r="D1981" s="35" t="b">
        <f>IFERROR(__xludf.DUMMYFUNCTION("""COMPUTED_VALUE"""),FALSE)</f>
        <v>0</v>
      </c>
      <c r="E1981" s="35" t="str">
        <f>IFERROR(__xludf.DUMMYFUNCTION("""COMPUTED_VALUE"""),"Medium")</f>
        <v>Medium</v>
      </c>
      <c r="F1981" s="35">
        <f>IFERROR(__xludf.DUMMYFUNCTION("""COMPUTED_VALUE"""),454.0)</f>
        <v>454</v>
      </c>
      <c r="G1981" s="35">
        <f>IFERROR(__xludf.DUMMYFUNCTION("""COMPUTED_VALUE"""),23.0)</f>
        <v>23</v>
      </c>
      <c r="H1981" s="35" t="str">
        <f>IFERROR(__xludf.DUMMYFUNCTION("""COMPUTED_VALUE"""),"Algorithms")</f>
        <v>Algorithms</v>
      </c>
      <c r="I1981" s="35">
        <f>IFERROR(__xludf.DUMMYFUNCTION("""COMPUTED_VALUE"""),0.629)</f>
        <v>0.629</v>
      </c>
      <c r="J1981" s="35">
        <f>IFERROR(__xludf.DUMMYFUNCTION("""COMPUTED_VALUE"""),1980.0)</f>
        <v>1980</v>
      </c>
      <c r="K1981" s="35" t="b">
        <f>IFERROR(__xludf.DUMMYFUNCTION("""COMPUTED_VALUE"""),FALSE)</f>
        <v>0</v>
      </c>
      <c r="L1981" s="35" t="str">
        <f>IFERROR(__xludf.DUMMYFUNCTION("""COMPUTED_VALUE"""),"Array;String;Backtracking;")</f>
        <v>Array;String;Backtracking;</v>
      </c>
      <c r="M1981" s="35" t="b">
        <f>IFERROR(__xludf.DUMMYFUNCTION("""COMPUTED_VALUE"""),FALSE)</f>
        <v>0</v>
      </c>
      <c r="N1981" s="35" t="b">
        <f>IFERROR(__xludf.DUMMYFUNCTION("""COMPUTED_VALUE"""),FALSE)</f>
        <v>0</v>
      </c>
      <c r="O1981" s="35">
        <f>IFERROR(__xludf.DUMMYFUNCTION("""COMPUTED_VALUE"""),62.9216904152965)</f>
        <v>62.92169042</v>
      </c>
      <c r="P1981" s="35">
        <f>IFERROR(__xludf.DUMMYFUNCTION("""COMPUTED_VALUE"""),20666.0)</f>
        <v>20666</v>
      </c>
      <c r="Q1981" s="35">
        <f>IFERROR(__xludf.DUMMYFUNCTION("""COMPUTED_VALUE"""),32844.0)</f>
        <v>32844</v>
      </c>
    </row>
    <row r="1982">
      <c r="A1982" s="35">
        <f>IFERROR(__xludf.DUMMYFUNCTION("""COMPUTED_VALUE"""),2108.0)</f>
        <v>2108</v>
      </c>
      <c r="B1982" s="35" t="str">
        <f>IFERROR(__xludf.DUMMYFUNCTION("""COMPUTED_VALUE"""),"Minimize the Difference Between Target and Chosen Elements")</f>
        <v>Minimize the Difference Between Target and Chosen Elements</v>
      </c>
      <c r="C1982" s="35" t="str">
        <f>IFERROR(__xludf.DUMMYFUNCTION("""COMPUTED_VALUE"""),"minimize-the-difference-between-target-and-chosen-elements")</f>
        <v>minimize-the-difference-between-target-and-chosen-elements</v>
      </c>
      <c r="D1982" s="35" t="b">
        <f>IFERROR(__xludf.DUMMYFUNCTION("""COMPUTED_VALUE"""),FALSE)</f>
        <v>0</v>
      </c>
      <c r="E1982" s="35" t="str">
        <f>IFERROR(__xludf.DUMMYFUNCTION("""COMPUTED_VALUE"""),"Medium")</f>
        <v>Medium</v>
      </c>
      <c r="F1982" s="35">
        <f>IFERROR(__xludf.DUMMYFUNCTION("""COMPUTED_VALUE"""),446.0)</f>
        <v>446</v>
      </c>
      <c r="G1982" s="35">
        <f>IFERROR(__xludf.DUMMYFUNCTION("""COMPUTED_VALUE"""),81.0)</f>
        <v>81</v>
      </c>
      <c r="H1982" s="35" t="str">
        <f>IFERROR(__xludf.DUMMYFUNCTION("""COMPUTED_VALUE"""),"Algorithms")</f>
        <v>Algorithms</v>
      </c>
      <c r="I1982" s="35">
        <f>IFERROR(__xludf.DUMMYFUNCTION("""COMPUTED_VALUE"""),0.328)</f>
        <v>0.328</v>
      </c>
      <c r="J1982" s="35">
        <f>IFERROR(__xludf.DUMMYFUNCTION("""COMPUTED_VALUE"""),1981.0)</f>
        <v>1981</v>
      </c>
      <c r="K1982" s="35" t="b">
        <f>IFERROR(__xludf.DUMMYFUNCTION("""COMPUTED_VALUE"""),FALSE)</f>
        <v>0</v>
      </c>
      <c r="L1982" s="35" t="str">
        <f>IFERROR(__xludf.DUMMYFUNCTION("""COMPUTED_VALUE"""),"Array;Dynamic Programming;Matrix;")</f>
        <v>Array;Dynamic Programming;Matrix;</v>
      </c>
      <c r="M1982" s="35" t="b">
        <f>IFERROR(__xludf.DUMMYFUNCTION("""COMPUTED_VALUE"""),FALSE)</f>
        <v>0</v>
      </c>
      <c r="N1982" s="35" t="b">
        <f>IFERROR(__xludf.DUMMYFUNCTION("""COMPUTED_VALUE"""),FALSE)</f>
        <v>0</v>
      </c>
      <c r="O1982" s="35">
        <f>IFERROR(__xludf.DUMMYFUNCTION("""COMPUTED_VALUE"""),32.7558908447424)</f>
        <v>32.75589084</v>
      </c>
      <c r="P1982" s="35">
        <f>IFERROR(__xludf.DUMMYFUNCTION("""COMPUTED_VALUE"""),14068.0)</f>
        <v>14068</v>
      </c>
      <c r="Q1982" s="35">
        <f>IFERROR(__xludf.DUMMYFUNCTION("""COMPUTED_VALUE"""),42948.0)</f>
        <v>42948</v>
      </c>
    </row>
    <row r="1983">
      <c r="A1983" s="35">
        <f>IFERROR(__xludf.DUMMYFUNCTION("""COMPUTED_VALUE"""),2109.0)</f>
        <v>2109</v>
      </c>
      <c r="B1983" s="35" t="str">
        <f>IFERROR(__xludf.DUMMYFUNCTION("""COMPUTED_VALUE"""),"Find Array Given Subset Sums")</f>
        <v>Find Array Given Subset Sums</v>
      </c>
      <c r="C1983" s="35" t="str">
        <f>IFERROR(__xludf.DUMMYFUNCTION("""COMPUTED_VALUE"""),"find-array-given-subset-sums")</f>
        <v>find-array-given-subset-sums</v>
      </c>
      <c r="D1983" s="35" t="b">
        <f>IFERROR(__xludf.DUMMYFUNCTION("""COMPUTED_VALUE"""),FALSE)</f>
        <v>0</v>
      </c>
      <c r="E1983" s="35" t="str">
        <f>IFERROR(__xludf.DUMMYFUNCTION("""COMPUTED_VALUE"""),"Hard")</f>
        <v>Hard</v>
      </c>
      <c r="F1983" s="35">
        <f>IFERROR(__xludf.DUMMYFUNCTION("""COMPUTED_VALUE"""),232.0)</f>
        <v>232</v>
      </c>
      <c r="G1983" s="35">
        <f>IFERROR(__xludf.DUMMYFUNCTION("""COMPUTED_VALUE"""),18.0)</f>
        <v>18</v>
      </c>
      <c r="H1983" s="35" t="str">
        <f>IFERROR(__xludf.DUMMYFUNCTION("""COMPUTED_VALUE"""),"Algorithms")</f>
        <v>Algorithms</v>
      </c>
      <c r="I1983" s="35">
        <f>IFERROR(__xludf.DUMMYFUNCTION("""COMPUTED_VALUE"""),0.484)</f>
        <v>0.484</v>
      </c>
      <c r="J1983" s="35">
        <f>IFERROR(__xludf.DUMMYFUNCTION("""COMPUTED_VALUE"""),1982.0)</f>
        <v>1982</v>
      </c>
      <c r="K1983" s="35" t="b">
        <f>IFERROR(__xludf.DUMMYFUNCTION("""COMPUTED_VALUE"""),FALSE)</f>
        <v>0</v>
      </c>
      <c r="L1983" s="35" t="str">
        <f>IFERROR(__xludf.DUMMYFUNCTION("""COMPUTED_VALUE"""),"Array;Divide and Conquer;")</f>
        <v>Array;Divide and Conquer;</v>
      </c>
      <c r="M1983" s="35" t="b">
        <f>IFERROR(__xludf.DUMMYFUNCTION("""COMPUTED_VALUE"""),FALSE)</f>
        <v>0</v>
      </c>
      <c r="N1983" s="35" t="b">
        <f>IFERROR(__xludf.DUMMYFUNCTION("""COMPUTED_VALUE"""),FALSE)</f>
        <v>0</v>
      </c>
      <c r="O1983" s="35">
        <f>IFERROR(__xludf.DUMMYFUNCTION("""COMPUTED_VALUE"""),48.3963056255247)</f>
        <v>48.39630563</v>
      </c>
      <c r="P1983" s="35">
        <f>IFERROR(__xludf.DUMMYFUNCTION("""COMPUTED_VALUE"""),2882.0)</f>
        <v>2882</v>
      </c>
      <c r="Q1983" s="35">
        <f>IFERROR(__xludf.DUMMYFUNCTION("""COMPUTED_VALUE"""),5955.0)</f>
        <v>5955</v>
      </c>
    </row>
    <row r="1984">
      <c r="A1984" s="35">
        <f>IFERROR(__xludf.DUMMYFUNCTION("""COMPUTED_VALUE"""),519.0)</f>
        <v>519</v>
      </c>
      <c r="B1984" s="35" t="str">
        <f>IFERROR(__xludf.DUMMYFUNCTION("""COMPUTED_VALUE"""),"Widest Pair of Indices With Equal Range Sum")</f>
        <v>Widest Pair of Indices With Equal Range Sum</v>
      </c>
      <c r="C1984" s="35" t="str">
        <f>IFERROR(__xludf.DUMMYFUNCTION("""COMPUTED_VALUE"""),"widest-pair-of-indices-with-equal-range-sum")</f>
        <v>widest-pair-of-indices-with-equal-range-sum</v>
      </c>
      <c r="D1984" s="35" t="b">
        <f>IFERROR(__xludf.DUMMYFUNCTION("""COMPUTED_VALUE"""),TRUE)</f>
        <v>1</v>
      </c>
      <c r="E1984" s="35" t="str">
        <f>IFERROR(__xludf.DUMMYFUNCTION("""COMPUTED_VALUE"""),"Medium")</f>
        <v>Medium</v>
      </c>
      <c r="F1984" s="35">
        <f>IFERROR(__xludf.DUMMYFUNCTION("""COMPUTED_VALUE"""),40.0)</f>
        <v>40</v>
      </c>
      <c r="G1984" s="35">
        <f>IFERROR(__xludf.DUMMYFUNCTION("""COMPUTED_VALUE"""),0.0)</f>
        <v>0</v>
      </c>
      <c r="H1984" s="35" t="str">
        <f>IFERROR(__xludf.DUMMYFUNCTION("""COMPUTED_VALUE"""),"Algorithms")</f>
        <v>Algorithms</v>
      </c>
      <c r="I1984" s="35">
        <f>IFERROR(__xludf.DUMMYFUNCTION("""COMPUTED_VALUE"""),0.541)</f>
        <v>0.541</v>
      </c>
      <c r="J1984" s="35">
        <f>IFERROR(__xludf.DUMMYFUNCTION("""COMPUTED_VALUE"""),1983.0)</f>
        <v>1983</v>
      </c>
      <c r="K1984" s="35" t="b">
        <f>IFERROR(__xludf.DUMMYFUNCTION("""COMPUTED_VALUE"""),TRUE)</f>
        <v>1</v>
      </c>
      <c r="L1984" s="35" t="str">
        <f>IFERROR(__xludf.DUMMYFUNCTION("""COMPUTED_VALUE"""),"Array;Hash Table;Prefix Sum;")</f>
        <v>Array;Hash Table;Prefix Sum;</v>
      </c>
      <c r="M1984" s="35" t="b">
        <f>IFERROR(__xludf.DUMMYFUNCTION("""COMPUTED_VALUE"""),FALSE)</f>
        <v>0</v>
      </c>
      <c r="N1984" s="35" t="b">
        <f>IFERROR(__xludf.DUMMYFUNCTION("""COMPUTED_VALUE"""),FALSE)</f>
        <v>0</v>
      </c>
      <c r="O1984" s="35">
        <f>IFERROR(__xludf.DUMMYFUNCTION("""COMPUTED_VALUE"""),54.109961894393)</f>
        <v>54.10996189</v>
      </c>
      <c r="P1984" s="35">
        <f>IFERROR(__xludf.DUMMYFUNCTION("""COMPUTED_VALUE"""),994.0)</f>
        <v>994</v>
      </c>
      <c r="Q1984" s="35">
        <f>IFERROR(__xludf.DUMMYFUNCTION("""COMPUTED_VALUE"""),1837.0)</f>
        <v>1837</v>
      </c>
    </row>
    <row r="1985">
      <c r="A1985" s="35">
        <f>IFERROR(__xludf.DUMMYFUNCTION("""COMPUTED_VALUE"""),2112.0)</f>
        <v>2112</v>
      </c>
      <c r="B1985" s="35" t="str">
        <f>IFERROR(__xludf.DUMMYFUNCTION("""COMPUTED_VALUE"""),"Minimum Difference Between Highest and Lowest of K Scores")</f>
        <v>Minimum Difference Between Highest and Lowest of K Scores</v>
      </c>
      <c r="C1985" s="35" t="str">
        <f>IFERROR(__xludf.DUMMYFUNCTION("""COMPUTED_VALUE"""),"minimum-difference-between-highest-and-lowest-of-k-scores")</f>
        <v>minimum-difference-between-highest-and-lowest-of-k-scores</v>
      </c>
      <c r="D1985" s="35" t="b">
        <f>IFERROR(__xludf.DUMMYFUNCTION("""COMPUTED_VALUE"""),FALSE)</f>
        <v>0</v>
      </c>
      <c r="E1985" s="35" t="str">
        <f>IFERROR(__xludf.DUMMYFUNCTION("""COMPUTED_VALUE"""),"Easy")</f>
        <v>Easy</v>
      </c>
      <c r="F1985" s="35">
        <f>IFERROR(__xludf.DUMMYFUNCTION("""COMPUTED_VALUE"""),259.0)</f>
        <v>259</v>
      </c>
      <c r="G1985" s="35">
        <f>IFERROR(__xludf.DUMMYFUNCTION("""COMPUTED_VALUE"""),37.0)</f>
        <v>37</v>
      </c>
      <c r="H1985" s="35" t="str">
        <f>IFERROR(__xludf.DUMMYFUNCTION("""COMPUTED_VALUE"""),"Algorithms")</f>
        <v>Algorithms</v>
      </c>
      <c r="I1985" s="35">
        <f>IFERROR(__xludf.DUMMYFUNCTION("""COMPUTED_VALUE"""),0.541)</f>
        <v>0.541</v>
      </c>
      <c r="J1985" s="35">
        <f>IFERROR(__xludf.DUMMYFUNCTION("""COMPUTED_VALUE"""),1984.0)</f>
        <v>1984</v>
      </c>
      <c r="K1985" s="35" t="b">
        <f>IFERROR(__xludf.DUMMYFUNCTION("""COMPUTED_VALUE"""),FALSE)</f>
        <v>0</v>
      </c>
      <c r="L1985" s="35" t="str">
        <f>IFERROR(__xludf.DUMMYFUNCTION("""COMPUTED_VALUE"""),"Array;Sliding Window;Sorting;")</f>
        <v>Array;Sliding Window;Sorting;</v>
      </c>
      <c r="M1985" s="35" t="b">
        <f>IFERROR(__xludf.DUMMYFUNCTION("""COMPUTED_VALUE"""),FALSE)</f>
        <v>0</v>
      </c>
      <c r="N1985" s="35" t="b">
        <f>IFERROR(__xludf.DUMMYFUNCTION("""COMPUTED_VALUE"""),FALSE)</f>
        <v>0</v>
      </c>
      <c r="O1985" s="35">
        <f>IFERROR(__xludf.DUMMYFUNCTION("""COMPUTED_VALUE"""),54.1011392053348)</f>
        <v>54.10113921</v>
      </c>
      <c r="P1985" s="35">
        <f>IFERROR(__xludf.DUMMYFUNCTION("""COMPUTED_VALUE"""),19471.0)</f>
        <v>19471</v>
      </c>
      <c r="Q1985" s="35">
        <f>IFERROR(__xludf.DUMMYFUNCTION("""COMPUTED_VALUE"""),35990.0)</f>
        <v>35990</v>
      </c>
    </row>
    <row r="1986">
      <c r="A1986" s="35">
        <f>IFERROR(__xludf.DUMMYFUNCTION("""COMPUTED_VALUE"""),2113.0)</f>
        <v>2113</v>
      </c>
      <c r="B1986" s="35" t="str">
        <f>IFERROR(__xludf.DUMMYFUNCTION("""COMPUTED_VALUE"""),"Find the Kth Largest Integer in the Array")</f>
        <v>Find the Kth Largest Integer in the Array</v>
      </c>
      <c r="C1986" s="35" t="str">
        <f>IFERROR(__xludf.DUMMYFUNCTION("""COMPUTED_VALUE"""),"find-the-kth-largest-integer-in-the-array")</f>
        <v>find-the-kth-largest-integer-in-the-array</v>
      </c>
      <c r="D1986" s="35" t="b">
        <f>IFERROR(__xludf.DUMMYFUNCTION("""COMPUTED_VALUE"""),FALSE)</f>
        <v>0</v>
      </c>
      <c r="E1986" s="35" t="str">
        <f>IFERROR(__xludf.DUMMYFUNCTION("""COMPUTED_VALUE"""),"Medium")</f>
        <v>Medium</v>
      </c>
      <c r="F1986" s="35">
        <f>IFERROR(__xludf.DUMMYFUNCTION("""COMPUTED_VALUE"""),386.0)</f>
        <v>386</v>
      </c>
      <c r="G1986" s="35">
        <f>IFERROR(__xludf.DUMMYFUNCTION("""COMPUTED_VALUE"""),62.0)</f>
        <v>62</v>
      </c>
      <c r="H1986" s="35" t="str">
        <f>IFERROR(__xludf.DUMMYFUNCTION("""COMPUTED_VALUE"""),"Algorithms")</f>
        <v>Algorithms</v>
      </c>
      <c r="I1986" s="35">
        <f>IFERROR(__xludf.DUMMYFUNCTION("""COMPUTED_VALUE"""),0.447)</f>
        <v>0.447</v>
      </c>
      <c r="J1986" s="35">
        <f>IFERROR(__xludf.DUMMYFUNCTION("""COMPUTED_VALUE"""),1985.0)</f>
        <v>1985</v>
      </c>
      <c r="K1986" s="35" t="b">
        <f>IFERROR(__xludf.DUMMYFUNCTION("""COMPUTED_VALUE"""),FALSE)</f>
        <v>0</v>
      </c>
      <c r="L1986" s="35" t="str">
        <f>IFERROR(__xludf.DUMMYFUNCTION("""COMPUTED_VALUE"""),"Array;String;Divide and Conquer;Sorting;Heap (Priority Queue);Quickselect;")</f>
        <v>Array;String;Divide and Conquer;Sorting;Heap (Priority Queue);Quickselect;</v>
      </c>
      <c r="M1986" s="35" t="b">
        <f>IFERROR(__xludf.DUMMYFUNCTION("""COMPUTED_VALUE"""),FALSE)</f>
        <v>0</v>
      </c>
      <c r="N1986" s="35" t="b">
        <f>IFERROR(__xludf.DUMMYFUNCTION("""COMPUTED_VALUE"""),FALSE)</f>
        <v>0</v>
      </c>
      <c r="O1986" s="35">
        <f>IFERROR(__xludf.DUMMYFUNCTION("""COMPUTED_VALUE"""),44.7471715539136)</f>
        <v>44.74717155</v>
      </c>
      <c r="P1986" s="35">
        <f>IFERROR(__xludf.DUMMYFUNCTION("""COMPUTED_VALUE"""),25194.0)</f>
        <v>25194</v>
      </c>
      <c r="Q1986" s="35">
        <f>IFERROR(__xludf.DUMMYFUNCTION("""COMPUTED_VALUE"""),56303.0)</f>
        <v>56303</v>
      </c>
    </row>
    <row r="1987">
      <c r="A1987" s="35">
        <f>IFERROR(__xludf.DUMMYFUNCTION("""COMPUTED_VALUE"""),2114.0)</f>
        <v>2114</v>
      </c>
      <c r="B1987" s="35" t="str">
        <f>IFERROR(__xludf.DUMMYFUNCTION("""COMPUTED_VALUE"""),"Minimum Number of Work Sessions to Finish the Tasks")</f>
        <v>Minimum Number of Work Sessions to Finish the Tasks</v>
      </c>
      <c r="C1987" s="35" t="str">
        <f>IFERROR(__xludf.DUMMYFUNCTION("""COMPUTED_VALUE"""),"minimum-number-of-work-sessions-to-finish-the-tasks")</f>
        <v>minimum-number-of-work-sessions-to-finish-the-tasks</v>
      </c>
      <c r="D1987" s="35" t="b">
        <f>IFERROR(__xludf.DUMMYFUNCTION("""COMPUTED_VALUE"""),FALSE)</f>
        <v>0</v>
      </c>
      <c r="E1987" s="35" t="str">
        <f>IFERROR(__xludf.DUMMYFUNCTION("""COMPUTED_VALUE"""),"Medium")</f>
        <v>Medium</v>
      </c>
      <c r="F1987" s="35">
        <f>IFERROR(__xludf.DUMMYFUNCTION("""COMPUTED_VALUE"""),464.0)</f>
        <v>464</v>
      </c>
      <c r="G1987" s="35">
        <f>IFERROR(__xludf.DUMMYFUNCTION("""COMPUTED_VALUE"""),27.0)</f>
        <v>27</v>
      </c>
      <c r="H1987" s="35" t="str">
        <f>IFERROR(__xludf.DUMMYFUNCTION("""COMPUTED_VALUE"""),"Algorithms")</f>
        <v>Algorithms</v>
      </c>
      <c r="I1987" s="35">
        <f>IFERROR(__xludf.DUMMYFUNCTION("""COMPUTED_VALUE"""),0.315)</f>
        <v>0.315</v>
      </c>
      <c r="J1987" s="35">
        <f>IFERROR(__xludf.DUMMYFUNCTION("""COMPUTED_VALUE"""),1986.0)</f>
        <v>1986</v>
      </c>
      <c r="K1987" s="35" t="b">
        <f>IFERROR(__xludf.DUMMYFUNCTION("""COMPUTED_VALUE"""),FALSE)</f>
        <v>0</v>
      </c>
      <c r="L1987" s="35" t="str">
        <f>IFERROR(__xludf.DUMMYFUNCTION("""COMPUTED_VALUE"""),"Array;Dynamic Programming;Backtracking;Bit Manipulation;Bitmask;")</f>
        <v>Array;Dynamic Programming;Backtracking;Bit Manipulation;Bitmask;</v>
      </c>
      <c r="M1987" s="35" t="b">
        <f>IFERROR(__xludf.DUMMYFUNCTION("""COMPUTED_VALUE"""),FALSE)</f>
        <v>0</v>
      </c>
      <c r="N1987" s="35" t="b">
        <f>IFERROR(__xludf.DUMMYFUNCTION("""COMPUTED_VALUE"""),FALSE)</f>
        <v>0</v>
      </c>
      <c r="O1987" s="35">
        <f>IFERROR(__xludf.DUMMYFUNCTION("""COMPUTED_VALUE"""),31.5483870967741)</f>
        <v>31.5483871</v>
      </c>
      <c r="P1987" s="35">
        <f>IFERROR(__xludf.DUMMYFUNCTION("""COMPUTED_VALUE"""),10758.0)</f>
        <v>10758</v>
      </c>
      <c r="Q1987" s="35">
        <f>IFERROR(__xludf.DUMMYFUNCTION("""COMPUTED_VALUE"""),34100.0)</f>
        <v>34100</v>
      </c>
    </row>
    <row r="1988">
      <c r="A1988" s="35">
        <f>IFERROR(__xludf.DUMMYFUNCTION("""COMPUTED_VALUE"""),2115.0)</f>
        <v>2115</v>
      </c>
      <c r="B1988" s="35" t="str">
        <f>IFERROR(__xludf.DUMMYFUNCTION("""COMPUTED_VALUE"""),"Number of Unique Good Subsequences")</f>
        <v>Number of Unique Good Subsequences</v>
      </c>
      <c r="C1988" s="35" t="str">
        <f>IFERROR(__xludf.DUMMYFUNCTION("""COMPUTED_VALUE"""),"number-of-unique-good-subsequences")</f>
        <v>number-of-unique-good-subsequences</v>
      </c>
      <c r="D1988" s="35" t="b">
        <f>IFERROR(__xludf.DUMMYFUNCTION("""COMPUTED_VALUE"""),FALSE)</f>
        <v>0</v>
      </c>
      <c r="E1988" s="35" t="str">
        <f>IFERROR(__xludf.DUMMYFUNCTION("""COMPUTED_VALUE"""),"Hard")</f>
        <v>Hard</v>
      </c>
      <c r="F1988" s="35">
        <f>IFERROR(__xludf.DUMMYFUNCTION("""COMPUTED_VALUE"""),354.0)</f>
        <v>354</v>
      </c>
      <c r="G1988" s="35">
        <f>IFERROR(__xludf.DUMMYFUNCTION("""COMPUTED_VALUE"""),7.0)</f>
        <v>7</v>
      </c>
      <c r="H1988" s="35" t="str">
        <f>IFERROR(__xludf.DUMMYFUNCTION("""COMPUTED_VALUE"""),"Algorithms")</f>
        <v>Algorithms</v>
      </c>
      <c r="I1988" s="35">
        <f>IFERROR(__xludf.DUMMYFUNCTION("""COMPUTED_VALUE"""),0.519)</f>
        <v>0.519</v>
      </c>
      <c r="J1988" s="35">
        <f>IFERROR(__xludf.DUMMYFUNCTION("""COMPUTED_VALUE"""),1987.0)</f>
        <v>1987</v>
      </c>
      <c r="K1988" s="35" t="b">
        <f>IFERROR(__xludf.DUMMYFUNCTION("""COMPUTED_VALUE"""),FALSE)</f>
        <v>0</v>
      </c>
      <c r="L1988" s="35" t="str">
        <f>IFERROR(__xludf.DUMMYFUNCTION("""COMPUTED_VALUE"""),"String;Dynamic Programming;")</f>
        <v>String;Dynamic Programming;</v>
      </c>
      <c r="M1988" s="35" t="b">
        <f>IFERROR(__xludf.DUMMYFUNCTION("""COMPUTED_VALUE"""),FALSE)</f>
        <v>0</v>
      </c>
      <c r="N1988" s="35" t="b">
        <f>IFERROR(__xludf.DUMMYFUNCTION("""COMPUTED_VALUE"""),FALSE)</f>
        <v>0</v>
      </c>
      <c r="O1988" s="35">
        <f>IFERROR(__xludf.DUMMYFUNCTION("""COMPUTED_VALUE"""),51.9007225887527)</f>
        <v>51.90072259</v>
      </c>
      <c r="P1988" s="35">
        <f>IFERROR(__xludf.DUMMYFUNCTION("""COMPUTED_VALUE"""),6607.0)</f>
        <v>6607</v>
      </c>
      <c r="Q1988" s="35">
        <f>IFERROR(__xludf.DUMMYFUNCTION("""COMPUTED_VALUE"""),12731.0)</f>
        <v>12731</v>
      </c>
    </row>
    <row r="1989">
      <c r="A1989" s="35">
        <f>IFERROR(__xludf.DUMMYFUNCTION("""COMPUTED_VALUE"""),2136.0)</f>
        <v>2136</v>
      </c>
      <c r="B1989" s="35" t="str">
        <f>IFERROR(__xludf.DUMMYFUNCTION("""COMPUTED_VALUE"""),"Find Cutoff Score for Each School")</f>
        <v>Find Cutoff Score for Each School</v>
      </c>
      <c r="C1989" s="35" t="str">
        <f>IFERROR(__xludf.DUMMYFUNCTION("""COMPUTED_VALUE"""),"find-cutoff-score-for-each-school")</f>
        <v>find-cutoff-score-for-each-school</v>
      </c>
      <c r="D1989" s="35" t="b">
        <f>IFERROR(__xludf.DUMMYFUNCTION("""COMPUTED_VALUE"""),TRUE)</f>
        <v>1</v>
      </c>
      <c r="E1989" s="35" t="str">
        <f>IFERROR(__xludf.DUMMYFUNCTION("""COMPUTED_VALUE"""),"Medium")</f>
        <v>Medium</v>
      </c>
      <c r="F1989" s="35">
        <f>IFERROR(__xludf.DUMMYFUNCTION("""COMPUTED_VALUE"""),23.0)</f>
        <v>23</v>
      </c>
      <c r="G1989" s="35">
        <f>IFERROR(__xludf.DUMMYFUNCTION("""COMPUTED_VALUE"""),50.0)</f>
        <v>50</v>
      </c>
      <c r="H1989" s="35" t="str">
        <f>IFERROR(__xludf.DUMMYFUNCTION("""COMPUTED_VALUE"""),"Database")</f>
        <v>Database</v>
      </c>
      <c r="I1989" s="35">
        <f>IFERROR(__xludf.DUMMYFUNCTION("""COMPUTED_VALUE"""),0.691)</f>
        <v>0.691</v>
      </c>
      <c r="J1989" s="35">
        <f>IFERROR(__xludf.DUMMYFUNCTION("""COMPUTED_VALUE"""),1988.0)</f>
        <v>1988</v>
      </c>
      <c r="K1989" s="35" t="b">
        <f>IFERROR(__xludf.DUMMYFUNCTION("""COMPUTED_VALUE"""),TRUE)</f>
        <v>1</v>
      </c>
      <c r="L1989" s="35" t="str">
        <f>IFERROR(__xludf.DUMMYFUNCTION("""COMPUTED_VALUE"""),"Database;")</f>
        <v>Database;</v>
      </c>
      <c r="M1989" s="35" t="b">
        <f>IFERROR(__xludf.DUMMYFUNCTION("""COMPUTED_VALUE"""),FALSE)</f>
        <v>0</v>
      </c>
      <c r="N1989" s="35" t="b">
        <f>IFERROR(__xludf.DUMMYFUNCTION("""COMPUTED_VALUE"""),FALSE)</f>
        <v>0</v>
      </c>
      <c r="O1989" s="35">
        <f>IFERROR(__xludf.DUMMYFUNCTION("""COMPUTED_VALUE"""),69.1028225806451)</f>
        <v>69.10282258</v>
      </c>
      <c r="P1989" s="35">
        <f>IFERROR(__xludf.DUMMYFUNCTION("""COMPUTED_VALUE"""),2740.0)</f>
        <v>2740</v>
      </c>
      <c r="Q1989" s="35">
        <f>IFERROR(__xludf.DUMMYFUNCTION("""COMPUTED_VALUE"""),3963.0)</f>
        <v>3963</v>
      </c>
    </row>
    <row r="1990">
      <c r="A1990" s="35">
        <f>IFERROR(__xludf.DUMMYFUNCTION("""COMPUTED_VALUE"""),1979.0)</f>
        <v>1979</v>
      </c>
      <c r="B1990" s="35" t="str">
        <f>IFERROR(__xludf.DUMMYFUNCTION("""COMPUTED_VALUE"""),"Maximum Number of People That Can Be Caught in Tag")</f>
        <v>Maximum Number of People That Can Be Caught in Tag</v>
      </c>
      <c r="C1990" s="35" t="str">
        <f>IFERROR(__xludf.DUMMYFUNCTION("""COMPUTED_VALUE"""),"maximum-number-of-people-that-can-be-caught-in-tag")</f>
        <v>maximum-number-of-people-that-can-be-caught-in-tag</v>
      </c>
      <c r="D1990" s="35" t="b">
        <f>IFERROR(__xludf.DUMMYFUNCTION("""COMPUTED_VALUE"""),TRUE)</f>
        <v>1</v>
      </c>
      <c r="E1990" s="35" t="str">
        <f>IFERROR(__xludf.DUMMYFUNCTION("""COMPUTED_VALUE"""),"Medium")</f>
        <v>Medium</v>
      </c>
      <c r="F1990" s="35">
        <f>IFERROR(__xludf.DUMMYFUNCTION("""COMPUTED_VALUE"""),38.0)</f>
        <v>38</v>
      </c>
      <c r="G1990" s="35">
        <f>IFERROR(__xludf.DUMMYFUNCTION("""COMPUTED_VALUE"""),5.0)</f>
        <v>5</v>
      </c>
      <c r="H1990" s="35" t="str">
        <f>IFERROR(__xludf.DUMMYFUNCTION("""COMPUTED_VALUE"""),"Algorithms")</f>
        <v>Algorithms</v>
      </c>
      <c r="I1990" s="35">
        <f>IFERROR(__xludf.DUMMYFUNCTION("""COMPUTED_VALUE"""),0.555)</f>
        <v>0.555</v>
      </c>
      <c r="J1990" s="35">
        <f>IFERROR(__xludf.DUMMYFUNCTION("""COMPUTED_VALUE"""),1989.0)</f>
        <v>1989</v>
      </c>
      <c r="K1990" s="35" t="b">
        <f>IFERROR(__xludf.DUMMYFUNCTION("""COMPUTED_VALUE"""),TRUE)</f>
        <v>1</v>
      </c>
      <c r="L1990" s="35" t="str">
        <f>IFERROR(__xludf.DUMMYFUNCTION("""COMPUTED_VALUE"""),"Array;Greedy;")</f>
        <v>Array;Greedy;</v>
      </c>
      <c r="M1990" s="35" t="b">
        <f>IFERROR(__xludf.DUMMYFUNCTION("""COMPUTED_VALUE"""),FALSE)</f>
        <v>0</v>
      </c>
      <c r="N1990" s="35" t="b">
        <f>IFERROR(__xludf.DUMMYFUNCTION("""COMPUTED_VALUE"""),FALSE)</f>
        <v>0</v>
      </c>
      <c r="O1990" s="35">
        <f>IFERROR(__xludf.DUMMYFUNCTION("""COMPUTED_VALUE"""),55.4906542056074)</f>
        <v>55.49065421</v>
      </c>
      <c r="P1990" s="35">
        <f>IFERROR(__xludf.DUMMYFUNCTION("""COMPUTED_VALUE"""),950.0)</f>
        <v>950</v>
      </c>
      <c r="Q1990" s="35">
        <f>IFERROR(__xludf.DUMMYFUNCTION("""COMPUTED_VALUE"""),1712.0)</f>
        <v>1712</v>
      </c>
    </row>
    <row r="1991">
      <c r="A1991" s="35">
        <f>IFERROR(__xludf.DUMMYFUNCTION("""COMPUTED_VALUE"""),2143.0)</f>
        <v>2143</v>
      </c>
      <c r="B1991" s="35" t="str">
        <f>IFERROR(__xludf.DUMMYFUNCTION("""COMPUTED_VALUE"""),"Count the Number of Experiments")</f>
        <v>Count the Number of Experiments</v>
      </c>
      <c r="C1991" s="35" t="str">
        <f>IFERROR(__xludf.DUMMYFUNCTION("""COMPUTED_VALUE"""),"count-the-number-of-experiments")</f>
        <v>count-the-number-of-experiments</v>
      </c>
      <c r="D1991" s="35" t="b">
        <f>IFERROR(__xludf.DUMMYFUNCTION("""COMPUTED_VALUE"""),TRUE)</f>
        <v>1</v>
      </c>
      <c r="E1991" s="35" t="str">
        <f>IFERROR(__xludf.DUMMYFUNCTION("""COMPUTED_VALUE"""),"Medium")</f>
        <v>Medium</v>
      </c>
      <c r="F1991" s="35">
        <f>IFERROR(__xludf.DUMMYFUNCTION("""COMPUTED_VALUE"""),6.0)</f>
        <v>6</v>
      </c>
      <c r="G1991" s="35">
        <f>IFERROR(__xludf.DUMMYFUNCTION("""COMPUTED_VALUE"""),75.0)</f>
        <v>75</v>
      </c>
      <c r="H1991" s="35" t="str">
        <f>IFERROR(__xludf.DUMMYFUNCTION("""COMPUTED_VALUE"""),"Database")</f>
        <v>Database</v>
      </c>
      <c r="I1991" s="35">
        <f>IFERROR(__xludf.DUMMYFUNCTION("""COMPUTED_VALUE"""),0.506)</f>
        <v>0.506</v>
      </c>
      <c r="J1991" s="35">
        <f>IFERROR(__xludf.DUMMYFUNCTION("""COMPUTED_VALUE"""),1990.0)</f>
        <v>1990</v>
      </c>
      <c r="K1991" s="35" t="b">
        <f>IFERROR(__xludf.DUMMYFUNCTION("""COMPUTED_VALUE"""),TRUE)</f>
        <v>1</v>
      </c>
      <c r="L1991" s="35" t="str">
        <f>IFERROR(__xludf.DUMMYFUNCTION("""COMPUTED_VALUE"""),"Database;")</f>
        <v>Database;</v>
      </c>
      <c r="M1991" s="35" t="b">
        <f>IFERROR(__xludf.DUMMYFUNCTION("""COMPUTED_VALUE"""),FALSE)</f>
        <v>0</v>
      </c>
      <c r="N1991" s="35" t="b">
        <f>IFERROR(__xludf.DUMMYFUNCTION("""COMPUTED_VALUE"""),FALSE)</f>
        <v>0</v>
      </c>
      <c r="O1991" s="35">
        <f>IFERROR(__xludf.DUMMYFUNCTION("""COMPUTED_VALUE"""),50.6216279615294)</f>
        <v>50.62162796</v>
      </c>
      <c r="P1991" s="35">
        <f>IFERROR(__xludf.DUMMYFUNCTION("""COMPUTED_VALUE"""),2158.0)</f>
        <v>2158</v>
      </c>
      <c r="Q1991" s="35">
        <f>IFERROR(__xludf.DUMMYFUNCTION("""COMPUTED_VALUE"""),4263.0)</f>
        <v>4263</v>
      </c>
    </row>
    <row r="1992">
      <c r="A1992" s="35">
        <f>IFERROR(__xludf.DUMMYFUNCTION("""COMPUTED_VALUE"""),2102.0)</f>
        <v>2102</v>
      </c>
      <c r="B1992" s="35" t="str">
        <f>IFERROR(__xludf.DUMMYFUNCTION("""COMPUTED_VALUE"""),"Find the Middle Index in Array")</f>
        <v>Find the Middle Index in Array</v>
      </c>
      <c r="C1992" s="35" t="str">
        <f>IFERROR(__xludf.DUMMYFUNCTION("""COMPUTED_VALUE"""),"find-the-middle-index-in-array")</f>
        <v>find-the-middle-index-in-array</v>
      </c>
      <c r="D1992" s="35" t="b">
        <f>IFERROR(__xludf.DUMMYFUNCTION("""COMPUTED_VALUE"""),FALSE)</f>
        <v>0</v>
      </c>
      <c r="E1992" s="35" t="str">
        <f>IFERROR(__xludf.DUMMYFUNCTION("""COMPUTED_VALUE"""),"Easy")</f>
        <v>Easy</v>
      </c>
      <c r="F1992" s="35">
        <f>IFERROR(__xludf.DUMMYFUNCTION("""COMPUTED_VALUE"""),349.0)</f>
        <v>349</v>
      </c>
      <c r="G1992" s="35">
        <f>IFERROR(__xludf.DUMMYFUNCTION("""COMPUTED_VALUE"""),18.0)</f>
        <v>18</v>
      </c>
      <c r="H1992" s="35" t="str">
        <f>IFERROR(__xludf.DUMMYFUNCTION("""COMPUTED_VALUE"""),"Algorithms")</f>
        <v>Algorithms</v>
      </c>
      <c r="I1992" s="35">
        <f>IFERROR(__xludf.DUMMYFUNCTION("""COMPUTED_VALUE"""),0.663)</f>
        <v>0.663</v>
      </c>
      <c r="J1992" s="35">
        <f>IFERROR(__xludf.DUMMYFUNCTION("""COMPUTED_VALUE"""),1991.0)</f>
        <v>1991</v>
      </c>
      <c r="K1992" s="35" t="b">
        <f>IFERROR(__xludf.DUMMYFUNCTION("""COMPUTED_VALUE"""),FALSE)</f>
        <v>0</v>
      </c>
      <c r="L1992" s="35" t="str">
        <f>IFERROR(__xludf.DUMMYFUNCTION("""COMPUTED_VALUE"""),"Array;Prefix Sum;")</f>
        <v>Array;Prefix Sum;</v>
      </c>
      <c r="M1992" s="35" t="b">
        <f>IFERROR(__xludf.DUMMYFUNCTION("""COMPUTED_VALUE"""),FALSE)</f>
        <v>0</v>
      </c>
      <c r="N1992" s="35" t="b">
        <f>IFERROR(__xludf.DUMMYFUNCTION("""COMPUTED_VALUE"""),FALSE)</f>
        <v>0</v>
      </c>
      <c r="O1992" s="35">
        <f>IFERROR(__xludf.DUMMYFUNCTION("""COMPUTED_VALUE"""),66.337386018237)</f>
        <v>66.33738602</v>
      </c>
      <c r="P1992" s="35">
        <f>IFERROR(__xludf.DUMMYFUNCTION("""COMPUTED_VALUE"""),23571.0)</f>
        <v>23571</v>
      </c>
      <c r="Q1992" s="35">
        <f>IFERROR(__xludf.DUMMYFUNCTION("""COMPUTED_VALUE"""),35532.0)</f>
        <v>35532</v>
      </c>
    </row>
    <row r="1993">
      <c r="A1993" s="35">
        <f>IFERROR(__xludf.DUMMYFUNCTION("""COMPUTED_VALUE"""),2103.0)</f>
        <v>2103</v>
      </c>
      <c r="B1993" s="35" t="str">
        <f>IFERROR(__xludf.DUMMYFUNCTION("""COMPUTED_VALUE"""),"Find All Groups of Farmland")</f>
        <v>Find All Groups of Farmland</v>
      </c>
      <c r="C1993" s="35" t="str">
        <f>IFERROR(__xludf.DUMMYFUNCTION("""COMPUTED_VALUE"""),"find-all-groups-of-farmland")</f>
        <v>find-all-groups-of-farmland</v>
      </c>
      <c r="D1993" s="35" t="b">
        <f>IFERROR(__xludf.DUMMYFUNCTION("""COMPUTED_VALUE"""),FALSE)</f>
        <v>0</v>
      </c>
      <c r="E1993" s="35" t="str">
        <f>IFERROR(__xludf.DUMMYFUNCTION("""COMPUTED_VALUE"""),"Medium")</f>
        <v>Medium</v>
      </c>
      <c r="F1993" s="35">
        <f>IFERROR(__xludf.DUMMYFUNCTION("""COMPUTED_VALUE"""),323.0)</f>
        <v>323</v>
      </c>
      <c r="G1993" s="35">
        <f>IFERROR(__xludf.DUMMYFUNCTION("""COMPUTED_VALUE"""),16.0)</f>
        <v>16</v>
      </c>
      <c r="H1993" s="35" t="str">
        <f>IFERROR(__xludf.DUMMYFUNCTION("""COMPUTED_VALUE"""),"Algorithms")</f>
        <v>Algorithms</v>
      </c>
      <c r="I1993" s="35">
        <f>IFERROR(__xludf.DUMMYFUNCTION("""COMPUTED_VALUE"""),0.67)</f>
        <v>0.67</v>
      </c>
      <c r="J1993" s="35">
        <f>IFERROR(__xludf.DUMMYFUNCTION("""COMPUTED_VALUE"""),1992.0)</f>
        <v>1992</v>
      </c>
      <c r="K1993" s="35" t="b">
        <f>IFERROR(__xludf.DUMMYFUNCTION("""COMPUTED_VALUE"""),FALSE)</f>
        <v>0</v>
      </c>
      <c r="L1993" s="35" t="str">
        <f>IFERROR(__xludf.DUMMYFUNCTION("""COMPUTED_VALUE"""),"Array;Depth-First Search;Breadth-First Search;Matrix;")</f>
        <v>Array;Depth-First Search;Breadth-First Search;Matrix;</v>
      </c>
      <c r="M1993" s="35" t="b">
        <f>IFERROR(__xludf.DUMMYFUNCTION("""COMPUTED_VALUE"""),FALSE)</f>
        <v>0</v>
      </c>
      <c r="N1993" s="35" t="b">
        <f>IFERROR(__xludf.DUMMYFUNCTION("""COMPUTED_VALUE"""),FALSE)</f>
        <v>0</v>
      </c>
      <c r="O1993" s="35">
        <f>IFERROR(__xludf.DUMMYFUNCTION("""COMPUTED_VALUE"""),66.9963448720705)</f>
        <v>66.99634487</v>
      </c>
      <c r="P1993" s="35">
        <f>IFERROR(__xludf.DUMMYFUNCTION("""COMPUTED_VALUE"""),12464.0)</f>
        <v>12464</v>
      </c>
      <c r="Q1993" s="35">
        <f>IFERROR(__xludf.DUMMYFUNCTION("""COMPUTED_VALUE"""),18604.0)</f>
        <v>18604</v>
      </c>
    </row>
    <row r="1994">
      <c r="A1994" s="35">
        <f>IFERROR(__xludf.DUMMYFUNCTION("""COMPUTED_VALUE"""),2104.0)</f>
        <v>2104</v>
      </c>
      <c r="B1994" s="35" t="str">
        <f>IFERROR(__xludf.DUMMYFUNCTION("""COMPUTED_VALUE"""),"Operations on Tree")</f>
        <v>Operations on Tree</v>
      </c>
      <c r="C1994" s="35" t="str">
        <f>IFERROR(__xludf.DUMMYFUNCTION("""COMPUTED_VALUE"""),"operations-on-tree")</f>
        <v>operations-on-tree</v>
      </c>
      <c r="D1994" s="35" t="b">
        <f>IFERROR(__xludf.DUMMYFUNCTION("""COMPUTED_VALUE"""),FALSE)</f>
        <v>0</v>
      </c>
      <c r="E1994" s="35" t="str">
        <f>IFERROR(__xludf.DUMMYFUNCTION("""COMPUTED_VALUE"""),"Medium")</f>
        <v>Medium</v>
      </c>
      <c r="F1994" s="35">
        <f>IFERROR(__xludf.DUMMYFUNCTION("""COMPUTED_VALUE"""),195.0)</f>
        <v>195</v>
      </c>
      <c r="G1994" s="35">
        <f>IFERROR(__xludf.DUMMYFUNCTION("""COMPUTED_VALUE"""),35.0)</f>
        <v>35</v>
      </c>
      <c r="H1994" s="35" t="str">
        <f>IFERROR(__xludf.DUMMYFUNCTION("""COMPUTED_VALUE"""),"Algorithms")</f>
        <v>Algorithms</v>
      </c>
      <c r="I1994" s="35">
        <f>IFERROR(__xludf.DUMMYFUNCTION("""COMPUTED_VALUE"""),0.419)</f>
        <v>0.419</v>
      </c>
      <c r="J1994" s="35">
        <f>IFERROR(__xludf.DUMMYFUNCTION("""COMPUTED_VALUE"""),1993.0)</f>
        <v>1993</v>
      </c>
      <c r="K1994" s="35" t="b">
        <f>IFERROR(__xludf.DUMMYFUNCTION("""COMPUTED_VALUE"""),FALSE)</f>
        <v>0</v>
      </c>
      <c r="L1994" s="35" t="str">
        <f>IFERROR(__xludf.DUMMYFUNCTION("""COMPUTED_VALUE"""),"Hash Table;Tree;Breadth-First Search;Design;")</f>
        <v>Hash Table;Tree;Breadth-First Search;Design;</v>
      </c>
      <c r="M1994" s="35" t="b">
        <f>IFERROR(__xludf.DUMMYFUNCTION("""COMPUTED_VALUE"""),FALSE)</f>
        <v>0</v>
      </c>
      <c r="N1994" s="35" t="b">
        <f>IFERROR(__xludf.DUMMYFUNCTION("""COMPUTED_VALUE"""),FALSE)</f>
        <v>0</v>
      </c>
      <c r="O1994" s="35">
        <f>IFERROR(__xludf.DUMMYFUNCTION("""COMPUTED_VALUE"""),41.8626278729905)</f>
        <v>41.86262787</v>
      </c>
      <c r="P1994" s="35">
        <f>IFERROR(__xludf.DUMMYFUNCTION("""COMPUTED_VALUE"""),6302.0)</f>
        <v>6302</v>
      </c>
      <c r="Q1994" s="35">
        <f>IFERROR(__xludf.DUMMYFUNCTION("""COMPUTED_VALUE"""),15054.0)</f>
        <v>15054</v>
      </c>
    </row>
    <row r="1995">
      <c r="A1995" s="35">
        <f>IFERROR(__xludf.DUMMYFUNCTION("""COMPUTED_VALUE"""),2105.0)</f>
        <v>2105</v>
      </c>
      <c r="B1995" s="35" t="str">
        <f>IFERROR(__xludf.DUMMYFUNCTION("""COMPUTED_VALUE"""),"The Number of Good Subsets")</f>
        <v>The Number of Good Subsets</v>
      </c>
      <c r="C1995" s="35" t="str">
        <f>IFERROR(__xludf.DUMMYFUNCTION("""COMPUTED_VALUE"""),"the-number-of-good-subsets")</f>
        <v>the-number-of-good-subsets</v>
      </c>
      <c r="D1995" s="35" t="b">
        <f>IFERROR(__xludf.DUMMYFUNCTION("""COMPUTED_VALUE"""),FALSE)</f>
        <v>0</v>
      </c>
      <c r="E1995" s="35" t="str">
        <f>IFERROR(__xludf.DUMMYFUNCTION("""COMPUTED_VALUE"""),"Hard")</f>
        <v>Hard</v>
      </c>
      <c r="F1995" s="35">
        <f>IFERROR(__xludf.DUMMYFUNCTION("""COMPUTED_VALUE"""),199.0)</f>
        <v>199</v>
      </c>
      <c r="G1995" s="35">
        <f>IFERROR(__xludf.DUMMYFUNCTION("""COMPUTED_VALUE"""),4.0)</f>
        <v>4</v>
      </c>
      <c r="H1995" s="35" t="str">
        <f>IFERROR(__xludf.DUMMYFUNCTION("""COMPUTED_VALUE"""),"Algorithms")</f>
        <v>Algorithms</v>
      </c>
      <c r="I1995" s="35">
        <f>IFERROR(__xludf.DUMMYFUNCTION("""COMPUTED_VALUE"""),0.34)</f>
        <v>0.34</v>
      </c>
      <c r="J1995" s="35">
        <f>IFERROR(__xludf.DUMMYFUNCTION("""COMPUTED_VALUE"""),1994.0)</f>
        <v>1994</v>
      </c>
      <c r="K1995" s="35" t="b">
        <f>IFERROR(__xludf.DUMMYFUNCTION("""COMPUTED_VALUE"""),FALSE)</f>
        <v>0</v>
      </c>
      <c r="L1995" s="35" t="str">
        <f>IFERROR(__xludf.DUMMYFUNCTION("""COMPUTED_VALUE"""),"Array;Math;Dynamic Programming;Bit Manipulation;Bitmask;")</f>
        <v>Array;Math;Dynamic Programming;Bit Manipulation;Bitmask;</v>
      </c>
      <c r="M1995" s="35" t="b">
        <f>IFERROR(__xludf.DUMMYFUNCTION("""COMPUTED_VALUE"""),FALSE)</f>
        <v>0</v>
      </c>
      <c r="N1995" s="35" t="b">
        <f>IFERROR(__xludf.DUMMYFUNCTION("""COMPUTED_VALUE"""),FALSE)</f>
        <v>0</v>
      </c>
      <c r="O1995" s="35">
        <f>IFERROR(__xludf.DUMMYFUNCTION("""COMPUTED_VALUE"""),33.9799133517132)</f>
        <v>33.97991335</v>
      </c>
      <c r="P1995" s="35">
        <f>IFERROR(__xludf.DUMMYFUNCTION("""COMPUTED_VALUE"""),3451.0)</f>
        <v>3451</v>
      </c>
      <c r="Q1995" s="35">
        <f>IFERROR(__xludf.DUMMYFUNCTION("""COMPUTED_VALUE"""),10156.0)</f>
        <v>10156</v>
      </c>
    </row>
    <row r="1996">
      <c r="A1996" s="35">
        <f>IFERROR(__xludf.DUMMYFUNCTION("""COMPUTED_VALUE"""),2122.0)</f>
        <v>2122</v>
      </c>
      <c r="B1996" s="35" t="str">
        <f>IFERROR(__xludf.DUMMYFUNCTION("""COMPUTED_VALUE"""),"Count Special Quadruplets")</f>
        <v>Count Special Quadruplets</v>
      </c>
      <c r="C1996" s="35" t="str">
        <f>IFERROR(__xludf.DUMMYFUNCTION("""COMPUTED_VALUE"""),"count-special-quadruplets")</f>
        <v>count-special-quadruplets</v>
      </c>
      <c r="D1996" s="35" t="b">
        <f>IFERROR(__xludf.DUMMYFUNCTION("""COMPUTED_VALUE"""),FALSE)</f>
        <v>0</v>
      </c>
      <c r="E1996" s="35" t="str">
        <f>IFERROR(__xludf.DUMMYFUNCTION("""COMPUTED_VALUE"""),"Easy")</f>
        <v>Easy</v>
      </c>
      <c r="F1996" s="35">
        <f>IFERROR(__xludf.DUMMYFUNCTION("""COMPUTED_VALUE"""),235.0)</f>
        <v>235</v>
      </c>
      <c r="G1996" s="35">
        <f>IFERROR(__xludf.DUMMYFUNCTION("""COMPUTED_VALUE"""),121.0)</f>
        <v>121</v>
      </c>
      <c r="H1996" s="35" t="str">
        <f>IFERROR(__xludf.DUMMYFUNCTION("""COMPUTED_VALUE"""),"Algorithms")</f>
        <v>Algorithms</v>
      </c>
      <c r="I1996" s="35">
        <f>IFERROR(__xludf.DUMMYFUNCTION("""COMPUTED_VALUE"""),0.577)</f>
        <v>0.577</v>
      </c>
      <c r="J1996" s="35">
        <f>IFERROR(__xludf.DUMMYFUNCTION("""COMPUTED_VALUE"""),1995.0)</f>
        <v>1995</v>
      </c>
      <c r="K1996" s="35" t="b">
        <f>IFERROR(__xludf.DUMMYFUNCTION("""COMPUTED_VALUE"""),FALSE)</f>
        <v>0</v>
      </c>
      <c r="L1996" s="35" t="str">
        <f>IFERROR(__xludf.DUMMYFUNCTION("""COMPUTED_VALUE"""),"Array;Enumeration;")</f>
        <v>Array;Enumeration;</v>
      </c>
      <c r="M1996" s="35" t="b">
        <f>IFERROR(__xludf.DUMMYFUNCTION("""COMPUTED_VALUE"""),FALSE)</f>
        <v>0</v>
      </c>
      <c r="N1996" s="35" t="b">
        <f>IFERROR(__xludf.DUMMYFUNCTION("""COMPUTED_VALUE"""),FALSE)</f>
        <v>0</v>
      </c>
      <c r="O1996" s="35">
        <f>IFERROR(__xludf.DUMMYFUNCTION("""COMPUTED_VALUE"""),57.7281071854166)</f>
        <v>57.72810719</v>
      </c>
      <c r="P1996" s="35">
        <f>IFERROR(__xludf.DUMMYFUNCTION("""COMPUTED_VALUE"""),17924.0)</f>
        <v>17924</v>
      </c>
      <c r="Q1996" s="35">
        <f>IFERROR(__xludf.DUMMYFUNCTION("""COMPUTED_VALUE"""),31049.0)</f>
        <v>31049</v>
      </c>
    </row>
    <row r="1997">
      <c r="A1997" s="35">
        <f>IFERROR(__xludf.DUMMYFUNCTION("""COMPUTED_VALUE"""),2123.0)</f>
        <v>2123</v>
      </c>
      <c r="B1997" s="35" t="str">
        <f>IFERROR(__xludf.DUMMYFUNCTION("""COMPUTED_VALUE"""),"The Number of Weak Characters in the Game")</f>
        <v>The Number of Weak Characters in the Game</v>
      </c>
      <c r="C1997" s="35" t="str">
        <f>IFERROR(__xludf.DUMMYFUNCTION("""COMPUTED_VALUE"""),"the-number-of-weak-characters-in-the-game")</f>
        <v>the-number-of-weak-characters-in-the-game</v>
      </c>
      <c r="D1997" s="35" t="b">
        <f>IFERROR(__xludf.DUMMYFUNCTION("""COMPUTED_VALUE"""),FALSE)</f>
        <v>0</v>
      </c>
      <c r="E1997" s="35" t="str">
        <f>IFERROR(__xludf.DUMMYFUNCTION("""COMPUTED_VALUE"""),"Medium")</f>
        <v>Medium</v>
      </c>
      <c r="F1997" s="35">
        <f>IFERROR(__xludf.DUMMYFUNCTION("""COMPUTED_VALUE"""),560.0)</f>
        <v>560</v>
      </c>
      <c r="G1997" s="35">
        <f>IFERROR(__xludf.DUMMYFUNCTION("""COMPUTED_VALUE"""),20.0)</f>
        <v>20</v>
      </c>
      <c r="H1997" s="35" t="str">
        <f>IFERROR(__xludf.DUMMYFUNCTION("""COMPUTED_VALUE"""),"Algorithms")</f>
        <v>Algorithms</v>
      </c>
      <c r="I1997" s="35">
        <f>IFERROR(__xludf.DUMMYFUNCTION("""COMPUTED_VALUE"""),0.325)</f>
        <v>0.325</v>
      </c>
      <c r="J1997" s="35">
        <f>IFERROR(__xludf.DUMMYFUNCTION("""COMPUTED_VALUE"""),1996.0)</f>
        <v>1996</v>
      </c>
      <c r="K1997" s="35" t="b">
        <f>IFERROR(__xludf.DUMMYFUNCTION("""COMPUTED_VALUE"""),FALSE)</f>
        <v>0</v>
      </c>
      <c r="L1997" s="35" t="str">
        <f>IFERROR(__xludf.DUMMYFUNCTION("""COMPUTED_VALUE"""),"Array;Stack;Greedy;Sorting;Monotonic Stack;")</f>
        <v>Array;Stack;Greedy;Sorting;Monotonic Stack;</v>
      </c>
      <c r="M1997" s="35" t="b">
        <f>IFERROR(__xludf.DUMMYFUNCTION("""COMPUTED_VALUE"""),FALSE)</f>
        <v>0</v>
      </c>
      <c r="N1997" s="35" t="b">
        <f>IFERROR(__xludf.DUMMYFUNCTION("""COMPUTED_VALUE"""),FALSE)</f>
        <v>0</v>
      </c>
      <c r="O1997" s="35">
        <f>IFERROR(__xludf.DUMMYFUNCTION("""COMPUTED_VALUE"""),32.4549836795572)</f>
        <v>32.45498368</v>
      </c>
      <c r="P1997" s="35">
        <f>IFERROR(__xludf.DUMMYFUNCTION("""COMPUTED_VALUE"""),15014.0)</f>
        <v>15014</v>
      </c>
      <c r="Q1997" s="35">
        <f>IFERROR(__xludf.DUMMYFUNCTION("""COMPUTED_VALUE"""),46261.0)</f>
        <v>46261</v>
      </c>
    </row>
    <row r="1998">
      <c r="A1998" s="35">
        <f>IFERROR(__xludf.DUMMYFUNCTION("""COMPUTED_VALUE"""),2124.0)</f>
        <v>2124</v>
      </c>
      <c r="B1998" s="35" t="str">
        <f>IFERROR(__xludf.DUMMYFUNCTION("""COMPUTED_VALUE"""),"First Day Where You Have Been in All the Rooms")</f>
        <v>First Day Where You Have Been in All the Rooms</v>
      </c>
      <c r="C1998" s="35" t="str">
        <f>IFERROR(__xludf.DUMMYFUNCTION("""COMPUTED_VALUE"""),"first-day-where-you-have-been-in-all-the-rooms")</f>
        <v>first-day-where-you-have-been-in-all-the-rooms</v>
      </c>
      <c r="D1998" s="35" t="b">
        <f>IFERROR(__xludf.DUMMYFUNCTION("""COMPUTED_VALUE"""),FALSE)</f>
        <v>0</v>
      </c>
      <c r="E1998" s="35" t="str">
        <f>IFERROR(__xludf.DUMMYFUNCTION("""COMPUTED_VALUE"""),"Medium")</f>
        <v>Medium</v>
      </c>
      <c r="F1998" s="35">
        <f>IFERROR(__xludf.DUMMYFUNCTION("""COMPUTED_VALUE"""),309.0)</f>
        <v>309</v>
      </c>
      <c r="G1998" s="35">
        <f>IFERROR(__xludf.DUMMYFUNCTION("""COMPUTED_VALUE"""),51.0)</f>
        <v>51</v>
      </c>
      <c r="H1998" s="35" t="str">
        <f>IFERROR(__xludf.DUMMYFUNCTION("""COMPUTED_VALUE"""),"Algorithms")</f>
        <v>Algorithms</v>
      </c>
      <c r="I1998" s="35">
        <f>IFERROR(__xludf.DUMMYFUNCTION("""COMPUTED_VALUE"""),0.352)</f>
        <v>0.352</v>
      </c>
      <c r="J1998" s="35">
        <f>IFERROR(__xludf.DUMMYFUNCTION("""COMPUTED_VALUE"""),1997.0)</f>
        <v>1997</v>
      </c>
      <c r="K1998" s="35" t="b">
        <f>IFERROR(__xludf.DUMMYFUNCTION("""COMPUTED_VALUE"""),FALSE)</f>
        <v>0</v>
      </c>
      <c r="L1998" s="35" t="str">
        <f>IFERROR(__xludf.DUMMYFUNCTION("""COMPUTED_VALUE"""),"Array;Dynamic Programming;")</f>
        <v>Array;Dynamic Programming;</v>
      </c>
      <c r="M1998" s="35" t="b">
        <f>IFERROR(__xludf.DUMMYFUNCTION("""COMPUTED_VALUE"""),FALSE)</f>
        <v>0</v>
      </c>
      <c r="N1998" s="35" t="b">
        <f>IFERROR(__xludf.DUMMYFUNCTION("""COMPUTED_VALUE"""),FALSE)</f>
        <v>0</v>
      </c>
      <c r="O1998" s="35">
        <f>IFERROR(__xludf.DUMMYFUNCTION("""COMPUTED_VALUE"""),35.2220121275347)</f>
        <v>35.22201213</v>
      </c>
      <c r="P1998" s="35">
        <f>IFERROR(__xludf.DUMMYFUNCTION("""COMPUTED_VALUE"""),5402.0)</f>
        <v>5402</v>
      </c>
      <c r="Q1998" s="35">
        <f>IFERROR(__xludf.DUMMYFUNCTION("""COMPUTED_VALUE"""),15337.0)</f>
        <v>15337</v>
      </c>
    </row>
    <row r="1999">
      <c r="A1999" s="35">
        <f>IFERROR(__xludf.DUMMYFUNCTION("""COMPUTED_VALUE"""),2125.0)</f>
        <v>2125</v>
      </c>
      <c r="B1999" s="35" t="str">
        <f>IFERROR(__xludf.DUMMYFUNCTION("""COMPUTED_VALUE"""),"GCD Sort of an Array")</f>
        <v>GCD Sort of an Array</v>
      </c>
      <c r="C1999" s="35" t="str">
        <f>IFERROR(__xludf.DUMMYFUNCTION("""COMPUTED_VALUE"""),"gcd-sort-of-an-array")</f>
        <v>gcd-sort-of-an-array</v>
      </c>
      <c r="D1999" s="35" t="b">
        <f>IFERROR(__xludf.DUMMYFUNCTION("""COMPUTED_VALUE"""),FALSE)</f>
        <v>0</v>
      </c>
      <c r="E1999" s="35" t="str">
        <f>IFERROR(__xludf.DUMMYFUNCTION("""COMPUTED_VALUE"""),"Hard")</f>
        <v>Hard</v>
      </c>
      <c r="F1999" s="35">
        <f>IFERROR(__xludf.DUMMYFUNCTION("""COMPUTED_VALUE"""),240.0)</f>
        <v>240</v>
      </c>
      <c r="G1999" s="35">
        <f>IFERROR(__xludf.DUMMYFUNCTION("""COMPUTED_VALUE"""),4.0)</f>
        <v>4</v>
      </c>
      <c r="H1999" s="35" t="str">
        <f>IFERROR(__xludf.DUMMYFUNCTION("""COMPUTED_VALUE"""),"Algorithms")</f>
        <v>Algorithms</v>
      </c>
      <c r="I1999" s="35">
        <f>IFERROR(__xludf.DUMMYFUNCTION("""COMPUTED_VALUE"""),0.457)</f>
        <v>0.457</v>
      </c>
      <c r="J1999" s="35">
        <f>IFERROR(__xludf.DUMMYFUNCTION("""COMPUTED_VALUE"""),1998.0)</f>
        <v>1998</v>
      </c>
      <c r="K1999" s="35" t="b">
        <f>IFERROR(__xludf.DUMMYFUNCTION("""COMPUTED_VALUE"""),FALSE)</f>
        <v>0</v>
      </c>
      <c r="L1999" s="35" t="str">
        <f>IFERROR(__xludf.DUMMYFUNCTION("""COMPUTED_VALUE"""),"Array;Math;Union Find;Sorting;")</f>
        <v>Array;Math;Union Find;Sorting;</v>
      </c>
      <c r="M1999" s="35" t="b">
        <f>IFERROR(__xludf.DUMMYFUNCTION("""COMPUTED_VALUE"""),FALSE)</f>
        <v>0</v>
      </c>
      <c r="N1999" s="35" t="b">
        <f>IFERROR(__xludf.DUMMYFUNCTION("""COMPUTED_VALUE"""),FALSE)</f>
        <v>0</v>
      </c>
      <c r="O1999" s="35">
        <f>IFERROR(__xludf.DUMMYFUNCTION("""COMPUTED_VALUE"""),45.685122177544)</f>
        <v>45.68512218</v>
      </c>
      <c r="P1999" s="35">
        <f>IFERROR(__xludf.DUMMYFUNCTION("""COMPUTED_VALUE"""),4431.0)</f>
        <v>4431</v>
      </c>
      <c r="Q1999" s="35">
        <f>IFERROR(__xludf.DUMMYFUNCTION("""COMPUTED_VALUE"""),9699.0)</f>
        <v>9699</v>
      </c>
    </row>
    <row r="2000">
      <c r="A2000" s="35">
        <f>IFERROR(__xludf.DUMMYFUNCTION("""COMPUTED_VALUE"""),2141.0)</f>
        <v>2141</v>
      </c>
      <c r="B2000" s="35" t="str">
        <f>IFERROR(__xludf.DUMMYFUNCTION("""COMPUTED_VALUE"""),"Smallest Greater Multiple Made of Two Digits")</f>
        <v>Smallest Greater Multiple Made of Two Digits</v>
      </c>
      <c r="C2000" s="35" t="str">
        <f>IFERROR(__xludf.DUMMYFUNCTION("""COMPUTED_VALUE"""),"smallest-greater-multiple-made-of-two-digits")</f>
        <v>smallest-greater-multiple-made-of-two-digits</v>
      </c>
      <c r="D2000" s="35" t="b">
        <f>IFERROR(__xludf.DUMMYFUNCTION("""COMPUTED_VALUE"""),TRUE)</f>
        <v>1</v>
      </c>
      <c r="E2000" s="35" t="str">
        <f>IFERROR(__xludf.DUMMYFUNCTION("""COMPUTED_VALUE"""),"Medium")</f>
        <v>Medium</v>
      </c>
      <c r="F2000" s="35">
        <f>IFERROR(__xludf.DUMMYFUNCTION("""COMPUTED_VALUE"""),18.0)</f>
        <v>18</v>
      </c>
      <c r="G2000" s="35">
        <f>IFERROR(__xludf.DUMMYFUNCTION("""COMPUTED_VALUE"""),3.0)</f>
        <v>3</v>
      </c>
      <c r="H2000" s="35" t="str">
        <f>IFERROR(__xludf.DUMMYFUNCTION("""COMPUTED_VALUE"""),"Algorithms")</f>
        <v>Algorithms</v>
      </c>
      <c r="I2000" s="35">
        <f>IFERROR(__xludf.DUMMYFUNCTION("""COMPUTED_VALUE"""),0.523)</f>
        <v>0.523</v>
      </c>
      <c r="J2000" s="35">
        <f>IFERROR(__xludf.DUMMYFUNCTION("""COMPUTED_VALUE"""),1999.0)</f>
        <v>1999</v>
      </c>
      <c r="K2000" s="35" t="b">
        <f>IFERROR(__xludf.DUMMYFUNCTION("""COMPUTED_VALUE"""),TRUE)</f>
        <v>1</v>
      </c>
      <c r="L2000" s="35" t="str">
        <f>IFERROR(__xludf.DUMMYFUNCTION("""COMPUTED_VALUE"""),"Math;Enumeration;")</f>
        <v>Math;Enumeration;</v>
      </c>
      <c r="M2000" s="35" t="b">
        <f>IFERROR(__xludf.DUMMYFUNCTION("""COMPUTED_VALUE"""),FALSE)</f>
        <v>0</v>
      </c>
      <c r="N2000" s="35" t="b">
        <f>IFERROR(__xludf.DUMMYFUNCTION("""COMPUTED_VALUE"""),FALSE)</f>
        <v>0</v>
      </c>
      <c r="O2000" s="35">
        <f>IFERROR(__xludf.DUMMYFUNCTION("""COMPUTED_VALUE"""),52.2771007055805)</f>
        <v>52.27710071</v>
      </c>
      <c r="P2000" s="35">
        <f>IFERROR(__xludf.DUMMYFUNCTION("""COMPUTED_VALUE"""),815.0)</f>
        <v>815</v>
      </c>
      <c r="Q2000" s="35">
        <f>IFERROR(__xludf.DUMMYFUNCTION("""COMPUTED_VALUE"""),1559.0)</f>
        <v>1559</v>
      </c>
    </row>
    <row r="2001">
      <c r="A2001" s="35">
        <f>IFERROR(__xludf.DUMMYFUNCTION("""COMPUTED_VALUE"""),2128.0)</f>
        <v>2128</v>
      </c>
      <c r="B2001" s="35" t="str">
        <f>IFERROR(__xludf.DUMMYFUNCTION("""COMPUTED_VALUE"""),"Reverse Prefix of Word")</f>
        <v>Reverse Prefix of Word</v>
      </c>
      <c r="C2001" s="35" t="str">
        <f>IFERROR(__xludf.DUMMYFUNCTION("""COMPUTED_VALUE"""),"reverse-prefix-of-word")</f>
        <v>reverse-prefix-of-word</v>
      </c>
      <c r="D2001" s="35" t="b">
        <f>IFERROR(__xludf.DUMMYFUNCTION("""COMPUTED_VALUE"""),FALSE)</f>
        <v>0</v>
      </c>
      <c r="E2001" s="35" t="str">
        <f>IFERROR(__xludf.DUMMYFUNCTION("""COMPUTED_VALUE"""),"Easy")</f>
        <v>Easy</v>
      </c>
      <c r="F2001" s="35">
        <f>IFERROR(__xludf.DUMMYFUNCTION("""COMPUTED_VALUE"""),272.0)</f>
        <v>272</v>
      </c>
      <c r="G2001" s="35">
        <f>IFERROR(__xludf.DUMMYFUNCTION("""COMPUTED_VALUE"""),6.0)</f>
        <v>6</v>
      </c>
      <c r="H2001" s="35" t="str">
        <f>IFERROR(__xludf.DUMMYFUNCTION("""COMPUTED_VALUE"""),"Algorithms")</f>
        <v>Algorithms</v>
      </c>
      <c r="I2001" s="35">
        <f>IFERROR(__xludf.DUMMYFUNCTION("""COMPUTED_VALUE"""),0.781)</f>
        <v>0.781</v>
      </c>
      <c r="J2001" s="35">
        <f>IFERROR(__xludf.DUMMYFUNCTION("""COMPUTED_VALUE"""),2000.0)</f>
        <v>2000</v>
      </c>
      <c r="K2001" s="35" t="b">
        <f>IFERROR(__xludf.DUMMYFUNCTION("""COMPUTED_VALUE"""),FALSE)</f>
        <v>0</v>
      </c>
      <c r="L2001" s="35" t="str">
        <f>IFERROR(__xludf.DUMMYFUNCTION("""COMPUTED_VALUE"""),"Two Pointers;String;")</f>
        <v>Two Pointers;String;</v>
      </c>
      <c r="M2001" s="35" t="b">
        <f>IFERROR(__xludf.DUMMYFUNCTION("""COMPUTED_VALUE"""),FALSE)</f>
        <v>0</v>
      </c>
      <c r="N2001" s="35" t="b">
        <f>IFERROR(__xludf.DUMMYFUNCTION("""COMPUTED_VALUE"""),FALSE)</f>
        <v>0</v>
      </c>
      <c r="O2001" s="35">
        <f>IFERROR(__xludf.DUMMYFUNCTION("""COMPUTED_VALUE"""),78.0928448617907)</f>
        <v>78.09284486</v>
      </c>
      <c r="P2001" s="35">
        <f>IFERROR(__xludf.DUMMYFUNCTION("""COMPUTED_VALUE"""),29519.0)</f>
        <v>29519</v>
      </c>
      <c r="Q2001" s="35">
        <f>IFERROR(__xludf.DUMMYFUNCTION("""COMPUTED_VALUE"""),37799.0)</f>
        <v>37799</v>
      </c>
    </row>
    <row r="2002">
      <c r="A2002" s="35">
        <f>IFERROR(__xludf.DUMMYFUNCTION("""COMPUTED_VALUE"""),2129.0)</f>
        <v>2129</v>
      </c>
      <c r="B2002" s="35" t="str">
        <f>IFERROR(__xludf.DUMMYFUNCTION("""COMPUTED_VALUE"""),"Number of Pairs of Interchangeable Rectangles")</f>
        <v>Number of Pairs of Interchangeable Rectangles</v>
      </c>
      <c r="C2002" s="35" t="str">
        <f>IFERROR(__xludf.DUMMYFUNCTION("""COMPUTED_VALUE"""),"number-of-pairs-of-interchangeable-rectangles")</f>
        <v>number-of-pairs-of-interchangeable-rectangles</v>
      </c>
      <c r="D2002" s="35" t="b">
        <f>IFERROR(__xludf.DUMMYFUNCTION("""COMPUTED_VALUE"""),FALSE)</f>
        <v>0</v>
      </c>
      <c r="E2002" s="35" t="str">
        <f>IFERROR(__xludf.DUMMYFUNCTION("""COMPUTED_VALUE"""),"Medium")</f>
        <v>Medium</v>
      </c>
      <c r="F2002" s="35">
        <f>IFERROR(__xludf.DUMMYFUNCTION("""COMPUTED_VALUE"""),206.0)</f>
        <v>206</v>
      </c>
      <c r="G2002" s="35">
        <f>IFERROR(__xludf.DUMMYFUNCTION("""COMPUTED_VALUE"""),20.0)</f>
        <v>20</v>
      </c>
      <c r="H2002" s="35" t="str">
        <f>IFERROR(__xludf.DUMMYFUNCTION("""COMPUTED_VALUE"""),"Algorithms")</f>
        <v>Algorithms</v>
      </c>
      <c r="I2002" s="35">
        <f>IFERROR(__xludf.DUMMYFUNCTION("""COMPUTED_VALUE"""),0.425)</f>
        <v>0.425</v>
      </c>
      <c r="J2002" s="35">
        <f>IFERROR(__xludf.DUMMYFUNCTION("""COMPUTED_VALUE"""),2001.0)</f>
        <v>2001</v>
      </c>
      <c r="K2002" s="35" t="b">
        <f>IFERROR(__xludf.DUMMYFUNCTION("""COMPUTED_VALUE"""),FALSE)</f>
        <v>0</v>
      </c>
      <c r="L2002" s="35" t="str">
        <f>IFERROR(__xludf.DUMMYFUNCTION("""COMPUTED_VALUE"""),"Array;Hash Table;Math;Counting;Number Theory;")</f>
        <v>Array;Hash Table;Math;Counting;Number Theory;</v>
      </c>
      <c r="M2002" s="35" t="b">
        <f>IFERROR(__xludf.DUMMYFUNCTION("""COMPUTED_VALUE"""),FALSE)</f>
        <v>0</v>
      </c>
      <c r="N2002" s="35" t="b">
        <f>IFERROR(__xludf.DUMMYFUNCTION("""COMPUTED_VALUE"""),FALSE)</f>
        <v>0</v>
      </c>
      <c r="O2002" s="35">
        <f>IFERROR(__xludf.DUMMYFUNCTION("""COMPUTED_VALUE"""),42.5190774243333)</f>
        <v>42.51907742</v>
      </c>
      <c r="P2002" s="35">
        <f>IFERROR(__xludf.DUMMYFUNCTION("""COMPUTED_VALUE"""),14877.0)</f>
        <v>14877</v>
      </c>
      <c r="Q2002" s="35">
        <f>IFERROR(__xludf.DUMMYFUNCTION("""COMPUTED_VALUE"""),34989.0)</f>
        <v>34989</v>
      </c>
    </row>
    <row r="2003">
      <c r="A2003" s="35">
        <f>IFERROR(__xludf.DUMMYFUNCTION("""COMPUTED_VALUE"""),2130.0)</f>
        <v>2130</v>
      </c>
      <c r="B2003" s="35" t="str">
        <f>IFERROR(__xludf.DUMMYFUNCTION("""COMPUTED_VALUE"""),"Maximum Product of the Length of Two Palindromic Subsequences")</f>
        <v>Maximum Product of the Length of Two Palindromic Subsequences</v>
      </c>
      <c r="C2003" s="35" t="str">
        <f>IFERROR(__xludf.DUMMYFUNCTION("""COMPUTED_VALUE"""),"maximum-product-of-the-length-of-two-palindromic-subsequences")</f>
        <v>maximum-product-of-the-length-of-two-palindromic-subsequences</v>
      </c>
      <c r="D2003" s="35" t="b">
        <f>IFERROR(__xludf.DUMMYFUNCTION("""COMPUTED_VALUE"""),FALSE)</f>
        <v>0</v>
      </c>
      <c r="E2003" s="35" t="str">
        <f>IFERROR(__xludf.DUMMYFUNCTION("""COMPUTED_VALUE"""),"Medium")</f>
        <v>Medium</v>
      </c>
      <c r="F2003" s="35">
        <f>IFERROR(__xludf.DUMMYFUNCTION("""COMPUTED_VALUE"""),405.0)</f>
        <v>405</v>
      </c>
      <c r="G2003" s="35">
        <f>IFERROR(__xludf.DUMMYFUNCTION("""COMPUTED_VALUE"""),27.0)</f>
        <v>27</v>
      </c>
      <c r="H2003" s="35" t="str">
        <f>IFERROR(__xludf.DUMMYFUNCTION("""COMPUTED_VALUE"""),"Algorithms")</f>
        <v>Algorithms</v>
      </c>
      <c r="I2003" s="35">
        <f>IFERROR(__xludf.DUMMYFUNCTION("""COMPUTED_VALUE"""),0.527)</f>
        <v>0.527</v>
      </c>
      <c r="J2003" s="35">
        <f>IFERROR(__xludf.DUMMYFUNCTION("""COMPUTED_VALUE"""),2002.0)</f>
        <v>2002</v>
      </c>
      <c r="K2003" s="35" t="b">
        <f>IFERROR(__xludf.DUMMYFUNCTION("""COMPUTED_VALUE"""),FALSE)</f>
        <v>0</v>
      </c>
      <c r="L2003" s="35" t="str">
        <f>IFERROR(__xludf.DUMMYFUNCTION("""COMPUTED_VALUE"""),"String;Dynamic Programming;Backtracking;Bit Manipulation;Bitmask;")</f>
        <v>String;Dynamic Programming;Backtracking;Bit Manipulation;Bitmask;</v>
      </c>
      <c r="M2003" s="35" t="b">
        <f>IFERROR(__xludf.DUMMYFUNCTION("""COMPUTED_VALUE"""),FALSE)</f>
        <v>0</v>
      </c>
      <c r="N2003" s="35" t="b">
        <f>IFERROR(__xludf.DUMMYFUNCTION("""COMPUTED_VALUE"""),FALSE)</f>
        <v>0</v>
      </c>
      <c r="O2003" s="35">
        <f>IFERROR(__xludf.DUMMYFUNCTION("""COMPUTED_VALUE"""),52.6936688950059)</f>
        <v>52.6936689</v>
      </c>
      <c r="P2003" s="35">
        <f>IFERROR(__xludf.DUMMYFUNCTION("""COMPUTED_VALUE"""),10720.0)</f>
        <v>10720</v>
      </c>
      <c r="Q2003" s="35">
        <f>IFERROR(__xludf.DUMMYFUNCTION("""COMPUTED_VALUE"""),20344.0)</f>
        <v>20344</v>
      </c>
    </row>
    <row r="2004">
      <c r="A2004" s="35">
        <f>IFERROR(__xludf.DUMMYFUNCTION("""COMPUTED_VALUE"""),2131.0)</f>
        <v>2131</v>
      </c>
      <c r="B2004" s="35" t="str">
        <f>IFERROR(__xludf.DUMMYFUNCTION("""COMPUTED_VALUE"""),"Smallest Missing Genetic Value in Each Subtree")</f>
        <v>Smallest Missing Genetic Value in Each Subtree</v>
      </c>
      <c r="C2004" s="35" t="str">
        <f>IFERROR(__xludf.DUMMYFUNCTION("""COMPUTED_VALUE"""),"smallest-missing-genetic-value-in-each-subtree")</f>
        <v>smallest-missing-genetic-value-in-each-subtree</v>
      </c>
      <c r="D2004" s="35" t="b">
        <f>IFERROR(__xludf.DUMMYFUNCTION("""COMPUTED_VALUE"""),FALSE)</f>
        <v>0</v>
      </c>
      <c r="E2004" s="35" t="str">
        <f>IFERROR(__xludf.DUMMYFUNCTION("""COMPUTED_VALUE"""),"Hard")</f>
        <v>Hard</v>
      </c>
      <c r="F2004" s="35">
        <f>IFERROR(__xludf.DUMMYFUNCTION("""COMPUTED_VALUE"""),254.0)</f>
        <v>254</v>
      </c>
      <c r="G2004" s="35">
        <f>IFERROR(__xludf.DUMMYFUNCTION("""COMPUTED_VALUE"""),16.0)</f>
        <v>16</v>
      </c>
      <c r="H2004" s="35" t="str">
        <f>IFERROR(__xludf.DUMMYFUNCTION("""COMPUTED_VALUE"""),"Algorithms")</f>
        <v>Algorithms</v>
      </c>
      <c r="I2004" s="35">
        <f>IFERROR(__xludf.DUMMYFUNCTION("""COMPUTED_VALUE"""),0.421)</f>
        <v>0.421</v>
      </c>
      <c r="J2004" s="35">
        <f>IFERROR(__xludf.DUMMYFUNCTION("""COMPUTED_VALUE"""),2003.0)</f>
        <v>2003</v>
      </c>
      <c r="K2004" s="35" t="b">
        <f>IFERROR(__xludf.DUMMYFUNCTION("""COMPUTED_VALUE"""),FALSE)</f>
        <v>0</v>
      </c>
      <c r="L2004" s="35" t="str">
        <f>IFERROR(__xludf.DUMMYFUNCTION("""COMPUTED_VALUE"""),"Dynamic Programming;Tree;Depth-First Search;Union Find;")</f>
        <v>Dynamic Programming;Tree;Depth-First Search;Union Find;</v>
      </c>
      <c r="M2004" s="35" t="b">
        <f>IFERROR(__xludf.DUMMYFUNCTION("""COMPUTED_VALUE"""),FALSE)</f>
        <v>0</v>
      </c>
      <c r="N2004" s="35" t="b">
        <f>IFERROR(__xludf.DUMMYFUNCTION("""COMPUTED_VALUE"""),FALSE)</f>
        <v>0</v>
      </c>
      <c r="O2004" s="35">
        <f>IFERROR(__xludf.DUMMYFUNCTION("""COMPUTED_VALUE"""),42.1028550512445)</f>
        <v>42.10285505</v>
      </c>
      <c r="P2004" s="35">
        <f>IFERROR(__xludf.DUMMYFUNCTION("""COMPUTED_VALUE"""),4601.0)</f>
        <v>4601</v>
      </c>
      <c r="Q2004" s="35">
        <f>IFERROR(__xludf.DUMMYFUNCTION("""COMPUTED_VALUE"""),10928.0)</f>
        <v>10928</v>
      </c>
    </row>
    <row r="2005">
      <c r="A2005" s="35">
        <f>IFERROR(__xludf.DUMMYFUNCTION("""COMPUTED_VALUE"""),2152.0)</f>
        <v>2152</v>
      </c>
      <c r="B2005" s="35" t="str">
        <f>IFERROR(__xludf.DUMMYFUNCTION("""COMPUTED_VALUE"""),"The Number of Seniors and Juniors to Join the Company")</f>
        <v>The Number of Seniors and Juniors to Join the Company</v>
      </c>
      <c r="C2005" s="35" t="str">
        <f>IFERROR(__xludf.DUMMYFUNCTION("""COMPUTED_VALUE"""),"the-number-of-seniors-and-juniors-to-join-the-company")</f>
        <v>the-number-of-seniors-and-juniors-to-join-the-company</v>
      </c>
      <c r="D2005" s="35" t="b">
        <f>IFERROR(__xludf.DUMMYFUNCTION("""COMPUTED_VALUE"""),TRUE)</f>
        <v>1</v>
      </c>
      <c r="E2005" s="35" t="str">
        <f>IFERROR(__xludf.DUMMYFUNCTION("""COMPUTED_VALUE"""),"Hard")</f>
        <v>Hard</v>
      </c>
      <c r="F2005" s="35">
        <f>IFERROR(__xludf.DUMMYFUNCTION("""COMPUTED_VALUE"""),49.0)</f>
        <v>49</v>
      </c>
      <c r="G2005" s="35">
        <f>IFERROR(__xludf.DUMMYFUNCTION("""COMPUTED_VALUE"""),4.0)</f>
        <v>4</v>
      </c>
      <c r="H2005" s="35" t="str">
        <f>IFERROR(__xludf.DUMMYFUNCTION("""COMPUTED_VALUE"""),"Database")</f>
        <v>Database</v>
      </c>
      <c r="I2005" s="35">
        <f>IFERROR(__xludf.DUMMYFUNCTION("""COMPUTED_VALUE"""),0.379)</f>
        <v>0.379</v>
      </c>
      <c r="J2005" s="35">
        <f>IFERROR(__xludf.DUMMYFUNCTION("""COMPUTED_VALUE"""),2004.0)</f>
        <v>2004</v>
      </c>
      <c r="K2005" s="35" t="b">
        <f>IFERROR(__xludf.DUMMYFUNCTION("""COMPUTED_VALUE"""),TRUE)</f>
        <v>1</v>
      </c>
      <c r="L2005" s="35" t="str">
        <f>IFERROR(__xludf.DUMMYFUNCTION("""COMPUTED_VALUE"""),"Database;")</f>
        <v>Database;</v>
      </c>
      <c r="M2005" s="35" t="b">
        <f>IFERROR(__xludf.DUMMYFUNCTION("""COMPUTED_VALUE"""),FALSE)</f>
        <v>0</v>
      </c>
      <c r="N2005" s="35" t="b">
        <f>IFERROR(__xludf.DUMMYFUNCTION("""COMPUTED_VALUE"""),FALSE)</f>
        <v>0</v>
      </c>
      <c r="O2005" s="35">
        <f>IFERROR(__xludf.DUMMYFUNCTION("""COMPUTED_VALUE"""),37.9477104427988)</f>
        <v>37.94771044</v>
      </c>
      <c r="P2005" s="35">
        <f>IFERROR(__xludf.DUMMYFUNCTION("""COMPUTED_VALUE"""),2511.0)</f>
        <v>2511</v>
      </c>
      <c r="Q2005" s="35">
        <f>IFERROR(__xludf.DUMMYFUNCTION("""COMPUTED_VALUE"""),6617.0)</f>
        <v>6617</v>
      </c>
    </row>
    <row r="2006">
      <c r="A2006" s="35">
        <f>IFERROR(__xludf.DUMMYFUNCTION("""COMPUTED_VALUE"""),2153.0)</f>
        <v>2153</v>
      </c>
      <c r="B2006" s="35" t="str">
        <f>IFERROR(__xludf.DUMMYFUNCTION("""COMPUTED_VALUE"""),"Subtree Removal Game with Fibonacci Tree")</f>
        <v>Subtree Removal Game with Fibonacci Tree</v>
      </c>
      <c r="C2006" s="35" t="str">
        <f>IFERROR(__xludf.DUMMYFUNCTION("""COMPUTED_VALUE"""),"subtree-removal-game-with-fibonacci-tree")</f>
        <v>subtree-removal-game-with-fibonacci-tree</v>
      </c>
      <c r="D2006" s="35" t="b">
        <f>IFERROR(__xludf.DUMMYFUNCTION("""COMPUTED_VALUE"""),TRUE)</f>
        <v>1</v>
      </c>
      <c r="E2006" s="35" t="str">
        <f>IFERROR(__xludf.DUMMYFUNCTION("""COMPUTED_VALUE"""),"Hard")</f>
        <v>Hard</v>
      </c>
      <c r="F2006" s="35">
        <f>IFERROR(__xludf.DUMMYFUNCTION("""COMPUTED_VALUE"""),9.0)</f>
        <v>9</v>
      </c>
      <c r="G2006" s="35">
        <f>IFERROR(__xludf.DUMMYFUNCTION("""COMPUTED_VALUE"""),25.0)</f>
        <v>25</v>
      </c>
      <c r="H2006" s="35" t="str">
        <f>IFERROR(__xludf.DUMMYFUNCTION("""COMPUTED_VALUE"""),"Algorithms")</f>
        <v>Algorithms</v>
      </c>
      <c r="I2006" s="35">
        <f>IFERROR(__xludf.DUMMYFUNCTION("""COMPUTED_VALUE"""),0.636)</f>
        <v>0.636</v>
      </c>
      <c r="J2006" s="35">
        <f>IFERROR(__xludf.DUMMYFUNCTION("""COMPUTED_VALUE"""),2005.0)</f>
        <v>2005</v>
      </c>
      <c r="K2006" s="35" t="b">
        <f>IFERROR(__xludf.DUMMYFUNCTION("""COMPUTED_VALUE"""),TRUE)</f>
        <v>1</v>
      </c>
      <c r="L2006" s="35" t="str">
        <f>IFERROR(__xludf.DUMMYFUNCTION("""COMPUTED_VALUE"""),"Math;Dynamic Programming;Tree;Binary Tree;Game Theory;")</f>
        <v>Math;Dynamic Programming;Tree;Binary Tree;Game Theory;</v>
      </c>
      <c r="M2006" s="35" t="b">
        <f>IFERROR(__xludf.DUMMYFUNCTION("""COMPUTED_VALUE"""),FALSE)</f>
        <v>0</v>
      </c>
      <c r="N2006" s="35" t="b">
        <f>IFERROR(__xludf.DUMMYFUNCTION("""COMPUTED_VALUE"""),FALSE)</f>
        <v>0</v>
      </c>
      <c r="O2006" s="35">
        <f>IFERROR(__xludf.DUMMYFUNCTION("""COMPUTED_VALUE"""),63.5944700460829)</f>
        <v>63.59447005</v>
      </c>
      <c r="P2006" s="35">
        <f>IFERROR(__xludf.DUMMYFUNCTION("""COMPUTED_VALUE"""),276.0)</f>
        <v>276</v>
      </c>
      <c r="Q2006" s="35">
        <f>IFERROR(__xludf.DUMMYFUNCTION("""COMPUTED_VALUE"""),434.0)</f>
        <v>434</v>
      </c>
    </row>
    <row r="2007">
      <c r="A2007" s="35">
        <f>IFERROR(__xludf.DUMMYFUNCTION("""COMPUTED_VALUE"""),2116.0)</f>
        <v>2116</v>
      </c>
      <c r="B2007" s="35" t="str">
        <f>IFERROR(__xludf.DUMMYFUNCTION("""COMPUTED_VALUE"""),"Count Number of Pairs With Absolute Difference K")</f>
        <v>Count Number of Pairs With Absolute Difference K</v>
      </c>
      <c r="C2007" s="35" t="str">
        <f>IFERROR(__xludf.DUMMYFUNCTION("""COMPUTED_VALUE"""),"count-number-of-pairs-with-absolute-difference-k")</f>
        <v>count-number-of-pairs-with-absolute-difference-k</v>
      </c>
      <c r="D2007" s="35" t="b">
        <f>IFERROR(__xludf.DUMMYFUNCTION("""COMPUTED_VALUE"""),FALSE)</f>
        <v>0</v>
      </c>
      <c r="E2007" s="35" t="str">
        <f>IFERROR(__xludf.DUMMYFUNCTION("""COMPUTED_VALUE"""),"Easy")</f>
        <v>Easy</v>
      </c>
      <c r="F2007" s="35">
        <f>IFERROR(__xludf.DUMMYFUNCTION("""COMPUTED_VALUE"""),523.0)</f>
        <v>523</v>
      </c>
      <c r="G2007" s="35">
        <f>IFERROR(__xludf.DUMMYFUNCTION("""COMPUTED_VALUE"""),13.0)</f>
        <v>13</v>
      </c>
      <c r="H2007" s="35" t="str">
        <f>IFERROR(__xludf.DUMMYFUNCTION("""COMPUTED_VALUE"""),"Algorithms")</f>
        <v>Algorithms</v>
      </c>
      <c r="I2007" s="35">
        <f>IFERROR(__xludf.DUMMYFUNCTION("""COMPUTED_VALUE"""),0.831)</f>
        <v>0.831</v>
      </c>
      <c r="J2007" s="35">
        <f>IFERROR(__xludf.DUMMYFUNCTION("""COMPUTED_VALUE"""),2006.0)</f>
        <v>2006</v>
      </c>
      <c r="K2007" s="35" t="b">
        <f>IFERROR(__xludf.DUMMYFUNCTION("""COMPUTED_VALUE"""),FALSE)</f>
        <v>0</v>
      </c>
      <c r="L2007" s="35" t="str">
        <f>IFERROR(__xludf.DUMMYFUNCTION("""COMPUTED_VALUE"""),"Array;Hash Table;Counting;")</f>
        <v>Array;Hash Table;Counting;</v>
      </c>
      <c r="M2007" s="35" t="b">
        <f>IFERROR(__xludf.DUMMYFUNCTION("""COMPUTED_VALUE"""),FALSE)</f>
        <v>0</v>
      </c>
      <c r="N2007" s="35" t="b">
        <f>IFERROR(__xludf.DUMMYFUNCTION("""COMPUTED_VALUE"""),FALSE)</f>
        <v>0</v>
      </c>
      <c r="O2007" s="35">
        <f>IFERROR(__xludf.DUMMYFUNCTION("""COMPUTED_VALUE"""),83.1407971815984)</f>
        <v>83.14079718</v>
      </c>
      <c r="P2007" s="35">
        <f>IFERROR(__xludf.DUMMYFUNCTION("""COMPUTED_VALUE"""),40587.0)</f>
        <v>40587</v>
      </c>
      <c r="Q2007" s="35">
        <f>IFERROR(__xludf.DUMMYFUNCTION("""COMPUTED_VALUE"""),48818.0)</f>
        <v>48818</v>
      </c>
    </row>
    <row r="2008">
      <c r="A2008" s="35">
        <f>IFERROR(__xludf.DUMMYFUNCTION("""COMPUTED_VALUE"""),2117.0)</f>
        <v>2117</v>
      </c>
      <c r="B2008" s="35" t="str">
        <f>IFERROR(__xludf.DUMMYFUNCTION("""COMPUTED_VALUE"""),"Find Original Array From Doubled Array")</f>
        <v>Find Original Array From Doubled Array</v>
      </c>
      <c r="C2008" s="35" t="str">
        <f>IFERROR(__xludf.DUMMYFUNCTION("""COMPUTED_VALUE"""),"find-original-array-from-doubled-array")</f>
        <v>find-original-array-from-doubled-array</v>
      </c>
      <c r="D2008" s="35" t="b">
        <f>IFERROR(__xludf.DUMMYFUNCTION("""COMPUTED_VALUE"""),FALSE)</f>
        <v>0</v>
      </c>
      <c r="E2008" s="35" t="str">
        <f>IFERROR(__xludf.DUMMYFUNCTION("""COMPUTED_VALUE"""),"Medium")</f>
        <v>Medium</v>
      </c>
      <c r="F2008" s="35">
        <f>IFERROR(__xludf.DUMMYFUNCTION("""COMPUTED_VALUE"""),517.0)</f>
        <v>517</v>
      </c>
      <c r="G2008" s="35">
        <f>IFERROR(__xludf.DUMMYFUNCTION("""COMPUTED_VALUE"""),40.0)</f>
        <v>40</v>
      </c>
      <c r="H2008" s="35" t="str">
        <f>IFERROR(__xludf.DUMMYFUNCTION("""COMPUTED_VALUE"""),"Algorithms")</f>
        <v>Algorithms</v>
      </c>
      <c r="I2008" s="35">
        <f>IFERROR(__xludf.DUMMYFUNCTION("""COMPUTED_VALUE"""),0.374)</f>
        <v>0.374</v>
      </c>
      <c r="J2008" s="35">
        <f>IFERROR(__xludf.DUMMYFUNCTION("""COMPUTED_VALUE"""),2007.0)</f>
        <v>2007</v>
      </c>
      <c r="K2008" s="35" t="b">
        <f>IFERROR(__xludf.DUMMYFUNCTION("""COMPUTED_VALUE"""),FALSE)</f>
        <v>0</v>
      </c>
      <c r="L2008" s="35" t="str">
        <f>IFERROR(__xludf.DUMMYFUNCTION("""COMPUTED_VALUE"""),"Array;Hash Table;Greedy;Sorting;")</f>
        <v>Array;Hash Table;Greedy;Sorting;</v>
      </c>
      <c r="M2008" s="35" t="b">
        <f>IFERROR(__xludf.DUMMYFUNCTION("""COMPUTED_VALUE"""),FALSE)</f>
        <v>0</v>
      </c>
      <c r="N2008" s="35" t="b">
        <f>IFERROR(__xludf.DUMMYFUNCTION("""COMPUTED_VALUE"""),FALSE)</f>
        <v>0</v>
      </c>
      <c r="O2008" s="35">
        <f>IFERROR(__xludf.DUMMYFUNCTION("""COMPUTED_VALUE"""),37.4330582911897)</f>
        <v>37.43305829</v>
      </c>
      <c r="P2008" s="35">
        <f>IFERROR(__xludf.DUMMYFUNCTION("""COMPUTED_VALUE"""),35159.0)</f>
        <v>35159</v>
      </c>
      <c r="Q2008" s="35">
        <f>IFERROR(__xludf.DUMMYFUNCTION("""COMPUTED_VALUE"""),93923.0)</f>
        <v>93923</v>
      </c>
    </row>
    <row r="2009">
      <c r="A2009" s="35">
        <f>IFERROR(__xludf.DUMMYFUNCTION("""COMPUTED_VALUE"""),2118.0)</f>
        <v>2118</v>
      </c>
      <c r="B2009" s="35" t="str">
        <f>IFERROR(__xludf.DUMMYFUNCTION("""COMPUTED_VALUE"""),"Maximum Earnings From Taxi")</f>
        <v>Maximum Earnings From Taxi</v>
      </c>
      <c r="C2009" s="35" t="str">
        <f>IFERROR(__xludf.DUMMYFUNCTION("""COMPUTED_VALUE"""),"maximum-earnings-from-taxi")</f>
        <v>maximum-earnings-from-taxi</v>
      </c>
      <c r="D2009" s="35" t="b">
        <f>IFERROR(__xludf.DUMMYFUNCTION("""COMPUTED_VALUE"""),FALSE)</f>
        <v>0</v>
      </c>
      <c r="E2009" s="35" t="str">
        <f>IFERROR(__xludf.DUMMYFUNCTION("""COMPUTED_VALUE"""),"Medium")</f>
        <v>Medium</v>
      </c>
      <c r="F2009" s="35">
        <f>IFERROR(__xludf.DUMMYFUNCTION("""COMPUTED_VALUE"""),503.0)</f>
        <v>503</v>
      </c>
      <c r="G2009" s="35">
        <f>IFERROR(__xludf.DUMMYFUNCTION("""COMPUTED_VALUE"""),11.0)</f>
        <v>11</v>
      </c>
      <c r="H2009" s="35" t="str">
        <f>IFERROR(__xludf.DUMMYFUNCTION("""COMPUTED_VALUE"""),"Algorithms")</f>
        <v>Algorithms</v>
      </c>
      <c r="I2009" s="35">
        <f>IFERROR(__xludf.DUMMYFUNCTION("""COMPUTED_VALUE"""),0.426)</f>
        <v>0.426</v>
      </c>
      <c r="J2009" s="35">
        <f>IFERROR(__xludf.DUMMYFUNCTION("""COMPUTED_VALUE"""),2008.0)</f>
        <v>2008</v>
      </c>
      <c r="K2009" s="35" t="b">
        <f>IFERROR(__xludf.DUMMYFUNCTION("""COMPUTED_VALUE"""),FALSE)</f>
        <v>0</v>
      </c>
      <c r="L2009" s="35" t="str">
        <f>IFERROR(__xludf.DUMMYFUNCTION("""COMPUTED_VALUE"""),"Array;Binary Search;Dynamic Programming;Sorting;")</f>
        <v>Array;Binary Search;Dynamic Programming;Sorting;</v>
      </c>
      <c r="M2009" s="35" t="b">
        <f>IFERROR(__xludf.DUMMYFUNCTION("""COMPUTED_VALUE"""),FALSE)</f>
        <v>0</v>
      </c>
      <c r="N2009" s="35" t="b">
        <f>IFERROR(__xludf.DUMMYFUNCTION("""COMPUTED_VALUE"""),FALSE)</f>
        <v>0</v>
      </c>
      <c r="O2009" s="35">
        <f>IFERROR(__xludf.DUMMYFUNCTION("""COMPUTED_VALUE"""),42.5568159820356)</f>
        <v>42.55681598</v>
      </c>
      <c r="P2009" s="35">
        <f>IFERROR(__xludf.DUMMYFUNCTION("""COMPUTED_VALUE"""),10991.0)</f>
        <v>10991</v>
      </c>
      <c r="Q2009" s="35">
        <f>IFERROR(__xludf.DUMMYFUNCTION("""COMPUTED_VALUE"""),25828.0)</f>
        <v>25828</v>
      </c>
    </row>
    <row r="2010">
      <c r="A2010" s="35">
        <f>IFERROR(__xludf.DUMMYFUNCTION("""COMPUTED_VALUE"""),2119.0)</f>
        <v>2119</v>
      </c>
      <c r="B2010" s="35" t="str">
        <f>IFERROR(__xludf.DUMMYFUNCTION("""COMPUTED_VALUE"""),"Minimum Number of Operations to Make Array Continuous")</f>
        <v>Minimum Number of Operations to Make Array Continuous</v>
      </c>
      <c r="C2010" s="35" t="str">
        <f>IFERROR(__xludf.DUMMYFUNCTION("""COMPUTED_VALUE"""),"minimum-number-of-operations-to-make-array-continuous")</f>
        <v>minimum-number-of-operations-to-make-array-continuous</v>
      </c>
      <c r="D2010" s="35" t="b">
        <f>IFERROR(__xludf.DUMMYFUNCTION("""COMPUTED_VALUE"""),FALSE)</f>
        <v>0</v>
      </c>
      <c r="E2010" s="35" t="str">
        <f>IFERROR(__xludf.DUMMYFUNCTION("""COMPUTED_VALUE"""),"Hard")</f>
        <v>Hard</v>
      </c>
      <c r="F2010" s="35">
        <f>IFERROR(__xludf.DUMMYFUNCTION("""COMPUTED_VALUE"""),375.0)</f>
        <v>375</v>
      </c>
      <c r="G2010" s="35">
        <f>IFERROR(__xludf.DUMMYFUNCTION("""COMPUTED_VALUE"""),4.0)</f>
        <v>4</v>
      </c>
      <c r="H2010" s="35" t="str">
        <f>IFERROR(__xludf.DUMMYFUNCTION("""COMPUTED_VALUE"""),"Algorithms")</f>
        <v>Algorithms</v>
      </c>
      <c r="I2010" s="35">
        <f>IFERROR(__xludf.DUMMYFUNCTION("""COMPUTED_VALUE"""),0.456)</f>
        <v>0.456</v>
      </c>
      <c r="J2010" s="35">
        <f>IFERROR(__xludf.DUMMYFUNCTION("""COMPUTED_VALUE"""),2009.0)</f>
        <v>2009</v>
      </c>
      <c r="K2010" s="35" t="b">
        <f>IFERROR(__xludf.DUMMYFUNCTION("""COMPUTED_VALUE"""),FALSE)</f>
        <v>0</v>
      </c>
      <c r="L2010" s="35" t="str">
        <f>IFERROR(__xludf.DUMMYFUNCTION("""COMPUTED_VALUE"""),"Array;Binary Search;")</f>
        <v>Array;Binary Search;</v>
      </c>
      <c r="M2010" s="35" t="b">
        <f>IFERROR(__xludf.DUMMYFUNCTION("""COMPUTED_VALUE"""),FALSE)</f>
        <v>0</v>
      </c>
      <c r="N2010" s="35" t="b">
        <f>IFERROR(__xludf.DUMMYFUNCTION("""COMPUTED_VALUE"""),FALSE)</f>
        <v>0</v>
      </c>
      <c r="O2010" s="35">
        <f>IFERROR(__xludf.DUMMYFUNCTION("""COMPUTED_VALUE"""),45.6005087036006)</f>
        <v>45.6005087</v>
      </c>
      <c r="P2010" s="35">
        <f>IFERROR(__xludf.DUMMYFUNCTION("""COMPUTED_VALUE"""),5737.0)</f>
        <v>5737</v>
      </c>
      <c r="Q2010" s="35">
        <f>IFERROR(__xludf.DUMMYFUNCTION("""COMPUTED_VALUE"""),12581.0)</f>
        <v>12581</v>
      </c>
    </row>
    <row r="2011">
      <c r="A2011" s="35">
        <f>IFERROR(__xludf.DUMMYFUNCTION("""COMPUTED_VALUE"""),2158.0)</f>
        <v>2158</v>
      </c>
      <c r="B2011" s="35" t="str">
        <f>IFERROR(__xludf.DUMMYFUNCTION("""COMPUTED_VALUE"""),"The Number of Seniors and Juniors to Join the Company II")</f>
        <v>The Number of Seniors and Juniors to Join the Company II</v>
      </c>
      <c r="C2011" s="35" t="str">
        <f>IFERROR(__xludf.DUMMYFUNCTION("""COMPUTED_VALUE"""),"the-number-of-seniors-and-juniors-to-join-the-company-ii")</f>
        <v>the-number-of-seniors-and-juniors-to-join-the-company-ii</v>
      </c>
      <c r="D2011" s="35" t="b">
        <f>IFERROR(__xludf.DUMMYFUNCTION("""COMPUTED_VALUE"""),TRUE)</f>
        <v>1</v>
      </c>
      <c r="E2011" s="35" t="str">
        <f>IFERROR(__xludf.DUMMYFUNCTION("""COMPUTED_VALUE"""),"Hard")</f>
        <v>Hard</v>
      </c>
      <c r="F2011" s="35">
        <f>IFERROR(__xludf.DUMMYFUNCTION("""COMPUTED_VALUE"""),9.0)</f>
        <v>9</v>
      </c>
      <c r="G2011" s="35">
        <f>IFERROR(__xludf.DUMMYFUNCTION("""COMPUTED_VALUE"""),4.0)</f>
        <v>4</v>
      </c>
      <c r="H2011" s="35" t="str">
        <f>IFERROR(__xludf.DUMMYFUNCTION("""COMPUTED_VALUE"""),"Database")</f>
        <v>Database</v>
      </c>
      <c r="I2011" s="35">
        <f>IFERROR(__xludf.DUMMYFUNCTION("""COMPUTED_VALUE"""),0.565)</f>
        <v>0.565</v>
      </c>
      <c r="J2011" s="35">
        <f>IFERROR(__xludf.DUMMYFUNCTION("""COMPUTED_VALUE"""),2010.0)</f>
        <v>2010</v>
      </c>
      <c r="K2011" s="35" t="b">
        <f>IFERROR(__xludf.DUMMYFUNCTION("""COMPUTED_VALUE"""),TRUE)</f>
        <v>1</v>
      </c>
      <c r="L2011" s="35" t="str">
        <f>IFERROR(__xludf.DUMMYFUNCTION("""COMPUTED_VALUE"""),"Database;")</f>
        <v>Database;</v>
      </c>
      <c r="M2011" s="35" t="b">
        <f>IFERROR(__xludf.DUMMYFUNCTION("""COMPUTED_VALUE"""),FALSE)</f>
        <v>0</v>
      </c>
      <c r="N2011" s="35" t="b">
        <f>IFERROR(__xludf.DUMMYFUNCTION("""COMPUTED_VALUE"""),FALSE)</f>
        <v>0</v>
      </c>
      <c r="O2011" s="35">
        <f>IFERROR(__xludf.DUMMYFUNCTION("""COMPUTED_VALUE"""),56.4651874521805)</f>
        <v>56.46518745</v>
      </c>
      <c r="P2011" s="35">
        <f>IFERROR(__xludf.DUMMYFUNCTION("""COMPUTED_VALUE"""),1476.0)</f>
        <v>1476</v>
      </c>
      <c r="Q2011" s="35">
        <f>IFERROR(__xludf.DUMMYFUNCTION("""COMPUTED_VALUE"""),2614.0)</f>
        <v>2614</v>
      </c>
    </row>
    <row r="2012">
      <c r="A2012" s="35">
        <f>IFERROR(__xludf.DUMMYFUNCTION("""COMPUTED_VALUE"""),2137.0)</f>
        <v>2137</v>
      </c>
      <c r="B2012" s="35" t="str">
        <f>IFERROR(__xludf.DUMMYFUNCTION("""COMPUTED_VALUE"""),"Final Value of Variable After Performing Operations")</f>
        <v>Final Value of Variable After Performing Operations</v>
      </c>
      <c r="C2012" s="35" t="str">
        <f>IFERROR(__xludf.DUMMYFUNCTION("""COMPUTED_VALUE"""),"final-value-of-variable-after-performing-operations")</f>
        <v>final-value-of-variable-after-performing-operations</v>
      </c>
      <c r="D2012" s="35" t="b">
        <f>IFERROR(__xludf.DUMMYFUNCTION("""COMPUTED_VALUE"""),FALSE)</f>
        <v>0</v>
      </c>
      <c r="E2012" s="35" t="str">
        <f>IFERROR(__xludf.DUMMYFUNCTION("""COMPUTED_VALUE"""),"Easy")</f>
        <v>Easy</v>
      </c>
      <c r="F2012" s="35">
        <f>IFERROR(__xludf.DUMMYFUNCTION("""COMPUTED_VALUE"""),411.0)</f>
        <v>411</v>
      </c>
      <c r="G2012" s="35">
        <f>IFERROR(__xludf.DUMMYFUNCTION("""COMPUTED_VALUE"""),82.0)</f>
        <v>82</v>
      </c>
      <c r="H2012" s="35" t="str">
        <f>IFERROR(__xludf.DUMMYFUNCTION("""COMPUTED_VALUE"""),"Algorithms")</f>
        <v>Algorithms</v>
      </c>
      <c r="I2012" s="35">
        <f>IFERROR(__xludf.DUMMYFUNCTION("""COMPUTED_VALUE"""),0.892)</f>
        <v>0.892</v>
      </c>
      <c r="J2012" s="35">
        <f>IFERROR(__xludf.DUMMYFUNCTION("""COMPUTED_VALUE"""),2011.0)</f>
        <v>2011</v>
      </c>
      <c r="K2012" s="35" t="b">
        <f>IFERROR(__xludf.DUMMYFUNCTION("""COMPUTED_VALUE"""),FALSE)</f>
        <v>0</v>
      </c>
      <c r="L2012" s="35" t="str">
        <f>IFERROR(__xludf.DUMMYFUNCTION("""COMPUTED_VALUE"""),"Array;String;Simulation;")</f>
        <v>Array;String;Simulation;</v>
      </c>
      <c r="M2012" s="35" t="b">
        <f>IFERROR(__xludf.DUMMYFUNCTION("""COMPUTED_VALUE"""),FALSE)</f>
        <v>0</v>
      </c>
      <c r="N2012" s="35" t="b">
        <f>IFERROR(__xludf.DUMMYFUNCTION("""COMPUTED_VALUE"""),FALSE)</f>
        <v>0</v>
      </c>
      <c r="O2012" s="35">
        <f>IFERROR(__xludf.DUMMYFUNCTION("""COMPUTED_VALUE"""),89.241678631317)</f>
        <v>89.24167863</v>
      </c>
      <c r="P2012" s="35">
        <f>IFERROR(__xludf.DUMMYFUNCTION("""COMPUTED_VALUE"""),81417.0)</f>
        <v>81417</v>
      </c>
      <c r="Q2012" s="35">
        <f>IFERROR(__xludf.DUMMYFUNCTION("""COMPUTED_VALUE"""),91227.0)</f>
        <v>91227</v>
      </c>
    </row>
    <row r="2013">
      <c r="A2013" s="35">
        <f>IFERROR(__xludf.DUMMYFUNCTION("""COMPUTED_VALUE"""),2138.0)</f>
        <v>2138</v>
      </c>
      <c r="B2013" s="35" t="str">
        <f>IFERROR(__xludf.DUMMYFUNCTION("""COMPUTED_VALUE"""),"Sum of Beauty in the Array")</f>
        <v>Sum of Beauty in the Array</v>
      </c>
      <c r="C2013" s="35" t="str">
        <f>IFERROR(__xludf.DUMMYFUNCTION("""COMPUTED_VALUE"""),"sum-of-beauty-in-the-array")</f>
        <v>sum-of-beauty-in-the-array</v>
      </c>
      <c r="D2013" s="35" t="b">
        <f>IFERROR(__xludf.DUMMYFUNCTION("""COMPUTED_VALUE"""),FALSE)</f>
        <v>0</v>
      </c>
      <c r="E2013" s="35" t="str">
        <f>IFERROR(__xludf.DUMMYFUNCTION("""COMPUTED_VALUE"""),"Medium")</f>
        <v>Medium</v>
      </c>
      <c r="F2013" s="35">
        <f>IFERROR(__xludf.DUMMYFUNCTION("""COMPUTED_VALUE"""),275.0)</f>
        <v>275</v>
      </c>
      <c r="G2013" s="35">
        <f>IFERROR(__xludf.DUMMYFUNCTION("""COMPUTED_VALUE"""),26.0)</f>
        <v>26</v>
      </c>
      <c r="H2013" s="35" t="str">
        <f>IFERROR(__xludf.DUMMYFUNCTION("""COMPUTED_VALUE"""),"Algorithms")</f>
        <v>Algorithms</v>
      </c>
      <c r="I2013" s="35">
        <f>IFERROR(__xludf.DUMMYFUNCTION("""COMPUTED_VALUE"""),0.455)</f>
        <v>0.455</v>
      </c>
      <c r="J2013" s="35">
        <f>IFERROR(__xludf.DUMMYFUNCTION("""COMPUTED_VALUE"""),2012.0)</f>
        <v>2012</v>
      </c>
      <c r="K2013" s="35" t="b">
        <f>IFERROR(__xludf.DUMMYFUNCTION("""COMPUTED_VALUE"""),FALSE)</f>
        <v>0</v>
      </c>
      <c r="L2013" s="35" t="str">
        <f>IFERROR(__xludf.DUMMYFUNCTION("""COMPUTED_VALUE"""),"Array;")</f>
        <v>Array;</v>
      </c>
      <c r="M2013" s="35" t="b">
        <f>IFERROR(__xludf.DUMMYFUNCTION("""COMPUTED_VALUE"""),FALSE)</f>
        <v>0</v>
      </c>
      <c r="N2013" s="35" t="b">
        <f>IFERROR(__xludf.DUMMYFUNCTION("""COMPUTED_VALUE"""),FALSE)</f>
        <v>0</v>
      </c>
      <c r="O2013" s="35">
        <f>IFERROR(__xludf.DUMMYFUNCTION("""COMPUTED_VALUE"""),45.4825282451292)</f>
        <v>45.48252825</v>
      </c>
      <c r="P2013" s="35">
        <f>IFERROR(__xludf.DUMMYFUNCTION("""COMPUTED_VALUE"""),13003.0)</f>
        <v>13003</v>
      </c>
      <c r="Q2013" s="35">
        <f>IFERROR(__xludf.DUMMYFUNCTION("""COMPUTED_VALUE"""),28589.0)</f>
        <v>28589</v>
      </c>
    </row>
    <row r="2014">
      <c r="A2014" s="35">
        <f>IFERROR(__xludf.DUMMYFUNCTION("""COMPUTED_VALUE"""),2139.0)</f>
        <v>2139</v>
      </c>
      <c r="B2014" s="35" t="str">
        <f>IFERROR(__xludf.DUMMYFUNCTION("""COMPUTED_VALUE"""),"Detect Squares")</f>
        <v>Detect Squares</v>
      </c>
      <c r="C2014" s="35" t="str">
        <f>IFERROR(__xludf.DUMMYFUNCTION("""COMPUTED_VALUE"""),"detect-squares")</f>
        <v>detect-squares</v>
      </c>
      <c r="D2014" s="35" t="b">
        <f>IFERROR(__xludf.DUMMYFUNCTION("""COMPUTED_VALUE"""),FALSE)</f>
        <v>0</v>
      </c>
      <c r="E2014" s="35" t="str">
        <f>IFERROR(__xludf.DUMMYFUNCTION("""COMPUTED_VALUE"""),"Medium")</f>
        <v>Medium</v>
      </c>
      <c r="F2014" s="35">
        <f>IFERROR(__xludf.DUMMYFUNCTION("""COMPUTED_VALUE"""),262.0)</f>
        <v>262</v>
      </c>
      <c r="G2014" s="35">
        <f>IFERROR(__xludf.DUMMYFUNCTION("""COMPUTED_VALUE"""),88.0)</f>
        <v>88</v>
      </c>
      <c r="H2014" s="35" t="str">
        <f>IFERROR(__xludf.DUMMYFUNCTION("""COMPUTED_VALUE"""),"Algorithms")</f>
        <v>Algorithms</v>
      </c>
      <c r="I2014" s="35">
        <f>IFERROR(__xludf.DUMMYFUNCTION("""COMPUTED_VALUE"""),0.446)</f>
        <v>0.446</v>
      </c>
      <c r="J2014" s="35">
        <f>IFERROR(__xludf.DUMMYFUNCTION("""COMPUTED_VALUE"""),2013.0)</f>
        <v>2013</v>
      </c>
      <c r="K2014" s="35" t="b">
        <f>IFERROR(__xludf.DUMMYFUNCTION("""COMPUTED_VALUE"""),FALSE)</f>
        <v>0</v>
      </c>
      <c r="L2014" s="35" t="str">
        <f>IFERROR(__xludf.DUMMYFUNCTION("""COMPUTED_VALUE"""),"Array;Hash Table;Design;Counting;")</f>
        <v>Array;Hash Table;Design;Counting;</v>
      </c>
      <c r="M2014" s="35" t="b">
        <f>IFERROR(__xludf.DUMMYFUNCTION("""COMPUTED_VALUE"""),FALSE)</f>
        <v>0</v>
      </c>
      <c r="N2014" s="35" t="b">
        <f>IFERROR(__xludf.DUMMYFUNCTION("""COMPUTED_VALUE"""),FALSE)</f>
        <v>0</v>
      </c>
      <c r="O2014" s="35">
        <f>IFERROR(__xludf.DUMMYFUNCTION("""COMPUTED_VALUE"""),44.6195555025919)</f>
        <v>44.6195555</v>
      </c>
      <c r="P2014" s="35">
        <f>IFERROR(__xludf.DUMMYFUNCTION("""COMPUTED_VALUE"""),14973.0)</f>
        <v>14973</v>
      </c>
      <c r="Q2014" s="35">
        <f>IFERROR(__xludf.DUMMYFUNCTION("""COMPUTED_VALUE"""),33561.0)</f>
        <v>33561</v>
      </c>
    </row>
    <row r="2015">
      <c r="A2015" s="35">
        <f>IFERROR(__xludf.DUMMYFUNCTION("""COMPUTED_VALUE"""),2140.0)</f>
        <v>2140</v>
      </c>
      <c r="B2015" s="35" t="str">
        <f>IFERROR(__xludf.DUMMYFUNCTION("""COMPUTED_VALUE"""),"Longest Subsequence Repeated k Times")</f>
        <v>Longest Subsequence Repeated k Times</v>
      </c>
      <c r="C2015" s="35" t="str">
        <f>IFERROR(__xludf.DUMMYFUNCTION("""COMPUTED_VALUE"""),"longest-subsequence-repeated-k-times")</f>
        <v>longest-subsequence-repeated-k-times</v>
      </c>
      <c r="D2015" s="35" t="b">
        <f>IFERROR(__xludf.DUMMYFUNCTION("""COMPUTED_VALUE"""),FALSE)</f>
        <v>0</v>
      </c>
      <c r="E2015" s="35" t="str">
        <f>IFERROR(__xludf.DUMMYFUNCTION("""COMPUTED_VALUE"""),"Hard")</f>
        <v>Hard</v>
      </c>
      <c r="F2015" s="35">
        <f>IFERROR(__xludf.DUMMYFUNCTION("""COMPUTED_VALUE"""),170.0)</f>
        <v>170</v>
      </c>
      <c r="G2015" s="35">
        <f>IFERROR(__xludf.DUMMYFUNCTION("""COMPUTED_VALUE"""),50.0)</f>
        <v>50</v>
      </c>
      <c r="H2015" s="35" t="str">
        <f>IFERROR(__xludf.DUMMYFUNCTION("""COMPUTED_VALUE"""),"Algorithms")</f>
        <v>Algorithms</v>
      </c>
      <c r="I2015" s="35">
        <f>IFERROR(__xludf.DUMMYFUNCTION("""COMPUTED_VALUE"""),0.547)</f>
        <v>0.547</v>
      </c>
      <c r="J2015" s="35">
        <f>IFERROR(__xludf.DUMMYFUNCTION("""COMPUTED_VALUE"""),2014.0)</f>
        <v>2014</v>
      </c>
      <c r="K2015" s="35" t="b">
        <f>IFERROR(__xludf.DUMMYFUNCTION("""COMPUTED_VALUE"""),FALSE)</f>
        <v>0</v>
      </c>
      <c r="L2015" s="35" t="str">
        <f>IFERROR(__xludf.DUMMYFUNCTION("""COMPUTED_VALUE"""),"String;Backtracking;Greedy;Counting;Enumeration;")</f>
        <v>String;Backtracking;Greedy;Counting;Enumeration;</v>
      </c>
      <c r="M2015" s="35" t="b">
        <f>IFERROR(__xludf.DUMMYFUNCTION("""COMPUTED_VALUE"""),FALSE)</f>
        <v>0</v>
      </c>
      <c r="N2015" s="35" t="b">
        <f>IFERROR(__xludf.DUMMYFUNCTION("""COMPUTED_VALUE"""),FALSE)</f>
        <v>0</v>
      </c>
      <c r="O2015" s="35">
        <f>IFERROR(__xludf.DUMMYFUNCTION("""COMPUTED_VALUE"""),54.6598056032018)</f>
        <v>54.6598056</v>
      </c>
      <c r="P2015" s="35">
        <f>IFERROR(__xludf.DUMMYFUNCTION("""COMPUTED_VALUE"""),3824.0)</f>
        <v>3824</v>
      </c>
      <c r="Q2015" s="35">
        <f>IFERROR(__xludf.DUMMYFUNCTION("""COMPUTED_VALUE"""),6996.0)</f>
        <v>6996</v>
      </c>
    </row>
    <row r="2016">
      <c r="A2016" s="35">
        <f>IFERROR(__xludf.DUMMYFUNCTION("""COMPUTED_VALUE"""),2142.0)</f>
        <v>2142</v>
      </c>
      <c r="B2016" s="35" t="str">
        <f>IFERROR(__xludf.DUMMYFUNCTION("""COMPUTED_VALUE"""),"Average Height of Buildings in Each Segment")</f>
        <v>Average Height of Buildings in Each Segment</v>
      </c>
      <c r="C2016" s="35" t="str">
        <f>IFERROR(__xludf.DUMMYFUNCTION("""COMPUTED_VALUE"""),"average-height-of-buildings-in-each-segment")</f>
        <v>average-height-of-buildings-in-each-segment</v>
      </c>
      <c r="D2016" s="35" t="b">
        <f>IFERROR(__xludf.DUMMYFUNCTION("""COMPUTED_VALUE"""),TRUE)</f>
        <v>1</v>
      </c>
      <c r="E2016" s="35" t="str">
        <f>IFERROR(__xludf.DUMMYFUNCTION("""COMPUTED_VALUE"""),"Medium")</f>
        <v>Medium</v>
      </c>
      <c r="F2016" s="35">
        <f>IFERROR(__xludf.DUMMYFUNCTION("""COMPUTED_VALUE"""),29.0)</f>
        <v>29</v>
      </c>
      <c r="G2016" s="35">
        <f>IFERROR(__xludf.DUMMYFUNCTION("""COMPUTED_VALUE"""),11.0)</f>
        <v>11</v>
      </c>
      <c r="H2016" s="35" t="str">
        <f>IFERROR(__xludf.DUMMYFUNCTION("""COMPUTED_VALUE"""),"Algorithms")</f>
        <v>Algorithms</v>
      </c>
      <c r="I2016" s="35">
        <f>IFERROR(__xludf.DUMMYFUNCTION("""COMPUTED_VALUE"""),0.595)</f>
        <v>0.595</v>
      </c>
      <c r="J2016" s="35">
        <f>IFERROR(__xludf.DUMMYFUNCTION("""COMPUTED_VALUE"""),2015.0)</f>
        <v>2015</v>
      </c>
      <c r="K2016" s="35" t="b">
        <f>IFERROR(__xludf.DUMMYFUNCTION("""COMPUTED_VALUE"""),TRUE)</f>
        <v>1</v>
      </c>
      <c r="L2016" s="35" t="str">
        <f>IFERROR(__xludf.DUMMYFUNCTION("""COMPUTED_VALUE"""),"Array;Greedy;Sorting;Heap (Priority Queue);")</f>
        <v>Array;Greedy;Sorting;Heap (Priority Queue);</v>
      </c>
      <c r="M2016" s="35" t="b">
        <f>IFERROR(__xludf.DUMMYFUNCTION("""COMPUTED_VALUE"""),FALSE)</f>
        <v>0</v>
      </c>
      <c r="N2016" s="35" t="b">
        <f>IFERROR(__xludf.DUMMYFUNCTION("""COMPUTED_VALUE"""),FALSE)</f>
        <v>0</v>
      </c>
      <c r="O2016" s="35">
        <f>IFERROR(__xludf.DUMMYFUNCTION("""COMPUTED_VALUE"""),59.5092024539877)</f>
        <v>59.50920245</v>
      </c>
      <c r="P2016" s="35">
        <f>IFERROR(__xludf.DUMMYFUNCTION("""COMPUTED_VALUE"""),776.0)</f>
        <v>776</v>
      </c>
      <c r="Q2016" s="35">
        <f>IFERROR(__xludf.DUMMYFUNCTION("""COMPUTED_VALUE"""),1304.0)</f>
        <v>1304</v>
      </c>
    </row>
    <row r="2017">
      <c r="A2017" s="35">
        <f>IFERROR(__xludf.DUMMYFUNCTION("""COMPUTED_VALUE"""),2144.0)</f>
        <v>2144</v>
      </c>
      <c r="B2017" s="35" t="str">
        <f>IFERROR(__xludf.DUMMYFUNCTION("""COMPUTED_VALUE"""),"Maximum Difference Between Increasing Elements")</f>
        <v>Maximum Difference Between Increasing Elements</v>
      </c>
      <c r="C2017" s="35" t="str">
        <f>IFERROR(__xludf.DUMMYFUNCTION("""COMPUTED_VALUE"""),"maximum-difference-between-increasing-elements")</f>
        <v>maximum-difference-between-increasing-elements</v>
      </c>
      <c r="D2017" s="35" t="b">
        <f>IFERROR(__xludf.DUMMYFUNCTION("""COMPUTED_VALUE"""),FALSE)</f>
        <v>0</v>
      </c>
      <c r="E2017" s="35" t="str">
        <f>IFERROR(__xludf.DUMMYFUNCTION("""COMPUTED_VALUE"""),"Easy")</f>
        <v>Easy</v>
      </c>
      <c r="F2017" s="35">
        <f>IFERROR(__xludf.DUMMYFUNCTION("""COMPUTED_VALUE"""),332.0)</f>
        <v>332</v>
      </c>
      <c r="G2017" s="35">
        <f>IFERROR(__xludf.DUMMYFUNCTION("""COMPUTED_VALUE"""),15.0)</f>
        <v>15</v>
      </c>
      <c r="H2017" s="35" t="str">
        <f>IFERROR(__xludf.DUMMYFUNCTION("""COMPUTED_VALUE"""),"Algorithms")</f>
        <v>Algorithms</v>
      </c>
      <c r="I2017" s="35">
        <f>IFERROR(__xludf.DUMMYFUNCTION("""COMPUTED_VALUE"""),0.549)</f>
        <v>0.549</v>
      </c>
      <c r="J2017" s="35">
        <f>IFERROR(__xludf.DUMMYFUNCTION("""COMPUTED_VALUE"""),2016.0)</f>
        <v>2016</v>
      </c>
      <c r="K2017" s="35" t="b">
        <f>IFERROR(__xludf.DUMMYFUNCTION("""COMPUTED_VALUE"""),FALSE)</f>
        <v>0</v>
      </c>
      <c r="L2017" s="35" t="str">
        <f>IFERROR(__xludf.DUMMYFUNCTION("""COMPUTED_VALUE"""),"Array;")</f>
        <v>Array;</v>
      </c>
      <c r="M2017" s="35" t="b">
        <f>IFERROR(__xludf.DUMMYFUNCTION("""COMPUTED_VALUE"""),FALSE)</f>
        <v>0</v>
      </c>
      <c r="N2017" s="35" t="b">
        <f>IFERROR(__xludf.DUMMYFUNCTION("""COMPUTED_VALUE"""),FALSE)</f>
        <v>0</v>
      </c>
      <c r="O2017" s="35">
        <f>IFERROR(__xludf.DUMMYFUNCTION("""COMPUTED_VALUE"""),54.9250600125068)</f>
        <v>54.92506001</v>
      </c>
      <c r="P2017" s="35">
        <f>IFERROR(__xludf.DUMMYFUNCTION("""COMPUTED_VALUE"""),27222.0)</f>
        <v>27222</v>
      </c>
      <c r="Q2017" s="35">
        <f>IFERROR(__xludf.DUMMYFUNCTION("""COMPUTED_VALUE"""),49565.0)</f>
        <v>49565</v>
      </c>
    </row>
    <row r="2018">
      <c r="A2018" s="35">
        <f>IFERROR(__xludf.DUMMYFUNCTION("""COMPUTED_VALUE"""),2145.0)</f>
        <v>2145</v>
      </c>
      <c r="B2018" s="35" t="str">
        <f>IFERROR(__xludf.DUMMYFUNCTION("""COMPUTED_VALUE"""),"Grid Game")</f>
        <v>Grid Game</v>
      </c>
      <c r="C2018" s="35" t="str">
        <f>IFERROR(__xludf.DUMMYFUNCTION("""COMPUTED_VALUE"""),"grid-game")</f>
        <v>grid-game</v>
      </c>
      <c r="D2018" s="35" t="b">
        <f>IFERROR(__xludf.DUMMYFUNCTION("""COMPUTED_VALUE"""),FALSE)</f>
        <v>0</v>
      </c>
      <c r="E2018" s="35" t="str">
        <f>IFERROR(__xludf.DUMMYFUNCTION("""COMPUTED_VALUE"""),"Medium")</f>
        <v>Medium</v>
      </c>
      <c r="F2018" s="35">
        <f>IFERROR(__xludf.DUMMYFUNCTION("""COMPUTED_VALUE"""),408.0)</f>
        <v>408</v>
      </c>
      <c r="G2018" s="35">
        <f>IFERROR(__xludf.DUMMYFUNCTION("""COMPUTED_VALUE"""),10.0)</f>
        <v>10</v>
      </c>
      <c r="H2018" s="35" t="str">
        <f>IFERROR(__xludf.DUMMYFUNCTION("""COMPUTED_VALUE"""),"Algorithms")</f>
        <v>Algorithms</v>
      </c>
      <c r="I2018" s="35">
        <f>IFERROR(__xludf.DUMMYFUNCTION("""COMPUTED_VALUE"""),0.414)</f>
        <v>0.414</v>
      </c>
      <c r="J2018" s="35">
        <f>IFERROR(__xludf.DUMMYFUNCTION("""COMPUTED_VALUE"""),2017.0)</f>
        <v>2017</v>
      </c>
      <c r="K2018" s="35" t="b">
        <f>IFERROR(__xludf.DUMMYFUNCTION("""COMPUTED_VALUE"""),FALSE)</f>
        <v>0</v>
      </c>
      <c r="L2018" s="35" t="str">
        <f>IFERROR(__xludf.DUMMYFUNCTION("""COMPUTED_VALUE"""),"Array;Matrix;Prefix Sum;")</f>
        <v>Array;Matrix;Prefix Sum;</v>
      </c>
      <c r="M2018" s="35" t="b">
        <f>IFERROR(__xludf.DUMMYFUNCTION("""COMPUTED_VALUE"""),FALSE)</f>
        <v>0</v>
      </c>
      <c r="N2018" s="35" t="b">
        <f>IFERROR(__xludf.DUMMYFUNCTION("""COMPUTED_VALUE"""),FALSE)</f>
        <v>0</v>
      </c>
      <c r="O2018" s="35">
        <f>IFERROR(__xludf.DUMMYFUNCTION("""COMPUTED_VALUE"""),41.3569246435845)</f>
        <v>41.35692464</v>
      </c>
      <c r="P2018" s="35">
        <f>IFERROR(__xludf.DUMMYFUNCTION("""COMPUTED_VALUE"""),9747.0)</f>
        <v>9747</v>
      </c>
      <c r="Q2018" s="35">
        <f>IFERROR(__xludf.DUMMYFUNCTION("""COMPUTED_VALUE"""),23568.0)</f>
        <v>23568</v>
      </c>
    </row>
    <row r="2019">
      <c r="A2019" s="35">
        <f>IFERROR(__xludf.DUMMYFUNCTION("""COMPUTED_VALUE"""),2146.0)</f>
        <v>2146</v>
      </c>
      <c r="B2019" s="35" t="str">
        <f>IFERROR(__xludf.DUMMYFUNCTION("""COMPUTED_VALUE"""),"Check if Word Can Be Placed In Crossword")</f>
        <v>Check if Word Can Be Placed In Crossword</v>
      </c>
      <c r="C2019" s="35" t="str">
        <f>IFERROR(__xludf.DUMMYFUNCTION("""COMPUTED_VALUE"""),"check-if-word-can-be-placed-in-crossword")</f>
        <v>check-if-word-can-be-placed-in-crossword</v>
      </c>
      <c r="D2019" s="35" t="b">
        <f>IFERROR(__xludf.DUMMYFUNCTION("""COMPUTED_VALUE"""),FALSE)</f>
        <v>0</v>
      </c>
      <c r="E2019" s="35" t="str">
        <f>IFERROR(__xludf.DUMMYFUNCTION("""COMPUTED_VALUE"""),"Medium")</f>
        <v>Medium</v>
      </c>
      <c r="F2019" s="35">
        <f>IFERROR(__xludf.DUMMYFUNCTION("""COMPUTED_VALUE"""),146.0)</f>
        <v>146</v>
      </c>
      <c r="G2019" s="35">
        <f>IFERROR(__xludf.DUMMYFUNCTION("""COMPUTED_VALUE"""),147.0)</f>
        <v>147</v>
      </c>
      <c r="H2019" s="35" t="str">
        <f>IFERROR(__xludf.DUMMYFUNCTION("""COMPUTED_VALUE"""),"Algorithms")</f>
        <v>Algorithms</v>
      </c>
      <c r="I2019" s="35">
        <f>IFERROR(__xludf.DUMMYFUNCTION("""COMPUTED_VALUE"""),0.477)</f>
        <v>0.477</v>
      </c>
      <c r="J2019" s="35">
        <f>IFERROR(__xludf.DUMMYFUNCTION("""COMPUTED_VALUE"""),2018.0)</f>
        <v>2018</v>
      </c>
      <c r="K2019" s="35" t="b">
        <f>IFERROR(__xludf.DUMMYFUNCTION("""COMPUTED_VALUE"""),FALSE)</f>
        <v>0</v>
      </c>
      <c r="L2019" s="35" t="str">
        <f>IFERROR(__xludf.DUMMYFUNCTION("""COMPUTED_VALUE"""),"Array;Matrix;Enumeration;")</f>
        <v>Array;Matrix;Enumeration;</v>
      </c>
      <c r="M2019" s="35" t="b">
        <f>IFERROR(__xludf.DUMMYFUNCTION("""COMPUTED_VALUE"""),FALSE)</f>
        <v>0</v>
      </c>
      <c r="N2019" s="35" t="b">
        <f>IFERROR(__xludf.DUMMYFUNCTION("""COMPUTED_VALUE"""),FALSE)</f>
        <v>0</v>
      </c>
      <c r="O2019" s="35">
        <f>IFERROR(__xludf.DUMMYFUNCTION("""COMPUTED_VALUE"""),47.7278497080477)</f>
        <v>47.72784971</v>
      </c>
      <c r="P2019" s="35">
        <f>IFERROR(__xludf.DUMMYFUNCTION("""COMPUTED_VALUE"""),7520.0)</f>
        <v>7520</v>
      </c>
      <c r="Q2019" s="35">
        <f>IFERROR(__xludf.DUMMYFUNCTION("""COMPUTED_VALUE"""),15756.0)</f>
        <v>15756</v>
      </c>
    </row>
    <row r="2020">
      <c r="A2020" s="35">
        <f>IFERROR(__xludf.DUMMYFUNCTION("""COMPUTED_VALUE"""),2147.0)</f>
        <v>2147</v>
      </c>
      <c r="B2020" s="35" t="str">
        <f>IFERROR(__xludf.DUMMYFUNCTION("""COMPUTED_VALUE"""),"The Score of Students Solving Math Expression")</f>
        <v>The Score of Students Solving Math Expression</v>
      </c>
      <c r="C2020" s="35" t="str">
        <f>IFERROR(__xludf.DUMMYFUNCTION("""COMPUTED_VALUE"""),"the-score-of-students-solving-math-expression")</f>
        <v>the-score-of-students-solving-math-expression</v>
      </c>
      <c r="D2020" s="35" t="b">
        <f>IFERROR(__xludf.DUMMYFUNCTION("""COMPUTED_VALUE"""),FALSE)</f>
        <v>0</v>
      </c>
      <c r="E2020" s="35" t="str">
        <f>IFERROR(__xludf.DUMMYFUNCTION("""COMPUTED_VALUE"""),"Hard")</f>
        <v>Hard</v>
      </c>
      <c r="F2020" s="35">
        <f>IFERROR(__xludf.DUMMYFUNCTION("""COMPUTED_VALUE"""),131.0)</f>
        <v>131</v>
      </c>
      <c r="G2020" s="35">
        <f>IFERROR(__xludf.DUMMYFUNCTION("""COMPUTED_VALUE"""),58.0)</f>
        <v>58</v>
      </c>
      <c r="H2020" s="35" t="str">
        <f>IFERROR(__xludf.DUMMYFUNCTION("""COMPUTED_VALUE"""),"Algorithms")</f>
        <v>Algorithms</v>
      </c>
      <c r="I2020" s="35">
        <f>IFERROR(__xludf.DUMMYFUNCTION("""COMPUTED_VALUE"""),0.335)</f>
        <v>0.335</v>
      </c>
      <c r="J2020" s="35">
        <f>IFERROR(__xludf.DUMMYFUNCTION("""COMPUTED_VALUE"""),2019.0)</f>
        <v>2019</v>
      </c>
      <c r="K2020" s="35" t="b">
        <f>IFERROR(__xludf.DUMMYFUNCTION("""COMPUTED_VALUE"""),FALSE)</f>
        <v>0</v>
      </c>
      <c r="L2020" s="35" t="str">
        <f>IFERROR(__xludf.DUMMYFUNCTION("""COMPUTED_VALUE"""),"Array;Math;String;Dynamic Programming;Stack;Memoization;")</f>
        <v>Array;Math;String;Dynamic Programming;Stack;Memoization;</v>
      </c>
      <c r="M2020" s="35" t="b">
        <f>IFERROR(__xludf.DUMMYFUNCTION("""COMPUTED_VALUE"""),FALSE)</f>
        <v>0</v>
      </c>
      <c r="N2020" s="35" t="b">
        <f>IFERROR(__xludf.DUMMYFUNCTION("""COMPUTED_VALUE"""),FALSE)</f>
        <v>0</v>
      </c>
      <c r="O2020" s="35">
        <f>IFERROR(__xludf.DUMMYFUNCTION("""COMPUTED_VALUE"""),33.4577006507592)</f>
        <v>33.45770065</v>
      </c>
      <c r="P2020" s="35">
        <f>IFERROR(__xludf.DUMMYFUNCTION("""COMPUTED_VALUE"""),3855.0)</f>
        <v>3855</v>
      </c>
      <c r="Q2020" s="35">
        <f>IFERROR(__xludf.DUMMYFUNCTION("""COMPUTED_VALUE"""),11524.0)</f>
        <v>11524</v>
      </c>
    </row>
    <row r="2021">
      <c r="A2021" s="35">
        <f>IFERROR(__xludf.DUMMYFUNCTION("""COMPUTED_VALUE"""),2167.0)</f>
        <v>2167</v>
      </c>
      <c r="B2021" s="35" t="str">
        <f>IFERROR(__xludf.DUMMYFUNCTION("""COMPUTED_VALUE"""),"Number of Accounts That Did Not Stream")</f>
        <v>Number of Accounts That Did Not Stream</v>
      </c>
      <c r="C2021" s="35" t="str">
        <f>IFERROR(__xludf.DUMMYFUNCTION("""COMPUTED_VALUE"""),"number-of-accounts-that-did-not-stream")</f>
        <v>number-of-accounts-that-did-not-stream</v>
      </c>
      <c r="D2021" s="35" t="b">
        <f>IFERROR(__xludf.DUMMYFUNCTION("""COMPUTED_VALUE"""),TRUE)</f>
        <v>1</v>
      </c>
      <c r="E2021" s="35" t="str">
        <f>IFERROR(__xludf.DUMMYFUNCTION("""COMPUTED_VALUE"""),"Medium")</f>
        <v>Medium</v>
      </c>
      <c r="F2021" s="35">
        <f>IFERROR(__xludf.DUMMYFUNCTION("""COMPUTED_VALUE"""),6.0)</f>
        <v>6</v>
      </c>
      <c r="G2021" s="35">
        <f>IFERROR(__xludf.DUMMYFUNCTION("""COMPUTED_VALUE"""),62.0)</f>
        <v>62</v>
      </c>
      <c r="H2021" s="35" t="str">
        <f>IFERROR(__xludf.DUMMYFUNCTION("""COMPUTED_VALUE"""),"Database")</f>
        <v>Database</v>
      </c>
      <c r="I2021" s="35">
        <f>IFERROR(__xludf.DUMMYFUNCTION("""COMPUTED_VALUE"""),0.725)</f>
        <v>0.725</v>
      </c>
      <c r="J2021" s="35">
        <f>IFERROR(__xludf.DUMMYFUNCTION("""COMPUTED_VALUE"""),2020.0)</f>
        <v>2020</v>
      </c>
      <c r="K2021" s="35" t="b">
        <f>IFERROR(__xludf.DUMMYFUNCTION("""COMPUTED_VALUE"""),TRUE)</f>
        <v>1</v>
      </c>
      <c r="L2021" s="35" t="str">
        <f>IFERROR(__xludf.DUMMYFUNCTION("""COMPUTED_VALUE"""),"Database;")</f>
        <v>Database;</v>
      </c>
      <c r="M2021" s="35" t="b">
        <f>IFERROR(__xludf.DUMMYFUNCTION("""COMPUTED_VALUE"""),FALSE)</f>
        <v>0</v>
      </c>
      <c r="N2021" s="35" t="b">
        <f>IFERROR(__xludf.DUMMYFUNCTION("""COMPUTED_VALUE"""),FALSE)</f>
        <v>0</v>
      </c>
      <c r="O2021" s="35">
        <f>IFERROR(__xludf.DUMMYFUNCTION("""COMPUTED_VALUE"""),72.4891939994914)</f>
        <v>72.489194</v>
      </c>
      <c r="P2021" s="35">
        <f>IFERROR(__xludf.DUMMYFUNCTION("""COMPUTED_VALUE"""),2851.0)</f>
        <v>2851</v>
      </c>
      <c r="Q2021" s="35">
        <f>IFERROR(__xludf.DUMMYFUNCTION("""COMPUTED_VALUE"""),3933.0)</f>
        <v>3933</v>
      </c>
    </row>
    <row r="2022">
      <c r="A2022" s="35">
        <f>IFERROR(__xludf.DUMMYFUNCTION("""COMPUTED_VALUE"""),2075.0)</f>
        <v>2075</v>
      </c>
      <c r="B2022" s="35" t="str">
        <f>IFERROR(__xludf.DUMMYFUNCTION("""COMPUTED_VALUE"""),"Brightest Position on Street")</f>
        <v>Brightest Position on Street</v>
      </c>
      <c r="C2022" s="35" t="str">
        <f>IFERROR(__xludf.DUMMYFUNCTION("""COMPUTED_VALUE"""),"brightest-position-on-street")</f>
        <v>brightest-position-on-street</v>
      </c>
      <c r="D2022" s="35" t="b">
        <f>IFERROR(__xludf.DUMMYFUNCTION("""COMPUTED_VALUE"""),TRUE)</f>
        <v>1</v>
      </c>
      <c r="E2022" s="35" t="str">
        <f>IFERROR(__xludf.DUMMYFUNCTION("""COMPUTED_VALUE"""),"Medium")</f>
        <v>Medium</v>
      </c>
      <c r="F2022" s="35">
        <f>IFERROR(__xludf.DUMMYFUNCTION("""COMPUTED_VALUE"""),76.0)</f>
        <v>76</v>
      </c>
      <c r="G2022" s="35">
        <f>IFERROR(__xludf.DUMMYFUNCTION("""COMPUTED_VALUE"""),2.0)</f>
        <v>2</v>
      </c>
      <c r="H2022" s="35" t="str">
        <f>IFERROR(__xludf.DUMMYFUNCTION("""COMPUTED_VALUE"""),"Algorithms")</f>
        <v>Algorithms</v>
      </c>
      <c r="I2022" s="35">
        <f>IFERROR(__xludf.DUMMYFUNCTION("""COMPUTED_VALUE"""),0.633)</f>
        <v>0.633</v>
      </c>
      <c r="J2022" s="35">
        <f>IFERROR(__xludf.DUMMYFUNCTION("""COMPUTED_VALUE"""),2021.0)</f>
        <v>2021</v>
      </c>
      <c r="K2022" s="35" t="b">
        <f>IFERROR(__xludf.DUMMYFUNCTION("""COMPUTED_VALUE"""),TRUE)</f>
        <v>1</v>
      </c>
      <c r="L2022" s="35" t="str">
        <f>IFERROR(__xludf.DUMMYFUNCTION("""COMPUTED_VALUE"""),"Array;Prefix Sum;Ordered Set;")</f>
        <v>Array;Prefix Sum;Ordered Set;</v>
      </c>
      <c r="M2022" s="35" t="b">
        <f>IFERROR(__xludf.DUMMYFUNCTION("""COMPUTED_VALUE"""),FALSE)</f>
        <v>0</v>
      </c>
      <c r="N2022" s="35" t="b">
        <f>IFERROR(__xludf.DUMMYFUNCTION("""COMPUTED_VALUE"""),FALSE)</f>
        <v>0</v>
      </c>
      <c r="O2022" s="35">
        <f>IFERROR(__xludf.DUMMYFUNCTION("""COMPUTED_VALUE"""),63.3006347374495)</f>
        <v>63.30063474</v>
      </c>
      <c r="P2022" s="35">
        <f>IFERROR(__xludf.DUMMYFUNCTION("""COMPUTED_VALUE"""),2194.0)</f>
        <v>2194</v>
      </c>
      <c r="Q2022" s="35">
        <f>IFERROR(__xludf.DUMMYFUNCTION("""COMPUTED_VALUE"""),3466.0)</f>
        <v>3466</v>
      </c>
    </row>
    <row r="2023">
      <c r="A2023" s="35">
        <f>IFERROR(__xludf.DUMMYFUNCTION("""COMPUTED_VALUE"""),2132.0)</f>
        <v>2132</v>
      </c>
      <c r="B2023" s="35" t="str">
        <f>IFERROR(__xludf.DUMMYFUNCTION("""COMPUTED_VALUE"""),"Convert 1D Array Into 2D Array")</f>
        <v>Convert 1D Array Into 2D Array</v>
      </c>
      <c r="C2023" s="35" t="str">
        <f>IFERROR(__xludf.DUMMYFUNCTION("""COMPUTED_VALUE"""),"convert-1d-array-into-2d-array")</f>
        <v>convert-1d-array-into-2d-array</v>
      </c>
      <c r="D2023" s="35" t="b">
        <f>IFERROR(__xludf.DUMMYFUNCTION("""COMPUTED_VALUE"""),FALSE)</f>
        <v>0</v>
      </c>
      <c r="E2023" s="35" t="str">
        <f>IFERROR(__xludf.DUMMYFUNCTION("""COMPUTED_VALUE"""),"Easy")</f>
        <v>Easy</v>
      </c>
      <c r="F2023" s="35">
        <f>IFERROR(__xludf.DUMMYFUNCTION("""COMPUTED_VALUE"""),255.0)</f>
        <v>255</v>
      </c>
      <c r="G2023" s="35">
        <f>IFERROR(__xludf.DUMMYFUNCTION("""COMPUTED_VALUE"""),18.0)</f>
        <v>18</v>
      </c>
      <c r="H2023" s="35" t="str">
        <f>IFERROR(__xludf.DUMMYFUNCTION("""COMPUTED_VALUE"""),"Algorithms")</f>
        <v>Algorithms</v>
      </c>
      <c r="I2023" s="35">
        <f>IFERROR(__xludf.DUMMYFUNCTION("""COMPUTED_VALUE"""),0.599)</f>
        <v>0.599</v>
      </c>
      <c r="J2023" s="35">
        <f>IFERROR(__xludf.DUMMYFUNCTION("""COMPUTED_VALUE"""),2022.0)</f>
        <v>2022</v>
      </c>
      <c r="K2023" s="35" t="b">
        <f>IFERROR(__xludf.DUMMYFUNCTION("""COMPUTED_VALUE"""),FALSE)</f>
        <v>0</v>
      </c>
      <c r="L2023" s="35" t="str">
        <f>IFERROR(__xludf.DUMMYFUNCTION("""COMPUTED_VALUE"""),"Array;Matrix;Simulation;")</f>
        <v>Array;Matrix;Simulation;</v>
      </c>
      <c r="M2023" s="35" t="b">
        <f>IFERROR(__xludf.DUMMYFUNCTION("""COMPUTED_VALUE"""),FALSE)</f>
        <v>0</v>
      </c>
      <c r="N2023" s="35" t="b">
        <f>IFERROR(__xludf.DUMMYFUNCTION("""COMPUTED_VALUE"""),FALSE)</f>
        <v>0</v>
      </c>
      <c r="O2023" s="35">
        <f>IFERROR(__xludf.DUMMYFUNCTION("""COMPUTED_VALUE"""),59.8561151079136)</f>
        <v>59.85611511</v>
      </c>
      <c r="P2023" s="35">
        <f>IFERROR(__xludf.DUMMYFUNCTION("""COMPUTED_VALUE"""),25376.0)</f>
        <v>25376</v>
      </c>
      <c r="Q2023" s="35">
        <f>IFERROR(__xludf.DUMMYFUNCTION("""COMPUTED_VALUE"""),42395.0)</f>
        <v>42395</v>
      </c>
    </row>
    <row r="2024">
      <c r="A2024" s="35">
        <f>IFERROR(__xludf.DUMMYFUNCTION("""COMPUTED_VALUE"""),2133.0)</f>
        <v>2133</v>
      </c>
      <c r="B2024" s="35" t="str">
        <f>IFERROR(__xludf.DUMMYFUNCTION("""COMPUTED_VALUE"""),"Number of Pairs of Strings With Concatenation Equal to Target")</f>
        <v>Number of Pairs of Strings With Concatenation Equal to Target</v>
      </c>
      <c r="C2024" s="35" t="str">
        <f>IFERROR(__xludf.DUMMYFUNCTION("""COMPUTED_VALUE"""),"number-of-pairs-of-strings-with-concatenation-equal-to-target")</f>
        <v>number-of-pairs-of-strings-with-concatenation-equal-to-target</v>
      </c>
      <c r="D2024" s="35" t="b">
        <f>IFERROR(__xludf.DUMMYFUNCTION("""COMPUTED_VALUE"""),FALSE)</f>
        <v>0</v>
      </c>
      <c r="E2024" s="35" t="str">
        <f>IFERROR(__xludf.DUMMYFUNCTION("""COMPUTED_VALUE"""),"Medium")</f>
        <v>Medium</v>
      </c>
      <c r="F2024" s="35">
        <f>IFERROR(__xludf.DUMMYFUNCTION("""COMPUTED_VALUE"""),241.0)</f>
        <v>241</v>
      </c>
      <c r="G2024" s="35">
        <f>IFERROR(__xludf.DUMMYFUNCTION("""COMPUTED_VALUE"""),23.0)</f>
        <v>23</v>
      </c>
      <c r="H2024" s="35" t="str">
        <f>IFERROR(__xludf.DUMMYFUNCTION("""COMPUTED_VALUE"""),"Algorithms")</f>
        <v>Algorithms</v>
      </c>
      <c r="I2024" s="35">
        <f>IFERROR(__xludf.DUMMYFUNCTION("""COMPUTED_VALUE"""),0.732)</f>
        <v>0.732</v>
      </c>
      <c r="J2024" s="35">
        <f>IFERROR(__xludf.DUMMYFUNCTION("""COMPUTED_VALUE"""),2023.0)</f>
        <v>2023</v>
      </c>
      <c r="K2024" s="35" t="b">
        <f>IFERROR(__xludf.DUMMYFUNCTION("""COMPUTED_VALUE"""),FALSE)</f>
        <v>0</v>
      </c>
      <c r="L2024" s="35" t="str">
        <f>IFERROR(__xludf.DUMMYFUNCTION("""COMPUTED_VALUE"""),"Array;String;")</f>
        <v>Array;String;</v>
      </c>
      <c r="M2024" s="35" t="b">
        <f>IFERROR(__xludf.DUMMYFUNCTION("""COMPUTED_VALUE"""),FALSE)</f>
        <v>0</v>
      </c>
      <c r="N2024" s="35" t="b">
        <f>IFERROR(__xludf.DUMMYFUNCTION("""COMPUTED_VALUE"""),FALSE)</f>
        <v>0</v>
      </c>
      <c r="O2024" s="35">
        <f>IFERROR(__xludf.DUMMYFUNCTION("""COMPUTED_VALUE"""),73.160573808422)</f>
        <v>73.16057381</v>
      </c>
      <c r="P2024" s="35">
        <f>IFERROR(__xludf.DUMMYFUNCTION("""COMPUTED_VALUE"""),15810.0)</f>
        <v>15810</v>
      </c>
      <c r="Q2024" s="35">
        <f>IFERROR(__xludf.DUMMYFUNCTION("""COMPUTED_VALUE"""),21610.0)</f>
        <v>21610</v>
      </c>
    </row>
    <row r="2025">
      <c r="A2025" s="35">
        <f>IFERROR(__xludf.DUMMYFUNCTION("""COMPUTED_VALUE"""),2134.0)</f>
        <v>2134</v>
      </c>
      <c r="B2025" s="35" t="str">
        <f>IFERROR(__xludf.DUMMYFUNCTION("""COMPUTED_VALUE"""),"Maximize the Confusion of an Exam")</f>
        <v>Maximize the Confusion of an Exam</v>
      </c>
      <c r="C2025" s="35" t="str">
        <f>IFERROR(__xludf.DUMMYFUNCTION("""COMPUTED_VALUE"""),"maximize-the-confusion-of-an-exam")</f>
        <v>maximize-the-confusion-of-an-exam</v>
      </c>
      <c r="D2025" s="35" t="b">
        <f>IFERROR(__xludf.DUMMYFUNCTION("""COMPUTED_VALUE"""),FALSE)</f>
        <v>0</v>
      </c>
      <c r="E2025" s="35" t="str">
        <f>IFERROR(__xludf.DUMMYFUNCTION("""COMPUTED_VALUE"""),"Medium")</f>
        <v>Medium</v>
      </c>
      <c r="F2025" s="35">
        <f>IFERROR(__xludf.DUMMYFUNCTION("""COMPUTED_VALUE"""),398.0)</f>
        <v>398</v>
      </c>
      <c r="G2025" s="35">
        <f>IFERROR(__xludf.DUMMYFUNCTION("""COMPUTED_VALUE"""),8.0)</f>
        <v>8</v>
      </c>
      <c r="H2025" s="35" t="str">
        <f>IFERROR(__xludf.DUMMYFUNCTION("""COMPUTED_VALUE"""),"Algorithms")</f>
        <v>Algorithms</v>
      </c>
      <c r="I2025" s="35">
        <f>IFERROR(__xludf.DUMMYFUNCTION("""COMPUTED_VALUE"""),0.563)</f>
        <v>0.563</v>
      </c>
      <c r="J2025" s="35">
        <f>IFERROR(__xludf.DUMMYFUNCTION("""COMPUTED_VALUE"""),2024.0)</f>
        <v>2024</v>
      </c>
      <c r="K2025" s="35" t="b">
        <f>IFERROR(__xludf.DUMMYFUNCTION("""COMPUTED_VALUE"""),FALSE)</f>
        <v>0</v>
      </c>
      <c r="L2025" s="35" t="str">
        <f>IFERROR(__xludf.DUMMYFUNCTION("""COMPUTED_VALUE"""),"String;Binary Search;Sliding Window;Prefix Sum;")</f>
        <v>String;Binary Search;Sliding Window;Prefix Sum;</v>
      </c>
      <c r="M2025" s="35" t="b">
        <f>IFERROR(__xludf.DUMMYFUNCTION("""COMPUTED_VALUE"""),FALSE)</f>
        <v>0</v>
      </c>
      <c r="N2025" s="35" t="b">
        <f>IFERROR(__xludf.DUMMYFUNCTION("""COMPUTED_VALUE"""),FALSE)</f>
        <v>0</v>
      </c>
      <c r="O2025" s="35">
        <f>IFERROR(__xludf.DUMMYFUNCTION("""COMPUTED_VALUE"""),56.3343960990247)</f>
        <v>56.3343961</v>
      </c>
      <c r="P2025" s="35">
        <f>IFERROR(__xludf.DUMMYFUNCTION("""COMPUTED_VALUE"""),12015.0)</f>
        <v>12015</v>
      </c>
      <c r="Q2025" s="35">
        <f>IFERROR(__xludf.DUMMYFUNCTION("""COMPUTED_VALUE"""),21328.0)</f>
        <v>21328</v>
      </c>
    </row>
    <row r="2026">
      <c r="A2026" s="35">
        <f>IFERROR(__xludf.DUMMYFUNCTION("""COMPUTED_VALUE"""),2135.0)</f>
        <v>2135</v>
      </c>
      <c r="B2026" s="35" t="str">
        <f>IFERROR(__xludf.DUMMYFUNCTION("""COMPUTED_VALUE"""),"Maximum Number of Ways to Partition an Array")</f>
        <v>Maximum Number of Ways to Partition an Array</v>
      </c>
      <c r="C2026" s="35" t="str">
        <f>IFERROR(__xludf.DUMMYFUNCTION("""COMPUTED_VALUE"""),"maximum-number-of-ways-to-partition-an-array")</f>
        <v>maximum-number-of-ways-to-partition-an-array</v>
      </c>
      <c r="D2026" s="35" t="b">
        <f>IFERROR(__xludf.DUMMYFUNCTION("""COMPUTED_VALUE"""),FALSE)</f>
        <v>0</v>
      </c>
      <c r="E2026" s="35" t="str">
        <f>IFERROR(__xludf.DUMMYFUNCTION("""COMPUTED_VALUE"""),"Hard")</f>
        <v>Hard</v>
      </c>
      <c r="F2026" s="35">
        <f>IFERROR(__xludf.DUMMYFUNCTION("""COMPUTED_VALUE"""),254.0)</f>
        <v>254</v>
      </c>
      <c r="G2026" s="35">
        <f>IFERROR(__xludf.DUMMYFUNCTION("""COMPUTED_VALUE"""),20.0)</f>
        <v>20</v>
      </c>
      <c r="H2026" s="35" t="str">
        <f>IFERROR(__xludf.DUMMYFUNCTION("""COMPUTED_VALUE"""),"Algorithms")</f>
        <v>Algorithms</v>
      </c>
      <c r="I2026" s="35">
        <f>IFERROR(__xludf.DUMMYFUNCTION("""COMPUTED_VALUE"""),0.308)</f>
        <v>0.308</v>
      </c>
      <c r="J2026" s="35">
        <f>IFERROR(__xludf.DUMMYFUNCTION("""COMPUTED_VALUE"""),2025.0)</f>
        <v>2025</v>
      </c>
      <c r="K2026" s="35" t="b">
        <f>IFERROR(__xludf.DUMMYFUNCTION("""COMPUTED_VALUE"""),FALSE)</f>
        <v>0</v>
      </c>
      <c r="L2026" s="35" t="str">
        <f>IFERROR(__xludf.DUMMYFUNCTION("""COMPUTED_VALUE"""),"Array;Hash Table;Counting;Enumeration;Prefix Sum;")</f>
        <v>Array;Hash Table;Counting;Enumeration;Prefix Sum;</v>
      </c>
      <c r="M2026" s="35" t="b">
        <f>IFERROR(__xludf.DUMMYFUNCTION("""COMPUTED_VALUE"""),FALSE)</f>
        <v>0</v>
      </c>
      <c r="N2026" s="35" t="b">
        <f>IFERROR(__xludf.DUMMYFUNCTION("""COMPUTED_VALUE"""),FALSE)</f>
        <v>0</v>
      </c>
      <c r="O2026" s="35">
        <f>IFERROR(__xludf.DUMMYFUNCTION("""COMPUTED_VALUE"""),30.7650273224043)</f>
        <v>30.76502732</v>
      </c>
      <c r="P2026" s="35">
        <f>IFERROR(__xludf.DUMMYFUNCTION("""COMPUTED_VALUE"""),4504.0)</f>
        <v>4504</v>
      </c>
      <c r="Q2026" s="35">
        <f>IFERROR(__xludf.DUMMYFUNCTION("""COMPUTED_VALUE"""),14640.0)</f>
        <v>14640</v>
      </c>
    </row>
    <row r="2027">
      <c r="A2027" s="35">
        <f>IFERROR(__xludf.DUMMYFUNCTION("""COMPUTED_VALUE"""),2172.0)</f>
        <v>2172</v>
      </c>
      <c r="B2027" s="35" t="str">
        <f>IFERROR(__xludf.DUMMYFUNCTION("""COMPUTED_VALUE"""),"Low-Quality Problems")</f>
        <v>Low-Quality Problems</v>
      </c>
      <c r="C2027" s="35" t="str">
        <f>IFERROR(__xludf.DUMMYFUNCTION("""COMPUTED_VALUE"""),"low-quality-problems")</f>
        <v>low-quality-problems</v>
      </c>
      <c r="D2027" s="35" t="b">
        <f>IFERROR(__xludf.DUMMYFUNCTION("""COMPUTED_VALUE"""),TRUE)</f>
        <v>1</v>
      </c>
      <c r="E2027" s="35" t="str">
        <f>IFERROR(__xludf.DUMMYFUNCTION("""COMPUTED_VALUE"""),"Easy")</f>
        <v>Easy</v>
      </c>
      <c r="F2027" s="35">
        <f>IFERROR(__xludf.DUMMYFUNCTION("""COMPUTED_VALUE"""),11.0)</f>
        <v>11</v>
      </c>
      <c r="G2027" s="35">
        <f>IFERROR(__xludf.DUMMYFUNCTION("""COMPUTED_VALUE"""),5.0)</f>
        <v>5</v>
      </c>
      <c r="H2027" s="35" t="str">
        <f>IFERROR(__xludf.DUMMYFUNCTION("""COMPUTED_VALUE"""),"Database")</f>
        <v>Database</v>
      </c>
      <c r="I2027" s="35">
        <f>IFERROR(__xludf.DUMMYFUNCTION("""COMPUTED_VALUE"""),0.856)</f>
        <v>0.856</v>
      </c>
      <c r="J2027" s="35">
        <f>IFERROR(__xludf.DUMMYFUNCTION("""COMPUTED_VALUE"""),2026.0)</f>
        <v>2026</v>
      </c>
      <c r="K2027" s="35" t="b">
        <f>IFERROR(__xludf.DUMMYFUNCTION("""COMPUTED_VALUE"""),TRUE)</f>
        <v>1</v>
      </c>
      <c r="L2027" s="35" t="str">
        <f>IFERROR(__xludf.DUMMYFUNCTION("""COMPUTED_VALUE"""),"Database;")</f>
        <v>Database;</v>
      </c>
      <c r="M2027" s="35" t="b">
        <f>IFERROR(__xludf.DUMMYFUNCTION("""COMPUTED_VALUE"""),FALSE)</f>
        <v>0</v>
      </c>
      <c r="N2027" s="35" t="b">
        <f>IFERROR(__xludf.DUMMYFUNCTION("""COMPUTED_VALUE"""),FALSE)</f>
        <v>0</v>
      </c>
      <c r="O2027" s="35">
        <f>IFERROR(__xludf.DUMMYFUNCTION("""COMPUTED_VALUE"""),85.6145880234128)</f>
        <v>85.61458802</v>
      </c>
      <c r="P2027" s="35">
        <f>IFERROR(__xludf.DUMMYFUNCTION("""COMPUTED_VALUE"""),3803.0)</f>
        <v>3803</v>
      </c>
      <c r="Q2027" s="35">
        <f>IFERROR(__xludf.DUMMYFUNCTION("""COMPUTED_VALUE"""),4442.0)</f>
        <v>4442</v>
      </c>
    </row>
    <row r="2028">
      <c r="A2028" s="35">
        <f>IFERROR(__xludf.DUMMYFUNCTION("""COMPUTED_VALUE"""),2154.0)</f>
        <v>2154</v>
      </c>
      <c r="B2028" s="35" t="str">
        <f>IFERROR(__xludf.DUMMYFUNCTION("""COMPUTED_VALUE"""),"Minimum Moves to Convert String")</f>
        <v>Minimum Moves to Convert String</v>
      </c>
      <c r="C2028" s="35" t="str">
        <f>IFERROR(__xludf.DUMMYFUNCTION("""COMPUTED_VALUE"""),"minimum-moves-to-convert-string")</f>
        <v>minimum-moves-to-convert-string</v>
      </c>
      <c r="D2028" s="35" t="b">
        <f>IFERROR(__xludf.DUMMYFUNCTION("""COMPUTED_VALUE"""),FALSE)</f>
        <v>0</v>
      </c>
      <c r="E2028" s="35" t="str">
        <f>IFERROR(__xludf.DUMMYFUNCTION("""COMPUTED_VALUE"""),"Easy")</f>
        <v>Easy</v>
      </c>
      <c r="F2028" s="35">
        <f>IFERROR(__xludf.DUMMYFUNCTION("""COMPUTED_VALUE"""),181.0)</f>
        <v>181</v>
      </c>
      <c r="G2028" s="35">
        <f>IFERROR(__xludf.DUMMYFUNCTION("""COMPUTED_VALUE"""),47.0)</f>
        <v>47</v>
      </c>
      <c r="H2028" s="35" t="str">
        <f>IFERROR(__xludf.DUMMYFUNCTION("""COMPUTED_VALUE"""),"Algorithms")</f>
        <v>Algorithms</v>
      </c>
      <c r="I2028" s="35">
        <f>IFERROR(__xludf.DUMMYFUNCTION("""COMPUTED_VALUE"""),0.532)</f>
        <v>0.532</v>
      </c>
      <c r="J2028" s="35">
        <f>IFERROR(__xludf.DUMMYFUNCTION("""COMPUTED_VALUE"""),2027.0)</f>
        <v>2027</v>
      </c>
      <c r="K2028" s="35" t="b">
        <f>IFERROR(__xludf.DUMMYFUNCTION("""COMPUTED_VALUE"""),FALSE)</f>
        <v>0</v>
      </c>
      <c r="L2028" s="35" t="str">
        <f>IFERROR(__xludf.DUMMYFUNCTION("""COMPUTED_VALUE"""),"String;Greedy;")</f>
        <v>String;Greedy;</v>
      </c>
      <c r="M2028" s="35" t="b">
        <f>IFERROR(__xludf.DUMMYFUNCTION("""COMPUTED_VALUE"""),FALSE)</f>
        <v>0</v>
      </c>
      <c r="N2028" s="35" t="b">
        <f>IFERROR(__xludf.DUMMYFUNCTION("""COMPUTED_VALUE"""),FALSE)</f>
        <v>0</v>
      </c>
      <c r="O2028" s="35">
        <f>IFERROR(__xludf.DUMMYFUNCTION("""COMPUTED_VALUE"""),53.2015213906264)</f>
        <v>53.20152139</v>
      </c>
      <c r="P2028" s="35">
        <f>IFERROR(__xludf.DUMMYFUNCTION("""COMPUTED_VALUE"""),16925.0)</f>
        <v>16925</v>
      </c>
      <c r="Q2028" s="35">
        <f>IFERROR(__xludf.DUMMYFUNCTION("""COMPUTED_VALUE"""),31813.0)</f>
        <v>31813</v>
      </c>
    </row>
    <row r="2029">
      <c r="A2029" s="35">
        <f>IFERROR(__xludf.DUMMYFUNCTION("""COMPUTED_VALUE"""),2155.0)</f>
        <v>2155</v>
      </c>
      <c r="B2029" s="35" t="str">
        <f>IFERROR(__xludf.DUMMYFUNCTION("""COMPUTED_VALUE"""),"Find Missing Observations")</f>
        <v>Find Missing Observations</v>
      </c>
      <c r="C2029" s="35" t="str">
        <f>IFERROR(__xludf.DUMMYFUNCTION("""COMPUTED_VALUE"""),"find-missing-observations")</f>
        <v>find-missing-observations</v>
      </c>
      <c r="D2029" s="35" t="b">
        <f>IFERROR(__xludf.DUMMYFUNCTION("""COMPUTED_VALUE"""),FALSE)</f>
        <v>0</v>
      </c>
      <c r="E2029" s="35" t="str">
        <f>IFERROR(__xludf.DUMMYFUNCTION("""COMPUTED_VALUE"""),"Medium")</f>
        <v>Medium</v>
      </c>
      <c r="F2029" s="35">
        <f>IFERROR(__xludf.DUMMYFUNCTION("""COMPUTED_VALUE"""),198.0)</f>
        <v>198</v>
      </c>
      <c r="G2029" s="35">
        <f>IFERROR(__xludf.DUMMYFUNCTION("""COMPUTED_VALUE"""),9.0)</f>
        <v>9</v>
      </c>
      <c r="H2029" s="35" t="str">
        <f>IFERROR(__xludf.DUMMYFUNCTION("""COMPUTED_VALUE"""),"Algorithms")</f>
        <v>Algorithms</v>
      </c>
      <c r="I2029" s="35">
        <f>IFERROR(__xludf.DUMMYFUNCTION("""COMPUTED_VALUE"""),0.416)</f>
        <v>0.416</v>
      </c>
      <c r="J2029" s="35">
        <f>IFERROR(__xludf.DUMMYFUNCTION("""COMPUTED_VALUE"""),2028.0)</f>
        <v>2028</v>
      </c>
      <c r="K2029" s="35" t="b">
        <f>IFERROR(__xludf.DUMMYFUNCTION("""COMPUTED_VALUE"""),FALSE)</f>
        <v>0</v>
      </c>
      <c r="L2029" s="35" t="str">
        <f>IFERROR(__xludf.DUMMYFUNCTION("""COMPUTED_VALUE"""),"Array;Math;Simulation;")</f>
        <v>Array;Math;Simulation;</v>
      </c>
      <c r="M2029" s="35" t="b">
        <f>IFERROR(__xludf.DUMMYFUNCTION("""COMPUTED_VALUE"""),FALSE)</f>
        <v>0</v>
      </c>
      <c r="N2029" s="35" t="b">
        <f>IFERROR(__xludf.DUMMYFUNCTION("""COMPUTED_VALUE"""),FALSE)</f>
        <v>0</v>
      </c>
      <c r="O2029" s="35">
        <f>IFERROR(__xludf.DUMMYFUNCTION("""COMPUTED_VALUE"""),41.5568089154661)</f>
        <v>41.55680892</v>
      </c>
      <c r="P2029" s="35">
        <f>IFERROR(__xludf.DUMMYFUNCTION("""COMPUTED_VALUE"""),12231.0)</f>
        <v>12231</v>
      </c>
      <c r="Q2029" s="35">
        <f>IFERROR(__xludf.DUMMYFUNCTION("""COMPUTED_VALUE"""),29432.0)</f>
        <v>29432</v>
      </c>
    </row>
    <row r="2030">
      <c r="A2030" s="35">
        <f>IFERROR(__xludf.DUMMYFUNCTION("""COMPUTED_VALUE"""),2156.0)</f>
        <v>2156</v>
      </c>
      <c r="B2030" s="35" t="str">
        <f>IFERROR(__xludf.DUMMYFUNCTION("""COMPUTED_VALUE"""),"Stone Game IX")</f>
        <v>Stone Game IX</v>
      </c>
      <c r="C2030" s="35" t="str">
        <f>IFERROR(__xludf.DUMMYFUNCTION("""COMPUTED_VALUE"""),"stone-game-ix")</f>
        <v>stone-game-ix</v>
      </c>
      <c r="D2030" s="35" t="b">
        <f>IFERROR(__xludf.DUMMYFUNCTION("""COMPUTED_VALUE"""),FALSE)</f>
        <v>0</v>
      </c>
      <c r="E2030" s="35" t="str">
        <f>IFERROR(__xludf.DUMMYFUNCTION("""COMPUTED_VALUE"""),"Medium")</f>
        <v>Medium</v>
      </c>
      <c r="F2030" s="35">
        <f>IFERROR(__xludf.DUMMYFUNCTION("""COMPUTED_VALUE"""),131.0)</f>
        <v>131</v>
      </c>
      <c r="G2030" s="35">
        <f>IFERROR(__xludf.DUMMYFUNCTION("""COMPUTED_VALUE"""),188.0)</f>
        <v>188</v>
      </c>
      <c r="H2030" s="35" t="str">
        <f>IFERROR(__xludf.DUMMYFUNCTION("""COMPUTED_VALUE"""),"Algorithms")</f>
        <v>Algorithms</v>
      </c>
      <c r="I2030" s="35">
        <f>IFERROR(__xludf.DUMMYFUNCTION("""COMPUTED_VALUE"""),0.245)</f>
        <v>0.245</v>
      </c>
      <c r="J2030" s="35">
        <f>IFERROR(__xludf.DUMMYFUNCTION("""COMPUTED_VALUE"""),2029.0)</f>
        <v>2029</v>
      </c>
      <c r="K2030" s="35" t="b">
        <f>IFERROR(__xludf.DUMMYFUNCTION("""COMPUTED_VALUE"""),FALSE)</f>
        <v>0</v>
      </c>
      <c r="L2030" s="35" t="str">
        <f>IFERROR(__xludf.DUMMYFUNCTION("""COMPUTED_VALUE"""),"Array;Math;Greedy;Counting;Game Theory;")</f>
        <v>Array;Math;Greedy;Counting;Game Theory;</v>
      </c>
      <c r="M2030" s="35" t="b">
        <f>IFERROR(__xludf.DUMMYFUNCTION("""COMPUTED_VALUE"""),FALSE)</f>
        <v>0</v>
      </c>
      <c r="N2030" s="35" t="b">
        <f>IFERROR(__xludf.DUMMYFUNCTION("""COMPUTED_VALUE"""),FALSE)</f>
        <v>0</v>
      </c>
      <c r="O2030" s="35">
        <f>IFERROR(__xludf.DUMMYFUNCTION("""COMPUTED_VALUE"""),24.4868505452212)</f>
        <v>24.48685055</v>
      </c>
      <c r="P2030" s="35">
        <f>IFERROR(__xludf.DUMMYFUNCTION("""COMPUTED_VALUE"""),4581.0)</f>
        <v>4581</v>
      </c>
      <c r="Q2030" s="35">
        <f>IFERROR(__xludf.DUMMYFUNCTION("""COMPUTED_VALUE"""),18708.0)</f>
        <v>18708</v>
      </c>
    </row>
    <row r="2031">
      <c r="A2031" s="35">
        <f>IFERROR(__xludf.DUMMYFUNCTION("""COMPUTED_VALUE"""),2157.0)</f>
        <v>2157</v>
      </c>
      <c r="B2031" s="35" t="str">
        <f>IFERROR(__xludf.DUMMYFUNCTION("""COMPUTED_VALUE"""),"Smallest K-Length Subsequence With Occurrences of a Letter")</f>
        <v>Smallest K-Length Subsequence With Occurrences of a Letter</v>
      </c>
      <c r="C2031" s="35" t="str">
        <f>IFERROR(__xludf.DUMMYFUNCTION("""COMPUTED_VALUE"""),"smallest-k-length-subsequence-with-occurrences-of-a-letter")</f>
        <v>smallest-k-length-subsequence-with-occurrences-of-a-letter</v>
      </c>
      <c r="D2031" s="35" t="b">
        <f>IFERROR(__xludf.DUMMYFUNCTION("""COMPUTED_VALUE"""),FALSE)</f>
        <v>0</v>
      </c>
      <c r="E2031" s="35" t="str">
        <f>IFERROR(__xludf.DUMMYFUNCTION("""COMPUTED_VALUE"""),"Hard")</f>
        <v>Hard</v>
      </c>
      <c r="F2031" s="35">
        <f>IFERROR(__xludf.DUMMYFUNCTION("""COMPUTED_VALUE"""),210.0)</f>
        <v>210</v>
      </c>
      <c r="G2031" s="35">
        <f>IFERROR(__xludf.DUMMYFUNCTION("""COMPUTED_VALUE"""),6.0)</f>
        <v>6</v>
      </c>
      <c r="H2031" s="35" t="str">
        <f>IFERROR(__xludf.DUMMYFUNCTION("""COMPUTED_VALUE"""),"Algorithms")</f>
        <v>Algorithms</v>
      </c>
      <c r="I2031" s="35">
        <f>IFERROR(__xludf.DUMMYFUNCTION("""COMPUTED_VALUE"""),0.389)</f>
        <v>0.389</v>
      </c>
      <c r="J2031" s="35">
        <f>IFERROR(__xludf.DUMMYFUNCTION("""COMPUTED_VALUE"""),2030.0)</f>
        <v>2030</v>
      </c>
      <c r="K2031" s="35" t="b">
        <f>IFERROR(__xludf.DUMMYFUNCTION("""COMPUTED_VALUE"""),FALSE)</f>
        <v>0</v>
      </c>
      <c r="L2031" s="35" t="str">
        <f>IFERROR(__xludf.DUMMYFUNCTION("""COMPUTED_VALUE"""),"String;Stack;Greedy;Monotonic Stack;")</f>
        <v>String;Stack;Greedy;Monotonic Stack;</v>
      </c>
      <c r="M2031" s="35" t="b">
        <f>IFERROR(__xludf.DUMMYFUNCTION("""COMPUTED_VALUE"""),FALSE)</f>
        <v>0</v>
      </c>
      <c r="N2031" s="35" t="b">
        <f>IFERROR(__xludf.DUMMYFUNCTION("""COMPUTED_VALUE"""),FALSE)</f>
        <v>0</v>
      </c>
      <c r="O2031" s="35">
        <f>IFERROR(__xludf.DUMMYFUNCTION("""COMPUTED_VALUE"""),38.926582278481)</f>
        <v>38.92658228</v>
      </c>
      <c r="P2031" s="35">
        <f>IFERROR(__xludf.DUMMYFUNCTION("""COMPUTED_VALUE"""),3844.0)</f>
        <v>3844</v>
      </c>
      <c r="Q2031" s="35">
        <f>IFERROR(__xludf.DUMMYFUNCTION("""COMPUTED_VALUE"""),9875.0)</f>
        <v>9875</v>
      </c>
    </row>
    <row r="2032">
      <c r="A2032" s="35">
        <f>IFERROR(__xludf.DUMMYFUNCTION("""COMPUTED_VALUE"""),510.0)</f>
        <v>510</v>
      </c>
      <c r="B2032" s="35" t="str">
        <f>IFERROR(__xludf.DUMMYFUNCTION("""COMPUTED_VALUE"""),"Count Subarrays With More Ones Than Zeros")</f>
        <v>Count Subarrays With More Ones Than Zeros</v>
      </c>
      <c r="C2032" s="35" t="str">
        <f>IFERROR(__xludf.DUMMYFUNCTION("""COMPUTED_VALUE"""),"count-subarrays-with-more-ones-than-zeros")</f>
        <v>count-subarrays-with-more-ones-than-zeros</v>
      </c>
      <c r="D2032" s="35" t="b">
        <f>IFERROR(__xludf.DUMMYFUNCTION("""COMPUTED_VALUE"""),TRUE)</f>
        <v>1</v>
      </c>
      <c r="E2032" s="35" t="str">
        <f>IFERROR(__xludf.DUMMYFUNCTION("""COMPUTED_VALUE"""),"Medium")</f>
        <v>Medium</v>
      </c>
      <c r="F2032" s="35">
        <f>IFERROR(__xludf.DUMMYFUNCTION("""COMPUTED_VALUE"""),70.0)</f>
        <v>70</v>
      </c>
      <c r="G2032" s="35">
        <f>IFERROR(__xludf.DUMMYFUNCTION("""COMPUTED_VALUE"""),4.0)</f>
        <v>4</v>
      </c>
      <c r="H2032" s="35" t="str">
        <f>IFERROR(__xludf.DUMMYFUNCTION("""COMPUTED_VALUE"""),"Algorithms")</f>
        <v>Algorithms</v>
      </c>
      <c r="I2032" s="35">
        <f>IFERROR(__xludf.DUMMYFUNCTION("""COMPUTED_VALUE"""),0.529)</f>
        <v>0.529</v>
      </c>
      <c r="J2032" s="35">
        <f>IFERROR(__xludf.DUMMYFUNCTION("""COMPUTED_VALUE"""),2031.0)</f>
        <v>2031</v>
      </c>
      <c r="K2032" s="35" t="b">
        <f>IFERROR(__xludf.DUMMYFUNCTION("""COMPUTED_VALUE"""),TRUE)</f>
        <v>1</v>
      </c>
      <c r="L2032" s="35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2032" s="35" t="b">
        <f>IFERROR(__xludf.DUMMYFUNCTION("""COMPUTED_VALUE"""),FALSE)</f>
        <v>0</v>
      </c>
      <c r="N2032" s="35" t="b">
        <f>IFERROR(__xludf.DUMMYFUNCTION("""COMPUTED_VALUE"""),FALSE)</f>
        <v>0</v>
      </c>
      <c r="O2032" s="35">
        <f>IFERROR(__xludf.DUMMYFUNCTION("""COMPUTED_VALUE"""),52.8826213189547)</f>
        <v>52.88262132</v>
      </c>
      <c r="P2032" s="35">
        <f>IFERROR(__xludf.DUMMYFUNCTION("""COMPUTED_VALUE"""),1275.0)</f>
        <v>1275</v>
      </c>
      <c r="Q2032" s="35">
        <f>IFERROR(__xludf.DUMMYFUNCTION("""COMPUTED_VALUE"""),2411.0)</f>
        <v>2411</v>
      </c>
    </row>
    <row r="2033">
      <c r="A2033" s="35">
        <f>IFERROR(__xludf.DUMMYFUNCTION("""COMPUTED_VALUE"""),2159.0)</f>
        <v>2159</v>
      </c>
      <c r="B2033" s="35" t="str">
        <f>IFERROR(__xludf.DUMMYFUNCTION("""COMPUTED_VALUE"""),"Two Out of Three")</f>
        <v>Two Out of Three</v>
      </c>
      <c r="C2033" s="35" t="str">
        <f>IFERROR(__xludf.DUMMYFUNCTION("""COMPUTED_VALUE"""),"two-out-of-three")</f>
        <v>two-out-of-three</v>
      </c>
      <c r="D2033" s="35" t="b">
        <f>IFERROR(__xludf.DUMMYFUNCTION("""COMPUTED_VALUE"""),FALSE)</f>
        <v>0</v>
      </c>
      <c r="E2033" s="35" t="str">
        <f>IFERROR(__xludf.DUMMYFUNCTION("""COMPUTED_VALUE"""),"Easy")</f>
        <v>Easy</v>
      </c>
      <c r="F2033" s="35">
        <f>IFERROR(__xludf.DUMMYFUNCTION("""COMPUTED_VALUE"""),255.0)</f>
        <v>255</v>
      </c>
      <c r="G2033" s="35">
        <f>IFERROR(__xludf.DUMMYFUNCTION("""COMPUTED_VALUE"""),24.0)</f>
        <v>24</v>
      </c>
      <c r="H2033" s="35" t="str">
        <f>IFERROR(__xludf.DUMMYFUNCTION("""COMPUTED_VALUE"""),"Algorithms")</f>
        <v>Algorithms</v>
      </c>
      <c r="I2033" s="35">
        <f>IFERROR(__xludf.DUMMYFUNCTION("""COMPUTED_VALUE"""),0.728)</f>
        <v>0.728</v>
      </c>
      <c r="J2033" s="35">
        <f>IFERROR(__xludf.DUMMYFUNCTION("""COMPUTED_VALUE"""),2032.0)</f>
        <v>2032</v>
      </c>
      <c r="K2033" s="35" t="b">
        <f>IFERROR(__xludf.DUMMYFUNCTION("""COMPUTED_VALUE"""),FALSE)</f>
        <v>0</v>
      </c>
      <c r="L2033" s="35" t="str">
        <f>IFERROR(__xludf.DUMMYFUNCTION("""COMPUTED_VALUE"""),"Array;Hash Table;")</f>
        <v>Array;Hash Table;</v>
      </c>
      <c r="M2033" s="35" t="b">
        <f>IFERROR(__xludf.DUMMYFUNCTION("""COMPUTED_VALUE"""),FALSE)</f>
        <v>0</v>
      </c>
      <c r="N2033" s="35" t="b">
        <f>IFERROR(__xludf.DUMMYFUNCTION("""COMPUTED_VALUE"""),FALSE)</f>
        <v>0</v>
      </c>
      <c r="O2033" s="35">
        <f>IFERROR(__xludf.DUMMYFUNCTION("""COMPUTED_VALUE"""),72.8301533857089)</f>
        <v>72.83015339</v>
      </c>
      <c r="P2033" s="35">
        <f>IFERROR(__xludf.DUMMYFUNCTION("""COMPUTED_VALUE"""),23360.0)</f>
        <v>23360</v>
      </c>
      <c r="Q2033" s="35">
        <f>IFERROR(__xludf.DUMMYFUNCTION("""COMPUTED_VALUE"""),32075.0)</f>
        <v>32075</v>
      </c>
    </row>
    <row r="2034">
      <c r="A2034" s="35">
        <f>IFERROR(__xludf.DUMMYFUNCTION("""COMPUTED_VALUE"""),2160.0)</f>
        <v>2160</v>
      </c>
      <c r="B2034" s="35" t="str">
        <f>IFERROR(__xludf.DUMMYFUNCTION("""COMPUTED_VALUE"""),"Minimum Operations to Make a Uni-Value Grid")</f>
        <v>Minimum Operations to Make a Uni-Value Grid</v>
      </c>
      <c r="C2034" s="35" t="str">
        <f>IFERROR(__xludf.DUMMYFUNCTION("""COMPUTED_VALUE"""),"minimum-operations-to-make-a-uni-value-grid")</f>
        <v>minimum-operations-to-make-a-uni-value-grid</v>
      </c>
      <c r="D2034" s="35" t="b">
        <f>IFERROR(__xludf.DUMMYFUNCTION("""COMPUTED_VALUE"""),FALSE)</f>
        <v>0</v>
      </c>
      <c r="E2034" s="35" t="str">
        <f>IFERROR(__xludf.DUMMYFUNCTION("""COMPUTED_VALUE"""),"Medium")</f>
        <v>Medium</v>
      </c>
      <c r="F2034" s="35">
        <f>IFERROR(__xludf.DUMMYFUNCTION("""COMPUTED_VALUE"""),285.0)</f>
        <v>285</v>
      </c>
      <c r="G2034" s="35">
        <f>IFERROR(__xludf.DUMMYFUNCTION("""COMPUTED_VALUE"""),22.0)</f>
        <v>22</v>
      </c>
      <c r="H2034" s="35" t="str">
        <f>IFERROR(__xludf.DUMMYFUNCTION("""COMPUTED_VALUE"""),"Algorithms")</f>
        <v>Algorithms</v>
      </c>
      <c r="I2034" s="35">
        <f>IFERROR(__xludf.DUMMYFUNCTION("""COMPUTED_VALUE"""),0.496)</f>
        <v>0.496</v>
      </c>
      <c r="J2034" s="35">
        <f>IFERROR(__xludf.DUMMYFUNCTION("""COMPUTED_VALUE"""),2033.0)</f>
        <v>2033</v>
      </c>
      <c r="K2034" s="35" t="b">
        <f>IFERROR(__xludf.DUMMYFUNCTION("""COMPUTED_VALUE"""),FALSE)</f>
        <v>0</v>
      </c>
      <c r="L2034" s="35" t="str">
        <f>IFERROR(__xludf.DUMMYFUNCTION("""COMPUTED_VALUE"""),"Array;Math;Sorting;Matrix;")</f>
        <v>Array;Math;Sorting;Matrix;</v>
      </c>
      <c r="M2034" s="35" t="b">
        <f>IFERROR(__xludf.DUMMYFUNCTION("""COMPUTED_VALUE"""),FALSE)</f>
        <v>0</v>
      </c>
      <c r="N2034" s="35" t="b">
        <f>IFERROR(__xludf.DUMMYFUNCTION("""COMPUTED_VALUE"""),FALSE)</f>
        <v>0</v>
      </c>
      <c r="O2034" s="35">
        <f>IFERROR(__xludf.DUMMYFUNCTION("""COMPUTED_VALUE"""),49.6244851812969)</f>
        <v>49.62448518</v>
      </c>
      <c r="P2034" s="35">
        <f>IFERROR(__xludf.DUMMYFUNCTION("""COMPUTED_VALUE"""),12290.0)</f>
        <v>12290</v>
      </c>
      <c r="Q2034" s="35">
        <f>IFERROR(__xludf.DUMMYFUNCTION("""COMPUTED_VALUE"""),24766.0)</f>
        <v>24766</v>
      </c>
    </row>
    <row r="2035">
      <c r="A2035" s="35">
        <f>IFERROR(__xludf.DUMMYFUNCTION("""COMPUTED_VALUE"""),2161.0)</f>
        <v>2161</v>
      </c>
      <c r="B2035" s="35" t="str">
        <f>IFERROR(__xludf.DUMMYFUNCTION("""COMPUTED_VALUE"""),"Stock Price Fluctuation ")</f>
        <v>Stock Price Fluctuation </v>
      </c>
      <c r="C2035" s="35" t="str">
        <f>IFERROR(__xludf.DUMMYFUNCTION("""COMPUTED_VALUE"""),"stock-price-fluctuation")</f>
        <v>stock-price-fluctuation</v>
      </c>
      <c r="D2035" s="35" t="b">
        <f>IFERROR(__xludf.DUMMYFUNCTION("""COMPUTED_VALUE"""),FALSE)</f>
        <v>0</v>
      </c>
      <c r="E2035" s="35" t="str">
        <f>IFERROR(__xludf.DUMMYFUNCTION("""COMPUTED_VALUE"""),"Medium")</f>
        <v>Medium</v>
      </c>
      <c r="F2035" s="35">
        <f>IFERROR(__xludf.DUMMYFUNCTION("""COMPUTED_VALUE"""),379.0)</f>
        <v>379</v>
      </c>
      <c r="G2035" s="35">
        <f>IFERROR(__xludf.DUMMYFUNCTION("""COMPUTED_VALUE"""),27.0)</f>
        <v>27</v>
      </c>
      <c r="H2035" s="35" t="str">
        <f>IFERROR(__xludf.DUMMYFUNCTION("""COMPUTED_VALUE"""),"Algorithms")</f>
        <v>Algorithms</v>
      </c>
      <c r="I2035" s="35">
        <f>IFERROR(__xludf.DUMMYFUNCTION("""COMPUTED_VALUE"""),0.463)</f>
        <v>0.463</v>
      </c>
      <c r="J2035" s="35">
        <f>IFERROR(__xludf.DUMMYFUNCTION("""COMPUTED_VALUE"""),2034.0)</f>
        <v>2034</v>
      </c>
      <c r="K2035" s="35" t="b">
        <f>IFERROR(__xludf.DUMMYFUNCTION("""COMPUTED_VALUE"""),FALSE)</f>
        <v>0</v>
      </c>
      <c r="L2035" s="35" t="str">
        <f>IFERROR(__xludf.DUMMYFUNCTION("""COMPUTED_VALUE"""),"Hash Table;Design;Heap (Priority Queue);Data Stream;Ordered Set;")</f>
        <v>Hash Table;Design;Heap (Priority Queue);Data Stream;Ordered Set;</v>
      </c>
      <c r="M2035" s="35" t="b">
        <f>IFERROR(__xludf.DUMMYFUNCTION("""COMPUTED_VALUE"""),FALSE)</f>
        <v>0</v>
      </c>
      <c r="N2035" s="35" t="b">
        <f>IFERROR(__xludf.DUMMYFUNCTION("""COMPUTED_VALUE"""),FALSE)</f>
        <v>0</v>
      </c>
      <c r="O2035" s="35">
        <f>IFERROR(__xludf.DUMMYFUNCTION("""COMPUTED_VALUE"""),46.3393049343442)</f>
        <v>46.33930493</v>
      </c>
      <c r="P2035" s="35">
        <f>IFERROR(__xludf.DUMMYFUNCTION("""COMPUTED_VALUE"""),19373.0)</f>
        <v>19373</v>
      </c>
      <c r="Q2035" s="35">
        <f>IFERROR(__xludf.DUMMYFUNCTION("""COMPUTED_VALUE"""),41806.0)</f>
        <v>41806</v>
      </c>
    </row>
    <row r="2036">
      <c r="A2036" s="35">
        <f>IFERROR(__xludf.DUMMYFUNCTION("""COMPUTED_VALUE"""),2162.0)</f>
        <v>2162</v>
      </c>
      <c r="B2036" s="35" t="str">
        <f>IFERROR(__xludf.DUMMYFUNCTION("""COMPUTED_VALUE"""),"Partition Array Into Two Arrays to Minimize Sum Difference")</f>
        <v>Partition Array Into Two Arrays to Minimize Sum Difference</v>
      </c>
      <c r="C2036" s="35" t="str">
        <f>IFERROR(__xludf.DUMMYFUNCTION("""COMPUTED_VALUE"""),"partition-array-into-two-arrays-to-minimize-sum-difference")</f>
        <v>partition-array-into-two-arrays-to-minimize-sum-difference</v>
      </c>
      <c r="D2036" s="35" t="b">
        <f>IFERROR(__xludf.DUMMYFUNCTION("""COMPUTED_VALUE"""),FALSE)</f>
        <v>0</v>
      </c>
      <c r="E2036" s="35" t="str">
        <f>IFERROR(__xludf.DUMMYFUNCTION("""COMPUTED_VALUE"""),"Hard")</f>
        <v>Hard</v>
      </c>
      <c r="F2036" s="35">
        <f>IFERROR(__xludf.DUMMYFUNCTION("""COMPUTED_VALUE"""),468.0)</f>
        <v>468</v>
      </c>
      <c r="G2036" s="35">
        <f>IFERROR(__xludf.DUMMYFUNCTION("""COMPUTED_VALUE"""),27.0)</f>
        <v>27</v>
      </c>
      <c r="H2036" s="35" t="str">
        <f>IFERROR(__xludf.DUMMYFUNCTION("""COMPUTED_VALUE"""),"Algorithms")</f>
        <v>Algorithms</v>
      </c>
      <c r="I2036" s="35">
        <f>IFERROR(__xludf.DUMMYFUNCTION("""COMPUTED_VALUE"""),0.228)</f>
        <v>0.228</v>
      </c>
      <c r="J2036" s="35">
        <f>IFERROR(__xludf.DUMMYFUNCTION("""COMPUTED_VALUE"""),2035.0)</f>
        <v>2035</v>
      </c>
      <c r="K2036" s="35" t="b">
        <f>IFERROR(__xludf.DUMMYFUNCTION("""COMPUTED_VALUE"""),FALSE)</f>
        <v>0</v>
      </c>
      <c r="L2036" s="35" t="str">
        <f>IFERROR(__xludf.DUMMYFUNCTION("""COMPUTED_VALUE"""),"Array;Two Pointers;Binary Search;Dynamic Programming;Bit Manipulation;Ordered Set;Bitmask;")</f>
        <v>Array;Two Pointers;Binary Search;Dynamic Programming;Bit Manipulation;Ordered Set;Bitmask;</v>
      </c>
      <c r="M2036" s="35" t="b">
        <f>IFERROR(__xludf.DUMMYFUNCTION("""COMPUTED_VALUE"""),FALSE)</f>
        <v>0</v>
      </c>
      <c r="N2036" s="35" t="b">
        <f>IFERROR(__xludf.DUMMYFUNCTION("""COMPUTED_VALUE"""),FALSE)</f>
        <v>0</v>
      </c>
      <c r="O2036" s="35">
        <f>IFERROR(__xludf.DUMMYFUNCTION("""COMPUTED_VALUE"""),22.8097982708933)</f>
        <v>22.80979827</v>
      </c>
      <c r="P2036" s="35">
        <f>IFERROR(__xludf.DUMMYFUNCTION("""COMPUTED_VALUE"""),4748.0)</f>
        <v>4748</v>
      </c>
      <c r="Q2036" s="35">
        <f>IFERROR(__xludf.DUMMYFUNCTION("""COMPUTED_VALUE"""),20819.0)</f>
        <v>20819</v>
      </c>
    </row>
    <row r="2037">
      <c r="A2037" s="35">
        <f>IFERROR(__xludf.DUMMYFUNCTION("""COMPUTED_VALUE"""),512.0)</f>
        <v>512</v>
      </c>
      <c r="B2037" s="35" t="str">
        <f>IFERROR(__xludf.DUMMYFUNCTION("""COMPUTED_VALUE"""),"Maximum Alternating Subarray Sum")</f>
        <v>Maximum Alternating Subarray Sum</v>
      </c>
      <c r="C2037" s="35" t="str">
        <f>IFERROR(__xludf.DUMMYFUNCTION("""COMPUTED_VALUE"""),"maximum-alternating-subarray-sum")</f>
        <v>maximum-alternating-subarray-sum</v>
      </c>
      <c r="D2037" s="35" t="b">
        <f>IFERROR(__xludf.DUMMYFUNCTION("""COMPUTED_VALUE"""),TRUE)</f>
        <v>1</v>
      </c>
      <c r="E2037" s="35" t="str">
        <f>IFERROR(__xludf.DUMMYFUNCTION("""COMPUTED_VALUE"""),"Medium")</f>
        <v>Medium</v>
      </c>
      <c r="F2037" s="35">
        <f>IFERROR(__xludf.DUMMYFUNCTION("""COMPUTED_VALUE"""),38.0)</f>
        <v>38</v>
      </c>
      <c r="G2037" s="35">
        <f>IFERROR(__xludf.DUMMYFUNCTION("""COMPUTED_VALUE"""),2.0)</f>
        <v>2</v>
      </c>
      <c r="H2037" s="35" t="str">
        <f>IFERROR(__xludf.DUMMYFUNCTION("""COMPUTED_VALUE"""),"Algorithms")</f>
        <v>Algorithms</v>
      </c>
      <c r="I2037" s="35">
        <f>IFERROR(__xludf.DUMMYFUNCTION("""COMPUTED_VALUE"""),0.411)</f>
        <v>0.411</v>
      </c>
      <c r="J2037" s="35">
        <f>IFERROR(__xludf.DUMMYFUNCTION("""COMPUTED_VALUE"""),2036.0)</f>
        <v>2036</v>
      </c>
      <c r="K2037" s="35" t="b">
        <f>IFERROR(__xludf.DUMMYFUNCTION("""COMPUTED_VALUE"""),TRUE)</f>
        <v>1</v>
      </c>
      <c r="L2037" s="35" t="str">
        <f>IFERROR(__xludf.DUMMYFUNCTION("""COMPUTED_VALUE"""),"Array;Dynamic Programming;")</f>
        <v>Array;Dynamic Programming;</v>
      </c>
      <c r="M2037" s="35" t="b">
        <f>IFERROR(__xludf.DUMMYFUNCTION("""COMPUTED_VALUE"""),FALSE)</f>
        <v>0</v>
      </c>
      <c r="N2037" s="35" t="b">
        <f>IFERROR(__xludf.DUMMYFUNCTION("""COMPUTED_VALUE"""),FALSE)</f>
        <v>0</v>
      </c>
      <c r="O2037" s="35">
        <f>IFERROR(__xludf.DUMMYFUNCTION("""COMPUTED_VALUE"""),41.0601598653765)</f>
        <v>41.06015987</v>
      </c>
      <c r="P2037" s="35">
        <f>IFERROR(__xludf.DUMMYFUNCTION("""COMPUTED_VALUE"""),976.0)</f>
        <v>976</v>
      </c>
      <c r="Q2037" s="35">
        <f>IFERROR(__xludf.DUMMYFUNCTION("""COMPUTED_VALUE"""),2377.0)</f>
        <v>2377</v>
      </c>
    </row>
    <row r="2038">
      <c r="A2038" s="35">
        <f>IFERROR(__xludf.DUMMYFUNCTION("""COMPUTED_VALUE"""),2148.0)</f>
        <v>2148</v>
      </c>
      <c r="B2038" s="35" t="str">
        <f>IFERROR(__xludf.DUMMYFUNCTION("""COMPUTED_VALUE"""),"Minimum Number of Moves to Seat Everyone")</f>
        <v>Minimum Number of Moves to Seat Everyone</v>
      </c>
      <c r="C2038" s="35" t="str">
        <f>IFERROR(__xludf.DUMMYFUNCTION("""COMPUTED_VALUE"""),"minimum-number-of-moves-to-seat-everyone")</f>
        <v>minimum-number-of-moves-to-seat-everyone</v>
      </c>
      <c r="D2038" s="35" t="b">
        <f>IFERROR(__xludf.DUMMYFUNCTION("""COMPUTED_VALUE"""),FALSE)</f>
        <v>0</v>
      </c>
      <c r="E2038" s="35" t="str">
        <f>IFERROR(__xludf.DUMMYFUNCTION("""COMPUTED_VALUE"""),"Easy")</f>
        <v>Easy</v>
      </c>
      <c r="F2038" s="35">
        <f>IFERROR(__xludf.DUMMYFUNCTION("""COMPUTED_VALUE"""),250.0)</f>
        <v>250</v>
      </c>
      <c r="G2038" s="35">
        <f>IFERROR(__xludf.DUMMYFUNCTION("""COMPUTED_VALUE"""),45.0)</f>
        <v>45</v>
      </c>
      <c r="H2038" s="35" t="str">
        <f>IFERROR(__xludf.DUMMYFUNCTION("""COMPUTED_VALUE"""),"Algorithms")</f>
        <v>Algorithms</v>
      </c>
      <c r="I2038" s="35">
        <f>IFERROR(__xludf.DUMMYFUNCTION("""COMPUTED_VALUE"""),0.828)</f>
        <v>0.828</v>
      </c>
      <c r="J2038" s="35">
        <f>IFERROR(__xludf.DUMMYFUNCTION("""COMPUTED_VALUE"""),2037.0)</f>
        <v>2037</v>
      </c>
      <c r="K2038" s="35" t="b">
        <f>IFERROR(__xludf.DUMMYFUNCTION("""COMPUTED_VALUE"""),FALSE)</f>
        <v>0</v>
      </c>
      <c r="L2038" s="35" t="str">
        <f>IFERROR(__xludf.DUMMYFUNCTION("""COMPUTED_VALUE"""),"Array;Sorting;")</f>
        <v>Array;Sorting;</v>
      </c>
      <c r="M2038" s="35" t="b">
        <f>IFERROR(__xludf.DUMMYFUNCTION("""COMPUTED_VALUE"""),FALSE)</f>
        <v>0</v>
      </c>
      <c r="N2038" s="35" t="b">
        <f>IFERROR(__xludf.DUMMYFUNCTION("""COMPUTED_VALUE"""),FALSE)</f>
        <v>0</v>
      </c>
      <c r="O2038" s="35">
        <f>IFERROR(__xludf.DUMMYFUNCTION("""COMPUTED_VALUE"""),82.8188029966246)</f>
        <v>82.818803</v>
      </c>
      <c r="P2038" s="35">
        <f>IFERROR(__xludf.DUMMYFUNCTION("""COMPUTED_VALUE"""),20120.0)</f>
        <v>20120</v>
      </c>
      <c r="Q2038" s="35">
        <f>IFERROR(__xludf.DUMMYFUNCTION("""COMPUTED_VALUE"""),24294.0)</f>
        <v>24294</v>
      </c>
    </row>
    <row r="2039">
      <c r="A2039" s="35">
        <f>IFERROR(__xludf.DUMMYFUNCTION("""COMPUTED_VALUE"""),2149.0)</f>
        <v>2149</v>
      </c>
      <c r="B2039" s="35" t="str">
        <f>IFERROR(__xludf.DUMMYFUNCTION("""COMPUTED_VALUE"""),"Remove Colored Pieces if Both Neighbors are the Same Color")</f>
        <v>Remove Colored Pieces if Both Neighbors are the Same Color</v>
      </c>
      <c r="C2039" s="35" t="str">
        <f>IFERROR(__xludf.DUMMYFUNCTION("""COMPUTED_VALUE"""),"remove-colored-pieces-if-both-neighbors-are-the-same-color")</f>
        <v>remove-colored-pieces-if-both-neighbors-are-the-same-color</v>
      </c>
      <c r="D2039" s="35" t="b">
        <f>IFERROR(__xludf.DUMMYFUNCTION("""COMPUTED_VALUE"""),FALSE)</f>
        <v>0</v>
      </c>
      <c r="E2039" s="35" t="str">
        <f>IFERROR(__xludf.DUMMYFUNCTION("""COMPUTED_VALUE"""),"Medium")</f>
        <v>Medium</v>
      </c>
      <c r="F2039" s="35">
        <f>IFERROR(__xludf.DUMMYFUNCTION("""COMPUTED_VALUE"""),190.0)</f>
        <v>190</v>
      </c>
      <c r="G2039" s="35">
        <f>IFERROR(__xludf.DUMMYFUNCTION("""COMPUTED_VALUE"""),16.0)</f>
        <v>16</v>
      </c>
      <c r="H2039" s="35" t="str">
        <f>IFERROR(__xludf.DUMMYFUNCTION("""COMPUTED_VALUE"""),"Algorithms")</f>
        <v>Algorithms</v>
      </c>
      <c r="I2039" s="35">
        <f>IFERROR(__xludf.DUMMYFUNCTION("""COMPUTED_VALUE"""),0.552)</f>
        <v>0.552</v>
      </c>
      <c r="J2039" s="35">
        <f>IFERROR(__xludf.DUMMYFUNCTION("""COMPUTED_VALUE"""),2038.0)</f>
        <v>2038</v>
      </c>
      <c r="K2039" s="35" t="b">
        <f>IFERROR(__xludf.DUMMYFUNCTION("""COMPUTED_VALUE"""),FALSE)</f>
        <v>0</v>
      </c>
      <c r="L2039" s="35" t="str">
        <f>IFERROR(__xludf.DUMMYFUNCTION("""COMPUTED_VALUE"""),"Math;String;Greedy;Game Theory;")</f>
        <v>Math;String;Greedy;Game Theory;</v>
      </c>
      <c r="M2039" s="35" t="b">
        <f>IFERROR(__xludf.DUMMYFUNCTION("""COMPUTED_VALUE"""),FALSE)</f>
        <v>0</v>
      </c>
      <c r="N2039" s="35" t="b">
        <f>IFERROR(__xludf.DUMMYFUNCTION("""COMPUTED_VALUE"""),FALSE)</f>
        <v>0</v>
      </c>
      <c r="O2039" s="35">
        <f>IFERROR(__xludf.DUMMYFUNCTION("""COMPUTED_VALUE"""),55.2086774584296)</f>
        <v>55.20867746</v>
      </c>
      <c r="P2039" s="35">
        <f>IFERROR(__xludf.DUMMYFUNCTION("""COMPUTED_VALUE"""),10027.0)</f>
        <v>10027</v>
      </c>
      <c r="Q2039" s="35">
        <f>IFERROR(__xludf.DUMMYFUNCTION("""COMPUTED_VALUE"""),18162.0)</f>
        <v>18162</v>
      </c>
    </row>
    <row r="2040">
      <c r="A2040" s="35">
        <f>IFERROR(__xludf.DUMMYFUNCTION("""COMPUTED_VALUE"""),2151.0)</f>
        <v>2151</v>
      </c>
      <c r="B2040" s="35" t="str">
        <f>IFERROR(__xludf.DUMMYFUNCTION("""COMPUTED_VALUE"""),"The Time When the Network Becomes Idle")</f>
        <v>The Time When the Network Becomes Idle</v>
      </c>
      <c r="C2040" s="35" t="str">
        <f>IFERROR(__xludf.DUMMYFUNCTION("""COMPUTED_VALUE"""),"the-time-when-the-network-becomes-idle")</f>
        <v>the-time-when-the-network-becomes-idle</v>
      </c>
      <c r="D2040" s="35" t="b">
        <f>IFERROR(__xludf.DUMMYFUNCTION("""COMPUTED_VALUE"""),FALSE)</f>
        <v>0</v>
      </c>
      <c r="E2040" s="35" t="str">
        <f>IFERROR(__xludf.DUMMYFUNCTION("""COMPUTED_VALUE"""),"Medium")</f>
        <v>Medium</v>
      </c>
      <c r="F2040" s="35">
        <f>IFERROR(__xludf.DUMMYFUNCTION("""COMPUTED_VALUE"""),233.0)</f>
        <v>233</v>
      </c>
      <c r="G2040" s="35">
        <f>IFERROR(__xludf.DUMMYFUNCTION("""COMPUTED_VALUE"""),16.0)</f>
        <v>16</v>
      </c>
      <c r="H2040" s="35" t="str">
        <f>IFERROR(__xludf.DUMMYFUNCTION("""COMPUTED_VALUE"""),"Algorithms")</f>
        <v>Algorithms</v>
      </c>
      <c r="I2040" s="35">
        <f>IFERROR(__xludf.DUMMYFUNCTION("""COMPUTED_VALUE"""),0.487)</f>
        <v>0.487</v>
      </c>
      <c r="J2040" s="35">
        <f>IFERROR(__xludf.DUMMYFUNCTION("""COMPUTED_VALUE"""),2039.0)</f>
        <v>2039</v>
      </c>
      <c r="K2040" s="35" t="b">
        <f>IFERROR(__xludf.DUMMYFUNCTION("""COMPUTED_VALUE"""),FALSE)</f>
        <v>0</v>
      </c>
      <c r="L2040" s="35" t="str">
        <f>IFERROR(__xludf.DUMMYFUNCTION("""COMPUTED_VALUE"""),"Array;Breadth-First Search;Graph;")</f>
        <v>Array;Breadth-First Search;Graph;</v>
      </c>
      <c r="M2040" s="35" t="b">
        <f>IFERROR(__xludf.DUMMYFUNCTION("""COMPUTED_VALUE"""),FALSE)</f>
        <v>0</v>
      </c>
      <c r="N2040" s="35" t="b">
        <f>IFERROR(__xludf.DUMMYFUNCTION("""COMPUTED_VALUE"""),FALSE)</f>
        <v>0</v>
      </c>
      <c r="O2040" s="35">
        <f>IFERROR(__xludf.DUMMYFUNCTION("""COMPUTED_VALUE"""),48.6736633336087)</f>
        <v>48.67366333</v>
      </c>
      <c r="P2040" s="35">
        <f>IFERROR(__xludf.DUMMYFUNCTION("""COMPUTED_VALUE"""),5890.0)</f>
        <v>5890</v>
      </c>
      <c r="Q2040" s="35">
        <f>IFERROR(__xludf.DUMMYFUNCTION("""COMPUTED_VALUE"""),12101.0)</f>
        <v>12101</v>
      </c>
    </row>
    <row r="2041">
      <c r="A2041" s="35">
        <f>IFERROR(__xludf.DUMMYFUNCTION("""COMPUTED_VALUE"""),2150.0)</f>
        <v>2150</v>
      </c>
      <c r="B2041" s="35" t="str">
        <f>IFERROR(__xludf.DUMMYFUNCTION("""COMPUTED_VALUE"""),"Kth Smallest Product of Two Sorted Arrays")</f>
        <v>Kth Smallest Product of Two Sorted Arrays</v>
      </c>
      <c r="C2041" s="35" t="str">
        <f>IFERROR(__xludf.DUMMYFUNCTION("""COMPUTED_VALUE"""),"kth-smallest-product-of-two-sorted-arrays")</f>
        <v>kth-smallest-product-of-two-sorted-arrays</v>
      </c>
      <c r="D2041" s="35" t="b">
        <f>IFERROR(__xludf.DUMMYFUNCTION("""COMPUTED_VALUE"""),FALSE)</f>
        <v>0</v>
      </c>
      <c r="E2041" s="35" t="str">
        <f>IFERROR(__xludf.DUMMYFUNCTION("""COMPUTED_VALUE"""),"Hard")</f>
        <v>Hard</v>
      </c>
      <c r="F2041" s="35">
        <f>IFERROR(__xludf.DUMMYFUNCTION("""COMPUTED_VALUE"""),276.0)</f>
        <v>276</v>
      </c>
      <c r="G2041" s="35">
        <f>IFERROR(__xludf.DUMMYFUNCTION("""COMPUTED_VALUE"""),14.0)</f>
        <v>14</v>
      </c>
      <c r="H2041" s="35" t="str">
        <f>IFERROR(__xludf.DUMMYFUNCTION("""COMPUTED_VALUE"""),"Algorithms")</f>
        <v>Algorithms</v>
      </c>
      <c r="I2041" s="35">
        <f>IFERROR(__xludf.DUMMYFUNCTION("""COMPUTED_VALUE"""),0.267)</f>
        <v>0.267</v>
      </c>
      <c r="J2041" s="35">
        <f>IFERROR(__xludf.DUMMYFUNCTION("""COMPUTED_VALUE"""),2040.0)</f>
        <v>2040</v>
      </c>
      <c r="K2041" s="35" t="b">
        <f>IFERROR(__xludf.DUMMYFUNCTION("""COMPUTED_VALUE"""),FALSE)</f>
        <v>0</v>
      </c>
      <c r="L2041" s="35" t="str">
        <f>IFERROR(__xludf.DUMMYFUNCTION("""COMPUTED_VALUE"""),"Array;Binary Search;")</f>
        <v>Array;Binary Search;</v>
      </c>
      <c r="M2041" s="35" t="b">
        <f>IFERROR(__xludf.DUMMYFUNCTION("""COMPUTED_VALUE"""),FALSE)</f>
        <v>0</v>
      </c>
      <c r="N2041" s="35" t="b">
        <f>IFERROR(__xludf.DUMMYFUNCTION("""COMPUTED_VALUE"""),FALSE)</f>
        <v>0</v>
      </c>
      <c r="O2041" s="35">
        <f>IFERROR(__xludf.DUMMYFUNCTION("""COMPUTED_VALUE"""),26.6910307234886)</f>
        <v>26.69103072</v>
      </c>
      <c r="P2041" s="35">
        <f>IFERROR(__xludf.DUMMYFUNCTION("""COMPUTED_VALUE"""),4309.0)</f>
        <v>4309</v>
      </c>
      <c r="Q2041" s="35">
        <f>IFERROR(__xludf.DUMMYFUNCTION("""COMPUTED_VALUE"""),16144.0)</f>
        <v>16144</v>
      </c>
    </row>
    <row r="2042">
      <c r="A2042" s="35">
        <f>IFERROR(__xludf.DUMMYFUNCTION("""COMPUTED_VALUE"""),2185.0)</f>
        <v>2185</v>
      </c>
      <c r="B2042" s="35" t="str">
        <f>IFERROR(__xludf.DUMMYFUNCTION("""COMPUTED_VALUE"""),"Accepted Candidates From the Interviews")</f>
        <v>Accepted Candidates From the Interviews</v>
      </c>
      <c r="C2042" s="35" t="str">
        <f>IFERROR(__xludf.DUMMYFUNCTION("""COMPUTED_VALUE"""),"accepted-candidates-from-the-interviews")</f>
        <v>accepted-candidates-from-the-interviews</v>
      </c>
      <c r="D2042" s="35" t="b">
        <f>IFERROR(__xludf.DUMMYFUNCTION("""COMPUTED_VALUE"""),TRUE)</f>
        <v>1</v>
      </c>
      <c r="E2042" s="35" t="str">
        <f>IFERROR(__xludf.DUMMYFUNCTION("""COMPUTED_VALUE"""),"Medium")</f>
        <v>Medium</v>
      </c>
      <c r="F2042" s="35">
        <f>IFERROR(__xludf.DUMMYFUNCTION("""COMPUTED_VALUE"""),16.0)</f>
        <v>16</v>
      </c>
      <c r="G2042" s="35">
        <f>IFERROR(__xludf.DUMMYFUNCTION("""COMPUTED_VALUE"""),17.0)</f>
        <v>17</v>
      </c>
      <c r="H2042" s="35" t="str">
        <f>IFERROR(__xludf.DUMMYFUNCTION("""COMPUTED_VALUE"""),"Database")</f>
        <v>Database</v>
      </c>
      <c r="I2042" s="35">
        <f>IFERROR(__xludf.DUMMYFUNCTION("""COMPUTED_VALUE"""),0.767)</f>
        <v>0.767</v>
      </c>
      <c r="J2042" s="35">
        <f>IFERROR(__xludf.DUMMYFUNCTION("""COMPUTED_VALUE"""),2041.0)</f>
        <v>2041</v>
      </c>
      <c r="K2042" s="35" t="b">
        <f>IFERROR(__xludf.DUMMYFUNCTION("""COMPUTED_VALUE"""),TRUE)</f>
        <v>1</v>
      </c>
      <c r="L2042" s="35" t="str">
        <f>IFERROR(__xludf.DUMMYFUNCTION("""COMPUTED_VALUE"""),"Database;")</f>
        <v>Database;</v>
      </c>
      <c r="M2042" s="35" t="b">
        <f>IFERROR(__xludf.DUMMYFUNCTION("""COMPUTED_VALUE"""),FALSE)</f>
        <v>0</v>
      </c>
      <c r="N2042" s="35" t="b">
        <f>IFERROR(__xludf.DUMMYFUNCTION("""COMPUTED_VALUE"""),FALSE)</f>
        <v>0</v>
      </c>
      <c r="O2042" s="35">
        <f>IFERROR(__xludf.DUMMYFUNCTION("""COMPUTED_VALUE"""),76.742053789731)</f>
        <v>76.74205379</v>
      </c>
      <c r="P2042" s="35">
        <f>IFERROR(__xludf.DUMMYFUNCTION("""COMPUTED_VALUE"""),2509.0)</f>
        <v>2509</v>
      </c>
      <c r="Q2042" s="35">
        <f>IFERROR(__xludf.DUMMYFUNCTION("""COMPUTED_VALUE"""),3270.0)</f>
        <v>3270</v>
      </c>
    </row>
    <row r="2043">
      <c r="A2043" s="35">
        <f>IFERROR(__xludf.DUMMYFUNCTION("""COMPUTED_VALUE"""),2168.0)</f>
        <v>2168</v>
      </c>
      <c r="B2043" s="35" t="str">
        <f>IFERROR(__xludf.DUMMYFUNCTION("""COMPUTED_VALUE"""),"Check if Numbers Are Ascending in a Sentence")</f>
        <v>Check if Numbers Are Ascending in a Sentence</v>
      </c>
      <c r="C2043" s="35" t="str">
        <f>IFERROR(__xludf.DUMMYFUNCTION("""COMPUTED_VALUE"""),"check-if-numbers-are-ascending-in-a-sentence")</f>
        <v>check-if-numbers-are-ascending-in-a-sentence</v>
      </c>
      <c r="D2043" s="35" t="b">
        <f>IFERROR(__xludf.DUMMYFUNCTION("""COMPUTED_VALUE"""),FALSE)</f>
        <v>0</v>
      </c>
      <c r="E2043" s="35" t="str">
        <f>IFERROR(__xludf.DUMMYFUNCTION("""COMPUTED_VALUE"""),"Easy")</f>
        <v>Easy</v>
      </c>
      <c r="F2043" s="35">
        <f>IFERROR(__xludf.DUMMYFUNCTION("""COMPUTED_VALUE"""),219.0)</f>
        <v>219</v>
      </c>
      <c r="G2043" s="35">
        <f>IFERROR(__xludf.DUMMYFUNCTION("""COMPUTED_VALUE"""),10.0)</f>
        <v>10</v>
      </c>
      <c r="H2043" s="35" t="str">
        <f>IFERROR(__xludf.DUMMYFUNCTION("""COMPUTED_VALUE"""),"Algorithms")</f>
        <v>Algorithms</v>
      </c>
      <c r="I2043" s="35">
        <f>IFERROR(__xludf.DUMMYFUNCTION("""COMPUTED_VALUE"""),0.684)</f>
        <v>0.684</v>
      </c>
      <c r="J2043" s="35">
        <f>IFERROR(__xludf.DUMMYFUNCTION("""COMPUTED_VALUE"""),2042.0)</f>
        <v>2042</v>
      </c>
      <c r="K2043" s="35" t="b">
        <f>IFERROR(__xludf.DUMMYFUNCTION("""COMPUTED_VALUE"""),FALSE)</f>
        <v>0</v>
      </c>
      <c r="L2043" s="35" t="str">
        <f>IFERROR(__xludf.DUMMYFUNCTION("""COMPUTED_VALUE"""),"String;")</f>
        <v>String;</v>
      </c>
      <c r="M2043" s="35" t="b">
        <f>IFERROR(__xludf.DUMMYFUNCTION("""COMPUTED_VALUE"""),FALSE)</f>
        <v>0</v>
      </c>
      <c r="N2043" s="35" t="b">
        <f>IFERROR(__xludf.DUMMYFUNCTION("""COMPUTED_VALUE"""),FALSE)</f>
        <v>0</v>
      </c>
      <c r="O2043" s="35">
        <f>IFERROR(__xludf.DUMMYFUNCTION("""COMPUTED_VALUE"""),68.3845650752125)</f>
        <v>68.38456508</v>
      </c>
      <c r="P2043" s="35">
        <f>IFERROR(__xludf.DUMMYFUNCTION("""COMPUTED_VALUE"""),20912.0)</f>
        <v>20912</v>
      </c>
      <c r="Q2043" s="35">
        <f>IFERROR(__xludf.DUMMYFUNCTION("""COMPUTED_VALUE"""),30580.0)</f>
        <v>30580</v>
      </c>
    </row>
    <row r="2044">
      <c r="A2044" s="35">
        <f>IFERROR(__xludf.DUMMYFUNCTION("""COMPUTED_VALUE"""),2169.0)</f>
        <v>2169</v>
      </c>
      <c r="B2044" s="35" t="str">
        <f>IFERROR(__xludf.DUMMYFUNCTION("""COMPUTED_VALUE"""),"Simple Bank System")</f>
        <v>Simple Bank System</v>
      </c>
      <c r="C2044" s="35" t="str">
        <f>IFERROR(__xludf.DUMMYFUNCTION("""COMPUTED_VALUE"""),"simple-bank-system")</f>
        <v>simple-bank-system</v>
      </c>
      <c r="D2044" s="35" t="b">
        <f>IFERROR(__xludf.DUMMYFUNCTION("""COMPUTED_VALUE"""),FALSE)</f>
        <v>0</v>
      </c>
      <c r="E2044" s="35" t="str">
        <f>IFERROR(__xludf.DUMMYFUNCTION("""COMPUTED_VALUE"""),"Medium")</f>
        <v>Medium</v>
      </c>
      <c r="F2044" s="35">
        <f>IFERROR(__xludf.DUMMYFUNCTION("""COMPUTED_VALUE"""),96.0)</f>
        <v>96</v>
      </c>
      <c r="G2044" s="35">
        <f>IFERROR(__xludf.DUMMYFUNCTION("""COMPUTED_VALUE"""),108.0)</f>
        <v>108</v>
      </c>
      <c r="H2044" s="35" t="str">
        <f>IFERROR(__xludf.DUMMYFUNCTION("""COMPUTED_VALUE"""),"Algorithms")</f>
        <v>Algorithms</v>
      </c>
      <c r="I2044" s="35">
        <f>IFERROR(__xludf.DUMMYFUNCTION("""COMPUTED_VALUE"""),0.647)</f>
        <v>0.647</v>
      </c>
      <c r="J2044" s="35">
        <f>IFERROR(__xludf.DUMMYFUNCTION("""COMPUTED_VALUE"""),2043.0)</f>
        <v>2043</v>
      </c>
      <c r="K2044" s="35" t="b">
        <f>IFERROR(__xludf.DUMMYFUNCTION("""COMPUTED_VALUE"""),FALSE)</f>
        <v>0</v>
      </c>
      <c r="L2044" s="35" t="str">
        <f>IFERROR(__xludf.DUMMYFUNCTION("""COMPUTED_VALUE"""),"Array;Hash Table;Design;Simulation;")</f>
        <v>Array;Hash Table;Design;Simulation;</v>
      </c>
      <c r="M2044" s="35" t="b">
        <f>IFERROR(__xludf.DUMMYFUNCTION("""COMPUTED_VALUE"""),FALSE)</f>
        <v>0</v>
      </c>
      <c r="N2044" s="35" t="b">
        <f>IFERROR(__xludf.DUMMYFUNCTION("""COMPUTED_VALUE"""),FALSE)</f>
        <v>0</v>
      </c>
      <c r="O2044" s="35">
        <f>IFERROR(__xludf.DUMMYFUNCTION("""COMPUTED_VALUE"""),64.6859554617648)</f>
        <v>64.68595546</v>
      </c>
      <c r="P2044" s="35">
        <f>IFERROR(__xludf.DUMMYFUNCTION("""COMPUTED_VALUE"""),11648.0)</f>
        <v>11648</v>
      </c>
      <c r="Q2044" s="35">
        <f>IFERROR(__xludf.DUMMYFUNCTION("""COMPUTED_VALUE"""),18007.0)</f>
        <v>18007</v>
      </c>
    </row>
    <row r="2045">
      <c r="A2045" s="35">
        <f>IFERROR(__xludf.DUMMYFUNCTION("""COMPUTED_VALUE"""),2170.0)</f>
        <v>2170</v>
      </c>
      <c r="B2045" s="35" t="str">
        <f>IFERROR(__xludf.DUMMYFUNCTION("""COMPUTED_VALUE"""),"Count Number of Maximum Bitwise-OR Subsets")</f>
        <v>Count Number of Maximum Bitwise-OR Subsets</v>
      </c>
      <c r="C2045" s="35" t="str">
        <f>IFERROR(__xludf.DUMMYFUNCTION("""COMPUTED_VALUE"""),"count-number-of-maximum-bitwise-or-subsets")</f>
        <v>count-number-of-maximum-bitwise-or-subsets</v>
      </c>
      <c r="D2045" s="35" t="b">
        <f>IFERROR(__xludf.DUMMYFUNCTION("""COMPUTED_VALUE"""),FALSE)</f>
        <v>0</v>
      </c>
      <c r="E2045" s="35" t="str">
        <f>IFERROR(__xludf.DUMMYFUNCTION("""COMPUTED_VALUE"""),"Medium")</f>
        <v>Medium</v>
      </c>
      <c r="F2045" s="35">
        <f>IFERROR(__xludf.DUMMYFUNCTION("""COMPUTED_VALUE"""),222.0)</f>
        <v>222</v>
      </c>
      <c r="G2045" s="35">
        <f>IFERROR(__xludf.DUMMYFUNCTION("""COMPUTED_VALUE"""),13.0)</f>
        <v>13</v>
      </c>
      <c r="H2045" s="35" t="str">
        <f>IFERROR(__xludf.DUMMYFUNCTION("""COMPUTED_VALUE"""),"Algorithms")</f>
        <v>Algorithms</v>
      </c>
      <c r="I2045" s="35">
        <f>IFERROR(__xludf.DUMMYFUNCTION("""COMPUTED_VALUE"""),0.749)</f>
        <v>0.749</v>
      </c>
      <c r="J2045" s="35">
        <f>IFERROR(__xludf.DUMMYFUNCTION("""COMPUTED_VALUE"""),2044.0)</f>
        <v>2044</v>
      </c>
      <c r="K2045" s="35" t="b">
        <f>IFERROR(__xludf.DUMMYFUNCTION("""COMPUTED_VALUE"""),FALSE)</f>
        <v>0</v>
      </c>
      <c r="L2045" s="35" t="str">
        <f>IFERROR(__xludf.DUMMYFUNCTION("""COMPUTED_VALUE"""),"Array;Backtracking;Bit Manipulation;")</f>
        <v>Array;Backtracking;Bit Manipulation;</v>
      </c>
      <c r="M2045" s="35" t="b">
        <f>IFERROR(__xludf.DUMMYFUNCTION("""COMPUTED_VALUE"""),FALSE)</f>
        <v>0</v>
      </c>
      <c r="N2045" s="35" t="b">
        <f>IFERROR(__xludf.DUMMYFUNCTION("""COMPUTED_VALUE"""),FALSE)</f>
        <v>0</v>
      </c>
      <c r="O2045" s="35">
        <f>IFERROR(__xludf.DUMMYFUNCTION("""COMPUTED_VALUE"""),74.8765127191899)</f>
        <v>74.87651272</v>
      </c>
      <c r="P2045" s="35">
        <f>IFERROR(__xludf.DUMMYFUNCTION("""COMPUTED_VALUE"""),12126.0)</f>
        <v>12126</v>
      </c>
      <c r="Q2045" s="35">
        <f>IFERROR(__xludf.DUMMYFUNCTION("""COMPUTED_VALUE"""),16195.0)</f>
        <v>16195</v>
      </c>
    </row>
    <row r="2046">
      <c r="A2046" s="35">
        <f>IFERROR(__xludf.DUMMYFUNCTION("""COMPUTED_VALUE"""),2171.0)</f>
        <v>2171</v>
      </c>
      <c r="B2046" s="35" t="str">
        <f>IFERROR(__xludf.DUMMYFUNCTION("""COMPUTED_VALUE"""),"Second Minimum Time to Reach Destination")</f>
        <v>Second Minimum Time to Reach Destination</v>
      </c>
      <c r="C2046" s="35" t="str">
        <f>IFERROR(__xludf.DUMMYFUNCTION("""COMPUTED_VALUE"""),"second-minimum-time-to-reach-destination")</f>
        <v>second-minimum-time-to-reach-destination</v>
      </c>
      <c r="D2046" s="35" t="b">
        <f>IFERROR(__xludf.DUMMYFUNCTION("""COMPUTED_VALUE"""),FALSE)</f>
        <v>0</v>
      </c>
      <c r="E2046" s="35" t="str">
        <f>IFERROR(__xludf.DUMMYFUNCTION("""COMPUTED_VALUE"""),"Hard")</f>
        <v>Hard</v>
      </c>
      <c r="F2046" s="35">
        <f>IFERROR(__xludf.DUMMYFUNCTION("""COMPUTED_VALUE"""),299.0)</f>
        <v>299</v>
      </c>
      <c r="G2046" s="35">
        <f>IFERROR(__xludf.DUMMYFUNCTION("""COMPUTED_VALUE"""),4.0)</f>
        <v>4</v>
      </c>
      <c r="H2046" s="35" t="str">
        <f>IFERROR(__xludf.DUMMYFUNCTION("""COMPUTED_VALUE"""),"Algorithms")</f>
        <v>Algorithms</v>
      </c>
      <c r="I2046" s="35">
        <f>IFERROR(__xludf.DUMMYFUNCTION("""COMPUTED_VALUE"""),0.364)</f>
        <v>0.364</v>
      </c>
      <c r="J2046" s="35">
        <f>IFERROR(__xludf.DUMMYFUNCTION("""COMPUTED_VALUE"""),2045.0)</f>
        <v>2045</v>
      </c>
      <c r="K2046" s="35" t="b">
        <f>IFERROR(__xludf.DUMMYFUNCTION("""COMPUTED_VALUE"""),FALSE)</f>
        <v>0</v>
      </c>
      <c r="L2046" s="35" t="str">
        <f>IFERROR(__xludf.DUMMYFUNCTION("""COMPUTED_VALUE"""),"Breadth-First Search;Graph;Shortest Path;")</f>
        <v>Breadth-First Search;Graph;Shortest Path;</v>
      </c>
      <c r="M2046" s="35" t="b">
        <f>IFERROR(__xludf.DUMMYFUNCTION("""COMPUTED_VALUE"""),FALSE)</f>
        <v>0</v>
      </c>
      <c r="N2046" s="35" t="b">
        <f>IFERROR(__xludf.DUMMYFUNCTION("""COMPUTED_VALUE"""),FALSE)</f>
        <v>0</v>
      </c>
      <c r="O2046" s="35">
        <f>IFERROR(__xludf.DUMMYFUNCTION("""COMPUTED_VALUE"""),36.3725747246984)</f>
        <v>36.37257472</v>
      </c>
      <c r="P2046" s="35">
        <f>IFERROR(__xludf.DUMMYFUNCTION("""COMPUTED_VALUE"""),5549.0)</f>
        <v>5549</v>
      </c>
      <c r="Q2046" s="35">
        <f>IFERROR(__xludf.DUMMYFUNCTION("""COMPUTED_VALUE"""),15256.0)</f>
        <v>15256</v>
      </c>
    </row>
    <row r="2047">
      <c r="A2047" s="35">
        <f>IFERROR(__xludf.DUMMYFUNCTION("""COMPUTED_VALUE"""),1992.0)</f>
        <v>1992</v>
      </c>
      <c r="B2047" s="35" t="str">
        <f>IFERROR(__xludf.DUMMYFUNCTION("""COMPUTED_VALUE"""),"Sort Linked List Already Sorted Using Absolute Values")</f>
        <v>Sort Linked List Already Sorted Using Absolute Values</v>
      </c>
      <c r="C2047" s="35" t="str">
        <f>IFERROR(__xludf.DUMMYFUNCTION("""COMPUTED_VALUE"""),"sort-linked-list-already-sorted-using-absolute-values")</f>
        <v>sort-linked-list-already-sorted-using-absolute-values</v>
      </c>
      <c r="D2047" s="35" t="b">
        <f>IFERROR(__xludf.DUMMYFUNCTION("""COMPUTED_VALUE"""),TRUE)</f>
        <v>1</v>
      </c>
      <c r="E2047" s="35" t="str">
        <f>IFERROR(__xludf.DUMMYFUNCTION("""COMPUTED_VALUE"""),"Medium")</f>
        <v>Medium</v>
      </c>
      <c r="F2047" s="35">
        <f>IFERROR(__xludf.DUMMYFUNCTION("""COMPUTED_VALUE"""),57.0)</f>
        <v>57</v>
      </c>
      <c r="G2047" s="35">
        <f>IFERROR(__xludf.DUMMYFUNCTION("""COMPUTED_VALUE"""),0.0)</f>
        <v>0</v>
      </c>
      <c r="H2047" s="35" t="str">
        <f>IFERROR(__xludf.DUMMYFUNCTION("""COMPUTED_VALUE"""),"Algorithms")</f>
        <v>Algorithms</v>
      </c>
      <c r="I2047" s="35">
        <f>IFERROR(__xludf.DUMMYFUNCTION("""COMPUTED_VALUE"""),0.705)</f>
        <v>0.705</v>
      </c>
      <c r="J2047" s="35">
        <f>IFERROR(__xludf.DUMMYFUNCTION("""COMPUTED_VALUE"""),2046.0)</f>
        <v>2046</v>
      </c>
      <c r="K2047" s="35" t="b">
        <f>IFERROR(__xludf.DUMMYFUNCTION("""COMPUTED_VALUE"""),TRUE)</f>
        <v>1</v>
      </c>
      <c r="L2047" s="35" t="str">
        <f>IFERROR(__xludf.DUMMYFUNCTION("""COMPUTED_VALUE"""),"Linked List;Two Pointers;Sorting;")</f>
        <v>Linked List;Two Pointers;Sorting;</v>
      </c>
      <c r="M2047" s="35" t="b">
        <f>IFERROR(__xludf.DUMMYFUNCTION("""COMPUTED_VALUE"""),FALSE)</f>
        <v>0</v>
      </c>
      <c r="N2047" s="35" t="b">
        <f>IFERROR(__xludf.DUMMYFUNCTION("""COMPUTED_VALUE"""),FALSE)</f>
        <v>0</v>
      </c>
      <c r="O2047" s="35">
        <f>IFERROR(__xludf.DUMMYFUNCTION("""COMPUTED_VALUE"""),70.480404551201)</f>
        <v>70.48040455</v>
      </c>
      <c r="P2047" s="35">
        <f>IFERROR(__xludf.DUMMYFUNCTION("""COMPUTED_VALUE"""),2230.0)</f>
        <v>2230</v>
      </c>
      <c r="Q2047" s="35">
        <f>IFERROR(__xludf.DUMMYFUNCTION("""COMPUTED_VALUE"""),3164.0)</f>
        <v>3164</v>
      </c>
    </row>
    <row r="2048">
      <c r="A2048" s="35">
        <f>IFERROR(__xludf.DUMMYFUNCTION("""COMPUTED_VALUE"""),2173.0)</f>
        <v>2173</v>
      </c>
      <c r="B2048" s="35" t="str">
        <f>IFERROR(__xludf.DUMMYFUNCTION("""COMPUTED_VALUE"""),"Number of Valid Words in a Sentence")</f>
        <v>Number of Valid Words in a Sentence</v>
      </c>
      <c r="C2048" s="35" t="str">
        <f>IFERROR(__xludf.DUMMYFUNCTION("""COMPUTED_VALUE"""),"number-of-valid-words-in-a-sentence")</f>
        <v>number-of-valid-words-in-a-sentence</v>
      </c>
      <c r="D2048" s="35" t="b">
        <f>IFERROR(__xludf.DUMMYFUNCTION("""COMPUTED_VALUE"""),FALSE)</f>
        <v>0</v>
      </c>
      <c r="E2048" s="35" t="str">
        <f>IFERROR(__xludf.DUMMYFUNCTION("""COMPUTED_VALUE"""),"Easy")</f>
        <v>Easy</v>
      </c>
      <c r="F2048" s="35">
        <f>IFERROR(__xludf.DUMMYFUNCTION("""COMPUTED_VALUE"""),109.0)</f>
        <v>109</v>
      </c>
      <c r="G2048" s="35">
        <f>IFERROR(__xludf.DUMMYFUNCTION("""COMPUTED_VALUE"""),448.0)</f>
        <v>448</v>
      </c>
      <c r="H2048" s="35" t="str">
        <f>IFERROR(__xludf.DUMMYFUNCTION("""COMPUTED_VALUE"""),"Algorithms")</f>
        <v>Algorithms</v>
      </c>
      <c r="I2048" s="35">
        <f>IFERROR(__xludf.DUMMYFUNCTION("""COMPUTED_VALUE"""),0.293)</f>
        <v>0.293</v>
      </c>
      <c r="J2048" s="35">
        <f>IFERROR(__xludf.DUMMYFUNCTION("""COMPUTED_VALUE"""),2047.0)</f>
        <v>2047</v>
      </c>
      <c r="K2048" s="35" t="b">
        <f>IFERROR(__xludf.DUMMYFUNCTION("""COMPUTED_VALUE"""),FALSE)</f>
        <v>0</v>
      </c>
      <c r="L2048" s="35" t="str">
        <f>IFERROR(__xludf.DUMMYFUNCTION("""COMPUTED_VALUE"""),"String;")</f>
        <v>String;</v>
      </c>
      <c r="M2048" s="35" t="b">
        <f>IFERROR(__xludf.DUMMYFUNCTION("""COMPUTED_VALUE"""),FALSE)</f>
        <v>0</v>
      </c>
      <c r="N2048" s="35" t="b">
        <f>IFERROR(__xludf.DUMMYFUNCTION("""COMPUTED_VALUE"""),FALSE)</f>
        <v>0</v>
      </c>
      <c r="O2048" s="35">
        <f>IFERROR(__xludf.DUMMYFUNCTION("""COMPUTED_VALUE"""),29.305403930131)</f>
        <v>29.30540393</v>
      </c>
      <c r="P2048" s="35">
        <f>IFERROR(__xludf.DUMMYFUNCTION("""COMPUTED_VALUE"""),12885.0)</f>
        <v>12885</v>
      </c>
      <c r="Q2048" s="35">
        <f>IFERROR(__xludf.DUMMYFUNCTION("""COMPUTED_VALUE"""),43968.0)</f>
        <v>43968</v>
      </c>
    </row>
    <row r="2049">
      <c r="A2049" s="35">
        <f>IFERROR(__xludf.DUMMYFUNCTION("""COMPUTED_VALUE"""),2174.0)</f>
        <v>2174</v>
      </c>
      <c r="B2049" s="35" t="str">
        <f>IFERROR(__xludf.DUMMYFUNCTION("""COMPUTED_VALUE"""),"Next Greater Numerically Balanced Number")</f>
        <v>Next Greater Numerically Balanced Number</v>
      </c>
      <c r="C2049" s="35" t="str">
        <f>IFERROR(__xludf.DUMMYFUNCTION("""COMPUTED_VALUE"""),"next-greater-numerically-balanced-number")</f>
        <v>next-greater-numerically-balanced-number</v>
      </c>
      <c r="D2049" s="35" t="b">
        <f>IFERROR(__xludf.DUMMYFUNCTION("""COMPUTED_VALUE"""),FALSE)</f>
        <v>0</v>
      </c>
      <c r="E2049" s="35" t="str">
        <f>IFERROR(__xludf.DUMMYFUNCTION("""COMPUTED_VALUE"""),"Medium")</f>
        <v>Medium</v>
      </c>
      <c r="F2049" s="35">
        <f>IFERROR(__xludf.DUMMYFUNCTION("""COMPUTED_VALUE"""),91.0)</f>
        <v>91</v>
      </c>
      <c r="G2049" s="35">
        <f>IFERROR(__xludf.DUMMYFUNCTION("""COMPUTED_VALUE"""),213.0)</f>
        <v>213</v>
      </c>
      <c r="H2049" s="35" t="str">
        <f>IFERROR(__xludf.DUMMYFUNCTION("""COMPUTED_VALUE"""),"Algorithms")</f>
        <v>Algorithms</v>
      </c>
      <c r="I2049" s="35">
        <f>IFERROR(__xludf.DUMMYFUNCTION("""COMPUTED_VALUE"""),0.461)</f>
        <v>0.461</v>
      </c>
      <c r="J2049" s="35">
        <f>IFERROR(__xludf.DUMMYFUNCTION("""COMPUTED_VALUE"""),2048.0)</f>
        <v>2048</v>
      </c>
      <c r="K2049" s="35" t="b">
        <f>IFERROR(__xludf.DUMMYFUNCTION("""COMPUTED_VALUE"""),FALSE)</f>
        <v>0</v>
      </c>
      <c r="L2049" s="35" t="str">
        <f>IFERROR(__xludf.DUMMYFUNCTION("""COMPUTED_VALUE"""),"Math;Backtracking;Enumeration;")</f>
        <v>Math;Backtracking;Enumeration;</v>
      </c>
      <c r="M2049" s="35" t="b">
        <f>IFERROR(__xludf.DUMMYFUNCTION("""COMPUTED_VALUE"""),FALSE)</f>
        <v>0</v>
      </c>
      <c r="N2049" s="35" t="b">
        <f>IFERROR(__xludf.DUMMYFUNCTION("""COMPUTED_VALUE"""),FALSE)</f>
        <v>0</v>
      </c>
      <c r="O2049" s="35">
        <f>IFERROR(__xludf.DUMMYFUNCTION("""COMPUTED_VALUE"""),46.0976306023408)</f>
        <v>46.0976306</v>
      </c>
      <c r="P2049" s="35">
        <f>IFERROR(__xludf.DUMMYFUNCTION("""COMPUTED_VALUE"""),8074.0)</f>
        <v>8074</v>
      </c>
      <c r="Q2049" s="35">
        <f>IFERROR(__xludf.DUMMYFUNCTION("""COMPUTED_VALUE"""),17515.0)</f>
        <v>17515</v>
      </c>
    </row>
    <row r="2050">
      <c r="A2050" s="35">
        <f>IFERROR(__xludf.DUMMYFUNCTION("""COMPUTED_VALUE"""),2175.0)</f>
        <v>2175</v>
      </c>
      <c r="B2050" s="35" t="str">
        <f>IFERROR(__xludf.DUMMYFUNCTION("""COMPUTED_VALUE"""),"Count Nodes With the Highest Score")</f>
        <v>Count Nodes With the Highest Score</v>
      </c>
      <c r="C2050" s="35" t="str">
        <f>IFERROR(__xludf.DUMMYFUNCTION("""COMPUTED_VALUE"""),"count-nodes-with-the-highest-score")</f>
        <v>count-nodes-with-the-highest-score</v>
      </c>
      <c r="D2050" s="35" t="b">
        <f>IFERROR(__xludf.DUMMYFUNCTION("""COMPUTED_VALUE"""),FALSE)</f>
        <v>0</v>
      </c>
      <c r="E2050" s="35" t="str">
        <f>IFERROR(__xludf.DUMMYFUNCTION("""COMPUTED_VALUE"""),"Medium")</f>
        <v>Medium</v>
      </c>
      <c r="F2050" s="35">
        <f>IFERROR(__xludf.DUMMYFUNCTION("""COMPUTED_VALUE"""),358.0)</f>
        <v>358</v>
      </c>
      <c r="G2050" s="35">
        <f>IFERROR(__xludf.DUMMYFUNCTION("""COMPUTED_VALUE"""),24.0)</f>
        <v>24</v>
      </c>
      <c r="H2050" s="35" t="str">
        <f>IFERROR(__xludf.DUMMYFUNCTION("""COMPUTED_VALUE"""),"Algorithms")</f>
        <v>Algorithms</v>
      </c>
      <c r="I2050" s="35">
        <f>IFERROR(__xludf.DUMMYFUNCTION("""COMPUTED_VALUE"""),0.464)</f>
        <v>0.464</v>
      </c>
      <c r="J2050" s="35">
        <f>IFERROR(__xludf.DUMMYFUNCTION("""COMPUTED_VALUE"""),2049.0)</f>
        <v>2049</v>
      </c>
      <c r="K2050" s="35" t="b">
        <f>IFERROR(__xludf.DUMMYFUNCTION("""COMPUTED_VALUE"""),FALSE)</f>
        <v>0</v>
      </c>
      <c r="L2050" s="35" t="str">
        <f>IFERROR(__xludf.DUMMYFUNCTION("""COMPUTED_VALUE"""),"Array;Tree;Depth-First Search;Binary Tree;")</f>
        <v>Array;Tree;Depth-First Search;Binary Tree;</v>
      </c>
      <c r="M2050" s="35" t="b">
        <f>IFERROR(__xludf.DUMMYFUNCTION("""COMPUTED_VALUE"""),FALSE)</f>
        <v>0</v>
      </c>
      <c r="N2050" s="35" t="b">
        <f>IFERROR(__xludf.DUMMYFUNCTION("""COMPUTED_VALUE"""),FALSE)</f>
        <v>0</v>
      </c>
      <c r="O2050" s="35">
        <f>IFERROR(__xludf.DUMMYFUNCTION("""COMPUTED_VALUE"""),46.3814079234688)</f>
        <v>46.38140792</v>
      </c>
      <c r="P2050" s="35">
        <f>IFERROR(__xludf.DUMMYFUNCTION("""COMPUTED_VALUE"""),8921.0)</f>
        <v>8921</v>
      </c>
      <c r="Q2050" s="35">
        <f>IFERROR(__xludf.DUMMYFUNCTION("""COMPUTED_VALUE"""),19234.0)</f>
        <v>19234</v>
      </c>
    </row>
    <row r="2051">
      <c r="A2051" s="35">
        <f>IFERROR(__xludf.DUMMYFUNCTION("""COMPUTED_VALUE"""),2176.0)</f>
        <v>2176</v>
      </c>
      <c r="B2051" s="35" t="str">
        <f>IFERROR(__xludf.DUMMYFUNCTION("""COMPUTED_VALUE"""),"Parallel Courses III")</f>
        <v>Parallel Courses III</v>
      </c>
      <c r="C2051" s="35" t="str">
        <f>IFERROR(__xludf.DUMMYFUNCTION("""COMPUTED_VALUE"""),"parallel-courses-iii")</f>
        <v>parallel-courses-iii</v>
      </c>
      <c r="D2051" s="35" t="b">
        <f>IFERROR(__xludf.DUMMYFUNCTION("""COMPUTED_VALUE"""),FALSE)</f>
        <v>0</v>
      </c>
      <c r="E2051" s="35" t="str">
        <f>IFERROR(__xludf.DUMMYFUNCTION("""COMPUTED_VALUE"""),"Hard")</f>
        <v>Hard</v>
      </c>
      <c r="F2051" s="35">
        <f>IFERROR(__xludf.DUMMYFUNCTION("""COMPUTED_VALUE"""),293.0)</f>
        <v>293</v>
      </c>
      <c r="G2051" s="35">
        <f>IFERROR(__xludf.DUMMYFUNCTION("""COMPUTED_VALUE"""),7.0)</f>
        <v>7</v>
      </c>
      <c r="H2051" s="35" t="str">
        <f>IFERROR(__xludf.DUMMYFUNCTION("""COMPUTED_VALUE"""),"Algorithms")</f>
        <v>Algorithms</v>
      </c>
      <c r="I2051" s="35">
        <f>IFERROR(__xludf.DUMMYFUNCTION("""COMPUTED_VALUE"""),0.602)</f>
        <v>0.602</v>
      </c>
      <c r="J2051" s="35">
        <f>IFERROR(__xludf.DUMMYFUNCTION("""COMPUTED_VALUE"""),2050.0)</f>
        <v>2050</v>
      </c>
      <c r="K2051" s="35" t="b">
        <f>IFERROR(__xludf.DUMMYFUNCTION("""COMPUTED_VALUE"""),FALSE)</f>
        <v>0</v>
      </c>
      <c r="L2051" s="35" t="str">
        <f>IFERROR(__xludf.DUMMYFUNCTION("""COMPUTED_VALUE"""),"Dynamic Programming;Graph;Topological Sort;")</f>
        <v>Dynamic Programming;Graph;Topological Sort;</v>
      </c>
      <c r="M2051" s="35" t="b">
        <f>IFERROR(__xludf.DUMMYFUNCTION("""COMPUTED_VALUE"""),FALSE)</f>
        <v>0</v>
      </c>
      <c r="N2051" s="35" t="b">
        <f>IFERROR(__xludf.DUMMYFUNCTION("""COMPUTED_VALUE"""),FALSE)</f>
        <v>0</v>
      </c>
      <c r="O2051" s="35">
        <f>IFERROR(__xludf.DUMMYFUNCTION("""COMPUTED_VALUE"""),60.1662945569327)</f>
        <v>60.16629456</v>
      </c>
      <c r="P2051" s="35">
        <f>IFERROR(__xludf.DUMMYFUNCTION("""COMPUTED_VALUE"""),7815.0)</f>
        <v>7815</v>
      </c>
      <c r="Q2051" s="35">
        <f>IFERROR(__xludf.DUMMYFUNCTION("""COMPUTED_VALUE"""),12989.0)</f>
        <v>12989</v>
      </c>
    </row>
    <row r="2052">
      <c r="A2052" s="35">
        <f>IFERROR(__xludf.DUMMYFUNCTION("""COMPUTED_VALUE"""),2194.0)</f>
        <v>2194</v>
      </c>
      <c r="B2052" s="35" t="str">
        <f>IFERROR(__xludf.DUMMYFUNCTION("""COMPUTED_VALUE"""),"The Category of Each Member in the Store")</f>
        <v>The Category of Each Member in the Store</v>
      </c>
      <c r="C2052" s="35" t="str">
        <f>IFERROR(__xludf.DUMMYFUNCTION("""COMPUTED_VALUE"""),"the-category-of-each-member-in-the-store")</f>
        <v>the-category-of-each-member-in-the-store</v>
      </c>
      <c r="D2052" s="35" t="b">
        <f>IFERROR(__xludf.DUMMYFUNCTION("""COMPUTED_VALUE"""),TRUE)</f>
        <v>1</v>
      </c>
      <c r="E2052" s="35" t="str">
        <f>IFERROR(__xludf.DUMMYFUNCTION("""COMPUTED_VALUE"""),"Medium")</f>
        <v>Medium</v>
      </c>
      <c r="F2052" s="35">
        <f>IFERROR(__xludf.DUMMYFUNCTION("""COMPUTED_VALUE"""),17.0)</f>
        <v>17</v>
      </c>
      <c r="G2052" s="35">
        <f>IFERROR(__xludf.DUMMYFUNCTION("""COMPUTED_VALUE"""),4.0)</f>
        <v>4</v>
      </c>
      <c r="H2052" s="35" t="str">
        <f>IFERROR(__xludf.DUMMYFUNCTION("""COMPUTED_VALUE"""),"Database")</f>
        <v>Database</v>
      </c>
      <c r="I2052" s="35">
        <f>IFERROR(__xludf.DUMMYFUNCTION("""COMPUTED_VALUE"""),0.73)</f>
        <v>0.73</v>
      </c>
      <c r="J2052" s="35">
        <f>IFERROR(__xludf.DUMMYFUNCTION("""COMPUTED_VALUE"""),2051.0)</f>
        <v>2051</v>
      </c>
      <c r="K2052" s="35" t="b">
        <f>IFERROR(__xludf.DUMMYFUNCTION("""COMPUTED_VALUE"""),TRUE)</f>
        <v>1</v>
      </c>
      <c r="L2052" s="35" t="str">
        <f>IFERROR(__xludf.DUMMYFUNCTION("""COMPUTED_VALUE"""),"Database;")</f>
        <v>Database;</v>
      </c>
      <c r="M2052" s="35" t="b">
        <f>IFERROR(__xludf.DUMMYFUNCTION("""COMPUTED_VALUE"""),FALSE)</f>
        <v>0</v>
      </c>
      <c r="N2052" s="35" t="b">
        <f>IFERROR(__xludf.DUMMYFUNCTION("""COMPUTED_VALUE"""),FALSE)</f>
        <v>0</v>
      </c>
      <c r="O2052" s="35">
        <f>IFERROR(__xludf.DUMMYFUNCTION("""COMPUTED_VALUE"""),73.0390492359932)</f>
        <v>73.03904924</v>
      </c>
      <c r="P2052" s="35">
        <f>IFERROR(__xludf.DUMMYFUNCTION("""COMPUTED_VALUE"""),2147.0)</f>
        <v>2147</v>
      </c>
      <c r="Q2052" s="35">
        <f>IFERROR(__xludf.DUMMYFUNCTION("""COMPUTED_VALUE"""),2941.0)</f>
        <v>2941</v>
      </c>
    </row>
    <row r="2053">
      <c r="A2053" s="35">
        <f>IFERROR(__xludf.DUMMYFUNCTION("""COMPUTED_VALUE"""),2082.0)</f>
        <v>2082</v>
      </c>
      <c r="B2053" s="35" t="str">
        <f>IFERROR(__xludf.DUMMYFUNCTION("""COMPUTED_VALUE"""),"Minimum Cost to Separate Sentence Into Rows")</f>
        <v>Minimum Cost to Separate Sentence Into Rows</v>
      </c>
      <c r="C2053" s="35" t="str">
        <f>IFERROR(__xludf.DUMMYFUNCTION("""COMPUTED_VALUE"""),"minimum-cost-to-separate-sentence-into-rows")</f>
        <v>minimum-cost-to-separate-sentence-into-rows</v>
      </c>
      <c r="D2053" s="35" t="b">
        <f>IFERROR(__xludf.DUMMYFUNCTION("""COMPUTED_VALUE"""),TRUE)</f>
        <v>1</v>
      </c>
      <c r="E2053" s="35" t="str">
        <f>IFERROR(__xludf.DUMMYFUNCTION("""COMPUTED_VALUE"""),"Medium")</f>
        <v>Medium</v>
      </c>
      <c r="F2053" s="35">
        <f>IFERROR(__xludf.DUMMYFUNCTION("""COMPUTED_VALUE"""),21.0)</f>
        <v>21</v>
      </c>
      <c r="G2053" s="35">
        <f>IFERROR(__xludf.DUMMYFUNCTION("""COMPUTED_VALUE"""),8.0)</f>
        <v>8</v>
      </c>
      <c r="H2053" s="35" t="str">
        <f>IFERROR(__xludf.DUMMYFUNCTION("""COMPUTED_VALUE"""),"Algorithms")</f>
        <v>Algorithms</v>
      </c>
      <c r="I2053" s="35">
        <f>IFERROR(__xludf.DUMMYFUNCTION("""COMPUTED_VALUE"""),0.535)</f>
        <v>0.535</v>
      </c>
      <c r="J2053" s="35">
        <f>IFERROR(__xludf.DUMMYFUNCTION("""COMPUTED_VALUE"""),2052.0)</f>
        <v>2052</v>
      </c>
      <c r="K2053" s="35" t="b">
        <f>IFERROR(__xludf.DUMMYFUNCTION("""COMPUTED_VALUE"""),TRUE)</f>
        <v>1</v>
      </c>
      <c r="L2053" s="35" t="str">
        <f>IFERROR(__xludf.DUMMYFUNCTION("""COMPUTED_VALUE"""),"Array;Dynamic Programming;")</f>
        <v>Array;Dynamic Programming;</v>
      </c>
      <c r="M2053" s="35" t="b">
        <f>IFERROR(__xludf.DUMMYFUNCTION("""COMPUTED_VALUE"""),FALSE)</f>
        <v>0</v>
      </c>
      <c r="N2053" s="35" t="b">
        <f>IFERROR(__xludf.DUMMYFUNCTION("""COMPUTED_VALUE"""),FALSE)</f>
        <v>0</v>
      </c>
      <c r="O2053" s="35">
        <f>IFERROR(__xludf.DUMMYFUNCTION("""COMPUTED_VALUE"""),53.5193405199746)</f>
        <v>53.51934052</v>
      </c>
      <c r="P2053" s="35">
        <f>IFERROR(__xludf.DUMMYFUNCTION("""COMPUTED_VALUE"""),844.0)</f>
        <v>844</v>
      </c>
      <c r="Q2053" s="35">
        <f>IFERROR(__xludf.DUMMYFUNCTION("""COMPUTED_VALUE"""),1577.0)</f>
        <v>1577</v>
      </c>
    </row>
    <row r="2054">
      <c r="A2054" s="35">
        <f>IFERROR(__xludf.DUMMYFUNCTION("""COMPUTED_VALUE"""),2163.0)</f>
        <v>2163</v>
      </c>
      <c r="B2054" s="35" t="str">
        <f>IFERROR(__xludf.DUMMYFUNCTION("""COMPUTED_VALUE"""),"Kth Distinct String in an Array")</f>
        <v>Kth Distinct String in an Array</v>
      </c>
      <c r="C2054" s="35" t="str">
        <f>IFERROR(__xludf.DUMMYFUNCTION("""COMPUTED_VALUE"""),"kth-distinct-string-in-an-array")</f>
        <v>kth-distinct-string-in-an-array</v>
      </c>
      <c r="D2054" s="35" t="b">
        <f>IFERROR(__xludf.DUMMYFUNCTION("""COMPUTED_VALUE"""),FALSE)</f>
        <v>0</v>
      </c>
      <c r="E2054" s="35" t="str">
        <f>IFERROR(__xludf.DUMMYFUNCTION("""COMPUTED_VALUE"""),"Easy")</f>
        <v>Easy</v>
      </c>
      <c r="F2054" s="35">
        <f>IFERROR(__xludf.DUMMYFUNCTION("""COMPUTED_VALUE"""),253.0)</f>
        <v>253</v>
      </c>
      <c r="G2054" s="35">
        <f>IFERROR(__xludf.DUMMYFUNCTION("""COMPUTED_VALUE"""),6.0)</f>
        <v>6</v>
      </c>
      <c r="H2054" s="35" t="str">
        <f>IFERROR(__xludf.DUMMYFUNCTION("""COMPUTED_VALUE"""),"Algorithms")</f>
        <v>Algorithms</v>
      </c>
      <c r="I2054" s="35">
        <f>IFERROR(__xludf.DUMMYFUNCTION("""COMPUTED_VALUE"""),0.731)</f>
        <v>0.731</v>
      </c>
      <c r="J2054" s="35">
        <f>IFERROR(__xludf.DUMMYFUNCTION("""COMPUTED_VALUE"""),2053.0)</f>
        <v>2053</v>
      </c>
      <c r="K2054" s="35" t="b">
        <f>IFERROR(__xludf.DUMMYFUNCTION("""COMPUTED_VALUE"""),FALSE)</f>
        <v>0</v>
      </c>
      <c r="L2054" s="35" t="str">
        <f>IFERROR(__xludf.DUMMYFUNCTION("""COMPUTED_VALUE"""),"Array;Hash Table;String;Counting;")</f>
        <v>Array;Hash Table;String;Counting;</v>
      </c>
      <c r="M2054" s="35" t="b">
        <f>IFERROR(__xludf.DUMMYFUNCTION("""COMPUTED_VALUE"""),FALSE)</f>
        <v>0</v>
      </c>
      <c r="N2054" s="35" t="b">
        <f>IFERROR(__xludf.DUMMYFUNCTION("""COMPUTED_VALUE"""),FALSE)</f>
        <v>0</v>
      </c>
      <c r="O2054" s="35">
        <f>IFERROR(__xludf.DUMMYFUNCTION("""COMPUTED_VALUE"""),73.1135971169006)</f>
        <v>73.11359712</v>
      </c>
      <c r="P2054" s="35">
        <f>IFERROR(__xludf.DUMMYFUNCTION("""COMPUTED_VALUE"""),19476.0)</f>
        <v>19476</v>
      </c>
      <c r="Q2054" s="35">
        <f>IFERROR(__xludf.DUMMYFUNCTION("""COMPUTED_VALUE"""),26638.0)</f>
        <v>26638</v>
      </c>
    </row>
    <row r="2055">
      <c r="A2055" s="35">
        <f>IFERROR(__xludf.DUMMYFUNCTION("""COMPUTED_VALUE"""),2164.0)</f>
        <v>2164</v>
      </c>
      <c r="B2055" s="35" t="str">
        <f>IFERROR(__xludf.DUMMYFUNCTION("""COMPUTED_VALUE"""),"Two Best Non-Overlapping Events")</f>
        <v>Two Best Non-Overlapping Events</v>
      </c>
      <c r="C2055" s="35" t="str">
        <f>IFERROR(__xludf.DUMMYFUNCTION("""COMPUTED_VALUE"""),"two-best-non-overlapping-events")</f>
        <v>two-best-non-overlapping-events</v>
      </c>
      <c r="D2055" s="35" t="b">
        <f>IFERROR(__xludf.DUMMYFUNCTION("""COMPUTED_VALUE"""),FALSE)</f>
        <v>0</v>
      </c>
      <c r="E2055" s="35" t="str">
        <f>IFERROR(__xludf.DUMMYFUNCTION("""COMPUTED_VALUE"""),"Medium")</f>
        <v>Medium</v>
      </c>
      <c r="F2055" s="35">
        <f>IFERROR(__xludf.DUMMYFUNCTION("""COMPUTED_VALUE"""),359.0)</f>
        <v>359</v>
      </c>
      <c r="G2055" s="35">
        <f>IFERROR(__xludf.DUMMYFUNCTION("""COMPUTED_VALUE"""),7.0)</f>
        <v>7</v>
      </c>
      <c r="H2055" s="35" t="str">
        <f>IFERROR(__xludf.DUMMYFUNCTION("""COMPUTED_VALUE"""),"Algorithms")</f>
        <v>Algorithms</v>
      </c>
      <c r="I2055" s="35">
        <f>IFERROR(__xludf.DUMMYFUNCTION("""COMPUTED_VALUE"""),0.429)</f>
        <v>0.429</v>
      </c>
      <c r="J2055" s="35">
        <f>IFERROR(__xludf.DUMMYFUNCTION("""COMPUTED_VALUE"""),2054.0)</f>
        <v>2054</v>
      </c>
      <c r="K2055" s="35" t="b">
        <f>IFERROR(__xludf.DUMMYFUNCTION("""COMPUTED_VALUE"""),FALSE)</f>
        <v>0</v>
      </c>
      <c r="L2055" s="35" t="str">
        <f>IFERROR(__xludf.DUMMYFUNCTION("""COMPUTED_VALUE"""),"Array;Binary Search;Dynamic Programming;Sorting;Heap (Priority Queue);")</f>
        <v>Array;Binary Search;Dynamic Programming;Sorting;Heap (Priority Queue);</v>
      </c>
      <c r="M2055" s="35" t="b">
        <f>IFERROR(__xludf.DUMMYFUNCTION("""COMPUTED_VALUE"""),FALSE)</f>
        <v>0</v>
      </c>
      <c r="N2055" s="35" t="b">
        <f>IFERROR(__xludf.DUMMYFUNCTION("""COMPUTED_VALUE"""),FALSE)</f>
        <v>0</v>
      </c>
      <c r="O2055" s="35">
        <f>IFERROR(__xludf.DUMMYFUNCTION("""COMPUTED_VALUE"""),42.8720770288858)</f>
        <v>42.87207703</v>
      </c>
      <c r="P2055" s="35">
        <f>IFERROR(__xludf.DUMMYFUNCTION("""COMPUTED_VALUE"""),7792.0)</f>
        <v>7792</v>
      </c>
      <c r="Q2055" s="35">
        <f>IFERROR(__xludf.DUMMYFUNCTION("""COMPUTED_VALUE"""),18174.0)</f>
        <v>18174</v>
      </c>
    </row>
    <row r="2056">
      <c r="A2056" s="35">
        <f>IFERROR(__xludf.DUMMYFUNCTION("""COMPUTED_VALUE"""),2165.0)</f>
        <v>2165</v>
      </c>
      <c r="B2056" s="35" t="str">
        <f>IFERROR(__xludf.DUMMYFUNCTION("""COMPUTED_VALUE"""),"Plates Between Candles")</f>
        <v>Plates Between Candles</v>
      </c>
      <c r="C2056" s="35" t="str">
        <f>IFERROR(__xludf.DUMMYFUNCTION("""COMPUTED_VALUE"""),"plates-between-candles")</f>
        <v>plates-between-candles</v>
      </c>
      <c r="D2056" s="35" t="b">
        <f>IFERROR(__xludf.DUMMYFUNCTION("""COMPUTED_VALUE"""),FALSE)</f>
        <v>0</v>
      </c>
      <c r="E2056" s="35" t="str">
        <f>IFERROR(__xludf.DUMMYFUNCTION("""COMPUTED_VALUE"""),"Medium")</f>
        <v>Medium</v>
      </c>
      <c r="F2056" s="35">
        <f>IFERROR(__xludf.DUMMYFUNCTION("""COMPUTED_VALUE"""),343.0)</f>
        <v>343</v>
      </c>
      <c r="G2056" s="35">
        <f>IFERROR(__xludf.DUMMYFUNCTION("""COMPUTED_VALUE"""),8.0)</f>
        <v>8</v>
      </c>
      <c r="H2056" s="35" t="str">
        <f>IFERROR(__xludf.DUMMYFUNCTION("""COMPUTED_VALUE"""),"Algorithms")</f>
        <v>Algorithms</v>
      </c>
      <c r="I2056" s="35">
        <f>IFERROR(__xludf.DUMMYFUNCTION("""COMPUTED_VALUE"""),0.468)</f>
        <v>0.468</v>
      </c>
      <c r="J2056" s="35">
        <f>IFERROR(__xludf.DUMMYFUNCTION("""COMPUTED_VALUE"""),2055.0)</f>
        <v>2055</v>
      </c>
      <c r="K2056" s="35" t="b">
        <f>IFERROR(__xludf.DUMMYFUNCTION("""COMPUTED_VALUE"""),FALSE)</f>
        <v>0</v>
      </c>
      <c r="L2056" s="35" t="str">
        <f>IFERROR(__xludf.DUMMYFUNCTION("""COMPUTED_VALUE"""),"Array;String;Binary Search;Prefix Sum;")</f>
        <v>Array;String;Binary Search;Prefix Sum;</v>
      </c>
      <c r="M2056" s="35" t="b">
        <f>IFERROR(__xludf.DUMMYFUNCTION("""COMPUTED_VALUE"""),FALSE)</f>
        <v>0</v>
      </c>
      <c r="N2056" s="35" t="b">
        <f>IFERROR(__xludf.DUMMYFUNCTION("""COMPUTED_VALUE"""),FALSE)</f>
        <v>0</v>
      </c>
      <c r="O2056" s="35">
        <f>IFERROR(__xludf.DUMMYFUNCTION("""COMPUTED_VALUE"""),46.7473063630819)</f>
        <v>46.74730636</v>
      </c>
      <c r="P2056" s="35">
        <f>IFERROR(__xludf.DUMMYFUNCTION("""COMPUTED_VALUE"""),9198.0)</f>
        <v>9198</v>
      </c>
      <c r="Q2056" s="35">
        <f>IFERROR(__xludf.DUMMYFUNCTION("""COMPUTED_VALUE"""),19674.0)</f>
        <v>19674</v>
      </c>
    </row>
    <row r="2057">
      <c r="A2057" s="35">
        <f>IFERROR(__xludf.DUMMYFUNCTION("""COMPUTED_VALUE"""),2166.0)</f>
        <v>2166</v>
      </c>
      <c r="B2057" s="35" t="str">
        <f>IFERROR(__xludf.DUMMYFUNCTION("""COMPUTED_VALUE"""),"Number of Valid Move Combinations On Chessboard")</f>
        <v>Number of Valid Move Combinations On Chessboard</v>
      </c>
      <c r="C2057" s="35" t="str">
        <f>IFERROR(__xludf.DUMMYFUNCTION("""COMPUTED_VALUE"""),"number-of-valid-move-combinations-on-chessboard")</f>
        <v>number-of-valid-move-combinations-on-chessboard</v>
      </c>
      <c r="D2057" s="35" t="b">
        <f>IFERROR(__xludf.DUMMYFUNCTION("""COMPUTED_VALUE"""),FALSE)</f>
        <v>0</v>
      </c>
      <c r="E2057" s="35" t="str">
        <f>IFERROR(__xludf.DUMMYFUNCTION("""COMPUTED_VALUE"""),"Hard")</f>
        <v>Hard</v>
      </c>
      <c r="F2057" s="35">
        <f>IFERROR(__xludf.DUMMYFUNCTION("""COMPUTED_VALUE"""),30.0)</f>
        <v>30</v>
      </c>
      <c r="G2057" s="35">
        <f>IFERROR(__xludf.DUMMYFUNCTION("""COMPUTED_VALUE"""),146.0)</f>
        <v>146</v>
      </c>
      <c r="H2057" s="35" t="str">
        <f>IFERROR(__xludf.DUMMYFUNCTION("""COMPUTED_VALUE"""),"Algorithms")</f>
        <v>Algorithms</v>
      </c>
      <c r="I2057" s="35">
        <f>IFERROR(__xludf.DUMMYFUNCTION("""COMPUTED_VALUE"""),0.587)</f>
        <v>0.587</v>
      </c>
      <c r="J2057" s="35">
        <f>IFERROR(__xludf.DUMMYFUNCTION("""COMPUTED_VALUE"""),2056.0)</f>
        <v>2056</v>
      </c>
      <c r="K2057" s="35" t="b">
        <f>IFERROR(__xludf.DUMMYFUNCTION("""COMPUTED_VALUE"""),FALSE)</f>
        <v>0</v>
      </c>
      <c r="L2057" s="35" t="str">
        <f>IFERROR(__xludf.DUMMYFUNCTION("""COMPUTED_VALUE"""),"Array;String;Backtracking;Simulation;")</f>
        <v>Array;String;Backtracking;Simulation;</v>
      </c>
      <c r="M2057" s="35" t="b">
        <f>IFERROR(__xludf.DUMMYFUNCTION("""COMPUTED_VALUE"""),FALSE)</f>
        <v>0</v>
      </c>
      <c r="N2057" s="35" t="b">
        <f>IFERROR(__xludf.DUMMYFUNCTION("""COMPUTED_VALUE"""),FALSE)</f>
        <v>0</v>
      </c>
      <c r="O2057" s="35">
        <f>IFERROR(__xludf.DUMMYFUNCTION("""COMPUTED_VALUE"""),58.6876936074345)</f>
        <v>58.68769361</v>
      </c>
      <c r="P2057" s="35">
        <f>IFERROR(__xludf.DUMMYFUNCTION("""COMPUTED_VALUE"""),2084.0)</f>
        <v>2084</v>
      </c>
      <c r="Q2057" s="35">
        <f>IFERROR(__xludf.DUMMYFUNCTION("""COMPUTED_VALUE"""),3551.0)</f>
        <v>3551</v>
      </c>
    </row>
    <row r="2058">
      <c r="A2058" s="35">
        <f>IFERROR(__xludf.DUMMYFUNCTION("""COMPUTED_VALUE"""),2181.0)</f>
        <v>2181</v>
      </c>
      <c r="B2058" s="35" t="str">
        <f>IFERROR(__xludf.DUMMYFUNCTION("""COMPUTED_VALUE"""),"Smallest Index With Equal Value")</f>
        <v>Smallest Index With Equal Value</v>
      </c>
      <c r="C2058" s="35" t="str">
        <f>IFERROR(__xludf.DUMMYFUNCTION("""COMPUTED_VALUE"""),"smallest-index-with-equal-value")</f>
        <v>smallest-index-with-equal-value</v>
      </c>
      <c r="D2058" s="35" t="b">
        <f>IFERROR(__xludf.DUMMYFUNCTION("""COMPUTED_VALUE"""),FALSE)</f>
        <v>0</v>
      </c>
      <c r="E2058" s="35" t="str">
        <f>IFERROR(__xludf.DUMMYFUNCTION("""COMPUTED_VALUE"""),"Easy")</f>
        <v>Easy</v>
      </c>
      <c r="F2058" s="35">
        <f>IFERROR(__xludf.DUMMYFUNCTION("""COMPUTED_VALUE"""),129.0)</f>
        <v>129</v>
      </c>
      <c r="G2058" s="35">
        <f>IFERROR(__xludf.DUMMYFUNCTION("""COMPUTED_VALUE"""),62.0)</f>
        <v>62</v>
      </c>
      <c r="H2058" s="35" t="str">
        <f>IFERROR(__xludf.DUMMYFUNCTION("""COMPUTED_VALUE"""),"Algorithms")</f>
        <v>Algorithms</v>
      </c>
      <c r="I2058" s="35">
        <f>IFERROR(__xludf.DUMMYFUNCTION("""COMPUTED_VALUE"""),0.736)</f>
        <v>0.736</v>
      </c>
      <c r="J2058" s="35">
        <f>IFERROR(__xludf.DUMMYFUNCTION("""COMPUTED_VALUE"""),2057.0)</f>
        <v>2057</v>
      </c>
      <c r="K2058" s="35" t="b">
        <f>IFERROR(__xludf.DUMMYFUNCTION("""COMPUTED_VALUE"""),FALSE)</f>
        <v>0</v>
      </c>
      <c r="L2058" s="35" t="str">
        <f>IFERROR(__xludf.DUMMYFUNCTION("""COMPUTED_VALUE"""),"Array;")</f>
        <v>Array;</v>
      </c>
      <c r="M2058" s="35" t="b">
        <f>IFERROR(__xludf.DUMMYFUNCTION("""COMPUTED_VALUE"""),FALSE)</f>
        <v>0</v>
      </c>
      <c r="N2058" s="35" t="b">
        <f>IFERROR(__xludf.DUMMYFUNCTION("""COMPUTED_VALUE"""),FALSE)</f>
        <v>0</v>
      </c>
      <c r="O2058" s="35">
        <f>IFERROR(__xludf.DUMMYFUNCTION("""COMPUTED_VALUE"""),73.5949315348457)</f>
        <v>73.59493153</v>
      </c>
      <c r="P2058" s="35">
        <f>IFERROR(__xludf.DUMMYFUNCTION("""COMPUTED_VALUE"""),21604.0)</f>
        <v>21604</v>
      </c>
      <c r="Q2058" s="35">
        <f>IFERROR(__xludf.DUMMYFUNCTION("""COMPUTED_VALUE"""),29352.0)</f>
        <v>29352</v>
      </c>
    </row>
    <row r="2059">
      <c r="A2059" s="35">
        <f>IFERROR(__xludf.DUMMYFUNCTION("""COMPUTED_VALUE"""),2182.0)</f>
        <v>2182</v>
      </c>
      <c r="B2059" s="35" t="str">
        <f>IFERROR(__xludf.DUMMYFUNCTION("""COMPUTED_VALUE"""),"Find the Minimum and Maximum Number of Nodes Between Critical Points")</f>
        <v>Find the Minimum and Maximum Number of Nodes Between Critical Points</v>
      </c>
      <c r="C2059" s="35" t="str">
        <f>IFERROR(__xludf.DUMMYFUNCTION("""COMPUTED_VALUE"""),"find-the-minimum-and-maximum-number-of-nodes-between-critical-points")</f>
        <v>find-the-minimum-and-maximum-number-of-nodes-between-critical-points</v>
      </c>
      <c r="D2059" s="35" t="b">
        <f>IFERROR(__xludf.DUMMYFUNCTION("""COMPUTED_VALUE"""),FALSE)</f>
        <v>0</v>
      </c>
      <c r="E2059" s="35" t="str">
        <f>IFERROR(__xludf.DUMMYFUNCTION("""COMPUTED_VALUE"""),"Medium")</f>
        <v>Medium</v>
      </c>
      <c r="F2059" s="35">
        <f>IFERROR(__xludf.DUMMYFUNCTION("""COMPUTED_VALUE"""),220.0)</f>
        <v>220</v>
      </c>
      <c r="G2059" s="35">
        <f>IFERROR(__xludf.DUMMYFUNCTION("""COMPUTED_VALUE"""),11.0)</f>
        <v>11</v>
      </c>
      <c r="H2059" s="35" t="str">
        <f>IFERROR(__xludf.DUMMYFUNCTION("""COMPUTED_VALUE"""),"Algorithms")</f>
        <v>Algorithms</v>
      </c>
      <c r="I2059" s="35">
        <f>IFERROR(__xludf.DUMMYFUNCTION("""COMPUTED_VALUE"""),0.578)</f>
        <v>0.578</v>
      </c>
      <c r="J2059" s="35">
        <f>IFERROR(__xludf.DUMMYFUNCTION("""COMPUTED_VALUE"""),2058.0)</f>
        <v>2058</v>
      </c>
      <c r="K2059" s="35" t="b">
        <f>IFERROR(__xludf.DUMMYFUNCTION("""COMPUTED_VALUE"""),FALSE)</f>
        <v>0</v>
      </c>
      <c r="L2059" s="35" t="str">
        <f>IFERROR(__xludf.DUMMYFUNCTION("""COMPUTED_VALUE"""),"Linked List;")</f>
        <v>Linked List;</v>
      </c>
      <c r="M2059" s="35" t="b">
        <f>IFERROR(__xludf.DUMMYFUNCTION("""COMPUTED_VALUE"""),FALSE)</f>
        <v>0</v>
      </c>
      <c r="N2059" s="35" t="b">
        <f>IFERROR(__xludf.DUMMYFUNCTION("""COMPUTED_VALUE"""),FALSE)</f>
        <v>0</v>
      </c>
      <c r="O2059" s="35">
        <f>IFERROR(__xludf.DUMMYFUNCTION("""COMPUTED_VALUE"""),57.8476261188796)</f>
        <v>57.84762612</v>
      </c>
      <c r="P2059" s="35">
        <f>IFERROR(__xludf.DUMMYFUNCTION("""COMPUTED_VALUE"""),14024.0)</f>
        <v>14024</v>
      </c>
      <c r="Q2059" s="35">
        <f>IFERROR(__xludf.DUMMYFUNCTION("""COMPUTED_VALUE"""),24243.0)</f>
        <v>24243</v>
      </c>
    </row>
    <row r="2060">
      <c r="A2060" s="35">
        <f>IFERROR(__xludf.DUMMYFUNCTION("""COMPUTED_VALUE"""),2183.0)</f>
        <v>2183</v>
      </c>
      <c r="B2060" s="35" t="str">
        <f>IFERROR(__xludf.DUMMYFUNCTION("""COMPUTED_VALUE"""),"Minimum Operations to Convert Number")</f>
        <v>Minimum Operations to Convert Number</v>
      </c>
      <c r="C2060" s="35" t="str">
        <f>IFERROR(__xludf.DUMMYFUNCTION("""COMPUTED_VALUE"""),"minimum-operations-to-convert-number")</f>
        <v>minimum-operations-to-convert-number</v>
      </c>
      <c r="D2060" s="35" t="b">
        <f>IFERROR(__xludf.DUMMYFUNCTION("""COMPUTED_VALUE"""),FALSE)</f>
        <v>0</v>
      </c>
      <c r="E2060" s="35" t="str">
        <f>IFERROR(__xludf.DUMMYFUNCTION("""COMPUTED_VALUE"""),"Medium")</f>
        <v>Medium</v>
      </c>
      <c r="F2060" s="35">
        <f>IFERROR(__xludf.DUMMYFUNCTION("""COMPUTED_VALUE"""),327.0)</f>
        <v>327</v>
      </c>
      <c r="G2060" s="35">
        <f>IFERROR(__xludf.DUMMYFUNCTION("""COMPUTED_VALUE"""),16.0)</f>
        <v>16</v>
      </c>
      <c r="H2060" s="35" t="str">
        <f>IFERROR(__xludf.DUMMYFUNCTION("""COMPUTED_VALUE"""),"Algorithms")</f>
        <v>Algorithms</v>
      </c>
      <c r="I2060" s="35">
        <f>IFERROR(__xludf.DUMMYFUNCTION("""COMPUTED_VALUE"""),0.458)</f>
        <v>0.458</v>
      </c>
      <c r="J2060" s="35">
        <f>IFERROR(__xludf.DUMMYFUNCTION("""COMPUTED_VALUE"""),2059.0)</f>
        <v>2059</v>
      </c>
      <c r="K2060" s="35" t="b">
        <f>IFERROR(__xludf.DUMMYFUNCTION("""COMPUTED_VALUE"""),FALSE)</f>
        <v>0</v>
      </c>
      <c r="L2060" s="35" t="str">
        <f>IFERROR(__xludf.DUMMYFUNCTION("""COMPUTED_VALUE"""),"Array;Breadth-First Search;")</f>
        <v>Array;Breadth-First Search;</v>
      </c>
      <c r="M2060" s="35" t="b">
        <f>IFERROR(__xludf.DUMMYFUNCTION("""COMPUTED_VALUE"""),FALSE)</f>
        <v>0</v>
      </c>
      <c r="N2060" s="35" t="b">
        <f>IFERROR(__xludf.DUMMYFUNCTION("""COMPUTED_VALUE"""),FALSE)</f>
        <v>0</v>
      </c>
      <c r="O2060" s="35">
        <f>IFERROR(__xludf.DUMMYFUNCTION("""COMPUTED_VALUE"""),45.8289387775601)</f>
        <v>45.82893878</v>
      </c>
      <c r="P2060" s="35">
        <f>IFERROR(__xludf.DUMMYFUNCTION("""COMPUTED_VALUE"""),9123.0)</f>
        <v>9123</v>
      </c>
      <c r="Q2060" s="35">
        <f>IFERROR(__xludf.DUMMYFUNCTION("""COMPUTED_VALUE"""),19909.0)</f>
        <v>19909</v>
      </c>
    </row>
    <row r="2061">
      <c r="A2061" s="35">
        <f>IFERROR(__xludf.DUMMYFUNCTION("""COMPUTED_VALUE"""),2184.0)</f>
        <v>2184</v>
      </c>
      <c r="B2061" s="35" t="str">
        <f>IFERROR(__xludf.DUMMYFUNCTION("""COMPUTED_VALUE"""),"Check if an Original String Exists Given Two Encoded Strings")</f>
        <v>Check if an Original String Exists Given Two Encoded Strings</v>
      </c>
      <c r="C2061" s="35" t="str">
        <f>IFERROR(__xludf.DUMMYFUNCTION("""COMPUTED_VALUE"""),"check-if-an-original-string-exists-given-two-encoded-strings")</f>
        <v>check-if-an-original-string-exists-given-two-encoded-strings</v>
      </c>
      <c r="D2061" s="35" t="b">
        <f>IFERROR(__xludf.DUMMYFUNCTION("""COMPUTED_VALUE"""),FALSE)</f>
        <v>0</v>
      </c>
      <c r="E2061" s="35" t="str">
        <f>IFERROR(__xludf.DUMMYFUNCTION("""COMPUTED_VALUE"""),"Hard")</f>
        <v>Hard</v>
      </c>
      <c r="F2061" s="35">
        <f>IFERROR(__xludf.DUMMYFUNCTION("""COMPUTED_VALUE"""),133.0)</f>
        <v>133</v>
      </c>
      <c r="G2061" s="35">
        <f>IFERROR(__xludf.DUMMYFUNCTION("""COMPUTED_VALUE"""),62.0)</f>
        <v>62</v>
      </c>
      <c r="H2061" s="35" t="str">
        <f>IFERROR(__xludf.DUMMYFUNCTION("""COMPUTED_VALUE"""),"Algorithms")</f>
        <v>Algorithms</v>
      </c>
      <c r="I2061" s="35">
        <f>IFERROR(__xludf.DUMMYFUNCTION("""COMPUTED_VALUE"""),0.394)</f>
        <v>0.394</v>
      </c>
      <c r="J2061" s="35">
        <f>IFERROR(__xludf.DUMMYFUNCTION("""COMPUTED_VALUE"""),2060.0)</f>
        <v>2060</v>
      </c>
      <c r="K2061" s="35" t="b">
        <f>IFERROR(__xludf.DUMMYFUNCTION("""COMPUTED_VALUE"""),FALSE)</f>
        <v>0</v>
      </c>
      <c r="L2061" s="35" t="str">
        <f>IFERROR(__xludf.DUMMYFUNCTION("""COMPUTED_VALUE"""),"String;Dynamic Programming;")</f>
        <v>String;Dynamic Programming;</v>
      </c>
      <c r="M2061" s="35" t="b">
        <f>IFERROR(__xludf.DUMMYFUNCTION("""COMPUTED_VALUE"""),FALSE)</f>
        <v>0</v>
      </c>
      <c r="N2061" s="35" t="b">
        <f>IFERROR(__xludf.DUMMYFUNCTION("""COMPUTED_VALUE"""),FALSE)</f>
        <v>0</v>
      </c>
      <c r="O2061" s="35">
        <f>IFERROR(__xludf.DUMMYFUNCTION("""COMPUTED_VALUE"""),39.4239162059936)</f>
        <v>39.42391621</v>
      </c>
      <c r="P2061" s="35">
        <f>IFERROR(__xludf.DUMMYFUNCTION("""COMPUTED_VALUE"""),4065.0)</f>
        <v>4065</v>
      </c>
      <c r="Q2061" s="35">
        <f>IFERROR(__xludf.DUMMYFUNCTION("""COMPUTED_VALUE"""),10311.0)</f>
        <v>10311</v>
      </c>
    </row>
    <row r="2062">
      <c r="A2062" s="35">
        <f>IFERROR(__xludf.DUMMYFUNCTION("""COMPUTED_VALUE"""),2203.0)</f>
        <v>2203</v>
      </c>
      <c r="B2062" s="35" t="str">
        <f>IFERROR(__xludf.DUMMYFUNCTION("""COMPUTED_VALUE"""),"Number of Spaces Cleaning Robot Cleaned")</f>
        <v>Number of Spaces Cleaning Robot Cleaned</v>
      </c>
      <c r="C2062" s="35" t="str">
        <f>IFERROR(__xludf.DUMMYFUNCTION("""COMPUTED_VALUE"""),"number-of-spaces-cleaning-robot-cleaned")</f>
        <v>number-of-spaces-cleaning-robot-cleaned</v>
      </c>
      <c r="D2062" s="35" t="b">
        <f>IFERROR(__xludf.DUMMYFUNCTION("""COMPUTED_VALUE"""),TRUE)</f>
        <v>1</v>
      </c>
      <c r="E2062" s="35" t="str">
        <f>IFERROR(__xludf.DUMMYFUNCTION("""COMPUTED_VALUE"""),"Medium")</f>
        <v>Medium</v>
      </c>
      <c r="F2062" s="35">
        <f>IFERROR(__xludf.DUMMYFUNCTION("""COMPUTED_VALUE"""),47.0)</f>
        <v>47</v>
      </c>
      <c r="G2062" s="35">
        <f>IFERROR(__xludf.DUMMYFUNCTION("""COMPUTED_VALUE"""),12.0)</f>
        <v>12</v>
      </c>
      <c r="H2062" s="35" t="str">
        <f>IFERROR(__xludf.DUMMYFUNCTION("""COMPUTED_VALUE"""),"Algorithms")</f>
        <v>Algorithms</v>
      </c>
      <c r="I2062" s="35">
        <f>IFERROR(__xludf.DUMMYFUNCTION("""COMPUTED_VALUE"""),0.55)</f>
        <v>0.55</v>
      </c>
      <c r="J2062" s="35">
        <f>IFERROR(__xludf.DUMMYFUNCTION("""COMPUTED_VALUE"""),2061.0)</f>
        <v>2061</v>
      </c>
      <c r="K2062" s="35" t="b">
        <f>IFERROR(__xludf.DUMMYFUNCTION("""COMPUTED_VALUE"""),TRUE)</f>
        <v>1</v>
      </c>
      <c r="L2062" s="35" t="str">
        <f>IFERROR(__xludf.DUMMYFUNCTION("""COMPUTED_VALUE"""),"Array;Matrix;Simulation;")</f>
        <v>Array;Matrix;Simulation;</v>
      </c>
      <c r="M2062" s="35" t="b">
        <f>IFERROR(__xludf.DUMMYFUNCTION("""COMPUTED_VALUE"""),FALSE)</f>
        <v>0</v>
      </c>
      <c r="N2062" s="35" t="b">
        <f>IFERROR(__xludf.DUMMYFUNCTION("""COMPUTED_VALUE"""),FALSE)</f>
        <v>0</v>
      </c>
      <c r="O2062" s="35">
        <f>IFERROR(__xludf.DUMMYFUNCTION("""COMPUTED_VALUE"""),54.9819594782126)</f>
        <v>54.98195948</v>
      </c>
      <c r="P2062" s="35">
        <f>IFERROR(__xludf.DUMMYFUNCTION("""COMPUTED_VALUE"""),1981.0)</f>
        <v>1981</v>
      </c>
      <c r="Q2062" s="35">
        <f>IFERROR(__xludf.DUMMYFUNCTION("""COMPUTED_VALUE"""),3603.0)</f>
        <v>3603</v>
      </c>
    </row>
    <row r="2063">
      <c r="A2063" s="35">
        <f>IFERROR(__xludf.DUMMYFUNCTION("""COMPUTED_VALUE"""),2186.0)</f>
        <v>2186</v>
      </c>
      <c r="B2063" s="35" t="str">
        <f>IFERROR(__xludf.DUMMYFUNCTION("""COMPUTED_VALUE"""),"Count Vowel Substrings of a String")</f>
        <v>Count Vowel Substrings of a String</v>
      </c>
      <c r="C2063" s="35" t="str">
        <f>IFERROR(__xludf.DUMMYFUNCTION("""COMPUTED_VALUE"""),"count-vowel-substrings-of-a-string")</f>
        <v>count-vowel-substrings-of-a-string</v>
      </c>
      <c r="D2063" s="35" t="b">
        <f>IFERROR(__xludf.DUMMYFUNCTION("""COMPUTED_VALUE"""),FALSE)</f>
        <v>0</v>
      </c>
      <c r="E2063" s="35" t="str">
        <f>IFERROR(__xludf.DUMMYFUNCTION("""COMPUTED_VALUE"""),"Easy")</f>
        <v>Easy</v>
      </c>
      <c r="F2063" s="35">
        <f>IFERROR(__xludf.DUMMYFUNCTION("""COMPUTED_VALUE"""),330.0)</f>
        <v>330</v>
      </c>
      <c r="G2063" s="35">
        <f>IFERROR(__xludf.DUMMYFUNCTION("""COMPUTED_VALUE"""),99.0)</f>
        <v>99</v>
      </c>
      <c r="H2063" s="35" t="str">
        <f>IFERROR(__xludf.DUMMYFUNCTION("""COMPUTED_VALUE"""),"Algorithms")</f>
        <v>Algorithms</v>
      </c>
      <c r="I2063" s="35">
        <f>IFERROR(__xludf.DUMMYFUNCTION("""COMPUTED_VALUE"""),0.658)</f>
        <v>0.658</v>
      </c>
      <c r="J2063" s="35">
        <f>IFERROR(__xludf.DUMMYFUNCTION("""COMPUTED_VALUE"""),2062.0)</f>
        <v>2062</v>
      </c>
      <c r="K2063" s="35" t="b">
        <f>IFERROR(__xludf.DUMMYFUNCTION("""COMPUTED_VALUE"""),FALSE)</f>
        <v>0</v>
      </c>
      <c r="L2063" s="35" t="str">
        <f>IFERROR(__xludf.DUMMYFUNCTION("""COMPUTED_VALUE"""),"Hash Table;String;")</f>
        <v>Hash Table;String;</v>
      </c>
      <c r="M2063" s="35" t="b">
        <f>IFERROR(__xludf.DUMMYFUNCTION("""COMPUTED_VALUE"""),FALSE)</f>
        <v>0</v>
      </c>
      <c r="N2063" s="35" t="b">
        <f>IFERROR(__xludf.DUMMYFUNCTION("""COMPUTED_VALUE"""),FALSE)</f>
        <v>0</v>
      </c>
      <c r="O2063" s="35">
        <f>IFERROR(__xludf.DUMMYFUNCTION("""COMPUTED_VALUE"""),65.7679844458846)</f>
        <v>65.76798445</v>
      </c>
      <c r="P2063" s="35">
        <f>IFERROR(__xludf.DUMMYFUNCTION("""COMPUTED_VALUE"""),15222.0)</f>
        <v>15222</v>
      </c>
      <c r="Q2063" s="35">
        <f>IFERROR(__xludf.DUMMYFUNCTION("""COMPUTED_VALUE"""),23145.0)</f>
        <v>23145</v>
      </c>
    </row>
    <row r="2064">
      <c r="A2064" s="35">
        <f>IFERROR(__xludf.DUMMYFUNCTION("""COMPUTED_VALUE"""),2187.0)</f>
        <v>2187</v>
      </c>
      <c r="B2064" s="35" t="str">
        <f>IFERROR(__xludf.DUMMYFUNCTION("""COMPUTED_VALUE"""),"Vowels of All Substrings")</f>
        <v>Vowels of All Substrings</v>
      </c>
      <c r="C2064" s="35" t="str">
        <f>IFERROR(__xludf.DUMMYFUNCTION("""COMPUTED_VALUE"""),"vowels-of-all-substrings")</f>
        <v>vowels-of-all-substrings</v>
      </c>
      <c r="D2064" s="35" t="b">
        <f>IFERROR(__xludf.DUMMYFUNCTION("""COMPUTED_VALUE"""),FALSE)</f>
        <v>0</v>
      </c>
      <c r="E2064" s="35" t="str">
        <f>IFERROR(__xludf.DUMMYFUNCTION("""COMPUTED_VALUE"""),"Medium")</f>
        <v>Medium</v>
      </c>
      <c r="F2064" s="35">
        <f>IFERROR(__xludf.DUMMYFUNCTION("""COMPUTED_VALUE"""),321.0)</f>
        <v>321</v>
      </c>
      <c r="G2064" s="35">
        <f>IFERROR(__xludf.DUMMYFUNCTION("""COMPUTED_VALUE"""),12.0)</f>
        <v>12</v>
      </c>
      <c r="H2064" s="35" t="str">
        <f>IFERROR(__xludf.DUMMYFUNCTION("""COMPUTED_VALUE"""),"Algorithms")</f>
        <v>Algorithms</v>
      </c>
      <c r="I2064" s="35">
        <f>IFERROR(__xludf.DUMMYFUNCTION("""COMPUTED_VALUE"""),0.541)</f>
        <v>0.541</v>
      </c>
      <c r="J2064" s="35">
        <f>IFERROR(__xludf.DUMMYFUNCTION("""COMPUTED_VALUE"""),2063.0)</f>
        <v>2063</v>
      </c>
      <c r="K2064" s="35" t="b">
        <f>IFERROR(__xludf.DUMMYFUNCTION("""COMPUTED_VALUE"""),FALSE)</f>
        <v>0</v>
      </c>
      <c r="L2064" s="35" t="str">
        <f>IFERROR(__xludf.DUMMYFUNCTION("""COMPUTED_VALUE"""),"Math;String;Dynamic Programming;Combinatorics;")</f>
        <v>Math;String;Dynamic Programming;Combinatorics;</v>
      </c>
      <c r="M2064" s="35" t="b">
        <f>IFERROR(__xludf.DUMMYFUNCTION("""COMPUTED_VALUE"""),FALSE)</f>
        <v>0</v>
      </c>
      <c r="N2064" s="35" t="b">
        <f>IFERROR(__xludf.DUMMYFUNCTION("""COMPUTED_VALUE"""),FALSE)</f>
        <v>0</v>
      </c>
      <c r="O2064" s="35">
        <f>IFERROR(__xludf.DUMMYFUNCTION("""COMPUTED_VALUE"""),54.1415423675023)</f>
        <v>54.14154237</v>
      </c>
      <c r="P2064" s="35">
        <f>IFERROR(__xludf.DUMMYFUNCTION("""COMPUTED_VALUE"""),11942.0)</f>
        <v>11942</v>
      </c>
      <c r="Q2064" s="35">
        <f>IFERROR(__xludf.DUMMYFUNCTION("""COMPUTED_VALUE"""),22057.0)</f>
        <v>22057</v>
      </c>
    </row>
    <row r="2065">
      <c r="A2065" s="35">
        <f>IFERROR(__xludf.DUMMYFUNCTION("""COMPUTED_VALUE"""),2188.0)</f>
        <v>2188</v>
      </c>
      <c r="B2065" s="35" t="str">
        <f>IFERROR(__xludf.DUMMYFUNCTION("""COMPUTED_VALUE"""),"Minimized Maximum of Products Distributed to Any Store")</f>
        <v>Minimized Maximum of Products Distributed to Any Store</v>
      </c>
      <c r="C2065" s="35" t="str">
        <f>IFERROR(__xludf.DUMMYFUNCTION("""COMPUTED_VALUE"""),"minimized-maximum-of-products-distributed-to-any-store")</f>
        <v>minimized-maximum-of-products-distributed-to-any-store</v>
      </c>
      <c r="D2065" s="35" t="b">
        <f>IFERROR(__xludf.DUMMYFUNCTION("""COMPUTED_VALUE"""),FALSE)</f>
        <v>0</v>
      </c>
      <c r="E2065" s="35" t="str">
        <f>IFERROR(__xludf.DUMMYFUNCTION("""COMPUTED_VALUE"""),"Medium")</f>
        <v>Medium</v>
      </c>
      <c r="F2065" s="35">
        <f>IFERROR(__xludf.DUMMYFUNCTION("""COMPUTED_VALUE"""),371.0)</f>
        <v>371</v>
      </c>
      <c r="G2065" s="35">
        <f>IFERROR(__xludf.DUMMYFUNCTION("""COMPUTED_VALUE"""),15.0)</f>
        <v>15</v>
      </c>
      <c r="H2065" s="35" t="str">
        <f>IFERROR(__xludf.DUMMYFUNCTION("""COMPUTED_VALUE"""),"Algorithms")</f>
        <v>Algorithms</v>
      </c>
      <c r="I2065" s="35">
        <f>IFERROR(__xludf.DUMMYFUNCTION("""COMPUTED_VALUE"""),0.482)</f>
        <v>0.482</v>
      </c>
      <c r="J2065" s="35">
        <f>IFERROR(__xludf.DUMMYFUNCTION("""COMPUTED_VALUE"""),2064.0)</f>
        <v>2064</v>
      </c>
      <c r="K2065" s="35" t="b">
        <f>IFERROR(__xludf.DUMMYFUNCTION("""COMPUTED_VALUE"""),FALSE)</f>
        <v>0</v>
      </c>
      <c r="L2065" s="35" t="str">
        <f>IFERROR(__xludf.DUMMYFUNCTION("""COMPUTED_VALUE"""),"Array;Binary Search;")</f>
        <v>Array;Binary Search;</v>
      </c>
      <c r="M2065" s="35" t="b">
        <f>IFERROR(__xludf.DUMMYFUNCTION("""COMPUTED_VALUE"""),FALSE)</f>
        <v>0</v>
      </c>
      <c r="N2065" s="35" t="b">
        <f>IFERROR(__xludf.DUMMYFUNCTION("""COMPUTED_VALUE"""),FALSE)</f>
        <v>0</v>
      </c>
      <c r="O2065" s="35">
        <f>IFERROR(__xludf.DUMMYFUNCTION("""COMPUTED_VALUE"""),48.1938244903594)</f>
        <v>48.19382449</v>
      </c>
      <c r="P2065" s="35">
        <f>IFERROR(__xludf.DUMMYFUNCTION("""COMPUTED_VALUE"""),10472.0)</f>
        <v>10472</v>
      </c>
      <c r="Q2065" s="35">
        <f>IFERROR(__xludf.DUMMYFUNCTION("""COMPUTED_VALUE"""),21730.0)</f>
        <v>21730</v>
      </c>
    </row>
    <row r="2066">
      <c r="A2066" s="35">
        <f>IFERROR(__xludf.DUMMYFUNCTION("""COMPUTED_VALUE"""),2189.0)</f>
        <v>2189</v>
      </c>
      <c r="B2066" s="35" t="str">
        <f>IFERROR(__xludf.DUMMYFUNCTION("""COMPUTED_VALUE"""),"Maximum Path Quality of a Graph")</f>
        <v>Maximum Path Quality of a Graph</v>
      </c>
      <c r="C2066" s="35" t="str">
        <f>IFERROR(__xludf.DUMMYFUNCTION("""COMPUTED_VALUE"""),"maximum-path-quality-of-a-graph")</f>
        <v>maximum-path-quality-of-a-graph</v>
      </c>
      <c r="D2066" s="35" t="b">
        <f>IFERROR(__xludf.DUMMYFUNCTION("""COMPUTED_VALUE"""),FALSE)</f>
        <v>0</v>
      </c>
      <c r="E2066" s="35" t="str">
        <f>IFERROR(__xludf.DUMMYFUNCTION("""COMPUTED_VALUE"""),"Hard")</f>
        <v>Hard</v>
      </c>
      <c r="F2066" s="35">
        <f>IFERROR(__xludf.DUMMYFUNCTION("""COMPUTED_VALUE"""),228.0)</f>
        <v>228</v>
      </c>
      <c r="G2066" s="35">
        <f>IFERROR(__xludf.DUMMYFUNCTION("""COMPUTED_VALUE"""),23.0)</f>
        <v>23</v>
      </c>
      <c r="H2066" s="35" t="str">
        <f>IFERROR(__xludf.DUMMYFUNCTION("""COMPUTED_VALUE"""),"Algorithms")</f>
        <v>Algorithms</v>
      </c>
      <c r="I2066" s="35">
        <f>IFERROR(__xludf.DUMMYFUNCTION("""COMPUTED_VALUE"""),0.577)</f>
        <v>0.577</v>
      </c>
      <c r="J2066" s="35">
        <f>IFERROR(__xludf.DUMMYFUNCTION("""COMPUTED_VALUE"""),2065.0)</f>
        <v>2065</v>
      </c>
      <c r="K2066" s="35" t="b">
        <f>IFERROR(__xludf.DUMMYFUNCTION("""COMPUTED_VALUE"""),FALSE)</f>
        <v>0</v>
      </c>
      <c r="L2066" s="35" t="str">
        <f>IFERROR(__xludf.DUMMYFUNCTION("""COMPUTED_VALUE"""),"Array;Backtracking;Graph;")</f>
        <v>Array;Backtracking;Graph;</v>
      </c>
      <c r="M2066" s="35" t="b">
        <f>IFERROR(__xludf.DUMMYFUNCTION("""COMPUTED_VALUE"""),FALSE)</f>
        <v>0</v>
      </c>
      <c r="N2066" s="35" t="b">
        <f>IFERROR(__xludf.DUMMYFUNCTION("""COMPUTED_VALUE"""),FALSE)</f>
        <v>0</v>
      </c>
      <c r="O2066" s="35">
        <f>IFERROR(__xludf.DUMMYFUNCTION("""COMPUTED_VALUE"""),57.7198282715853)</f>
        <v>57.71982827</v>
      </c>
      <c r="P2066" s="35">
        <f>IFERROR(__xludf.DUMMYFUNCTION("""COMPUTED_VALUE"""),7260.0)</f>
        <v>7260</v>
      </c>
      <c r="Q2066" s="35">
        <f>IFERROR(__xludf.DUMMYFUNCTION("""COMPUTED_VALUE"""),12578.0)</f>
        <v>12578</v>
      </c>
    </row>
    <row r="2067">
      <c r="A2067" s="35">
        <f>IFERROR(__xludf.DUMMYFUNCTION("""COMPUTED_VALUE"""),2208.0)</f>
        <v>2208</v>
      </c>
      <c r="B2067" s="35" t="str">
        <f>IFERROR(__xludf.DUMMYFUNCTION("""COMPUTED_VALUE"""),"Account Balance")</f>
        <v>Account Balance</v>
      </c>
      <c r="C2067" s="35" t="str">
        <f>IFERROR(__xludf.DUMMYFUNCTION("""COMPUTED_VALUE"""),"account-balance")</f>
        <v>account-balance</v>
      </c>
      <c r="D2067" s="35" t="b">
        <f>IFERROR(__xludf.DUMMYFUNCTION("""COMPUTED_VALUE"""),TRUE)</f>
        <v>1</v>
      </c>
      <c r="E2067" s="35" t="str">
        <f>IFERROR(__xludf.DUMMYFUNCTION("""COMPUTED_VALUE"""),"Medium")</f>
        <v>Medium</v>
      </c>
      <c r="F2067" s="35">
        <f>IFERROR(__xludf.DUMMYFUNCTION("""COMPUTED_VALUE"""),25.0)</f>
        <v>25</v>
      </c>
      <c r="G2067" s="35">
        <f>IFERROR(__xludf.DUMMYFUNCTION("""COMPUTED_VALUE"""),1.0)</f>
        <v>1</v>
      </c>
      <c r="H2067" s="35" t="str">
        <f>IFERROR(__xludf.DUMMYFUNCTION("""COMPUTED_VALUE"""),"Database")</f>
        <v>Database</v>
      </c>
      <c r="I2067" s="35">
        <f>IFERROR(__xludf.DUMMYFUNCTION("""COMPUTED_VALUE"""),0.851)</f>
        <v>0.851</v>
      </c>
      <c r="J2067" s="35">
        <f>IFERROR(__xludf.DUMMYFUNCTION("""COMPUTED_VALUE"""),2066.0)</f>
        <v>2066</v>
      </c>
      <c r="K2067" s="35" t="b">
        <f>IFERROR(__xludf.DUMMYFUNCTION("""COMPUTED_VALUE"""),TRUE)</f>
        <v>1</v>
      </c>
      <c r="L2067" s="35" t="str">
        <f>IFERROR(__xludf.DUMMYFUNCTION("""COMPUTED_VALUE"""),"Database;")</f>
        <v>Database;</v>
      </c>
      <c r="M2067" s="35" t="b">
        <f>IFERROR(__xludf.DUMMYFUNCTION("""COMPUTED_VALUE"""),FALSE)</f>
        <v>0</v>
      </c>
      <c r="N2067" s="35" t="b">
        <f>IFERROR(__xludf.DUMMYFUNCTION("""COMPUTED_VALUE"""),FALSE)</f>
        <v>0</v>
      </c>
      <c r="O2067" s="35">
        <f>IFERROR(__xludf.DUMMYFUNCTION("""COMPUTED_VALUE"""),85.1049191606467)</f>
        <v>85.10491916</v>
      </c>
      <c r="P2067" s="35">
        <f>IFERROR(__xludf.DUMMYFUNCTION("""COMPUTED_VALUE"""),2474.0)</f>
        <v>2474</v>
      </c>
      <c r="Q2067" s="35">
        <f>IFERROR(__xludf.DUMMYFUNCTION("""COMPUTED_VALUE"""),2907.0)</f>
        <v>2907</v>
      </c>
    </row>
    <row r="2068">
      <c r="A2068" s="35">
        <f>IFERROR(__xludf.DUMMYFUNCTION("""COMPUTED_VALUE"""),2209.0)</f>
        <v>2209</v>
      </c>
      <c r="B2068" s="35" t="str">
        <f>IFERROR(__xludf.DUMMYFUNCTION("""COMPUTED_VALUE"""),"Number of Equal Count Substrings")</f>
        <v>Number of Equal Count Substrings</v>
      </c>
      <c r="C2068" s="35" t="str">
        <f>IFERROR(__xludf.DUMMYFUNCTION("""COMPUTED_VALUE"""),"number-of-equal-count-substrings")</f>
        <v>number-of-equal-count-substrings</v>
      </c>
      <c r="D2068" s="35" t="b">
        <f>IFERROR(__xludf.DUMMYFUNCTION("""COMPUTED_VALUE"""),TRUE)</f>
        <v>1</v>
      </c>
      <c r="E2068" s="35" t="str">
        <f>IFERROR(__xludf.DUMMYFUNCTION("""COMPUTED_VALUE"""),"Medium")</f>
        <v>Medium</v>
      </c>
      <c r="F2068" s="35">
        <f>IFERROR(__xludf.DUMMYFUNCTION("""COMPUTED_VALUE"""),42.0)</f>
        <v>42</v>
      </c>
      <c r="G2068" s="35">
        <f>IFERROR(__xludf.DUMMYFUNCTION("""COMPUTED_VALUE"""),4.0)</f>
        <v>4</v>
      </c>
      <c r="H2068" s="35" t="str">
        <f>IFERROR(__xludf.DUMMYFUNCTION("""COMPUTED_VALUE"""),"Algorithms")</f>
        <v>Algorithms</v>
      </c>
      <c r="I2068" s="35">
        <f>IFERROR(__xludf.DUMMYFUNCTION("""COMPUTED_VALUE"""),0.51)</f>
        <v>0.51</v>
      </c>
      <c r="J2068" s="35">
        <f>IFERROR(__xludf.DUMMYFUNCTION("""COMPUTED_VALUE"""),2067.0)</f>
        <v>2067</v>
      </c>
      <c r="K2068" s="35" t="b">
        <f>IFERROR(__xludf.DUMMYFUNCTION("""COMPUTED_VALUE"""),TRUE)</f>
        <v>1</v>
      </c>
      <c r="L2068" s="35" t="str">
        <f>IFERROR(__xludf.DUMMYFUNCTION("""COMPUTED_VALUE"""),"String;Counting;Prefix Sum;")</f>
        <v>String;Counting;Prefix Sum;</v>
      </c>
      <c r="M2068" s="35" t="b">
        <f>IFERROR(__xludf.DUMMYFUNCTION("""COMPUTED_VALUE"""),FALSE)</f>
        <v>0</v>
      </c>
      <c r="N2068" s="35" t="b">
        <f>IFERROR(__xludf.DUMMYFUNCTION("""COMPUTED_VALUE"""),FALSE)</f>
        <v>0</v>
      </c>
      <c r="O2068" s="35">
        <f>IFERROR(__xludf.DUMMYFUNCTION("""COMPUTED_VALUE"""),50.9401709401709)</f>
        <v>50.94017094</v>
      </c>
      <c r="P2068" s="35">
        <f>IFERROR(__xludf.DUMMYFUNCTION("""COMPUTED_VALUE"""),893.0)</f>
        <v>893</v>
      </c>
      <c r="Q2068" s="35">
        <f>IFERROR(__xludf.DUMMYFUNCTION("""COMPUTED_VALUE"""),1751.0)</f>
        <v>1751</v>
      </c>
    </row>
    <row r="2069">
      <c r="A2069" s="35">
        <f>IFERROR(__xludf.DUMMYFUNCTION("""COMPUTED_VALUE"""),2177.0)</f>
        <v>2177</v>
      </c>
      <c r="B2069" s="35" t="str">
        <f>IFERROR(__xludf.DUMMYFUNCTION("""COMPUTED_VALUE"""),"Check Whether Two Strings are Almost Equivalent")</f>
        <v>Check Whether Two Strings are Almost Equivalent</v>
      </c>
      <c r="C2069" s="35" t="str">
        <f>IFERROR(__xludf.DUMMYFUNCTION("""COMPUTED_VALUE"""),"check-whether-two-strings-are-almost-equivalent")</f>
        <v>check-whether-two-strings-are-almost-equivalent</v>
      </c>
      <c r="D2069" s="35" t="b">
        <f>IFERROR(__xludf.DUMMYFUNCTION("""COMPUTED_VALUE"""),FALSE)</f>
        <v>0</v>
      </c>
      <c r="E2069" s="35" t="str">
        <f>IFERROR(__xludf.DUMMYFUNCTION("""COMPUTED_VALUE"""),"Easy")</f>
        <v>Easy</v>
      </c>
      <c r="F2069" s="35">
        <f>IFERROR(__xludf.DUMMYFUNCTION("""COMPUTED_VALUE"""),179.0)</f>
        <v>179</v>
      </c>
      <c r="G2069" s="35">
        <f>IFERROR(__xludf.DUMMYFUNCTION("""COMPUTED_VALUE"""),6.0)</f>
        <v>6</v>
      </c>
      <c r="H2069" s="35" t="str">
        <f>IFERROR(__xludf.DUMMYFUNCTION("""COMPUTED_VALUE"""),"Algorithms")</f>
        <v>Algorithms</v>
      </c>
      <c r="I2069" s="35">
        <f>IFERROR(__xludf.DUMMYFUNCTION("""COMPUTED_VALUE"""),0.666)</f>
        <v>0.666</v>
      </c>
      <c r="J2069" s="35">
        <f>IFERROR(__xludf.DUMMYFUNCTION("""COMPUTED_VALUE"""),2068.0)</f>
        <v>2068</v>
      </c>
      <c r="K2069" s="35" t="b">
        <f>IFERROR(__xludf.DUMMYFUNCTION("""COMPUTED_VALUE"""),FALSE)</f>
        <v>0</v>
      </c>
      <c r="L2069" s="35" t="str">
        <f>IFERROR(__xludf.DUMMYFUNCTION("""COMPUTED_VALUE"""),"Hash Table;String;Counting;")</f>
        <v>Hash Table;String;Counting;</v>
      </c>
      <c r="M2069" s="35" t="b">
        <f>IFERROR(__xludf.DUMMYFUNCTION("""COMPUTED_VALUE"""),FALSE)</f>
        <v>0</v>
      </c>
      <c r="N2069" s="35" t="b">
        <f>IFERROR(__xludf.DUMMYFUNCTION("""COMPUTED_VALUE"""),FALSE)</f>
        <v>0</v>
      </c>
      <c r="O2069" s="35">
        <f>IFERROR(__xludf.DUMMYFUNCTION("""COMPUTED_VALUE"""),66.5946946329426)</f>
        <v>66.59469463</v>
      </c>
      <c r="P2069" s="35">
        <f>IFERROR(__xludf.DUMMYFUNCTION("""COMPUTED_VALUE"""),15112.0)</f>
        <v>15112</v>
      </c>
      <c r="Q2069" s="35">
        <f>IFERROR(__xludf.DUMMYFUNCTION("""COMPUTED_VALUE"""),22693.0)</f>
        <v>22693</v>
      </c>
    </row>
    <row r="2070">
      <c r="A2070" s="35">
        <f>IFERROR(__xludf.DUMMYFUNCTION("""COMPUTED_VALUE"""),2178.0)</f>
        <v>2178</v>
      </c>
      <c r="B2070" s="35" t="str">
        <f>IFERROR(__xludf.DUMMYFUNCTION("""COMPUTED_VALUE"""),"Walking Robot Simulation II")</f>
        <v>Walking Robot Simulation II</v>
      </c>
      <c r="C2070" s="35" t="str">
        <f>IFERROR(__xludf.DUMMYFUNCTION("""COMPUTED_VALUE"""),"walking-robot-simulation-ii")</f>
        <v>walking-robot-simulation-ii</v>
      </c>
      <c r="D2070" s="35" t="b">
        <f>IFERROR(__xludf.DUMMYFUNCTION("""COMPUTED_VALUE"""),FALSE)</f>
        <v>0</v>
      </c>
      <c r="E2070" s="35" t="str">
        <f>IFERROR(__xludf.DUMMYFUNCTION("""COMPUTED_VALUE"""),"Medium")</f>
        <v>Medium</v>
      </c>
      <c r="F2070" s="35">
        <f>IFERROR(__xludf.DUMMYFUNCTION("""COMPUTED_VALUE"""),103.0)</f>
        <v>103</v>
      </c>
      <c r="G2070" s="35">
        <f>IFERROR(__xludf.DUMMYFUNCTION("""COMPUTED_VALUE"""),229.0)</f>
        <v>229</v>
      </c>
      <c r="H2070" s="35" t="str">
        <f>IFERROR(__xludf.DUMMYFUNCTION("""COMPUTED_VALUE"""),"Algorithms")</f>
        <v>Algorithms</v>
      </c>
      <c r="I2070" s="35">
        <f>IFERROR(__xludf.DUMMYFUNCTION("""COMPUTED_VALUE"""),0.214)</f>
        <v>0.214</v>
      </c>
      <c r="J2070" s="35">
        <f>IFERROR(__xludf.DUMMYFUNCTION("""COMPUTED_VALUE"""),2069.0)</f>
        <v>2069</v>
      </c>
      <c r="K2070" s="35" t="b">
        <f>IFERROR(__xludf.DUMMYFUNCTION("""COMPUTED_VALUE"""),FALSE)</f>
        <v>0</v>
      </c>
      <c r="L2070" s="35" t="str">
        <f>IFERROR(__xludf.DUMMYFUNCTION("""COMPUTED_VALUE"""),"Design;Simulation;")</f>
        <v>Design;Simulation;</v>
      </c>
      <c r="M2070" s="35" t="b">
        <f>IFERROR(__xludf.DUMMYFUNCTION("""COMPUTED_VALUE"""),FALSE)</f>
        <v>0</v>
      </c>
      <c r="N2070" s="35" t="b">
        <f>IFERROR(__xludf.DUMMYFUNCTION("""COMPUTED_VALUE"""),FALSE)</f>
        <v>0</v>
      </c>
      <c r="O2070" s="35">
        <f>IFERROR(__xludf.DUMMYFUNCTION("""COMPUTED_VALUE"""),21.3710651316319)</f>
        <v>21.37106513</v>
      </c>
      <c r="P2070" s="35">
        <f>IFERROR(__xludf.DUMMYFUNCTION("""COMPUTED_VALUE"""),5309.0)</f>
        <v>5309</v>
      </c>
      <c r="Q2070" s="35">
        <f>IFERROR(__xludf.DUMMYFUNCTION("""COMPUTED_VALUE"""),24842.0)</f>
        <v>24842</v>
      </c>
    </row>
    <row r="2071">
      <c r="A2071" s="35">
        <f>IFERROR(__xludf.DUMMYFUNCTION("""COMPUTED_VALUE"""),2179.0)</f>
        <v>2179</v>
      </c>
      <c r="B2071" s="35" t="str">
        <f>IFERROR(__xludf.DUMMYFUNCTION("""COMPUTED_VALUE"""),"Most Beautiful Item for Each Query")</f>
        <v>Most Beautiful Item for Each Query</v>
      </c>
      <c r="C2071" s="35" t="str">
        <f>IFERROR(__xludf.DUMMYFUNCTION("""COMPUTED_VALUE"""),"most-beautiful-item-for-each-query")</f>
        <v>most-beautiful-item-for-each-query</v>
      </c>
      <c r="D2071" s="35" t="b">
        <f>IFERROR(__xludf.DUMMYFUNCTION("""COMPUTED_VALUE"""),FALSE)</f>
        <v>0</v>
      </c>
      <c r="E2071" s="35" t="str">
        <f>IFERROR(__xludf.DUMMYFUNCTION("""COMPUTED_VALUE"""),"Medium")</f>
        <v>Medium</v>
      </c>
      <c r="F2071" s="35">
        <f>IFERROR(__xludf.DUMMYFUNCTION("""COMPUTED_VALUE"""),272.0)</f>
        <v>272</v>
      </c>
      <c r="G2071" s="35">
        <f>IFERROR(__xludf.DUMMYFUNCTION("""COMPUTED_VALUE"""),7.0)</f>
        <v>7</v>
      </c>
      <c r="H2071" s="35" t="str">
        <f>IFERROR(__xludf.DUMMYFUNCTION("""COMPUTED_VALUE"""),"Algorithms")</f>
        <v>Algorithms</v>
      </c>
      <c r="I2071" s="35">
        <f>IFERROR(__xludf.DUMMYFUNCTION("""COMPUTED_VALUE"""),0.486)</f>
        <v>0.486</v>
      </c>
      <c r="J2071" s="35">
        <f>IFERROR(__xludf.DUMMYFUNCTION("""COMPUTED_VALUE"""),2070.0)</f>
        <v>2070</v>
      </c>
      <c r="K2071" s="35" t="b">
        <f>IFERROR(__xludf.DUMMYFUNCTION("""COMPUTED_VALUE"""),FALSE)</f>
        <v>0</v>
      </c>
      <c r="L2071" s="35" t="str">
        <f>IFERROR(__xludf.DUMMYFUNCTION("""COMPUTED_VALUE"""),"Array;Binary Search;Sorting;")</f>
        <v>Array;Binary Search;Sorting;</v>
      </c>
      <c r="M2071" s="35" t="b">
        <f>IFERROR(__xludf.DUMMYFUNCTION("""COMPUTED_VALUE"""),FALSE)</f>
        <v>0</v>
      </c>
      <c r="N2071" s="35" t="b">
        <f>IFERROR(__xludf.DUMMYFUNCTION("""COMPUTED_VALUE"""),FALSE)</f>
        <v>0</v>
      </c>
      <c r="O2071" s="35">
        <f>IFERROR(__xludf.DUMMYFUNCTION("""COMPUTED_VALUE"""),48.5537322010088)</f>
        <v>48.5537322</v>
      </c>
      <c r="P2071" s="35">
        <f>IFERROR(__xludf.DUMMYFUNCTION("""COMPUTED_VALUE"""),7604.0)</f>
        <v>7604</v>
      </c>
      <c r="Q2071" s="35">
        <f>IFERROR(__xludf.DUMMYFUNCTION("""COMPUTED_VALUE"""),15661.0)</f>
        <v>15661</v>
      </c>
    </row>
    <row r="2072">
      <c r="A2072" s="35">
        <f>IFERROR(__xludf.DUMMYFUNCTION("""COMPUTED_VALUE"""),2180.0)</f>
        <v>2180</v>
      </c>
      <c r="B2072" s="35" t="str">
        <f>IFERROR(__xludf.DUMMYFUNCTION("""COMPUTED_VALUE"""),"Maximum Number of Tasks You Can Assign")</f>
        <v>Maximum Number of Tasks You Can Assign</v>
      </c>
      <c r="C2072" s="35" t="str">
        <f>IFERROR(__xludf.DUMMYFUNCTION("""COMPUTED_VALUE"""),"maximum-number-of-tasks-you-can-assign")</f>
        <v>maximum-number-of-tasks-you-can-assign</v>
      </c>
      <c r="D2072" s="35" t="b">
        <f>IFERROR(__xludf.DUMMYFUNCTION("""COMPUTED_VALUE"""),FALSE)</f>
        <v>0</v>
      </c>
      <c r="E2072" s="35" t="str">
        <f>IFERROR(__xludf.DUMMYFUNCTION("""COMPUTED_VALUE"""),"Hard")</f>
        <v>Hard</v>
      </c>
      <c r="F2072" s="35">
        <f>IFERROR(__xludf.DUMMYFUNCTION("""COMPUTED_VALUE"""),213.0)</f>
        <v>213</v>
      </c>
      <c r="G2072" s="35">
        <f>IFERROR(__xludf.DUMMYFUNCTION("""COMPUTED_VALUE"""),10.0)</f>
        <v>10</v>
      </c>
      <c r="H2072" s="35" t="str">
        <f>IFERROR(__xludf.DUMMYFUNCTION("""COMPUTED_VALUE"""),"Algorithms")</f>
        <v>Algorithms</v>
      </c>
      <c r="I2072" s="35">
        <f>IFERROR(__xludf.DUMMYFUNCTION("""COMPUTED_VALUE"""),0.371)</f>
        <v>0.371</v>
      </c>
      <c r="J2072" s="35">
        <f>IFERROR(__xludf.DUMMYFUNCTION("""COMPUTED_VALUE"""),2071.0)</f>
        <v>2071</v>
      </c>
      <c r="K2072" s="35" t="b">
        <f>IFERROR(__xludf.DUMMYFUNCTION("""COMPUTED_VALUE"""),FALSE)</f>
        <v>0</v>
      </c>
      <c r="L2072" s="35" t="str">
        <f>IFERROR(__xludf.DUMMYFUNCTION("""COMPUTED_VALUE"""),"Array;Binary Search;Greedy;Queue;Sorting;Monotonic Queue;")</f>
        <v>Array;Binary Search;Greedy;Queue;Sorting;Monotonic Queue;</v>
      </c>
      <c r="M2072" s="35" t="b">
        <f>IFERROR(__xludf.DUMMYFUNCTION("""COMPUTED_VALUE"""),FALSE)</f>
        <v>0</v>
      </c>
      <c r="N2072" s="35" t="b">
        <f>IFERROR(__xludf.DUMMYFUNCTION("""COMPUTED_VALUE"""),FALSE)</f>
        <v>0</v>
      </c>
      <c r="O2072" s="35">
        <f>IFERROR(__xludf.DUMMYFUNCTION("""COMPUTED_VALUE"""),37.0900306605964)</f>
        <v>37.09003066</v>
      </c>
      <c r="P2072" s="35">
        <f>IFERROR(__xludf.DUMMYFUNCTION("""COMPUTED_VALUE"""),3992.0)</f>
        <v>3992</v>
      </c>
      <c r="Q2072" s="35">
        <f>IFERROR(__xludf.DUMMYFUNCTION("""COMPUTED_VALUE"""),10763.0)</f>
        <v>10763</v>
      </c>
    </row>
    <row r="2073">
      <c r="A2073" s="35">
        <f>IFERROR(__xludf.DUMMYFUNCTION("""COMPUTED_VALUE"""),2214.0)</f>
        <v>2214</v>
      </c>
      <c r="B2073" s="35" t="str">
        <f>IFERROR(__xludf.DUMMYFUNCTION("""COMPUTED_VALUE"""),"The Winner University")</f>
        <v>The Winner University</v>
      </c>
      <c r="C2073" s="35" t="str">
        <f>IFERROR(__xludf.DUMMYFUNCTION("""COMPUTED_VALUE"""),"the-winner-university")</f>
        <v>the-winner-university</v>
      </c>
      <c r="D2073" s="35" t="b">
        <f>IFERROR(__xludf.DUMMYFUNCTION("""COMPUTED_VALUE"""),TRUE)</f>
        <v>1</v>
      </c>
      <c r="E2073" s="35" t="str">
        <f>IFERROR(__xludf.DUMMYFUNCTION("""COMPUTED_VALUE"""),"Easy")</f>
        <v>Easy</v>
      </c>
      <c r="F2073" s="35">
        <f>IFERROR(__xludf.DUMMYFUNCTION("""COMPUTED_VALUE"""),20.0)</f>
        <v>20</v>
      </c>
      <c r="G2073" s="35">
        <f>IFERROR(__xludf.DUMMYFUNCTION("""COMPUTED_VALUE"""),2.0)</f>
        <v>2</v>
      </c>
      <c r="H2073" s="35" t="str">
        <f>IFERROR(__xludf.DUMMYFUNCTION("""COMPUTED_VALUE"""),"Database")</f>
        <v>Database</v>
      </c>
      <c r="I2073" s="35">
        <f>IFERROR(__xludf.DUMMYFUNCTION("""COMPUTED_VALUE"""),0.729)</f>
        <v>0.729</v>
      </c>
      <c r="J2073" s="35">
        <f>IFERROR(__xludf.DUMMYFUNCTION("""COMPUTED_VALUE"""),2072.0)</f>
        <v>2072</v>
      </c>
      <c r="K2073" s="35" t="b">
        <f>IFERROR(__xludf.DUMMYFUNCTION("""COMPUTED_VALUE"""),TRUE)</f>
        <v>1</v>
      </c>
      <c r="L2073" s="35" t="str">
        <f>IFERROR(__xludf.DUMMYFUNCTION("""COMPUTED_VALUE"""),"Database;")</f>
        <v>Database;</v>
      </c>
      <c r="M2073" s="35" t="b">
        <f>IFERROR(__xludf.DUMMYFUNCTION("""COMPUTED_VALUE"""),FALSE)</f>
        <v>0</v>
      </c>
      <c r="N2073" s="35" t="b">
        <f>IFERROR(__xludf.DUMMYFUNCTION("""COMPUTED_VALUE"""),FALSE)</f>
        <v>0</v>
      </c>
      <c r="O2073" s="35">
        <f>IFERROR(__xludf.DUMMYFUNCTION("""COMPUTED_VALUE"""),72.8863692383534)</f>
        <v>72.88636924</v>
      </c>
      <c r="P2073" s="35">
        <f>IFERROR(__xludf.DUMMYFUNCTION("""COMPUTED_VALUE"""),2957.0)</f>
        <v>2957</v>
      </c>
      <c r="Q2073" s="35">
        <f>IFERROR(__xludf.DUMMYFUNCTION("""COMPUTED_VALUE"""),4057.0)</f>
        <v>4057</v>
      </c>
    </row>
    <row r="2074">
      <c r="A2074" s="35">
        <f>IFERROR(__xludf.DUMMYFUNCTION("""COMPUTED_VALUE"""),2195.0)</f>
        <v>2195</v>
      </c>
      <c r="B2074" s="35" t="str">
        <f>IFERROR(__xludf.DUMMYFUNCTION("""COMPUTED_VALUE"""),"Time Needed to Buy Tickets")</f>
        <v>Time Needed to Buy Tickets</v>
      </c>
      <c r="C2074" s="35" t="str">
        <f>IFERROR(__xludf.DUMMYFUNCTION("""COMPUTED_VALUE"""),"time-needed-to-buy-tickets")</f>
        <v>time-needed-to-buy-tickets</v>
      </c>
      <c r="D2074" s="35" t="b">
        <f>IFERROR(__xludf.DUMMYFUNCTION("""COMPUTED_VALUE"""),FALSE)</f>
        <v>0</v>
      </c>
      <c r="E2074" s="35" t="str">
        <f>IFERROR(__xludf.DUMMYFUNCTION("""COMPUTED_VALUE"""),"Easy")</f>
        <v>Easy</v>
      </c>
      <c r="F2074" s="35">
        <f>IFERROR(__xludf.DUMMYFUNCTION("""COMPUTED_VALUE"""),293.0)</f>
        <v>293</v>
      </c>
      <c r="G2074" s="35">
        <f>IFERROR(__xludf.DUMMYFUNCTION("""COMPUTED_VALUE"""),18.0)</f>
        <v>18</v>
      </c>
      <c r="H2074" s="35" t="str">
        <f>IFERROR(__xludf.DUMMYFUNCTION("""COMPUTED_VALUE"""),"Algorithms")</f>
        <v>Algorithms</v>
      </c>
      <c r="I2074" s="35">
        <f>IFERROR(__xludf.DUMMYFUNCTION("""COMPUTED_VALUE"""),0.62)</f>
        <v>0.62</v>
      </c>
      <c r="J2074" s="35">
        <f>IFERROR(__xludf.DUMMYFUNCTION("""COMPUTED_VALUE"""),2073.0)</f>
        <v>2073</v>
      </c>
      <c r="K2074" s="35" t="b">
        <f>IFERROR(__xludf.DUMMYFUNCTION("""COMPUTED_VALUE"""),FALSE)</f>
        <v>0</v>
      </c>
      <c r="L2074" s="35" t="str">
        <f>IFERROR(__xludf.DUMMYFUNCTION("""COMPUTED_VALUE"""),"Array;Queue;Simulation;")</f>
        <v>Array;Queue;Simulation;</v>
      </c>
      <c r="M2074" s="35" t="b">
        <f>IFERROR(__xludf.DUMMYFUNCTION("""COMPUTED_VALUE"""),FALSE)</f>
        <v>0</v>
      </c>
      <c r="N2074" s="35" t="b">
        <f>IFERROR(__xludf.DUMMYFUNCTION("""COMPUTED_VALUE"""),FALSE)</f>
        <v>0</v>
      </c>
      <c r="O2074" s="35">
        <f>IFERROR(__xludf.DUMMYFUNCTION("""COMPUTED_VALUE"""),61.9934063738386)</f>
        <v>61.99340637</v>
      </c>
      <c r="P2074" s="35">
        <f>IFERROR(__xludf.DUMMYFUNCTION("""COMPUTED_VALUE"""),18616.0)</f>
        <v>18616</v>
      </c>
      <c r="Q2074" s="35">
        <f>IFERROR(__xludf.DUMMYFUNCTION("""COMPUTED_VALUE"""),30029.0)</f>
        <v>30029</v>
      </c>
    </row>
    <row r="2075">
      <c r="A2075" s="35">
        <f>IFERROR(__xludf.DUMMYFUNCTION("""COMPUTED_VALUE"""),2196.0)</f>
        <v>2196</v>
      </c>
      <c r="B2075" s="35" t="str">
        <f>IFERROR(__xludf.DUMMYFUNCTION("""COMPUTED_VALUE"""),"Reverse Nodes in Even Length Groups")</f>
        <v>Reverse Nodes in Even Length Groups</v>
      </c>
      <c r="C2075" s="35" t="str">
        <f>IFERROR(__xludf.DUMMYFUNCTION("""COMPUTED_VALUE"""),"reverse-nodes-in-even-length-groups")</f>
        <v>reverse-nodes-in-even-length-groups</v>
      </c>
      <c r="D2075" s="35" t="b">
        <f>IFERROR(__xludf.DUMMYFUNCTION("""COMPUTED_VALUE"""),FALSE)</f>
        <v>0</v>
      </c>
      <c r="E2075" s="35" t="str">
        <f>IFERROR(__xludf.DUMMYFUNCTION("""COMPUTED_VALUE"""),"Medium")</f>
        <v>Medium</v>
      </c>
      <c r="F2075" s="35">
        <f>IFERROR(__xludf.DUMMYFUNCTION("""COMPUTED_VALUE"""),155.0)</f>
        <v>155</v>
      </c>
      <c r="G2075" s="35">
        <f>IFERROR(__xludf.DUMMYFUNCTION("""COMPUTED_VALUE"""),179.0)</f>
        <v>179</v>
      </c>
      <c r="H2075" s="35" t="str">
        <f>IFERROR(__xludf.DUMMYFUNCTION("""COMPUTED_VALUE"""),"Algorithms")</f>
        <v>Algorithms</v>
      </c>
      <c r="I2075" s="35">
        <f>IFERROR(__xludf.DUMMYFUNCTION("""COMPUTED_VALUE"""),0.497)</f>
        <v>0.497</v>
      </c>
      <c r="J2075" s="35">
        <f>IFERROR(__xludf.DUMMYFUNCTION("""COMPUTED_VALUE"""),2074.0)</f>
        <v>2074</v>
      </c>
      <c r="K2075" s="35" t="b">
        <f>IFERROR(__xludf.DUMMYFUNCTION("""COMPUTED_VALUE"""),FALSE)</f>
        <v>0</v>
      </c>
      <c r="L2075" s="35" t="str">
        <f>IFERROR(__xludf.DUMMYFUNCTION("""COMPUTED_VALUE"""),"Linked List;")</f>
        <v>Linked List;</v>
      </c>
      <c r="M2075" s="35" t="b">
        <f>IFERROR(__xludf.DUMMYFUNCTION("""COMPUTED_VALUE"""),FALSE)</f>
        <v>0</v>
      </c>
      <c r="N2075" s="35" t="b">
        <f>IFERROR(__xludf.DUMMYFUNCTION("""COMPUTED_VALUE"""),FALSE)</f>
        <v>0</v>
      </c>
      <c r="O2075" s="35">
        <f>IFERROR(__xludf.DUMMYFUNCTION("""COMPUTED_VALUE"""),49.7136701253047)</f>
        <v>49.71367013</v>
      </c>
      <c r="P2075" s="35">
        <f>IFERROR(__xludf.DUMMYFUNCTION("""COMPUTED_VALUE"""),8768.0)</f>
        <v>8768</v>
      </c>
      <c r="Q2075" s="35">
        <f>IFERROR(__xludf.DUMMYFUNCTION("""COMPUTED_VALUE"""),17637.0)</f>
        <v>17637</v>
      </c>
    </row>
    <row r="2076">
      <c r="A2076" s="35">
        <f>IFERROR(__xludf.DUMMYFUNCTION("""COMPUTED_VALUE"""),2197.0)</f>
        <v>2197</v>
      </c>
      <c r="B2076" s="35" t="str">
        <f>IFERROR(__xludf.DUMMYFUNCTION("""COMPUTED_VALUE"""),"Decode the Slanted Ciphertext")</f>
        <v>Decode the Slanted Ciphertext</v>
      </c>
      <c r="C2076" s="35" t="str">
        <f>IFERROR(__xludf.DUMMYFUNCTION("""COMPUTED_VALUE"""),"decode-the-slanted-ciphertext")</f>
        <v>decode-the-slanted-ciphertext</v>
      </c>
      <c r="D2076" s="35" t="b">
        <f>IFERROR(__xludf.DUMMYFUNCTION("""COMPUTED_VALUE"""),FALSE)</f>
        <v>0</v>
      </c>
      <c r="E2076" s="35" t="str">
        <f>IFERROR(__xludf.DUMMYFUNCTION("""COMPUTED_VALUE"""),"Medium")</f>
        <v>Medium</v>
      </c>
      <c r="F2076" s="35">
        <f>IFERROR(__xludf.DUMMYFUNCTION("""COMPUTED_VALUE"""),137.0)</f>
        <v>137</v>
      </c>
      <c r="G2076" s="35">
        <f>IFERROR(__xludf.DUMMYFUNCTION("""COMPUTED_VALUE"""),29.0)</f>
        <v>29</v>
      </c>
      <c r="H2076" s="35" t="str">
        <f>IFERROR(__xludf.DUMMYFUNCTION("""COMPUTED_VALUE"""),"Algorithms")</f>
        <v>Algorithms</v>
      </c>
      <c r="I2076" s="35">
        <f>IFERROR(__xludf.DUMMYFUNCTION("""COMPUTED_VALUE"""),0.499)</f>
        <v>0.499</v>
      </c>
      <c r="J2076" s="35">
        <f>IFERROR(__xludf.DUMMYFUNCTION("""COMPUTED_VALUE"""),2075.0)</f>
        <v>2075</v>
      </c>
      <c r="K2076" s="35" t="b">
        <f>IFERROR(__xludf.DUMMYFUNCTION("""COMPUTED_VALUE"""),FALSE)</f>
        <v>0</v>
      </c>
      <c r="L2076" s="35" t="str">
        <f>IFERROR(__xludf.DUMMYFUNCTION("""COMPUTED_VALUE"""),"String;Simulation;")</f>
        <v>String;Simulation;</v>
      </c>
      <c r="M2076" s="35" t="b">
        <f>IFERROR(__xludf.DUMMYFUNCTION("""COMPUTED_VALUE"""),FALSE)</f>
        <v>0</v>
      </c>
      <c r="N2076" s="35" t="b">
        <f>IFERROR(__xludf.DUMMYFUNCTION("""COMPUTED_VALUE"""),FALSE)</f>
        <v>0</v>
      </c>
      <c r="O2076" s="35">
        <f>IFERROR(__xludf.DUMMYFUNCTION("""COMPUTED_VALUE"""),49.9133333333333)</f>
        <v>49.91333333</v>
      </c>
      <c r="P2076" s="35">
        <f>IFERROR(__xludf.DUMMYFUNCTION("""COMPUTED_VALUE"""),7487.0)</f>
        <v>7487</v>
      </c>
      <c r="Q2076" s="35">
        <f>IFERROR(__xludf.DUMMYFUNCTION("""COMPUTED_VALUE"""),15000.0)</f>
        <v>15000</v>
      </c>
    </row>
    <row r="2077">
      <c r="A2077" s="35">
        <f>IFERROR(__xludf.DUMMYFUNCTION("""COMPUTED_VALUE"""),2198.0)</f>
        <v>2198</v>
      </c>
      <c r="B2077" s="35" t="str">
        <f>IFERROR(__xludf.DUMMYFUNCTION("""COMPUTED_VALUE"""),"Process Restricted Friend Requests")</f>
        <v>Process Restricted Friend Requests</v>
      </c>
      <c r="C2077" s="35" t="str">
        <f>IFERROR(__xludf.DUMMYFUNCTION("""COMPUTED_VALUE"""),"process-restricted-friend-requests")</f>
        <v>process-restricted-friend-requests</v>
      </c>
      <c r="D2077" s="35" t="b">
        <f>IFERROR(__xludf.DUMMYFUNCTION("""COMPUTED_VALUE"""),FALSE)</f>
        <v>0</v>
      </c>
      <c r="E2077" s="35" t="str">
        <f>IFERROR(__xludf.DUMMYFUNCTION("""COMPUTED_VALUE"""),"Hard")</f>
        <v>Hard</v>
      </c>
      <c r="F2077" s="35">
        <f>IFERROR(__xludf.DUMMYFUNCTION("""COMPUTED_VALUE"""),293.0)</f>
        <v>293</v>
      </c>
      <c r="G2077" s="35">
        <f>IFERROR(__xludf.DUMMYFUNCTION("""COMPUTED_VALUE"""),3.0)</f>
        <v>3</v>
      </c>
      <c r="H2077" s="35" t="str">
        <f>IFERROR(__xludf.DUMMYFUNCTION("""COMPUTED_VALUE"""),"Algorithms")</f>
        <v>Algorithms</v>
      </c>
      <c r="I2077" s="35">
        <f>IFERROR(__xludf.DUMMYFUNCTION("""COMPUTED_VALUE"""),0.531)</f>
        <v>0.531</v>
      </c>
      <c r="J2077" s="35">
        <f>IFERROR(__xludf.DUMMYFUNCTION("""COMPUTED_VALUE"""),2076.0)</f>
        <v>2076</v>
      </c>
      <c r="K2077" s="35" t="b">
        <f>IFERROR(__xludf.DUMMYFUNCTION("""COMPUTED_VALUE"""),FALSE)</f>
        <v>0</v>
      </c>
      <c r="L2077" s="35" t="str">
        <f>IFERROR(__xludf.DUMMYFUNCTION("""COMPUTED_VALUE"""),"Union Find;Graph;")</f>
        <v>Union Find;Graph;</v>
      </c>
      <c r="M2077" s="35" t="b">
        <f>IFERROR(__xludf.DUMMYFUNCTION("""COMPUTED_VALUE"""),FALSE)</f>
        <v>0</v>
      </c>
      <c r="N2077" s="35" t="b">
        <f>IFERROR(__xludf.DUMMYFUNCTION("""COMPUTED_VALUE"""),FALSE)</f>
        <v>0</v>
      </c>
      <c r="O2077" s="35">
        <f>IFERROR(__xludf.DUMMYFUNCTION("""COMPUTED_VALUE"""),53.1017530241283)</f>
        <v>53.10175302</v>
      </c>
      <c r="P2077" s="35">
        <f>IFERROR(__xludf.DUMMYFUNCTION("""COMPUTED_VALUE"""),8209.0)</f>
        <v>8209</v>
      </c>
      <c r="Q2077" s="35">
        <f>IFERROR(__xludf.DUMMYFUNCTION("""COMPUTED_VALUE"""),15459.0)</f>
        <v>15459</v>
      </c>
    </row>
    <row r="2078">
      <c r="A2078" s="35">
        <f>IFERROR(__xludf.DUMMYFUNCTION("""COMPUTED_VALUE"""),2218.0)</f>
        <v>2218</v>
      </c>
      <c r="B2078" s="35" t="str">
        <f>IFERROR(__xludf.DUMMYFUNCTION("""COMPUTED_VALUE"""),"Paths in Maze That Lead to Same Room")</f>
        <v>Paths in Maze That Lead to Same Room</v>
      </c>
      <c r="C2078" s="35" t="str">
        <f>IFERROR(__xludf.DUMMYFUNCTION("""COMPUTED_VALUE"""),"paths-in-maze-that-lead-to-same-room")</f>
        <v>paths-in-maze-that-lead-to-same-room</v>
      </c>
      <c r="D2078" s="35" t="b">
        <f>IFERROR(__xludf.DUMMYFUNCTION("""COMPUTED_VALUE"""),TRUE)</f>
        <v>1</v>
      </c>
      <c r="E2078" s="35" t="str">
        <f>IFERROR(__xludf.DUMMYFUNCTION("""COMPUTED_VALUE"""),"Medium")</f>
        <v>Medium</v>
      </c>
      <c r="F2078" s="35">
        <f>IFERROR(__xludf.DUMMYFUNCTION("""COMPUTED_VALUE"""),42.0)</f>
        <v>42</v>
      </c>
      <c r="G2078" s="35">
        <f>IFERROR(__xludf.DUMMYFUNCTION("""COMPUTED_VALUE"""),4.0)</f>
        <v>4</v>
      </c>
      <c r="H2078" s="35" t="str">
        <f>IFERROR(__xludf.DUMMYFUNCTION("""COMPUTED_VALUE"""),"Algorithms")</f>
        <v>Algorithms</v>
      </c>
      <c r="I2078" s="35">
        <f>IFERROR(__xludf.DUMMYFUNCTION("""COMPUTED_VALUE"""),0.584)</f>
        <v>0.584</v>
      </c>
      <c r="J2078" s="35">
        <f>IFERROR(__xludf.DUMMYFUNCTION("""COMPUTED_VALUE"""),2077.0)</f>
        <v>2077</v>
      </c>
      <c r="K2078" s="35" t="b">
        <f>IFERROR(__xludf.DUMMYFUNCTION("""COMPUTED_VALUE"""),TRUE)</f>
        <v>1</v>
      </c>
      <c r="L2078" s="35" t="str">
        <f>IFERROR(__xludf.DUMMYFUNCTION("""COMPUTED_VALUE"""),"Graph;")</f>
        <v>Graph;</v>
      </c>
      <c r="M2078" s="35" t="b">
        <f>IFERROR(__xludf.DUMMYFUNCTION("""COMPUTED_VALUE"""),FALSE)</f>
        <v>0</v>
      </c>
      <c r="N2078" s="35" t="b">
        <f>IFERROR(__xludf.DUMMYFUNCTION("""COMPUTED_VALUE"""),FALSE)</f>
        <v>0</v>
      </c>
      <c r="O2078" s="35">
        <f>IFERROR(__xludf.DUMMYFUNCTION("""COMPUTED_VALUE"""),58.3923365264473)</f>
        <v>58.39233653</v>
      </c>
      <c r="P2078" s="35">
        <f>IFERROR(__xludf.DUMMYFUNCTION("""COMPUTED_VALUE"""),1402.0)</f>
        <v>1402</v>
      </c>
      <c r="Q2078" s="35">
        <f>IFERROR(__xludf.DUMMYFUNCTION("""COMPUTED_VALUE"""),2401.0)</f>
        <v>2401</v>
      </c>
    </row>
    <row r="2079">
      <c r="A2079" s="35">
        <f>IFERROR(__xludf.DUMMYFUNCTION("""COMPUTED_VALUE"""),2199.0)</f>
        <v>2199</v>
      </c>
      <c r="B2079" s="35" t="str">
        <f>IFERROR(__xludf.DUMMYFUNCTION("""COMPUTED_VALUE"""),"Two Furthest Houses With Different Colors")</f>
        <v>Two Furthest Houses With Different Colors</v>
      </c>
      <c r="C2079" s="35" t="str">
        <f>IFERROR(__xludf.DUMMYFUNCTION("""COMPUTED_VALUE"""),"two-furthest-houses-with-different-colors")</f>
        <v>two-furthest-houses-with-different-colors</v>
      </c>
      <c r="D2079" s="35" t="b">
        <f>IFERROR(__xludf.DUMMYFUNCTION("""COMPUTED_VALUE"""),FALSE)</f>
        <v>0</v>
      </c>
      <c r="E2079" s="35" t="str">
        <f>IFERROR(__xludf.DUMMYFUNCTION("""COMPUTED_VALUE"""),"Easy")</f>
        <v>Easy</v>
      </c>
      <c r="F2079" s="35">
        <f>IFERROR(__xludf.DUMMYFUNCTION("""COMPUTED_VALUE"""),345.0)</f>
        <v>345</v>
      </c>
      <c r="G2079" s="35">
        <f>IFERROR(__xludf.DUMMYFUNCTION("""COMPUTED_VALUE"""),9.0)</f>
        <v>9</v>
      </c>
      <c r="H2079" s="35" t="str">
        <f>IFERROR(__xludf.DUMMYFUNCTION("""COMPUTED_VALUE"""),"Algorithms")</f>
        <v>Algorithms</v>
      </c>
      <c r="I2079" s="35">
        <f>IFERROR(__xludf.DUMMYFUNCTION("""COMPUTED_VALUE"""),0.688)</f>
        <v>0.688</v>
      </c>
      <c r="J2079" s="35">
        <f>IFERROR(__xludf.DUMMYFUNCTION("""COMPUTED_VALUE"""),2078.0)</f>
        <v>2078</v>
      </c>
      <c r="K2079" s="35" t="b">
        <f>IFERROR(__xludf.DUMMYFUNCTION("""COMPUTED_VALUE"""),FALSE)</f>
        <v>0</v>
      </c>
      <c r="L2079" s="35" t="str">
        <f>IFERROR(__xludf.DUMMYFUNCTION("""COMPUTED_VALUE"""),"Array;Greedy;")</f>
        <v>Array;Greedy;</v>
      </c>
      <c r="M2079" s="35" t="b">
        <f>IFERROR(__xludf.DUMMYFUNCTION("""COMPUTED_VALUE"""),FALSE)</f>
        <v>0</v>
      </c>
      <c r="N2079" s="35" t="b">
        <f>IFERROR(__xludf.DUMMYFUNCTION("""COMPUTED_VALUE"""),FALSE)</f>
        <v>0</v>
      </c>
      <c r="O2079" s="35">
        <f>IFERROR(__xludf.DUMMYFUNCTION("""COMPUTED_VALUE"""),68.8304493759572)</f>
        <v>68.83044938</v>
      </c>
      <c r="P2079" s="35">
        <f>IFERROR(__xludf.DUMMYFUNCTION("""COMPUTED_VALUE"""),21121.0)</f>
        <v>21121</v>
      </c>
      <c r="Q2079" s="35">
        <f>IFERROR(__xludf.DUMMYFUNCTION("""COMPUTED_VALUE"""),30685.0)</f>
        <v>30685</v>
      </c>
    </row>
    <row r="2080">
      <c r="A2080" s="35">
        <f>IFERROR(__xludf.DUMMYFUNCTION("""COMPUTED_VALUE"""),1310.0)</f>
        <v>1310</v>
      </c>
      <c r="B2080" s="35" t="str">
        <f>IFERROR(__xludf.DUMMYFUNCTION("""COMPUTED_VALUE"""),"Watering Plants")</f>
        <v>Watering Plants</v>
      </c>
      <c r="C2080" s="35" t="str">
        <f>IFERROR(__xludf.DUMMYFUNCTION("""COMPUTED_VALUE"""),"watering-plants")</f>
        <v>watering-plants</v>
      </c>
      <c r="D2080" s="35" t="b">
        <f>IFERROR(__xludf.DUMMYFUNCTION("""COMPUTED_VALUE"""),FALSE)</f>
        <v>0</v>
      </c>
      <c r="E2080" s="35" t="str">
        <f>IFERROR(__xludf.DUMMYFUNCTION("""COMPUTED_VALUE"""),"Medium")</f>
        <v>Medium</v>
      </c>
      <c r="F2080" s="35">
        <f>IFERROR(__xludf.DUMMYFUNCTION("""COMPUTED_VALUE"""),313.0)</f>
        <v>313</v>
      </c>
      <c r="G2080" s="35">
        <f>IFERROR(__xludf.DUMMYFUNCTION("""COMPUTED_VALUE"""),22.0)</f>
        <v>22</v>
      </c>
      <c r="H2080" s="35" t="str">
        <f>IFERROR(__xludf.DUMMYFUNCTION("""COMPUTED_VALUE"""),"Algorithms")</f>
        <v>Algorithms</v>
      </c>
      <c r="I2080" s="35">
        <f>IFERROR(__xludf.DUMMYFUNCTION("""COMPUTED_VALUE"""),0.805)</f>
        <v>0.805</v>
      </c>
      <c r="J2080" s="35">
        <f>IFERROR(__xludf.DUMMYFUNCTION("""COMPUTED_VALUE"""),2079.0)</f>
        <v>2079</v>
      </c>
      <c r="K2080" s="35" t="b">
        <f>IFERROR(__xludf.DUMMYFUNCTION("""COMPUTED_VALUE"""),FALSE)</f>
        <v>0</v>
      </c>
      <c r="L2080" s="35" t="str">
        <f>IFERROR(__xludf.DUMMYFUNCTION("""COMPUTED_VALUE"""),"Array;")</f>
        <v>Array;</v>
      </c>
      <c r="M2080" s="35" t="b">
        <f>IFERROR(__xludf.DUMMYFUNCTION("""COMPUTED_VALUE"""),FALSE)</f>
        <v>0</v>
      </c>
      <c r="N2080" s="35" t="b">
        <f>IFERROR(__xludf.DUMMYFUNCTION("""COMPUTED_VALUE"""),FALSE)</f>
        <v>0</v>
      </c>
      <c r="O2080" s="35">
        <f>IFERROR(__xludf.DUMMYFUNCTION("""COMPUTED_VALUE"""),80.5256374850409)</f>
        <v>80.52563749</v>
      </c>
      <c r="P2080" s="35">
        <f>IFERROR(__xludf.DUMMYFUNCTION("""COMPUTED_VALUE"""),17495.0)</f>
        <v>17495</v>
      </c>
      <c r="Q2080" s="35">
        <f>IFERROR(__xludf.DUMMYFUNCTION("""COMPUTED_VALUE"""),21726.0)</f>
        <v>21726</v>
      </c>
    </row>
    <row r="2081">
      <c r="A2081" s="35">
        <f>IFERROR(__xludf.DUMMYFUNCTION("""COMPUTED_VALUE"""),1294.0)</f>
        <v>1294</v>
      </c>
      <c r="B2081" s="35" t="str">
        <f>IFERROR(__xludf.DUMMYFUNCTION("""COMPUTED_VALUE"""),"Range Frequency Queries")</f>
        <v>Range Frequency Queries</v>
      </c>
      <c r="C2081" s="35" t="str">
        <f>IFERROR(__xludf.DUMMYFUNCTION("""COMPUTED_VALUE"""),"range-frequency-queries")</f>
        <v>range-frequency-queries</v>
      </c>
      <c r="D2081" s="35" t="b">
        <f>IFERROR(__xludf.DUMMYFUNCTION("""COMPUTED_VALUE"""),FALSE)</f>
        <v>0</v>
      </c>
      <c r="E2081" s="35" t="str">
        <f>IFERROR(__xludf.DUMMYFUNCTION("""COMPUTED_VALUE"""),"Medium")</f>
        <v>Medium</v>
      </c>
      <c r="F2081" s="35">
        <f>IFERROR(__xludf.DUMMYFUNCTION("""COMPUTED_VALUE"""),310.0)</f>
        <v>310</v>
      </c>
      <c r="G2081" s="35">
        <f>IFERROR(__xludf.DUMMYFUNCTION("""COMPUTED_VALUE"""),19.0)</f>
        <v>19</v>
      </c>
      <c r="H2081" s="35" t="str">
        <f>IFERROR(__xludf.DUMMYFUNCTION("""COMPUTED_VALUE"""),"Algorithms")</f>
        <v>Algorithms</v>
      </c>
      <c r="I2081" s="35">
        <f>IFERROR(__xludf.DUMMYFUNCTION("""COMPUTED_VALUE"""),0.362)</f>
        <v>0.362</v>
      </c>
      <c r="J2081" s="35">
        <f>IFERROR(__xludf.DUMMYFUNCTION("""COMPUTED_VALUE"""),2080.0)</f>
        <v>2080</v>
      </c>
      <c r="K2081" s="35" t="b">
        <f>IFERROR(__xludf.DUMMYFUNCTION("""COMPUTED_VALUE"""),FALSE)</f>
        <v>0</v>
      </c>
      <c r="L2081" s="35" t="str">
        <f>IFERROR(__xludf.DUMMYFUNCTION("""COMPUTED_VALUE"""),"Array;Hash Table;Binary Search;Design;Segment Tree;")</f>
        <v>Array;Hash Table;Binary Search;Design;Segment Tree;</v>
      </c>
      <c r="M2081" s="35" t="b">
        <f>IFERROR(__xludf.DUMMYFUNCTION("""COMPUTED_VALUE"""),FALSE)</f>
        <v>0</v>
      </c>
      <c r="N2081" s="35" t="b">
        <f>IFERROR(__xludf.DUMMYFUNCTION("""COMPUTED_VALUE"""),FALSE)</f>
        <v>0</v>
      </c>
      <c r="O2081" s="35">
        <f>IFERROR(__xludf.DUMMYFUNCTION("""COMPUTED_VALUE"""),36.2235205562923)</f>
        <v>36.22352056</v>
      </c>
      <c r="P2081" s="35">
        <f>IFERROR(__xludf.DUMMYFUNCTION("""COMPUTED_VALUE"""),10106.0)</f>
        <v>10106</v>
      </c>
      <c r="Q2081" s="35">
        <f>IFERROR(__xludf.DUMMYFUNCTION("""COMPUTED_VALUE"""),27899.0)</f>
        <v>27899</v>
      </c>
    </row>
    <row r="2082">
      <c r="A2082" s="35">
        <f>IFERROR(__xludf.DUMMYFUNCTION("""COMPUTED_VALUE"""),2202.0)</f>
        <v>2202</v>
      </c>
      <c r="B2082" s="35" t="str">
        <f>IFERROR(__xludf.DUMMYFUNCTION("""COMPUTED_VALUE"""),"Sum of k-Mirror Numbers")</f>
        <v>Sum of k-Mirror Numbers</v>
      </c>
      <c r="C2082" s="35" t="str">
        <f>IFERROR(__xludf.DUMMYFUNCTION("""COMPUTED_VALUE"""),"sum-of-k-mirror-numbers")</f>
        <v>sum-of-k-mirror-numbers</v>
      </c>
      <c r="D2082" s="35" t="b">
        <f>IFERROR(__xludf.DUMMYFUNCTION("""COMPUTED_VALUE"""),FALSE)</f>
        <v>0</v>
      </c>
      <c r="E2082" s="35" t="str">
        <f>IFERROR(__xludf.DUMMYFUNCTION("""COMPUTED_VALUE"""),"Hard")</f>
        <v>Hard</v>
      </c>
      <c r="F2082" s="35">
        <f>IFERROR(__xludf.DUMMYFUNCTION("""COMPUTED_VALUE"""),75.0)</f>
        <v>75</v>
      </c>
      <c r="G2082" s="35">
        <f>IFERROR(__xludf.DUMMYFUNCTION("""COMPUTED_VALUE"""),112.0)</f>
        <v>112</v>
      </c>
      <c r="H2082" s="35" t="str">
        <f>IFERROR(__xludf.DUMMYFUNCTION("""COMPUTED_VALUE"""),"Algorithms")</f>
        <v>Algorithms</v>
      </c>
      <c r="I2082" s="35">
        <f>IFERROR(__xludf.DUMMYFUNCTION("""COMPUTED_VALUE"""),0.397)</f>
        <v>0.397</v>
      </c>
      <c r="J2082" s="35">
        <f>IFERROR(__xludf.DUMMYFUNCTION("""COMPUTED_VALUE"""),2081.0)</f>
        <v>2081</v>
      </c>
      <c r="K2082" s="35" t="b">
        <f>IFERROR(__xludf.DUMMYFUNCTION("""COMPUTED_VALUE"""),FALSE)</f>
        <v>0</v>
      </c>
      <c r="L2082" s="35" t="str">
        <f>IFERROR(__xludf.DUMMYFUNCTION("""COMPUTED_VALUE"""),"Math;Enumeration;")</f>
        <v>Math;Enumeration;</v>
      </c>
      <c r="M2082" s="35" t="b">
        <f>IFERROR(__xludf.DUMMYFUNCTION("""COMPUTED_VALUE"""),FALSE)</f>
        <v>0</v>
      </c>
      <c r="N2082" s="35" t="b">
        <f>IFERROR(__xludf.DUMMYFUNCTION("""COMPUTED_VALUE"""),FALSE)</f>
        <v>0</v>
      </c>
      <c r="O2082" s="35">
        <f>IFERROR(__xludf.DUMMYFUNCTION("""COMPUTED_VALUE"""),39.7459809929833)</f>
        <v>39.74598099</v>
      </c>
      <c r="P2082" s="35">
        <f>IFERROR(__xludf.DUMMYFUNCTION("""COMPUTED_VALUE"""),4475.0)</f>
        <v>4475</v>
      </c>
      <c r="Q2082" s="35">
        <f>IFERROR(__xludf.DUMMYFUNCTION("""COMPUTED_VALUE"""),11259.0)</f>
        <v>11259</v>
      </c>
    </row>
    <row r="2083">
      <c r="A2083" s="35">
        <f>IFERROR(__xludf.DUMMYFUNCTION("""COMPUTED_VALUE"""),2223.0)</f>
        <v>2223</v>
      </c>
      <c r="B2083" s="35" t="str">
        <f>IFERROR(__xludf.DUMMYFUNCTION("""COMPUTED_VALUE"""),"The Number of Rich Customers")</f>
        <v>The Number of Rich Customers</v>
      </c>
      <c r="C2083" s="35" t="str">
        <f>IFERROR(__xludf.DUMMYFUNCTION("""COMPUTED_VALUE"""),"the-number-of-rich-customers")</f>
        <v>the-number-of-rich-customers</v>
      </c>
      <c r="D2083" s="35" t="b">
        <f>IFERROR(__xludf.DUMMYFUNCTION("""COMPUTED_VALUE"""),TRUE)</f>
        <v>1</v>
      </c>
      <c r="E2083" s="35" t="str">
        <f>IFERROR(__xludf.DUMMYFUNCTION("""COMPUTED_VALUE"""),"Easy")</f>
        <v>Easy</v>
      </c>
      <c r="F2083" s="35">
        <f>IFERROR(__xludf.DUMMYFUNCTION("""COMPUTED_VALUE"""),11.0)</f>
        <v>11</v>
      </c>
      <c r="G2083" s="35">
        <f>IFERROR(__xludf.DUMMYFUNCTION("""COMPUTED_VALUE"""),7.0)</f>
        <v>7</v>
      </c>
      <c r="H2083" s="35" t="str">
        <f>IFERROR(__xludf.DUMMYFUNCTION("""COMPUTED_VALUE"""),"Database")</f>
        <v>Database</v>
      </c>
      <c r="I2083" s="35">
        <f>IFERROR(__xludf.DUMMYFUNCTION("""COMPUTED_VALUE"""),0.807)</f>
        <v>0.807</v>
      </c>
      <c r="J2083" s="35">
        <f>IFERROR(__xludf.DUMMYFUNCTION("""COMPUTED_VALUE"""),2082.0)</f>
        <v>2082</v>
      </c>
      <c r="K2083" s="35" t="b">
        <f>IFERROR(__xludf.DUMMYFUNCTION("""COMPUTED_VALUE"""),TRUE)</f>
        <v>1</v>
      </c>
      <c r="L2083" s="35" t="str">
        <f>IFERROR(__xludf.DUMMYFUNCTION("""COMPUTED_VALUE"""),"Database;")</f>
        <v>Database;</v>
      </c>
      <c r="M2083" s="35" t="b">
        <f>IFERROR(__xludf.DUMMYFUNCTION("""COMPUTED_VALUE"""),FALSE)</f>
        <v>0</v>
      </c>
      <c r="N2083" s="35" t="b">
        <f>IFERROR(__xludf.DUMMYFUNCTION("""COMPUTED_VALUE"""),FALSE)</f>
        <v>0</v>
      </c>
      <c r="O2083" s="35">
        <f>IFERROR(__xludf.DUMMYFUNCTION("""COMPUTED_VALUE"""),80.6998939554613)</f>
        <v>80.69989396</v>
      </c>
      <c r="P2083" s="35">
        <f>IFERROR(__xludf.DUMMYFUNCTION("""COMPUTED_VALUE"""),3044.0)</f>
        <v>3044</v>
      </c>
      <c r="Q2083" s="35">
        <f>IFERROR(__xludf.DUMMYFUNCTION("""COMPUTED_VALUE"""),3772.0)</f>
        <v>3772</v>
      </c>
    </row>
    <row r="2084">
      <c r="A2084" s="35">
        <f>IFERROR(__xludf.DUMMYFUNCTION("""COMPUTED_VALUE"""),2225.0)</f>
        <v>2225</v>
      </c>
      <c r="B2084" s="35" t="str">
        <f>IFERROR(__xludf.DUMMYFUNCTION("""COMPUTED_VALUE"""),"Substrings That Begin and End With the Same Letter")</f>
        <v>Substrings That Begin and End With the Same Letter</v>
      </c>
      <c r="C2084" s="35" t="str">
        <f>IFERROR(__xludf.DUMMYFUNCTION("""COMPUTED_VALUE"""),"substrings-that-begin-and-end-with-the-same-letter")</f>
        <v>substrings-that-begin-and-end-with-the-same-letter</v>
      </c>
      <c r="D2084" s="35" t="b">
        <f>IFERROR(__xludf.DUMMYFUNCTION("""COMPUTED_VALUE"""),TRUE)</f>
        <v>1</v>
      </c>
      <c r="E2084" s="35" t="str">
        <f>IFERROR(__xludf.DUMMYFUNCTION("""COMPUTED_VALUE"""),"Medium")</f>
        <v>Medium</v>
      </c>
      <c r="F2084" s="35">
        <f>IFERROR(__xludf.DUMMYFUNCTION("""COMPUTED_VALUE"""),56.0)</f>
        <v>56</v>
      </c>
      <c r="G2084" s="35">
        <f>IFERROR(__xludf.DUMMYFUNCTION("""COMPUTED_VALUE"""),2.0)</f>
        <v>2</v>
      </c>
      <c r="H2084" s="35" t="str">
        <f>IFERROR(__xludf.DUMMYFUNCTION("""COMPUTED_VALUE"""),"Algorithms")</f>
        <v>Algorithms</v>
      </c>
      <c r="I2084" s="35">
        <f>IFERROR(__xludf.DUMMYFUNCTION("""COMPUTED_VALUE"""),0.693)</f>
        <v>0.693</v>
      </c>
      <c r="J2084" s="35">
        <f>IFERROR(__xludf.DUMMYFUNCTION("""COMPUTED_VALUE"""),2083.0)</f>
        <v>2083</v>
      </c>
      <c r="K2084" s="35" t="b">
        <f>IFERROR(__xludf.DUMMYFUNCTION("""COMPUTED_VALUE"""),TRUE)</f>
        <v>1</v>
      </c>
      <c r="L2084" s="35" t="str">
        <f>IFERROR(__xludf.DUMMYFUNCTION("""COMPUTED_VALUE"""),"Hash Table;Math;String;Counting;Prefix Sum;")</f>
        <v>Hash Table;Math;String;Counting;Prefix Sum;</v>
      </c>
      <c r="M2084" s="35" t="b">
        <f>IFERROR(__xludf.DUMMYFUNCTION("""COMPUTED_VALUE"""),FALSE)</f>
        <v>0</v>
      </c>
      <c r="N2084" s="35" t="b">
        <f>IFERROR(__xludf.DUMMYFUNCTION("""COMPUTED_VALUE"""),FALSE)</f>
        <v>0</v>
      </c>
      <c r="O2084" s="35">
        <f>IFERROR(__xludf.DUMMYFUNCTION("""COMPUTED_VALUE"""),69.3008304312885)</f>
        <v>69.30083043</v>
      </c>
      <c r="P2084" s="35">
        <f>IFERROR(__xludf.DUMMYFUNCTION("""COMPUTED_VALUE"""),2586.0)</f>
        <v>2586</v>
      </c>
      <c r="Q2084" s="35">
        <f>IFERROR(__xludf.DUMMYFUNCTION("""COMPUTED_VALUE"""),3732.0)</f>
        <v>3732</v>
      </c>
    </row>
    <row r="2085">
      <c r="A2085" s="35">
        <f>IFERROR(__xludf.DUMMYFUNCTION("""COMPUTED_VALUE"""),2224.0)</f>
        <v>2224</v>
      </c>
      <c r="B2085" s="35" t="str">
        <f>IFERROR(__xludf.DUMMYFUNCTION("""COMPUTED_VALUE"""),"Drop Type 1 Orders for Customers With Type 0 Orders")</f>
        <v>Drop Type 1 Orders for Customers With Type 0 Orders</v>
      </c>
      <c r="C2085" s="35" t="str">
        <f>IFERROR(__xludf.DUMMYFUNCTION("""COMPUTED_VALUE"""),"drop-type-1-orders-for-customers-with-type-0-orders")</f>
        <v>drop-type-1-orders-for-customers-with-type-0-orders</v>
      </c>
      <c r="D2085" s="35" t="b">
        <f>IFERROR(__xludf.DUMMYFUNCTION("""COMPUTED_VALUE"""),TRUE)</f>
        <v>1</v>
      </c>
      <c r="E2085" s="35" t="str">
        <f>IFERROR(__xludf.DUMMYFUNCTION("""COMPUTED_VALUE"""),"Medium")</f>
        <v>Medium</v>
      </c>
      <c r="F2085" s="35">
        <f>IFERROR(__xludf.DUMMYFUNCTION("""COMPUTED_VALUE"""),22.0)</f>
        <v>22</v>
      </c>
      <c r="G2085" s="35">
        <f>IFERROR(__xludf.DUMMYFUNCTION("""COMPUTED_VALUE"""),4.0)</f>
        <v>4</v>
      </c>
      <c r="H2085" s="35" t="str">
        <f>IFERROR(__xludf.DUMMYFUNCTION("""COMPUTED_VALUE"""),"Database")</f>
        <v>Database</v>
      </c>
      <c r="I2085" s="35">
        <f>IFERROR(__xludf.DUMMYFUNCTION("""COMPUTED_VALUE"""),0.908)</f>
        <v>0.908</v>
      </c>
      <c r="J2085" s="35">
        <f>IFERROR(__xludf.DUMMYFUNCTION("""COMPUTED_VALUE"""),2084.0)</f>
        <v>2084</v>
      </c>
      <c r="K2085" s="35" t="b">
        <f>IFERROR(__xludf.DUMMYFUNCTION("""COMPUTED_VALUE"""),TRUE)</f>
        <v>1</v>
      </c>
      <c r="L2085" s="35" t="str">
        <f>IFERROR(__xludf.DUMMYFUNCTION("""COMPUTED_VALUE"""),"Database;")</f>
        <v>Database;</v>
      </c>
      <c r="M2085" s="35" t="b">
        <f>IFERROR(__xludf.DUMMYFUNCTION("""COMPUTED_VALUE"""),FALSE)</f>
        <v>0</v>
      </c>
      <c r="N2085" s="35" t="b">
        <f>IFERROR(__xludf.DUMMYFUNCTION("""COMPUTED_VALUE"""),FALSE)</f>
        <v>0</v>
      </c>
      <c r="O2085" s="35">
        <f>IFERROR(__xludf.DUMMYFUNCTION("""COMPUTED_VALUE"""),90.7825432656132)</f>
        <v>90.78254327</v>
      </c>
      <c r="P2085" s="35">
        <f>IFERROR(__xludf.DUMMYFUNCTION("""COMPUTED_VALUE"""),2411.0)</f>
        <v>2411</v>
      </c>
      <c r="Q2085" s="35">
        <f>IFERROR(__xludf.DUMMYFUNCTION("""COMPUTED_VALUE"""),2656.0)</f>
        <v>2656</v>
      </c>
    </row>
    <row r="2086">
      <c r="A2086" s="35">
        <f>IFERROR(__xludf.DUMMYFUNCTION("""COMPUTED_VALUE"""),2190.0)</f>
        <v>2190</v>
      </c>
      <c r="B2086" s="35" t="str">
        <f>IFERROR(__xludf.DUMMYFUNCTION("""COMPUTED_VALUE"""),"Count Common Words With One Occurrence")</f>
        <v>Count Common Words With One Occurrence</v>
      </c>
      <c r="C2086" s="35" t="str">
        <f>IFERROR(__xludf.DUMMYFUNCTION("""COMPUTED_VALUE"""),"count-common-words-with-one-occurrence")</f>
        <v>count-common-words-with-one-occurrence</v>
      </c>
      <c r="D2086" s="35" t="b">
        <f>IFERROR(__xludf.DUMMYFUNCTION("""COMPUTED_VALUE"""),FALSE)</f>
        <v>0</v>
      </c>
      <c r="E2086" s="35" t="str">
        <f>IFERROR(__xludf.DUMMYFUNCTION("""COMPUTED_VALUE"""),"Easy")</f>
        <v>Easy</v>
      </c>
      <c r="F2086" s="35">
        <f>IFERROR(__xludf.DUMMYFUNCTION("""COMPUTED_VALUE"""),266.0)</f>
        <v>266</v>
      </c>
      <c r="G2086" s="35">
        <f>IFERROR(__xludf.DUMMYFUNCTION("""COMPUTED_VALUE"""),6.0)</f>
        <v>6</v>
      </c>
      <c r="H2086" s="35" t="str">
        <f>IFERROR(__xludf.DUMMYFUNCTION("""COMPUTED_VALUE"""),"Algorithms")</f>
        <v>Algorithms</v>
      </c>
      <c r="I2086" s="35">
        <f>IFERROR(__xludf.DUMMYFUNCTION("""COMPUTED_VALUE"""),0.71)</f>
        <v>0.71</v>
      </c>
      <c r="J2086" s="35">
        <f>IFERROR(__xludf.DUMMYFUNCTION("""COMPUTED_VALUE"""),2085.0)</f>
        <v>2085</v>
      </c>
      <c r="K2086" s="35" t="b">
        <f>IFERROR(__xludf.DUMMYFUNCTION("""COMPUTED_VALUE"""),FALSE)</f>
        <v>0</v>
      </c>
      <c r="L2086" s="35" t="str">
        <f>IFERROR(__xludf.DUMMYFUNCTION("""COMPUTED_VALUE"""),"Array;Hash Table;String;Counting;")</f>
        <v>Array;Hash Table;String;Counting;</v>
      </c>
      <c r="M2086" s="35" t="b">
        <f>IFERROR(__xludf.DUMMYFUNCTION("""COMPUTED_VALUE"""),FALSE)</f>
        <v>0</v>
      </c>
      <c r="N2086" s="35" t="b">
        <f>IFERROR(__xludf.DUMMYFUNCTION("""COMPUTED_VALUE"""),FALSE)</f>
        <v>0</v>
      </c>
      <c r="O2086" s="35">
        <f>IFERROR(__xludf.DUMMYFUNCTION("""COMPUTED_VALUE"""),70.9935245143385)</f>
        <v>70.99352451</v>
      </c>
      <c r="P2086" s="35">
        <f>IFERROR(__xludf.DUMMYFUNCTION("""COMPUTED_VALUE"""),19185.0)</f>
        <v>19185</v>
      </c>
      <c r="Q2086" s="35">
        <f>IFERROR(__xludf.DUMMYFUNCTION("""COMPUTED_VALUE"""),27024.0)</f>
        <v>27024</v>
      </c>
    </row>
    <row r="2087">
      <c r="A2087" s="35">
        <f>IFERROR(__xludf.DUMMYFUNCTION("""COMPUTED_VALUE"""),2191.0)</f>
        <v>2191</v>
      </c>
      <c r="B2087" s="35" t="str">
        <f>IFERROR(__xludf.DUMMYFUNCTION("""COMPUTED_VALUE"""),"Minimum Number of Buckets Required to Collect Rainwater from Houses")</f>
        <v>Minimum Number of Buckets Required to Collect Rainwater from Houses</v>
      </c>
      <c r="C2087" s="35" t="str">
        <f>IFERROR(__xludf.DUMMYFUNCTION("""COMPUTED_VALUE"""),"minimum-number-of-buckets-required-to-collect-rainwater-from-houses")</f>
        <v>minimum-number-of-buckets-required-to-collect-rainwater-from-houses</v>
      </c>
      <c r="D2087" s="35" t="b">
        <f>IFERROR(__xludf.DUMMYFUNCTION("""COMPUTED_VALUE"""),FALSE)</f>
        <v>0</v>
      </c>
      <c r="E2087" s="35" t="str">
        <f>IFERROR(__xludf.DUMMYFUNCTION("""COMPUTED_VALUE"""),"Medium")</f>
        <v>Medium</v>
      </c>
      <c r="F2087" s="35">
        <f>IFERROR(__xludf.DUMMYFUNCTION("""COMPUTED_VALUE"""),282.0)</f>
        <v>282</v>
      </c>
      <c r="G2087" s="35">
        <f>IFERROR(__xludf.DUMMYFUNCTION("""COMPUTED_VALUE"""),13.0)</f>
        <v>13</v>
      </c>
      <c r="H2087" s="35" t="str">
        <f>IFERROR(__xludf.DUMMYFUNCTION("""COMPUTED_VALUE"""),"Algorithms")</f>
        <v>Algorithms</v>
      </c>
      <c r="I2087" s="35">
        <f>IFERROR(__xludf.DUMMYFUNCTION("""COMPUTED_VALUE"""),0.453)</f>
        <v>0.453</v>
      </c>
      <c r="J2087" s="35">
        <f>IFERROR(__xludf.DUMMYFUNCTION("""COMPUTED_VALUE"""),2086.0)</f>
        <v>2086</v>
      </c>
      <c r="K2087" s="35" t="b">
        <f>IFERROR(__xludf.DUMMYFUNCTION("""COMPUTED_VALUE"""),FALSE)</f>
        <v>0</v>
      </c>
      <c r="L2087" s="35" t="str">
        <f>IFERROR(__xludf.DUMMYFUNCTION("""COMPUTED_VALUE"""),"String;Dynamic Programming;Greedy;")</f>
        <v>String;Dynamic Programming;Greedy;</v>
      </c>
      <c r="M2087" s="35" t="b">
        <f>IFERROR(__xludf.DUMMYFUNCTION("""COMPUTED_VALUE"""),FALSE)</f>
        <v>0</v>
      </c>
      <c r="N2087" s="35" t="b">
        <f>IFERROR(__xludf.DUMMYFUNCTION("""COMPUTED_VALUE"""),FALSE)</f>
        <v>0</v>
      </c>
      <c r="O2087" s="35">
        <f>IFERROR(__xludf.DUMMYFUNCTION("""COMPUTED_VALUE"""),45.2526993460739)</f>
        <v>45.25269935</v>
      </c>
      <c r="P2087" s="35">
        <f>IFERROR(__xludf.DUMMYFUNCTION("""COMPUTED_VALUE"""),8927.0)</f>
        <v>8927</v>
      </c>
      <c r="Q2087" s="35">
        <f>IFERROR(__xludf.DUMMYFUNCTION("""COMPUTED_VALUE"""),19727.0)</f>
        <v>19727</v>
      </c>
    </row>
    <row r="2088">
      <c r="A2088" s="35">
        <f>IFERROR(__xludf.DUMMYFUNCTION("""COMPUTED_VALUE"""),2192.0)</f>
        <v>2192</v>
      </c>
      <c r="B2088" s="35" t="str">
        <f>IFERROR(__xludf.DUMMYFUNCTION("""COMPUTED_VALUE"""),"Minimum Cost Homecoming of a Robot in a Grid")</f>
        <v>Minimum Cost Homecoming of a Robot in a Grid</v>
      </c>
      <c r="C2088" s="35" t="str">
        <f>IFERROR(__xludf.DUMMYFUNCTION("""COMPUTED_VALUE"""),"minimum-cost-homecoming-of-a-robot-in-a-grid")</f>
        <v>minimum-cost-homecoming-of-a-robot-in-a-grid</v>
      </c>
      <c r="D2088" s="35" t="b">
        <f>IFERROR(__xludf.DUMMYFUNCTION("""COMPUTED_VALUE"""),FALSE)</f>
        <v>0</v>
      </c>
      <c r="E2088" s="35" t="str">
        <f>IFERROR(__xludf.DUMMYFUNCTION("""COMPUTED_VALUE"""),"Medium")</f>
        <v>Medium</v>
      </c>
      <c r="F2088" s="35">
        <f>IFERROR(__xludf.DUMMYFUNCTION("""COMPUTED_VALUE"""),252.0)</f>
        <v>252</v>
      </c>
      <c r="G2088" s="35">
        <f>IFERROR(__xludf.DUMMYFUNCTION("""COMPUTED_VALUE"""),48.0)</f>
        <v>48</v>
      </c>
      <c r="H2088" s="35" t="str">
        <f>IFERROR(__xludf.DUMMYFUNCTION("""COMPUTED_VALUE"""),"Algorithms")</f>
        <v>Algorithms</v>
      </c>
      <c r="I2088" s="35">
        <f>IFERROR(__xludf.DUMMYFUNCTION("""COMPUTED_VALUE"""),0.496)</f>
        <v>0.496</v>
      </c>
      <c r="J2088" s="35">
        <f>IFERROR(__xludf.DUMMYFUNCTION("""COMPUTED_VALUE"""),2087.0)</f>
        <v>2087</v>
      </c>
      <c r="K2088" s="35" t="b">
        <f>IFERROR(__xludf.DUMMYFUNCTION("""COMPUTED_VALUE"""),FALSE)</f>
        <v>0</v>
      </c>
      <c r="L2088" s="35" t="str">
        <f>IFERROR(__xludf.DUMMYFUNCTION("""COMPUTED_VALUE"""),"Array;Greedy;Matrix;")</f>
        <v>Array;Greedy;Matrix;</v>
      </c>
      <c r="M2088" s="35" t="b">
        <f>IFERROR(__xludf.DUMMYFUNCTION("""COMPUTED_VALUE"""),FALSE)</f>
        <v>0</v>
      </c>
      <c r="N2088" s="35" t="b">
        <f>IFERROR(__xludf.DUMMYFUNCTION("""COMPUTED_VALUE"""),FALSE)</f>
        <v>0</v>
      </c>
      <c r="O2088" s="35">
        <f>IFERROR(__xludf.DUMMYFUNCTION("""COMPUTED_VALUE"""),49.6444384811485)</f>
        <v>49.64443848</v>
      </c>
      <c r="P2088" s="35">
        <f>IFERROR(__xludf.DUMMYFUNCTION("""COMPUTED_VALUE"""),7400.0)</f>
        <v>7400</v>
      </c>
      <c r="Q2088" s="35">
        <f>IFERROR(__xludf.DUMMYFUNCTION("""COMPUTED_VALUE"""),14906.0)</f>
        <v>14906</v>
      </c>
    </row>
    <row r="2089">
      <c r="A2089" s="35">
        <f>IFERROR(__xludf.DUMMYFUNCTION("""COMPUTED_VALUE"""),2193.0)</f>
        <v>2193</v>
      </c>
      <c r="B2089" s="35" t="str">
        <f>IFERROR(__xludf.DUMMYFUNCTION("""COMPUTED_VALUE"""),"Count Fertile Pyramids in a Land")</f>
        <v>Count Fertile Pyramids in a Land</v>
      </c>
      <c r="C2089" s="35" t="str">
        <f>IFERROR(__xludf.DUMMYFUNCTION("""COMPUTED_VALUE"""),"count-fertile-pyramids-in-a-land")</f>
        <v>count-fertile-pyramids-in-a-land</v>
      </c>
      <c r="D2089" s="35" t="b">
        <f>IFERROR(__xludf.DUMMYFUNCTION("""COMPUTED_VALUE"""),FALSE)</f>
        <v>0</v>
      </c>
      <c r="E2089" s="35" t="str">
        <f>IFERROR(__xludf.DUMMYFUNCTION("""COMPUTED_VALUE"""),"Hard")</f>
        <v>Hard</v>
      </c>
      <c r="F2089" s="35">
        <f>IFERROR(__xludf.DUMMYFUNCTION("""COMPUTED_VALUE"""),159.0)</f>
        <v>159</v>
      </c>
      <c r="G2089" s="35">
        <f>IFERROR(__xludf.DUMMYFUNCTION("""COMPUTED_VALUE"""),6.0)</f>
        <v>6</v>
      </c>
      <c r="H2089" s="35" t="str">
        <f>IFERROR(__xludf.DUMMYFUNCTION("""COMPUTED_VALUE"""),"Algorithms")</f>
        <v>Algorithms</v>
      </c>
      <c r="I2089" s="35">
        <f>IFERROR(__xludf.DUMMYFUNCTION("""COMPUTED_VALUE"""),0.626)</f>
        <v>0.626</v>
      </c>
      <c r="J2089" s="35">
        <f>IFERROR(__xludf.DUMMYFUNCTION("""COMPUTED_VALUE"""),2088.0)</f>
        <v>2088</v>
      </c>
      <c r="K2089" s="35" t="b">
        <f>IFERROR(__xludf.DUMMYFUNCTION("""COMPUTED_VALUE"""),FALSE)</f>
        <v>0</v>
      </c>
      <c r="L2089" s="35" t="str">
        <f>IFERROR(__xludf.DUMMYFUNCTION("""COMPUTED_VALUE"""),"Array;Dynamic Programming;Matrix;")</f>
        <v>Array;Dynamic Programming;Matrix;</v>
      </c>
      <c r="M2089" s="35" t="b">
        <f>IFERROR(__xludf.DUMMYFUNCTION("""COMPUTED_VALUE"""),FALSE)</f>
        <v>0</v>
      </c>
      <c r="N2089" s="35" t="b">
        <f>IFERROR(__xludf.DUMMYFUNCTION("""COMPUTED_VALUE"""),FALSE)</f>
        <v>0</v>
      </c>
      <c r="O2089" s="35">
        <f>IFERROR(__xludf.DUMMYFUNCTION("""COMPUTED_VALUE"""),62.6023495906016)</f>
        <v>62.60234959</v>
      </c>
      <c r="P2089" s="35">
        <f>IFERROR(__xludf.DUMMYFUNCTION("""COMPUTED_VALUE"""),3517.0)</f>
        <v>3517</v>
      </c>
      <c r="Q2089" s="35">
        <f>IFERROR(__xludf.DUMMYFUNCTION("""COMPUTED_VALUE"""),5618.0)</f>
        <v>5618</v>
      </c>
    </row>
    <row r="2090">
      <c r="A2090" s="35">
        <f>IFERROR(__xludf.DUMMYFUNCTION("""COMPUTED_VALUE"""),2210.0)</f>
        <v>2210</v>
      </c>
      <c r="B2090" s="35" t="str">
        <f>IFERROR(__xludf.DUMMYFUNCTION("""COMPUTED_VALUE"""),"Find Target Indices After Sorting Array")</f>
        <v>Find Target Indices After Sorting Array</v>
      </c>
      <c r="C2090" s="35" t="str">
        <f>IFERROR(__xludf.DUMMYFUNCTION("""COMPUTED_VALUE"""),"find-target-indices-after-sorting-array")</f>
        <v>find-target-indices-after-sorting-array</v>
      </c>
      <c r="D2090" s="35" t="b">
        <f>IFERROR(__xludf.DUMMYFUNCTION("""COMPUTED_VALUE"""),FALSE)</f>
        <v>0</v>
      </c>
      <c r="E2090" s="35" t="str">
        <f>IFERROR(__xludf.DUMMYFUNCTION("""COMPUTED_VALUE"""),"Easy")</f>
        <v>Easy</v>
      </c>
      <c r="F2090" s="35">
        <f>IFERROR(__xludf.DUMMYFUNCTION("""COMPUTED_VALUE"""),478.0)</f>
        <v>478</v>
      </c>
      <c r="G2090" s="35">
        <f>IFERROR(__xludf.DUMMYFUNCTION("""COMPUTED_VALUE"""),23.0)</f>
        <v>23</v>
      </c>
      <c r="H2090" s="35" t="str">
        <f>IFERROR(__xludf.DUMMYFUNCTION("""COMPUTED_VALUE"""),"Algorithms")</f>
        <v>Algorithms</v>
      </c>
      <c r="I2090" s="35">
        <f>IFERROR(__xludf.DUMMYFUNCTION("""COMPUTED_VALUE"""),0.802)</f>
        <v>0.802</v>
      </c>
      <c r="J2090" s="35">
        <f>IFERROR(__xludf.DUMMYFUNCTION("""COMPUTED_VALUE"""),2089.0)</f>
        <v>2089</v>
      </c>
      <c r="K2090" s="35" t="b">
        <f>IFERROR(__xludf.DUMMYFUNCTION("""COMPUTED_VALUE"""),FALSE)</f>
        <v>0</v>
      </c>
      <c r="L2090" s="35" t="str">
        <f>IFERROR(__xludf.DUMMYFUNCTION("""COMPUTED_VALUE"""),"Array;Binary Search;Sorting;")</f>
        <v>Array;Binary Search;Sorting;</v>
      </c>
      <c r="M2090" s="35" t="b">
        <f>IFERROR(__xludf.DUMMYFUNCTION("""COMPUTED_VALUE"""),FALSE)</f>
        <v>0</v>
      </c>
      <c r="N2090" s="35" t="b">
        <f>IFERROR(__xludf.DUMMYFUNCTION("""COMPUTED_VALUE"""),FALSE)</f>
        <v>0</v>
      </c>
      <c r="O2090" s="35">
        <f>IFERROR(__xludf.DUMMYFUNCTION("""COMPUTED_VALUE"""),80.2211943750233)</f>
        <v>80.22119438</v>
      </c>
      <c r="P2090" s="35">
        <f>IFERROR(__xludf.DUMMYFUNCTION("""COMPUTED_VALUE"""),43006.0)</f>
        <v>43006</v>
      </c>
      <c r="Q2090" s="35">
        <f>IFERROR(__xludf.DUMMYFUNCTION("""COMPUTED_VALUE"""),53611.0)</f>
        <v>53611</v>
      </c>
    </row>
    <row r="2091">
      <c r="A2091" s="35">
        <f>IFERROR(__xludf.DUMMYFUNCTION("""COMPUTED_VALUE"""),2211.0)</f>
        <v>2211</v>
      </c>
      <c r="B2091" s="35" t="str">
        <f>IFERROR(__xludf.DUMMYFUNCTION("""COMPUTED_VALUE"""),"K Radius Subarray Averages")</f>
        <v>K Radius Subarray Averages</v>
      </c>
      <c r="C2091" s="35" t="str">
        <f>IFERROR(__xludf.DUMMYFUNCTION("""COMPUTED_VALUE"""),"k-radius-subarray-averages")</f>
        <v>k-radius-subarray-averages</v>
      </c>
      <c r="D2091" s="35" t="b">
        <f>IFERROR(__xludf.DUMMYFUNCTION("""COMPUTED_VALUE"""),FALSE)</f>
        <v>0</v>
      </c>
      <c r="E2091" s="35" t="str">
        <f>IFERROR(__xludf.DUMMYFUNCTION("""COMPUTED_VALUE"""),"Medium")</f>
        <v>Medium</v>
      </c>
      <c r="F2091" s="35">
        <f>IFERROR(__xludf.DUMMYFUNCTION("""COMPUTED_VALUE"""),235.0)</f>
        <v>235</v>
      </c>
      <c r="G2091" s="35">
        <f>IFERROR(__xludf.DUMMYFUNCTION("""COMPUTED_VALUE"""),10.0)</f>
        <v>10</v>
      </c>
      <c r="H2091" s="35" t="str">
        <f>IFERROR(__xludf.DUMMYFUNCTION("""COMPUTED_VALUE"""),"Algorithms")</f>
        <v>Algorithms</v>
      </c>
      <c r="I2091" s="35">
        <f>IFERROR(__xludf.DUMMYFUNCTION("""COMPUTED_VALUE"""),0.405)</f>
        <v>0.405</v>
      </c>
      <c r="J2091" s="35">
        <f>IFERROR(__xludf.DUMMYFUNCTION("""COMPUTED_VALUE"""),2090.0)</f>
        <v>2090</v>
      </c>
      <c r="K2091" s="35" t="b">
        <f>IFERROR(__xludf.DUMMYFUNCTION("""COMPUTED_VALUE"""),FALSE)</f>
        <v>0</v>
      </c>
      <c r="L2091" s="35" t="str">
        <f>IFERROR(__xludf.DUMMYFUNCTION("""COMPUTED_VALUE"""),"Array;Sliding Window;")</f>
        <v>Array;Sliding Window;</v>
      </c>
      <c r="M2091" s="35" t="b">
        <f>IFERROR(__xludf.DUMMYFUNCTION("""COMPUTED_VALUE"""),FALSE)</f>
        <v>0</v>
      </c>
      <c r="N2091" s="35" t="b">
        <f>IFERROR(__xludf.DUMMYFUNCTION("""COMPUTED_VALUE"""),FALSE)</f>
        <v>0</v>
      </c>
      <c r="O2091" s="35">
        <f>IFERROR(__xludf.DUMMYFUNCTION("""COMPUTED_VALUE"""),40.4871095686663)</f>
        <v>40.48710957</v>
      </c>
      <c r="P2091" s="35">
        <f>IFERROR(__xludf.DUMMYFUNCTION("""COMPUTED_VALUE"""),13066.0)</f>
        <v>13066</v>
      </c>
      <c r="Q2091" s="35">
        <f>IFERROR(__xludf.DUMMYFUNCTION("""COMPUTED_VALUE"""),32272.0)</f>
        <v>32272</v>
      </c>
    </row>
    <row r="2092">
      <c r="A2092" s="35">
        <f>IFERROR(__xludf.DUMMYFUNCTION("""COMPUTED_VALUE"""),2212.0)</f>
        <v>2212</v>
      </c>
      <c r="B2092" s="35" t="str">
        <f>IFERROR(__xludf.DUMMYFUNCTION("""COMPUTED_VALUE"""),"Removing Minimum and Maximum From Array")</f>
        <v>Removing Minimum and Maximum From Array</v>
      </c>
      <c r="C2092" s="35" t="str">
        <f>IFERROR(__xludf.DUMMYFUNCTION("""COMPUTED_VALUE"""),"removing-minimum-and-maximum-from-array")</f>
        <v>removing-minimum-and-maximum-from-array</v>
      </c>
      <c r="D2092" s="35" t="b">
        <f>IFERROR(__xludf.DUMMYFUNCTION("""COMPUTED_VALUE"""),FALSE)</f>
        <v>0</v>
      </c>
      <c r="E2092" s="35" t="str">
        <f>IFERROR(__xludf.DUMMYFUNCTION("""COMPUTED_VALUE"""),"Medium")</f>
        <v>Medium</v>
      </c>
      <c r="F2092" s="35">
        <f>IFERROR(__xludf.DUMMYFUNCTION("""COMPUTED_VALUE"""),268.0)</f>
        <v>268</v>
      </c>
      <c r="G2092" s="35">
        <f>IFERROR(__xludf.DUMMYFUNCTION("""COMPUTED_VALUE"""),15.0)</f>
        <v>15</v>
      </c>
      <c r="H2092" s="35" t="str">
        <f>IFERROR(__xludf.DUMMYFUNCTION("""COMPUTED_VALUE"""),"Algorithms")</f>
        <v>Algorithms</v>
      </c>
      <c r="I2092" s="35">
        <f>IFERROR(__xludf.DUMMYFUNCTION("""COMPUTED_VALUE"""),0.579)</f>
        <v>0.579</v>
      </c>
      <c r="J2092" s="35">
        <f>IFERROR(__xludf.DUMMYFUNCTION("""COMPUTED_VALUE"""),2091.0)</f>
        <v>2091</v>
      </c>
      <c r="K2092" s="35" t="b">
        <f>IFERROR(__xludf.DUMMYFUNCTION("""COMPUTED_VALUE"""),FALSE)</f>
        <v>0</v>
      </c>
      <c r="L2092" s="35" t="str">
        <f>IFERROR(__xludf.DUMMYFUNCTION("""COMPUTED_VALUE"""),"Array;Greedy;")</f>
        <v>Array;Greedy;</v>
      </c>
      <c r="M2092" s="35" t="b">
        <f>IFERROR(__xludf.DUMMYFUNCTION("""COMPUTED_VALUE"""),FALSE)</f>
        <v>0</v>
      </c>
      <c r="N2092" s="35" t="b">
        <f>IFERROR(__xludf.DUMMYFUNCTION("""COMPUTED_VALUE"""),FALSE)</f>
        <v>0</v>
      </c>
      <c r="O2092" s="35">
        <f>IFERROR(__xludf.DUMMYFUNCTION("""COMPUTED_VALUE"""),57.9347148644437)</f>
        <v>57.93471486</v>
      </c>
      <c r="P2092" s="35">
        <f>IFERROR(__xludf.DUMMYFUNCTION("""COMPUTED_VALUE"""),14873.0)</f>
        <v>14873</v>
      </c>
      <c r="Q2092" s="35">
        <f>IFERROR(__xludf.DUMMYFUNCTION("""COMPUTED_VALUE"""),25672.0)</f>
        <v>25672</v>
      </c>
    </row>
    <row r="2093">
      <c r="A2093" s="35">
        <f>IFERROR(__xludf.DUMMYFUNCTION("""COMPUTED_VALUE"""),2213.0)</f>
        <v>2213</v>
      </c>
      <c r="B2093" s="35" t="str">
        <f>IFERROR(__xludf.DUMMYFUNCTION("""COMPUTED_VALUE"""),"Find All People With Secret")</f>
        <v>Find All People With Secret</v>
      </c>
      <c r="C2093" s="35" t="str">
        <f>IFERROR(__xludf.DUMMYFUNCTION("""COMPUTED_VALUE"""),"find-all-people-with-secret")</f>
        <v>find-all-people-with-secret</v>
      </c>
      <c r="D2093" s="35" t="b">
        <f>IFERROR(__xludf.DUMMYFUNCTION("""COMPUTED_VALUE"""),FALSE)</f>
        <v>0</v>
      </c>
      <c r="E2093" s="35" t="str">
        <f>IFERROR(__xludf.DUMMYFUNCTION("""COMPUTED_VALUE"""),"Hard")</f>
        <v>Hard</v>
      </c>
      <c r="F2093" s="35">
        <f>IFERROR(__xludf.DUMMYFUNCTION("""COMPUTED_VALUE"""),387.0)</f>
        <v>387</v>
      </c>
      <c r="G2093" s="35">
        <f>IFERROR(__xludf.DUMMYFUNCTION("""COMPUTED_VALUE"""),19.0)</f>
        <v>19</v>
      </c>
      <c r="H2093" s="35" t="str">
        <f>IFERROR(__xludf.DUMMYFUNCTION("""COMPUTED_VALUE"""),"Algorithms")</f>
        <v>Algorithms</v>
      </c>
      <c r="I2093" s="35">
        <f>IFERROR(__xludf.DUMMYFUNCTION("""COMPUTED_VALUE"""),0.325)</f>
        <v>0.325</v>
      </c>
      <c r="J2093" s="35">
        <f>IFERROR(__xludf.DUMMYFUNCTION("""COMPUTED_VALUE"""),2092.0)</f>
        <v>2092</v>
      </c>
      <c r="K2093" s="35" t="b">
        <f>IFERROR(__xludf.DUMMYFUNCTION("""COMPUTED_VALUE"""),FALSE)</f>
        <v>0</v>
      </c>
      <c r="L2093" s="35" t="str">
        <f>IFERROR(__xludf.DUMMYFUNCTION("""COMPUTED_VALUE"""),"Depth-First Search;Breadth-First Search;Union Find;Graph;Sorting;")</f>
        <v>Depth-First Search;Breadth-First Search;Union Find;Graph;Sorting;</v>
      </c>
      <c r="M2093" s="35" t="b">
        <f>IFERROR(__xludf.DUMMYFUNCTION("""COMPUTED_VALUE"""),FALSE)</f>
        <v>0</v>
      </c>
      <c r="N2093" s="35" t="b">
        <f>IFERROR(__xludf.DUMMYFUNCTION("""COMPUTED_VALUE"""),FALSE)</f>
        <v>0</v>
      </c>
      <c r="O2093" s="35">
        <f>IFERROR(__xludf.DUMMYFUNCTION("""COMPUTED_VALUE"""),32.52802359882)</f>
        <v>32.5280236</v>
      </c>
      <c r="P2093" s="35">
        <f>IFERROR(__xludf.DUMMYFUNCTION("""COMPUTED_VALUE"""),11027.0)</f>
        <v>11027</v>
      </c>
      <c r="Q2093" s="35">
        <f>IFERROR(__xludf.DUMMYFUNCTION("""COMPUTED_VALUE"""),33899.0)</f>
        <v>33899</v>
      </c>
    </row>
    <row r="2094">
      <c r="A2094" s="35">
        <f>IFERROR(__xludf.DUMMYFUNCTION("""COMPUTED_VALUE"""),2230.0)</f>
        <v>2230</v>
      </c>
      <c r="B2094" s="35" t="str">
        <f>IFERROR(__xludf.DUMMYFUNCTION("""COMPUTED_VALUE"""),"Minimum Cost to Reach City With Discounts")</f>
        <v>Minimum Cost to Reach City With Discounts</v>
      </c>
      <c r="C2094" s="35" t="str">
        <f>IFERROR(__xludf.DUMMYFUNCTION("""COMPUTED_VALUE"""),"minimum-cost-to-reach-city-with-discounts")</f>
        <v>minimum-cost-to-reach-city-with-discounts</v>
      </c>
      <c r="D2094" s="35" t="b">
        <f>IFERROR(__xludf.DUMMYFUNCTION("""COMPUTED_VALUE"""),TRUE)</f>
        <v>1</v>
      </c>
      <c r="E2094" s="35" t="str">
        <f>IFERROR(__xludf.DUMMYFUNCTION("""COMPUTED_VALUE"""),"Medium")</f>
        <v>Medium</v>
      </c>
      <c r="F2094" s="35">
        <f>IFERROR(__xludf.DUMMYFUNCTION("""COMPUTED_VALUE"""),70.0)</f>
        <v>70</v>
      </c>
      <c r="G2094" s="35">
        <f>IFERROR(__xludf.DUMMYFUNCTION("""COMPUTED_VALUE"""),5.0)</f>
        <v>5</v>
      </c>
      <c r="H2094" s="35" t="str">
        <f>IFERROR(__xludf.DUMMYFUNCTION("""COMPUTED_VALUE"""),"Algorithms")</f>
        <v>Algorithms</v>
      </c>
      <c r="I2094" s="35">
        <f>IFERROR(__xludf.DUMMYFUNCTION("""COMPUTED_VALUE"""),0.566)</f>
        <v>0.566</v>
      </c>
      <c r="J2094" s="35">
        <f>IFERROR(__xludf.DUMMYFUNCTION("""COMPUTED_VALUE"""),2093.0)</f>
        <v>2093</v>
      </c>
      <c r="K2094" s="35" t="b">
        <f>IFERROR(__xludf.DUMMYFUNCTION("""COMPUTED_VALUE"""),TRUE)</f>
        <v>1</v>
      </c>
      <c r="L2094" s="35" t="str">
        <f>IFERROR(__xludf.DUMMYFUNCTION("""COMPUTED_VALUE"""),"Graph;Shortest Path;")</f>
        <v>Graph;Shortest Path;</v>
      </c>
      <c r="M2094" s="35" t="b">
        <f>IFERROR(__xludf.DUMMYFUNCTION("""COMPUTED_VALUE"""),FALSE)</f>
        <v>0</v>
      </c>
      <c r="N2094" s="35" t="b">
        <f>IFERROR(__xludf.DUMMYFUNCTION("""COMPUTED_VALUE"""),FALSE)</f>
        <v>0</v>
      </c>
      <c r="O2094" s="35">
        <f>IFERROR(__xludf.DUMMYFUNCTION("""COMPUTED_VALUE"""),56.6010211524434)</f>
        <v>56.60102115</v>
      </c>
      <c r="P2094" s="35">
        <f>IFERROR(__xludf.DUMMYFUNCTION("""COMPUTED_VALUE"""),1552.0)</f>
        <v>1552</v>
      </c>
      <c r="Q2094" s="35">
        <f>IFERROR(__xludf.DUMMYFUNCTION("""COMPUTED_VALUE"""),2742.0)</f>
        <v>2742</v>
      </c>
    </row>
    <row r="2095">
      <c r="A2095" s="35">
        <f>IFERROR(__xludf.DUMMYFUNCTION("""COMPUTED_VALUE"""),2215.0)</f>
        <v>2215</v>
      </c>
      <c r="B2095" s="35" t="str">
        <f>IFERROR(__xludf.DUMMYFUNCTION("""COMPUTED_VALUE"""),"Finding 3-Digit Even Numbers")</f>
        <v>Finding 3-Digit Even Numbers</v>
      </c>
      <c r="C2095" s="35" t="str">
        <f>IFERROR(__xludf.DUMMYFUNCTION("""COMPUTED_VALUE"""),"finding-3-digit-even-numbers")</f>
        <v>finding-3-digit-even-numbers</v>
      </c>
      <c r="D2095" s="35" t="b">
        <f>IFERROR(__xludf.DUMMYFUNCTION("""COMPUTED_VALUE"""),FALSE)</f>
        <v>0</v>
      </c>
      <c r="E2095" s="35" t="str">
        <f>IFERROR(__xludf.DUMMYFUNCTION("""COMPUTED_VALUE"""),"Easy")</f>
        <v>Easy</v>
      </c>
      <c r="F2095" s="35">
        <f>IFERROR(__xludf.DUMMYFUNCTION("""COMPUTED_VALUE"""),196.0)</f>
        <v>196</v>
      </c>
      <c r="G2095" s="35">
        <f>IFERROR(__xludf.DUMMYFUNCTION("""COMPUTED_VALUE"""),164.0)</f>
        <v>164</v>
      </c>
      <c r="H2095" s="35" t="str">
        <f>IFERROR(__xludf.DUMMYFUNCTION("""COMPUTED_VALUE"""),"Algorithms")</f>
        <v>Algorithms</v>
      </c>
      <c r="I2095" s="35">
        <f>IFERROR(__xludf.DUMMYFUNCTION("""COMPUTED_VALUE"""),0.559)</f>
        <v>0.559</v>
      </c>
      <c r="J2095" s="35">
        <f>IFERROR(__xludf.DUMMYFUNCTION("""COMPUTED_VALUE"""),2094.0)</f>
        <v>2094</v>
      </c>
      <c r="K2095" s="35" t="b">
        <f>IFERROR(__xludf.DUMMYFUNCTION("""COMPUTED_VALUE"""),FALSE)</f>
        <v>0</v>
      </c>
      <c r="L2095" s="35" t="str">
        <f>IFERROR(__xludf.DUMMYFUNCTION("""COMPUTED_VALUE"""),"Array;Hash Table;Sorting;Enumeration;")</f>
        <v>Array;Hash Table;Sorting;Enumeration;</v>
      </c>
      <c r="M2095" s="35" t="b">
        <f>IFERROR(__xludf.DUMMYFUNCTION("""COMPUTED_VALUE"""),FALSE)</f>
        <v>0</v>
      </c>
      <c r="N2095" s="35" t="b">
        <f>IFERROR(__xludf.DUMMYFUNCTION("""COMPUTED_VALUE"""),FALSE)</f>
        <v>0</v>
      </c>
      <c r="O2095" s="35">
        <f>IFERROR(__xludf.DUMMYFUNCTION("""COMPUTED_VALUE"""),55.9517169946617)</f>
        <v>55.95171699</v>
      </c>
      <c r="P2095" s="35">
        <f>IFERROR(__xludf.DUMMYFUNCTION("""COMPUTED_VALUE"""),14043.0)</f>
        <v>14043</v>
      </c>
      <c r="Q2095" s="35">
        <f>IFERROR(__xludf.DUMMYFUNCTION("""COMPUTED_VALUE"""),25100.0)</f>
        <v>25100</v>
      </c>
    </row>
    <row r="2096">
      <c r="A2096" s="35">
        <f>IFERROR(__xludf.DUMMYFUNCTION("""COMPUTED_VALUE"""),2216.0)</f>
        <v>2216</v>
      </c>
      <c r="B2096" s="35" t="str">
        <f>IFERROR(__xludf.DUMMYFUNCTION("""COMPUTED_VALUE"""),"Delete the Middle Node of a Linked List")</f>
        <v>Delete the Middle Node of a Linked List</v>
      </c>
      <c r="C2096" s="35" t="str">
        <f>IFERROR(__xludf.DUMMYFUNCTION("""COMPUTED_VALUE"""),"delete-the-middle-node-of-a-linked-list")</f>
        <v>delete-the-middle-node-of-a-linked-list</v>
      </c>
      <c r="D2096" s="35" t="b">
        <f>IFERROR(__xludf.DUMMYFUNCTION("""COMPUTED_VALUE"""),FALSE)</f>
        <v>0</v>
      </c>
      <c r="E2096" s="35" t="str">
        <f>IFERROR(__xludf.DUMMYFUNCTION("""COMPUTED_VALUE"""),"Medium")</f>
        <v>Medium</v>
      </c>
      <c r="F2096" s="35">
        <f>IFERROR(__xludf.DUMMYFUNCTION("""COMPUTED_VALUE"""),588.0)</f>
        <v>588</v>
      </c>
      <c r="G2096" s="35">
        <f>IFERROR(__xludf.DUMMYFUNCTION("""COMPUTED_VALUE"""),20.0)</f>
        <v>20</v>
      </c>
      <c r="H2096" s="35" t="str">
        <f>IFERROR(__xludf.DUMMYFUNCTION("""COMPUTED_VALUE"""),"Algorithms")</f>
        <v>Algorithms</v>
      </c>
      <c r="I2096" s="35">
        <f>IFERROR(__xludf.DUMMYFUNCTION("""COMPUTED_VALUE"""),0.578)</f>
        <v>0.578</v>
      </c>
      <c r="J2096" s="35">
        <f>IFERROR(__xludf.DUMMYFUNCTION("""COMPUTED_VALUE"""),2095.0)</f>
        <v>2095</v>
      </c>
      <c r="K2096" s="35" t="b">
        <f>IFERROR(__xludf.DUMMYFUNCTION("""COMPUTED_VALUE"""),FALSE)</f>
        <v>0</v>
      </c>
      <c r="L2096" s="35" t="str">
        <f>IFERROR(__xludf.DUMMYFUNCTION("""COMPUTED_VALUE"""),"Linked List;Two Pointers;")</f>
        <v>Linked List;Two Pointers;</v>
      </c>
      <c r="M2096" s="35" t="b">
        <f>IFERROR(__xludf.DUMMYFUNCTION("""COMPUTED_VALUE"""),FALSE)</f>
        <v>0</v>
      </c>
      <c r="N2096" s="35" t="b">
        <f>IFERROR(__xludf.DUMMYFUNCTION("""COMPUTED_VALUE"""),FALSE)</f>
        <v>0</v>
      </c>
      <c r="O2096" s="35">
        <f>IFERROR(__xludf.DUMMYFUNCTION("""COMPUTED_VALUE"""),57.8320854016901)</f>
        <v>57.8320854</v>
      </c>
      <c r="P2096" s="35">
        <f>IFERROR(__xludf.DUMMYFUNCTION("""COMPUTED_VALUE"""),34825.0)</f>
        <v>34825</v>
      </c>
      <c r="Q2096" s="35">
        <f>IFERROR(__xludf.DUMMYFUNCTION("""COMPUTED_VALUE"""),60221.0)</f>
        <v>60221</v>
      </c>
    </row>
    <row r="2097">
      <c r="A2097" s="35">
        <f>IFERROR(__xludf.DUMMYFUNCTION("""COMPUTED_VALUE"""),2217.0)</f>
        <v>2217</v>
      </c>
      <c r="B2097" s="35" t="str">
        <f>IFERROR(__xludf.DUMMYFUNCTION("""COMPUTED_VALUE"""),"Step-By-Step Directions From a Binary Tree Node to Another")</f>
        <v>Step-By-Step Directions From a Binary Tree Node to Another</v>
      </c>
      <c r="C2097" s="35" t="str">
        <f>IFERROR(__xludf.DUMMYFUNCTION("""COMPUTED_VALUE"""),"step-by-step-directions-from-a-binary-tree-node-to-another")</f>
        <v>step-by-step-directions-from-a-binary-tree-node-to-another</v>
      </c>
      <c r="D2097" s="35" t="b">
        <f>IFERROR(__xludf.DUMMYFUNCTION("""COMPUTED_VALUE"""),FALSE)</f>
        <v>0</v>
      </c>
      <c r="E2097" s="35" t="str">
        <f>IFERROR(__xludf.DUMMYFUNCTION("""COMPUTED_VALUE"""),"Medium")</f>
        <v>Medium</v>
      </c>
      <c r="F2097" s="35">
        <f>IFERROR(__xludf.DUMMYFUNCTION("""COMPUTED_VALUE"""),639.0)</f>
        <v>639</v>
      </c>
      <c r="G2097" s="35">
        <f>IFERROR(__xludf.DUMMYFUNCTION("""COMPUTED_VALUE"""),46.0)</f>
        <v>46</v>
      </c>
      <c r="H2097" s="35" t="str">
        <f>IFERROR(__xludf.DUMMYFUNCTION("""COMPUTED_VALUE"""),"Algorithms")</f>
        <v>Algorithms</v>
      </c>
      <c r="I2097" s="35">
        <f>IFERROR(__xludf.DUMMYFUNCTION("""COMPUTED_VALUE"""),0.478)</f>
        <v>0.478</v>
      </c>
      <c r="J2097" s="35">
        <f>IFERROR(__xludf.DUMMYFUNCTION("""COMPUTED_VALUE"""),2096.0)</f>
        <v>2096</v>
      </c>
      <c r="K2097" s="35" t="b">
        <f>IFERROR(__xludf.DUMMYFUNCTION("""COMPUTED_VALUE"""),FALSE)</f>
        <v>0</v>
      </c>
      <c r="L2097" s="35" t="str">
        <f>IFERROR(__xludf.DUMMYFUNCTION("""COMPUTED_VALUE"""),"String;Tree;Depth-First Search;Binary Tree;")</f>
        <v>String;Tree;Depth-First Search;Binary Tree;</v>
      </c>
      <c r="M2097" s="35" t="b">
        <f>IFERROR(__xludf.DUMMYFUNCTION("""COMPUTED_VALUE"""),FALSE)</f>
        <v>0</v>
      </c>
      <c r="N2097" s="35" t="b">
        <f>IFERROR(__xludf.DUMMYFUNCTION("""COMPUTED_VALUE"""),FALSE)</f>
        <v>0</v>
      </c>
      <c r="O2097" s="35">
        <f>IFERROR(__xludf.DUMMYFUNCTION("""COMPUTED_VALUE"""),47.7665789902469)</f>
        <v>47.76657899</v>
      </c>
      <c r="P2097" s="35">
        <f>IFERROR(__xludf.DUMMYFUNCTION("""COMPUTED_VALUE"""),20516.0)</f>
        <v>20516</v>
      </c>
      <c r="Q2097" s="35">
        <f>IFERROR(__xludf.DUMMYFUNCTION("""COMPUTED_VALUE"""),42954.0)</f>
        <v>42954</v>
      </c>
    </row>
    <row r="2098">
      <c r="A2098" s="35">
        <f>IFERROR(__xludf.DUMMYFUNCTION("""COMPUTED_VALUE"""),2201.0)</f>
        <v>2201</v>
      </c>
      <c r="B2098" s="35" t="str">
        <f>IFERROR(__xludf.DUMMYFUNCTION("""COMPUTED_VALUE"""),"Valid Arrangement of Pairs")</f>
        <v>Valid Arrangement of Pairs</v>
      </c>
      <c r="C2098" s="35" t="str">
        <f>IFERROR(__xludf.DUMMYFUNCTION("""COMPUTED_VALUE"""),"valid-arrangement-of-pairs")</f>
        <v>valid-arrangement-of-pairs</v>
      </c>
      <c r="D2098" s="35" t="b">
        <f>IFERROR(__xludf.DUMMYFUNCTION("""COMPUTED_VALUE"""),FALSE)</f>
        <v>0</v>
      </c>
      <c r="E2098" s="35" t="str">
        <f>IFERROR(__xludf.DUMMYFUNCTION("""COMPUTED_VALUE"""),"Hard")</f>
        <v>Hard</v>
      </c>
      <c r="F2098" s="35">
        <f>IFERROR(__xludf.DUMMYFUNCTION("""COMPUTED_VALUE"""),229.0)</f>
        <v>229</v>
      </c>
      <c r="G2098" s="35">
        <f>IFERROR(__xludf.DUMMYFUNCTION("""COMPUTED_VALUE"""),10.0)</f>
        <v>10</v>
      </c>
      <c r="H2098" s="35" t="str">
        <f>IFERROR(__xludf.DUMMYFUNCTION("""COMPUTED_VALUE"""),"Algorithms")</f>
        <v>Algorithms</v>
      </c>
      <c r="I2098" s="35">
        <f>IFERROR(__xludf.DUMMYFUNCTION("""COMPUTED_VALUE"""),0.4)</f>
        <v>0.4</v>
      </c>
      <c r="J2098" s="35">
        <f>IFERROR(__xludf.DUMMYFUNCTION("""COMPUTED_VALUE"""),2097.0)</f>
        <v>2097</v>
      </c>
      <c r="K2098" s="35" t="b">
        <f>IFERROR(__xludf.DUMMYFUNCTION("""COMPUTED_VALUE"""),FALSE)</f>
        <v>0</v>
      </c>
      <c r="L2098" s="35" t="str">
        <f>IFERROR(__xludf.DUMMYFUNCTION("""COMPUTED_VALUE"""),"Depth-First Search;Graph;Eulerian Circuit;")</f>
        <v>Depth-First Search;Graph;Eulerian Circuit;</v>
      </c>
      <c r="M2098" s="35" t="b">
        <f>IFERROR(__xludf.DUMMYFUNCTION("""COMPUTED_VALUE"""),FALSE)</f>
        <v>0</v>
      </c>
      <c r="N2098" s="35" t="b">
        <f>IFERROR(__xludf.DUMMYFUNCTION("""COMPUTED_VALUE"""),FALSE)</f>
        <v>0</v>
      </c>
      <c r="O2098" s="35">
        <f>IFERROR(__xludf.DUMMYFUNCTION("""COMPUTED_VALUE"""),39.9733510992671)</f>
        <v>39.9733511</v>
      </c>
      <c r="P2098" s="35">
        <f>IFERROR(__xludf.DUMMYFUNCTION("""COMPUTED_VALUE"""),4200.0)</f>
        <v>4200</v>
      </c>
      <c r="Q2098" s="35">
        <f>IFERROR(__xludf.DUMMYFUNCTION("""COMPUTED_VALUE"""),10507.0)</f>
        <v>10507</v>
      </c>
    </row>
    <row r="2099">
      <c r="A2099" s="35">
        <f>IFERROR(__xludf.DUMMYFUNCTION("""COMPUTED_VALUE"""),2242.0)</f>
        <v>2242</v>
      </c>
      <c r="B2099" s="35" t="str">
        <f>IFERROR(__xludf.DUMMYFUNCTION("""COMPUTED_VALUE"""),"Subsequence of Size K With the Largest Even Sum")</f>
        <v>Subsequence of Size K With the Largest Even Sum</v>
      </c>
      <c r="C2099" s="35" t="str">
        <f>IFERROR(__xludf.DUMMYFUNCTION("""COMPUTED_VALUE"""),"subsequence-of-size-k-with-the-largest-even-sum")</f>
        <v>subsequence-of-size-k-with-the-largest-even-sum</v>
      </c>
      <c r="D2099" s="35" t="b">
        <f>IFERROR(__xludf.DUMMYFUNCTION("""COMPUTED_VALUE"""),TRUE)</f>
        <v>1</v>
      </c>
      <c r="E2099" s="35" t="str">
        <f>IFERROR(__xludf.DUMMYFUNCTION("""COMPUTED_VALUE"""),"Medium")</f>
        <v>Medium</v>
      </c>
      <c r="F2099" s="35">
        <f>IFERROR(__xludf.DUMMYFUNCTION("""COMPUTED_VALUE"""),24.0)</f>
        <v>24</v>
      </c>
      <c r="G2099" s="35">
        <f>IFERROR(__xludf.DUMMYFUNCTION("""COMPUTED_VALUE"""),1.0)</f>
        <v>1</v>
      </c>
      <c r="H2099" s="35" t="str">
        <f>IFERROR(__xludf.DUMMYFUNCTION("""COMPUTED_VALUE"""),"Algorithms")</f>
        <v>Algorithms</v>
      </c>
      <c r="I2099" s="35">
        <f>IFERROR(__xludf.DUMMYFUNCTION("""COMPUTED_VALUE"""),0.406)</f>
        <v>0.406</v>
      </c>
      <c r="J2099" s="35">
        <f>IFERROR(__xludf.DUMMYFUNCTION("""COMPUTED_VALUE"""),2098.0)</f>
        <v>2098</v>
      </c>
      <c r="K2099" s="35" t="b">
        <f>IFERROR(__xludf.DUMMYFUNCTION("""COMPUTED_VALUE"""),TRUE)</f>
        <v>1</v>
      </c>
      <c r="L2099" s="35" t="str">
        <f>IFERROR(__xludf.DUMMYFUNCTION("""COMPUTED_VALUE"""),"Array;Greedy;Sorting;")</f>
        <v>Array;Greedy;Sorting;</v>
      </c>
      <c r="M2099" s="35" t="b">
        <f>IFERROR(__xludf.DUMMYFUNCTION("""COMPUTED_VALUE"""),FALSE)</f>
        <v>0</v>
      </c>
      <c r="N2099" s="35" t="b">
        <f>IFERROR(__xludf.DUMMYFUNCTION("""COMPUTED_VALUE"""),FALSE)</f>
        <v>0</v>
      </c>
      <c r="O2099" s="35">
        <f>IFERROR(__xludf.DUMMYFUNCTION("""COMPUTED_VALUE"""),40.5567451820128)</f>
        <v>40.55674518</v>
      </c>
      <c r="P2099" s="35">
        <f>IFERROR(__xludf.DUMMYFUNCTION("""COMPUTED_VALUE"""),947.0)</f>
        <v>947</v>
      </c>
      <c r="Q2099" s="35">
        <f>IFERROR(__xludf.DUMMYFUNCTION("""COMPUTED_VALUE"""),2335.0)</f>
        <v>2335</v>
      </c>
    </row>
    <row r="2100">
      <c r="A2100" s="35">
        <f>IFERROR(__xludf.DUMMYFUNCTION("""COMPUTED_VALUE"""),2204.0)</f>
        <v>2204</v>
      </c>
      <c r="B2100" s="35" t="str">
        <f>IFERROR(__xludf.DUMMYFUNCTION("""COMPUTED_VALUE"""),"Find Subsequence of Length K With the Largest Sum")</f>
        <v>Find Subsequence of Length K With the Largest Sum</v>
      </c>
      <c r="C2100" s="35" t="str">
        <f>IFERROR(__xludf.DUMMYFUNCTION("""COMPUTED_VALUE"""),"find-subsequence-of-length-k-with-the-largest-sum")</f>
        <v>find-subsequence-of-length-k-with-the-largest-sum</v>
      </c>
      <c r="D2100" s="35" t="b">
        <f>IFERROR(__xludf.DUMMYFUNCTION("""COMPUTED_VALUE"""),FALSE)</f>
        <v>0</v>
      </c>
      <c r="E2100" s="35" t="str">
        <f>IFERROR(__xludf.DUMMYFUNCTION("""COMPUTED_VALUE"""),"Easy")</f>
        <v>Easy</v>
      </c>
      <c r="F2100" s="35">
        <f>IFERROR(__xludf.DUMMYFUNCTION("""COMPUTED_VALUE"""),359.0)</f>
        <v>359</v>
      </c>
      <c r="G2100" s="35">
        <f>IFERROR(__xludf.DUMMYFUNCTION("""COMPUTED_VALUE"""),27.0)</f>
        <v>27</v>
      </c>
      <c r="H2100" s="35" t="str">
        <f>IFERROR(__xludf.DUMMYFUNCTION("""COMPUTED_VALUE"""),"Algorithms")</f>
        <v>Algorithms</v>
      </c>
      <c r="I2100" s="35">
        <f>IFERROR(__xludf.DUMMYFUNCTION("""COMPUTED_VALUE"""),0.441)</f>
        <v>0.441</v>
      </c>
      <c r="J2100" s="35">
        <f>IFERROR(__xludf.DUMMYFUNCTION("""COMPUTED_VALUE"""),2099.0)</f>
        <v>2099</v>
      </c>
      <c r="K2100" s="35" t="b">
        <f>IFERROR(__xludf.DUMMYFUNCTION("""COMPUTED_VALUE"""),FALSE)</f>
        <v>0</v>
      </c>
      <c r="L2100" s="35" t="str">
        <f>IFERROR(__xludf.DUMMYFUNCTION("""COMPUTED_VALUE"""),"Array;Hash Table;Sorting;Heap (Priority Queue);")</f>
        <v>Array;Hash Table;Sorting;Heap (Priority Queue);</v>
      </c>
      <c r="M2100" s="35" t="b">
        <f>IFERROR(__xludf.DUMMYFUNCTION("""COMPUTED_VALUE"""),FALSE)</f>
        <v>0</v>
      </c>
      <c r="N2100" s="35" t="b">
        <f>IFERROR(__xludf.DUMMYFUNCTION("""COMPUTED_VALUE"""),FALSE)</f>
        <v>0</v>
      </c>
      <c r="O2100" s="35">
        <f>IFERROR(__xludf.DUMMYFUNCTION("""COMPUTED_VALUE"""),44.0933107367161)</f>
        <v>44.09331074</v>
      </c>
      <c r="P2100" s="35">
        <f>IFERROR(__xludf.DUMMYFUNCTION("""COMPUTED_VALUE"""),13269.0)</f>
        <v>13269</v>
      </c>
      <c r="Q2100" s="35">
        <f>IFERROR(__xludf.DUMMYFUNCTION("""COMPUTED_VALUE"""),30092.0)</f>
        <v>30092</v>
      </c>
    </row>
    <row r="2101">
      <c r="A2101" s="35">
        <f>IFERROR(__xludf.DUMMYFUNCTION("""COMPUTED_VALUE"""),2205.0)</f>
        <v>2205</v>
      </c>
      <c r="B2101" s="35" t="str">
        <f>IFERROR(__xludf.DUMMYFUNCTION("""COMPUTED_VALUE"""),"Find Good Days to Rob the Bank")</f>
        <v>Find Good Days to Rob the Bank</v>
      </c>
      <c r="C2101" s="35" t="str">
        <f>IFERROR(__xludf.DUMMYFUNCTION("""COMPUTED_VALUE"""),"find-good-days-to-rob-the-bank")</f>
        <v>find-good-days-to-rob-the-bank</v>
      </c>
      <c r="D2101" s="35" t="b">
        <f>IFERROR(__xludf.DUMMYFUNCTION("""COMPUTED_VALUE"""),FALSE)</f>
        <v>0</v>
      </c>
      <c r="E2101" s="35" t="str">
        <f>IFERROR(__xludf.DUMMYFUNCTION("""COMPUTED_VALUE"""),"Medium")</f>
        <v>Medium</v>
      </c>
      <c r="F2101" s="35">
        <f>IFERROR(__xludf.DUMMYFUNCTION("""COMPUTED_VALUE"""),288.0)</f>
        <v>288</v>
      </c>
      <c r="G2101" s="35">
        <f>IFERROR(__xludf.DUMMYFUNCTION("""COMPUTED_VALUE"""),14.0)</f>
        <v>14</v>
      </c>
      <c r="H2101" s="35" t="str">
        <f>IFERROR(__xludf.DUMMYFUNCTION("""COMPUTED_VALUE"""),"Algorithms")</f>
        <v>Algorithms</v>
      </c>
      <c r="I2101" s="35">
        <f>IFERROR(__xludf.DUMMYFUNCTION("""COMPUTED_VALUE"""),0.464)</f>
        <v>0.464</v>
      </c>
      <c r="J2101" s="35">
        <f>IFERROR(__xludf.DUMMYFUNCTION("""COMPUTED_VALUE"""),2100.0)</f>
        <v>2100</v>
      </c>
      <c r="K2101" s="35" t="b">
        <f>IFERROR(__xludf.DUMMYFUNCTION("""COMPUTED_VALUE"""),FALSE)</f>
        <v>0</v>
      </c>
      <c r="L2101" s="35" t="str">
        <f>IFERROR(__xludf.DUMMYFUNCTION("""COMPUTED_VALUE"""),"Array;Dynamic Programming;Prefix Sum;")</f>
        <v>Array;Dynamic Programming;Prefix Sum;</v>
      </c>
      <c r="M2101" s="35" t="b">
        <f>IFERROR(__xludf.DUMMYFUNCTION("""COMPUTED_VALUE"""),FALSE)</f>
        <v>0</v>
      </c>
      <c r="N2101" s="35" t="b">
        <f>IFERROR(__xludf.DUMMYFUNCTION("""COMPUTED_VALUE"""),FALSE)</f>
        <v>0</v>
      </c>
      <c r="O2101" s="35">
        <f>IFERROR(__xludf.DUMMYFUNCTION("""COMPUTED_VALUE"""),46.3924292981784)</f>
        <v>46.3924293</v>
      </c>
      <c r="P2101" s="35">
        <f>IFERROR(__xludf.DUMMYFUNCTION("""COMPUTED_VALUE"""),8480.0)</f>
        <v>8480</v>
      </c>
      <c r="Q2101" s="35">
        <f>IFERROR(__xludf.DUMMYFUNCTION("""COMPUTED_VALUE"""),18280.0)</f>
        <v>18280</v>
      </c>
    </row>
    <row r="2102">
      <c r="A2102" s="35">
        <f>IFERROR(__xludf.DUMMYFUNCTION("""COMPUTED_VALUE"""),2206.0)</f>
        <v>2206</v>
      </c>
      <c r="B2102" s="35" t="str">
        <f>IFERROR(__xludf.DUMMYFUNCTION("""COMPUTED_VALUE"""),"Detonate the Maximum Bombs")</f>
        <v>Detonate the Maximum Bombs</v>
      </c>
      <c r="C2102" s="35" t="str">
        <f>IFERROR(__xludf.DUMMYFUNCTION("""COMPUTED_VALUE"""),"detonate-the-maximum-bombs")</f>
        <v>detonate-the-maximum-bombs</v>
      </c>
      <c r="D2102" s="35" t="b">
        <f>IFERROR(__xludf.DUMMYFUNCTION("""COMPUTED_VALUE"""),FALSE)</f>
        <v>0</v>
      </c>
      <c r="E2102" s="35" t="str">
        <f>IFERROR(__xludf.DUMMYFUNCTION("""COMPUTED_VALUE"""),"Medium")</f>
        <v>Medium</v>
      </c>
      <c r="F2102" s="35">
        <f>IFERROR(__xludf.DUMMYFUNCTION("""COMPUTED_VALUE"""),331.0)</f>
        <v>331</v>
      </c>
      <c r="G2102" s="35">
        <f>IFERROR(__xludf.DUMMYFUNCTION("""COMPUTED_VALUE"""),39.0)</f>
        <v>39</v>
      </c>
      <c r="H2102" s="35" t="str">
        <f>IFERROR(__xludf.DUMMYFUNCTION("""COMPUTED_VALUE"""),"Algorithms")</f>
        <v>Algorithms</v>
      </c>
      <c r="I2102" s="35">
        <f>IFERROR(__xludf.DUMMYFUNCTION("""COMPUTED_VALUE"""),0.398)</f>
        <v>0.398</v>
      </c>
      <c r="J2102" s="35">
        <f>IFERROR(__xludf.DUMMYFUNCTION("""COMPUTED_VALUE"""),2101.0)</f>
        <v>2101</v>
      </c>
      <c r="K2102" s="35" t="b">
        <f>IFERROR(__xludf.DUMMYFUNCTION("""COMPUTED_VALUE"""),FALSE)</f>
        <v>0</v>
      </c>
      <c r="L2102" s="35" t="str">
        <f>IFERROR(__xludf.DUMMYFUNCTION("""COMPUTED_VALUE"""),"Array;Math;Depth-First Search;Breadth-First Search;Graph;Geometry;")</f>
        <v>Array;Math;Depth-First Search;Breadth-First Search;Graph;Geometry;</v>
      </c>
      <c r="M2102" s="35" t="b">
        <f>IFERROR(__xludf.DUMMYFUNCTION("""COMPUTED_VALUE"""),FALSE)</f>
        <v>0</v>
      </c>
      <c r="N2102" s="35" t="b">
        <f>IFERROR(__xludf.DUMMYFUNCTION("""COMPUTED_VALUE"""),FALSE)</f>
        <v>0</v>
      </c>
      <c r="O2102" s="35">
        <f>IFERROR(__xludf.DUMMYFUNCTION("""COMPUTED_VALUE"""),39.7907892949327)</f>
        <v>39.79078929</v>
      </c>
      <c r="P2102" s="35">
        <f>IFERROR(__xludf.DUMMYFUNCTION("""COMPUTED_VALUE"""),8787.0)</f>
        <v>8787</v>
      </c>
      <c r="Q2102" s="35">
        <f>IFERROR(__xludf.DUMMYFUNCTION("""COMPUTED_VALUE"""),22083.0)</f>
        <v>22083</v>
      </c>
    </row>
    <row r="2103">
      <c r="A2103" s="35">
        <f>IFERROR(__xludf.DUMMYFUNCTION("""COMPUTED_VALUE"""),2207.0)</f>
        <v>2207</v>
      </c>
      <c r="B2103" s="35" t="str">
        <f>IFERROR(__xludf.DUMMYFUNCTION("""COMPUTED_VALUE"""),"Sequentially Ordinal Rank Tracker")</f>
        <v>Sequentially Ordinal Rank Tracker</v>
      </c>
      <c r="C2103" s="35" t="str">
        <f>IFERROR(__xludf.DUMMYFUNCTION("""COMPUTED_VALUE"""),"sequentially-ordinal-rank-tracker")</f>
        <v>sequentially-ordinal-rank-tracker</v>
      </c>
      <c r="D2103" s="35" t="b">
        <f>IFERROR(__xludf.DUMMYFUNCTION("""COMPUTED_VALUE"""),FALSE)</f>
        <v>0</v>
      </c>
      <c r="E2103" s="35" t="str">
        <f>IFERROR(__xludf.DUMMYFUNCTION("""COMPUTED_VALUE"""),"Hard")</f>
        <v>Hard</v>
      </c>
      <c r="F2103" s="35">
        <f>IFERROR(__xludf.DUMMYFUNCTION("""COMPUTED_VALUE"""),107.0)</f>
        <v>107</v>
      </c>
      <c r="G2103" s="35">
        <f>IFERROR(__xludf.DUMMYFUNCTION("""COMPUTED_VALUE"""),24.0)</f>
        <v>24</v>
      </c>
      <c r="H2103" s="35" t="str">
        <f>IFERROR(__xludf.DUMMYFUNCTION("""COMPUTED_VALUE"""),"Algorithms")</f>
        <v>Algorithms</v>
      </c>
      <c r="I2103" s="35">
        <f>IFERROR(__xludf.DUMMYFUNCTION("""COMPUTED_VALUE"""),0.61)</f>
        <v>0.61</v>
      </c>
      <c r="J2103" s="35">
        <f>IFERROR(__xludf.DUMMYFUNCTION("""COMPUTED_VALUE"""),2102.0)</f>
        <v>2102</v>
      </c>
      <c r="K2103" s="35" t="b">
        <f>IFERROR(__xludf.DUMMYFUNCTION("""COMPUTED_VALUE"""),FALSE)</f>
        <v>0</v>
      </c>
      <c r="L2103" s="35" t="str">
        <f>IFERROR(__xludf.DUMMYFUNCTION("""COMPUTED_VALUE"""),"Design;Heap (Priority Queue);Data Stream;Ordered Set;")</f>
        <v>Design;Heap (Priority Queue);Data Stream;Ordered Set;</v>
      </c>
      <c r="M2103" s="35" t="b">
        <f>IFERROR(__xludf.DUMMYFUNCTION("""COMPUTED_VALUE"""),FALSE)</f>
        <v>0</v>
      </c>
      <c r="N2103" s="35" t="b">
        <f>IFERROR(__xludf.DUMMYFUNCTION("""COMPUTED_VALUE"""),FALSE)</f>
        <v>0</v>
      </c>
      <c r="O2103" s="35">
        <f>IFERROR(__xludf.DUMMYFUNCTION("""COMPUTED_VALUE"""),61.0294117647058)</f>
        <v>61.02941176</v>
      </c>
      <c r="P2103" s="35">
        <f>IFERROR(__xludf.DUMMYFUNCTION("""COMPUTED_VALUE"""),3486.0)</f>
        <v>3486</v>
      </c>
      <c r="Q2103" s="35">
        <f>IFERROR(__xludf.DUMMYFUNCTION("""COMPUTED_VALUE"""),5712.0)</f>
        <v>5712</v>
      </c>
    </row>
    <row r="2104">
      <c r="A2104" s="35">
        <f>IFERROR(__xludf.DUMMYFUNCTION("""COMPUTED_VALUE"""),2226.0)</f>
        <v>2226</v>
      </c>
      <c r="B2104" s="35" t="str">
        <f>IFERROR(__xludf.DUMMYFUNCTION("""COMPUTED_VALUE"""),"Rings and Rods")</f>
        <v>Rings and Rods</v>
      </c>
      <c r="C2104" s="35" t="str">
        <f>IFERROR(__xludf.DUMMYFUNCTION("""COMPUTED_VALUE"""),"rings-and-rods")</f>
        <v>rings-and-rods</v>
      </c>
      <c r="D2104" s="35" t="b">
        <f>IFERROR(__xludf.DUMMYFUNCTION("""COMPUTED_VALUE"""),FALSE)</f>
        <v>0</v>
      </c>
      <c r="E2104" s="35" t="str">
        <f>IFERROR(__xludf.DUMMYFUNCTION("""COMPUTED_VALUE"""),"Easy")</f>
        <v>Easy</v>
      </c>
      <c r="F2104" s="35">
        <f>IFERROR(__xludf.DUMMYFUNCTION("""COMPUTED_VALUE"""),315.0)</f>
        <v>315</v>
      </c>
      <c r="G2104" s="35">
        <f>IFERROR(__xludf.DUMMYFUNCTION("""COMPUTED_VALUE"""),9.0)</f>
        <v>9</v>
      </c>
      <c r="H2104" s="35" t="str">
        <f>IFERROR(__xludf.DUMMYFUNCTION("""COMPUTED_VALUE"""),"Algorithms")</f>
        <v>Algorithms</v>
      </c>
      <c r="I2104" s="35">
        <f>IFERROR(__xludf.DUMMYFUNCTION("""COMPUTED_VALUE"""),0.818)</f>
        <v>0.818</v>
      </c>
      <c r="J2104" s="35">
        <f>IFERROR(__xludf.DUMMYFUNCTION("""COMPUTED_VALUE"""),2103.0)</f>
        <v>2103</v>
      </c>
      <c r="K2104" s="35" t="b">
        <f>IFERROR(__xludf.DUMMYFUNCTION("""COMPUTED_VALUE"""),FALSE)</f>
        <v>0</v>
      </c>
      <c r="L2104" s="35" t="str">
        <f>IFERROR(__xludf.DUMMYFUNCTION("""COMPUTED_VALUE"""),"Hash Table;String;")</f>
        <v>Hash Table;String;</v>
      </c>
      <c r="M2104" s="35" t="b">
        <f>IFERROR(__xludf.DUMMYFUNCTION("""COMPUTED_VALUE"""),FALSE)</f>
        <v>0</v>
      </c>
      <c r="N2104" s="35" t="b">
        <f>IFERROR(__xludf.DUMMYFUNCTION("""COMPUTED_VALUE"""),FALSE)</f>
        <v>0</v>
      </c>
      <c r="O2104" s="35">
        <f>IFERROR(__xludf.DUMMYFUNCTION("""COMPUTED_VALUE"""),81.8157929312836)</f>
        <v>81.81579293</v>
      </c>
      <c r="P2104" s="35">
        <f>IFERROR(__xludf.DUMMYFUNCTION("""COMPUTED_VALUE"""),24900.0)</f>
        <v>24900</v>
      </c>
      <c r="Q2104" s="35">
        <f>IFERROR(__xludf.DUMMYFUNCTION("""COMPUTED_VALUE"""),30432.0)</f>
        <v>30432</v>
      </c>
    </row>
    <row r="2105">
      <c r="A2105" s="35">
        <f>IFERROR(__xludf.DUMMYFUNCTION("""COMPUTED_VALUE"""),2227.0)</f>
        <v>2227</v>
      </c>
      <c r="B2105" s="35" t="str">
        <f>IFERROR(__xludf.DUMMYFUNCTION("""COMPUTED_VALUE"""),"Sum of Subarray Ranges")</f>
        <v>Sum of Subarray Ranges</v>
      </c>
      <c r="C2105" s="35" t="str">
        <f>IFERROR(__xludf.DUMMYFUNCTION("""COMPUTED_VALUE"""),"sum-of-subarray-ranges")</f>
        <v>sum-of-subarray-ranges</v>
      </c>
      <c r="D2105" s="35" t="b">
        <f>IFERROR(__xludf.DUMMYFUNCTION("""COMPUTED_VALUE"""),FALSE)</f>
        <v>0</v>
      </c>
      <c r="E2105" s="35" t="str">
        <f>IFERROR(__xludf.DUMMYFUNCTION("""COMPUTED_VALUE"""),"Medium")</f>
        <v>Medium</v>
      </c>
      <c r="F2105" s="35">
        <f>IFERROR(__xludf.DUMMYFUNCTION("""COMPUTED_VALUE"""),505.0)</f>
        <v>505</v>
      </c>
      <c r="G2105" s="35">
        <f>IFERROR(__xludf.DUMMYFUNCTION("""COMPUTED_VALUE"""),19.0)</f>
        <v>19</v>
      </c>
      <c r="H2105" s="35" t="str">
        <f>IFERROR(__xludf.DUMMYFUNCTION("""COMPUTED_VALUE"""),"Algorithms")</f>
        <v>Algorithms</v>
      </c>
      <c r="I2105" s="35">
        <f>IFERROR(__xludf.DUMMYFUNCTION("""COMPUTED_VALUE"""),0.599)</f>
        <v>0.599</v>
      </c>
      <c r="J2105" s="35">
        <f>IFERROR(__xludf.DUMMYFUNCTION("""COMPUTED_VALUE"""),2104.0)</f>
        <v>2104</v>
      </c>
      <c r="K2105" s="35" t="b">
        <f>IFERROR(__xludf.DUMMYFUNCTION("""COMPUTED_VALUE"""),FALSE)</f>
        <v>0</v>
      </c>
      <c r="L2105" s="35" t="str">
        <f>IFERROR(__xludf.DUMMYFUNCTION("""COMPUTED_VALUE"""),"Array;Stack;Monotonic Stack;")</f>
        <v>Array;Stack;Monotonic Stack;</v>
      </c>
      <c r="M2105" s="35" t="b">
        <f>IFERROR(__xludf.DUMMYFUNCTION("""COMPUTED_VALUE"""),FALSE)</f>
        <v>0</v>
      </c>
      <c r="N2105" s="35" t="b">
        <f>IFERROR(__xludf.DUMMYFUNCTION("""COMPUTED_VALUE"""),FALSE)</f>
        <v>0</v>
      </c>
      <c r="O2105" s="35">
        <f>IFERROR(__xludf.DUMMYFUNCTION("""COMPUTED_VALUE"""),59.9198791620148)</f>
        <v>59.91987916</v>
      </c>
      <c r="P2105" s="35">
        <f>IFERROR(__xludf.DUMMYFUNCTION("""COMPUTED_VALUE"""),18245.0)</f>
        <v>18245</v>
      </c>
      <c r="Q2105" s="35">
        <f>IFERROR(__xludf.DUMMYFUNCTION("""COMPUTED_VALUE"""),30449.0)</f>
        <v>30449</v>
      </c>
    </row>
    <row r="2106">
      <c r="A2106" s="35">
        <f>IFERROR(__xludf.DUMMYFUNCTION("""COMPUTED_VALUE"""),2228.0)</f>
        <v>2228</v>
      </c>
      <c r="B2106" s="35" t="str">
        <f>IFERROR(__xludf.DUMMYFUNCTION("""COMPUTED_VALUE"""),"Watering Plants II")</f>
        <v>Watering Plants II</v>
      </c>
      <c r="C2106" s="35" t="str">
        <f>IFERROR(__xludf.DUMMYFUNCTION("""COMPUTED_VALUE"""),"watering-plants-ii")</f>
        <v>watering-plants-ii</v>
      </c>
      <c r="D2106" s="35" t="b">
        <f>IFERROR(__xludf.DUMMYFUNCTION("""COMPUTED_VALUE"""),FALSE)</f>
        <v>0</v>
      </c>
      <c r="E2106" s="35" t="str">
        <f>IFERROR(__xludf.DUMMYFUNCTION("""COMPUTED_VALUE"""),"Medium")</f>
        <v>Medium</v>
      </c>
      <c r="F2106" s="35">
        <f>IFERROR(__xludf.DUMMYFUNCTION("""COMPUTED_VALUE"""),106.0)</f>
        <v>106</v>
      </c>
      <c r="G2106" s="35">
        <f>IFERROR(__xludf.DUMMYFUNCTION("""COMPUTED_VALUE"""),114.0)</f>
        <v>114</v>
      </c>
      <c r="H2106" s="35" t="str">
        <f>IFERROR(__xludf.DUMMYFUNCTION("""COMPUTED_VALUE"""),"Algorithms")</f>
        <v>Algorithms</v>
      </c>
      <c r="I2106" s="35">
        <f>IFERROR(__xludf.DUMMYFUNCTION("""COMPUTED_VALUE"""),0.513)</f>
        <v>0.513</v>
      </c>
      <c r="J2106" s="35">
        <f>IFERROR(__xludf.DUMMYFUNCTION("""COMPUTED_VALUE"""),2105.0)</f>
        <v>2105</v>
      </c>
      <c r="K2106" s="35" t="b">
        <f>IFERROR(__xludf.DUMMYFUNCTION("""COMPUTED_VALUE"""),FALSE)</f>
        <v>0</v>
      </c>
      <c r="L2106" s="35" t="str">
        <f>IFERROR(__xludf.DUMMYFUNCTION("""COMPUTED_VALUE"""),"Array;Two Pointers;Simulation;")</f>
        <v>Array;Two Pointers;Simulation;</v>
      </c>
      <c r="M2106" s="35" t="b">
        <f>IFERROR(__xludf.DUMMYFUNCTION("""COMPUTED_VALUE"""),FALSE)</f>
        <v>0</v>
      </c>
      <c r="N2106" s="35" t="b">
        <f>IFERROR(__xludf.DUMMYFUNCTION("""COMPUTED_VALUE"""),FALSE)</f>
        <v>0</v>
      </c>
      <c r="O2106" s="35">
        <f>IFERROR(__xludf.DUMMYFUNCTION("""COMPUTED_VALUE"""),51.3307408716731)</f>
        <v>51.33074087</v>
      </c>
      <c r="P2106" s="35">
        <f>IFERROR(__xludf.DUMMYFUNCTION("""COMPUTED_VALUE"""),10164.0)</f>
        <v>10164</v>
      </c>
      <c r="Q2106" s="35">
        <f>IFERROR(__xludf.DUMMYFUNCTION("""COMPUTED_VALUE"""),19801.0)</f>
        <v>19801</v>
      </c>
    </row>
    <row r="2107">
      <c r="A2107" s="35">
        <f>IFERROR(__xludf.DUMMYFUNCTION("""COMPUTED_VALUE"""),2229.0)</f>
        <v>2229</v>
      </c>
      <c r="B2107" s="35" t="str">
        <f>IFERROR(__xludf.DUMMYFUNCTION("""COMPUTED_VALUE"""),"Maximum Fruits Harvested After at Most K Steps")</f>
        <v>Maximum Fruits Harvested After at Most K Steps</v>
      </c>
      <c r="C2107" s="35" t="str">
        <f>IFERROR(__xludf.DUMMYFUNCTION("""COMPUTED_VALUE"""),"maximum-fruits-harvested-after-at-most-k-steps")</f>
        <v>maximum-fruits-harvested-after-at-most-k-steps</v>
      </c>
      <c r="D2107" s="35" t="b">
        <f>IFERROR(__xludf.DUMMYFUNCTION("""COMPUTED_VALUE"""),FALSE)</f>
        <v>0</v>
      </c>
      <c r="E2107" s="35" t="str">
        <f>IFERROR(__xludf.DUMMYFUNCTION("""COMPUTED_VALUE"""),"Hard")</f>
        <v>Hard</v>
      </c>
      <c r="F2107" s="35">
        <f>IFERROR(__xludf.DUMMYFUNCTION("""COMPUTED_VALUE"""),241.0)</f>
        <v>241</v>
      </c>
      <c r="G2107" s="35">
        <f>IFERROR(__xludf.DUMMYFUNCTION("""COMPUTED_VALUE"""),14.0)</f>
        <v>14</v>
      </c>
      <c r="H2107" s="35" t="str">
        <f>IFERROR(__xludf.DUMMYFUNCTION("""COMPUTED_VALUE"""),"Algorithms")</f>
        <v>Algorithms</v>
      </c>
      <c r="I2107" s="35">
        <f>IFERROR(__xludf.DUMMYFUNCTION("""COMPUTED_VALUE"""),0.35)</f>
        <v>0.35</v>
      </c>
      <c r="J2107" s="35">
        <f>IFERROR(__xludf.DUMMYFUNCTION("""COMPUTED_VALUE"""),2106.0)</f>
        <v>2106</v>
      </c>
      <c r="K2107" s="35" t="b">
        <f>IFERROR(__xludf.DUMMYFUNCTION("""COMPUTED_VALUE"""),FALSE)</f>
        <v>0</v>
      </c>
      <c r="L2107" s="35" t="str">
        <f>IFERROR(__xludf.DUMMYFUNCTION("""COMPUTED_VALUE"""),"Array;Binary Search;Sliding Window;Prefix Sum;")</f>
        <v>Array;Binary Search;Sliding Window;Prefix Sum;</v>
      </c>
      <c r="M2107" s="35" t="b">
        <f>IFERROR(__xludf.DUMMYFUNCTION("""COMPUTED_VALUE"""),FALSE)</f>
        <v>0</v>
      </c>
      <c r="N2107" s="35" t="b">
        <f>IFERROR(__xludf.DUMMYFUNCTION("""COMPUTED_VALUE"""),FALSE)</f>
        <v>0</v>
      </c>
      <c r="O2107" s="35">
        <f>IFERROR(__xludf.DUMMYFUNCTION("""COMPUTED_VALUE"""),35.0487862922417)</f>
        <v>35.04878629</v>
      </c>
      <c r="P2107" s="35">
        <f>IFERROR(__xludf.DUMMYFUNCTION("""COMPUTED_VALUE"""),5891.0)</f>
        <v>5891</v>
      </c>
      <c r="Q2107" s="35">
        <f>IFERROR(__xludf.DUMMYFUNCTION("""COMPUTED_VALUE"""),16808.0)</f>
        <v>16808</v>
      </c>
    </row>
    <row r="2108">
      <c r="A2108" s="35">
        <f>IFERROR(__xludf.DUMMYFUNCTION("""COMPUTED_VALUE"""),2247.0)</f>
        <v>2247</v>
      </c>
      <c r="B2108" s="35" t="str">
        <f>IFERROR(__xludf.DUMMYFUNCTION("""COMPUTED_VALUE"""),"Number of Unique Flavors After Sharing K Candies")</f>
        <v>Number of Unique Flavors After Sharing K Candies</v>
      </c>
      <c r="C2108" s="35" t="str">
        <f>IFERROR(__xludf.DUMMYFUNCTION("""COMPUTED_VALUE"""),"number-of-unique-flavors-after-sharing-k-candies")</f>
        <v>number-of-unique-flavors-after-sharing-k-candies</v>
      </c>
      <c r="D2108" s="35" t="b">
        <f>IFERROR(__xludf.DUMMYFUNCTION("""COMPUTED_VALUE"""),TRUE)</f>
        <v>1</v>
      </c>
      <c r="E2108" s="35" t="str">
        <f>IFERROR(__xludf.DUMMYFUNCTION("""COMPUTED_VALUE"""),"Medium")</f>
        <v>Medium</v>
      </c>
      <c r="F2108" s="35">
        <f>IFERROR(__xludf.DUMMYFUNCTION("""COMPUTED_VALUE"""),38.0)</f>
        <v>38</v>
      </c>
      <c r="G2108" s="35">
        <f>IFERROR(__xludf.DUMMYFUNCTION("""COMPUTED_VALUE"""),0.0)</f>
        <v>0</v>
      </c>
      <c r="H2108" s="35" t="str">
        <f>IFERROR(__xludf.DUMMYFUNCTION("""COMPUTED_VALUE"""),"Algorithms")</f>
        <v>Algorithms</v>
      </c>
      <c r="I2108" s="35">
        <f>IFERROR(__xludf.DUMMYFUNCTION("""COMPUTED_VALUE"""),0.584)</f>
        <v>0.584</v>
      </c>
      <c r="J2108" s="35">
        <f>IFERROR(__xludf.DUMMYFUNCTION("""COMPUTED_VALUE"""),2107.0)</f>
        <v>2107</v>
      </c>
      <c r="K2108" s="35" t="b">
        <f>IFERROR(__xludf.DUMMYFUNCTION("""COMPUTED_VALUE"""),TRUE)</f>
        <v>1</v>
      </c>
      <c r="L2108" s="35" t="str">
        <f>IFERROR(__xludf.DUMMYFUNCTION("""COMPUTED_VALUE"""),"Array;Hash Table;Sliding Window;")</f>
        <v>Array;Hash Table;Sliding Window;</v>
      </c>
      <c r="M2108" s="35" t="b">
        <f>IFERROR(__xludf.DUMMYFUNCTION("""COMPUTED_VALUE"""),FALSE)</f>
        <v>0</v>
      </c>
      <c r="N2108" s="35" t="b">
        <f>IFERROR(__xludf.DUMMYFUNCTION("""COMPUTED_VALUE"""),FALSE)</f>
        <v>0</v>
      </c>
      <c r="O2108" s="35">
        <f>IFERROR(__xludf.DUMMYFUNCTION("""COMPUTED_VALUE"""),58.4094572810317)</f>
        <v>58.40945728</v>
      </c>
      <c r="P2108" s="35">
        <f>IFERROR(__xludf.DUMMYFUNCTION("""COMPUTED_VALUE"""),1087.0)</f>
        <v>1087</v>
      </c>
      <c r="Q2108" s="35">
        <f>IFERROR(__xludf.DUMMYFUNCTION("""COMPUTED_VALUE"""),1861.0)</f>
        <v>1861</v>
      </c>
    </row>
    <row r="2109">
      <c r="A2109" s="35">
        <f>IFERROR(__xludf.DUMMYFUNCTION("""COMPUTED_VALUE"""),2231.0)</f>
        <v>2231</v>
      </c>
      <c r="B2109" s="35" t="str">
        <f>IFERROR(__xludf.DUMMYFUNCTION("""COMPUTED_VALUE"""),"Find First Palindromic String in the Array")</f>
        <v>Find First Palindromic String in the Array</v>
      </c>
      <c r="C2109" s="35" t="str">
        <f>IFERROR(__xludf.DUMMYFUNCTION("""COMPUTED_VALUE"""),"find-first-palindromic-string-in-the-array")</f>
        <v>find-first-palindromic-string-in-the-array</v>
      </c>
      <c r="D2109" s="35" t="b">
        <f>IFERROR(__xludf.DUMMYFUNCTION("""COMPUTED_VALUE"""),FALSE)</f>
        <v>0</v>
      </c>
      <c r="E2109" s="35" t="str">
        <f>IFERROR(__xludf.DUMMYFUNCTION("""COMPUTED_VALUE"""),"Easy")</f>
        <v>Easy</v>
      </c>
      <c r="F2109" s="35">
        <f>IFERROR(__xludf.DUMMYFUNCTION("""COMPUTED_VALUE"""),281.0)</f>
        <v>281</v>
      </c>
      <c r="G2109" s="35">
        <f>IFERROR(__xludf.DUMMYFUNCTION("""COMPUTED_VALUE"""),9.0)</f>
        <v>9</v>
      </c>
      <c r="H2109" s="35" t="str">
        <f>IFERROR(__xludf.DUMMYFUNCTION("""COMPUTED_VALUE"""),"Algorithms")</f>
        <v>Algorithms</v>
      </c>
      <c r="I2109" s="35">
        <f>IFERROR(__xludf.DUMMYFUNCTION("""COMPUTED_VALUE"""),0.8)</f>
        <v>0.8</v>
      </c>
      <c r="J2109" s="35">
        <f>IFERROR(__xludf.DUMMYFUNCTION("""COMPUTED_VALUE"""),2108.0)</f>
        <v>2108</v>
      </c>
      <c r="K2109" s="35" t="b">
        <f>IFERROR(__xludf.DUMMYFUNCTION("""COMPUTED_VALUE"""),FALSE)</f>
        <v>0</v>
      </c>
      <c r="L2109" s="35" t="str">
        <f>IFERROR(__xludf.DUMMYFUNCTION("""COMPUTED_VALUE"""),"Array;Two Pointers;String;")</f>
        <v>Array;Two Pointers;String;</v>
      </c>
      <c r="M2109" s="35" t="b">
        <f>IFERROR(__xludf.DUMMYFUNCTION("""COMPUTED_VALUE"""),FALSE)</f>
        <v>0</v>
      </c>
      <c r="N2109" s="35" t="b">
        <f>IFERROR(__xludf.DUMMYFUNCTION("""COMPUTED_VALUE"""),FALSE)</f>
        <v>0</v>
      </c>
      <c r="O2109" s="35">
        <f>IFERROR(__xludf.DUMMYFUNCTION("""COMPUTED_VALUE"""),80.0064324932803)</f>
        <v>80.00643249</v>
      </c>
      <c r="P2109" s="35">
        <f>IFERROR(__xludf.DUMMYFUNCTION("""COMPUTED_VALUE"""),34822.0)</f>
        <v>34822</v>
      </c>
      <c r="Q2109" s="35">
        <f>IFERROR(__xludf.DUMMYFUNCTION("""COMPUTED_VALUE"""),43520.0)</f>
        <v>43520</v>
      </c>
    </row>
    <row r="2110">
      <c r="A2110" s="35">
        <f>IFERROR(__xludf.DUMMYFUNCTION("""COMPUTED_VALUE"""),2232.0)</f>
        <v>2232</v>
      </c>
      <c r="B2110" s="35" t="str">
        <f>IFERROR(__xludf.DUMMYFUNCTION("""COMPUTED_VALUE"""),"Adding Spaces to a String")</f>
        <v>Adding Spaces to a String</v>
      </c>
      <c r="C2110" s="35" t="str">
        <f>IFERROR(__xludf.DUMMYFUNCTION("""COMPUTED_VALUE"""),"adding-spaces-to-a-string")</f>
        <v>adding-spaces-to-a-string</v>
      </c>
      <c r="D2110" s="35" t="b">
        <f>IFERROR(__xludf.DUMMYFUNCTION("""COMPUTED_VALUE"""),FALSE)</f>
        <v>0</v>
      </c>
      <c r="E2110" s="35" t="str">
        <f>IFERROR(__xludf.DUMMYFUNCTION("""COMPUTED_VALUE"""),"Medium")</f>
        <v>Medium</v>
      </c>
      <c r="F2110" s="35">
        <f>IFERROR(__xludf.DUMMYFUNCTION("""COMPUTED_VALUE"""),226.0)</f>
        <v>226</v>
      </c>
      <c r="G2110" s="35">
        <f>IFERROR(__xludf.DUMMYFUNCTION("""COMPUTED_VALUE"""),22.0)</f>
        <v>22</v>
      </c>
      <c r="H2110" s="35" t="str">
        <f>IFERROR(__xludf.DUMMYFUNCTION("""COMPUTED_VALUE"""),"Algorithms")</f>
        <v>Algorithms</v>
      </c>
      <c r="I2110" s="35">
        <f>IFERROR(__xludf.DUMMYFUNCTION("""COMPUTED_VALUE"""),0.559)</f>
        <v>0.559</v>
      </c>
      <c r="J2110" s="35">
        <f>IFERROR(__xludf.DUMMYFUNCTION("""COMPUTED_VALUE"""),2109.0)</f>
        <v>2109</v>
      </c>
      <c r="K2110" s="35" t="b">
        <f>IFERROR(__xludf.DUMMYFUNCTION("""COMPUTED_VALUE"""),FALSE)</f>
        <v>0</v>
      </c>
      <c r="L2110" s="35" t="str">
        <f>IFERROR(__xludf.DUMMYFUNCTION("""COMPUTED_VALUE"""),"Array;String;Simulation;")</f>
        <v>Array;String;Simulation;</v>
      </c>
      <c r="M2110" s="35" t="b">
        <f>IFERROR(__xludf.DUMMYFUNCTION("""COMPUTED_VALUE"""),FALSE)</f>
        <v>0</v>
      </c>
      <c r="N2110" s="35" t="b">
        <f>IFERROR(__xludf.DUMMYFUNCTION("""COMPUTED_VALUE"""),FALSE)</f>
        <v>0</v>
      </c>
      <c r="O2110" s="35">
        <f>IFERROR(__xludf.DUMMYFUNCTION("""COMPUTED_VALUE"""),55.8542956106978)</f>
        <v>55.85429561</v>
      </c>
      <c r="P2110" s="35">
        <f>IFERROR(__xludf.DUMMYFUNCTION("""COMPUTED_VALUE"""),19672.0)</f>
        <v>19672</v>
      </c>
      <c r="Q2110" s="35">
        <f>IFERROR(__xludf.DUMMYFUNCTION("""COMPUTED_VALUE"""),35221.0)</f>
        <v>35221</v>
      </c>
    </row>
    <row r="2111">
      <c r="A2111" s="35">
        <f>IFERROR(__xludf.DUMMYFUNCTION("""COMPUTED_VALUE"""),2233.0)</f>
        <v>2233</v>
      </c>
      <c r="B2111" s="35" t="str">
        <f>IFERROR(__xludf.DUMMYFUNCTION("""COMPUTED_VALUE"""),"Number of Smooth Descent Periods of a Stock")</f>
        <v>Number of Smooth Descent Periods of a Stock</v>
      </c>
      <c r="C2111" s="35" t="str">
        <f>IFERROR(__xludf.DUMMYFUNCTION("""COMPUTED_VALUE"""),"number-of-smooth-descent-periods-of-a-stock")</f>
        <v>number-of-smooth-descent-periods-of-a-stock</v>
      </c>
      <c r="D2111" s="35" t="b">
        <f>IFERROR(__xludf.DUMMYFUNCTION("""COMPUTED_VALUE"""),FALSE)</f>
        <v>0</v>
      </c>
      <c r="E2111" s="35" t="str">
        <f>IFERROR(__xludf.DUMMYFUNCTION("""COMPUTED_VALUE"""),"Medium")</f>
        <v>Medium</v>
      </c>
      <c r="F2111" s="35">
        <f>IFERROR(__xludf.DUMMYFUNCTION("""COMPUTED_VALUE"""),296.0)</f>
        <v>296</v>
      </c>
      <c r="G2111" s="35">
        <f>IFERROR(__xludf.DUMMYFUNCTION("""COMPUTED_VALUE"""),10.0)</f>
        <v>10</v>
      </c>
      <c r="H2111" s="35" t="str">
        <f>IFERROR(__xludf.DUMMYFUNCTION("""COMPUTED_VALUE"""),"Algorithms")</f>
        <v>Algorithms</v>
      </c>
      <c r="I2111" s="35">
        <f>IFERROR(__xludf.DUMMYFUNCTION("""COMPUTED_VALUE"""),0.549)</f>
        <v>0.549</v>
      </c>
      <c r="J2111" s="35">
        <f>IFERROR(__xludf.DUMMYFUNCTION("""COMPUTED_VALUE"""),2110.0)</f>
        <v>2110</v>
      </c>
      <c r="K2111" s="35" t="b">
        <f>IFERROR(__xludf.DUMMYFUNCTION("""COMPUTED_VALUE"""),FALSE)</f>
        <v>0</v>
      </c>
      <c r="L2111" s="35" t="str">
        <f>IFERROR(__xludf.DUMMYFUNCTION("""COMPUTED_VALUE"""),"Array;Math;Dynamic Programming;")</f>
        <v>Array;Math;Dynamic Programming;</v>
      </c>
      <c r="M2111" s="35" t="b">
        <f>IFERROR(__xludf.DUMMYFUNCTION("""COMPUTED_VALUE"""),FALSE)</f>
        <v>0</v>
      </c>
      <c r="N2111" s="35" t="b">
        <f>IFERROR(__xludf.DUMMYFUNCTION("""COMPUTED_VALUE"""),FALSE)</f>
        <v>0</v>
      </c>
      <c r="O2111" s="35">
        <f>IFERROR(__xludf.DUMMYFUNCTION("""COMPUTED_VALUE"""),54.9235213024355)</f>
        <v>54.9235213</v>
      </c>
      <c r="P2111" s="35">
        <f>IFERROR(__xludf.DUMMYFUNCTION("""COMPUTED_VALUE"""),16733.0)</f>
        <v>16733</v>
      </c>
      <c r="Q2111" s="35">
        <f>IFERROR(__xludf.DUMMYFUNCTION("""COMPUTED_VALUE"""),30466.0)</f>
        <v>30466</v>
      </c>
    </row>
    <row r="2112">
      <c r="A2112" s="35">
        <f>IFERROR(__xludf.DUMMYFUNCTION("""COMPUTED_VALUE"""),2234.0)</f>
        <v>2234</v>
      </c>
      <c r="B2112" s="35" t="str">
        <f>IFERROR(__xludf.DUMMYFUNCTION("""COMPUTED_VALUE"""),"Minimum Operations to Make the Array K-Increasing")</f>
        <v>Minimum Operations to Make the Array K-Increasing</v>
      </c>
      <c r="C2112" s="35" t="str">
        <f>IFERROR(__xludf.DUMMYFUNCTION("""COMPUTED_VALUE"""),"minimum-operations-to-make-the-array-k-increasing")</f>
        <v>minimum-operations-to-make-the-array-k-increasing</v>
      </c>
      <c r="D2112" s="35" t="b">
        <f>IFERROR(__xludf.DUMMYFUNCTION("""COMPUTED_VALUE"""),FALSE)</f>
        <v>0</v>
      </c>
      <c r="E2112" s="35" t="str">
        <f>IFERROR(__xludf.DUMMYFUNCTION("""COMPUTED_VALUE"""),"Hard")</f>
        <v>Hard</v>
      </c>
      <c r="F2112" s="35">
        <f>IFERROR(__xludf.DUMMYFUNCTION("""COMPUTED_VALUE"""),452.0)</f>
        <v>452</v>
      </c>
      <c r="G2112" s="35">
        <f>IFERROR(__xludf.DUMMYFUNCTION("""COMPUTED_VALUE"""),8.0)</f>
        <v>8</v>
      </c>
      <c r="H2112" s="35" t="str">
        <f>IFERROR(__xludf.DUMMYFUNCTION("""COMPUTED_VALUE"""),"Algorithms")</f>
        <v>Algorithms</v>
      </c>
      <c r="I2112" s="35">
        <f>IFERROR(__xludf.DUMMYFUNCTION("""COMPUTED_VALUE"""),0.359)</f>
        <v>0.359</v>
      </c>
      <c r="J2112" s="35">
        <f>IFERROR(__xludf.DUMMYFUNCTION("""COMPUTED_VALUE"""),2111.0)</f>
        <v>2111</v>
      </c>
      <c r="K2112" s="35" t="b">
        <f>IFERROR(__xludf.DUMMYFUNCTION("""COMPUTED_VALUE"""),FALSE)</f>
        <v>0</v>
      </c>
      <c r="L2112" s="35" t="str">
        <f>IFERROR(__xludf.DUMMYFUNCTION("""COMPUTED_VALUE"""),"Array;Binary Search;")</f>
        <v>Array;Binary Search;</v>
      </c>
      <c r="M2112" s="35" t="b">
        <f>IFERROR(__xludf.DUMMYFUNCTION("""COMPUTED_VALUE"""),FALSE)</f>
        <v>0</v>
      </c>
      <c r="N2112" s="35" t="b">
        <f>IFERROR(__xludf.DUMMYFUNCTION("""COMPUTED_VALUE"""),FALSE)</f>
        <v>0</v>
      </c>
      <c r="O2112" s="35">
        <f>IFERROR(__xludf.DUMMYFUNCTION("""COMPUTED_VALUE"""),35.9359583819176)</f>
        <v>35.93595838</v>
      </c>
      <c r="P2112" s="35">
        <f>IFERROR(__xludf.DUMMYFUNCTION("""COMPUTED_VALUE"""),8013.0)</f>
        <v>8013</v>
      </c>
      <c r="Q2112" s="35">
        <f>IFERROR(__xludf.DUMMYFUNCTION("""COMPUTED_VALUE"""),22298.0)</f>
        <v>22298</v>
      </c>
    </row>
    <row r="2113">
      <c r="A2113" s="35">
        <f>IFERROR(__xludf.DUMMYFUNCTION("""COMPUTED_VALUE"""),2252.0)</f>
        <v>2252</v>
      </c>
      <c r="B2113" s="35" t="str">
        <f>IFERROR(__xludf.DUMMYFUNCTION("""COMPUTED_VALUE"""),"The Airport With the Most Traffic")</f>
        <v>The Airport With the Most Traffic</v>
      </c>
      <c r="C2113" s="35" t="str">
        <f>IFERROR(__xludf.DUMMYFUNCTION("""COMPUTED_VALUE"""),"the-airport-with-the-most-traffic")</f>
        <v>the-airport-with-the-most-traffic</v>
      </c>
      <c r="D2113" s="35" t="b">
        <f>IFERROR(__xludf.DUMMYFUNCTION("""COMPUTED_VALUE"""),TRUE)</f>
        <v>1</v>
      </c>
      <c r="E2113" s="35" t="str">
        <f>IFERROR(__xludf.DUMMYFUNCTION("""COMPUTED_VALUE"""),"Medium")</f>
        <v>Medium</v>
      </c>
      <c r="F2113" s="35">
        <f>IFERROR(__xludf.DUMMYFUNCTION("""COMPUTED_VALUE"""),14.0)</f>
        <v>14</v>
      </c>
      <c r="G2113" s="35">
        <f>IFERROR(__xludf.DUMMYFUNCTION("""COMPUTED_VALUE"""),4.0)</f>
        <v>4</v>
      </c>
      <c r="H2113" s="35" t="str">
        <f>IFERROR(__xludf.DUMMYFUNCTION("""COMPUTED_VALUE"""),"Database")</f>
        <v>Database</v>
      </c>
      <c r="I2113" s="35">
        <f>IFERROR(__xludf.DUMMYFUNCTION("""COMPUTED_VALUE"""),0.679)</f>
        <v>0.679</v>
      </c>
      <c r="J2113" s="35">
        <f>IFERROR(__xludf.DUMMYFUNCTION("""COMPUTED_VALUE"""),2112.0)</f>
        <v>2112</v>
      </c>
      <c r="K2113" s="35" t="b">
        <f>IFERROR(__xludf.DUMMYFUNCTION("""COMPUTED_VALUE"""),TRUE)</f>
        <v>1</v>
      </c>
      <c r="L2113" s="35" t="str">
        <f>IFERROR(__xludf.DUMMYFUNCTION("""COMPUTED_VALUE"""),"Database;")</f>
        <v>Database;</v>
      </c>
      <c r="M2113" s="35" t="b">
        <f>IFERROR(__xludf.DUMMYFUNCTION("""COMPUTED_VALUE"""),FALSE)</f>
        <v>0</v>
      </c>
      <c r="N2113" s="35" t="b">
        <f>IFERROR(__xludf.DUMMYFUNCTION("""COMPUTED_VALUE"""),FALSE)</f>
        <v>0</v>
      </c>
      <c r="O2113" s="35">
        <f>IFERROR(__xludf.DUMMYFUNCTION("""COMPUTED_VALUE"""),67.8639663737103)</f>
        <v>67.86396637</v>
      </c>
      <c r="P2113" s="35">
        <f>IFERROR(__xludf.DUMMYFUNCTION("""COMPUTED_VALUE"""),1776.0)</f>
        <v>1776</v>
      </c>
      <c r="Q2113" s="35">
        <f>IFERROR(__xludf.DUMMYFUNCTION("""COMPUTED_VALUE"""),2617.0)</f>
        <v>2617</v>
      </c>
    </row>
    <row r="2114">
      <c r="A2114" s="35">
        <f>IFERROR(__xludf.DUMMYFUNCTION("""COMPUTED_VALUE"""),2258.0)</f>
        <v>2258</v>
      </c>
      <c r="B2114" s="35" t="str">
        <f>IFERROR(__xludf.DUMMYFUNCTION("""COMPUTED_VALUE"""),"Elements in Array After Removing and Replacing Elements")</f>
        <v>Elements in Array After Removing and Replacing Elements</v>
      </c>
      <c r="C2114" s="35" t="str">
        <f>IFERROR(__xludf.DUMMYFUNCTION("""COMPUTED_VALUE"""),"elements-in-array-after-removing-and-replacing-elements")</f>
        <v>elements-in-array-after-removing-and-replacing-elements</v>
      </c>
      <c r="D2114" s="35" t="b">
        <f>IFERROR(__xludf.DUMMYFUNCTION("""COMPUTED_VALUE"""),TRUE)</f>
        <v>1</v>
      </c>
      <c r="E2114" s="35" t="str">
        <f>IFERROR(__xludf.DUMMYFUNCTION("""COMPUTED_VALUE"""),"Medium")</f>
        <v>Medium</v>
      </c>
      <c r="F2114" s="35">
        <f>IFERROR(__xludf.DUMMYFUNCTION("""COMPUTED_VALUE"""),34.0)</f>
        <v>34</v>
      </c>
      <c r="G2114" s="35">
        <f>IFERROR(__xludf.DUMMYFUNCTION("""COMPUTED_VALUE"""),5.0)</f>
        <v>5</v>
      </c>
      <c r="H2114" s="35" t="str">
        <f>IFERROR(__xludf.DUMMYFUNCTION("""COMPUTED_VALUE"""),"Algorithms")</f>
        <v>Algorithms</v>
      </c>
      <c r="I2114" s="35">
        <f>IFERROR(__xludf.DUMMYFUNCTION("""COMPUTED_VALUE"""),0.737)</f>
        <v>0.737</v>
      </c>
      <c r="J2114" s="35">
        <f>IFERROR(__xludf.DUMMYFUNCTION("""COMPUTED_VALUE"""),2113.0)</f>
        <v>2113</v>
      </c>
      <c r="K2114" s="35" t="b">
        <f>IFERROR(__xludf.DUMMYFUNCTION("""COMPUTED_VALUE"""),TRUE)</f>
        <v>1</v>
      </c>
      <c r="L2114" s="35" t="str">
        <f>IFERROR(__xludf.DUMMYFUNCTION("""COMPUTED_VALUE"""),"Array;")</f>
        <v>Array;</v>
      </c>
      <c r="M2114" s="35" t="b">
        <f>IFERROR(__xludf.DUMMYFUNCTION("""COMPUTED_VALUE"""),FALSE)</f>
        <v>0</v>
      </c>
      <c r="N2114" s="35" t="b">
        <f>IFERROR(__xludf.DUMMYFUNCTION("""COMPUTED_VALUE"""),FALSE)</f>
        <v>0</v>
      </c>
      <c r="O2114" s="35">
        <f>IFERROR(__xludf.DUMMYFUNCTION("""COMPUTED_VALUE"""),73.7455197132616)</f>
        <v>73.74551971</v>
      </c>
      <c r="P2114" s="35">
        <f>IFERROR(__xludf.DUMMYFUNCTION("""COMPUTED_VALUE"""),823.0)</f>
        <v>823</v>
      </c>
      <c r="Q2114" s="35">
        <f>IFERROR(__xludf.DUMMYFUNCTION("""COMPUTED_VALUE"""),1116.0)</f>
        <v>1116</v>
      </c>
    </row>
    <row r="2115">
      <c r="A2115" s="35">
        <f>IFERROR(__xludf.DUMMYFUNCTION("""COMPUTED_VALUE"""),2219.0)</f>
        <v>2219</v>
      </c>
      <c r="B2115" s="35" t="str">
        <f>IFERROR(__xludf.DUMMYFUNCTION("""COMPUTED_VALUE"""),"Maximum Number of Words Found in Sentences")</f>
        <v>Maximum Number of Words Found in Sentences</v>
      </c>
      <c r="C2115" s="35" t="str">
        <f>IFERROR(__xludf.DUMMYFUNCTION("""COMPUTED_VALUE"""),"maximum-number-of-words-found-in-sentences")</f>
        <v>maximum-number-of-words-found-in-sentences</v>
      </c>
      <c r="D2115" s="35" t="b">
        <f>IFERROR(__xludf.DUMMYFUNCTION("""COMPUTED_VALUE"""),FALSE)</f>
        <v>0</v>
      </c>
      <c r="E2115" s="35" t="str">
        <f>IFERROR(__xludf.DUMMYFUNCTION("""COMPUTED_VALUE"""),"Easy")</f>
        <v>Easy</v>
      </c>
      <c r="F2115" s="35">
        <f>IFERROR(__xludf.DUMMYFUNCTION("""COMPUTED_VALUE"""),402.0)</f>
        <v>402</v>
      </c>
      <c r="G2115" s="35">
        <f>IFERROR(__xludf.DUMMYFUNCTION("""COMPUTED_VALUE"""),15.0)</f>
        <v>15</v>
      </c>
      <c r="H2115" s="35" t="str">
        <f>IFERROR(__xludf.DUMMYFUNCTION("""COMPUTED_VALUE"""),"Algorithms")</f>
        <v>Algorithms</v>
      </c>
      <c r="I2115" s="35">
        <f>IFERROR(__xludf.DUMMYFUNCTION("""COMPUTED_VALUE"""),0.892)</f>
        <v>0.892</v>
      </c>
      <c r="J2115" s="35">
        <f>IFERROR(__xludf.DUMMYFUNCTION("""COMPUTED_VALUE"""),2114.0)</f>
        <v>2114</v>
      </c>
      <c r="K2115" s="35" t="b">
        <f>IFERROR(__xludf.DUMMYFUNCTION("""COMPUTED_VALUE"""),FALSE)</f>
        <v>0</v>
      </c>
      <c r="L2115" s="35" t="str">
        <f>IFERROR(__xludf.DUMMYFUNCTION("""COMPUTED_VALUE"""),"Array;String;")</f>
        <v>Array;String;</v>
      </c>
      <c r="M2115" s="35" t="b">
        <f>IFERROR(__xludf.DUMMYFUNCTION("""COMPUTED_VALUE"""),FALSE)</f>
        <v>0</v>
      </c>
      <c r="N2115" s="35" t="b">
        <f>IFERROR(__xludf.DUMMYFUNCTION("""COMPUTED_VALUE"""),FALSE)</f>
        <v>0</v>
      </c>
      <c r="O2115" s="35">
        <f>IFERROR(__xludf.DUMMYFUNCTION("""COMPUTED_VALUE"""),89.1893872764585)</f>
        <v>89.18938728</v>
      </c>
      <c r="P2115" s="35">
        <f>IFERROR(__xludf.DUMMYFUNCTION("""COMPUTED_VALUE"""),48672.0)</f>
        <v>48672</v>
      </c>
      <c r="Q2115" s="35">
        <f>IFERROR(__xludf.DUMMYFUNCTION("""COMPUTED_VALUE"""),54570.0)</f>
        <v>54570</v>
      </c>
    </row>
    <row r="2116">
      <c r="A2116" s="35">
        <f>IFERROR(__xludf.DUMMYFUNCTION("""COMPUTED_VALUE"""),2220.0)</f>
        <v>2220</v>
      </c>
      <c r="B2116" s="35" t="str">
        <f>IFERROR(__xludf.DUMMYFUNCTION("""COMPUTED_VALUE"""),"Find All Possible Recipes from Given Supplies")</f>
        <v>Find All Possible Recipes from Given Supplies</v>
      </c>
      <c r="C2116" s="35" t="str">
        <f>IFERROR(__xludf.DUMMYFUNCTION("""COMPUTED_VALUE"""),"find-all-possible-recipes-from-given-supplies")</f>
        <v>find-all-possible-recipes-from-given-supplies</v>
      </c>
      <c r="D2116" s="35" t="b">
        <f>IFERROR(__xludf.DUMMYFUNCTION("""COMPUTED_VALUE"""),FALSE)</f>
        <v>0</v>
      </c>
      <c r="E2116" s="35" t="str">
        <f>IFERROR(__xludf.DUMMYFUNCTION("""COMPUTED_VALUE"""),"Medium")</f>
        <v>Medium</v>
      </c>
      <c r="F2116" s="35">
        <f>IFERROR(__xludf.DUMMYFUNCTION("""COMPUTED_VALUE"""),489.0)</f>
        <v>489</v>
      </c>
      <c r="G2116" s="35">
        <f>IFERROR(__xludf.DUMMYFUNCTION("""COMPUTED_VALUE"""),38.0)</f>
        <v>38</v>
      </c>
      <c r="H2116" s="35" t="str">
        <f>IFERROR(__xludf.DUMMYFUNCTION("""COMPUTED_VALUE"""),"Algorithms")</f>
        <v>Algorithms</v>
      </c>
      <c r="I2116" s="35">
        <f>IFERROR(__xludf.DUMMYFUNCTION("""COMPUTED_VALUE"""),0.394)</f>
        <v>0.394</v>
      </c>
      <c r="J2116" s="35">
        <f>IFERROR(__xludf.DUMMYFUNCTION("""COMPUTED_VALUE"""),2115.0)</f>
        <v>2115</v>
      </c>
      <c r="K2116" s="35" t="b">
        <f>IFERROR(__xludf.DUMMYFUNCTION("""COMPUTED_VALUE"""),FALSE)</f>
        <v>0</v>
      </c>
      <c r="L2116" s="35" t="str">
        <f>IFERROR(__xludf.DUMMYFUNCTION("""COMPUTED_VALUE"""),"Array;Hash Table;String;Graph;Topological Sort;")</f>
        <v>Array;Hash Table;String;Graph;Topological Sort;</v>
      </c>
      <c r="M2116" s="35" t="b">
        <f>IFERROR(__xludf.DUMMYFUNCTION("""COMPUTED_VALUE"""),FALSE)</f>
        <v>0</v>
      </c>
      <c r="N2116" s="35" t="b">
        <f>IFERROR(__xludf.DUMMYFUNCTION("""COMPUTED_VALUE"""),FALSE)</f>
        <v>0</v>
      </c>
      <c r="O2116" s="35">
        <f>IFERROR(__xludf.DUMMYFUNCTION("""COMPUTED_VALUE"""),39.3992568125516)</f>
        <v>39.39925681</v>
      </c>
      <c r="P2116" s="35">
        <f>IFERROR(__xludf.DUMMYFUNCTION("""COMPUTED_VALUE"""),15267.0)</f>
        <v>15267</v>
      </c>
      <c r="Q2116" s="35">
        <f>IFERROR(__xludf.DUMMYFUNCTION("""COMPUTED_VALUE"""),38750.0)</f>
        <v>38750</v>
      </c>
    </row>
    <row r="2117">
      <c r="A2117" s="35">
        <f>IFERROR(__xludf.DUMMYFUNCTION("""COMPUTED_VALUE"""),2221.0)</f>
        <v>2221</v>
      </c>
      <c r="B2117" s="35" t="str">
        <f>IFERROR(__xludf.DUMMYFUNCTION("""COMPUTED_VALUE"""),"Check if a Parentheses String Can Be Valid")</f>
        <v>Check if a Parentheses String Can Be Valid</v>
      </c>
      <c r="C2117" s="35" t="str">
        <f>IFERROR(__xludf.DUMMYFUNCTION("""COMPUTED_VALUE"""),"check-if-a-parentheses-string-can-be-valid")</f>
        <v>check-if-a-parentheses-string-can-be-valid</v>
      </c>
      <c r="D2117" s="35" t="b">
        <f>IFERROR(__xludf.DUMMYFUNCTION("""COMPUTED_VALUE"""),FALSE)</f>
        <v>0</v>
      </c>
      <c r="E2117" s="35" t="str">
        <f>IFERROR(__xludf.DUMMYFUNCTION("""COMPUTED_VALUE"""),"Medium")</f>
        <v>Medium</v>
      </c>
      <c r="F2117" s="35">
        <f>IFERROR(__xludf.DUMMYFUNCTION("""COMPUTED_VALUE"""),365.0)</f>
        <v>365</v>
      </c>
      <c r="G2117" s="35">
        <f>IFERROR(__xludf.DUMMYFUNCTION("""COMPUTED_VALUE"""),13.0)</f>
        <v>13</v>
      </c>
      <c r="H2117" s="35" t="str">
        <f>IFERROR(__xludf.DUMMYFUNCTION("""COMPUTED_VALUE"""),"Algorithms")</f>
        <v>Algorithms</v>
      </c>
      <c r="I2117" s="35">
        <f>IFERROR(__xludf.DUMMYFUNCTION("""COMPUTED_VALUE"""),0.312)</f>
        <v>0.312</v>
      </c>
      <c r="J2117" s="35">
        <f>IFERROR(__xludf.DUMMYFUNCTION("""COMPUTED_VALUE"""),2116.0)</f>
        <v>2116</v>
      </c>
      <c r="K2117" s="35" t="b">
        <f>IFERROR(__xludf.DUMMYFUNCTION("""COMPUTED_VALUE"""),FALSE)</f>
        <v>0</v>
      </c>
      <c r="L2117" s="35" t="str">
        <f>IFERROR(__xludf.DUMMYFUNCTION("""COMPUTED_VALUE"""),"String;Stack;Greedy;")</f>
        <v>String;Stack;Greedy;</v>
      </c>
      <c r="M2117" s="35" t="b">
        <f>IFERROR(__xludf.DUMMYFUNCTION("""COMPUTED_VALUE"""),FALSE)</f>
        <v>0</v>
      </c>
      <c r="N2117" s="35" t="b">
        <f>IFERROR(__xludf.DUMMYFUNCTION("""COMPUTED_VALUE"""),FALSE)</f>
        <v>0</v>
      </c>
      <c r="O2117" s="35">
        <f>IFERROR(__xludf.DUMMYFUNCTION("""COMPUTED_VALUE"""),31.1768189894756)</f>
        <v>31.17681899</v>
      </c>
      <c r="P2117" s="35">
        <f>IFERROR(__xludf.DUMMYFUNCTION("""COMPUTED_VALUE"""),6841.0)</f>
        <v>6841</v>
      </c>
      <c r="Q2117" s="35">
        <f>IFERROR(__xludf.DUMMYFUNCTION("""COMPUTED_VALUE"""),21945.0)</f>
        <v>21945</v>
      </c>
    </row>
    <row r="2118">
      <c r="A2118" s="35">
        <f>IFERROR(__xludf.DUMMYFUNCTION("""COMPUTED_VALUE"""),2222.0)</f>
        <v>2222</v>
      </c>
      <c r="B2118" s="35" t="str">
        <f>IFERROR(__xludf.DUMMYFUNCTION("""COMPUTED_VALUE"""),"Abbreviating the Product of a Range")</f>
        <v>Abbreviating the Product of a Range</v>
      </c>
      <c r="C2118" s="35" t="str">
        <f>IFERROR(__xludf.DUMMYFUNCTION("""COMPUTED_VALUE"""),"abbreviating-the-product-of-a-range")</f>
        <v>abbreviating-the-product-of-a-range</v>
      </c>
      <c r="D2118" s="35" t="b">
        <f>IFERROR(__xludf.DUMMYFUNCTION("""COMPUTED_VALUE"""),FALSE)</f>
        <v>0</v>
      </c>
      <c r="E2118" s="35" t="str">
        <f>IFERROR(__xludf.DUMMYFUNCTION("""COMPUTED_VALUE"""),"Hard")</f>
        <v>Hard</v>
      </c>
      <c r="F2118" s="35">
        <f>IFERROR(__xludf.DUMMYFUNCTION("""COMPUTED_VALUE"""),51.0)</f>
        <v>51</v>
      </c>
      <c r="G2118" s="35">
        <f>IFERROR(__xludf.DUMMYFUNCTION("""COMPUTED_VALUE"""),89.0)</f>
        <v>89</v>
      </c>
      <c r="H2118" s="35" t="str">
        <f>IFERROR(__xludf.DUMMYFUNCTION("""COMPUTED_VALUE"""),"Algorithms")</f>
        <v>Algorithms</v>
      </c>
      <c r="I2118" s="35">
        <f>IFERROR(__xludf.DUMMYFUNCTION("""COMPUTED_VALUE"""),0.283)</f>
        <v>0.283</v>
      </c>
      <c r="J2118" s="35">
        <f>IFERROR(__xludf.DUMMYFUNCTION("""COMPUTED_VALUE"""),2117.0)</f>
        <v>2117</v>
      </c>
      <c r="K2118" s="35" t="b">
        <f>IFERROR(__xludf.DUMMYFUNCTION("""COMPUTED_VALUE"""),FALSE)</f>
        <v>0</v>
      </c>
      <c r="L2118" s="35" t="str">
        <f>IFERROR(__xludf.DUMMYFUNCTION("""COMPUTED_VALUE"""),"Math;")</f>
        <v>Math;</v>
      </c>
      <c r="M2118" s="35" t="b">
        <f>IFERROR(__xludf.DUMMYFUNCTION("""COMPUTED_VALUE"""),FALSE)</f>
        <v>0</v>
      </c>
      <c r="N2118" s="35" t="b">
        <f>IFERROR(__xludf.DUMMYFUNCTION("""COMPUTED_VALUE"""),FALSE)</f>
        <v>0</v>
      </c>
      <c r="O2118" s="35">
        <f>IFERROR(__xludf.DUMMYFUNCTION("""COMPUTED_VALUE"""),28.2577565632458)</f>
        <v>28.25775656</v>
      </c>
      <c r="P2118" s="35">
        <f>IFERROR(__xludf.DUMMYFUNCTION("""COMPUTED_VALUE"""),1776.0)</f>
        <v>1776</v>
      </c>
      <c r="Q2118" s="35">
        <f>IFERROR(__xludf.DUMMYFUNCTION("""COMPUTED_VALUE"""),6285.0)</f>
        <v>6285</v>
      </c>
    </row>
    <row r="2119">
      <c r="A2119" s="35">
        <f>IFERROR(__xludf.DUMMYFUNCTION("""COMPUTED_VALUE"""),2253.0)</f>
        <v>2253</v>
      </c>
      <c r="B2119" s="35" t="str">
        <f>IFERROR(__xludf.DUMMYFUNCTION("""COMPUTED_VALUE"""),"Build the Equation")</f>
        <v>Build the Equation</v>
      </c>
      <c r="C2119" s="35" t="str">
        <f>IFERROR(__xludf.DUMMYFUNCTION("""COMPUTED_VALUE"""),"build-the-equation")</f>
        <v>build-the-equation</v>
      </c>
      <c r="D2119" s="35" t="b">
        <f>IFERROR(__xludf.DUMMYFUNCTION("""COMPUTED_VALUE"""),TRUE)</f>
        <v>1</v>
      </c>
      <c r="E2119" s="35" t="str">
        <f>IFERROR(__xludf.DUMMYFUNCTION("""COMPUTED_VALUE"""),"Hard")</f>
        <v>Hard</v>
      </c>
      <c r="F2119" s="35">
        <f>IFERROR(__xludf.DUMMYFUNCTION("""COMPUTED_VALUE"""),9.0)</f>
        <v>9</v>
      </c>
      <c r="G2119" s="35">
        <f>IFERROR(__xludf.DUMMYFUNCTION("""COMPUTED_VALUE"""),13.0)</f>
        <v>13</v>
      </c>
      <c r="H2119" s="35" t="str">
        <f>IFERROR(__xludf.DUMMYFUNCTION("""COMPUTED_VALUE"""),"Database")</f>
        <v>Database</v>
      </c>
      <c r="I2119" s="35">
        <f>IFERROR(__xludf.DUMMYFUNCTION("""COMPUTED_VALUE"""),0.578)</f>
        <v>0.578</v>
      </c>
      <c r="J2119" s="35">
        <f>IFERROR(__xludf.DUMMYFUNCTION("""COMPUTED_VALUE"""),2118.0)</f>
        <v>2118</v>
      </c>
      <c r="K2119" s="35" t="b">
        <f>IFERROR(__xludf.DUMMYFUNCTION("""COMPUTED_VALUE"""),TRUE)</f>
        <v>1</v>
      </c>
      <c r="L2119" s="35" t="str">
        <f>IFERROR(__xludf.DUMMYFUNCTION("""COMPUTED_VALUE"""),"Database;")</f>
        <v>Database;</v>
      </c>
      <c r="M2119" s="35" t="b">
        <f>IFERROR(__xludf.DUMMYFUNCTION("""COMPUTED_VALUE"""),FALSE)</f>
        <v>0</v>
      </c>
      <c r="N2119" s="35" t="b">
        <f>IFERROR(__xludf.DUMMYFUNCTION("""COMPUTED_VALUE"""),FALSE)</f>
        <v>0</v>
      </c>
      <c r="O2119" s="35">
        <f>IFERROR(__xludf.DUMMYFUNCTION("""COMPUTED_VALUE"""),57.8107183580387)</f>
        <v>57.81071836</v>
      </c>
      <c r="P2119" s="35">
        <f>IFERROR(__xludf.DUMMYFUNCTION("""COMPUTED_VALUE"""),507.0)</f>
        <v>507</v>
      </c>
      <c r="Q2119" s="35">
        <f>IFERROR(__xludf.DUMMYFUNCTION("""COMPUTED_VALUE"""),877.0)</f>
        <v>877</v>
      </c>
    </row>
    <row r="2120">
      <c r="A2120" s="35">
        <f>IFERROR(__xludf.DUMMYFUNCTION("""COMPUTED_VALUE"""),2238.0)</f>
        <v>2238</v>
      </c>
      <c r="B2120" s="35" t="str">
        <f>IFERROR(__xludf.DUMMYFUNCTION("""COMPUTED_VALUE"""),"A Number After a Double Reversal")</f>
        <v>A Number After a Double Reversal</v>
      </c>
      <c r="C2120" s="35" t="str">
        <f>IFERROR(__xludf.DUMMYFUNCTION("""COMPUTED_VALUE"""),"a-number-after-a-double-reversal")</f>
        <v>a-number-after-a-double-reversal</v>
      </c>
      <c r="D2120" s="35" t="b">
        <f>IFERROR(__xludf.DUMMYFUNCTION("""COMPUTED_VALUE"""),FALSE)</f>
        <v>0</v>
      </c>
      <c r="E2120" s="35" t="str">
        <f>IFERROR(__xludf.DUMMYFUNCTION("""COMPUTED_VALUE"""),"Easy")</f>
        <v>Easy</v>
      </c>
      <c r="F2120" s="35">
        <f>IFERROR(__xludf.DUMMYFUNCTION("""COMPUTED_VALUE"""),197.0)</f>
        <v>197</v>
      </c>
      <c r="G2120" s="35">
        <f>IFERROR(__xludf.DUMMYFUNCTION("""COMPUTED_VALUE"""),14.0)</f>
        <v>14</v>
      </c>
      <c r="H2120" s="35" t="str">
        <f>IFERROR(__xludf.DUMMYFUNCTION("""COMPUTED_VALUE"""),"Algorithms")</f>
        <v>Algorithms</v>
      </c>
      <c r="I2120" s="35">
        <f>IFERROR(__xludf.DUMMYFUNCTION("""COMPUTED_VALUE"""),0.772)</f>
        <v>0.772</v>
      </c>
      <c r="J2120" s="35">
        <f>IFERROR(__xludf.DUMMYFUNCTION("""COMPUTED_VALUE"""),2119.0)</f>
        <v>2119</v>
      </c>
      <c r="K2120" s="35" t="b">
        <f>IFERROR(__xludf.DUMMYFUNCTION("""COMPUTED_VALUE"""),FALSE)</f>
        <v>0</v>
      </c>
      <c r="L2120" s="35" t="str">
        <f>IFERROR(__xludf.DUMMYFUNCTION("""COMPUTED_VALUE"""),"Math;")</f>
        <v>Math;</v>
      </c>
      <c r="M2120" s="35" t="b">
        <f>IFERROR(__xludf.DUMMYFUNCTION("""COMPUTED_VALUE"""),FALSE)</f>
        <v>0</v>
      </c>
      <c r="N2120" s="35" t="b">
        <f>IFERROR(__xludf.DUMMYFUNCTION("""COMPUTED_VALUE"""),FALSE)</f>
        <v>0</v>
      </c>
      <c r="O2120" s="35">
        <f>IFERROR(__xludf.DUMMYFUNCTION("""COMPUTED_VALUE"""),77.1649749453938)</f>
        <v>77.16497495</v>
      </c>
      <c r="P2120" s="35">
        <f>IFERROR(__xludf.DUMMYFUNCTION("""COMPUTED_VALUE"""),24022.0)</f>
        <v>24022</v>
      </c>
      <c r="Q2120" s="35">
        <f>IFERROR(__xludf.DUMMYFUNCTION("""COMPUTED_VALUE"""),31131.0)</f>
        <v>31131</v>
      </c>
    </row>
    <row r="2121">
      <c r="A2121" s="35">
        <f>IFERROR(__xludf.DUMMYFUNCTION("""COMPUTED_VALUE"""),2239.0)</f>
        <v>2239</v>
      </c>
      <c r="B2121" s="35" t="str">
        <f>IFERROR(__xludf.DUMMYFUNCTION("""COMPUTED_VALUE"""),"Execution of All Suffix Instructions Staying in a Grid")</f>
        <v>Execution of All Suffix Instructions Staying in a Grid</v>
      </c>
      <c r="C2121" s="35" t="str">
        <f>IFERROR(__xludf.DUMMYFUNCTION("""COMPUTED_VALUE"""),"execution-of-all-suffix-instructions-staying-in-a-grid")</f>
        <v>execution-of-all-suffix-instructions-staying-in-a-grid</v>
      </c>
      <c r="D2121" s="35" t="b">
        <f>IFERROR(__xludf.DUMMYFUNCTION("""COMPUTED_VALUE"""),FALSE)</f>
        <v>0</v>
      </c>
      <c r="E2121" s="35" t="str">
        <f>IFERROR(__xludf.DUMMYFUNCTION("""COMPUTED_VALUE"""),"Medium")</f>
        <v>Medium</v>
      </c>
      <c r="F2121" s="35">
        <f>IFERROR(__xludf.DUMMYFUNCTION("""COMPUTED_VALUE"""),224.0)</f>
        <v>224</v>
      </c>
      <c r="G2121" s="35">
        <f>IFERROR(__xludf.DUMMYFUNCTION("""COMPUTED_VALUE"""),22.0)</f>
        <v>22</v>
      </c>
      <c r="H2121" s="35" t="str">
        <f>IFERROR(__xludf.DUMMYFUNCTION("""COMPUTED_VALUE"""),"Algorithms")</f>
        <v>Algorithms</v>
      </c>
      <c r="I2121" s="35">
        <f>IFERROR(__xludf.DUMMYFUNCTION("""COMPUTED_VALUE"""),0.829)</f>
        <v>0.829</v>
      </c>
      <c r="J2121" s="35">
        <f>IFERROR(__xludf.DUMMYFUNCTION("""COMPUTED_VALUE"""),2120.0)</f>
        <v>2120</v>
      </c>
      <c r="K2121" s="35" t="b">
        <f>IFERROR(__xludf.DUMMYFUNCTION("""COMPUTED_VALUE"""),FALSE)</f>
        <v>0</v>
      </c>
      <c r="L2121" s="35" t="str">
        <f>IFERROR(__xludf.DUMMYFUNCTION("""COMPUTED_VALUE"""),"String;Simulation;")</f>
        <v>String;Simulation;</v>
      </c>
      <c r="M2121" s="35" t="b">
        <f>IFERROR(__xludf.DUMMYFUNCTION("""COMPUTED_VALUE"""),FALSE)</f>
        <v>0</v>
      </c>
      <c r="N2121" s="35" t="b">
        <f>IFERROR(__xludf.DUMMYFUNCTION("""COMPUTED_VALUE"""),FALSE)</f>
        <v>0</v>
      </c>
      <c r="O2121" s="35">
        <f>IFERROR(__xludf.DUMMYFUNCTION("""COMPUTED_VALUE"""),82.9180845892075)</f>
        <v>82.91808459</v>
      </c>
      <c r="P2121" s="35">
        <f>IFERROR(__xludf.DUMMYFUNCTION("""COMPUTED_VALUE"""),13645.0)</f>
        <v>13645</v>
      </c>
      <c r="Q2121" s="35">
        <f>IFERROR(__xludf.DUMMYFUNCTION("""COMPUTED_VALUE"""),16456.0)</f>
        <v>16456</v>
      </c>
    </row>
    <row r="2122">
      <c r="A2122" s="35">
        <f>IFERROR(__xludf.DUMMYFUNCTION("""COMPUTED_VALUE"""),2240.0)</f>
        <v>2240</v>
      </c>
      <c r="B2122" s="35" t="str">
        <f>IFERROR(__xludf.DUMMYFUNCTION("""COMPUTED_VALUE"""),"Intervals Between Identical Elements")</f>
        <v>Intervals Between Identical Elements</v>
      </c>
      <c r="C2122" s="35" t="str">
        <f>IFERROR(__xludf.DUMMYFUNCTION("""COMPUTED_VALUE"""),"intervals-between-identical-elements")</f>
        <v>intervals-between-identical-elements</v>
      </c>
      <c r="D2122" s="35" t="b">
        <f>IFERROR(__xludf.DUMMYFUNCTION("""COMPUTED_VALUE"""),FALSE)</f>
        <v>0</v>
      </c>
      <c r="E2122" s="35" t="str">
        <f>IFERROR(__xludf.DUMMYFUNCTION("""COMPUTED_VALUE"""),"Medium")</f>
        <v>Medium</v>
      </c>
      <c r="F2122" s="35">
        <f>IFERROR(__xludf.DUMMYFUNCTION("""COMPUTED_VALUE"""),443.0)</f>
        <v>443</v>
      </c>
      <c r="G2122" s="35">
        <f>IFERROR(__xludf.DUMMYFUNCTION("""COMPUTED_VALUE"""),19.0)</f>
        <v>19</v>
      </c>
      <c r="H2122" s="35" t="str">
        <f>IFERROR(__xludf.DUMMYFUNCTION("""COMPUTED_VALUE"""),"Algorithms")</f>
        <v>Algorithms</v>
      </c>
      <c r="I2122" s="35">
        <f>IFERROR(__xludf.DUMMYFUNCTION("""COMPUTED_VALUE"""),0.418)</f>
        <v>0.418</v>
      </c>
      <c r="J2122" s="35">
        <f>IFERROR(__xludf.DUMMYFUNCTION("""COMPUTED_VALUE"""),2121.0)</f>
        <v>2121</v>
      </c>
      <c r="K2122" s="35" t="b">
        <f>IFERROR(__xludf.DUMMYFUNCTION("""COMPUTED_VALUE"""),FALSE)</f>
        <v>0</v>
      </c>
      <c r="L2122" s="35" t="str">
        <f>IFERROR(__xludf.DUMMYFUNCTION("""COMPUTED_VALUE"""),"Array;Hash Table;Prefix Sum;")</f>
        <v>Array;Hash Table;Prefix Sum;</v>
      </c>
      <c r="M2122" s="35" t="b">
        <f>IFERROR(__xludf.DUMMYFUNCTION("""COMPUTED_VALUE"""),FALSE)</f>
        <v>0</v>
      </c>
      <c r="N2122" s="35" t="b">
        <f>IFERROR(__xludf.DUMMYFUNCTION("""COMPUTED_VALUE"""),FALSE)</f>
        <v>0</v>
      </c>
      <c r="O2122" s="35">
        <f>IFERROR(__xludf.DUMMYFUNCTION("""COMPUTED_VALUE"""),41.818842921784)</f>
        <v>41.81884292</v>
      </c>
      <c r="P2122" s="35">
        <f>IFERROR(__xludf.DUMMYFUNCTION("""COMPUTED_VALUE"""),10349.0)</f>
        <v>10349</v>
      </c>
      <c r="Q2122" s="35">
        <f>IFERROR(__xludf.DUMMYFUNCTION("""COMPUTED_VALUE"""),24750.0)</f>
        <v>24750</v>
      </c>
    </row>
    <row r="2123">
      <c r="A2123" s="35">
        <f>IFERROR(__xludf.DUMMYFUNCTION("""COMPUTED_VALUE"""),2241.0)</f>
        <v>2241</v>
      </c>
      <c r="B2123" s="35" t="str">
        <f>IFERROR(__xludf.DUMMYFUNCTION("""COMPUTED_VALUE"""),"Recover the Original Array")</f>
        <v>Recover the Original Array</v>
      </c>
      <c r="C2123" s="35" t="str">
        <f>IFERROR(__xludf.DUMMYFUNCTION("""COMPUTED_VALUE"""),"recover-the-original-array")</f>
        <v>recover-the-original-array</v>
      </c>
      <c r="D2123" s="35" t="b">
        <f>IFERROR(__xludf.DUMMYFUNCTION("""COMPUTED_VALUE"""),FALSE)</f>
        <v>0</v>
      </c>
      <c r="E2123" s="35" t="str">
        <f>IFERROR(__xludf.DUMMYFUNCTION("""COMPUTED_VALUE"""),"Hard")</f>
        <v>Hard</v>
      </c>
      <c r="F2123" s="35">
        <f>IFERROR(__xludf.DUMMYFUNCTION("""COMPUTED_VALUE"""),210.0)</f>
        <v>210</v>
      </c>
      <c r="G2123" s="35">
        <f>IFERROR(__xludf.DUMMYFUNCTION("""COMPUTED_VALUE"""),26.0)</f>
        <v>26</v>
      </c>
      <c r="H2123" s="35" t="str">
        <f>IFERROR(__xludf.DUMMYFUNCTION("""COMPUTED_VALUE"""),"Algorithms")</f>
        <v>Algorithms</v>
      </c>
      <c r="I2123" s="35">
        <f>IFERROR(__xludf.DUMMYFUNCTION("""COMPUTED_VALUE"""),0.375)</f>
        <v>0.375</v>
      </c>
      <c r="J2123" s="35">
        <f>IFERROR(__xludf.DUMMYFUNCTION("""COMPUTED_VALUE"""),2122.0)</f>
        <v>2122</v>
      </c>
      <c r="K2123" s="35" t="b">
        <f>IFERROR(__xludf.DUMMYFUNCTION("""COMPUTED_VALUE"""),FALSE)</f>
        <v>0</v>
      </c>
      <c r="L2123" s="35" t="str">
        <f>IFERROR(__xludf.DUMMYFUNCTION("""COMPUTED_VALUE"""),"Array;Hash Table;Sorting;Enumeration;")</f>
        <v>Array;Hash Table;Sorting;Enumeration;</v>
      </c>
      <c r="M2123" s="35" t="b">
        <f>IFERROR(__xludf.DUMMYFUNCTION("""COMPUTED_VALUE"""),FALSE)</f>
        <v>0</v>
      </c>
      <c r="N2123" s="35" t="b">
        <f>IFERROR(__xludf.DUMMYFUNCTION("""COMPUTED_VALUE"""),FALSE)</f>
        <v>0</v>
      </c>
      <c r="O2123" s="35">
        <f>IFERROR(__xludf.DUMMYFUNCTION("""COMPUTED_VALUE"""),37.5300721732157)</f>
        <v>37.53007217</v>
      </c>
      <c r="P2123" s="35">
        <f>IFERROR(__xludf.DUMMYFUNCTION("""COMPUTED_VALUE"""),6084.0)</f>
        <v>6084</v>
      </c>
      <c r="Q2123" s="35">
        <f>IFERROR(__xludf.DUMMYFUNCTION("""COMPUTED_VALUE"""),16211.0)</f>
        <v>16211</v>
      </c>
    </row>
    <row r="2124">
      <c r="A2124" s="35">
        <f>IFERROR(__xludf.DUMMYFUNCTION("""COMPUTED_VALUE"""),2259.0)</f>
        <v>2259</v>
      </c>
      <c r="B2124" s="35" t="str">
        <f>IFERROR(__xludf.DUMMYFUNCTION("""COMPUTED_VALUE"""),"Minimum Operations to Remove Adjacent Ones in Matrix")</f>
        <v>Minimum Operations to Remove Adjacent Ones in Matrix</v>
      </c>
      <c r="C2124" s="35" t="str">
        <f>IFERROR(__xludf.DUMMYFUNCTION("""COMPUTED_VALUE"""),"minimum-operations-to-remove-adjacent-ones-in-matrix")</f>
        <v>minimum-operations-to-remove-adjacent-ones-in-matrix</v>
      </c>
      <c r="D2124" s="35" t="b">
        <f>IFERROR(__xludf.DUMMYFUNCTION("""COMPUTED_VALUE"""),TRUE)</f>
        <v>1</v>
      </c>
      <c r="E2124" s="35" t="str">
        <f>IFERROR(__xludf.DUMMYFUNCTION("""COMPUTED_VALUE"""),"Hard")</f>
        <v>Hard</v>
      </c>
      <c r="F2124" s="35">
        <f>IFERROR(__xludf.DUMMYFUNCTION("""COMPUTED_VALUE"""),20.0)</f>
        <v>20</v>
      </c>
      <c r="G2124" s="35">
        <f>IFERROR(__xludf.DUMMYFUNCTION("""COMPUTED_VALUE"""),4.0)</f>
        <v>4</v>
      </c>
      <c r="H2124" s="35" t="str">
        <f>IFERROR(__xludf.DUMMYFUNCTION("""COMPUTED_VALUE"""),"Algorithms")</f>
        <v>Algorithms</v>
      </c>
      <c r="I2124" s="35">
        <f>IFERROR(__xludf.DUMMYFUNCTION("""COMPUTED_VALUE"""),0.419)</f>
        <v>0.419</v>
      </c>
      <c r="J2124" s="35">
        <f>IFERROR(__xludf.DUMMYFUNCTION("""COMPUTED_VALUE"""),2123.0)</f>
        <v>2123</v>
      </c>
      <c r="K2124" s="35" t="b">
        <f>IFERROR(__xludf.DUMMYFUNCTION("""COMPUTED_VALUE"""),TRUE)</f>
        <v>1</v>
      </c>
      <c r="L2124" s="35" t="str">
        <f>IFERROR(__xludf.DUMMYFUNCTION("""COMPUTED_VALUE"""),"Array;Graph;Matrix;")</f>
        <v>Array;Graph;Matrix;</v>
      </c>
      <c r="M2124" s="35" t="b">
        <f>IFERROR(__xludf.DUMMYFUNCTION("""COMPUTED_VALUE"""),FALSE)</f>
        <v>0</v>
      </c>
      <c r="N2124" s="35" t="b">
        <f>IFERROR(__xludf.DUMMYFUNCTION("""COMPUTED_VALUE"""),FALSE)</f>
        <v>0</v>
      </c>
      <c r="O2124" s="35">
        <f>IFERROR(__xludf.DUMMYFUNCTION("""COMPUTED_VALUE"""),41.8629550321199)</f>
        <v>41.86295503</v>
      </c>
      <c r="P2124" s="35">
        <f>IFERROR(__xludf.DUMMYFUNCTION("""COMPUTED_VALUE"""),391.0)</f>
        <v>391</v>
      </c>
      <c r="Q2124" s="35">
        <f>IFERROR(__xludf.DUMMYFUNCTION("""COMPUTED_VALUE"""),934.0)</f>
        <v>934</v>
      </c>
    </row>
    <row r="2125">
      <c r="A2125" s="35">
        <f>IFERROR(__xludf.DUMMYFUNCTION("""COMPUTED_VALUE"""),2243.0)</f>
        <v>2243</v>
      </c>
      <c r="B2125" s="35" t="str">
        <f>IFERROR(__xludf.DUMMYFUNCTION("""COMPUTED_VALUE"""),"Check if All A's Appears Before All B's")</f>
        <v>Check if All A's Appears Before All B's</v>
      </c>
      <c r="C2125" s="35" t="str">
        <f>IFERROR(__xludf.DUMMYFUNCTION("""COMPUTED_VALUE"""),"check-if-all-as-appears-before-all-bs")</f>
        <v>check-if-all-as-appears-before-all-bs</v>
      </c>
      <c r="D2125" s="35" t="b">
        <f>IFERROR(__xludf.DUMMYFUNCTION("""COMPUTED_VALUE"""),FALSE)</f>
        <v>0</v>
      </c>
      <c r="E2125" s="35" t="str">
        <f>IFERROR(__xludf.DUMMYFUNCTION("""COMPUTED_VALUE"""),"Easy")</f>
        <v>Easy</v>
      </c>
      <c r="F2125" s="35">
        <f>IFERROR(__xludf.DUMMYFUNCTION("""COMPUTED_VALUE"""),252.0)</f>
        <v>252</v>
      </c>
      <c r="G2125" s="35">
        <f>IFERROR(__xludf.DUMMYFUNCTION("""COMPUTED_VALUE"""),2.0)</f>
        <v>2</v>
      </c>
      <c r="H2125" s="35" t="str">
        <f>IFERROR(__xludf.DUMMYFUNCTION("""COMPUTED_VALUE"""),"Algorithms")</f>
        <v>Algorithms</v>
      </c>
      <c r="I2125" s="35">
        <f>IFERROR(__xludf.DUMMYFUNCTION("""COMPUTED_VALUE"""),0.727)</f>
        <v>0.727</v>
      </c>
      <c r="J2125" s="35">
        <f>IFERROR(__xludf.DUMMYFUNCTION("""COMPUTED_VALUE"""),2124.0)</f>
        <v>2124</v>
      </c>
      <c r="K2125" s="35" t="b">
        <f>IFERROR(__xludf.DUMMYFUNCTION("""COMPUTED_VALUE"""),FALSE)</f>
        <v>0</v>
      </c>
      <c r="L2125" s="35" t="str">
        <f>IFERROR(__xludf.DUMMYFUNCTION("""COMPUTED_VALUE"""),"String;")</f>
        <v>String;</v>
      </c>
      <c r="M2125" s="35" t="b">
        <f>IFERROR(__xludf.DUMMYFUNCTION("""COMPUTED_VALUE"""),FALSE)</f>
        <v>0</v>
      </c>
      <c r="N2125" s="35" t="b">
        <f>IFERROR(__xludf.DUMMYFUNCTION("""COMPUTED_VALUE"""),FALSE)</f>
        <v>0</v>
      </c>
      <c r="O2125" s="35">
        <f>IFERROR(__xludf.DUMMYFUNCTION("""COMPUTED_VALUE"""),72.70446418272)</f>
        <v>72.70446418</v>
      </c>
      <c r="P2125" s="35">
        <f>IFERROR(__xludf.DUMMYFUNCTION("""COMPUTED_VALUE"""),25211.0)</f>
        <v>25211</v>
      </c>
      <c r="Q2125" s="35">
        <f>IFERROR(__xludf.DUMMYFUNCTION("""COMPUTED_VALUE"""),34676.0)</f>
        <v>34676</v>
      </c>
    </row>
    <row r="2126">
      <c r="A2126" s="35">
        <f>IFERROR(__xludf.DUMMYFUNCTION("""COMPUTED_VALUE"""),2244.0)</f>
        <v>2244</v>
      </c>
      <c r="B2126" s="35" t="str">
        <f>IFERROR(__xludf.DUMMYFUNCTION("""COMPUTED_VALUE"""),"Number of Laser Beams in a Bank")</f>
        <v>Number of Laser Beams in a Bank</v>
      </c>
      <c r="C2126" s="35" t="str">
        <f>IFERROR(__xludf.DUMMYFUNCTION("""COMPUTED_VALUE"""),"number-of-laser-beams-in-a-bank")</f>
        <v>number-of-laser-beams-in-a-bank</v>
      </c>
      <c r="D2126" s="35" t="b">
        <f>IFERROR(__xludf.DUMMYFUNCTION("""COMPUTED_VALUE"""),FALSE)</f>
        <v>0</v>
      </c>
      <c r="E2126" s="35" t="str">
        <f>IFERROR(__xludf.DUMMYFUNCTION("""COMPUTED_VALUE"""),"Medium")</f>
        <v>Medium</v>
      </c>
      <c r="F2126" s="35">
        <f>IFERROR(__xludf.DUMMYFUNCTION("""COMPUTED_VALUE"""),277.0)</f>
        <v>277</v>
      </c>
      <c r="G2126" s="35">
        <f>IFERROR(__xludf.DUMMYFUNCTION("""COMPUTED_VALUE"""),21.0)</f>
        <v>21</v>
      </c>
      <c r="H2126" s="35" t="str">
        <f>IFERROR(__xludf.DUMMYFUNCTION("""COMPUTED_VALUE"""),"Algorithms")</f>
        <v>Algorithms</v>
      </c>
      <c r="I2126" s="35">
        <f>IFERROR(__xludf.DUMMYFUNCTION("""COMPUTED_VALUE"""),0.834)</f>
        <v>0.834</v>
      </c>
      <c r="J2126" s="35">
        <f>IFERROR(__xludf.DUMMYFUNCTION("""COMPUTED_VALUE"""),2125.0)</f>
        <v>2125</v>
      </c>
      <c r="K2126" s="35" t="b">
        <f>IFERROR(__xludf.DUMMYFUNCTION("""COMPUTED_VALUE"""),FALSE)</f>
        <v>0</v>
      </c>
      <c r="L2126" s="35" t="str">
        <f>IFERROR(__xludf.DUMMYFUNCTION("""COMPUTED_VALUE"""),"Array;Math;String;Matrix;")</f>
        <v>Array;Math;String;Matrix;</v>
      </c>
      <c r="M2126" s="35" t="b">
        <f>IFERROR(__xludf.DUMMYFUNCTION("""COMPUTED_VALUE"""),FALSE)</f>
        <v>0</v>
      </c>
      <c r="N2126" s="35" t="b">
        <f>IFERROR(__xludf.DUMMYFUNCTION("""COMPUTED_VALUE"""),FALSE)</f>
        <v>0</v>
      </c>
      <c r="O2126" s="35">
        <f>IFERROR(__xludf.DUMMYFUNCTION("""COMPUTED_VALUE"""),83.3669667805029)</f>
        <v>83.36696678</v>
      </c>
      <c r="P2126" s="35">
        <f>IFERROR(__xludf.DUMMYFUNCTION("""COMPUTED_VALUE"""),21480.0)</f>
        <v>21480</v>
      </c>
      <c r="Q2126" s="35">
        <f>IFERROR(__xludf.DUMMYFUNCTION("""COMPUTED_VALUE"""),25766.0)</f>
        <v>25766</v>
      </c>
    </row>
    <row r="2127">
      <c r="A2127" s="35">
        <f>IFERROR(__xludf.DUMMYFUNCTION("""COMPUTED_VALUE"""),2245.0)</f>
        <v>2245</v>
      </c>
      <c r="B2127" s="35" t="str">
        <f>IFERROR(__xludf.DUMMYFUNCTION("""COMPUTED_VALUE"""),"Destroying Asteroids")</f>
        <v>Destroying Asteroids</v>
      </c>
      <c r="C2127" s="35" t="str">
        <f>IFERROR(__xludf.DUMMYFUNCTION("""COMPUTED_VALUE"""),"destroying-asteroids")</f>
        <v>destroying-asteroids</v>
      </c>
      <c r="D2127" s="35" t="b">
        <f>IFERROR(__xludf.DUMMYFUNCTION("""COMPUTED_VALUE"""),FALSE)</f>
        <v>0</v>
      </c>
      <c r="E2127" s="35" t="str">
        <f>IFERROR(__xludf.DUMMYFUNCTION("""COMPUTED_VALUE"""),"Medium")</f>
        <v>Medium</v>
      </c>
      <c r="F2127" s="35">
        <f>IFERROR(__xludf.DUMMYFUNCTION("""COMPUTED_VALUE"""),188.0)</f>
        <v>188</v>
      </c>
      <c r="G2127" s="35">
        <f>IFERROR(__xludf.DUMMYFUNCTION("""COMPUTED_VALUE"""),96.0)</f>
        <v>96</v>
      </c>
      <c r="H2127" s="35" t="str">
        <f>IFERROR(__xludf.DUMMYFUNCTION("""COMPUTED_VALUE"""),"Algorithms")</f>
        <v>Algorithms</v>
      </c>
      <c r="I2127" s="35">
        <f>IFERROR(__xludf.DUMMYFUNCTION("""COMPUTED_VALUE"""),0.481)</f>
        <v>0.481</v>
      </c>
      <c r="J2127" s="35">
        <f>IFERROR(__xludf.DUMMYFUNCTION("""COMPUTED_VALUE"""),2126.0)</f>
        <v>2126</v>
      </c>
      <c r="K2127" s="35" t="b">
        <f>IFERROR(__xludf.DUMMYFUNCTION("""COMPUTED_VALUE"""),FALSE)</f>
        <v>0</v>
      </c>
      <c r="L2127" s="35" t="str">
        <f>IFERROR(__xludf.DUMMYFUNCTION("""COMPUTED_VALUE"""),"Array;Greedy;Sorting;")</f>
        <v>Array;Greedy;Sorting;</v>
      </c>
      <c r="M2127" s="35" t="b">
        <f>IFERROR(__xludf.DUMMYFUNCTION("""COMPUTED_VALUE"""),FALSE)</f>
        <v>0</v>
      </c>
      <c r="N2127" s="35" t="b">
        <f>IFERROR(__xludf.DUMMYFUNCTION("""COMPUTED_VALUE"""),FALSE)</f>
        <v>0</v>
      </c>
      <c r="O2127" s="35">
        <f>IFERROR(__xludf.DUMMYFUNCTION("""COMPUTED_VALUE"""),48.1496916152692)</f>
        <v>48.14969162</v>
      </c>
      <c r="P2127" s="35">
        <f>IFERROR(__xludf.DUMMYFUNCTION("""COMPUTED_VALUE"""),17330.0)</f>
        <v>17330</v>
      </c>
      <c r="Q2127" s="35">
        <f>IFERROR(__xludf.DUMMYFUNCTION("""COMPUTED_VALUE"""),35992.0)</f>
        <v>35992</v>
      </c>
    </row>
    <row r="2128">
      <c r="A2128" s="35">
        <f>IFERROR(__xludf.DUMMYFUNCTION("""COMPUTED_VALUE"""),2246.0)</f>
        <v>2246</v>
      </c>
      <c r="B2128" s="35" t="str">
        <f>IFERROR(__xludf.DUMMYFUNCTION("""COMPUTED_VALUE"""),"Maximum Employees to Be Invited to a Meeting")</f>
        <v>Maximum Employees to Be Invited to a Meeting</v>
      </c>
      <c r="C2128" s="35" t="str">
        <f>IFERROR(__xludf.DUMMYFUNCTION("""COMPUTED_VALUE"""),"maximum-employees-to-be-invited-to-a-meeting")</f>
        <v>maximum-employees-to-be-invited-to-a-meeting</v>
      </c>
      <c r="D2128" s="35" t="b">
        <f>IFERROR(__xludf.DUMMYFUNCTION("""COMPUTED_VALUE"""),FALSE)</f>
        <v>0</v>
      </c>
      <c r="E2128" s="35" t="str">
        <f>IFERROR(__xludf.DUMMYFUNCTION("""COMPUTED_VALUE"""),"Hard")</f>
        <v>Hard</v>
      </c>
      <c r="F2128" s="35">
        <f>IFERROR(__xludf.DUMMYFUNCTION("""COMPUTED_VALUE"""),440.0)</f>
        <v>440</v>
      </c>
      <c r="G2128" s="35">
        <f>IFERROR(__xludf.DUMMYFUNCTION("""COMPUTED_VALUE"""),5.0)</f>
        <v>5</v>
      </c>
      <c r="H2128" s="35" t="str">
        <f>IFERROR(__xludf.DUMMYFUNCTION("""COMPUTED_VALUE"""),"Algorithms")</f>
        <v>Algorithms</v>
      </c>
      <c r="I2128" s="35">
        <f>IFERROR(__xludf.DUMMYFUNCTION("""COMPUTED_VALUE"""),0.296)</f>
        <v>0.296</v>
      </c>
      <c r="J2128" s="35">
        <f>IFERROR(__xludf.DUMMYFUNCTION("""COMPUTED_VALUE"""),2127.0)</f>
        <v>2127</v>
      </c>
      <c r="K2128" s="35" t="b">
        <f>IFERROR(__xludf.DUMMYFUNCTION("""COMPUTED_VALUE"""),FALSE)</f>
        <v>0</v>
      </c>
      <c r="L2128" s="35" t="str">
        <f>IFERROR(__xludf.DUMMYFUNCTION("""COMPUTED_VALUE"""),"Depth-First Search;Graph;Topological Sort;")</f>
        <v>Depth-First Search;Graph;Topological Sort;</v>
      </c>
      <c r="M2128" s="35" t="b">
        <f>IFERROR(__xludf.DUMMYFUNCTION("""COMPUTED_VALUE"""),FALSE)</f>
        <v>0</v>
      </c>
      <c r="N2128" s="35" t="b">
        <f>IFERROR(__xludf.DUMMYFUNCTION("""COMPUTED_VALUE"""),FALSE)</f>
        <v>0</v>
      </c>
      <c r="O2128" s="35">
        <f>IFERROR(__xludf.DUMMYFUNCTION("""COMPUTED_VALUE"""),29.5653371908796)</f>
        <v>29.56533719</v>
      </c>
      <c r="P2128" s="35">
        <f>IFERROR(__xludf.DUMMYFUNCTION("""COMPUTED_VALUE"""),4292.0)</f>
        <v>4292</v>
      </c>
      <c r="Q2128" s="35">
        <f>IFERROR(__xludf.DUMMYFUNCTION("""COMPUTED_VALUE"""),14517.0)</f>
        <v>14517</v>
      </c>
    </row>
    <row r="2129">
      <c r="A2129" s="35">
        <f>IFERROR(__xludf.DUMMYFUNCTION("""COMPUTED_VALUE"""),2268.0)</f>
        <v>2268</v>
      </c>
      <c r="B2129" s="35" t="str">
        <f>IFERROR(__xludf.DUMMYFUNCTION("""COMPUTED_VALUE"""),"Remove All Ones With Row and Column Flips")</f>
        <v>Remove All Ones With Row and Column Flips</v>
      </c>
      <c r="C2129" s="35" t="str">
        <f>IFERROR(__xludf.DUMMYFUNCTION("""COMPUTED_VALUE"""),"remove-all-ones-with-row-and-column-flips")</f>
        <v>remove-all-ones-with-row-and-column-flips</v>
      </c>
      <c r="D2129" s="35" t="b">
        <f>IFERROR(__xludf.DUMMYFUNCTION("""COMPUTED_VALUE"""),TRUE)</f>
        <v>1</v>
      </c>
      <c r="E2129" s="35" t="str">
        <f>IFERROR(__xludf.DUMMYFUNCTION("""COMPUTED_VALUE"""),"Medium")</f>
        <v>Medium</v>
      </c>
      <c r="F2129" s="35">
        <f>IFERROR(__xludf.DUMMYFUNCTION("""COMPUTED_VALUE"""),170.0)</f>
        <v>170</v>
      </c>
      <c r="G2129" s="35">
        <f>IFERROR(__xludf.DUMMYFUNCTION("""COMPUTED_VALUE"""),33.0)</f>
        <v>33</v>
      </c>
      <c r="H2129" s="35" t="str">
        <f>IFERROR(__xludf.DUMMYFUNCTION("""COMPUTED_VALUE"""),"Algorithms")</f>
        <v>Algorithms</v>
      </c>
      <c r="I2129" s="35">
        <f>IFERROR(__xludf.DUMMYFUNCTION("""COMPUTED_VALUE"""),0.763)</f>
        <v>0.763</v>
      </c>
      <c r="J2129" s="35">
        <f>IFERROR(__xludf.DUMMYFUNCTION("""COMPUTED_VALUE"""),2128.0)</f>
        <v>2128</v>
      </c>
      <c r="K2129" s="35" t="b">
        <f>IFERROR(__xludf.DUMMYFUNCTION("""COMPUTED_VALUE"""),TRUE)</f>
        <v>1</v>
      </c>
      <c r="L2129" s="35" t="str">
        <f>IFERROR(__xludf.DUMMYFUNCTION("""COMPUTED_VALUE"""),"Array;Math;Bit Manipulation;Matrix;")</f>
        <v>Array;Math;Bit Manipulation;Matrix;</v>
      </c>
      <c r="M2129" s="35" t="b">
        <f>IFERROR(__xludf.DUMMYFUNCTION("""COMPUTED_VALUE"""),FALSE)</f>
        <v>0</v>
      </c>
      <c r="N2129" s="35" t="b">
        <f>IFERROR(__xludf.DUMMYFUNCTION("""COMPUTED_VALUE"""),FALSE)</f>
        <v>0</v>
      </c>
      <c r="O2129" s="35">
        <f>IFERROR(__xludf.DUMMYFUNCTION("""COMPUTED_VALUE"""),76.2843743338307)</f>
        <v>76.28437433</v>
      </c>
      <c r="P2129" s="35">
        <f>IFERROR(__xludf.DUMMYFUNCTION("""COMPUTED_VALUE"""),7157.0)</f>
        <v>7157</v>
      </c>
      <c r="Q2129" s="35">
        <f>IFERROR(__xludf.DUMMYFUNCTION("""COMPUTED_VALUE"""),9382.0)</f>
        <v>9382</v>
      </c>
    </row>
    <row r="2130">
      <c r="A2130" s="35">
        <f>IFERROR(__xludf.DUMMYFUNCTION("""COMPUTED_VALUE"""),2235.0)</f>
        <v>2235</v>
      </c>
      <c r="B2130" s="35" t="str">
        <f>IFERROR(__xludf.DUMMYFUNCTION("""COMPUTED_VALUE"""),"Capitalize the Title")</f>
        <v>Capitalize the Title</v>
      </c>
      <c r="C2130" s="35" t="str">
        <f>IFERROR(__xludf.DUMMYFUNCTION("""COMPUTED_VALUE"""),"capitalize-the-title")</f>
        <v>capitalize-the-title</v>
      </c>
      <c r="D2130" s="35" t="b">
        <f>IFERROR(__xludf.DUMMYFUNCTION("""COMPUTED_VALUE"""),FALSE)</f>
        <v>0</v>
      </c>
      <c r="E2130" s="35" t="str">
        <f>IFERROR(__xludf.DUMMYFUNCTION("""COMPUTED_VALUE"""),"Easy")</f>
        <v>Easy</v>
      </c>
      <c r="F2130" s="35">
        <f>IFERROR(__xludf.DUMMYFUNCTION("""COMPUTED_VALUE"""),227.0)</f>
        <v>227</v>
      </c>
      <c r="G2130" s="35">
        <f>IFERROR(__xludf.DUMMYFUNCTION("""COMPUTED_VALUE"""),24.0)</f>
        <v>24</v>
      </c>
      <c r="H2130" s="35" t="str">
        <f>IFERROR(__xludf.DUMMYFUNCTION("""COMPUTED_VALUE"""),"Algorithms")</f>
        <v>Algorithms</v>
      </c>
      <c r="I2130" s="35">
        <f>IFERROR(__xludf.DUMMYFUNCTION("""COMPUTED_VALUE"""),0.594)</f>
        <v>0.594</v>
      </c>
      <c r="J2130" s="35">
        <f>IFERROR(__xludf.DUMMYFUNCTION("""COMPUTED_VALUE"""),2129.0)</f>
        <v>2129</v>
      </c>
      <c r="K2130" s="35" t="b">
        <f>IFERROR(__xludf.DUMMYFUNCTION("""COMPUTED_VALUE"""),FALSE)</f>
        <v>0</v>
      </c>
      <c r="L2130" s="35" t="str">
        <f>IFERROR(__xludf.DUMMYFUNCTION("""COMPUTED_VALUE"""),"String;")</f>
        <v>String;</v>
      </c>
      <c r="M2130" s="35" t="b">
        <f>IFERROR(__xludf.DUMMYFUNCTION("""COMPUTED_VALUE"""),FALSE)</f>
        <v>0</v>
      </c>
      <c r="N2130" s="35" t="b">
        <f>IFERROR(__xludf.DUMMYFUNCTION("""COMPUTED_VALUE"""),FALSE)</f>
        <v>0</v>
      </c>
      <c r="O2130" s="35">
        <f>IFERROR(__xludf.DUMMYFUNCTION("""COMPUTED_VALUE"""),59.4461906900164)</f>
        <v>59.44619069</v>
      </c>
      <c r="P2130" s="35">
        <f>IFERROR(__xludf.DUMMYFUNCTION("""COMPUTED_VALUE"""),19858.0)</f>
        <v>19858</v>
      </c>
      <c r="Q2130" s="35">
        <f>IFERROR(__xludf.DUMMYFUNCTION("""COMPUTED_VALUE"""),33405.0)</f>
        <v>33405</v>
      </c>
    </row>
    <row r="2131">
      <c r="A2131" s="35">
        <f>IFERROR(__xludf.DUMMYFUNCTION("""COMPUTED_VALUE"""),2236.0)</f>
        <v>2236</v>
      </c>
      <c r="B2131" s="35" t="str">
        <f>IFERROR(__xludf.DUMMYFUNCTION("""COMPUTED_VALUE"""),"Maximum Twin Sum of a Linked List")</f>
        <v>Maximum Twin Sum of a Linked List</v>
      </c>
      <c r="C2131" s="35" t="str">
        <f>IFERROR(__xludf.DUMMYFUNCTION("""COMPUTED_VALUE"""),"maximum-twin-sum-of-a-linked-list")</f>
        <v>maximum-twin-sum-of-a-linked-list</v>
      </c>
      <c r="D2131" s="35" t="b">
        <f>IFERROR(__xludf.DUMMYFUNCTION("""COMPUTED_VALUE"""),FALSE)</f>
        <v>0</v>
      </c>
      <c r="E2131" s="35" t="str">
        <f>IFERROR(__xludf.DUMMYFUNCTION("""COMPUTED_VALUE"""),"Medium")</f>
        <v>Medium</v>
      </c>
      <c r="F2131" s="35">
        <f>IFERROR(__xludf.DUMMYFUNCTION("""COMPUTED_VALUE"""),384.0)</f>
        <v>384</v>
      </c>
      <c r="G2131" s="35">
        <f>IFERROR(__xludf.DUMMYFUNCTION("""COMPUTED_VALUE"""),15.0)</f>
        <v>15</v>
      </c>
      <c r="H2131" s="35" t="str">
        <f>IFERROR(__xludf.DUMMYFUNCTION("""COMPUTED_VALUE"""),"Algorithms")</f>
        <v>Algorithms</v>
      </c>
      <c r="I2131" s="35">
        <f>IFERROR(__xludf.DUMMYFUNCTION("""COMPUTED_VALUE"""),0.824)</f>
        <v>0.824</v>
      </c>
      <c r="J2131" s="35">
        <f>IFERROR(__xludf.DUMMYFUNCTION("""COMPUTED_VALUE"""),2130.0)</f>
        <v>2130</v>
      </c>
      <c r="K2131" s="35" t="b">
        <f>IFERROR(__xludf.DUMMYFUNCTION("""COMPUTED_VALUE"""),FALSE)</f>
        <v>0</v>
      </c>
      <c r="L2131" s="35" t="str">
        <f>IFERROR(__xludf.DUMMYFUNCTION("""COMPUTED_VALUE"""),"Linked List;Two Pointers;Stack;")</f>
        <v>Linked List;Two Pointers;Stack;</v>
      </c>
      <c r="M2131" s="35" t="b">
        <f>IFERROR(__xludf.DUMMYFUNCTION("""COMPUTED_VALUE"""),FALSE)</f>
        <v>0</v>
      </c>
      <c r="N2131" s="35" t="b">
        <f>IFERROR(__xludf.DUMMYFUNCTION("""COMPUTED_VALUE"""),FALSE)</f>
        <v>0</v>
      </c>
      <c r="O2131" s="35">
        <f>IFERROR(__xludf.DUMMYFUNCTION("""COMPUTED_VALUE"""),82.3812949640287)</f>
        <v>82.38129496</v>
      </c>
      <c r="P2131" s="35">
        <f>IFERROR(__xludf.DUMMYFUNCTION("""COMPUTED_VALUE"""),22896.0)</f>
        <v>22896</v>
      </c>
      <c r="Q2131" s="35">
        <f>IFERROR(__xludf.DUMMYFUNCTION("""COMPUTED_VALUE"""),27791.0)</f>
        <v>27791</v>
      </c>
    </row>
    <row r="2132">
      <c r="A2132" s="35">
        <f>IFERROR(__xludf.DUMMYFUNCTION("""COMPUTED_VALUE"""),2237.0)</f>
        <v>2237</v>
      </c>
      <c r="B2132" s="35" t="str">
        <f>IFERROR(__xludf.DUMMYFUNCTION("""COMPUTED_VALUE"""),"Longest Palindrome by Concatenating Two Letter Words")</f>
        <v>Longest Palindrome by Concatenating Two Letter Words</v>
      </c>
      <c r="C2132" s="35" t="str">
        <f>IFERROR(__xludf.DUMMYFUNCTION("""COMPUTED_VALUE"""),"longest-palindrome-by-concatenating-two-letter-words")</f>
        <v>longest-palindrome-by-concatenating-two-letter-words</v>
      </c>
      <c r="D2132" s="35" t="b">
        <f>IFERROR(__xludf.DUMMYFUNCTION("""COMPUTED_VALUE"""),FALSE)</f>
        <v>0</v>
      </c>
      <c r="E2132" s="35" t="str">
        <f>IFERROR(__xludf.DUMMYFUNCTION("""COMPUTED_VALUE"""),"Medium")</f>
        <v>Medium</v>
      </c>
      <c r="F2132" s="35">
        <f>IFERROR(__xludf.DUMMYFUNCTION("""COMPUTED_VALUE"""),353.0)</f>
        <v>353</v>
      </c>
      <c r="G2132" s="35">
        <f>IFERROR(__xludf.DUMMYFUNCTION("""COMPUTED_VALUE"""),7.0)</f>
        <v>7</v>
      </c>
      <c r="H2132" s="35" t="str">
        <f>IFERROR(__xludf.DUMMYFUNCTION("""COMPUTED_VALUE"""),"Algorithms")</f>
        <v>Algorithms</v>
      </c>
      <c r="I2132" s="35">
        <f>IFERROR(__xludf.DUMMYFUNCTION("""COMPUTED_VALUE"""),0.379)</f>
        <v>0.379</v>
      </c>
      <c r="J2132" s="35">
        <f>IFERROR(__xludf.DUMMYFUNCTION("""COMPUTED_VALUE"""),2131.0)</f>
        <v>2131</v>
      </c>
      <c r="K2132" s="35" t="b">
        <f>IFERROR(__xludf.DUMMYFUNCTION("""COMPUTED_VALUE"""),FALSE)</f>
        <v>0</v>
      </c>
      <c r="L2132" s="35" t="str">
        <f>IFERROR(__xludf.DUMMYFUNCTION("""COMPUTED_VALUE"""),"Array;Hash Table;String;Greedy;Counting;")</f>
        <v>Array;Hash Table;String;Greedy;Counting;</v>
      </c>
      <c r="M2132" s="35" t="b">
        <f>IFERROR(__xludf.DUMMYFUNCTION("""COMPUTED_VALUE"""),FALSE)</f>
        <v>0</v>
      </c>
      <c r="N2132" s="35" t="b">
        <f>IFERROR(__xludf.DUMMYFUNCTION("""COMPUTED_VALUE"""),FALSE)</f>
        <v>0</v>
      </c>
      <c r="O2132" s="35">
        <f>IFERROR(__xludf.DUMMYFUNCTION("""COMPUTED_VALUE"""),37.8688886784711)</f>
        <v>37.86888868</v>
      </c>
      <c r="P2132" s="35">
        <f>IFERROR(__xludf.DUMMYFUNCTION("""COMPUTED_VALUE"""),11998.0)</f>
        <v>11998</v>
      </c>
      <c r="Q2132" s="35">
        <f>IFERROR(__xludf.DUMMYFUNCTION("""COMPUTED_VALUE"""),31683.0)</f>
        <v>31683</v>
      </c>
    </row>
    <row r="2133">
      <c r="A2133" s="35">
        <f>IFERROR(__xludf.DUMMYFUNCTION("""COMPUTED_VALUE"""),2200.0)</f>
        <v>2200</v>
      </c>
      <c r="B2133" s="35" t="str">
        <f>IFERROR(__xludf.DUMMYFUNCTION("""COMPUTED_VALUE"""),"Stamping the Grid")</f>
        <v>Stamping the Grid</v>
      </c>
      <c r="C2133" s="35" t="str">
        <f>IFERROR(__xludf.DUMMYFUNCTION("""COMPUTED_VALUE"""),"stamping-the-grid")</f>
        <v>stamping-the-grid</v>
      </c>
      <c r="D2133" s="35" t="b">
        <f>IFERROR(__xludf.DUMMYFUNCTION("""COMPUTED_VALUE"""),FALSE)</f>
        <v>0</v>
      </c>
      <c r="E2133" s="35" t="str">
        <f>IFERROR(__xludf.DUMMYFUNCTION("""COMPUTED_VALUE"""),"Hard")</f>
        <v>Hard</v>
      </c>
      <c r="F2133" s="35">
        <f>IFERROR(__xludf.DUMMYFUNCTION("""COMPUTED_VALUE"""),199.0)</f>
        <v>199</v>
      </c>
      <c r="G2133" s="35">
        <f>IFERROR(__xludf.DUMMYFUNCTION("""COMPUTED_VALUE"""),17.0)</f>
        <v>17</v>
      </c>
      <c r="H2133" s="35" t="str">
        <f>IFERROR(__xludf.DUMMYFUNCTION("""COMPUTED_VALUE"""),"Algorithms")</f>
        <v>Algorithms</v>
      </c>
      <c r="I2133" s="35">
        <f>IFERROR(__xludf.DUMMYFUNCTION("""COMPUTED_VALUE"""),0.277)</f>
        <v>0.277</v>
      </c>
      <c r="J2133" s="35">
        <f>IFERROR(__xludf.DUMMYFUNCTION("""COMPUTED_VALUE"""),2132.0)</f>
        <v>2132</v>
      </c>
      <c r="K2133" s="35" t="b">
        <f>IFERROR(__xludf.DUMMYFUNCTION("""COMPUTED_VALUE"""),FALSE)</f>
        <v>0</v>
      </c>
      <c r="L2133" s="35" t="str">
        <f>IFERROR(__xludf.DUMMYFUNCTION("""COMPUTED_VALUE"""),"Array;Greedy;Matrix;Prefix Sum;")</f>
        <v>Array;Greedy;Matrix;Prefix Sum;</v>
      </c>
      <c r="M2133" s="35" t="b">
        <f>IFERROR(__xludf.DUMMYFUNCTION("""COMPUTED_VALUE"""),FALSE)</f>
        <v>0</v>
      </c>
      <c r="N2133" s="35" t="b">
        <f>IFERROR(__xludf.DUMMYFUNCTION("""COMPUTED_VALUE"""),FALSE)</f>
        <v>0</v>
      </c>
      <c r="O2133" s="35">
        <f>IFERROR(__xludf.DUMMYFUNCTION("""COMPUTED_VALUE"""),27.7109499380859)</f>
        <v>27.71094994</v>
      </c>
      <c r="P2133" s="35">
        <f>IFERROR(__xludf.DUMMYFUNCTION("""COMPUTED_VALUE"""),3133.0)</f>
        <v>3133</v>
      </c>
      <c r="Q2133" s="35">
        <f>IFERROR(__xludf.DUMMYFUNCTION("""COMPUTED_VALUE"""),11306.0)</f>
        <v>11306</v>
      </c>
    </row>
    <row r="2134">
      <c r="A2134" s="35">
        <f>IFERROR(__xludf.DUMMYFUNCTION("""COMPUTED_VALUE"""),2254.0)</f>
        <v>2254</v>
      </c>
      <c r="B2134" s="35" t="str">
        <f>IFERROR(__xludf.DUMMYFUNCTION("""COMPUTED_VALUE"""),"Check if Every Row and Column Contains All Numbers")</f>
        <v>Check if Every Row and Column Contains All Numbers</v>
      </c>
      <c r="C2134" s="35" t="str">
        <f>IFERROR(__xludf.DUMMYFUNCTION("""COMPUTED_VALUE"""),"check-if-every-row-and-column-contains-all-numbers")</f>
        <v>check-if-every-row-and-column-contains-all-numbers</v>
      </c>
      <c r="D2134" s="35" t="b">
        <f>IFERROR(__xludf.DUMMYFUNCTION("""COMPUTED_VALUE"""),FALSE)</f>
        <v>0</v>
      </c>
      <c r="E2134" s="35" t="str">
        <f>IFERROR(__xludf.DUMMYFUNCTION("""COMPUTED_VALUE"""),"Easy")</f>
        <v>Easy</v>
      </c>
      <c r="F2134" s="35">
        <f>IFERROR(__xludf.DUMMYFUNCTION("""COMPUTED_VALUE"""),276.0)</f>
        <v>276</v>
      </c>
      <c r="G2134" s="35">
        <f>IFERROR(__xludf.DUMMYFUNCTION("""COMPUTED_VALUE"""),14.0)</f>
        <v>14</v>
      </c>
      <c r="H2134" s="35" t="str">
        <f>IFERROR(__xludf.DUMMYFUNCTION("""COMPUTED_VALUE"""),"Algorithms")</f>
        <v>Algorithms</v>
      </c>
      <c r="I2134" s="35">
        <f>IFERROR(__xludf.DUMMYFUNCTION("""COMPUTED_VALUE"""),0.519)</f>
        <v>0.519</v>
      </c>
      <c r="J2134" s="35">
        <f>IFERROR(__xludf.DUMMYFUNCTION("""COMPUTED_VALUE"""),2133.0)</f>
        <v>2133</v>
      </c>
      <c r="K2134" s="35" t="b">
        <f>IFERROR(__xludf.DUMMYFUNCTION("""COMPUTED_VALUE"""),FALSE)</f>
        <v>0</v>
      </c>
      <c r="L2134" s="35" t="str">
        <f>IFERROR(__xludf.DUMMYFUNCTION("""COMPUTED_VALUE"""),"Array;Hash Table;Matrix;")</f>
        <v>Array;Hash Table;Matrix;</v>
      </c>
      <c r="M2134" s="35" t="b">
        <f>IFERROR(__xludf.DUMMYFUNCTION("""COMPUTED_VALUE"""),FALSE)</f>
        <v>0</v>
      </c>
      <c r="N2134" s="35" t="b">
        <f>IFERROR(__xludf.DUMMYFUNCTION("""COMPUTED_VALUE"""),FALSE)</f>
        <v>0</v>
      </c>
      <c r="O2134" s="35">
        <f>IFERROR(__xludf.DUMMYFUNCTION("""COMPUTED_VALUE"""),51.9283157349663)</f>
        <v>51.92831573</v>
      </c>
      <c r="P2134" s="35">
        <f>IFERROR(__xludf.DUMMYFUNCTION("""COMPUTED_VALUE"""),23065.0)</f>
        <v>23065</v>
      </c>
      <c r="Q2134" s="35">
        <f>IFERROR(__xludf.DUMMYFUNCTION("""COMPUTED_VALUE"""),44415.0)</f>
        <v>44415</v>
      </c>
    </row>
    <row r="2135">
      <c r="A2135" s="35">
        <f>IFERROR(__xludf.DUMMYFUNCTION("""COMPUTED_VALUE"""),2255.0)</f>
        <v>2255</v>
      </c>
      <c r="B2135" s="35" t="str">
        <f>IFERROR(__xludf.DUMMYFUNCTION("""COMPUTED_VALUE"""),"Minimum Swaps to Group All 1's Together II")</f>
        <v>Minimum Swaps to Group All 1's Together II</v>
      </c>
      <c r="C2135" s="35" t="str">
        <f>IFERROR(__xludf.DUMMYFUNCTION("""COMPUTED_VALUE"""),"minimum-swaps-to-group-all-1s-together-ii")</f>
        <v>minimum-swaps-to-group-all-1s-together-ii</v>
      </c>
      <c r="D2135" s="35" t="b">
        <f>IFERROR(__xludf.DUMMYFUNCTION("""COMPUTED_VALUE"""),FALSE)</f>
        <v>0</v>
      </c>
      <c r="E2135" s="35" t="str">
        <f>IFERROR(__xludf.DUMMYFUNCTION("""COMPUTED_VALUE"""),"Medium")</f>
        <v>Medium</v>
      </c>
      <c r="F2135" s="35">
        <f>IFERROR(__xludf.DUMMYFUNCTION("""COMPUTED_VALUE"""),506.0)</f>
        <v>506</v>
      </c>
      <c r="G2135" s="35">
        <f>IFERROR(__xludf.DUMMYFUNCTION("""COMPUTED_VALUE"""),5.0)</f>
        <v>5</v>
      </c>
      <c r="H2135" s="35" t="str">
        <f>IFERROR(__xludf.DUMMYFUNCTION("""COMPUTED_VALUE"""),"Algorithms")</f>
        <v>Algorithms</v>
      </c>
      <c r="I2135" s="35">
        <f>IFERROR(__xludf.DUMMYFUNCTION("""COMPUTED_VALUE"""),0.47)</f>
        <v>0.47</v>
      </c>
      <c r="J2135" s="35">
        <f>IFERROR(__xludf.DUMMYFUNCTION("""COMPUTED_VALUE"""),2134.0)</f>
        <v>2134</v>
      </c>
      <c r="K2135" s="35" t="b">
        <f>IFERROR(__xludf.DUMMYFUNCTION("""COMPUTED_VALUE"""),FALSE)</f>
        <v>0</v>
      </c>
      <c r="L2135" s="35" t="str">
        <f>IFERROR(__xludf.DUMMYFUNCTION("""COMPUTED_VALUE"""),"Array;Sliding Window;")</f>
        <v>Array;Sliding Window;</v>
      </c>
      <c r="M2135" s="35" t="b">
        <f>IFERROR(__xludf.DUMMYFUNCTION("""COMPUTED_VALUE"""),FALSE)</f>
        <v>0</v>
      </c>
      <c r="N2135" s="35" t="b">
        <f>IFERROR(__xludf.DUMMYFUNCTION("""COMPUTED_VALUE"""),FALSE)</f>
        <v>0</v>
      </c>
      <c r="O2135" s="35">
        <f>IFERROR(__xludf.DUMMYFUNCTION("""COMPUTED_VALUE"""),46.9630821078431)</f>
        <v>46.96308211</v>
      </c>
      <c r="P2135" s="35">
        <f>IFERROR(__xludf.DUMMYFUNCTION("""COMPUTED_VALUE"""),12262.0)</f>
        <v>12262</v>
      </c>
      <c r="Q2135" s="35">
        <f>IFERROR(__xludf.DUMMYFUNCTION("""COMPUTED_VALUE"""),26111.0)</f>
        <v>26111</v>
      </c>
    </row>
    <row r="2136">
      <c r="A2136" s="35">
        <f>IFERROR(__xludf.DUMMYFUNCTION("""COMPUTED_VALUE"""),2256.0)</f>
        <v>2256</v>
      </c>
      <c r="B2136" s="35" t="str">
        <f>IFERROR(__xludf.DUMMYFUNCTION("""COMPUTED_VALUE"""),"Count Words Obtained After Adding a Letter")</f>
        <v>Count Words Obtained After Adding a Letter</v>
      </c>
      <c r="C2136" s="35" t="str">
        <f>IFERROR(__xludf.DUMMYFUNCTION("""COMPUTED_VALUE"""),"count-words-obtained-after-adding-a-letter")</f>
        <v>count-words-obtained-after-adding-a-letter</v>
      </c>
      <c r="D2136" s="35" t="b">
        <f>IFERROR(__xludf.DUMMYFUNCTION("""COMPUTED_VALUE"""),FALSE)</f>
        <v>0</v>
      </c>
      <c r="E2136" s="35" t="str">
        <f>IFERROR(__xludf.DUMMYFUNCTION("""COMPUTED_VALUE"""),"Medium")</f>
        <v>Medium</v>
      </c>
      <c r="F2136" s="35">
        <f>IFERROR(__xludf.DUMMYFUNCTION("""COMPUTED_VALUE"""),301.0)</f>
        <v>301</v>
      </c>
      <c r="G2136" s="35">
        <f>IFERROR(__xludf.DUMMYFUNCTION("""COMPUTED_VALUE"""),57.0)</f>
        <v>57</v>
      </c>
      <c r="H2136" s="35" t="str">
        <f>IFERROR(__xludf.DUMMYFUNCTION("""COMPUTED_VALUE"""),"Algorithms")</f>
        <v>Algorithms</v>
      </c>
      <c r="I2136" s="35">
        <f>IFERROR(__xludf.DUMMYFUNCTION("""COMPUTED_VALUE"""),0.361)</f>
        <v>0.361</v>
      </c>
      <c r="J2136" s="35">
        <f>IFERROR(__xludf.DUMMYFUNCTION("""COMPUTED_VALUE"""),2135.0)</f>
        <v>2135</v>
      </c>
      <c r="K2136" s="35" t="b">
        <f>IFERROR(__xludf.DUMMYFUNCTION("""COMPUTED_VALUE"""),FALSE)</f>
        <v>0</v>
      </c>
      <c r="L2136" s="35" t="str">
        <f>IFERROR(__xludf.DUMMYFUNCTION("""COMPUTED_VALUE"""),"Array;Hash Table;String;Bit Manipulation;Sorting;")</f>
        <v>Array;Hash Table;String;Bit Manipulation;Sorting;</v>
      </c>
      <c r="M2136" s="35" t="b">
        <f>IFERROR(__xludf.DUMMYFUNCTION("""COMPUTED_VALUE"""),FALSE)</f>
        <v>0</v>
      </c>
      <c r="N2136" s="35" t="b">
        <f>IFERROR(__xludf.DUMMYFUNCTION("""COMPUTED_VALUE"""),FALSE)</f>
        <v>0</v>
      </c>
      <c r="O2136" s="35">
        <f>IFERROR(__xludf.DUMMYFUNCTION("""COMPUTED_VALUE"""),36.1224808623652)</f>
        <v>36.12248086</v>
      </c>
      <c r="P2136" s="35">
        <f>IFERROR(__xludf.DUMMYFUNCTION("""COMPUTED_VALUE"""),11561.0)</f>
        <v>11561</v>
      </c>
      <c r="Q2136" s="35">
        <f>IFERROR(__xludf.DUMMYFUNCTION("""COMPUTED_VALUE"""),32004.0)</f>
        <v>32004</v>
      </c>
    </row>
    <row r="2137">
      <c r="A2137" s="35">
        <f>IFERROR(__xludf.DUMMYFUNCTION("""COMPUTED_VALUE"""),2257.0)</f>
        <v>2257</v>
      </c>
      <c r="B2137" s="35" t="str">
        <f>IFERROR(__xludf.DUMMYFUNCTION("""COMPUTED_VALUE"""),"Earliest Possible Day of Full Bloom")</f>
        <v>Earliest Possible Day of Full Bloom</v>
      </c>
      <c r="C2137" s="35" t="str">
        <f>IFERROR(__xludf.DUMMYFUNCTION("""COMPUTED_VALUE"""),"earliest-possible-day-of-full-bloom")</f>
        <v>earliest-possible-day-of-full-bloom</v>
      </c>
      <c r="D2137" s="35" t="b">
        <f>IFERROR(__xludf.DUMMYFUNCTION("""COMPUTED_VALUE"""),FALSE)</f>
        <v>0</v>
      </c>
      <c r="E2137" s="35" t="str">
        <f>IFERROR(__xludf.DUMMYFUNCTION("""COMPUTED_VALUE"""),"Hard")</f>
        <v>Hard</v>
      </c>
      <c r="F2137" s="35">
        <f>IFERROR(__xludf.DUMMYFUNCTION("""COMPUTED_VALUE"""),221.0)</f>
        <v>221</v>
      </c>
      <c r="G2137" s="35">
        <f>IFERROR(__xludf.DUMMYFUNCTION("""COMPUTED_VALUE"""),11.0)</f>
        <v>11</v>
      </c>
      <c r="H2137" s="35" t="str">
        <f>IFERROR(__xludf.DUMMYFUNCTION("""COMPUTED_VALUE"""),"Algorithms")</f>
        <v>Algorithms</v>
      </c>
      <c r="I2137" s="35">
        <f>IFERROR(__xludf.DUMMYFUNCTION("""COMPUTED_VALUE"""),0.675)</f>
        <v>0.675</v>
      </c>
      <c r="J2137" s="35">
        <f>IFERROR(__xludf.DUMMYFUNCTION("""COMPUTED_VALUE"""),2136.0)</f>
        <v>2136</v>
      </c>
      <c r="K2137" s="35" t="b">
        <f>IFERROR(__xludf.DUMMYFUNCTION("""COMPUTED_VALUE"""),FALSE)</f>
        <v>0</v>
      </c>
      <c r="L2137" s="35" t="str">
        <f>IFERROR(__xludf.DUMMYFUNCTION("""COMPUTED_VALUE"""),"Array;Greedy;Sorting;")</f>
        <v>Array;Greedy;Sorting;</v>
      </c>
      <c r="M2137" s="35" t="b">
        <f>IFERROR(__xludf.DUMMYFUNCTION("""COMPUTED_VALUE"""),FALSE)</f>
        <v>0</v>
      </c>
      <c r="N2137" s="35" t="b">
        <f>IFERROR(__xludf.DUMMYFUNCTION("""COMPUTED_VALUE"""),FALSE)</f>
        <v>0</v>
      </c>
      <c r="O2137" s="35">
        <f>IFERROR(__xludf.DUMMYFUNCTION("""COMPUTED_VALUE"""),67.5394890278808)</f>
        <v>67.53948903</v>
      </c>
      <c r="P2137" s="35">
        <f>IFERROR(__xludf.DUMMYFUNCTION("""COMPUTED_VALUE"""),6371.0)</f>
        <v>6371</v>
      </c>
      <c r="Q2137" s="35">
        <f>IFERROR(__xludf.DUMMYFUNCTION("""COMPUTED_VALUE"""),9433.0)</f>
        <v>9433</v>
      </c>
    </row>
    <row r="2138">
      <c r="A2138" s="35">
        <f>IFERROR(__xludf.DUMMYFUNCTION("""COMPUTED_VALUE"""),2273.0)</f>
        <v>2273</v>
      </c>
      <c r="B2138" s="35" t="str">
        <f>IFERROR(__xludf.DUMMYFUNCTION("""COMPUTED_VALUE"""),"Pour Water Between Buckets to Make Water Levels Equal")</f>
        <v>Pour Water Between Buckets to Make Water Levels Equal</v>
      </c>
      <c r="C2138" s="35" t="str">
        <f>IFERROR(__xludf.DUMMYFUNCTION("""COMPUTED_VALUE"""),"pour-water-between-buckets-to-make-water-levels-equal")</f>
        <v>pour-water-between-buckets-to-make-water-levels-equal</v>
      </c>
      <c r="D2138" s="35" t="b">
        <f>IFERROR(__xludf.DUMMYFUNCTION("""COMPUTED_VALUE"""),TRUE)</f>
        <v>1</v>
      </c>
      <c r="E2138" s="35" t="str">
        <f>IFERROR(__xludf.DUMMYFUNCTION("""COMPUTED_VALUE"""),"Medium")</f>
        <v>Medium</v>
      </c>
      <c r="F2138" s="35">
        <f>IFERROR(__xludf.DUMMYFUNCTION("""COMPUTED_VALUE"""),40.0)</f>
        <v>40</v>
      </c>
      <c r="G2138" s="35">
        <f>IFERROR(__xludf.DUMMYFUNCTION("""COMPUTED_VALUE"""),2.0)</f>
        <v>2</v>
      </c>
      <c r="H2138" s="35" t="str">
        <f>IFERROR(__xludf.DUMMYFUNCTION("""COMPUTED_VALUE"""),"Algorithms")</f>
        <v>Algorithms</v>
      </c>
      <c r="I2138" s="35">
        <f>IFERROR(__xludf.DUMMYFUNCTION("""COMPUTED_VALUE"""),0.679)</f>
        <v>0.679</v>
      </c>
      <c r="J2138" s="35">
        <f>IFERROR(__xludf.DUMMYFUNCTION("""COMPUTED_VALUE"""),2137.0)</f>
        <v>2137</v>
      </c>
      <c r="K2138" s="35" t="b">
        <f>IFERROR(__xludf.DUMMYFUNCTION("""COMPUTED_VALUE"""),TRUE)</f>
        <v>1</v>
      </c>
      <c r="L2138" s="35" t="str">
        <f>IFERROR(__xludf.DUMMYFUNCTION("""COMPUTED_VALUE"""),"Array;Binary Search;")</f>
        <v>Array;Binary Search;</v>
      </c>
      <c r="M2138" s="35" t="b">
        <f>IFERROR(__xludf.DUMMYFUNCTION("""COMPUTED_VALUE"""),FALSE)</f>
        <v>0</v>
      </c>
      <c r="N2138" s="35" t="b">
        <f>IFERROR(__xludf.DUMMYFUNCTION("""COMPUTED_VALUE"""),FALSE)</f>
        <v>0</v>
      </c>
      <c r="O2138" s="35">
        <f>IFERROR(__xludf.DUMMYFUNCTION("""COMPUTED_VALUE"""),67.8865507776761)</f>
        <v>67.88655078</v>
      </c>
      <c r="P2138" s="35">
        <f>IFERROR(__xludf.DUMMYFUNCTION("""COMPUTED_VALUE"""),742.0)</f>
        <v>742</v>
      </c>
      <c r="Q2138" s="35">
        <f>IFERROR(__xludf.DUMMYFUNCTION("""COMPUTED_VALUE"""),1093.0)</f>
        <v>1093</v>
      </c>
    </row>
    <row r="2139">
      <c r="A2139" s="35">
        <f>IFERROR(__xludf.DUMMYFUNCTION("""COMPUTED_VALUE"""),2260.0)</f>
        <v>2260</v>
      </c>
      <c r="B2139" s="35" t="str">
        <f>IFERROR(__xludf.DUMMYFUNCTION("""COMPUTED_VALUE"""),"Divide a String Into Groups of Size k")</f>
        <v>Divide a String Into Groups of Size k</v>
      </c>
      <c r="C2139" s="35" t="str">
        <f>IFERROR(__xludf.DUMMYFUNCTION("""COMPUTED_VALUE"""),"divide-a-string-into-groups-of-size-k")</f>
        <v>divide-a-string-into-groups-of-size-k</v>
      </c>
      <c r="D2139" s="35" t="b">
        <f>IFERROR(__xludf.DUMMYFUNCTION("""COMPUTED_VALUE"""),FALSE)</f>
        <v>0</v>
      </c>
      <c r="E2139" s="35" t="str">
        <f>IFERROR(__xludf.DUMMYFUNCTION("""COMPUTED_VALUE"""),"Easy")</f>
        <v>Easy</v>
      </c>
      <c r="F2139" s="35">
        <f>IFERROR(__xludf.DUMMYFUNCTION("""COMPUTED_VALUE"""),220.0)</f>
        <v>220</v>
      </c>
      <c r="G2139" s="35">
        <f>IFERROR(__xludf.DUMMYFUNCTION("""COMPUTED_VALUE"""),9.0)</f>
        <v>9</v>
      </c>
      <c r="H2139" s="35" t="str">
        <f>IFERROR(__xludf.DUMMYFUNCTION("""COMPUTED_VALUE"""),"Algorithms")</f>
        <v>Algorithms</v>
      </c>
      <c r="I2139" s="35">
        <f>IFERROR(__xludf.DUMMYFUNCTION("""COMPUTED_VALUE"""),0.657)</f>
        <v>0.657</v>
      </c>
      <c r="J2139" s="35">
        <f>IFERROR(__xludf.DUMMYFUNCTION("""COMPUTED_VALUE"""),2138.0)</f>
        <v>2138</v>
      </c>
      <c r="K2139" s="35" t="b">
        <f>IFERROR(__xludf.DUMMYFUNCTION("""COMPUTED_VALUE"""),FALSE)</f>
        <v>0</v>
      </c>
      <c r="L2139" s="35" t="str">
        <f>IFERROR(__xludf.DUMMYFUNCTION("""COMPUTED_VALUE"""),"String;Simulation;")</f>
        <v>String;Simulation;</v>
      </c>
      <c r="M2139" s="35" t="b">
        <f>IFERROR(__xludf.DUMMYFUNCTION("""COMPUTED_VALUE"""),FALSE)</f>
        <v>0</v>
      </c>
      <c r="N2139" s="35" t="b">
        <f>IFERROR(__xludf.DUMMYFUNCTION("""COMPUTED_VALUE"""),FALSE)</f>
        <v>0</v>
      </c>
      <c r="O2139" s="35">
        <f>IFERROR(__xludf.DUMMYFUNCTION("""COMPUTED_VALUE"""),65.6583526682134)</f>
        <v>65.65835267</v>
      </c>
      <c r="P2139" s="35">
        <f>IFERROR(__xludf.DUMMYFUNCTION("""COMPUTED_VALUE"""),22639.0)</f>
        <v>22639</v>
      </c>
      <c r="Q2139" s="35">
        <f>IFERROR(__xludf.DUMMYFUNCTION("""COMPUTED_VALUE"""),34480.0)</f>
        <v>34480</v>
      </c>
    </row>
    <row r="2140">
      <c r="A2140" s="35">
        <f>IFERROR(__xludf.DUMMYFUNCTION("""COMPUTED_VALUE"""),1303.0)</f>
        <v>1303</v>
      </c>
      <c r="B2140" s="35" t="str">
        <f>IFERROR(__xludf.DUMMYFUNCTION("""COMPUTED_VALUE"""),"Minimum Moves to Reach Target Score")</f>
        <v>Minimum Moves to Reach Target Score</v>
      </c>
      <c r="C2140" s="35" t="str">
        <f>IFERROR(__xludf.DUMMYFUNCTION("""COMPUTED_VALUE"""),"minimum-moves-to-reach-target-score")</f>
        <v>minimum-moves-to-reach-target-score</v>
      </c>
      <c r="D2140" s="35" t="b">
        <f>IFERROR(__xludf.DUMMYFUNCTION("""COMPUTED_VALUE"""),FALSE)</f>
        <v>0</v>
      </c>
      <c r="E2140" s="35" t="str">
        <f>IFERROR(__xludf.DUMMYFUNCTION("""COMPUTED_VALUE"""),"Medium")</f>
        <v>Medium</v>
      </c>
      <c r="F2140" s="35">
        <f>IFERROR(__xludf.DUMMYFUNCTION("""COMPUTED_VALUE"""),383.0)</f>
        <v>383</v>
      </c>
      <c r="G2140" s="35">
        <f>IFERROR(__xludf.DUMMYFUNCTION("""COMPUTED_VALUE"""),5.0)</f>
        <v>5</v>
      </c>
      <c r="H2140" s="35" t="str">
        <f>IFERROR(__xludf.DUMMYFUNCTION("""COMPUTED_VALUE"""),"Algorithms")</f>
        <v>Algorithms</v>
      </c>
      <c r="I2140" s="35">
        <f>IFERROR(__xludf.DUMMYFUNCTION("""COMPUTED_VALUE"""),0.486)</f>
        <v>0.486</v>
      </c>
      <c r="J2140" s="35">
        <f>IFERROR(__xludf.DUMMYFUNCTION("""COMPUTED_VALUE"""),2139.0)</f>
        <v>2139</v>
      </c>
      <c r="K2140" s="35" t="b">
        <f>IFERROR(__xludf.DUMMYFUNCTION("""COMPUTED_VALUE"""),FALSE)</f>
        <v>0</v>
      </c>
      <c r="L2140" s="35" t="str">
        <f>IFERROR(__xludf.DUMMYFUNCTION("""COMPUTED_VALUE"""),"Math;Greedy;")</f>
        <v>Math;Greedy;</v>
      </c>
      <c r="M2140" s="35" t="b">
        <f>IFERROR(__xludf.DUMMYFUNCTION("""COMPUTED_VALUE"""),FALSE)</f>
        <v>0</v>
      </c>
      <c r="N2140" s="35" t="b">
        <f>IFERROR(__xludf.DUMMYFUNCTION("""COMPUTED_VALUE"""),FALSE)</f>
        <v>0</v>
      </c>
      <c r="O2140" s="35">
        <f>IFERROR(__xludf.DUMMYFUNCTION("""COMPUTED_VALUE"""),48.5521499887956)</f>
        <v>48.55214999</v>
      </c>
      <c r="P2140" s="35">
        <f>IFERROR(__xludf.DUMMYFUNCTION("""COMPUTED_VALUE"""),19500.0)</f>
        <v>19500</v>
      </c>
      <c r="Q2140" s="35">
        <f>IFERROR(__xludf.DUMMYFUNCTION("""COMPUTED_VALUE"""),40162.0)</f>
        <v>40162</v>
      </c>
    </row>
    <row r="2141">
      <c r="A2141" s="35">
        <f>IFERROR(__xludf.DUMMYFUNCTION("""COMPUTED_VALUE"""),2262.0)</f>
        <v>2262</v>
      </c>
      <c r="B2141" s="35" t="str">
        <f>IFERROR(__xludf.DUMMYFUNCTION("""COMPUTED_VALUE"""),"Solving Questions With Brainpower")</f>
        <v>Solving Questions With Brainpower</v>
      </c>
      <c r="C2141" s="35" t="str">
        <f>IFERROR(__xludf.DUMMYFUNCTION("""COMPUTED_VALUE"""),"solving-questions-with-brainpower")</f>
        <v>solving-questions-with-brainpower</v>
      </c>
      <c r="D2141" s="35" t="b">
        <f>IFERROR(__xludf.DUMMYFUNCTION("""COMPUTED_VALUE"""),FALSE)</f>
        <v>0</v>
      </c>
      <c r="E2141" s="35" t="str">
        <f>IFERROR(__xludf.DUMMYFUNCTION("""COMPUTED_VALUE"""),"Medium")</f>
        <v>Medium</v>
      </c>
      <c r="F2141" s="35">
        <f>IFERROR(__xludf.DUMMYFUNCTION("""COMPUTED_VALUE"""),496.0)</f>
        <v>496</v>
      </c>
      <c r="G2141" s="35">
        <f>IFERROR(__xludf.DUMMYFUNCTION("""COMPUTED_VALUE"""),7.0)</f>
        <v>7</v>
      </c>
      <c r="H2141" s="35" t="str">
        <f>IFERROR(__xludf.DUMMYFUNCTION("""COMPUTED_VALUE"""),"Algorithms")</f>
        <v>Algorithms</v>
      </c>
      <c r="I2141" s="35">
        <f>IFERROR(__xludf.DUMMYFUNCTION("""COMPUTED_VALUE"""),0.44)</f>
        <v>0.44</v>
      </c>
      <c r="J2141" s="35">
        <f>IFERROR(__xludf.DUMMYFUNCTION("""COMPUTED_VALUE"""),2140.0)</f>
        <v>2140</v>
      </c>
      <c r="K2141" s="35" t="b">
        <f>IFERROR(__xludf.DUMMYFUNCTION("""COMPUTED_VALUE"""),FALSE)</f>
        <v>0</v>
      </c>
      <c r="L2141" s="35" t="str">
        <f>IFERROR(__xludf.DUMMYFUNCTION("""COMPUTED_VALUE"""),"Array;Dynamic Programming;")</f>
        <v>Array;Dynamic Programming;</v>
      </c>
      <c r="M2141" s="35" t="b">
        <f>IFERROR(__xludf.DUMMYFUNCTION("""COMPUTED_VALUE"""),FALSE)</f>
        <v>0</v>
      </c>
      <c r="N2141" s="35" t="b">
        <f>IFERROR(__xludf.DUMMYFUNCTION("""COMPUTED_VALUE"""),FALSE)</f>
        <v>0</v>
      </c>
      <c r="O2141" s="35">
        <f>IFERROR(__xludf.DUMMYFUNCTION("""COMPUTED_VALUE"""),43.9785087144542)</f>
        <v>43.97850871</v>
      </c>
      <c r="P2141" s="35">
        <f>IFERROR(__xludf.DUMMYFUNCTION("""COMPUTED_VALUE"""),16780.0)</f>
        <v>16780</v>
      </c>
      <c r="Q2141" s="35">
        <f>IFERROR(__xludf.DUMMYFUNCTION("""COMPUTED_VALUE"""),38155.0)</f>
        <v>38155</v>
      </c>
    </row>
    <row r="2142">
      <c r="A2142" s="35">
        <f>IFERROR(__xludf.DUMMYFUNCTION("""COMPUTED_VALUE"""),2263.0)</f>
        <v>2263</v>
      </c>
      <c r="B2142" s="35" t="str">
        <f>IFERROR(__xludf.DUMMYFUNCTION("""COMPUTED_VALUE"""),"Maximum Running Time of N Computers")</f>
        <v>Maximum Running Time of N Computers</v>
      </c>
      <c r="C2142" s="35" t="str">
        <f>IFERROR(__xludf.DUMMYFUNCTION("""COMPUTED_VALUE"""),"maximum-running-time-of-n-computers")</f>
        <v>maximum-running-time-of-n-computers</v>
      </c>
      <c r="D2142" s="35" t="b">
        <f>IFERROR(__xludf.DUMMYFUNCTION("""COMPUTED_VALUE"""),FALSE)</f>
        <v>0</v>
      </c>
      <c r="E2142" s="35" t="str">
        <f>IFERROR(__xludf.DUMMYFUNCTION("""COMPUTED_VALUE"""),"Hard")</f>
        <v>Hard</v>
      </c>
      <c r="F2142" s="35">
        <f>IFERROR(__xludf.DUMMYFUNCTION("""COMPUTED_VALUE"""),417.0)</f>
        <v>417</v>
      </c>
      <c r="G2142" s="35">
        <f>IFERROR(__xludf.DUMMYFUNCTION("""COMPUTED_VALUE"""),10.0)</f>
        <v>10</v>
      </c>
      <c r="H2142" s="35" t="str">
        <f>IFERROR(__xludf.DUMMYFUNCTION("""COMPUTED_VALUE"""),"Algorithms")</f>
        <v>Algorithms</v>
      </c>
      <c r="I2142" s="35">
        <f>IFERROR(__xludf.DUMMYFUNCTION("""COMPUTED_VALUE"""),0.372)</f>
        <v>0.372</v>
      </c>
      <c r="J2142" s="35">
        <f>IFERROR(__xludf.DUMMYFUNCTION("""COMPUTED_VALUE"""),2141.0)</f>
        <v>2141</v>
      </c>
      <c r="K2142" s="35" t="b">
        <f>IFERROR(__xludf.DUMMYFUNCTION("""COMPUTED_VALUE"""),FALSE)</f>
        <v>0</v>
      </c>
      <c r="L2142" s="35" t="str">
        <f>IFERROR(__xludf.DUMMYFUNCTION("""COMPUTED_VALUE"""),"Array;Binary Search;Greedy;Sorting;")</f>
        <v>Array;Binary Search;Greedy;Sorting;</v>
      </c>
      <c r="M2142" s="35" t="b">
        <f>IFERROR(__xludf.DUMMYFUNCTION("""COMPUTED_VALUE"""),FALSE)</f>
        <v>0</v>
      </c>
      <c r="N2142" s="35" t="b">
        <f>IFERROR(__xludf.DUMMYFUNCTION("""COMPUTED_VALUE"""),FALSE)</f>
        <v>0</v>
      </c>
      <c r="O2142" s="35">
        <f>IFERROR(__xludf.DUMMYFUNCTION("""COMPUTED_VALUE"""),37.1926843893663)</f>
        <v>37.19268439</v>
      </c>
      <c r="P2142" s="35">
        <f>IFERROR(__xludf.DUMMYFUNCTION("""COMPUTED_VALUE"""),7443.0)</f>
        <v>7443</v>
      </c>
      <c r="Q2142" s="35">
        <f>IFERROR(__xludf.DUMMYFUNCTION("""COMPUTED_VALUE"""),20012.0)</f>
        <v>20012</v>
      </c>
    </row>
    <row r="2143">
      <c r="A2143" s="35">
        <f>IFERROR(__xludf.DUMMYFUNCTION("""COMPUTED_VALUE"""),2281.0)</f>
        <v>2281</v>
      </c>
      <c r="B2143" s="35" t="str">
        <f>IFERROR(__xludf.DUMMYFUNCTION("""COMPUTED_VALUE"""),"The Number of Passengers in Each Bus I")</f>
        <v>The Number of Passengers in Each Bus I</v>
      </c>
      <c r="C2143" s="35" t="str">
        <f>IFERROR(__xludf.DUMMYFUNCTION("""COMPUTED_VALUE"""),"the-number-of-passengers-in-each-bus-i")</f>
        <v>the-number-of-passengers-in-each-bus-i</v>
      </c>
      <c r="D2143" s="35" t="b">
        <f>IFERROR(__xludf.DUMMYFUNCTION("""COMPUTED_VALUE"""),TRUE)</f>
        <v>1</v>
      </c>
      <c r="E2143" s="35" t="str">
        <f>IFERROR(__xludf.DUMMYFUNCTION("""COMPUTED_VALUE"""),"Medium")</f>
        <v>Medium</v>
      </c>
      <c r="F2143" s="35">
        <f>IFERROR(__xludf.DUMMYFUNCTION("""COMPUTED_VALUE"""),22.0)</f>
        <v>22</v>
      </c>
      <c r="G2143" s="35">
        <f>IFERROR(__xludf.DUMMYFUNCTION("""COMPUTED_VALUE"""),3.0)</f>
        <v>3</v>
      </c>
      <c r="H2143" s="35" t="str">
        <f>IFERROR(__xludf.DUMMYFUNCTION("""COMPUTED_VALUE"""),"Database")</f>
        <v>Database</v>
      </c>
      <c r="I2143" s="35">
        <f>IFERROR(__xludf.DUMMYFUNCTION("""COMPUTED_VALUE"""),0.508)</f>
        <v>0.508</v>
      </c>
      <c r="J2143" s="35">
        <f>IFERROR(__xludf.DUMMYFUNCTION("""COMPUTED_VALUE"""),2142.0)</f>
        <v>2142</v>
      </c>
      <c r="K2143" s="35" t="b">
        <f>IFERROR(__xludf.DUMMYFUNCTION("""COMPUTED_VALUE"""),TRUE)</f>
        <v>1</v>
      </c>
      <c r="L2143" s="35" t="str">
        <f>IFERROR(__xludf.DUMMYFUNCTION("""COMPUTED_VALUE"""),"Database;")</f>
        <v>Database;</v>
      </c>
      <c r="M2143" s="35" t="b">
        <f>IFERROR(__xludf.DUMMYFUNCTION("""COMPUTED_VALUE"""),FALSE)</f>
        <v>0</v>
      </c>
      <c r="N2143" s="35" t="b">
        <f>IFERROR(__xludf.DUMMYFUNCTION("""COMPUTED_VALUE"""),FALSE)</f>
        <v>0</v>
      </c>
      <c r="O2143" s="35">
        <f>IFERROR(__xludf.DUMMYFUNCTION("""COMPUTED_VALUE"""),50.7943512797881)</f>
        <v>50.79435128</v>
      </c>
      <c r="P2143" s="35">
        <f>IFERROR(__xludf.DUMMYFUNCTION("""COMPUTED_VALUE"""),1150.0)</f>
        <v>1150</v>
      </c>
      <c r="Q2143" s="35">
        <f>IFERROR(__xludf.DUMMYFUNCTION("""COMPUTED_VALUE"""),2265.0)</f>
        <v>2265</v>
      </c>
    </row>
    <row r="2144">
      <c r="A2144" s="35">
        <f>IFERROR(__xludf.DUMMYFUNCTION("""COMPUTED_VALUE"""),2282.0)</f>
        <v>2282</v>
      </c>
      <c r="B2144" s="35" t="str">
        <f>IFERROR(__xludf.DUMMYFUNCTION("""COMPUTED_VALUE"""),"Choose Numbers From Two Arrays in Range")</f>
        <v>Choose Numbers From Two Arrays in Range</v>
      </c>
      <c r="C2144" s="35" t="str">
        <f>IFERROR(__xludf.DUMMYFUNCTION("""COMPUTED_VALUE"""),"choose-numbers-from-two-arrays-in-range")</f>
        <v>choose-numbers-from-two-arrays-in-range</v>
      </c>
      <c r="D2144" s="35" t="b">
        <f>IFERROR(__xludf.DUMMYFUNCTION("""COMPUTED_VALUE"""),TRUE)</f>
        <v>1</v>
      </c>
      <c r="E2144" s="35" t="str">
        <f>IFERROR(__xludf.DUMMYFUNCTION("""COMPUTED_VALUE"""),"Hard")</f>
        <v>Hard</v>
      </c>
      <c r="F2144" s="35">
        <f>IFERROR(__xludf.DUMMYFUNCTION("""COMPUTED_VALUE"""),12.0)</f>
        <v>12</v>
      </c>
      <c r="G2144" s="35">
        <f>IFERROR(__xludf.DUMMYFUNCTION("""COMPUTED_VALUE"""),1.0)</f>
        <v>1</v>
      </c>
      <c r="H2144" s="35" t="str">
        <f>IFERROR(__xludf.DUMMYFUNCTION("""COMPUTED_VALUE"""),"Algorithms")</f>
        <v>Algorithms</v>
      </c>
      <c r="I2144" s="35">
        <f>IFERROR(__xludf.DUMMYFUNCTION("""COMPUTED_VALUE"""),0.539)</f>
        <v>0.539</v>
      </c>
      <c r="J2144" s="35">
        <f>IFERROR(__xludf.DUMMYFUNCTION("""COMPUTED_VALUE"""),2143.0)</f>
        <v>2143</v>
      </c>
      <c r="K2144" s="35" t="b">
        <f>IFERROR(__xludf.DUMMYFUNCTION("""COMPUTED_VALUE"""),TRUE)</f>
        <v>1</v>
      </c>
      <c r="L2144" s="35" t="str">
        <f>IFERROR(__xludf.DUMMYFUNCTION("""COMPUTED_VALUE"""),"Array;Dynamic Programming;")</f>
        <v>Array;Dynamic Programming;</v>
      </c>
      <c r="M2144" s="35" t="b">
        <f>IFERROR(__xludf.DUMMYFUNCTION("""COMPUTED_VALUE"""),FALSE)</f>
        <v>0</v>
      </c>
      <c r="N2144" s="35" t="b">
        <f>IFERROR(__xludf.DUMMYFUNCTION("""COMPUTED_VALUE"""),FALSE)</f>
        <v>0</v>
      </c>
      <c r="O2144" s="35">
        <f>IFERROR(__xludf.DUMMYFUNCTION("""COMPUTED_VALUE"""),53.9189189189189)</f>
        <v>53.91891892</v>
      </c>
      <c r="P2144" s="35">
        <f>IFERROR(__xludf.DUMMYFUNCTION("""COMPUTED_VALUE"""),399.0)</f>
        <v>399</v>
      </c>
      <c r="Q2144" s="35">
        <f>IFERROR(__xludf.DUMMYFUNCTION("""COMPUTED_VALUE"""),740.0)</f>
        <v>740</v>
      </c>
    </row>
    <row r="2145">
      <c r="A2145" s="35">
        <f>IFERROR(__xludf.DUMMYFUNCTION("""COMPUTED_VALUE"""),2248.0)</f>
        <v>2248</v>
      </c>
      <c r="B2145" s="35" t="str">
        <f>IFERROR(__xludf.DUMMYFUNCTION("""COMPUTED_VALUE"""),"Minimum Cost of Buying Candies With Discount")</f>
        <v>Minimum Cost of Buying Candies With Discount</v>
      </c>
      <c r="C2145" s="35" t="str">
        <f>IFERROR(__xludf.DUMMYFUNCTION("""COMPUTED_VALUE"""),"minimum-cost-of-buying-candies-with-discount")</f>
        <v>minimum-cost-of-buying-candies-with-discount</v>
      </c>
      <c r="D2145" s="35" t="b">
        <f>IFERROR(__xludf.DUMMYFUNCTION("""COMPUTED_VALUE"""),FALSE)</f>
        <v>0</v>
      </c>
      <c r="E2145" s="35" t="str">
        <f>IFERROR(__xludf.DUMMYFUNCTION("""COMPUTED_VALUE"""),"Easy")</f>
        <v>Easy</v>
      </c>
      <c r="F2145" s="35">
        <f>IFERROR(__xludf.DUMMYFUNCTION("""COMPUTED_VALUE"""),193.0)</f>
        <v>193</v>
      </c>
      <c r="G2145" s="35">
        <f>IFERROR(__xludf.DUMMYFUNCTION("""COMPUTED_VALUE"""),8.0)</f>
        <v>8</v>
      </c>
      <c r="H2145" s="35" t="str">
        <f>IFERROR(__xludf.DUMMYFUNCTION("""COMPUTED_VALUE"""),"Algorithms")</f>
        <v>Algorithms</v>
      </c>
      <c r="I2145" s="35">
        <f>IFERROR(__xludf.DUMMYFUNCTION("""COMPUTED_VALUE"""),0.605)</f>
        <v>0.605</v>
      </c>
      <c r="J2145" s="35">
        <f>IFERROR(__xludf.DUMMYFUNCTION("""COMPUTED_VALUE"""),2144.0)</f>
        <v>2144</v>
      </c>
      <c r="K2145" s="35" t="b">
        <f>IFERROR(__xludf.DUMMYFUNCTION("""COMPUTED_VALUE"""),FALSE)</f>
        <v>0</v>
      </c>
      <c r="L2145" s="35" t="str">
        <f>IFERROR(__xludf.DUMMYFUNCTION("""COMPUTED_VALUE"""),"Array;Greedy;Sorting;")</f>
        <v>Array;Greedy;Sorting;</v>
      </c>
      <c r="M2145" s="35" t="b">
        <f>IFERROR(__xludf.DUMMYFUNCTION("""COMPUTED_VALUE"""),FALSE)</f>
        <v>0</v>
      </c>
      <c r="N2145" s="35" t="b">
        <f>IFERROR(__xludf.DUMMYFUNCTION("""COMPUTED_VALUE"""),FALSE)</f>
        <v>0</v>
      </c>
      <c r="O2145" s="35">
        <f>IFERROR(__xludf.DUMMYFUNCTION("""COMPUTED_VALUE"""),60.5200419593756)</f>
        <v>60.52004196</v>
      </c>
      <c r="P2145" s="35">
        <f>IFERROR(__xludf.DUMMYFUNCTION("""COMPUTED_VALUE"""),19038.0)</f>
        <v>19038</v>
      </c>
      <c r="Q2145" s="35">
        <f>IFERROR(__xludf.DUMMYFUNCTION("""COMPUTED_VALUE"""),31458.0)</f>
        <v>31458</v>
      </c>
    </row>
    <row r="2146">
      <c r="A2146" s="35">
        <f>IFERROR(__xludf.DUMMYFUNCTION("""COMPUTED_VALUE"""),2249.0)</f>
        <v>2249</v>
      </c>
      <c r="B2146" s="35" t="str">
        <f>IFERROR(__xludf.DUMMYFUNCTION("""COMPUTED_VALUE"""),"Count the Hidden Sequences")</f>
        <v>Count the Hidden Sequences</v>
      </c>
      <c r="C2146" s="35" t="str">
        <f>IFERROR(__xludf.DUMMYFUNCTION("""COMPUTED_VALUE"""),"count-the-hidden-sequences")</f>
        <v>count-the-hidden-sequences</v>
      </c>
      <c r="D2146" s="35" t="b">
        <f>IFERROR(__xludf.DUMMYFUNCTION("""COMPUTED_VALUE"""),FALSE)</f>
        <v>0</v>
      </c>
      <c r="E2146" s="35" t="str">
        <f>IFERROR(__xludf.DUMMYFUNCTION("""COMPUTED_VALUE"""),"Medium")</f>
        <v>Medium</v>
      </c>
      <c r="F2146" s="35">
        <f>IFERROR(__xludf.DUMMYFUNCTION("""COMPUTED_VALUE"""),342.0)</f>
        <v>342</v>
      </c>
      <c r="G2146" s="35">
        <f>IFERROR(__xludf.DUMMYFUNCTION("""COMPUTED_VALUE"""),37.0)</f>
        <v>37</v>
      </c>
      <c r="H2146" s="35" t="str">
        <f>IFERROR(__xludf.DUMMYFUNCTION("""COMPUTED_VALUE"""),"Algorithms")</f>
        <v>Algorithms</v>
      </c>
      <c r="I2146" s="35">
        <f>IFERROR(__xludf.DUMMYFUNCTION("""COMPUTED_VALUE"""),0.349)</f>
        <v>0.349</v>
      </c>
      <c r="J2146" s="35">
        <f>IFERROR(__xludf.DUMMYFUNCTION("""COMPUTED_VALUE"""),2145.0)</f>
        <v>2145</v>
      </c>
      <c r="K2146" s="35" t="b">
        <f>IFERROR(__xludf.DUMMYFUNCTION("""COMPUTED_VALUE"""),FALSE)</f>
        <v>0</v>
      </c>
      <c r="L2146" s="35" t="str">
        <f>IFERROR(__xludf.DUMMYFUNCTION("""COMPUTED_VALUE"""),"Array;Prefix Sum;")</f>
        <v>Array;Prefix Sum;</v>
      </c>
      <c r="M2146" s="35" t="b">
        <f>IFERROR(__xludf.DUMMYFUNCTION("""COMPUTED_VALUE"""),FALSE)</f>
        <v>0</v>
      </c>
      <c r="N2146" s="35" t="b">
        <f>IFERROR(__xludf.DUMMYFUNCTION("""COMPUTED_VALUE"""),FALSE)</f>
        <v>0</v>
      </c>
      <c r="O2146" s="35">
        <f>IFERROR(__xludf.DUMMYFUNCTION("""COMPUTED_VALUE"""),34.9102878533625)</f>
        <v>34.91028785</v>
      </c>
      <c r="P2146" s="35">
        <f>IFERROR(__xludf.DUMMYFUNCTION("""COMPUTED_VALUE"""),10817.0)</f>
        <v>10817</v>
      </c>
      <c r="Q2146" s="35">
        <f>IFERROR(__xludf.DUMMYFUNCTION("""COMPUTED_VALUE"""),30987.0)</f>
        <v>30987</v>
      </c>
    </row>
    <row r="2147">
      <c r="A2147" s="35">
        <f>IFERROR(__xludf.DUMMYFUNCTION("""COMPUTED_VALUE"""),2250.0)</f>
        <v>2250</v>
      </c>
      <c r="B2147" s="35" t="str">
        <f>IFERROR(__xludf.DUMMYFUNCTION("""COMPUTED_VALUE"""),"K Highest Ranked Items Within a Price Range")</f>
        <v>K Highest Ranked Items Within a Price Range</v>
      </c>
      <c r="C2147" s="35" t="str">
        <f>IFERROR(__xludf.DUMMYFUNCTION("""COMPUTED_VALUE"""),"k-highest-ranked-items-within-a-price-range")</f>
        <v>k-highest-ranked-items-within-a-price-range</v>
      </c>
      <c r="D2147" s="35" t="b">
        <f>IFERROR(__xludf.DUMMYFUNCTION("""COMPUTED_VALUE"""),FALSE)</f>
        <v>0</v>
      </c>
      <c r="E2147" s="35" t="str">
        <f>IFERROR(__xludf.DUMMYFUNCTION("""COMPUTED_VALUE"""),"Medium")</f>
        <v>Medium</v>
      </c>
      <c r="F2147" s="35">
        <f>IFERROR(__xludf.DUMMYFUNCTION("""COMPUTED_VALUE"""),228.0)</f>
        <v>228</v>
      </c>
      <c r="G2147" s="35">
        <f>IFERROR(__xludf.DUMMYFUNCTION("""COMPUTED_VALUE"""),101.0)</f>
        <v>101</v>
      </c>
      <c r="H2147" s="35" t="str">
        <f>IFERROR(__xludf.DUMMYFUNCTION("""COMPUTED_VALUE"""),"Algorithms")</f>
        <v>Algorithms</v>
      </c>
      <c r="I2147" s="35">
        <f>IFERROR(__xludf.DUMMYFUNCTION("""COMPUTED_VALUE"""),0.4)</f>
        <v>0.4</v>
      </c>
      <c r="J2147" s="35">
        <f>IFERROR(__xludf.DUMMYFUNCTION("""COMPUTED_VALUE"""),2146.0)</f>
        <v>2146</v>
      </c>
      <c r="K2147" s="35" t="b">
        <f>IFERROR(__xludf.DUMMYFUNCTION("""COMPUTED_VALUE"""),FALSE)</f>
        <v>0</v>
      </c>
      <c r="L2147" s="35" t="str">
        <f>IFERROR(__xludf.DUMMYFUNCTION("""COMPUTED_VALUE"""),"Array;Breadth-First Search;Sorting;Heap (Priority Queue);Matrix;")</f>
        <v>Array;Breadth-First Search;Sorting;Heap (Priority Queue);Matrix;</v>
      </c>
      <c r="M2147" s="35" t="b">
        <f>IFERROR(__xludf.DUMMYFUNCTION("""COMPUTED_VALUE"""),FALSE)</f>
        <v>0</v>
      </c>
      <c r="N2147" s="35" t="b">
        <f>IFERROR(__xludf.DUMMYFUNCTION("""COMPUTED_VALUE"""),FALSE)</f>
        <v>0</v>
      </c>
      <c r="O2147" s="35">
        <f>IFERROR(__xludf.DUMMYFUNCTION("""COMPUTED_VALUE"""),40.0073034587093)</f>
        <v>40.00730346</v>
      </c>
      <c r="P2147" s="35">
        <f>IFERROR(__xludf.DUMMYFUNCTION("""COMPUTED_VALUE"""),7661.0)</f>
        <v>7661</v>
      </c>
      <c r="Q2147" s="35">
        <f>IFERROR(__xludf.DUMMYFUNCTION("""COMPUTED_VALUE"""),19158.0)</f>
        <v>19158</v>
      </c>
    </row>
    <row r="2148">
      <c r="A2148" s="35">
        <f>IFERROR(__xludf.DUMMYFUNCTION("""COMPUTED_VALUE"""),2251.0)</f>
        <v>2251</v>
      </c>
      <c r="B2148" s="35" t="str">
        <f>IFERROR(__xludf.DUMMYFUNCTION("""COMPUTED_VALUE"""),"Number of Ways to Divide a Long Corridor")</f>
        <v>Number of Ways to Divide a Long Corridor</v>
      </c>
      <c r="C2148" s="35" t="str">
        <f>IFERROR(__xludf.DUMMYFUNCTION("""COMPUTED_VALUE"""),"number-of-ways-to-divide-a-long-corridor")</f>
        <v>number-of-ways-to-divide-a-long-corridor</v>
      </c>
      <c r="D2148" s="35" t="b">
        <f>IFERROR(__xludf.DUMMYFUNCTION("""COMPUTED_VALUE"""),FALSE)</f>
        <v>0</v>
      </c>
      <c r="E2148" s="35" t="str">
        <f>IFERROR(__xludf.DUMMYFUNCTION("""COMPUTED_VALUE"""),"Hard")</f>
        <v>Hard</v>
      </c>
      <c r="F2148" s="35">
        <f>IFERROR(__xludf.DUMMYFUNCTION("""COMPUTED_VALUE"""),165.0)</f>
        <v>165</v>
      </c>
      <c r="G2148" s="35">
        <f>IFERROR(__xludf.DUMMYFUNCTION("""COMPUTED_VALUE"""),14.0)</f>
        <v>14</v>
      </c>
      <c r="H2148" s="35" t="str">
        <f>IFERROR(__xludf.DUMMYFUNCTION("""COMPUTED_VALUE"""),"Algorithms")</f>
        <v>Algorithms</v>
      </c>
      <c r="I2148" s="35">
        <f>IFERROR(__xludf.DUMMYFUNCTION("""COMPUTED_VALUE"""),0.399)</f>
        <v>0.399</v>
      </c>
      <c r="J2148" s="35">
        <f>IFERROR(__xludf.DUMMYFUNCTION("""COMPUTED_VALUE"""),2147.0)</f>
        <v>2147</v>
      </c>
      <c r="K2148" s="35" t="b">
        <f>IFERROR(__xludf.DUMMYFUNCTION("""COMPUTED_VALUE"""),FALSE)</f>
        <v>0</v>
      </c>
      <c r="L2148" s="35" t="str">
        <f>IFERROR(__xludf.DUMMYFUNCTION("""COMPUTED_VALUE"""),"Math;String;Dynamic Programming;")</f>
        <v>Math;String;Dynamic Programming;</v>
      </c>
      <c r="M2148" s="35" t="b">
        <f>IFERROR(__xludf.DUMMYFUNCTION("""COMPUTED_VALUE"""),FALSE)</f>
        <v>0</v>
      </c>
      <c r="N2148" s="35" t="b">
        <f>IFERROR(__xludf.DUMMYFUNCTION("""COMPUTED_VALUE"""),FALSE)</f>
        <v>0</v>
      </c>
      <c r="O2148" s="35">
        <f>IFERROR(__xludf.DUMMYFUNCTION("""COMPUTED_VALUE"""),39.9228858972683)</f>
        <v>39.9228859</v>
      </c>
      <c r="P2148" s="35">
        <f>IFERROR(__xludf.DUMMYFUNCTION("""COMPUTED_VALUE"""),6109.0)</f>
        <v>6109</v>
      </c>
      <c r="Q2148" s="35">
        <f>IFERROR(__xludf.DUMMYFUNCTION("""COMPUTED_VALUE"""),15302.0)</f>
        <v>15302</v>
      </c>
    </row>
    <row r="2149">
      <c r="A2149" s="35">
        <f>IFERROR(__xludf.DUMMYFUNCTION("""COMPUTED_VALUE"""),2269.0)</f>
        <v>2269</v>
      </c>
      <c r="B2149" s="35" t="str">
        <f>IFERROR(__xludf.DUMMYFUNCTION("""COMPUTED_VALUE"""),"Count Elements With Strictly Smaller and Greater Elements ")</f>
        <v>Count Elements With Strictly Smaller and Greater Elements </v>
      </c>
      <c r="C2149" s="35" t="str">
        <f>IFERROR(__xludf.DUMMYFUNCTION("""COMPUTED_VALUE"""),"count-elements-with-strictly-smaller-and-greater-elements")</f>
        <v>count-elements-with-strictly-smaller-and-greater-elements</v>
      </c>
      <c r="D2149" s="35" t="b">
        <f>IFERROR(__xludf.DUMMYFUNCTION("""COMPUTED_VALUE"""),FALSE)</f>
        <v>0</v>
      </c>
      <c r="E2149" s="35" t="str">
        <f>IFERROR(__xludf.DUMMYFUNCTION("""COMPUTED_VALUE"""),"Easy")</f>
        <v>Easy</v>
      </c>
      <c r="F2149" s="35">
        <f>IFERROR(__xludf.DUMMYFUNCTION("""COMPUTED_VALUE"""),212.0)</f>
        <v>212</v>
      </c>
      <c r="G2149" s="35">
        <f>IFERROR(__xludf.DUMMYFUNCTION("""COMPUTED_VALUE"""),7.0)</f>
        <v>7</v>
      </c>
      <c r="H2149" s="35" t="str">
        <f>IFERROR(__xludf.DUMMYFUNCTION("""COMPUTED_VALUE"""),"Algorithms")</f>
        <v>Algorithms</v>
      </c>
      <c r="I2149" s="35">
        <f>IFERROR(__xludf.DUMMYFUNCTION("""COMPUTED_VALUE"""),0.605)</f>
        <v>0.605</v>
      </c>
      <c r="J2149" s="35">
        <f>IFERROR(__xludf.DUMMYFUNCTION("""COMPUTED_VALUE"""),2148.0)</f>
        <v>2148</v>
      </c>
      <c r="K2149" s="35" t="b">
        <f>IFERROR(__xludf.DUMMYFUNCTION("""COMPUTED_VALUE"""),FALSE)</f>
        <v>0</v>
      </c>
      <c r="L2149" s="35" t="str">
        <f>IFERROR(__xludf.DUMMYFUNCTION("""COMPUTED_VALUE"""),"Array;Sorting;")</f>
        <v>Array;Sorting;</v>
      </c>
      <c r="M2149" s="35" t="b">
        <f>IFERROR(__xludf.DUMMYFUNCTION("""COMPUTED_VALUE"""),FALSE)</f>
        <v>0</v>
      </c>
      <c r="N2149" s="35" t="b">
        <f>IFERROR(__xludf.DUMMYFUNCTION("""COMPUTED_VALUE"""),FALSE)</f>
        <v>0</v>
      </c>
      <c r="O2149" s="35">
        <f>IFERROR(__xludf.DUMMYFUNCTION("""COMPUTED_VALUE"""),60.5073110980682)</f>
        <v>60.5073111</v>
      </c>
      <c r="P2149" s="35">
        <f>IFERROR(__xludf.DUMMYFUNCTION("""COMPUTED_VALUE"""),23711.0)</f>
        <v>23711</v>
      </c>
      <c r="Q2149" s="35">
        <f>IFERROR(__xludf.DUMMYFUNCTION("""COMPUTED_VALUE"""),39187.0)</f>
        <v>39187</v>
      </c>
    </row>
    <row r="2150">
      <c r="A2150" s="35">
        <f>IFERROR(__xludf.DUMMYFUNCTION("""COMPUTED_VALUE"""),2271.0)</f>
        <v>2271</v>
      </c>
      <c r="B2150" s="35" t="str">
        <f>IFERROR(__xludf.DUMMYFUNCTION("""COMPUTED_VALUE"""),"Rearrange Array Elements by Sign")</f>
        <v>Rearrange Array Elements by Sign</v>
      </c>
      <c r="C2150" s="35" t="str">
        <f>IFERROR(__xludf.DUMMYFUNCTION("""COMPUTED_VALUE"""),"rearrange-array-elements-by-sign")</f>
        <v>rearrange-array-elements-by-sign</v>
      </c>
      <c r="D2150" s="35" t="b">
        <f>IFERROR(__xludf.DUMMYFUNCTION("""COMPUTED_VALUE"""),FALSE)</f>
        <v>0</v>
      </c>
      <c r="E2150" s="35" t="str">
        <f>IFERROR(__xludf.DUMMYFUNCTION("""COMPUTED_VALUE"""),"Medium")</f>
        <v>Medium</v>
      </c>
      <c r="F2150" s="35">
        <f>IFERROR(__xludf.DUMMYFUNCTION("""COMPUTED_VALUE"""),294.0)</f>
        <v>294</v>
      </c>
      <c r="G2150" s="35">
        <f>IFERROR(__xludf.DUMMYFUNCTION("""COMPUTED_VALUE"""),16.0)</f>
        <v>16</v>
      </c>
      <c r="H2150" s="35" t="str">
        <f>IFERROR(__xludf.DUMMYFUNCTION("""COMPUTED_VALUE"""),"Algorithms")</f>
        <v>Algorithms</v>
      </c>
      <c r="I2150" s="35">
        <f>IFERROR(__xludf.DUMMYFUNCTION("""COMPUTED_VALUE"""),0.819)</f>
        <v>0.819</v>
      </c>
      <c r="J2150" s="35">
        <f>IFERROR(__xludf.DUMMYFUNCTION("""COMPUTED_VALUE"""),2149.0)</f>
        <v>2149</v>
      </c>
      <c r="K2150" s="35" t="b">
        <f>IFERROR(__xludf.DUMMYFUNCTION("""COMPUTED_VALUE"""),FALSE)</f>
        <v>0</v>
      </c>
      <c r="L2150" s="35" t="str">
        <f>IFERROR(__xludf.DUMMYFUNCTION("""COMPUTED_VALUE"""),"Array;Two Pointers;Simulation;")</f>
        <v>Array;Two Pointers;Simulation;</v>
      </c>
      <c r="M2150" s="35" t="b">
        <f>IFERROR(__xludf.DUMMYFUNCTION("""COMPUTED_VALUE"""),FALSE)</f>
        <v>0</v>
      </c>
      <c r="N2150" s="35" t="b">
        <f>IFERROR(__xludf.DUMMYFUNCTION("""COMPUTED_VALUE"""),FALSE)</f>
        <v>0</v>
      </c>
      <c r="O2150" s="35">
        <f>IFERROR(__xludf.DUMMYFUNCTION("""COMPUTED_VALUE"""),81.9249702936683)</f>
        <v>81.92497029</v>
      </c>
      <c r="P2150" s="35">
        <f>IFERROR(__xludf.DUMMYFUNCTION("""COMPUTED_VALUE"""),24130.0)</f>
        <v>24130</v>
      </c>
      <c r="Q2150" s="35">
        <f>IFERROR(__xludf.DUMMYFUNCTION("""COMPUTED_VALUE"""),29454.0)</f>
        <v>29454</v>
      </c>
    </row>
    <row r="2151">
      <c r="A2151" s="35">
        <f>IFERROR(__xludf.DUMMYFUNCTION("""COMPUTED_VALUE"""),2270.0)</f>
        <v>2270</v>
      </c>
      <c r="B2151" s="35" t="str">
        <f>IFERROR(__xludf.DUMMYFUNCTION("""COMPUTED_VALUE"""),"Find All Lonely Numbers in the Array")</f>
        <v>Find All Lonely Numbers in the Array</v>
      </c>
      <c r="C2151" s="35" t="str">
        <f>IFERROR(__xludf.DUMMYFUNCTION("""COMPUTED_VALUE"""),"find-all-lonely-numbers-in-the-array")</f>
        <v>find-all-lonely-numbers-in-the-array</v>
      </c>
      <c r="D2151" s="35" t="b">
        <f>IFERROR(__xludf.DUMMYFUNCTION("""COMPUTED_VALUE"""),FALSE)</f>
        <v>0</v>
      </c>
      <c r="E2151" s="35" t="str">
        <f>IFERROR(__xludf.DUMMYFUNCTION("""COMPUTED_VALUE"""),"Medium")</f>
        <v>Medium</v>
      </c>
      <c r="F2151" s="35">
        <f>IFERROR(__xludf.DUMMYFUNCTION("""COMPUTED_VALUE"""),189.0)</f>
        <v>189</v>
      </c>
      <c r="G2151" s="35">
        <f>IFERROR(__xludf.DUMMYFUNCTION("""COMPUTED_VALUE"""),27.0)</f>
        <v>27</v>
      </c>
      <c r="H2151" s="35" t="str">
        <f>IFERROR(__xludf.DUMMYFUNCTION("""COMPUTED_VALUE"""),"Algorithms")</f>
        <v>Algorithms</v>
      </c>
      <c r="I2151" s="35">
        <f>IFERROR(__xludf.DUMMYFUNCTION("""COMPUTED_VALUE"""),0.604)</f>
        <v>0.604</v>
      </c>
      <c r="J2151" s="35">
        <f>IFERROR(__xludf.DUMMYFUNCTION("""COMPUTED_VALUE"""),2150.0)</f>
        <v>2150</v>
      </c>
      <c r="K2151" s="35" t="b">
        <f>IFERROR(__xludf.DUMMYFUNCTION("""COMPUTED_VALUE"""),FALSE)</f>
        <v>0</v>
      </c>
      <c r="L2151" s="35" t="str">
        <f>IFERROR(__xludf.DUMMYFUNCTION("""COMPUTED_VALUE"""),"Array;Hash Table;Counting;")</f>
        <v>Array;Hash Table;Counting;</v>
      </c>
      <c r="M2151" s="35" t="b">
        <f>IFERROR(__xludf.DUMMYFUNCTION("""COMPUTED_VALUE"""),FALSE)</f>
        <v>0</v>
      </c>
      <c r="N2151" s="35" t="b">
        <f>IFERROR(__xludf.DUMMYFUNCTION("""COMPUTED_VALUE"""),FALSE)</f>
        <v>0</v>
      </c>
      <c r="O2151" s="35">
        <f>IFERROR(__xludf.DUMMYFUNCTION("""COMPUTED_VALUE"""),60.3647862668699)</f>
        <v>60.36478627</v>
      </c>
      <c r="P2151" s="35">
        <f>IFERROR(__xludf.DUMMYFUNCTION("""COMPUTED_VALUE"""),21377.0)</f>
        <v>21377</v>
      </c>
      <c r="Q2151" s="35">
        <f>IFERROR(__xludf.DUMMYFUNCTION("""COMPUTED_VALUE"""),35414.0)</f>
        <v>35414</v>
      </c>
    </row>
    <row r="2152">
      <c r="A2152" s="35">
        <f>IFERROR(__xludf.DUMMYFUNCTION("""COMPUTED_VALUE"""),2272.0)</f>
        <v>2272</v>
      </c>
      <c r="B2152" s="35" t="str">
        <f>IFERROR(__xludf.DUMMYFUNCTION("""COMPUTED_VALUE"""),"Maximum Good People Based on Statements")</f>
        <v>Maximum Good People Based on Statements</v>
      </c>
      <c r="C2152" s="35" t="str">
        <f>IFERROR(__xludf.DUMMYFUNCTION("""COMPUTED_VALUE"""),"maximum-good-people-based-on-statements")</f>
        <v>maximum-good-people-based-on-statements</v>
      </c>
      <c r="D2152" s="35" t="b">
        <f>IFERROR(__xludf.DUMMYFUNCTION("""COMPUTED_VALUE"""),FALSE)</f>
        <v>0</v>
      </c>
      <c r="E2152" s="35" t="str">
        <f>IFERROR(__xludf.DUMMYFUNCTION("""COMPUTED_VALUE"""),"Hard")</f>
        <v>Hard</v>
      </c>
      <c r="F2152" s="35">
        <f>IFERROR(__xludf.DUMMYFUNCTION("""COMPUTED_VALUE"""),286.0)</f>
        <v>286</v>
      </c>
      <c r="G2152" s="35">
        <f>IFERROR(__xludf.DUMMYFUNCTION("""COMPUTED_VALUE"""),63.0)</f>
        <v>63</v>
      </c>
      <c r="H2152" s="35" t="str">
        <f>IFERROR(__xludf.DUMMYFUNCTION("""COMPUTED_VALUE"""),"Algorithms")</f>
        <v>Algorithms</v>
      </c>
      <c r="I2152" s="35">
        <f>IFERROR(__xludf.DUMMYFUNCTION("""COMPUTED_VALUE"""),0.457)</f>
        <v>0.457</v>
      </c>
      <c r="J2152" s="35">
        <f>IFERROR(__xludf.DUMMYFUNCTION("""COMPUTED_VALUE"""),2151.0)</f>
        <v>2151</v>
      </c>
      <c r="K2152" s="35" t="b">
        <f>IFERROR(__xludf.DUMMYFUNCTION("""COMPUTED_VALUE"""),FALSE)</f>
        <v>0</v>
      </c>
      <c r="L2152" s="35" t="str">
        <f>IFERROR(__xludf.DUMMYFUNCTION("""COMPUTED_VALUE"""),"Array;Backtracking;Bit Manipulation;Enumeration;")</f>
        <v>Array;Backtracking;Bit Manipulation;Enumeration;</v>
      </c>
      <c r="M2152" s="35" t="b">
        <f>IFERROR(__xludf.DUMMYFUNCTION("""COMPUTED_VALUE"""),FALSE)</f>
        <v>0</v>
      </c>
      <c r="N2152" s="35" t="b">
        <f>IFERROR(__xludf.DUMMYFUNCTION("""COMPUTED_VALUE"""),FALSE)</f>
        <v>0</v>
      </c>
      <c r="O2152" s="35">
        <f>IFERROR(__xludf.DUMMYFUNCTION("""COMPUTED_VALUE"""),45.6729647772334)</f>
        <v>45.67296478</v>
      </c>
      <c r="P2152" s="35">
        <f>IFERROR(__xludf.DUMMYFUNCTION("""COMPUTED_VALUE"""),7832.0)</f>
        <v>7832</v>
      </c>
      <c r="Q2152" s="35">
        <f>IFERROR(__xludf.DUMMYFUNCTION("""COMPUTED_VALUE"""),17148.0)</f>
        <v>17148</v>
      </c>
    </row>
    <row r="2153">
      <c r="A2153" s="35">
        <f>IFERROR(__xludf.DUMMYFUNCTION("""COMPUTED_VALUE"""),2287.0)</f>
        <v>2287</v>
      </c>
      <c r="B2153" s="35" t="str">
        <f>IFERROR(__xludf.DUMMYFUNCTION("""COMPUTED_VALUE"""),"Minimum Number of Lines to Cover Points")</f>
        <v>Minimum Number of Lines to Cover Points</v>
      </c>
      <c r="C2153" s="35" t="str">
        <f>IFERROR(__xludf.DUMMYFUNCTION("""COMPUTED_VALUE"""),"minimum-number-of-lines-to-cover-points")</f>
        <v>minimum-number-of-lines-to-cover-points</v>
      </c>
      <c r="D2153" s="35" t="b">
        <f>IFERROR(__xludf.DUMMYFUNCTION("""COMPUTED_VALUE"""),TRUE)</f>
        <v>1</v>
      </c>
      <c r="E2153" s="35" t="str">
        <f>IFERROR(__xludf.DUMMYFUNCTION("""COMPUTED_VALUE"""),"Medium")</f>
        <v>Medium</v>
      </c>
      <c r="F2153" s="35">
        <f>IFERROR(__xludf.DUMMYFUNCTION("""COMPUTED_VALUE"""),20.0)</f>
        <v>20</v>
      </c>
      <c r="G2153" s="35">
        <f>IFERROR(__xludf.DUMMYFUNCTION("""COMPUTED_VALUE"""),5.0)</f>
        <v>5</v>
      </c>
      <c r="H2153" s="35" t="str">
        <f>IFERROR(__xludf.DUMMYFUNCTION("""COMPUTED_VALUE"""),"Algorithms")</f>
        <v>Algorithms</v>
      </c>
      <c r="I2153" s="35">
        <f>IFERROR(__xludf.DUMMYFUNCTION("""COMPUTED_VALUE"""),0.461)</f>
        <v>0.461</v>
      </c>
      <c r="J2153" s="35">
        <f>IFERROR(__xludf.DUMMYFUNCTION("""COMPUTED_VALUE"""),2152.0)</f>
        <v>2152</v>
      </c>
      <c r="K2153" s="35" t="b">
        <f>IFERROR(__xludf.DUMMYFUNCTION("""COMPUTED_VALUE"""),TRUE)</f>
        <v>1</v>
      </c>
      <c r="L2153" s="35" t="str">
        <f>IFERROR(__xludf.DUMMYFUNCTION("""COMPUTED_VALUE"""),"Array;Hash Table;Math;Dynamic Programming;Backtracking;Bit Manipulation;Geometry;Bitmask;")</f>
        <v>Array;Hash Table;Math;Dynamic Programming;Backtracking;Bit Manipulation;Geometry;Bitmask;</v>
      </c>
      <c r="M2153" s="35" t="b">
        <f>IFERROR(__xludf.DUMMYFUNCTION("""COMPUTED_VALUE"""),FALSE)</f>
        <v>0</v>
      </c>
      <c r="N2153" s="35" t="b">
        <f>IFERROR(__xludf.DUMMYFUNCTION("""COMPUTED_VALUE"""),FALSE)</f>
        <v>0</v>
      </c>
      <c r="O2153" s="35">
        <f>IFERROR(__xludf.DUMMYFUNCTION("""COMPUTED_VALUE"""),46.1365341335333)</f>
        <v>46.13653413</v>
      </c>
      <c r="P2153" s="35">
        <f>IFERROR(__xludf.DUMMYFUNCTION("""COMPUTED_VALUE"""),615.0)</f>
        <v>615</v>
      </c>
      <c r="Q2153" s="35">
        <f>IFERROR(__xludf.DUMMYFUNCTION("""COMPUTED_VALUE"""),1333.0)</f>
        <v>1333</v>
      </c>
    </row>
    <row r="2154">
      <c r="A2154" s="35">
        <f>IFERROR(__xludf.DUMMYFUNCTION("""COMPUTED_VALUE"""),2296.0)</f>
        <v>2296</v>
      </c>
      <c r="B2154" s="35" t="str">
        <f>IFERROR(__xludf.DUMMYFUNCTION("""COMPUTED_VALUE"""),"The Number of Passengers in Each Bus II")</f>
        <v>The Number of Passengers in Each Bus II</v>
      </c>
      <c r="C2154" s="35" t="str">
        <f>IFERROR(__xludf.DUMMYFUNCTION("""COMPUTED_VALUE"""),"the-number-of-passengers-in-each-bus-ii")</f>
        <v>the-number-of-passengers-in-each-bus-ii</v>
      </c>
      <c r="D2154" s="35" t="b">
        <f>IFERROR(__xludf.DUMMYFUNCTION("""COMPUTED_VALUE"""),TRUE)</f>
        <v>1</v>
      </c>
      <c r="E2154" s="35" t="str">
        <f>IFERROR(__xludf.DUMMYFUNCTION("""COMPUTED_VALUE"""),"Hard")</f>
        <v>Hard</v>
      </c>
      <c r="F2154" s="35">
        <f>IFERROR(__xludf.DUMMYFUNCTION("""COMPUTED_VALUE"""),14.0)</f>
        <v>14</v>
      </c>
      <c r="G2154" s="35">
        <f>IFERROR(__xludf.DUMMYFUNCTION("""COMPUTED_VALUE"""),5.0)</f>
        <v>5</v>
      </c>
      <c r="H2154" s="35" t="str">
        <f>IFERROR(__xludf.DUMMYFUNCTION("""COMPUTED_VALUE"""),"Database")</f>
        <v>Database</v>
      </c>
      <c r="I2154" s="35">
        <f>IFERROR(__xludf.DUMMYFUNCTION("""COMPUTED_VALUE"""),0.509)</f>
        <v>0.509</v>
      </c>
      <c r="J2154" s="35">
        <f>IFERROR(__xludf.DUMMYFUNCTION("""COMPUTED_VALUE"""),2153.0)</f>
        <v>2153</v>
      </c>
      <c r="K2154" s="35" t="b">
        <f>IFERROR(__xludf.DUMMYFUNCTION("""COMPUTED_VALUE"""),TRUE)</f>
        <v>1</v>
      </c>
      <c r="L2154" s="35" t="str">
        <f>IFERROR(__xludf.DUMMYFUNCTION("""COMPUTED_VALUE"""),"Database;")</f>
        <v>Database;</v>
      </c>
      <c r="M2154" s="35" t="b">
        <f>IFERROR(__xludf.DUMMYFUNCTION("""COMPUTED_VALUE"""),FALSE)</f>
        <v>0</v>
      </c>
      <c r="N2154" s="35" t="b">
        <f>IFERROR(__xludf.DUMMYFUNCTION("""COMPUTED_VALUE"""),FALSE)</f>
        <v>0</v>
      </c>
      <c r="O2154" s="35">
        <f>IFERROR(__xludf.DUMMYFUNCTION("""COMPUTED_VALUE"""),50.9243697478991)</f>
        <v>50.92436975</v>
      </c>
      <c r="P2154" s="35">
        <f>IFERROR(__xludf.DUMMYFUNCTION("""COMPUTED_VALUE"""),303.0)</f>
        <v>303</v>
      </c>
      <c r="Q2154" s="35">
        <f>IFERROR(__xludf.DUMMYFUNCTION("""COMPUTED_VALUE"""),595.0)</f>
        <v>595</v>
      </c>
    </row>
    <row r="2155">
      <c r="A2155" s="35">
        <f>IFERROR(__xludf.DUMMYFUNCTION("""COMPUTED_VALUE"""),2274.0)</f>
        <v>2274</v>
      </c>
      <c r="B2155" s="35" t="str">
        <f>IFERROR(__xludf.DUMMYFUNCTION("""COMPUTED_VALUE"""),"Keep Multiplying Found Values by Two")</f>
        <v>Keep Multiplying Found Values by Two</v>
      </c>
      <c r="C2155" s="35" t="str">
        <f>IFERROR(__xludf.DUMMYFUNCTION("""COMPUTED_VALUE"""),"keep-multiplying-found-values-by-two")</f>
        <v>keep-multiplying-found-values-by-two</v>
      </c>
      <c r="D2155" s="35" t="b">
        <f>IFERROR(__xludf.DUMMYFUNCTION("""COMPUTED_VALUE"""),FALSE)</f>
        <v>0</v>
      </c>
      <c r="E2155" s="35" t="str">
        <f>IFERROR(__xludf.DUMMYFUNCTION("""COMPUTED_VALUE"""),"Easy")</f>
        <v>Easy</v>
      </c>
      <c r="F2155" s="35">
        <f>IFERROR(__xludf.DUMMYFUNCTION("""COMPUTED_VALUE"""),222.0)</f>
        <v>222</v>
      </c>
      <c r="G2155" s="35">
        <f>IFERROR(__xludf.DUMMYFUNCTION("""COMPUTED_VALUE"""),8.0)</f>
        <v>8</v>
      </c>
      <c r="H2155" s="35" t="str">
        <f>IFERROR(__xludf.DUMMYFUNCTION("""COMPUTED_VALUE"""),"Algorithms")</f>
        <v>Algorithms</v>
      </c>
      <c r="I2155" s="35">
        <f>IFERROR(__xludf.DUMMYFUNCTION("""COMPUTED_VALUE"""),0.736)</f>
        <v>0.736</v>
      </c>
      <c r="J2155" s="35">
        <f>IFERROR(__xludf.DUMMYFUNCTION("""COMPUTED_VALUE"""),2154.0)</f>
        <v>2154</v>
      </c>
      <c r="K2155" s="35" t="b">
        <f>IFERROR(__xludf.DUMMYFUNCTION("""COMPUTED_VALUE"""),FALSE)</f>
        <v>0</v>
      </c>
      <c r="L2155" s="35" t="str">
        <f>IFERROR(__xludf.DUMMYFUNCTION("""COMPUTED_VALUE"""),"Array;Hash Table;Sorting;Simulation;")</f>
        <v>Array;Hash Table;Sorting;Simulation;</v>
      </c>
      <c r="M2155" s="35" t="b">
        <f>IFERROR(__xludf.DUMMYFUNCTION("""COMPUTED_VALUE"""),FALSE)</f>
        <v>0</v>
      </c>
      <c r="N2155" s="35" t="b">
        <f>IFERROR(__xludf.DUMMYFUNCTION("""COMPUTED_VALUE"""),FALSE)</f>
        <v>0</v>
      </c>
      <c r="O2155" s="35">
        <f>IFERROR(__xludf.DUMMYFUNCTION("""COMPUTED_VALUE"""),73.6218483148906)</f>
        <v>73.62184831</v>
      </c>
      <c r="P2155" s="35">
        <f>IFERROR(__xludf.DUMMYFUNCTION("""COMPUTED_VALUE"""),29141.0)</f>
        <v>29141</v>
      </c>
      <c r="Q2155" s="35">
        <f>IFERROR(__xludf.DUMMYFUNCTION("""COMPUTED_VALUE"""),39582.0)</f>
        <v>39582</v>
      </c>
    </row>
    <row r="2156">
      <c r="A2156" s="35">
        <f>IFERROR(__xludf.DUMMYFUNCTION("""COMPUTED_VALUE"""),2261.0)</f>
        <v>2261</v>
      </c>
      <c r="B2156" s="35" t="str">
        <f>IFERROR(__xludf.DUMMYFUNCTION("""COMPUTED_VALUE"""),"All Divisions With the Highest Score of a Binary Array")</f>
        <v>All Divisions With the Highest Score of a Binary Array</v>
      </c>
      <c r="C2156" s="35" t="str">
        <f>IFERROR(__xludf.DUMMYFUNCTION("""COMPUTED_VALUE"""),"all-divisions-with-the-highest-score-of-a-binary-array")</f>
        <v>all-divisions-with-the-highest-score-of-a-binary-array</v>
      </c>
      <c r="D2156" s="35" t="b">
        <f>IFERROR(__xludf.DUMMYFUNCTION("""COMPUTED_VALUE"""),FALSE)</f>
        <v>0</v>
      </c>
      <c r="E2156" s="35" t="str">
        <f>IFERROR(__xludf.DUMMYFUNCTION("""COMPUTED_VALUE"""),"Medium")</f>
        <v>Medium</v>
      </c>
      <c r="F2156" s="35">
        <f>IFERROR(__xludf.DUMMYFUNCTION("""COMPUTED_VALUE"""),291.0)</f>
        <v>291</v>
      </c>
      <c r="G2156" s="35">
        <f>IFERROR(__xludf.DUMMYFUNCTION("""COMPUTED_VALUE"""),8.0)</f>
        <v>8</v>
      </c>
      <c r="H2156" s="35" t="str">
        <f>IFERROR(__xludf.DUMMYFUNCTION("""COMPUTED_VALUE"""),"Algorithms")</f>
        <v>Algorithms</v>
      </c>
      <c r="I2156" s="35">
        <f>IFERROR(__xludf.DUMMYFUNCTION("""COMPUTED_VALUE"""),0.616)</f>
        <v>0.616</v>
      </c>
      <c r="J2156" s="35">
        <f>IFERROR(__xludf.DUMMYFUNCTION("""COMPUTED_VALUE"""),2155.0)</f>
        <v>2155</v>
      </c>
      <c r="K2156" s="35" t="b">
        <f>IFERROR(__xludf.DUMMYFUNCTION("""COMPUTED_VALUE"""),FALSE)</f>
        <v>0</v>
      </c>
      <c r="L2156" s="35" t="str">
        <f>IFERROR(__xludf.DUMMYFUNCTION("""COMPUTED_VALUE"""),"Array;")</f>
        <v>Array;</v>
      </c>
      <c r="M2156" s="35" t="b">
        <f>IFERROR(__xludf.DUMMYFUNCTION("""COMPUTED_VALUE"""),FALSE)</f>
        <v>0</v>
      </c>
      <c r="N2156" s="35" t="b">
        <f>IFERROR(__xludf.DUMMYFUNCTION("""COMPUTED_VALUE"""),FALSE)</f>
        <v>0</v>
      </c>
      <c r="O2156" s="35">
        <f>IFERROR(__xludf.DUMMYFUNCTION("""COMPUTED_VALUE"""),61.576022899478)</f>
        <v>61.5760229</v>
      </c>
      <c r="P2156" s="35">
        <f>IFERROR(__xludf.DUMMYFUNCTION("""COMPUTED_VALUE"""),18285.0)</f>
        <v>18285</v>
      </c>
      <c r="Q2156" s="35">
        <f>IFERROR(__xludf.DUMMYFUNCTION("""COMPUTED_VALUE"""),29695.0)</f>
        <v>29695</v>
      </c>
    </row>
    <row r="2157">
      <c r="A2157" s="35">
        <f>IFERROR(__xludf.DUMMYFUNCTION("""COMPUTED_VALUE"""),2275.0)</f>
        <v>2275</v>
      </c>
      <c r="B2157" s="35" t="str">
        <f>IFERROR(__xludf.DUMMYFUNCTION("""COMPUTED_VALUE"""),"Find Substring With Given Hash Value")</f>
        <v>Find Substring With Given Hash Value</v>
      </c>
      <c r="C2157" s="35" t="str">
        <f>IFERROR(__xludf.DUMMYFUNCTION("""COMPUTED_VALUE"""),"find-substring-with-given-hash-value")</f>
        <v>find-substring-with-given-hash-value</v>
      </c>
      <c r="D2157" s="35" t="b">
        <f>IFERROR(__xludf.DUMMYFUNCTION("""COMPUTED_VALUE"""),FALSE)</f>
        <v>0</v>
      </c>
      <c r="E2157" s="35" t="str">
        <f>IFERROR(__xludf.DUMMYFUNCTION("""COMPUTED_VALUE"""),"Hard")</f>
        <v>Hard</v>
      </c>
      <c r="F2157" s="35">
        <f>IFERROR(__xludf.DUMMYFUNCTION("""COMPUTED_VALUE"""),286.0)</f>
        <v>286</v>
      </c>
      <c r="G2157" s="35">
        <f>IFERROR(__xludf.DUMMYFUNCTION("""COMPUTED_VALUE"""),330.0)</f>
        <v>330</v>
      </c>
      <c r="H2157" s="35" t="str">
        <f>IFERROR(__xludf.DUMMYFUNCTION("""COMPUTED_VALUE"""),"Algorithms")</f>
        <v>Algorithms</v>
      </c>
      <c r="I2157" s="35">
        <f>IFERROR(__xludf.DUMMYFUNCTION("""COMPUTED_VALUE"""),0.202)</f>
        <v>0.202</v>
      </c>
      <c r="J2157" s="35">
        <f>IFERROR(__xludf.DUMMYFUNCTION("""COMPUTED_VALUE"""),2156.0)</f>
        <v>2156</v>
      </c>
      <c r="K2157" s="35" t="b">
        <f>IFERROR(__xludf.DUMMYFUNCTION("""COMPUTED_VALUE"""),FALSE)</f>
        <v>0</v>
      </c>
      <c r="L2157" s="35" t="str">
        <f>IFERROR(__xludf.DUMMYFUNCTION("""COMPUTED_VALUE"""),"String;Sliding Window;Rolling Hash;Hash Function;")</f>
        <v>String;Sliding Window;Rolling Hash;Hash Function;</v>
      </c>
      <c r="M2157" s="35" t="b">
        <f>IFERROR(__xludf.DUMMYFUNCTION("""COMPUTED_VALUE"""),FALSE)</f>
        <v>0</v>
      </c>
      <c r="N2157" s="35" t="b">
        <f>IFERROR(__xludf.DUMMYFUNCTION("""COMPUTED_VALUE"""),FALSE)</f>
        <v>0</v>
      </c>
      <c r="O2157" s="35">
        <f>IFERROR(__xludf.DUMMYFUNCTION("""COMPUTED_VALUE"""),20.2258701856233)</f>
        <v>20.22587019</v>
      </c>
      <c r="P2157" s="35">
        <f>IFERROR(__xludf.DUMMYFUNCTION("""COMPUTED_VALUE"""),8292.0)</f>
        <v>8292</v>
      </c>
      <c r="Q2157" s="35">
        <f>IFERROR(__xludf.DUMMYFUNCTION("""COMPUTED_VALUE"""),40997.0)</f>
        <v>40997</v>
      </c>
    </row>
    <row r="2158">
      <c r="A2158" s="35">
        <f>IFERROR(__xludf.DUMMYFUNCTION("""COMPUTED_VALUE"""),2276.0)</f>
        <v>2276</v>
      </c>
      <c r="B2158" s="35" t="str">
        <f>IFERROR(__xludf.DUMMYFUNCTION("""COMPUTED_VALUE"""),"Groups of Strings")</f>
        <v>Groups of Strings</v>
      </c>
      <c r="C2158" s="35" t="str">
        <f>IFERROR(__xludf.DUMMYFUNCTION("""COMPUTED_VALUE"""),"groups-of-strings")</f>
        <v>groups-of-strings</v>
      </c>
      <c r="D2158" s="35" t="b">
        <f>IFERROR(__xludf.DUMMYFUNCTION("""COMPUTED_VALUE"""),FALSE)</f>
        <v>0</v>
      </c>
      <c r="E2158" s="35" t="str">
        <f>IFERROR(__xludf.DUMMYFUNCTION("""COMPUTED_VALUE"""),"Hard")</f>
        <v>Hard</v>
      </c>
      <c r="F2158" s="35">
        <f>IFERROR(__xludf.DUMMYFUNCTION("""COMPUTED_VALUE"""),223.0)</f>
        <v>223</v>
      </c>
      <c r="G2158" s="35">
        <f>IFERROR(__xludf.DUMMYFUNCTION("""COMPUTED_VALUE"""),35.0)</f>
        <v>35</v>
      </c>
      <c r="H2158" s="35" t="str">
        <f>IFERROR(__xludf.DUMMYFUNCTION("""COMPUTED_VALUE"""),"Algorithms")</f>
        <v>Algorithms</v>
      </c>
      <c r="I2158" s="35">
        <f>IFERROR(__xludf.DUMMYFUNCTION("""COMPUTED_VALUE"""),0.238)</f>
        <v>0.238</v>
      </c>
      <c r="J2158" s="35">
        <f>IFERROR(__xludf.DUMMYFUNCTION("""COMPUTED_VALUE"""),2157.0)</f>
        <v>2157</v>
      </c>
      <c r="K2158" s="35" t="b">
        <f>IFERROR(__xludf.DUMMYFUNCTION("""COMPUTED_VALUE"""),FALSE)</f>
        <v>0</v>
      </c>
      <c r="L2158" s="35" t="str">
        <f>IFERROR(__xludf.DUMMYFUNCTION("""COMPUTED_VALUE"""),"String;Bit Manipulation;Union Find;")</f>
        <v>String;Bit Manipulation;Union Find;</v>
      </c>
      <c r="M2158" s="35" t="b">
        <f>IFERROR(__xludf.DUMMYFUNCTION("""COMPUTED_VALUE"""),FALSE)</f>
        <v>0</v>
      </c>
      <c r="N2158" s="35" t="b">
        <f>IFERROR(__xludf.DUMMYFUNCTION("""COMPUTED_VALUE"""),FALSE)</f>
        <v>0</v>
      </c>
      <c r="O2158" s="35">
        <f>IFERROR(__xludf.DUMMYFUNCTION("""COMPUTED_VALUE"""),23.819281811085)</f>
        <v>23.81928181</v>
      </c>
      <c r="P2158" s="35">
        <f>IFERROR(__xludf.DUMMYFUNCTION("""COMPUTED_VALUE"""),4882.0)</f>
        <v>4882</v>
      </c>
      <c r="Q2158" s="35">
        <f>IFERROR(__xludf.DUMMYFUNCTION("""COMPUTED_VALUE"""),20496.0)</f>
        <v>20496</v>
      </c>
    </row>
    <row r="2159">
      <c r="A2159" s="35">
        <f>IFERROR(__xludf.DUMMYFUNCTION("""COMPUTED_VALUE"""),2297.0)</f>
        <v>2297</v>
      </c>
      <c r="B2159" s="35" t="str">
        <f>IFERROR(__xludf.DUMMYFUNCTION("""COMPUTED_VALUE"""),"Amount of New Area Painted Each Day")</f>
        <v>Amount of New Area Painted Each Day</v>
      </c>
      <c r="C2159" s="35" t="str">
        <f>IFERROR(__xludf.DUMMYFUNCTION("""COMPUTED_VALUE"""),"amount-of-new-area-painted-each-day")</f>
        <v>amount-of-new-area-painted-each-day</v>
      </c>
      <c r="D2159" s="35" t="b">
        <f>IFERROR(__xludf.DUMMYFUNCTION("""COMPUTED_VALUE"""),TRUE)</f>
        <v>1</v>
      </c>
      <c r="E2159" s="35" t="str">
        <f>IFERROR(__xludf.DUMMYFUNCTION("""COMPUTED_VALUE"""),"Hard")</f>
        <v>Hard</v>
      </c>
      <c r="F2159" s="35">
        <f>IFERROR(__xludf.DUMMYFUNCTION("""COMPUTED_VALUE"""),37.0)</f>
        <v>37</v>
      </c>
      <c r="G2159" s="35">
        <f>IFERROR(__xludf.DUMMYFUNCTION("""COMPUTED_VALUE"""),7.0)</f>
        <v>7</v>
      </c>
      <c r="H2159" s="35" t="str">
        <f>IFERROR(__xludf.DUMMYFUNCTION("""COMPUTED_VALUE"""),"Algorithms")</f>
        <v>Algorithms</v>
      </c>
      <c r="I2159" s="35">
        <f>IFERROR(__xludf.DUMMYFUNCTION("""COMPUTED_VALUE"""),0.609)</f>
        <v>0.609</v>
      </c>
      <c r="J2159" s="35">
        <f>IFERROR(__xludf.DUMMYFUNCTION("""COMPUTED_VALUE"""),2158.0)</f>
        <v>2158</v>
      </c>
      <c r="K2159" s="35" t="b">
        <f>IFERROR(__xludf.DUMMYFUNCTION("""COMPUTED_VALUE"""),TRUE)</f>
        <v>1</v>
      </c>
      <c r="L2159" s="35" t="str">
        <f>IFERROR(__xludf.DUMMYFUNCTION("""COMPUTED_VALUE"""),"Array;Segment Tree;Ordered Set;")</f>
        <v>Array;Segment Tree;Ordered Set;</v>
      </c>
      <c r="M2159" s="35" t="b">
        <f>IFERROR(__xludf.DUMMYFUNCTION("""COMPUTED_VALUE"""),FALSE)</f>
        <v>0</v>
      </c>
      <c r="N2159" s="35" t="b">
        <f>IFERROR(__xludf.DUMMYFUNCTION("""COMPUTED_VALUE"""),FALSE)</f>
        <v>0</v>
      </c>
      <c r="O2159" s="35">
        <f>IFERROR(__xludf.DUMMYFUNCTION("""COMPUTED_VALUE"""),60.9407811843763)</f>
        <v>60.94078118</v>
      </c>
      <c r="P2159" s="35">
        <f>IFERROR(__xludf.DUMMYFUNCTION("""COMPUTED_VALUE"""),1451.0)</f>
        <v>1451</v>
      </c>
      <c r="Q2159" s="35">
        <f>IFERROR(__xludf.DUMMYFUNCTION("""COMPUTED_VALUE"""),2381.0)</f>
        <v>2381</v>
      </c>
    </row>
    <row r="2160">
      <c r="A2160" s="35">
        <f>IFERROR(__xludf.DUMMYFUNCTION("""COMPUTED_VALUE"""),2302.0)</f>
        <v>2302</v>
      </c>
      <c r="B2160" s="35" t="str">
        <f>IFERROR(__xludf.DUMMYFUNCTION("""COMPUTED_VALUE"""),"Order Two Columns Independently")</f>
        <v>Order Two Columns Independently</v>
      </c>
      <c r="C2160" s="35" t="str">
        <f>IFERROR(__xludf.DUMMYFUNCTION("""COMPUTED_VALUE"""),"order-two-columns-independently")</f>
        <v>order-two-columns-independently</v>
      </c>
      <c r="D2160" s="35" t="b">
        <f>IFERROR(__xludf.DUMMYFUNCTION("""COMPUTED_VALUE"""),TRUE)</f>
        <v>1</v>
      </c>
      <c r="E2160" s="35" t="str">
        <f>IFERROR(__xludf.DUMMYFUNCTION("""COMPUTED_VALUE"""),"Medium")</f>
        <v>Medium</v>
      </c>
      <c r="F2160" s="35">
        <f>IFERROR(__xludf.DUMMYFUNCTION("""COMPUTED_VALUE"""),6.0)</f>
        <v>6</v>
      </c>
      <c r="G2160" s="35">
        <f>IFERROR(__xludf.DUMMYFUNCTION("""COMPUTED_VALUE"""),7.0)</f>
        <v>7</v>
      </c>
      <c r="H2160" s="35" t="str">
        <f>IFERROR(__xludf.DUMMYFUNCTION("""COMPUTED_VALUE"""),"Database")</f>
        <v>Database</v>
      </c>
      <c r="I2160" s="35">
        <f>IFERROR(__xludf.DUMMYFUNCTION("""COMPUTED_VALUE"""),0.624)</f>
        <v>0.624</v>
      </c>
      <c r="J2160" s="35">
        <f>IFERROR(__xludf.DUMMYFUNCTION("""COMPUTED_VALUE"""),2159.0)</f>
        <v>2159</v>
      </c>
      <c r="K2160" s="35" t="b">
        <f>IFERROR(__xludf.DUMMYFUNCTION("""COMPUTED_VALUE"""),TRUE)</f>
        <v>1</v>
      </c>
      <c r="L2160" s="35" t="str">
        <f>IFERROR(__xludf.DUMMYFUNCTION("""COMPUTED_VALUE"""),"Database;")</f>
        <v>Database;</v>
      </c>
      <c r="M2160" s="35" t="b">
        <f>IFERROR(__xludf.DUMMYFUNCTION("""COMPUTED_VALUE"""),FALSE)</f>
        <v>0</v>
      </c>
      <c r="N2160" s="35" t="b">
        <f>IFERROR(__xludf.DUMMYFUNCTION("""COMPUTED_VALUE"""),FALSE)</f>
        <v>0</v>
      </c>
      <c r="O2160" s="35">
        <f>IFERROR(__xludf.DUMMYFUNCTION("""COMPUTED_VALUE"""),62.4213836477987)</f>
        <v>62.42138365</v>
      </c>
      <c r="P2160" s="35">
        <f>IFERROR(__xludf.DUMMYFUNCTION("""COMPUTED_VALUE"""),794.0)</f>
        <v>794</v>
      </c>
      <c r="Q2160" s="35">
        <f>IFERROR(__xludf.DUMMYFUNCTION("""COMPUTED_VALUE"""),1272.0)</f>
        <v>1272</v>
      </c>
    </row>
    <row r="2161">
      <c r="A2161" s="35">
        <f>IFERROR(__xludf.DUMMYFUNCTION("""COMPUTED_VALUE"""),2264.0)</f>
        <v>2264</v>
      </c>
      <c r="B2161" s="35" t="str">
        <f>IFERROR(__xludf.DUMMYFUNCTION("""COMPUTED_VALUE"""),"Minimum Sum of Four Digit Number After Splitting Digits")</f>
        <v>Minimum Sum of Four Digit Number After Splitting Digits</v>
      </c>
      <c r="C2161" s="35" t="str">
        <f>IFERROR(__xludf.DUMMYFUNCTION("""COMPUTED_VALUE"""),"minimum-sum-of-four-digit-number-after-splitting-digits")</f>
        <v>minimum-sum-of-four-digit-number-after-splitting-digits</v>
      </c>
      <c r="D2161" s="35" t="b">
        <f>IFERROR(__xludf.DUMMYFUNCTION("""COMPUTED_VALUE"""),FALSE)</f>
        <v>0</v>
      </c>
      <c r="E2161" s="35" t="str">
        <f>IFERROR(__xludf.DUMMYFUNCTION("""COMPUTED_VALUE"""),"Easy")</f>
        <v>Easy</v>
      </c>
      <c r="F2161" s="35">
        <f>IFERROR(__xludf.DUMMYFUNCTION("""COMPUTED_VALUE"""),238.0)</f>
        <v>238</v>
      </c>
      <c r="G2161" s="35">
        <f>IFERROR(__xludf.DUMMYFUNCTION("""COMPUTED_VALUE"""),24.0)</f>
        <v>24</v>
      </c>
      <c r="H2161" s="35" t="str">
        <f>IFERROR(__xludf.DUMMYFUNCTION("""COMPUTED_VALUE"""),"Algorithms")</f>
        <v>Algorithms</v>
      </c>
      <c r="I2161" s="35">
        <f>IFERROR(__xludf.DUMMYFUNCTION("""COMPUTED_VALUE"""),0.877)</f>
        <v>0.877</v>
      </c>
      <c r="J2161" s="35">
        <f>IFERROR(__xludf.DUMMYFUNCTION("""COMPUTED_VALUE"""),2160.0)</f>
        <v>2160</v>
      </c>
      <c r="K2161" s="35" t="b">
        <f>IFERROR(__xludf.DUMMYFUNCTION("""COMPUTED_VALUE"""),FALSE)</f>
        <v>0</v>
      </c>
      <c r="L2161" s="35" t="str">
        <f>IFERROR(__xludf.DUMMYFUNCTION("""COMPUTED_VALUE"""),"Math;Greedy;Sorting;")</f>
        <v>Math;Greedy;Sorting;</v>
      </c>
      <c r="M2161" s="35" t="b">
        <f>IFERROR(__xludf.DUMMYFUNCTION("""COMPUTED_VALUE"""),FALSE)</f>
        <v>0</v>
      </c>
      <c r="N2161" s="35" t="b">
        <f>IFERROR(__xludf.DUMMYFUNCTION("""COMPUTED_VALUE"""),FALSE)</f>
        <v>0</v>
      </c>
      <c r="O2161" s="35">
        <f>IFERROR(__xludf.DUMMYFUNCTION("""COMPUTED_VALUE"""),87.748508946322)</f>
        <v>87.74850895</v>
      </c>
      <c r="P2161" s="35">
        <f>IFERROR(__xludf.DUMMYFUNCTION("""COMPUTED_VALUE"""),21183.0)</f>
        <v>21183</v>
      </c>
      <c r="Q2161" s="35">
        <f>IFERROR(__xludf.DUMMYFUNCTION("""COMPUTED_VALUE"""),24141.0)</f>
        <v>24141</v>
      </c>
    </row>
    <row r="2162">
      <c r="A2162" s="35">
        <f>IFERROR(__xludf.DUMMYFUNCTION("""COMPUTED_VALUE"""),2265.0)</f>
        <v>2265</v>
      </c>
      <c r="B2162" s="35" t="str">
        <f>IFERROR(__xludf.DUMMYFUNCTION("""COMPUTED_VALUE"""),"Partition Array According to Given Pivot")</f>
        <v>Partition Array According to Given Pivot</v>
      </c>
      <c r="C2162" s="35" t="str">
        <f>IFERROR(__xludf.DUMMYFUNCTION("""COMPUTED_VALUE"""),"partition-array-according-to-given-pivot")</f>
        <v>partition-array-according-to-given-pivot</v>
      </c>
      <c r="D2162" s="35" t="b">
        <f>IFERROR(__xludf.DUMMYFUNCTION("""COMPUTED_VALUE"""),FALSE)</f>
        <v>0</v>
      </c>
      <c r="E2162" s="35" t="str">
        <f>IFERROR(__xludf.DUMMYFUNCTION("""COMPUTED_VALUE"""),"Medium")</f>
        <v>Medium</v>
      </c>
      <c r="F2162" s="35">
        <f>IFERROR(__xludf.DUMMYFUNCTION("""COMPUTED_VALUE"""),176.0)</f>
        <v>176</v>
      </c>
      <c r="G2162" s="35">
        <f>IFERROR(__xludf.DUMMYFUNCTION("""COMPUTED_VALUE"""),15.0)</f>
        <v>15</v>
      </c>
      <c r="H2162" s="35" t="str">
        <f>IFERROR(__xludf.DUMMYFUNCTION("""COMPUTED_VALUE"""),"Algorithms")</f>
        <v>Algorithms</v>
      </c>
      <c r="I2162" s="35">
        <f>IFERROR(__xludf.DUMMYFUNCTION("""COMPUTED_VALUE"""),0.818)</f>
        <v>0.818</v>
      </c>
      <c r="J2162" s="35">
        <f>IFERROR(__xludf.DUMMYFUNCTION("""COMPUTED_VALUE"""),2161.0)</f>
        <v>2161</v>
      </c>
      <c r="K2162" s="35" t="b">
        <f>IFERROR(__xludf.DUMMYFUNCTION("""COMPUTED_VALUE"""),FALSE)</f>
        <v>0</v>
      </c>
      <c r="L2162" s="35" t="str">
        <f>IFERROR(__xludf.DUMMYFUNCTION("""COMPUTED_VALUE"""),"Array;Two Pointers;Simulation;")</f>
        <v>Array;Two Pointers;Simulation;</v>
      </c>
      <c r="M2162" s="35" t="b">
        <f>IFERROR(__xludf.DUMMYFUNCTION("""COMPUTED_VALUE"""),FALSE)</f>
        <v>0</v>
      </c>
      <c r="N2162" s="35" t="b">
        <f>IFERROR(__xludf.DUMMYFUNCTION("""COMPUTED_VALUE"""),FALSE)</f>
        <v>0</v>
      </c>
      <c r="O2162" s="35">
        <f>IFERROR(__xludf.DUMMYFUNCTION("""COMPUTED_VALUE"""),81.8441016241535)</f>
        <v>81.84410162</v>
      </c>
      <c r="P2162" s="35">
        <f>IFERROR(__xludf.DUMMYFUNCTION("""COMPUTED_VALUE"""),16072.0)</f>
        <v>16072</v>
      </c>
      <c r="Q2162" s="35">
        <f>IFERROR(__xludf.DUMMYFUNCTION("""COMPUTED_VALUE"""),19638.0)</f>
        <v>19638</v>
      </c>
    </row>
    <row r="2163">
      <c r="A2163" s="35">
        <f>IFERROR(__xludf.DUMMYFUNCTION("""COMPUTED_VALUE"""),2266.0)</f>
        <v>2266</v>
      </c>
      <c r="B2163" s="35" t="str">
        <f>IFERROR(__xludf.DUMMYFUNCTION("""COMPUTED_VALUE"""),"Minimum Cost to Set Cooking Time")</f>
        <v>Minimum Cost to Set Cooking Time</v>
      </c>
      <c r="C2163" s="35" t="str">
        <f>IFERROR(__xludf.DUMMYFUNCTION("""COMPUTED_VALUE"""),"minimum-cost-to-set-cooking-time")</f>
        <v>minimum-cost-to-set-cooking-time</v>
      </c>
      <c r="D2163" s="35" t="b">
        <f>IFERROR(__xludf.DUMMYFUNCTION("""COMPUTED_VALUE"""),FALSE)</f>
        <v>0</v>
      </c>
      <c r="E2163" s="35" t="str">
        <f>IFERROR(__xludf.DUMMYFUNCTION("""COMPUTED_VALUE"""),"Medium")</f>
        <v>Medium</v>
      </c>
      <c r="F2163" s="35">
        <f>IFERROR(__xludf.DUMMYFUNCTION("""COMPUTED_VALUE"""),125.0)</f>
        <v>125</v>
      </c>
      <c r="G2163" s="35">
        <f>IFERROR(__xludf.DUMMYFUNCTION("""COMPUTED_VALUE"""),387.0)</f>
        <v>387</v>
      </c>
      <c r="H2163" s="35" t="str">
        <f>IFERROR(__xludf.DUMMYFUNCTION("""COMPUTED_VALUE"""),"Algorithms")</f>
        <v>Algorithms</v>
      </c>
      <c r="I2163" s="35">
        <f>IFERROR(__xludf.DUMMYFUNCTION("""COMPUTED_VALUE"""),0.333)</f>
        <v>0.333</v>
      </c>
      <c r="J2163" s="35">
        <f>IFERROR(__xludf.DUMMYFUNCTION("""COMPUTED_VALUE"""),2162.0)</f>
        <v>2162</v>
      </c>
      <c r="K2163" s="35" t="b">
        <f>IFERROR(__xludf.DUMMYFUNCTION("""COMPUTED_VALUE"""),FALSE)</f>
        <v>0</v>
      </c>
      <c r="L2163" s="35" t="str">
        <f>IFERROR(__xludf.DUMMYFUNCTION("""COMPUTED_VALUE"""),"Math;Enumeration;")</f>
        <v>Math;Enumeration;</v>
      </c>
      <c r="M2163" s="35" t="b">
        <f>IFERROR(__xludf.DUMMYFUNCTION("""COMPUTED_VALUE"""),FALSE)</f>
        <v>0</v>
      </c>
      <c r="N2163" s="35" t="b">
        <f>IFERROR(__xludf.DUMMYFUNCTION("""COMPUTED_VALUE"""),FALSE)</f>
        <v>0</v>
      </c>
      <c r="O2163" s="35">
        <f>IFERROR(__xludf.DUMMYFUNCTION("""COMPUTED_VALUE"""),33.2782055920202)</f>
        <v>33.27820559</v>
      </c>
      <c r="P2163" s="35">
        <f>IFERROR(__xludf.DUMMYFUNCTION("""COMPUTED_VALUE"""),6439.0)</f>
        <v>6439</v>
      </c>
      <c r="Q2163" s="35">
        <f>IFERROR(__xludf.DUMMYFUNCTION("""COMPUTED_VALUE"""),19349.0)</f>
        <v>19349</v>
      </c>
    </row>
    <row r="2164">
      <c r="A2164" s="35">
        <f>IFERROR(__xludf.DUMMYFUNCTION("""COMPUTED_VALUE"""),2267.0)</f>
        <v>2267</v>
      </c>
      <c r="B2164" s="35" t="str">
        <f>IFERROR(__xludf.DUMMYFUNCTION("""COMPUTED_VALUE"""),"Minimum Difference in Sums After Removal of Elements")</f>
        <v>Minimum Difference in Sums After Removal of Elements</v>
      </c>
      <c r="C2164" s="35" t="str">
        <f>IFERROR(__xludf.DUMMYFUNCTION("""COMPUTED_VALUE"""),"minimum-difference-in-sums-after-removal-of-elements")</f>
        <v>minimum-difference-in-sums-after-removal-of-elements</v>
      </c>
      <c r="D2164" s="35" t="b">
        <f>IFERROR(__xludf.DUMMYFUNCTION("""COMPUTED_VALUE"""),FALSE)</f>
        <v>0</v>
      </c>
      <c r="E2164" s="35" t="str">
        <f>IFERROR(__xludf.DUMMYFUNCTION("""COMPUTED_VALUE"""),"Hard")</f>
        <v>Hard</v>
      </c>
      <c r="F2164" s="35">
        <f>IFERROR(__xludf.DUMMYFUNCTION("""COMPUTED_VALUE"""),304.0)</f>
        <v>304</v>
      </c>
      <c r="G2164" s="35">
        <f>IFERROR(__xludf.DUMMYFUNCTION("""COMPUTED_VALUE"""),5.0)</f>
        <v>5</v>
      </c>
      <c r="H2164" s="35" t="str">
        <f>IFERROR(__xludf.DUMMYFUNCTION("""COMPUTED_VALUE"""),"Algorithms")</f>
        <v>Algorithms</v>
      </c>
      <c r="I2164" s="35">
        <f>IFERROR(__xludf.DUMMYFUNCTION("""COMPUTED_VALUE"""),0.456)</f>
        <v>0.456</v>
      </c>
      <c r="J2164" s="35">
        <f>IFERROR(__xludf.DUMMYFUNCTION("""COMPUTED_VALUE"""),2163.0)</f>
        <v>2163</v>
      </c>
      <c r="K2164" s="35" t="b">
        <f>IFERROR(__xludf.DUMMYFUNCTION("""COMPUTED_VALUE"""),FALSE)</f>
        <v>0</v>
      </c>
      <c r="L2164" s="35" t="str">
        <f>IFERROR(__xludf.DUMMYFUNCTION("""COMPUTED_VALUE"""),"Array;Dynamic Programming;Heap (Priority Queue);")</f>
        <v>Array;Dynamic Programming;Heap (Priority Queue);</v>
      </c>
      <c r="M2164" s="35" t="b">
        <f>IFERROR(__xludf.DUMMYFUNCTION("""COMPUTED_VALUE"""),FALSE)</f>
        <v>0</v>
      </c>
      <c r="N2164" s="35" t="b">
        <f>IFERROR(__xludf.DUMMYFUNCTION("""COMPUTED_VALUE"""),FALSE)</f>
        <v>0</v>
      </c>
      <c r="O2164" s="35">
        <f>IFERROR(__xludf.DUMMYFUNCTION("""COMPUTED_VALUE"""),45.5500159117428)</f>
        <v>45.55001591</v>
      </c>
      <c r="P2164" s="35">
        <f>IFERROR(__xludf.DUMMYFUNCTION("""COMPUTED_VALUE"""),4294.0)</f>
        <v>4294</v>
      </c>
      <c r="Q2164" s="35">
        <f>IFERROR(__xludf.DUMMYFUNCTION("""COMPUTED_VALUE"""),9427.0)</f>
        <v>9427</v>
      </c>
    </row>
    <row r="2165">
      <c r="A2165" s="35">
        <f>IFERROR(__xludf.DUMMYFUNCTION("""COMPUTED_VALUE"""),2283.0)</f>
        <v>2283</v>
      </c>
      <c r="B2165" s="35" t="str">
        <f>IFERROR(__xludf.DUMMYFUNCTION("""COMPUTED_VALUE"""),"Sort Even and Odd Indices Independently")</f>
        <v>Sort Even and Odd Indices Independently</v>
      </c>
      <c r="C2165" s="35" t="str">
        <f>IFERROR(__xludf.DUMMYFUNCTION("""COMPUTED_VALUE"""),"sort-even-and-odd-indices-independently")</f>
        <v>sort-even-and-odd-indices-independently</v>
      </c>
      <c r="D2165" s="35" t="b">
        <f>IFERROR(__xludf.DUMMYFUNCTION("""COMPUTED_VALUE"""),FALSE)</f>
        <v>0</v>
      </c>
      <c r="E2165" s="35" t="str">
        <f>IFERROR(__xludf.DUMMYFUNCTION("""COMPUTED_VALUE"""),"Easy")</f>
        <v>Easy</v>
      </c>
      <c r="F2165" s="35">
        <f>IFERROR(__xludf.DUMMYFUNCTION("""COMPUTED_VALUE"""),214.0)</f>
        <v>214</v>
      </c>
      <c r="G2165" s="35">
        <f>IFERROR(__xludf.DUMMYFUNCTION("""COMPUTED_VALUE"""),10.0)</f>
        <v>10</v>
      </c>
      <c r="H2165" s="35" t="str">
        <f>IFERROR(__xludf.DUMMYFUNCTION("""COMPUTED_VALUE"""),"Algorithms")</f>
        <v>Algorithms</v>
      </c>
      <c r="I2165" s="35">
        <f>IFERROR(__xludf.DUMMYFUNCTION("""COMPUTED_VALUE"""),0.678)</f>
        <v>0.678</v>
      </c>
      <c r="J2165" s="35">
        <f>IFERROR(__xludf.DUMMYFUNCTION("""COMPUTED_VALUE"""),2164.0)</f>
        <v>2164</v>
      </c>
      <c r="K2165" s="35" t="b">
        <f>IFERROR(__xludf.DUMMYFUNCTION("""COMPUTED_VALUE"""),FALSE)</f>
        <v>0</v>
      </c>
      <c r="L2165" s="35" t="str">
        <f>IFERROR(__xludf.DUMMYFUNCTION("""COMPUTED_VALUE"""),"Array;Sorting;")</f>
        <v>Array;Sorting;</v>
      </c>
      <c r="M2165" s="35" t="b">
        <f>IFERROR(__xludf.DUMMYFUNCTION("""COMPUTED_VALUE"""),FALSE)</f>
        <v>0</v>
      </c>
      <c r="N2165" s="35" t="b">
        <f>IFERROR(__xludf.DUMMYFUNCTION("""COMPUTED_VALUE"""),FALSE)</f>
        <v>0</v>
      </c>
      <c r="O2165" s="35">
        <f>IFERROR(__xludf.DUMMYFUNCTION("""COMPUTED_VALUE"""),67.7621815483551)</f>
        <v>67.76218155</v>
      </c>
      <c r="P2165" s="35">
        <f>IFERROR(__xludf.DUMMYFUNCTION("""COMPUTED_VALUE"""),21915.0)</f>
        <v>21915</v>
      </c>
      <c r="Q2165" s="35">
        <f>IFERROR(__xludf.DUMMYFUNCTION("""COMPUTED_VALUE"""),32342.0)</f>
        <v>32342</v>
      </c>
    </row>
    <row r="2166">
      <c r="A2166" s="35">
        <f>IFERROR(__xludf.DUMMYFUNCTION("""COMPUTED_VALUE"""),2284.0)</f>
        <v>2284</v>
      </c>
      <c r="B2166" s="35" t="str">
        <f>IFERROR(__xludf.DUMMYFUNCTION("""COMPUTED_VALUE"""),"Smallest Value of the Rearranged Number")</f>
        <v>Smallest Value of the Rearranged Number</v>
      </c>
      <c r="C2166" s="35" t="str">
        <f>IFERROR(__xludf.DUMMYFUNCTION("""COMPUTED_VALUE"""),"smallest-value-of-the-rearranged-number")</f>
        <v>smallest-value-of-the-rearranged-number</v>
      </c>
      <c r="D2166" s="35" t="b">
        <f>IFERROR(__xludf.DUMMYFUNCTION("""COMPUTED_VALUE"""),FALSE)</f>
        <v>0</v>
      </c>
      <c r="E2166" s="35" t="str">
        <f>IFERROR(__xludf.DUMMYFUNCTION("""COMPUTED_VALUE"""),"Medium")</f>
        <v>Medium</v>
      </c>
      <c r="F2166" s="35">
        <f>IFERROR(__xludf.DUMMYFUNCTION("""COMPUTED_VALUE"""),264.0)</f>
        <v>264</v>
      </c>
      <c r="G2166" s="35">
        <f>IFERROR(__xludf.DUMMYFUNCTION("""COMPUTED_VALUE"""),8.0)</f>
        <v>8</v>
      </c>
      <c r="H2166" s="35" t="str">
        <f>IFERROR(__xludf.DUMMYFUNCTION("""COMPUTED_VALUE"""),"Algorithms")</f>
        <v>Algorithms</v>
      </c>
      <c r="I2166" s="35">
        <f>IFERROR(__xludf.DUMMYFUNCTION("""COMPUTED_VALUE"""),0.505)</f>
        <v>0.505</v>
      </c>
      <c r="J2166" s="35">
        <f>IFERROR(__xludf.DUMMYFUNCTION("""COMPUTED_VALUE"""),2165.0)</f>
        <v>2165</v>
      </c>
      <c r="K2166" s="35" t="b">
        <f>IFERROR(__xludf.DUMMYFUNCTION("""COMPUTED_VALUE"""),FALSE)</f>
        <v>0</v>
      </c>
      <c r="L2166" s="35" t="str">
        <f>IFERROR(__xludf.DUMMYFUNCTION("""COMPUTED_VALUE"""),"Math;Sorting;")</f>
        <v>Math;Sorting;</v>
      </c>
      <c r="M2166" s="35" t="b">
        <f>IFERROR(__xludf.DUMMYFUNCTION("""COMPUTED_VALUE"""),FALSE)</f>
        <v>0</v>
      </c>
      <c r="N2166" s="35" t="b">
        <f>IFERROR(__xludf.DUMMYFUNCTION("""COMPUTED_VALUE"""),FALSE)</f>
        <v>0</v>
      </c>
      <c r="O2166" s="35">
        <f>IFERROR(__xludf.DUMMYFUNCTION("""COMPUTED_VALUE"""),50.493176597757)</f>
        <v>50.4931766</v>
      </c>
      <c r="P2166" s="35">
        <f>IFERROR(__xludf.DUMMYFUNCTION("""COMPUTED_VALUE"""),18685.0)</f>
        <v>18685</v>
      </c>
      <c r="Q2166" s="35">
        <f>IFERROR(__xludf.DUMMYFUNCTION("""COMPUTED_VALUE"""),37005.0)</f>
        <v>37005</v>
      </c>
    </row>
    <row r="2167">
      <c r="A2167" s="35">
        <f>IFERROR(__xludf.DUMMYFUNCTION("""COMPUTED_VALUE"""),2285.0)</f>
        <v>2285</v>
      </c>
      <c r="B2167" s="35" t="str">
        <f>IFERROR(__xludf.DUMMYFUNCTION("""COMPUTED_VALUE"""),"Design Bitset")</f>
        <v>Design Bitset</v>
      </c>
      <c r="C2167" s="35" t="str">
        <f>IFERROR(__xludf.DUMMYFUNCTION("""COMPUTED_VALUE"""),"design-bitset")</f>
        <v>design-bitset</v>
      </c>
      <c r="D2167" s="35" t="b">
        <f>IFERROR(__xludf.DUMMYFUNCTION("""COMPUTED_VALUE"""),FALSE)</f>
        <v>0</v>
      </c>
      <c r="E2167" s="35" t="str">
        <f>IFERROR(__xludf.DUMMYFUNCTION("""COMPUTED_VALUE"""),"Medium")</f>
        <v>Medium</v>
      </c>
      <c r="F2167" s="35">
        <f>IFERROR(__xludf.DUMMYFUNCTION("""COMPUTED_VALUE"""),340.0)</f>
        <v>340</v>
      </c>
      <c r="G2167" s="35">
        <f>IFERROR(__xludf.DUMMYFUNCTION("""COMPUTED_VALUE"""),31.0)</f>
        <v>31</v>
      </c>
      <c r="H2167" s="35" t="str">
        <f>IFERROR(__xludf.DUMMYFUNCTION("""COMPUTED_VALUE"""),"Algorithms")</f>
        <v>Algorithms</v>
      </c>
      <c r="I2167" s="35">
        <f>IFERROR(__xludf.DUMMYFUNCTION("""COMPUTED_VALUE"""),0.288)</f>
        <v>0.288</v>
      </c>
      <c r="J2167" s="35">
        <f>IFERROR(__xludf.DUMMYFUNCTION("""COMPUTED_VALUE"""),2166.0)</f>
        <v>2166</v>
      </c>
      <c r="K2167" s="35" t="b">
        <f>IFERROR(__xludf.DUMMYFUNCTION("""COMPUTED_VALUE"""),FALSE)</f>
        <v>0</v>
      </c>
      <c r="L2167" s="35" t="str">
        <f>IFERROR(__xludf.DUMMYFUNCTION("""COMPUTED_VALUE"""),"Array;Hash Table;Design;")</f>
        <v>Array;Hash Table;Design;</v>
      </c>
      <c r="M2167" s="35" t="b">
        <f>IFERROR(__xludf.DUMMYFUNCTION("""COMPUTED_VALUE"""),FALSE)</f>
        <v>0</v>
      </c>
      <c r="N2167" s="35" t="b">
        <f>IFERROR(__xludf.DUMMYFUNCTION("""COMPUTED_VALUE"""),FALSE)</f>
        <v>0</v>
      </c>
      <c r="O2167" s="35">
        <f>IFERROR(__xludf.DUMMYFUNCTION("""COMPUTED_VALUE"""),28.8250370335535)</f>
        <v>28.82503703</v>
      </c>
      <c r="P2167" s="35">
        <f>IFERROR(__xludf.DUMMYFUNCTION("""COMPUTED_VALUE"""),12258.0)</f>
        <v>12258</v>
      </c>
      <c r="Q2167" s="35">
        <f>IFERROR(__xludf.DUMMYFUNCTION("""COMPUTED_VALUE"""),42528.0)</f>
        <v>42528</v>
      </c>
    </row>
    <row r="2168">
      <c r="A2168" s="35">
        <f>IFERROR(__xludf.DUMMYFUNCTION("""COMPUTED_VALUE"""),2286.0)</f>
        <v>2286</v>
      </c>
      <c r="B2168" s="35" t="str">
        <f>IFERROR(__xludf.DUMMYFUNCTION("""COMPUTED_VALUE"""),"Minimum Time to Remove All Cars Containing Illegal Goods")</f>
        <v>Minimum Time to Remove All Cars Containing Illegal Goods</v>
      </c>
      <c r="C2168" s="35" t="str">
        <f>IFERROR(__xludf.DUMMYFUNCTION("""COMPUTED_VALUE"""),"minimum-time-to-remove-all-cars-containing-illegal-goods")</f>
        <v>minimum-time-to-remove-all-cars-containing-illegal-goods</v>
      </c>
      <c r="D2168" s="35" t="b">
        <f>IFERROR(__xludf.DUMMYFUNCTION("""COMPUTED_VALUE"""),FALSE)</f>
        <v>0</v>
      </c>
      <c r="E2168" s="35" t="str">
        <f>IFERROR(__xludf.DUMMYFUNCTION("""COMPUTED_VALUE"""),"Hard")</f>
        <v>Hard</v>
      </c>
      <c r="F2168" s="35">
        <f>IFERROR(__xludf.DUMMYFUNCTION("""COMPUTED_VALUE"""),442.0)</f>
        <v>442</v>
      </c>
      <c r="G2168" s="35">
        <f>IFERROR(__xludf.DUMMYFUNCTION("""COMPUTED_VALUE"""),7.0)</f>
        <v>7</v>
      </c>
      <c r="H2168" s="35" t="str">
        <f>IFERROR(__xludf.DUMMYFUNCTION("""COMPUTED_VALUE"""),"Algorithms")</f>
        <v>Algorithms</v>
      </c>
      <c r="I2168" s="35">
        <f>IFERROR(__xludf.DUMMYFUNCTION("""COMPUTED_VALUE"""),0.386)</f>
        <v>0.386</v>
      </c>
      <c r="J2168" s="35">
        <f>IFERROR(__xludf.DUMMYFUNCTION("""COMPUTED_VALUE"""),2167.0)</f>
        <v>2167</v>
      </c>
      <c r="K2168" s="35" t="b">
        <f>IFERROR(__xludf.DUMMYFUNCTION("""COMPUTED_VALUE"""),FALSE)</f>
        <v>0</v>
      </c>
      <c r="L2168" s="35" t="str">
        <f>IFERROR(__xludf.DUMMYFUNCTION("""COMPUTED_VALUE"""),"String;Dynamic Programming;")</f>
        <v>String;Dynamic Programming;</v>
      </c>
      <c r="M2168" s="35" t="b">
        <f>IFERROR(__xludf.DUMMYFUNCTION("""COMPUTED_VALUE"""),FALSE)</f>
        <v>0</v>
      </c>
      <c r="N2168" s="35" t="b">
        <f>IFERROR(__xludf.DUMMYFUNCTION("""COMPUTED_VALUE"""),FALSE)</f>
        <v>0</v>
      </c>
      <c r="O2168" s="35">
        <f>IFERROR(__xludf.DUMMYFUNCTION("""COMPUTED_VALUE"""),38.6356441911997)</f>
        <v>38.63564419</v>
      </c>
      <c r="P2168" s="35">
        <f>IFERROR(__xludf.DUMMYFUNCTION("""COMPUTED_VALUE"""),7323.0)</f>
        <v>7323</v>
      </c>
      <c r="Q2168" s="35">
        <f>IFERROR(__xludf.DUMMYFUNCTION("""COMPUTED_VALUE"""),18954.0)</f>
        <v>18954</v>
      </c>
    </row>
    <row r="2169">
      <c r="A2169" s="35">
        <f>IFERROR(__xludf.DUMMYFUNCTION("""COMPUTED_VALUE"""),2303.0)</f>
        <v>2303</v>
      </c>
      <c r="B2169" s="35" t="str">
        <f>IFERROR(__xludf.DUMMYFUNCTION("""COMPUTED_VALUE"""),"Unique Substrings With Equal Digit Frequency")</f>
        <v>Unique Substrings With Equal Digit Frequency</v>
      </c>
      <c r="C2169" s="35" t="str">
        <f>IFERROR(__xludf.DUMMYFUNCTION("""COMPUTED_VALUE"""),"unique-substrings-with-equal-digit-frequency")</f>
        <v>unique-substrings-with-equal-digit-frequency</v>
      </c>
      <c r="D2169" s="35" t="b">
        <f>IFERROR(__xludf.DUMMYFUNCTION("""COMPUTED_VALUE"""),TRUE)</f>
        <v>1</v>
      </c>
      <c r="E2169" s="35" t="str">
        <f>IFERROR(__xludf.DUMMYFUNCTION("""COMPUTED_VALUE"""),"Medium")</f>
        <v>Medium</v>
      </c>
      <c r="F2169" s="35">
        <f>IFERROR(__xludf.DUMMYFUNCTION("""COMPUTED_VALUE"""),20.0)</f>
        <v>20</v>
      </c>
      <c r="G2169" s="35">
        <f>IFERROR(__xludf.DUMMYFUNCTION("""COMPUTED_VALUE"""),3.0)</f>
        <v>3</v>
      </c>
      <c r="H2169" s="35" t="str">
        <f>IFERROR(__xludf.DUMMYFUNCTION("""COMPUTED_VALUE"""),"Algorithms")</f>
        <v>Algorithms</v>
      </c>
      <c r="I2169" s="35">
        <f>IFERROR(__xludf.DUMMYFUNCTION("""COMPUTED_VALUE"""),0.58)</f>
        <v>0.58</v>
      </c>
      <c r="J2169" s="35">
        <f>IFERROR(__xludf.DUMMYFUNCTION("""COMPUTED_VALUE"""),2168.0)</f>
        <v>2168</v>
      </c>
      <c r="K2169" s="35" t="b">
        <f>IFERROR(__xludf.DUMMYFUNCTION("""COMPUTED_VALUE"""),TRUE)</f>
        <v>1</v>
      </c>
      <c r="L2169" s="35" t="str">
        <f>IFERROR(__xludf.DUMMYFUNCTION("""COMPUTED_VALUE"""),"Hash Table;String;Rolling Hash;Counting;Hash Function;")</f>
        <v>Hash Table;String;Rolling Hash;Counting;Hash Function;</v>
      </c>
      <c r="M2169" s="35" t="b">
        <f>IFERROR(__xludf.DUMMYFUNCTION("""COMPUTED_VALUE"""),FALSE)</f>
        <v>0</v>
      </c>
      <c r="N2169" s="35" t="b">
        <f>IFERROR(__xludf.DUMMYFUNCTION("""COMPUTED_VALUE"""),FALSE)</f>
        <v>0</v>
      </c>
      <c r="O2169" s="35">
        <f>IFERROR(__xludf.DUMMYFUNCTION("""COMPUTED_VALUE"""),58.0246913580247)</f>
        <v>58.02469136</v>
      </c>
      <c r="P2169" s="35">
        <f>IFERROR(__xludf.DUMMYFUNCTION("""COMPUTED_VALUE"""),611.0)</f>
        <v>611</v>
      </c>
      <c r="Q2169" s="35">
        <f>IFERROR(__xludf.DUMMYFUNCTION("""COMPUTED_VALUE"""),1053.0)</f>
        <v>1053</v>
      </c>
    </row>
    <row r="2170">
      <c r="A2170" s="35">
        <f>IFERROR(__xludf.DUMMYFUNCTION("""COMPUTED_VALUE"""),2288.0)</f>
        <v>2288</v>
      </c>
      <c r="B2170" s="35" t="str">
        <f>IFERROR(__xludf.DUMMYFUNCTION("""COMPUTED_VALUE"""),"Count Operations to Obtain Zero")</f>
        <v>Count Operations to Obtain Zero</v>
      </c>
      <c r="C2170" s="35" t="str">
        <f>IFERROR(__xludf.DUMMYFUNCTION("""COMPUTED_VALUE"""),"count-operations-to-obtain-zero")</f>
        <v>count-operations-to-obtain-zero</v>
      </c>
      <c r="D2170" s="35" t="b">
        <f>IFERROR(__xludf.DUMMYFUNCTION("""COMPUTED_VALUE"""),FALSE)</f>
        <v>0</v>
      </c>
      <c r="E2170" s="35" t="str">
        <f>IFERROR(__xludf.DUMMYFUNCTION("""COMPUTED_VALUE"""),"Easy")</f>
        <v>Easy</v>
      </c>
      <c r="F2170" s="35">
        <f>IFERROR(__xludf.DUMMYFUNCTION("""COMPUTED_VALUE"""),178.0)</f>
        <v>178</v>
      </c>
      <c r="G2170" s="35">
        <f>IFERROR(__xludf.DUMMYFUNCTION("""COMPUTED_VALUE"""),4.0)</f>
        <v>4</v>
      </c>
      <c r="H2170" s="35" t="str">
        <f>IFERROR(__xludf.DUMMYFUNCTION("""COMPUTED_VALUE"""),"Algorithms")</f>
        <v>Algorithms</v>
      </c>
      <c r="I2170" s="35">
        <f>IFERROR(__xludf.DUMMYFUNCTION("""COMPUTED_VALUE"""),0.751)</f>
        <v>0.751</v>
      </c>
      <c r="J2170" s="35">
        <f>IFERROR(__xludf.DUMMYFUNCTION("""COMPUTED_VALUE"""),2169.0)</f>
        <v>2169</v>
      </c>
      <c r="K2170" s="35" t="b">
        <f>IFERROR(__xludf.DUMMYFUNCTION("""COMPUTED_VALUE"""),FALSE)</f>
        <v>0</v>
      </c>
      <c r="L2170" s="35" t="str">
        <f>IFERROR(__xludf.DUMMYFUNCTION("""COMPUTED_VALUE"""),"Math;Simulation;")</f>
        <v>Math;Simulation;</v>
      </c>
      <c r="M2170" s="35" t="b">
        <f>IFERROR(__xludf.DUMMYFUNCTION("""COMPUTED_VALUE"""),FALSE)</f>
        <v>0</v>
      </c>
      <c r="N2170" s="35" t="b">
        <f>IFERROR(__xludf.DUMMYFUNCTION("""COMPUTED_VALUE"""),FALSE)</f>
        <v>0</v>
      </c>
      <c r="O2170" s="35">
        <f>IFERROR(__xludf.DUMMYFUNCTION("""COMPUTED_VALUE"""),75.1132606832374)</f>
        <v>75.11326068</v>
      </c>
      <c r="P2170" s="35">
        <f>IFERROR(__xludf.DUMMYFUNCTION("""COMPUTED_VALUE"""),24538.0)</f>
        <v>24538</v>
      </c>
      <c r="Q2170" s="35">
        <f>IFERROR(__xludf.DUMMYFUNCTION("""COMPUTED_VALUE"""),32668.0)</f>
        <v>32668</v>
      </c>
    </row>
    <row r="2171">
      <c r="A2171" s="35">
        <f>IFERROR(__xludf.DUMMYFUNCTION("""COMPUTED_VALUE"""),2289.0)</f>
        <v>2289</v>
      </c>
      <c r="B2171" s="35" t="str">
        <f>IFERROR(__xludf.DUMMYFUNCTION("""COMPUTED_VALUE"""),"Minimum Operations to Make the Array Alternating")</f>
        <v>Minimum Operations to Make the Array Alternating</v>
      </c>
      <c r="C2171" s="35" t="str">
        <f>IFERROR(__xludf.DUMMYFUNCTION("""COMPUTED_VALUE"""),"minimum-operations-to-make-the-array-alternating")</f>
        <v>minimum-operations-to-make-the-array-alternating</v>
      </c>
      <c r="D2171" s="35" t="b">
        <f>IFERROR(__xludf.DUMMYFUNCTION("""COMPUTED_VALUE"""),FALSE)</f>
        <v>0</v>
      </c>
      <c r="E2171" s="35" t="str">
        <f>IFERROR(__xludf.DUMMYFUNCTION("""COMPUTED_VALUE"""),"Medium")</f>
        <v>Medium</v>
      </c>
      <c r="F2171" s="35">
        <f>IFERROR(__xludf.DUMMYFUNCTION("""COMPUTED_VALUE"""),315.0)</f>
        <v>315</v>
      </c>
      <c r="G2171" s="35">
        <f>IFERROR(__xludf.DUMMYFUNCTION("""COMPUTED_VALUE"""),247.0)</f>
        <v>247</v>
      </c>
      <c r="H2171" s="35" t="str">
        <f>IFERROR(__xludf.DUMMYFUNCTION("""COMPUTED_VALUE"""),"Algorithms")</f>
        <v>Algorithms</v>
      </c>
      <c r="I2171" s="35">
        <f>IFERROR(__xludf.DUMMYFUNCTION("""COMPUTED_VALUE"""),0.326)</f>
        <v>0.326</v>
      </c>
      <c r="J2171" s="35">
        <f>IFERROR(__xludf.DUMMYFUNCTION("""COMPUTED_VALUE"""),2170.0)</f>
        <v>2170</v>
      </c>
      <c r="K2171" s="35" t="b">
        <f>IFERROR(__xludf.DUMMYFUNCTION("""COMPUTED_VALUE"""),FALSE)</f>
        <v>0</v>
      </c>
      <c r="L2171" s="35" t="str">
        <f>IFERROR(__xludf.DUMMYFUNCTION("""COMPUTED_VALUE"""),"Array;Hash Table;Greedy;Counting;")</f>
        <v>Array;Hash Table;Greedy;Counting;</v>
      </c>
      <c r="M2171" s="35" t="b">
        <f>IFERROR(__xludf.DUMMYFUNCTION("""COMPUTED_VALUE"""),FALSE)</f>
        <v>0</v>
      </c>
      <c r="N2171" s="35" t="b">
        <f>IFERROR(__xludf.DUMMYFUNCTION("""COMPUTED_VALUE"""),FALSE)</f>
        <v>0</v>
      </c>
      <c r="O2171" s="35">
        <f>IFERROR(__xludf.DUMMYFUNCTION("""COMPUTED_VALUE"""),32.565909090909)</f>
        <v>32.56590909</v>
      </c>
      <c r="P2171" s="35">
        <f>IFERROR(__xludf.DUMMYFUNCTION("""COMPUTED_VALUE"""),14329.0)</f>
        <v>14329</v>
      </c>
      <c r="Q2171" s="35">
        <f>IFERROR(__xludf.DUMMYFUNCTION("""COMPUTED_VALUE"""),44000.0)</f>
        <v>44000</v>
      </c>
    </row>
    <row r="2172">
      <c r="A2172" s="35">
        <f>IFERROR(__xludf.DUMMYFUNCTION("""COMPUTED_VALUE"""),2290.0)</f>
        <v>2290</v>
      </c>
      <c r="B2172" s="35" t="str">
        <f>IFERROR(__xludf.DUMMYFUNCTION("""COMPUTED_VALUE"""),"Removing Minimum Number of Magic Beans")</f>
        <v>Removing Minimum Number of Magic Beans</v>
      </c>
      <c r="C2172" s="35" t="str">
        <f>IFERROR(__xludf.DUMMYFUNCTION("""COMPUTED_VALUE"""),"removing-minimum-number-of-magic-beans")</f>
        <v>removing-minimum-number-of-magic-beans</v>
      </c>
      <c r="D2172" s="35" t="b">
        <f>IFERROR(__xludf.DUMMYFUNCTION("""COMPUTED_VALUE"""),FALSE)</f>
        <v>0</v>
      </c>
      <c r="E2172" s="35" t="str">
        <f>IFERROR(__xludf.DUMMYFUNCTION("""COMPUTED_VALUE"""),"Medium")</f>
        <v>Medium</v>
      </c>
      <c r="F2172" s="35">
        <f>IFERROR(__xludf.DUMMYFUNCTION("""COMPUTED_VALUE"""),416.0)</f>
        <v>416</v>
      </c>
      <c r="G2172" s="35">
        <f>IFERROR(__xludf.DUMMYFUNCTION("""COMPUTED_VALUE"""),26.0)</f>
        <v>26</v>
      </c>
      <c r="H2172" s="35" t="str">
        <f>IFERROR(__xludf.DUMMYFUNCTION("""COMPUTED_VALUE"""),"Algorithms")</f>
        <v>Algorithms</v>
      </c>
      <c r="I2172" s="35">
        <f>IFERROR(__xludf.DUMMYFUNCTION("""COMPUTED_VALUE"""),0.407)</f>
        <v>0.407</v>
      </c>
      <c r="J2172" s="35">
        <f>IFERROR(__xludf.DUMMYFUNCTION("""COMPUTED_VALUE"""),2171.0)</f>
        <v>2171</v>
      </c>
      <c r="K2172" s="35" t="b">
        <f>IFERROR(__xludf.DUMMYFUNCTION("""COMPUTED_VALUE"""),FALSE)</f>
        <v>0</v>
      </c>
      <c r="L2172" s="35" t="str">
        <f>IFERROR(__xludf.DUMMYFUNCTION("""COMPUTED_VALUE"""),"Array;Sorting;Prefix Sum;")</f>
        <v>Array;Sorting;Prefix Sum;</v>
      </c>
      <c r="M2172" s="35" t="b">
        <f>IFERROR(__xludf.DUMMYFUNCTION("""COMPUTED_VALUE"""),FALSE)</f>
        <v>0</v>
      </c>
      <c r="N2172" s="35" t="b">
        <f>IFERROR(__xludf.DUMMYFUNCTION("""COMPUTED_VALUE"""),FALSE)</f>
        <v>0</v>
      </c>
      <c r="O2172" s="35">
        <f>IFERROR(__xludf.DUMMYFUNCTION("""COMPUTED_VALUE"""),40.6896120931975)</f>
        <v>40.68961209</v>
      </c>
      <c r="P2172" s="35">
        <f>IFERROR(__xludf.DUMMYFUNCTION("""COMPUTED_VALUE"""),13028.0)</f>
        <v>13028</v>
      </c>
      <c r="Q2172" s="35">
        <f>IFERROR(__xludf.DUMMYFUNCTION("""COMPUTED_VALUE"""),32018.0)</f>
        <v>32018</v>
      </c>
    </row>
    <row r="2173">
      <c r="A2173" s="35">
        <f>IFERROR(__xludf.DUMMYFUNCTION("""COMPUTED_VALUE"""),2291.0)</f>
        <v>2291</v>
      </c>
      <c r="B2173" s="35" t="str">
        <f>IFERROR(__xludf.DUMMYFUNCTION("""COMPUTED_VALUE"""),"Maximum AND Sum of Array")</f>
        <v>Maximum AND Sum of Array</v>
      </c>
      <c r="C2173" s="35" t="str">
        <f>IFERROR(__xludf.DUMMYFUNCTION("""COMPUTED_VALUE"""),"maximum-and-sum-of-array")</f>
        <v>maximum-and-sum-of-array</v>
      </c>
      <c r="D2173" s="35" t="b">
        <f>IFERROR(__xludf.DUMMYFUNCTION("""COMPUTED_VALUE"""),FALSE)</f>
        <v>0</v>
      </c>
      <c r="E2173" s="35" t="str">
        <f>IFERROR(__xludf.DUMMYFUNCTION("""COMPUTED_VALUE"""),"Hard")</f>
        <v>Hard</v>
      </c>
      <c r="F2173" s="35">
        <f>IFERROR(__xludf.DUMMYFUNCTION("""COMPUTED_VALUE"""),205.0)</f>
        <v>205</v>
      </c>
      <c r="G2173" s="35">
        <f>IFERROR(__xludf.DUMMYFUNCTION("""COMPUTED_VALUE"""),9.0)</f>
        <v>9</v>
      </c>
      <c r="H2173" s="35" t="str">
        <f>IFERROR(__xludf.DUMMYFUNCTION("""COMPUTED_VALUE"""),"Algorithms")</f>
        <v>Algorithms</v>
      </c>
      <c r="I2173" s="35">
        <f>IFERROR(__xludf.DUMMYFUNCTION("""COMPUTED_VALUE"""),0.429)</f>
        <v>0.429</v>
      </c>
      <c r="J2173" s="35">
        <f>IFERROR(__xludf.DUMMYFUNCTION("""COMPUTED_VALUE"""),2172.0)</f>
        <v>2172</v>
      </c>
      <c r="K2173" s="35" t="b">
        <f>IFERROR(__xludf.DUMMYFUNCTION("""COMPUTED_VALUE"""),FALSE)</f>
        <v>0</v>
      </c>
      <c r="L2173" s="35" t="str">
        <f>IFERROR(__xludf.DUMMYFUNCTION("""COMPUTED_VALUE"""),"Array;Dynamic Programming;Bit Manipulation;Bitmask;")</f>
        <v>Array;Dynamic Programming;Bit Manipulation;Bitmask;</v>
      </c>
      <c r="M2173" s="35" t="b">
        <f>IFERROR(__xludf.DUMMYFUNCTION("""COMPUTED_VALUE"""),FALSE)</f>
        <v>0</v>
      </c>
      <c r="N2173" s="35" t="b">
        <f>IFERROR(__xludf.DUMMYFUNCTION("""COMPUTED_VALUE"""),FALSE)</f>
        <v>0</v>
      </c>
      <c r="O2173" s="35">
        <f>IFERROR(__xludf.DUMMYFUNCTION("""COMPUTED_VALUE"""),42.8521465419253)</f>
        <v>42.85214654</v>
      </c>
      <c r="P2173" s="35">
        <f>IFERROR(__xludf.DUMMYFUNCTION("""COMPUTED_VALUE"""),4901.0)</f>
        <v>4901</v>
      </c>
      <c r="Q2173" s="35">
        <f>IFERROR(__xludf.DUMMYFUNCTION("""COMPUTED_VALUE"""),11437.0)</f>
        <v>11437</v>
      </c>
    </row>
    <row r="2174">
      <c r="A2174" s="35">
        <f>IFERROR(__xludf.DUMMYFUNCTION("""COMPUTED_VALUE"""),2313.0)</f>
        <v>2313</v>
      </c>
      <c r="B2174" s="35" t="str">
        <f>IFERROR(__xludf.DUMMYFUNCTION("""COMPUTED_VALUE"""),"Longest Winning Streak")</f>
        <v>Longest Winning Streak</v>
      </c>
      <c r="C2174" s="35" t="str">
        <f>IFERROR(__xludf.DUMMYFUNCTION("""COMPUTED_VALUE"""),"longest-winning-streak")</f>
        <v>longest-winning-streak</v>
      </c>
      <c r="D2174" s="35" t="b">
        <f>IFERROR(__xludf.DUMMYFUNCTION("""COMPUTED_VALUE"""),TRUE)</f>
        <v>1</v>
      </c>
      <c r="E2174" s="35" t="str">
        <f>IFERROR(__xludf.DUMMYFUNCTION("""COMPUTED_VALUE"""),"Hard")</f>
        <v>Hard</v>
      </c>
      <c r="F2174" s="35">
        <f>IFERROR(__xludf.DUMMYFUNCTION("""COMPUTED_VALUE"""),14.0)</f>
        <v>14</v>
      </c>
      <c r="G2174" s="35">
        <f>IFERROR(__xludf.DUMMYFUNCTION("""COMPUTED_VALUE"""),1.0)</f>
        <v>1</v>
      </c>
      <c r="H2174" s="35" t="str">
        <f>IFERROR(__xludf.DUMMYFUNCTION("""COMPUTED_VALUE"""),"Database")</f>
        <v>Database</v>
      </c>
      <c r="I2174" s="35">
        <f>IFERROR(__xludf.DUMMYFUNCTION("""COMPUTED_VALUE"""),0.46)</f>
        <v>0.46</v>
      </c>
      <c r="J2174" s="35">
        <f>IFERROR(__xludf.DUMMYFUNCTION("""COMPUTED_VALUE"""),2173.0)</f>
        <v>2173</v>
      </c>
      <c r="K2174" s="35" t="b">
        <f>IFERROR(__xludf.DUMMYFUNCTION("""COMPUTED_VALUE"""),TRUE)</f>
        <v>1</v>
      </c>
      <c r="L2174" s="35" t="str">
        <f>IFERROR(__xludf.DUMMYFUNCTION("""COMPUTED_VALUE"""),"Database;")</f>
        <v>Database;</v>
      </c>
      <c r="M2174" s="35" t="b">
        <f>IFERROR(__xludf.DUMMYFUNCTION("""COMPUTED_VALUE"""),FALSE)</f>
        <v>0</v>
      </c>
      <c r="N2174" s="35" t="b">
        <f>IFERROR(__xludf.DUMMYFUNCTION("""COMPUTED_VALUE"""),FALSE)</f>
        <v>0</v>
      </c>
      <c r="O2174" s="35">
        <f>IFERROR(__xludf.DUMMYFUNCTION("""COMPUTED_VALUE"""),45.9644322845417)</f>
        <v>45.96443228</v>
      </c>
      <c r="P2174" s="35">
        <f>IFERROR(__xludf.DUMMYFUNCTION("""COMPUTED_VALUE"""),336.0)</f>
        <v>336</v>
      </c>
      <c r="Q2174" s="35">
        <f>IFERROR(__xludf.DUMMYFUNCTION("""COMPUTED_VALUE"""),731.0)</f>
        <v>731</v>
      </c>
    </row>
    <row r="2175">
      <c r="A2175" s="35">
        <f>IFERROR(__xludf.DUMMYFUNCTION("""COMPUTED_VALUE"""),2314.0)</f>
        <v>2314</v>
      </c>
      <c r="B2175" s="35" t="str">
        <f>IFERROR(__xludf.DUMMYFUNCTION("""COMPUTED_VALUE"""),"Remove All Ones With Row and Column Flips II")</f>
        <v>Remove All Ones With Row and Column Flips II</v>
      </c>
      <c r="C2175" s="35" t="str">
        <f>IFERROR(__xludf.DUMMYFUNCTION("""COMPUTED_VALUE"""),"remove-all-ones-with-row-and-column-flips-ii")</f>
        <v>remove-all-ones-with-row-and-column-flips-ii</v>
      </c>
      <c r="D2175" s="35" t="b">
        <f>IFERROR(__xludf.DUMMYFUNCTION("""COMPUTED_VALUE"""),TRUE)</f>
        <v>1</v>
      </c>
      <c r="E2175" s="35" t="str">
        <f>IFERROR(__xludf.DUMMYFUNCTION("""COMPUTED_VALUE"""),"Medium")</f>
        <v>Medium</v>
      </c>
      <c r="F2175" s="35">
        <f>IFERROR(__xludf.DUMMYFUNCTION("""COMPUTED_VALUE"""),19.0)</f>
        <v>19</v>
      </c>
      <c r="G2175" s="35">
        <f>IFERROR(__xludf.DUMMYFUNCTION("""COMPUTED_VALUE"""),1.0)</f>
        <v>1</v>
      </c>
      <c r="H2175" s="35" t="str">
        <f>IFERROR(__xludf.DUMMYFUNCTION("""COMPUTED_VALUE"""),"Algorithms")</f>
        <v>Algorithms</v>
      </c>
      <c r="I2175" s="35">
        <f>IFERROR(__xludf.DUMMYFUNCTION("""COMPUTED_VALUE"""),0.683)</f>
        <v>0.683</v>
      </c>
      <c r="J2175" s="35">
        <f>IFERROR(__xludf.DUMMYFUNCTION("""COMPUTED_VALUE"""),2174.0)</f>
        <v>2174</v>
      </c>
      <c r="K2175" s="35" t="b">
        <f>IFERROR(__xludf.DUMMYFUNCTION("""COMPUTED_VALUE"""),TRUE)</f>
        <v>1</v>
      </c>
      <c r="L2175" s="35" t="str">
        <f>IFERROR(__xludf.DUMMYFUNCTION("""COMPUTED_VALUE"""),"Array;Bit Manipulation;Breadth-First Search;Matrix;")</f>
        <v>Array;Bit Manipulation;Breadth-First Search;Matrix;</v>
      </c>
      <c r="M2175" s="35" t="b">
        <f>IFERROR(__xludf.DUMMYFUNCTION("""COMPUTED_VALUE"""),FALSE)</f>
        <v>0</v>
      </c>
      <c r="N2175" s="35" t="b">
        <f>IFERROR(__xludf.DUMMYFUNCTION("""COMPUTED_VALUE"""),FALSE)</f>
        <v>0</v>
      </c>
      <c r="O2175" s="35">
        <f>IFERROR(__xludf.DUMMYFUNCTION("""COMPUTED_VALUE"""),68.2730923694779)</f>
        <v>68.27309237</v>
      </c>
      <c r="P2175" s="35">
        <f>IFERROR(__xludf.DUMMYFUNCTION("""COMPUTED_VALUE"""),510.0)</f>
        <v>510</v>
      </c>
      <c r="Q2175" s="35">
        <f>IFERROR(__xludf.DUMMYFUNCTION("""COMPUTED_VALUE"""),747.0)</f>
        <v>747</v>
      </c>
    </row>
    <row r="2176">
      <c r="A2176" s="35">
        <f>IFERROR(__xludf.DUMMYFUNCTION("""COMPUTED_VALUE"""),2315.0)</f>
        <v>2315</v>
      </c>
      <c r="B2176" s="35" t="str">
        <f>IFERROR(__xludf.DUMMYFUNCTION("""COMPUTED_VALUE"""),"The Change in Global Rankings")</f>
        <v>The Change in Global Rankings</v>
      </c>
      <c r="C2176" s="35" t="str">
        <f>IFERROR(__xludf.DUMMYFUNCTION("""COMPUTED_VALUE"""),"the-change-in-global-rankings")</f>
        <v>the-change-in-global-rankings</v>
      </c>
      <c r="D2176" s="35" t="b">
        <f>IFERROR(__xludf.DUMMYFUNCTION("""COMPUTED_VALUE"""),TRUE)</f>
        <v>1</v>
      </c>
      <c r="E2176" s="35" t="str">
        <f>IFERROR(__xludf.DUMMYFUNCTION("""COMPUTED_VALUE"""),"Medium")</f>
        <v>Medium</v>
      </c>
      <c r="F2176" s="35">
        <f>IFERROR(__xludf.DUMMYFUNCTION("""COMPUTED_VALUE"""),7.0)</f>
        <v>7</v>
      </c>
      <c r="G2176" s="35">
        <f>IFERROR(__xludf.DUMMYFUNCTION("""COMPUTED_VALUE"""),4.0)</f>
        <v>4</v>
      </c>
      <c r="H2176" s="35" t="str">
        <f>IFERROR(__xludf.DUMMYFUNCTION("""COMPUTED_VALUE"""),"Database")</f>
        <v>Database</v>
      </c>
      <c r="I2176" s="35">
        <f>IFERROR(__xludf.DUMMYFUNCTION("""COMPUTED_VALUE"""),0.632)</f>
        <v>0.632</v>
      </c>
      <c r="J2176" s="35">
        <f>IFERROR(__xludf.DUMMYFUNCTION("""COMPUTED_VALUE"""),2175.0)</f>
        <v>2175</v>
      </c>
      <c r="K2176" s="35" t="b">
        <f>IFERROR(__xludf.DUMMYFUNCTION("""COMPUTED_VALUE"""),TRUE)</f>
        <v>1</v>
      </c>
      <c r="L2176" s="35" t="str">
        <f>IFERROR(__xludf.DUMMYFUNCTION("""COMPUTED_VALUE"""),"Database;")</f>
        <v>Database;</v>
      </c>
      <c r="M2176" s="35" t="b">
        <f>IFERROR(__xludf.DUMMYFUNCTION("""COMPUTED_VALUE"""),FALSE)</f>
        <v>0</v>
      </c>
      <c r="N2176" s="35" t="b">
        <f>IFERROR(__xludf.DUMMYFUNCTION("""COMPUTED_VALUE"""),FALSE)</f>
        <v>0</v>
      </c>
      <c r="O2176" s="35">
        <f>IFERROR(__xludf.DUMMYFUNCTION("""COMPUTED_VALUE"""),63.2630410654827)</f>
        <v>63.26304107</v>
      </c>
      <c r="P2176" s="35">
        <f>IFERROR(__xludf.DUMMYFUNCTION("""COMPUTED_VALUE"""),569.0)</f>
        <v>569</v>
      </c>
      <c r="Q2176" s="35">
        <f>IFERROR(__xludf.DUMMYFUNCTION("""COMPUTED_VALUE"""),900.0)</f>
        <v>900</v>
      </c>
    </row>
    <row r="2177">
      <c r="A2177" s="35">
        <f>IFERROR(__xludf.DUMMYFUNCTION("""COMPUTED_VALUE"""),2277.0)</f>
        <v>2277</v>
      </c>
      <c r="B2177" s="35" t="str">
        <f>IFERROR(__xludf.DUMMYFUNCTION("""COMPUTED_VALUE"""),"Count Equal and Divisible Pairs in an Array")</f>
        <v>Count Equal and Divisible Pairs in an Array</v>
      </c>
      <c r="C2177" s="35" t="str">
        <f>IFERROR(__xludf.DUMMYFUNCTION("""COMPUTED_VALUE"""),"count-equal-and-divisible-pairs-in-an-array")</f>
        <v>count-equal-and-divisible-pairs-in-an-array</v>
      </c>
      <c r="D2177" s="35" t="b">
        <f>IFERROR(__xludf.DUMMYFUNCTION("""COMPUTED_VALUE"""),FALSE)</f>
        <v>0</v>
      </c>
      <c r="E2177" s="35" t="str">
        <f>IFERROR(__xludf.DUMMYFUNCTION("""COMPUTED_VALUE"""),"Easy")</f>
        <v>Easy</v>
      </c>
      <c r="F2177" s="35">
        <f>IFERROR(__xludf.DUMMYFUNCTION("""COMPUTED_VALUE"""),135.0)</f>
        <v>135</v>
      </c>
      <c r="G2177" s="35">
        <f>IFERROR(__xludf.DUMMYFUNCTION("""COMPUTED_VALUE"""),3.0)</f>
        <v>3</v>
      </c>
      <c r="H2177" s="35" t="str">
        <f>IFERROR(__xludf.DUMMYFUNCTION("""COMPUTED_VALUE"""),"Algorithms")</f>
        <v>Algorithms</v>
      </c>
      <c r="I2177" s="35">
        <f>IFERROR(__xludf.DUMMYFUNCTION("""COMPUTED_VALUE"""),0.799)</f>
        <v>0.799</v>
      </c>
      <c r="J2177" s="35">
        <f>IFERROR(__xludf.DUMMYFUNCTION("""COMPUTED_VALUE"""),2176.0)</f>
        <v>2176</v>
      </c>
      <c r="K2177" s="35" t="b">
        <f>IFERROR(__xludf.DUMMYFUNCTION("""COMPUTED_VALUE"""),FALSE)</f>
        <v>0</v>
      </c>
      <c r="L2177" s="35" t="str">
        <f>IFERROR(__xludf.DUMMYFUNCTION("""COMPUTED_VALUE"""),"Array;")</f>
        <v>Array;</v>
      </c>
      <c r="M2177" s="35" t="b">
        <f>IFERROR(__xludf.DUMMYFUNCTION("""COMPUTED_VALUE"""),FALSE)</f>
        <v>0</v>
      </c>
      <c r="N2177" s="35" t="b">
        <f>IFERROR(__xludf.DUMMYFUNCTION("""COMPUTED_VALUE"""),FALSE)</f>
        <v>0</v>
      </c>
      <c r="O2177" s="35">
        <f>IFERROR(__xludf.DUMMYFUNCTION("""COMPUTED_VALUE"""),79.9294855053538)</f>
        <v>79.92948551</v>
      </c>
      <c r="P2177" s="35">
        <f>IFERROR(__xludf.DUMMYFUNCTION("""COMPUTED_VALUE"""),18363.0)</f>
        <v>18363</v>
      </c>
      <c r="Q2177" s="35">
        <f>IFERROR(__xludf.DUMMYFUNCTION("""COMPUTED_VALUE"""),22974.0)</f>
        <v>22974</v>
      </c>
    </row>
    <row r="2178">
      <c r="A2178" s="35">
        <f>IFERROR(__xludf.DUMMYFUNCTION("""COMPUTED_VALUE"""),2278.0)</f>
        <v>2278</v>
      </c>
      <c r="B2178" s="35" t="str">
        <f>IFERROR(__xludf.DUMMYFUNCTION("""COMPUTED_VALUE"""),"Find Three Consecutive Integers That Sum to a Given Number")</f>
        <v>Find Three Consecutive Integers That Sum to a Given Number</v>
      </c>
      <c r="C2178" s="35" t="str">
        <f>IFERROR(__xludf.DUMMYFUNCTION("""COMPUTED_VALUE"""),"find-three-consecutive-integers-that-sum-to-a-given-number")</f>
        <v>find-three-consecutive-integers-that-sum-to-a-given-number</v>
      </c>
      <c r="D2178" s="35" t="b">
        <f>IFERROR(__xludf.DUMMYFUNCTION("""COMPUTED_VALUE"""),FALSE)</f>
        <v>0</v>
      </c>
      <c r="E2178" s="35" t="str">
        <f>IFERROR(__xludf.DUMMYFUNCTION("""COMPUTED_VALUE"""),"Medium")</f>
        <v>Medium</v>
      </c>
      <c r="F2178" s="35">
        <f>IFERROR(__xludf.DUMMYFUNCTION("""COMPUTED_VALUE"""),193.0)</f>
        <v>193</v>
      </c>
      <c r="G2178" s="35">
        <f>IFERROR(__xludf.DUMMYFUNCTION("""COMPUTED_VALUE"""),41.0)</f>
        <v>41</v>
      </c>
      <c r="H2178" s="35" t="str">
        <f>IFERROR(__xludf.DUMMYFUNCTION("""COMPUTED_VALUE"""),"Algorithms")</f>
        <v>Algorithms</v>
      </c>
      <c r="I2178" s="35">
        <f>IFERROR(__xludf.DUMMYFUNCTION("""COMPUTED_VALUE"""),0.596)</f>
        <v>0.596</v>
      </c>
      <c r="J2178" s="35">
        <f>IFERROR(__xludf.DUMMYFUNCTION("""COMPUTED_VALUE"""),2177.0)</f>
        <v>2177</v>
      </c>
      <c r="K2178" s="35" t="b">
        <f>IFERROR(__xludf.DUMMYFUNCTION("""COMPUTED_VALUE"""),FALSE)</f>
        <v>0</v>
      </c>
      <c r="L2178" s="35" t="str">
        <f>IFERROR(__xludf.DUMMYFUNCTION("""COMPUTED_VALUE"""),"Math;Simulation;")</f>
        <v>Math;Simulation;</v>
      </c>
      <c r="M2178" s="35" t="b">
        <f>IFERROR(__xludf.DUMMYFUNCTION("""COMPUTED_VALUE"""),FALSE)</f>
        <v>0</v>
      </c>
      <c r="N2178" s="35" t="b">
        <f>IFERROR(__xludf.DUMMYFUNCTION("""COMPUTED_VALUE"""),FALSE)</f>
        <v>0</v>
      </c>
      <c r="O2178" s="35">
        <f>IFERROR(__xludf.DUMMYFUNCTION("""COMPUTED_VALUE"""),59.6115395601256)</f>
        <v>59.61153956</v>
      </c>
      <c r="P2178" s="35">
        <f>IFERROR(__xludf.DUMMYFUNCTION("""COMPUTED_VALUE"""),16696.0)</f>
        <v>16696</v>
      </c>
      <c r="Q2178" s="35">
        <f>IFERROR(__xludf.DUMMYFUNCTION("""COMPUTED_VALUE"""),28008.0)</f>
        <v>28008</v>
      </c>
    </row>
    <row r="2179">
      <c r="A2179" s="35">
        <f>IFERROR(__xludf.DUMMYFUNCTION("""COMPUTED_VALUE"""),2279.0)</f>
        <v>2279</v>
      </c>
      <c r="B2179" s="35" t="str">
        <f>IFERROR(__xludf.DUMMYFUNCTION("""COMPUTED_VALUE"""),"Maximum Split of Positive Even Integers")</f>
        <v>Maximum Split of Positive Even Integers</v>
      </c>
      <c r="C2179" s="35" t="str">
        <f>IFERROR(__xludf.DUMMYFUNCTION("""COMPUTED_VALUE"""),"maximum-split-of-positive-even-integers")</f>
        <v>maximum-split-of-positive-even-integers</v>
      </c>
      <c r="D2179" s="35" t="b">
        <f>IFERROR(__xludf.DUMMYFUNCTION("""COMPUTED_VALUE"""),FALSE)</f>
        <v>0</v>
      </c>
      <c r="E2179" s="35" t="str">
        <f>IFERROR(__xludf.DUMMYFUNCTION("""COMPUTED_VALUE"""),"Medium")</f>
        <v>Medium</v>
      </c>
      <c r="F2179" s="35">
        <f>IFERROR(__xludf.DUMMYFUNCTION("""COMPUTED_VALUE"""),291.0)</f>
        <v>291</v>
      </c>
      <c r="G2179" s="35">
        <f>IFERROR(__xludf.DUMMYFUNCTION("""COMPUTED_VALUE"""),37.0)</f>
        <v>37</v>
      </c>
      <c r="H2179" s="35" t="str">
        <f>IFERROR(__xludf.DUMMYFUNCTION("""COMPUTED_VALUE"""),"Algorithms")</f>
        <v>Algorithms</v>
      </c>
      <c r="I2179" s="35">
        <f>IFERROR(__xludf.DUMMYFUNCTION("""COMPUTED_VALUE"""),0.536)</f>
        <v>0.536</v>
      </c>
      <c r="J2179" s="35">
        <f>IFERROR(__xludf.DUMMYFUNCTION("""COMPUTED_VALUE"""),2178.0)</f>
        <v>2178</v>
      </c>
      <c r="K2179" s="35" t="b">
        <f>IFERROR(__xludf.DUMMYFUNCTION("""COMPUTED_VALUE"""),FALSE)</f>
        <v>0</v>
      </c>
      <c r="L2179" s="35" t="str">
        <f>IFERROR(__xludf.DUMMYFUNCTION("""COMPUTED_VALUE"""),"Math;Greedy;")</f>
        <v>Math;Greedy;</v>
      </c>
      <c r="M2179" s="35" t="b">
        <f>IFERROR(__xludf.DUMMYFUNCTION("""COMPUTED_VALUE"""),FALSE)</f>
        <v>0</v>
      </c>
      <c r="N2179" s="35" t="b">
        <f>IFERROR(__xludf.DUMMYFUNCTION("""COMPUTED_VALUE"""),FALSE)</f>
        <v>0</v>
      </c>
      <c r="O2179" s="35">
        <f>IFERROR(__xludf.DUMMYFUNCTION("""COMPUTED_VALUE"""),53.5621291672002)</f>
        <v>53.56212917</v>
      </c>
      <c r="P2179" s="35">
        <f>IFERROR(__xludf.DUMMYFUNCTION("""COMPUTED_VALUE"""),12548.0)</f>
        <v>12548</v>
      </c>
      <c r="Q2179" s="35">
        <f>IFERROR(__xludf.DUMMYFUNCTION("""COMPUTED_VALUE"""),23426.0)</f>
        <v>23426</v>
      </c>
    </row>
    <row r="2180">
      <c r="A2180" s="35">
        <f>IFERROR(__xludf.DUMMYFUNCTION("""COMPUTED_VALUE"""),2280.0)</f>
        <v>2280</v>
      </c>
      <c r="B2180" s="35" t="str">
        <f>IFERROR(__xludf.DUMMYFUNCTION("""COMPUTED_VALUE"""),"Count Good Triplets in an Array")</f>
        <v>Count Good Triplets in an Array</v>
      </c>
      <c r="C2180" s="35" t="str">
        <f>IFERROR(__xludf.DUMMYFUNCTION("""COMPUTED_VALUE"""),"count-good-triplets-in-an-array")</f>
        <v>count-good-triplets-in-an-array</v>
      </c>
      <c r="D2180" s="35" t="b">
        <f>IFERROR(__xludf.DUMMYFUNCTION("""COMPUTED_VALUE"""),FALSE)</f>
        <v>0</v>
      </c>
      <c r="E2180" s="35" t="str">
        <f>IFERROR(__xludf.DUMMYFUNCTION("""COMPUTED_VALUE"""),"Hard")</f>
        <v>Hard</v>
      </c>
      <c r="F2180" s="35">
        <f>IFERROR(__xludf.DUMMYFUNCTION("""COMPUTED_VALUE"""),232.0)</f>
        <v>232</v>
      </c>
      <c r="G2180" s="35">
        <f>IFERROR(__xludf.DUMMYFUNCTION("""COMPUTED_VALUE"""),10.0)</f>
        <v>10</v>
      </c>
      <c r="H2180" s="35" t="str">
        <f>IFERROR(__xludf.DUMMYFUNCTION("""COMPUTED_VALUE"""),"Algorithms")</f>
        <v>Algorithms</v>
      </c>
      <c r="I2180" s="35">
        <f>IFERROR(__xludf.DUMMYFUNCTION("""COMPUTED_VALUE"""),0.333)</f>
        <v>0.333</v>
      </c>
      <c r="J2180" s="35">
        <f>IFERROR(__xludf.DUMMYFUNCTION("""COMPUTED_VALUE"""),2179.0)</f>
        <v>2179</v>
      </c>
      <c r="K2180" s="35" t="b">
        <f>IFERROR(__xludf.DUMMYFUNCTION("""COMPUTED_VALUE"""),FALSE)</f>
        <v>0</v>
      </c>
      <c r="L2180" s="35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2180" s="35" t="b">
        <f>IFERROR(__xludf.DUMMYFUNCTION("""COMPUTED_VALUE"""),FALSE)</f>
        <v>0</v>
      </c>
      <c r="N2180" s="35" t="b">
        <f>IFERROR(__xludf.DUMMYFUNCTION("""COMPUTED_VALUE"""),FALSE)</f>
        <v>0</v>
      </c>
      <c r="O2180" s="35">
        <f>IFERROR(__xludf.DUMMYFUNCTION("""COMPUTED_VALUE"""),33.3441103567194)</f>
        <v>33.34411036</v>
      </c>
      <c r="P2180" s="35">
        <f>IFERROR(__xludf.DUMMYFUNCTION("""COMPUTED_VALUE"""),3094.0)</f>
        <v>3094</v>
      </c>
      <c r="Q2180" s="35">
        <f>IFERROR(__xludf.DUMMYFUNCTION("""COMPUTED_VALUE"""),9279.0)</f>
        <v>9279</v>
      </c>
    </row>
    <row r="2181">
      <c r="A2181" s="35">
        <f>IFERROR(__xludf.DUMMYFUNCTION("""COMPUTED_VALUE"""),2298.0)</f>
        <v>2298</v>
      </c>
      <c r="B2181" s="35" t="str">
        <f>IFERROR(__xludf.DUMMYFUNCTION("""COMPUTED_VALUE"""),"Count Integers With Even Digit Sum")</f>
        <v>Count Integers With Even Digit Sum</v>
      </c>
      <c r="C2181" s="35" t="str">
        <f>IFERROR(__xludf.DUMMYFUNCTION("""COMPUTED_VALUE"""),"count-integers-with-even-digit-sum")</f>
        <v>count-integers-with-even-digit-sum</v>
      </c>
      <c r="D2181" s="35" t="b">
        <f>IFERROR(__xludf.DUMMYFUNCTION("""COMPUTED_VALUE"""),FALSE)</f>
        <v>0</v>
      </c>
      <c r="E2181" s="35" t="str">
        <f>IFERROR(__xludf.DUMMYFUNCTION("""COMPUTED_VALUE"""),"Easy")</f>
        <v>Easy</v>
      </c>
      <c r="F2181" s="35">
        <f>IFERROR(__xludf.DUMMYFUNCTION("""COMPUTED_VALUE"""),183.0)</f>
        <v>183</v>
      </c>
      <c r="G2181" s="35">
        <f>IFERROR(__xludf.DUMMYFUNCTION("""COMPUTED_VALUE"""),12.0)</f>
        <v>12</v>
      </c>
      <c r="H2181" s="35" t="str">
        <f>IFERROR(__xludf.DUMMYFUNCTION("""COMPUTED_VALUE"""),"Algorithms")</f>
        <v>Algorithms</v>
      </c>
      <c r="I2181" s="35">
        <f>IFERROR(__xludf.DUMMYFUNCTION("""COMPUTED_VALUE"""),0.649)</f>
        <v>0.649</v>
      </c>
      <c r="J2181" s="35">
        <f>IFERROR(__xludf.DUMMYFUNCTION("""COMPUTED_VALUE"""),2180.0)</f>
        <v>2180</v>
      </c>
      <c r="K2181" s="35" t="b">
        <f>IFERROR(__xludf.DUMMYFUNCTION("""COMPUTED_VALUE"""),FALSE)</f>
        <v>0</v>
      </c>
      <c r="L2181" s="35" t="str">
        <f>IFERROR(__xludf.DUMMYFUNCTION("""COMPUTED_VALUE"""),"Math;Simulation;")</f>
        <v>Math;Simulation;</v>
      </c>
      <c r="M2181" s="35" t="b">
        <f>IFERROR(__xludf.DUMMYFUNCTION("""COMPUTED_VALUE"""),FALSE)</f>
        <v>0</v>
      </c>
      <c r="N2181" s="35" t="b">
        <f>IFERROR(__xludf.DUMMYFUNCTION("""COMPUTED_VALUE"""),FALSE)</f>
        <v>0</v>
      </c>
      <c r="O2181" s="35">
        <f>IFERROR(__xludf.DUMMYFUNCTION("""COMPUTED_VALUE"""),64.8946535135793)</f>
        <v>64.89465351</v>
      </c>
      <c r="P2181" s="35">
        <f>IFERROR(__xludf.DUMMYFUNCTION("""COMPUTED_VALUE"""),21313.0)</f>
        <v>21313</v>
      </c>
      <c r="Q2181" s="35">
        <f>IFERROR(__xludf.DUMMYFUNCTION("""COMPUTED_VALUE"""),32843.0)</f>
        <v>32843</v>
      </c>
    </row>
    <row r="2182">
      <c r="A2182" s="35">
        <f>IFERROR(__xludf.DUMMYFUNCTION("""COMPUTED_VALUE"""),2299.0)</f>
        <v>2299</v>
      </c>
      <c r="B2182" s="35" t="str">
        <f>IFERROR(__xludf.DUMMYFUNCTION("""COMPUTED_VALUE"""),"Merge Nodes in Between Zeros")</f>
        <v>Merge Nodes in Between Zeros</v>
      </c>
      <c r="C2182" s="35" t="str">
        <f>IFERROR(__xludf.DUMMYFUNCTION("""COMPUTED_VALUE"""),"merge-nodes-in-between-zeros")</f>
        <v>merge-nodes-in-between-zeros</v>
      </c>
      <c r="D2182" s="35" t="b">
        <f>IFERROR(__xludf.DUMMYFUNCTION("""COMPUTED_VALUE"""),FALSE)</f>
        <v>0</v>
      </c>
      <c r="E2182" s="35" t="str">
        <f>IFERROR(__xludf.DUMMYFUNCTION("""COMPUTED_VALUE"""),"Medium")</f>
        <v>Medium</v>
      </c>
      <c r="F2182" s="35">
        <f>IFERROR(__xludf.DUMMYFUNCTION("""COMPUTED_VALUE"""),282.0)</f>
        <v>282</v>
      </c>
      <c r="G2182" s="35">
        <f>IFERROR(__xludf.DUMMYFUNCTION("""COMPUTED_VALUE"""),6.0)</f>
        <v>6</v>
      </c>
      <c r="H2182" s="35" t="str">
        <f>IFERROR(__xludf.DUMMYFUNCTION("""COMPUTED_VALUE"""),"Algorithms")</f>
        <v>Algorithms</v>
      </c>
      <c r="I2182" s="35">
        <f>IFERROR(__xludf.DUMMYFUNCTION("""COMPUTED_VALUE"""),0.875)</f>
        <v>0.875</v>
      </c>
      <c r="J2182" s="35">
        <f>IFERROR(__xludf.DUMMYFUNCTION("""COMPUTED_VALUE"""),2181.0)</f>
        <v>2181</v>
      </c>
      <c r="K2182" s="35" t="b">
        <f>IFERROR(__xludf.DUMMYFUNCTION("""COMPUTED_VALUE"""),FALSE)</f>
        <v>0</v>
      </c>
      <c r="L2182" s="35" t="str">
        <f>IFERROR(__xludf.DUMMYFUNCTION("""COMPUTED_VALUE"""),"Linked List;Simulation;")</f>
        <v>Linked List;Simulation;</v>
      </c>
      <c r="M2182" s="35" t="b">
        <f>IFERROR(__xludf.DUMMYFUNCTION("""COMPUTED_VALUE"""),FALSE)</f>
        <v>0</v>
      </c>
      <c r="N2182" s="35" t="b">
        <f>IFERROR(__xludf.DUMMYFUNCTION("""COMPUTED_VALUE"""),FALSE)</f>
        <v>0</v>
      </c>
      <c r="O2182" s="35">
        <f>IFERROR(__xludf.DUMMYFUNCTION("""COMPUTED_VALUE"""),87.5030411158867)</f>
        <v>87.50304112</v>
      </c>
      <c r="P2182" s="35">
        <f>IFERROR(__xludf.DUMMYFUNCTION("""COMPUTED_VALUE"""),21579.0)</f>
        <v>21579</v>
      </c>
      <c r="Q2182" s="35">
        <f>IFERROR(__xludf.DUMMYFUNCTION("""COMPUTED_VALUE"""),24661.0)</f>
        <v>24661</v>
      </c>
    </row>
    <row r="2183">
      <c r="A2183" s="35">
        <f>IFERROR(__xludf.DUMMYFUNCTION("""COMPUTED_VALUE"""),2300.0)</f>
        <v>2300</v>
      </c>
      <c r="B2183" s="35" t="str">
        <f>IFERROR(__xludf.DUMMYFUNCTION("""COMPUTED_VALUE"""),"Construct String With Repeat Limit")</f>
        <v>Construct String With Repeat Limit</v>
      </c>
      <c r="C2183" s="35" t="str">
        <f>IFERROR(__xludf.DUMMYFUNCTION("""COMPUTED_VALUE"""),"construct-string-with-repeat-limit")</f>
        <v>construct-string-with-repeat-limit</v>
      </c>
      <c r="D2183" s="35" t="b">
        <f>IFERROR(__xludf.DUMMYFUNCTION("""COMPUTED_VALUE"""),FALSE)</f>
        <v>0</v>
      </c>
      <c r="E2183" s="35" t="str">
        <f>IFERROR(__xludf.DUMMYFUNCTION("""COMPUTED_VALUE"""),"Medium")</f>
        <v>Medium</v>
      </c>
      <c r="F2183" s="35">
        <f>IFERROR(__xludf.DUMMYFUNCTION("""COMPUTED_VALUE"""),330.0)</f>
        <v>330</v>
      </c>
      <c r="G2183" s="35">
        <f>IFERROR(__xludf.DUMMYFUNCTION("""COMPUTED_VALUE"""),19.0)</f>
        <v>19</v>
      </c>
      <c r="H2183" s="35" t="str">
        <f>IFERROR(__xludf.DUMMYFUNCTION("""COMPUTED_VALUE"""),"Algorithms")</f>
        <v>Algorithms</v>
      </c>
      <c r="I2183" s="35">
        <f>IFERROR(__xludf.DUMMYFUNCTION("""COMPUTED_VALUE"""),0.506)</f>
        <v>0.506</v>
      </c>
      <c r="J2183" s="35">
        <f>IFERROR(__xludf.DUMMYFUNCTION("""COMPUTED_VALUE"""),2182.0)</f>
        <v>2182</v>
      </c>
      <c r="K2183" s="35" t="b">
        <f>IFERROR(__xludf.DUMMYFUNCTION("""COMPUTED_VALUE"""),FALSE)</f>
        <v>0</v>
      </c>
      <c r="L2183" s="35" t="str">
        <f>IFERROR(__xludf.DUMMYFUNCTION("""COMPUTED_VALUE"""),"String;Greedy;Heap (Priority Queue);Counting;")</f>
        <v>String;Greedy;Heap (Priority Queue);Counting;</v>
      </c>
      <c r="M2183" s="35" t="b">
        <f>IFERROR(__xludf.DUMMYFUNCTION("""COMPUTED_VALUE"""),FALSE)</f>
        <v>0</v>
      </c>
      <c r="N2183" s="35" t="b">
        <f>IFERROR(__xludf.DUMMYFUNCTION("""COMPUTED_VALUE"""),FALSE)</f>
        <v>0</v>
      </c>
      <c r="O2183" s="35">
        <f>IFERROR(__xludf.DUMMYFUNCTION("""COMPUTED_VALUE"""),50.5966484297591)</f>
        <v>50.59664843</v>
      </c>
      <c r="P2183" s="35">
        <f>IFERROR(__xludf.DUMMYFUNCTION("""COMPUTED_VALUE"""),11744.0)</f>
        <v>11744</v>
      </c>
      <c r="Q2183" s="35">
        <f>IFERROR(__xludf.DUMMYFUNCTION("""COMPUTED_VALUE"""),23212.0)</f>
        <v>23212</v>
      </c>
    </row>
    <row r="2184">
      <c r="A2184" s="35">
        <f>IFERROR(__xludf.DUMMYFUNCTION("""COMPUTED_VALUE"""),2301.0)</f>
        <v>2301</v>
      </c>
      <c r="B2184" s="35" t="str">
        <f>IFERROR(__xludf.DUMMYFUNCTION("""COMPUTED_VALUE"""),"Count Array Pairs Divisible by K")</f>
        <v>Count Array Pairs Divisible by K</v>
      </c>
      <c r="C2184" s="35" t="str">
        <f>IFERROR(__xludf.DUMMYFUNCTION("""COMPUTED_VALUE"""),"count-array-pairs-divisible-by-k")</f>
        <v>count-array-pairs-divisible-by-k</v>
      </c>
      <c r="D2184" s="35" t="b">
        <f>IFERROR(__xludf.DUMMYFUNCTION("""COMPUTED_VALUE"""),FALSE)</f>
        <v>0</v>
      </c>
      <c r="E2184" s="35" t="str">
        <f>IFERROR(__xludf.DUMMYFUNCTION("""COMPUTED_VALUE"""),"Hard")</f>
        <v>Hard</v>
      </c>
      <c r="F2184" s="35">
        <f>IFERROR(__xludf.DUMMYFUNCTION("""COMPUTED_VALUE"""),349.0)</f>
        <v>349</v>
      </c>
      <c r="G2184" s="35">
        <f>IFERROR(__xludf.DUMMYFUNCTION("""COMPUTED_VALUE"""),21.0)</f>
        <v>21</v>
      </c>
      <c r="H2184" s="35" t="str">
        <f>IFERROR(__xludf.DUMMYFUNCTION("""COMPUTED_VALUE"""),"Algorithms")</f>
        <v>Algorithms</v>
      </c>
      <c r="I2184" s="35">
        <f>IFERROR(__xludf.DUMMYFUNCTION("""COMPUTED_VALUE"""),0.26)</f>
        <v>0.26</v>
      </c>
      <c r="J2184" s="35">
        <f>IFERROR(__xludf.DUMMYFUNCTION("""COMPUTED_VALUE"""),2183.0)</f>
        <v>2183</v>
      </c>
      <c r="K2184" s="35" t="b">
        <f>IFERROR(__xludf.DUMMYFUNCTION("""COMPUTED_VALUE"""),FALSE)</f>
        <v>0</v>
      </c>
      <c r="L2184" s="35" t="str">
        <f>IFERROR(__xludf.DUMMYFUNCTION("""COMPUTED_VALUE"""),"Array;Math;Number Theory;")</f>
        <v>Array;Math;Number Theory;</v>
      </c>
      <c r="M2184" s="35" t="b">
        <f>IFERROR(__xludf.DUMMYFUNCTION("""COMPUTED_VALUE"""),FALSE)</f>
        <v>0</v>
      </c>
      <c r="N2184" s="35" t="b">
        <f>IFERROR(__xludf.DUMMYFUNCTION("""COMPUTED_VALUE"""),FALSE)</f>
        <v>0</v>
      </c>
      <c r="O2184" s="35">
        <f>IFERROR(__xludf.DUMMYFUNCTION("""COMPUTED_VALUE"""),26.0278563980336)</f>
        <v>26.0278564</v>
      </c>
      <c r="P2184" s="35">
        <f>IFERROR(__xludf.DUMMYFUNCTION("""COMPUTED_VALUE"""),6989.0)</f>
        <v>6989</v>
      </c>
      <c r="Q2184" s="35">
        <f>IFERROR(__xludf.DUMMYFUNCTION("""COMPUTED_VALUE"""),26852.0)</f>
        <v>26852</v>
      </c>
    </row>
    <row r="2185">
      <c r="A2185" s="35">
        <f>IFERROR(__xludf.DUMMYFUNCTION("""COMPUTED_VALUE"""),2322.0)</f>
        <v>2322</v>
      </c>
      <c r="B2185" s="35" t="str">
        <f>IFERROR(__xludf.DUMMYFUNCTION("""COMPUTED_VALUE"""),"Number of Ways to Build Sturdy Brick Wall")</f>
        <v>Number of Ways to Build Sturdy Brick Wall</v>
      </c>
      <c r="C2185" s="35" t="str">
        <f>IFERROR(__xludf.DUMMYFUNCTION("""COMPUTED_VALUE"""),"number-of-ways-to-build-sturdy-brick-wall")</f>
        <v>number-of-ways-to-build-sturdy-brick-wall</v>
      </c>
      <c r="D2185" s="35" t="b">
        <f>IFERROR(__xludf.DUMMYFUNCTION("""COMPUTED_VALUE"""),TRUE)</f>
        <v>1</v>
      </c>
      <c r="E2185" s="35" t="str">
        <f>IFERROR(__xludf.DUMMYFUNCTION("""COMPUTED_VALUE"""),"Medium")</f>
        <v>Medium</v>
      </c>
      <c r="F2185" s="35">
        <f>IFERROR(__xludf.DUMMYFUNCTION("""COMPUTED_VALUE"""),22.0)</f>
        <v>22</v>
      </c>
      <c r="G2185" s="35">
        <f>IFERROR(__xludf.DUMMYFUNCTION("""COMPUTED_VALUE"""),5.0)</f>
        <v>5</v>
      </c>
      <c r="H2185" s="35" t="str">
        <f>IFERROR(__xludf.DUMMYFUNCTION("""COMPUTED_VALUE"""),"Algorithms")</f>
        <v>Algorithms</v>
      </c>
      <c r="I2185" s="35">
        <f>IFERROR(__xludf.DUMMYFUNCTION("""COMPUTED_VALUE"""),0.649)</f>
        <v>0.649</v>
      </c>
      <c r="J2185" s="35">
        <f>IFERROR(__xludf.DUMMYFUNCTION("""COMPUTED_VALUE"""),2184.0)</f>
        <v>2184</v>
      </c>
      <c r="K2185" s="35" t="b">
        <f>IFERROR(__xludf.DUMMYFUNCTION("""COMPUTED_VALUE"""),TRUE)</f>
        <v>1</v>
      </c>
      <c r="L2185" s="35" t="str">
        <f>IFERROR(__xludf.DUMMYFUNCTION("""COMPUTED_VALUE"""),"Array;Dynamic Programming;Bit Manipulation;Bitmask;")</f>
        <v>Array;Dynamic Programming;Bit Manipulation;Bitmask;</v>
      </c>
      <c r="M2185" s="35" t="b">
        <f>IFERROR(__xludf.DUMMYFUNCTION("""COMPUTED_VALUE"""),FALSE)</f>
        <v>0</v>
      </c>
      <c r="N2185" s="35" t="b">
        <f>IFERROR(__xludf.DUMMYFUNCTION("""COMPUTED_VALUE"""),FALSE)</f>
        <v>0</v>
      </c>
      <c r="O2185" s="35">
        <f>IFERROR(__xludf.DUMMYFUNCTION("""COMPUTED_VALUE"""),64.9188514357053)</f>
        <v>64.91885144</v>
      </c>
      <c r="P2185" s="35">
        <f>IFERROR(__xludf.DUMMYFUNCTION("""COMPUTED_VALUE"""),520.0)</f>
        <v>520</v>
      </c>
      <c r="Q2185" s="35">
        <f>IFERROR(__xludf.DUMMYFUNCTION("""COMPUTED_VALUE"""),801.0)</f>
        <v>801</v>
      </c>
    </row>
    <row r="2186">
      <c r="A2186" s="35">
        <f>IFERROR(__xludf.DUMMYFUNCTION("""COMPUTED_VALUE"""),2292.0)</f>
        <v>2292</v>
      </c>
      <c r="B2186" s="35" t="str">
        <f>IFERROR(__xludf.DUMMYFUNCTION("""COMPUTED_VALUE"""),"Counting Words With a Given Prefix")</f>
        <v>Counting Words With a Given Prefix</v>
      </c>
      <c r="C2186" s="35" t="str">
        <f>IFERROR(__xludf.DUMMYFUNCTION("""COMPUTED_VALUE"""),"counting-words-with-a-given-prefix")</f>
        <v>counting-words-with-a-given-prefix</v>
      </c>
      <c r="D2186" s="35" t="b">
        <f>IFERROR(__xludf.DUMMYFUNCTION("""COMPUTED_VALUE"""),FALSE)</f>
        <v>0</v>
      </c>
      <c r="E2186" s="35" t="str">
        <f>IFERROR(__xludf.DUMMYFUNCTION("""COMPUTED_VALUE"""),"Easy")</f>
        <v>Easy</v>
      </c>
      <c r="F2186" s="35">
        <f>IFERROR(__xludf.DUMMYFUNCTION("""COMPUTED_VALUE"""),153.0)</f>
        <v>153</v>
      </c>
      <c r="G2186" s="35">
        <f>IFERROR(__xludf.DUMMYFUNCTION("""COMPUTED_VALUE"""),2.0)</f>
        <v>2</v>
      </c>
      <c r="H2186" s="35" t="str">
        <f>IFERROR(__xludf.DUMMYFUNCTION("""COMPUTED_VALUE"""),"Algorithms")</f>
        <v>Algorithms</v>
      </c>
      <c r="I2186" s="35">
        <f>IFERROR(__xludf.DUMMYFUNCTION("""COMPUTED_VALUE"""),0.777)</f>
        <v>0.777</v>
      </c>
      <c r="J2186" s="35">
        <f>IFERROR(__xludf.DUMMYFUNCTION("""COMPUTED_VALUE"""),2185.0)</f>
        <v>2185</v>
      </c>
      <c r="K2186" s="35" t="b">
        <f>IFERROR(__xludf.DUMMYFUNCTION("""COMPUTED_VALUE"""),FALSE)</f>
        <v>0</v>
      </c>
      <c r="L2186" s="35" t="str">
        <f>IFERROR(__xludf.DUMMYFUNCTION("""COMPUTED_VALUE"""),"Array;String;")</f>
        <v>Array;String;</v>
      </c>
      <c r="M2186" s="35" t="b">
        <f>IFERROR(__xludf.DUMMYFUNCTION("""COMPUTED_VALUE"""),FALSE)</f>
        <v>0</v>
      </c>
      <c r="N2186" s="35" t="b">
        <f>IFERROR(__xludf.DUMMYFUNCTION("""COMPUTED_VALUE"""),FALSE)</f>
        <v>0</v>
      </c>
      <c r="O2186" s="35">
        <f>IFERROR(__xludf.DUMMYFUNCTION("""COMPUTED_VALUE"""),77.6815614112234)</f>
        <v>77.68156141</v>
      </c>
      <c r="P2186" s="35">
        <f>IFERROR(__xludf.DUMMYFUNCTION("""COMPUTED_VALUE"""),22962.0)</f>
        <v>22962</v>
      </c>
      <c r="Q2186" s="35">
        <f>IFERROR(__xludf.DUMMYFUNCTION("""COMPUTED_VALUE"""),29560.0)</f>
        <v>29560</v>
      </c>
    </row>
    <row r="2187">
      <c r="A2187" s="35">
        <f>IFERROR(__xludf.DUMMYFUNCTION("""COMPUTED_VALUE"""),2293.0)</f>
        <v>2293</v>
      </c>
      <c r="B2187" s="35" t="str">
        <f>IFERROR(__xludf.DUMMYFUNCTION("""COMPUTED_VALUE"""),"Minimum Number of Steps to Make Two Strings Anagram II")</f>
        <v>Minimum Number of Steps to Make Two Strings Anagram II</v>
      </c>
      <c r="C2187" s="35" t="str">
        <f>IFERROR(__xludf.DUMMYFUNCTION("""COMPUTED_VALUE"""),"minimum-number-of-steps-to-make-two-strings-anagram-ii")</f>
        <v>minimum-number-of-steps-to-make-two-strings-anagram-ii</v>
      </c>
      <c r="D2187" s="35" t="b">
        <f>IFERROR(__xludf.DUMMYFUNCTION("""COMPUTED_VALUE"""),FALSE)</f>
        <v>0</v>
      </c>
      <c r="E2187" s="35" t="str">
        <f>IFERROR(__xludf.DUMMYFUNCTION("""COMPUTED_VALUE"""),"Medium")</f>
        <v>Medium</v>
      </c>
      <c r="F2187" s="35">
        <f>IFERROR(__xludf.DUMMYFUNCTION("""COMPUTED_VALUE"""),188.0)</f>
        <v>188</v>
      </c>
      <c r="G2187" s="35">
        <f>IFERROR(__xludf.DUMMYFUNCTION("""COMPUTED_VALUE"""),4.0)</f>
        <v>4</v>
      </c>
      <c r="H2187" s="35" t="str">
        <f>IFERROR(__xludf.DUMMYFUNCTION("""COMPUTED_VALUE"""),"Algorithms")</f>
        <v>Algorithms</v>
      </c>
      <c r="I2187" s="35">
        <f>IFERROR(__xludf.DUMMYFUNCTION("""COMPUTED_VALUE"""),0.697)</f>
        <v>0.697</v>
      </c>
      <c r="J2187" s="35">
        <f>IFERROR(__xludf.DUMMYFUNCTION("""COMPUTED_VALUE"""),2186.0)</f>
        <v>2186</v>
      </c>
      <c r="K2187" s="35" t="b">
        <f>IFERROR(__xludf.DUMMYFUNCTION("""COMPUTED_VALUE"""),FALSE)</f>
        <v>0</v>
      </c>
      <c r="L2187" s="35" t="str">
        <f>IFERROR(__xludf.DUMMYFUNCTION("""COMPUTED_VALUE"""),"Hash Table;String;Counting;")</f>
        <v>Hash Table;String;Counting;</v>
      </c>
      <c r="M2187" s="35" t="b">
        <f>IFERROR(__xludf.DUMMYFUNCTION("""COMPUTED_VALUE"""),FALSE)</f>
        <v>0</v>
      </c>
      <c r="N2187" s="35" t="b">
        <f>IFERROR(__xludf.DUMMYFUNCTION("""COMPUTED_VALUE"""),FALSE)</f>
        <v>0</v>
      </c>
      <c r="O2187" s="35">
        <f>IFERROR(__xludf.DUMMYFUNCTION("""COMPUTED_VALUE"""),69.6832413868693)</f>
        <v>69.68324139</v>
      </c>
      <c r="P2187" s="35">
        <f>IFERROR(__xludf.DUMMYFUNCTION("""COMPUTED_VALUE"""),19072.0)</f>
        <v>19072</v>
      </c>
      <c r="Q2187" s="35">
        <f>IFERROR(__xludf.DUMMYFUNCTION("""COMPUTED_VALUE"""),27370.0)</f>
        <v>27370</v>
      </c>
    </row>
    <row r="2188">
      <c r="A2188" s="35">
        <f>IFERROR(__xludf.DUMMYFUNCTION("""COMPUTED_VALUE"""),2294.0)</f>
        <v>2294</v>
      </c>
      <c r="B2188" s="35" t="str">
        <f>IFERROR(__xludf.DUMMYFUNCTION("""COMPUTED_VALUE"""),"Minimum Time to Complete Trips")</f>
        <v>Minimum Time to Complete Trips</v>
      </c>
      <c r="C2188" s="35" t="str">
        <f>IFERROR(__xludf.DUMMYFUNCTION("""COMPUTED_VALUE"""),"minimum-time-to-complete-trips")</f>
        <v>minimum-time-to-complete-trips</v>
      </c>
      <c r="D2188" s="35" t="b">
        <f>IFERROR(__xludf.DUMMYFUNCTION("""COMPUTED_VALUE"""),FALSE)</f>
        <v>0</v>
      </c>
      <c r="E2188" s="35" t="str">
        <f>IFERROR(__xludf.DUMMYFUNCTION("""COMPUTED_VALUE"""),"Medium")</f>
        <v>Medium</v>
      </c>
      <c r="F2188" s="35">
        <f>IFERROR(__xludf.DUMMYFUNCTION("""COMPUTED_VALUE"""),435.0)</f>
        <v>435</v>
      </c>
      <c r="G2188" s="35">
        <f>IFERROR(__xludf.DUMMYFUNCTION("""COMPUTED_VALUE"""),23.0)</f>
        <v>23</v>
      </c>
      <c r="H2188" s="35" t="str">
        <f>IFERROR(__xludf.DUMMYFUNCTION("""COMPUTED_VALUE"""),"Algorithms")</f>
        <v>Algorithms</v>
      </c>
      <c r="I2188" s="35">
        <f>IFERROR(__xludf.DUMMYFUNCTION("""COMPUTED_VALUE"""),0.289)</f>
        <v>0.289</v>
      </c>
      <c r="J2188" s="35">
        <f>IFERROR(__xludf.DUMMYFUNCTION("""COMPUTED_VALUE"""),2187.0)</f>
        <v>2187</v>
      </c>
      <c r="K2188" s="35" t="b">
        <f>IFERROR(__xludf.DUMMYFUNCTION("""COMPUTED_VALUE"""),FALSE)</f>
        <v>0</v>
      </c>
      <c r="L2188" s="35" t="str">
        <f>IFERROR(__xludf.DUMMYFUNCTION("""COMPUTED_VALUE"""),"Array;Binary Search;")</f>
        <v>Array;Binary Search;</v>
      </c>
      <c r="M2188" s="35" t="b">
        <f>IFERROR(__xludf.DUMMYFUNCTION("""COMPUTED_VALUE"""),FALSE)</f>
        <v>0</v>
      </c>
      <c r="N2188" s="35" t="b">
        <f>IFERROR(__xludf.DUMMYFUNCTION("""COMPUTED_VALUE"""),FALSE)</f>
        <v>0</v>
      </c>
      <c r="O2188" s="35">
        <f>IFERROR(__xludf.DUMMYFUNCTION("""COMPUTED_VALUE"""),28.8825065274151)</f>
        <v>28.88250653</v>
      </c>
      <c r="P2188" s="35">
        <f>IFERROR(__xludf.DUMMYFUNCTION("""COMPUTED_VALUE"""),16592.0)</f>
        <v>16592</v>
      </c>
      <c r="Q2188" s="35">
        <f>IFERROR(__xludf.DUMMYFUNCTION("""COMPUTED_VALUE"""),57439.0)</f>
        <v>57439</v>
      </c>
    </row>
    <row r="2189">
      <c r="A2189" s="35">
        <f>IFERROR(__xludf.DUMMYFUNCTION("""COMPUTED_VALUE"""),2295.0)</f>
        <v>2295</v>
      </c>
      <c r="B2189" s="35" t="str">
        <f>IFERROR(__xludf.DUMMYFUNCTION("""COMPUTED_VALUE"""),"Minimum Time to Finish the Race")</f>
        <v>Minimum Time to Finish the Race</v>
      </c>
      <c r="C2189" s="35" t="str">
        <f>IFERROR(__xludf.DUMMYFUNCTION("""COMPUTED_VALUE"""),"minimum-time-to-finish-the-race")</f>
        <v>minimum-time-to-finish-the-race</v>
      </c>
      <c r="D2189" s="35" t="b">
        <f>IFERROR(__xludf.DUMMYFUNCTION("""COMPUTED_VALUE"""),FALSE)</f>
        <v>0</v>
      </c>
      <c r="E2189" s="35" t="str">
        <f>IFERROR(__xludf.DUMMYFUNCTION("""COMPUTED_VALUE"""),"Hard")</f>
        <v>Hard</v>
      </c>
      <c r="F2189" s="35">
        <f>IFERROR(__xludf.DUMMYFUNCTION("""COMPUTED_VALUE"""),270.0)</f>
        <v>270</v>
      </c>
      <c r="G2189" s="35">
        <f>IFERROR(__xludf.DUMMYFUNCTION("""COMPUTED_VALUE"""),7.0)</f>
        <v>7</v>
      </c>
      <c r="H2189" s="35" t="str">
        <f>IFERROR(__xludf.DUMMYFUNCTION("""COMPUTED_VALUE"""),"Algorithms")</f>
        <v>Algorithms</v>
      </c>
      <c r="I2189" s="35">
        <f>IFERROR(__xludf.DUMMYFUNCTION("""COMPUTED_VALUE"""),0.391)</f>
        <v>0.391</v>
      </c>
      <c r="J2189" s="35">
        <f>IFERROR(__xludf.DUMMYFUNCTION("""COMPUTED_VALUE"""),2188.0)</f>
        <v>2188</v>
      </c>
      <c r="K2189" s="35" t="b">
        <f>IFERROR(__xludf.DUMMYFUNCTION("""COMPUTED_VALUE"""),FALSE)</f>
        <v>0</v>
      </c>
      <c r="L2189" s="35" t="str">
        <f>IFERROR(__xludf.DUMMYFUNCTION("""COMPUTED_VALUE"""),"Array;Dynamic Programming;")</f>
        <v>Array;Dynamic Programming;</v>
      </c>
      <c r="M2189" s="35" t="b">
        <f>IFERROR(__xludf.DUMMYFUNCTION("""COMPUTED_VALUE"""),FALSE)</f>
        <v>0</v>
      </c>
      <c r="N2189" s="35" t="b">
        <f>IFERROR(__xludf.DUMMYFUNCTION("""COMPUTED_VALUE"""),FALSE)</f>
        <v>0</v>
      </c>
      <c r="O2189" s="35">
        <f>IFERROR(__xludf.DUMMYFUNCTION("""COMPUTED_VALUE"""),39.0582177560003)</f>
        <v>39.05821776</v>
      </c>
      <c r="P2189" s="35">
        <f>IFERROR(__xludf.DUMMYFUNCTION("""COMPUTED_VALUE"""),4702.0)</f>
        <v>4702</v>
      </c>
      <c r="Q2189" s="35">
        <f>IFERROR(__xludf.DUMMYFUNCTION("""COMPUTED_VALUE"""),12040.0)</f>
        <v>12040</v>
      </c>
    </row>
    <row r="2190">
      <c r="A2190" s="35">
        <f>IFERROR(__xludf.DUMMYFUNCTION("""COMPUTED_VALUE"""),1385.0)</f>
        <v>1385</v>
      </c>
      <c r="B2190" s="35" t="str">
        <f>IFERROR(__xludf.DUMMYFUNCTION("""COMPUTED_VALUE"""),"Number of Ways to Build House of Cards")</f>
        <v>Number of Ways to Build House of Cards</v>
      </c>
      <c r="C2190" s="35" t="str">
        <f>IFERROR(__xludf.DUMMYFUNCTION("""COMPUTED_VALUE"""),"number-of-ways-to-build-house-of-cards")</f>
        <v>number-of-ways-to-build-house-of-cards</v>
      </c>
      <c r="D2190" s="35" t="b">
        <f>IFERROR(__xludf.DUMMYFUNCTION("""COMPUTED_VALUE"""),TRUE)</f>
        <v>1</v>
      </c>
      <c r="E2190" s="35" t="str">
        <f>IFERROR(__xludf.DUMMYFUNCTION("""COMPUTED_VALUE"""),"Medium")</f>
        <v>Medium</v>
      </c>
      <c r="F2190" s="35">
        <f>IFERROR(__xludf.DUMMYFUNCTION("""COMPUTED_VALUE"""),15.0)</f>
        <v>15</v>
      </c>
      <c r="G2190" s="35">
        <f>IFERROR(__xludf.DUMMYFUNCTION("""COMPUTED_VALUE"""),2.0)</f>
        <v>2</v>
      </c>
      <c r="H2190" s="35" t="str">
        <f>IFERROR(__xludf.DUMMYFUNCTION("""COMPUTED_VALUE"""),"Algorithms")</f>
        <v>Algorithms</v>
      </c>
      <c r="I2190" s="35">
        <f>IFERROR(__xludf.DUMMYFUNCTION("""COMPUTED_VALUE"""),0.663)</f>
        <v>0.663</v>
      </c>
      <c r="J2190" s="35">
        <f>IFERROR(__xludf.DUMMYFUNCTION("""COMPUTED_VALUE"""),2189.0)</f>
        <v>2189</v>
      </c>
      <c r="K2190" s="35" t="b">
        <f>IFERROR(__xludf.DUMMYFUNCTION("""COMPUTED_VALUE"""),TRUE)</f>
        <v>1</v>
      </c>
      <c r="L2190" s="35" t="str">
        <f>IFERROR(__xludf.DUMMYFUNCTION("""COMPUTED_VALUE"""),"Math;Dynamic Programming;")</f>
        <v>Math;Dynamic Programming;</v>
      </c>
      <c r="M2190" s="35" t="b">
        <f>IFERROR(__xludf.DUMMYFUNCTION("""COMPUTED_VALUE"""),FALSE)</f>
        <v>0</v>
      </c>
      <c r="N2190" s="35" t="b">
        <f>IFERROR(__xludf.DUMMYFUNCTION("""COMPUTED_VALUE"""),FALSE)</f>
        <v>0</v>
      </c>
      <c r="O2190" s="35">
        <f>IFERROR(__xludf.DUMMYFUNCTION("""COMPUTED_VALUE"""),66.3125948406676)</f>
        <v>66.31259484</v>
      </c>
      <c r="P2190" s="35">
        <f>IFERROR(__xludf.DUMMYFUNCTION("""COMPUTED_VALUE"""),437.0)</f>
        <v>437</v>
      </c>
      <c r="Q2190" s="35">
        <f>IFERROR(__xludf.DUMMYFUNCTION("""COMPUTED_VALUE"""),659.0)</f>
        <v>659</v>
      </c>
    </row>
    <row r="2191">
      <c r="A2191" s="35">
        <f>IFERROR(__xludf.DUMMYFUNCTION("""COMPUTED_VALUE"""),2312.0)</f>
        <v>2312</v>
      </c>
      <c r="B2191" s="35" t="str">
        <f>IFERROR(__xludf.DUMMYFUNCTION("""COMPUTED_VALUE"""),"Most Frequent Number Following Key In an Array")</f>
        <v>Most Frequent Number Following Key In an Array</v>
      </c>
      <c r="C2191" s="35" t="str">
        <f>IFERROR(__xludf.DUMMYFUNCTION("""COMPUTED_VALUE"""),"most-frequent-number-following-key-in-an-array")</f>
        <v>most-frequent-number-following-key-in-an-array</v>
      </c>
      <c r="D2191" s="35" t="b">
        <f>IFERROR(__xludf.DUMMYFUNCTION("""COMPUTED_VALUE"""),FALSE)</f>
        <v>0</v>
      </c>
      <c r="E2191" s="35" t="str">
        <f>IFERROR(__xludf.DUMMYFUNCTION("""COMPUTED_VALUE"""),"Easy")</f>
        <v>Easy</v>
      </c>
      <c r="F2191" s="35">
        <f>IFERROR(__xludf.DUMMYFUNCTION("""COMPUTED_VALUE"""),104.0)</f>
        <v>104</v>
      </c>
      <c r="G2191" s="35">
        <f>IFERROR(__xludf.DUMMYFUNCTION("""COMPUTED_VALUE"""),50.0)</f>
        <v>50</v>
      </c>
      <c r="H2191" s="35" t="str">
        <f>IFERROR(__xludf.DUMMYFUNCTION("""COMPUTED_VALUE"""),"Algorithms")</f>
        <v>Algorithms</v>
      </c>
      <c r="I2191" s="35">
        <f>IFERROR(__xludf.DUMMYFUNCTION("""COMPUTED_VALUE"""),0.601)</f>
        <v>0.601</v>
      </c>
      <c r="J2191" s="35">
        <f>IFERROR(__xludf.DUMMYFUNCTION("""COMPUTED_VALUE"""),2190.0)</f>
        <v>2190</v>
      </c>
      <c r="K2191" s="35" t="b">
        <f>IFERROR(__xludf.DUMMYFUNCTION("""COMPUTED_VALUE"""),FALSE)</f>
        <v>0</v>
      </c>
      <c r="L2191" s="35" t="str">
        <f>IFERROR(__xludf.DUMMYFUNCTION("""COMPUTED_VALUE"""),"Array;Hash Table;Counting;")</f>
        <v>Array;Hash Table;Counting;</v>
      </c>
      <c r="M2191" s="35" t="b">
        <f>IFERROR(__xludf.DUMMYFUNCTION("""COMPUTED_VALUE"""),FALSE)</f>
        <v>0</v>
      </c>
      <c r="N2191" s="35" t="b">
        <f>IFERROR(__xludf.DUMMYFUNCTION("""COMPUTED_VALUE"""),FALSE)</f>
        <v>0</v>
      </c>
      <c r="O2191" s="35">
        <f>IFERROR(__xludf.DUMMYFUNCTION("""COMPUTED_VALUE"""),60.1052913357722)</f>
        <v>60.10529134</v>
      </c>
      <c r="P2191" s="35">
        <f>IFERROR(__xludf.DUMMYFUNCTION("""COMPUTED_VALUE"""),13466.0)</f>
        <v>13466</v>
      </c>
      <c r="Q2191" s="35">
        <f>IFERROR(__xludf.DUMMYFUNCTION("""COMPUTED_VALUE"""),22406.0)</f>
        <v>22406</v>
      </c>
    </row>
    <row r="2192">
      <c r="A2192" s="35">
        <f>IFERROR(__xludf.DUMMYFUNCTION("""COMPUTED_VALUE"""),1333.0)</f>
        <v>1333</v>
      </c>
      <c r="B2192" s="35" t="str">
        <f>IFERROR(__xludf.DUMMYFUNCTION("""COMPUTED_VALUE"""),"Sort the Jumbled Numbers")</f>
        <v>Sort the Jumbled Numbers</v>
      </c>
      <c r="C2192" s="35" t="str">
        <f>IFERROR(__xludf.DUMMYFUNCTION("""COMPUTED_VALUE"""),"sort-the-jumbled-numbers")</f>
        <v>sort-the-jumbled-numbers</v>
      </c>
      <c r="D2192" s="35" t="b">
        <f>IFERROR(__xludf.DUMMYFUNCTION("""COMPUTED_VALUE"""),FALSE)</f>
        <v>0</v>
      </c>
      <c r="E2192" s="35" t="str">
        <f>IFERROR(__xludf.DUMMYFUNCTION("""COMPUTED_VALUE"""),"Medium")</f>
        <v>Medium</v>
      </c>
      <c r="F2192" s="35">
        <f>IFERROR(__xludf.DUMMYFUNCTION("""COMPUTED_VALUE"""),182.0)</f>
        <v>182</v>
      </c>
      <c r="G2192" s="35">
        <f>IFERROR(__xludf.DUMMYFUNCTION("""COMPUTED_VALUE"""),19.0)</f>
        <v>19</v>
      </c>
      <c r="H2192" s="35" t="str">
        <f>IFERROR(__xludf.DUMMYFUNCTION("""COMPUTED_VALUE"""),"Algorithms")</f>
        <v>Algorithms</v>
      </c>
      <c r="I2192" s="35">
        <f>IFERROR(__xludf.DUMMYFUNCTION("""COMPUTED_VALUE"""),0.419)</f>
        <v>0.419</v>
      </c>
      <c r="J2192" s="35">
        <f>IFERROR(__xludf.DUMMYFUNCTION("""COMPUTED_VALUE"""),2191.0)</f>
        <v>2191</v>
      </c>
      <c r="K2192" s="35" t="b">
        <f>IFERROR(__xludf.DUMMYFUNCTION("""COMPUTED_VALUE"""),FALSE)</f>
        <v>0</v>
      </c>
      <c r="L2192" s="35" t="str">
        <f>IFERROR(__xludf.DUMMYFUNCTION("""COMPUTED_VALUE"""),"Array;Sorting;")</f>
        <v>Array;Sorting;</v>
      </c>
      <c r="M2192" s="35" t="b">
        <f>IFERROR(__xludf.DUMMYFUNCTION("""COMPUTED_VALUE"""),FALSE)</f>
        <v>0</v>
      </c>
      <c r="N2192" s="35" t="b">
        <f>IFERROR(__xludf.DUMMYFUNCTION("""COMPUTED_VALUE"""),FALSE)</f>
        <v>0</v>
      </c>
      <c r="O2192" s="35">
        <f>IFERROR(__xludf.DUMMYFUNCTION("""COMPUTED_VALUE"""),41.9072507051601)</f>
        <v>41.90725071</v>
      </c>
      <c r="P2192" s="35">
        <f>IFERROR(__xludf.DUMMYFUNCTION("""COMPUTED_VALUE"""),10101.0)</f>
        <v>10101</v>
      </c>
      <c r="Q2192" s="35">
        <f>IFERROR(__xludf.DUMMYFUNCTION("""COMPUTED_VALUE"""),24105.0)</f>
        <v>24105</v>
      </c>
    </row>
    <row r="2193">
      <c r="A2193" s="35">
        <f>IFERROR(__xludf.DUMMYFUNCTION("""COMPUTED_VALUE"""),1431.0)</f>
        <v>1431</v>
      </c>
      <c r="B2193" s="35" t="str">
        <f>IFERROR(__xludf.DUMMYFUNCTION("""COMPUTED_VALUE"""),"All Ancestors of a Node in a Directed Acyclic Graph")</f>
        <v>All Ancestors of a Node in a Directed Acyclic Graph</v>
      </c>
      <c r="C2193" s="35" t="str">
        <f>IFERROR(__xludf.DUMMYFUNCTION("""COMPUTED_VALUE"""),"all-ancestors-of-a-node-in-a-directed-acyclic-graph")</f>
        <v>all-ancestors-of-a-node-in-a-directed-acyclic-graph</v>
      </c>
      <c r="D2193" s="35" t="b">
        <f>IFERROR(__xludf.DUMMYFUNCTION("""COMPUTED_VALUE"""),FALSE)</f>
        <v>0</v>
      </c>
      <c r="E2193" s="35" t="str">
        <f>IFERROR(__xludf.DUMMYFUNCTION("""COMPUTED_VALUE"""),"Medium")</f>
        <v>Medium</v>
      </c>
      <c r="F2193" s="35">
        <f>IFERROR(__xludf.DUMMYFUNCTION("""COMPUTED_VALUE"""),262.0)</f>
        <v>262</v>
      </c>
      <c r="G2193" s="35">
        <f>IFERROR(__xludf.DUMMYFUNCTION("""COMPUTED_VALUE"""),3.0)</f>
        <v>3</v>
      </c>
      <c r="H2193" s="35" t="str">
        <f>IFERROR(__xludf.DUMMYFUNCTION("""COMPUTED_VALUE"""),"Algorithms")</f>
        <v>Algorithms</v>
      </c>
      <c r="I2193" s="35">
        <f>IFERROR(__xludf.DUMMYFUNCTION("""COMPUTED_VALUE"""),0.432)</f>
        <v>0.432</v>
      </c>
      <c r="J2193" s="35">
        <f>IFERROR(__xludf.DUMMYFUNCTION("""COMPUTED_VALUE"""),2192.0)</f>
        <v>2192</v>
      </c>
      <c r="K2193" s="35" t="b">
        <f>IFERROR(__xludf.DUMMYFUNCTION("""COMPUTED_VALUE"""),FALSE)</f>
        <v>0</v>
      </c>
      <c r="L2193" s="35" t="str">
        <f>IFERROR(__xludf.DUMMYFUNCTION("""COMPUTED_VALUE"""),"Depth-First Search;Breadth-First Search;Graph;Topological Sort;")</f>
        <v>Depth-First Search;Breadth-First Search;Graph;Topological Sort;</v>
      </c>
      <c r="M2193" s="35" t="b">
        <f>IFERROR(__xludf.DUMMYFUNCTION("""COMPUTED_VALUE"""),FALSE)</f>
        <v>0</v>
      </c>
      <c r="N2193" s="35" t="b">
        <f>IFERROR(__xludf.DUMMYFUNCTION("""COMPUTED_VALUE"""),FALSE)</f>
        <v>0</v>
      </c>
      <c r="O2193" s="35">
        <f>IFERROR(__xludf.DUMMYFUNCTION("""COMPUTED_VALUE"""),43.2307121661721)</f>
        <v>43.23071217</v>
      </c>
      <c r="P2193" s="35">
        <f>IFERROR(__xludf.DUMMYFUNCTION("""COMPUTED_VALUE"""),6991.0)</f>
        <v>6991</v>
      </c>
      <c r="Q2193" s="35">
        <f>IFERROR(__xludf.DUMMYFUNCTION("""COMPUTED_VALUE"""),16172.0)</f>
        <v>16172</v>
      </c>
    </row>
    <row r="2194">
      <c r="A2194" s="35">
        <f>IFERROR(__xludf.DUMMYFUNCTION("""COMPUTED_VALUE"""),1356.0)</f>
        <v>1356</v>
      </c>
      <c r="B2194" s="35" t="str">
        <f>IFERROR(__xludf.DUMMYFUNCTION("""COMPUTED_VALUE"""),"Minimum Number of Moves to Make Palindrome")</f>
        <v>Minimum Number of Moves to Make Palindrome</v>
      </c>
      <c r="C2194" s="35" t="str">
        <f>IFERROR(__xludf.DUMMYFUNCTION("""COMPUTED_VALUE"""),"minimum-number-of-moves-to-make-palindrome")</f>
        <v>minimum-number-of-moves-to-make-palindrome</v>
      </c>
      <c r="D2194" s="35" t="b">
        <f>IFERROR(__xludf.DUMMYFUNCTION("""COMPUTED_VALUE"""),FALSE)</f>
        <v>0</v>
      </c>
      <c r="E2194" s="35" t="str">
        <f>IFERROR(__xludf.DUMMYFUNCTION("""COMPUTED_VALUE"""),"Hard")</f>
        <v>Hard</v>
      </c>
      <c r="F2194" s="35">
        <f>IFERROR(__xludf.DUMMYFUNCTION("""COMPUTED_VALUE"""),127.0)</f>
        <v>127</v>
      </c>
      <c r="G2194" s="35">
        <f>IFERROR(__xludf.DUMMYFUNCTION("""COMPUTED_VALUE"""),47.0)</f>
        <v>47</v>
      </c>
      <c r="H2194" s="35" t="str">
        <f>IFERROR(__xludf.DUMMYFUNCTION("""COMPUTED_VALUE"""),"Algorithms")</f>
        <v>Algorithms</v>
      </c>
      <c r="I2194" s="35">
        <f>IFERROR(__xludf.DUMMYFUNCTION("""COMPUTED_VALUE"""),0.39)</f>
        <v>0.39</v>
      </c>
      <c r="J2194" s="35">
        <f>IFERROR(__xludf.DUMMYFUNCTION("""COMPUTED_VALUE"""),2193.0)</f>
        <v>2193</v>
      </c>
      <c r="K2194" s="35" t="b">
        <f>IFERROR(__xludf.DUMMYFUNCTION("""COMPUTED_VALUE"""),FALSE)</f>
        <v>0</v>
      </c>
      <c r="L2194" s="35" t="str">
        <f>IFERROR(__xludf.DUMMYFUNCTION("""COMPUTED_VALUE"""),"Two Pointers;String;Greedy;Binary Indexed Tree;")</f>
        <v>Two Pointers;String;Greedy;Binary Indexed Tree;</v>
      </c>
      <c r="M2194" s="35" t="b">
        <f>IFERROR(__xludf.DUMMYFUNCTION("""COMPUTED_VALUE"""),FALSE)</f>
        <v>0</v>
      </c>
      <c r="N2194" s="35" t="b">
        <f>IFERROR(__xludf.DUMMYFUNCTION("""COMPUTED_VALUE"""),FALSE)</f>
        <v>0</v>
      </c>
      <c r="O2194" s="35">
        <f>IFERROR(__xludf.DUMMYFUNCTION("""COMPUTED_VALUE"""),39.0006419858763)</f>
        <v>39.00064199</v>
      </c>
      <c r="P2194" s="35">
        <f>IFERROR(__xludf.DUMMYFUNCTION("""COMPUTED_VALUE"""),3641.0)</f>
        <v>3641</v>
      </c>
      <c r="Q2194" s="35">
        <f>IFERROR(__xludf.DUMMYFUNCTION("""COMPUTED_VALUE"""),9341.0)</f>
        <v>9341</v>
      </c>
    </row>
    <row r="2195">
      <c r="A2195" s="35">
        <f>IFERROR(__xludf.DUMMYFUNCTION("""COMPUTED_VALUE"""),2304.0)</f>
        <v>2304</v>
      </c>
      <c r="B2195" s="35" t="str">
        <f>IFERROR(__xludf.DUMMYFUNCTION("""COMPUTED_VALUE"""),"Cells in a Range on an Excel Sheet")</f>
        <v>Cells in a Range on an Excel Sheet</v>
      </c>
      <c r="C2195" s="35" t="str">
        <f>IFERROR(__xludf.DUMMYFUNCTION("""COMPUTED_VALUE"""),"cells-in-a-range-on-an-excel-sheet")</f>
        <v>cells-in-a-range-on-an-excel-sheet</v>
      </c>
      <c r="D2195" s="35" t="b">
        <f>IFERROR(__xludf.DUMMYFUNCTION("""COMPUTED_VALUE"""),FALSE)</f>
        <v>0</v>
      </c>
      <c r="E2195" s="35" t="str">
        <f>IFERROR(__xludf.DUMMYFUNCTION("""COMPUTED_VALUE"""),"Easy")</f>
        <v>Easy</v>
      </c>
      <c r="F2195" s="35">
        <f>IFERROR(__xludf.DUMMYFUNCTION("""COMPUTED_VALUE"""),87.0)</f>
        <v>87</v>
      </c>
      <c r="G2195" s="35">
        <f>IFERROR(__xludf.DUMMYFUNCTION("""COMPUTED_VALUE"""),24.0)</f>
        <v>24</v>
      </c>
      <c r="H2195" s="35" t="str">
        <f>IFERROR(__xludf.DUMMYFUNCTION("""COMPUTED_VALUE"""),"Algorithms")</f>
        <v>Algorithms</v>
      </c>
      <c r="I2195" s="35">
        <f>IFERROR(__xludf.DUMMYFUNCTION("""COMPUTED_VALUE"""),0.85)</f>
        <v>0.85</v>
      </c>
      <c r="J2195" s="35">
        <f>IFERROR(__xludf.DUMMYFUNCTION("""COMPUTED_VALUE"""),2194.0)</f>
        <v>2194</v>
      </c>
      <c r="K2195" s="35" t="b">
        <f>IFERROR(__xludf.DUMMYFUNCTION("""COMPUTED_VALUE"""),FALSE)</f>
        <v>0</v>
      </c>
      <c r="L2195" s="35" t="str">
        <f>IFERROR(__xludf.DUMMYFUNCTION("""COMPUTED_VALUE"""),"String;")</f>
        <v>String;</v>
      </c>
      <c r="M2195" s="35" t="b">
        <f>IFERROR(__xludf.DUMMYFUNCTION("""COMPUTED_VALUE"""),FALSE)</f>
        <v>0</v>
      </c>
      <c r="N2195" s="35" t="b">
        <f>IFERROR(__xludf.DUMMYFUNCTION("""COMPUTED_VALUE"""),FALSE)</f>
        <v>0</v>
      </c>
      <c r="O2195" s="35">
        <f>IFERROR(__xludf.DUMMYFUNCTION("""COMPUTED_VALUE"""),85.0458273034249)</f>
        <v>85.0458273</v>
      </c>
      <c r="P2195" s="35">
        <f>IFERROR(__xludf.DUMMYFUNCTION("""COMPUTED_VALUE"""),15864.0)</f>
        <v>15864</v>
      </c>
      <c r="Q2195" s="35">
        <f>IFERROR(__xludf.DUMMYFUNCTION("""COMPUTED_VALUE"""),18654.0)</f>
        <v>18654</v>
      </c>
    </row>
    <row r="2196">
      <c r="A2196" s="35">
        <f>IFERROR(__xludf.DUMMYFUNCTION("""COMPUTED_VALUE"""),2305.0)</f>
        <v>2305</v>
      </c>
      <c r="B2196" s="35" t="str">
        <f>IFERROR(__xludf.DUMMYFUNCTION("""COMPUTED_VALUE"""),"Append K Integers With Minimal Sum")</f>
        <v>Append K Integers With Minimal Sum</v>
      </c>
      <c r="C2196" s="35" t="str">
        <f>IFERROR(__xludf.DUMMYFUNCTION("""COMPUTED_VALUE"""),"append-k-integers-with-minimal-sum")</f>
        <v>append-k-integers-with-minimal-sum</v>
      </c>
      <c r="D2196" s="35" t="b">
        <f>IFERROR(__xludf.DUMMYFUNCTION("""COMPUTED_VALUE"""),FALSE)</f>
        <v>0</v>
      </c>
      <c r="E2196" s="35" t="str">
        <f>IFERROR(__xludf.DUMMYFUNCTION("""COMPUTED_VALUE"""),"Medium")</f>
        <v>Medium</v>
      </c>
      <c r="F2196" s="35">
        <f>IFERROR(__xludf.DUMMYFUNCTION("""COMPUTED_VALUE"""),242.0)</f>
        <v>242</v>
      </c>
      <c r="G2196" s="35">
        <f>IFERROR(__xludf.DUMMYFUNCTION("""COMPUTED_VALUE"""),202.0)</f>
        <v>202</v>
      </c>
      <c r="H2196" s="35" t="str">
        <f>IFERROR(__xludf.DUMMYFUNCTION("""COMPUTED_VALUE"""),"Algorithms")</f>
        <v>Algorithms</v>
      </c>
      <c r="I2196" s="35">
        <f>IFERROR(__xludf.DUMMYFUNCTION("""COMPUTED_VALUE"""),0.221)</f>
        <v>0.221</v>
      </c>
      <c r="J2196" s="35">
        <f>IFERROR(__xludf.DUMMYFUNCTION("""COMPUTED_VALUE"""),2195.0)</f>
        <v>2195</v>
      </c>
      <c r="K2196" s="35" t="b">
        <f>IFERROR(__xludf.DUMMYFUNCTION("""COMPUTED_VALUE"""),FALSE)</f>
        <v>0</v>
      </c>
      <c r="L2196" s="35" t="str">
        <f>IFERROR(__xludf.DUMMYFUNCTION("""COMPUTED_VALUE"""),"Array;Math;Greedy;Sorting;")</f>
        <v>Array;Math;Greedy;Sorting;</v>
      </c>
      <c r="M2196" s="35" t="b">
        <f>IFERROR(__xludf.DUMMYFUNCTION("""COMPUTED_VALUE"""),FALSE)</f>
        <v>0</v>
      </c>
      <c r="N2196" s="35" t="b">
        <f>IFERROR(__xludf.DUMMYFUNCTION("""COMPUTED_VALUE"""),FALSE)</f>
        <v>0</v>
      </c>
      <c r="O2196" s="35">
        <f>IFERROR(__xludf.DUMMYFUNCTION("""COMPUTED_VALUE"""),22.0888545218094)</f>
        <v>22.08885452</v>
      </c>
      <c r="P2196" s="35">
        <f>IFERROR(__xludf.DUMMYFUNCTION("""COMPUTED_VALUE"""),12566.0)</f>
        <v>12566</v>
      </c>
      <c r="Q2196" s="35">
        <f>IFERROR(__xludf.DUMMYFUNCTION("""COMPUTED_VALUE"""),56885.0)</f>
        <v>56885</v>
      </c>
    </row>
    <row r="2197">
      <c r="A2197" s="35">
        <f>IFERROR(__xludf.DUMMYFUNCTION("""COMPUTED_VALUE"""),2306.0)</f>
        <v>2306</v>
      </c>
      <c r="B2197" s="35" t="str">
        <f>IFERROR(__xludf.DUMMYFUNCTION("""COMPUTED_VALUE"""),"Create Binary Tree From Descriptions")</f>
        <v>Create Binary Tree From Descriptions</v>
      </c>
      <c r="C2197" s="35" t="str">
        <f>IFERROR(__xludf.DUMMYFUNCTION("""COMPUTED_VALUE"""),"create-binary-tree-from-descriptions")</f>
        <v>create-binary-tree-from-descriptions</v>
      </c>
      <c r="D2197" s="35" t="b">
        <f>IFERROR(__xludf.DUMMYFUNCTION("""COMPUTED_VALUE"""),FALSE)</f>
        <v>0</v>
      </c>
      <c r="E2197" s="35" t="str">
        <f>IFERROR(__xludf.DUMMYFUNCTION("""COMPUTED_VALUE"""),"Medium")</f>
        <v>Medium</v>
      </c>
      <c r="F2197" s="35">
        <f>IFERROR(__xludf.DUMMYFUNCTION("""COMPUTED_VALUE"""),240.0)</f>
        <v>240</v>
      </c>
      <c r="G2197" s="35">
        <f>IFERROR(__xludf.DUMMYFUNCTION("""COMPUTED_VALUE"""),7.0)</f>
        <v>7</v>
      </c>
      <c r="H2197" s="35" t="str">
        <f>IFERROR(__xludf.DUMMYFUNCTION("""COMPUTED_VALUE"""),"Algorithms")</f>
        <v>Algorithms</v>
      </c>
      <c r="I2197" s="35">
        <f>IFERROR(__xludf.DUMMYFUNCTION("""COMPUTED_VALUE"""),0.694)</f>
        <v>0.694</v>
      </c>
      <c r="J2197" s="35">
        <f>IFERROR(__xludf.DUMMYFUNCTION("""COMPUTED_VALUE"""),2196.0)</f>
        <v>2196</v>
      </c>
      <c r="K2197" s="35" t="b">
        <f>IFERROR(__xludf.DUMMYFUNCTION("""COMPUTED_VALUE"""),FALSE)</f>
        <v>0</v>
      </c>
      <c r="L2197" s="35" t="str">
        <f>IFERROR(__xludf.DUMMYFUNCTION("""COMPUTED_VALUE"""),"Array;Hash Table;Tree;Depth-First Search;Breadth-First Search;Binary Tree;")</f>
        <v>Array;Hash Table;Tree;Depth-First Search;Breadth-First Search;Binary Tree;</v>
      </c>
      <c r="M2197" s="35" t="b">
        <f>IFERROR(__xludf.DUMMYFUNCTION("""COMPUTED_VALUE"""),FALSE)</f>
        <v>0</v>
      </c>
      <c r="N2197" s="35" t="b">
        <f>IFERROR(__xludf.DUMMYFUNCTION("""COMPUTED_VALUE"""),FALSE)</f>
        <v>0</v>
      </c>
      <c r="O2197" s="35">
        <f>IFERROR(__xludf.DUMMYFUNCTION("""COMPUTED_VALUE"""),69.436029648727)</f>
        <v>69.43602965</v>
      </c>
      <c r="P2197" s="35">
        <f>IFERROR(__xludf.DUMMYFUNCTION("""COMPUTED_VALUE"""),10768.0)</f>
        <v>10768</v>
      </c>
      <c r="Q2197" s="35">
        <f>IFERROR(__xludf.DUMMYFUNCTION("""COMPUTED_VALUE"""),15509.0)</f>
        <v>15509</v>
      </c>
    </row>
    <row r="2198">
      <c r="A2198" s="35">
        <f>IFERROR(__xludf.DUMMYFUNCTION("""COMPUTED_VALUE"""),2307.0)</f>
        <v>2307</v>
      </c>
      <c r="B2198" s="35" t="str">
        <f>IFERROR(__xludf.DUMMYFUNCTION("""COMPUTED_VALUE"""),"Replace Non-Coprime Numbers in Array")</f>
        <v>Replace Non-Coprime Numbers in Array</v>
      </c>
      <c r="C2198" s="35" t="str">
        <f>IFERROR(__xludf.DUMMYFUNCTION("""COMPUTED_VALUE"""),"replace-non-coprime-numbers-in-array")</f>
        <v>replace-non-coprime-numbers-in-array</v>
      </c>
      <c r="D2198" s="35" t="b">
        <f>IFERROR(__xludf.DUMMYFUNCTION("""COMPUTED_VALUE"""),FALSE)</f>
        <v>0</v>
      </c>
      <c r="E2198" s="35" t="str">
        <f>IFERROR(__xludf.DUMMYFUNCTION("""COMPUTED_VALUE"""),"Hard")</f>
        <v>Hard</v>
      </c>
      <c r="F2198" s="35">
        <f>IFERROR(__xludf.DUMMYFUNCTION("""COMPUTED_VALUE"""),169.0)</f>
        <v>169</v>
      </c>
      <c r="G2198" s="35">
        <f>IFERROR(__xludf.DUMMYFUNCTION("""COMPUTED_VALUE"""),5.0)</f>
        <v>5</v>
      </c>
      <c r="H2198" s="35" t="str">
        <f>IFERROR(__xludf.DUMMYFUNCTION("""COMPUTED_VALUE"""),"Algorithms")</f>
        <v>Algorithms</v>
      </c>
      <c r="I2198" s="35">
        <f>IFERROR(__xludf.DUMMYFUNCTION("""COMPUTED_VALUE"""),0.332)</f>
        <v>0.332</v>
      </c>
      <c r="J2198" s="35">
        <f>IFERROR(__xludf.DUMMYFUNCTION("""COMPUTED_VALUE"""),2197.0)</f>
        <v>2197</v>
      </c>
      <c r="K2198" s="35" t="b">
        <f>IFERROR(__xludf.DUMMYFUNCTION("""COMPUTED_VALUE"""),FALSE)</f>
        <v>0</v>
      </c>
      <c r="L2198" s="35" t="str">
        <f>IFERROR(__xludf.DUMMYFUNCTION("""COMPUTED_VALUE"""),"Array;Math;Stack;Number Theory;")</f>
        <v>Array;Math;Stack;Number Theory;</v>
      </c>
      <c r="M2198" s="35" t="b">
        <f>IFERROR(__xludf.DUMMYFUNCTION("""COMPUTED_VALUE"""),FALSE)</f>
        <v>0</v>
      </c>
      <c r="N2198" s="35" t="b">
        <f>IFERROR(__xludf.DUMMYFUNCTION("""COMPUTED_VALUE"""),FALSE)</f>
        <v>0</v>
      </c>
      <c r="O2198" s="35">
        <f>IFERROR(__xludf.DUMMYFUNCTION("""COMPUTED_VALUE"""),33.2608951016093)</f>
        <v>33.2608951</v>
      </c>
      <c r="P2198" s="35">
        <f>IFERROR(__xludf.DUMMYFUNCTION("""COMPUTED_VALUE"""),5655.0)</f>
        <v>5655</v>
      </c>
      <c r="Q2198" s="35">
        <f>IFERROR(__xludf.DUMMYFUNCTION("""COMPUTED_VALUE"""),17014.0)</f>
        <v>17014</v>
      </c>
    </row>
    <row r="2199">
      <c r="A2199" s="35">
        <f>IFERROR(__xludf.DUMMYFUNCTION("""COMPUTED_VALUE"""),1383.0)</f>
        <v>1383</v>
      </c>
      <c r="B2199" s="35" t="str">
        <f>IFERROR(__xludf.DUMMYFUNCTION("""COMPUTED_VALUE"""),"Number of Single Divisor Triplets")</f>
        <v>Number of Single Divisor Triplets</v>
      </c>
      <c r="C2199" s="35" t="str">
        <f>IFERROR(__xludf.DUMMYFUNCTION("""COMPUTED_VALUE"""),"number-of-single-divisor-triplets")</f>
        <v>number-of-single-divisor-triplets</v>
      </c>
      <c r="D2199" s="35" t="b">
        <f>IFERROR(__xludf.DUMMYFUNCTION("""COMPUTED_VALUE"""),TRUE)</f>
        <v>1</v>
      </c>
      <c r="E2199" s="35" t="str">
        <f>IFERROR(__xludf.DUMMYFUNCTION("""COMPUTED_VALUE"""),"Medium")</f>
        <v>Medium</v>
      </c>
      <c r="F2199" s="35">
        <f>IFERROR(__xludf.DUMMYFUNCTION("""COMPUTED_VALUE"""),8.0)</f>
        <v>8</v>
      </c>
      <c r="G2199" s="35">
        <f>IFERROR(__xludf.DUMMYFUNCTION("""COMPUTED_VALUE"""),0.0)</f>
        <v>0</v>
      </c>
      <c r="H2199" s="35" t="str">
        <f>IFERROR(__xludf.DUMMYFUNCTION("""COMPUTED_VALUE"""),"Algorithms")</f>
        <v>Algorithms</v>
      </c>
      <c r="I2199" s="35">
        <f>IFERROR(__xludf.DUMMYFUNCTION("""COMPUTED_VALUE"""),0.614)</f>
        <v>0.614</v>
      </c>
      <c r="J2199" s="35">
        <f>IFERROR(__xludf.DUMMYFUNCTION("""COMPUTED_VALUE"""),2198.0)</f>
        <v>2198</v>
      </c>
      <c r="K2199" s="35" t="b">
        <f>IFERROR(__xludf.DUMMYFUNCTION("""COMPUTED_VALUE"""),TRUE)</f>
        <v>1</v>
      </c>
      <c r="L2199" s="35" t="str">
        <f>IFERROR(__xludf.DUMMYFUNCTION("""COMPUTED_VALUE"""),"Math;")</f>
        <v>Math;</v>
      </c>
      <c r="M2199" s="35" t="b">
        <f>IFERROR(__xludf.DUMMYFUNCTION("""COMPUTED_VALUE"""),FALSE)</f>
        <v>0</v>
      </c>
      <c r="N2199" s="35" t="b">
        <f>IFERROR(__xludf.DUMMYFUNCTION("""COMPUTED_VALUE"""),FALSE)</f>
        <v>0</v>
      </c>
      <c r="O2199" s="35">
        <f>IFERROR(__xludf.DUMMYFUNCTION("""COMPUTED_VALUE"""),61.4705882352941)</f>
        <v>61.47058824</v>
      </c>
      <c r="P2199" s="35">
        <f>IFERROR(__xludf.DUMMYFUNCTION("""COMPUTED_VALUE"""),208.0)</f>
        <v>208</v>
      </c>
      <c r="Q2199" s="35">
        <f>IFERROR(__xludf.DUMMYFUNCTION("""COMPUTED_VALUE"""),339.0)</f>
        <v>339</v>
      </c>
    </row>
    <row r="3000">
      <c r="A3000" s="36" t="str">
        <f>IFERROR(__xludf.DUMMYFUNCTION("IMPORTDATA(""https://api.github.com/repos/adixmr/leetcode"", "","")"),"{""id"":467902538")</f>
        <v>{"id":467902538</v>
      </c>
      <c r="B3000" s="35" t="str">
        <f>IFERROR(__xludf.DUMMYFUNCTION("""COMPUTED_VALUE"""),"node_id:""R_kgDOG-OgSg""")</f>
        <v>node_id:"R_kgDOG-OgSg"</v>
      </c>
      <c r="C3000" s="35" t="str">
        <f>IFERROR(__xludf.DUMMYFUNCTION("""COMPUTED_VALUE"""),"name:""leetcode""")</f>
        <v>name:"leetcode"</v>
      </c>
      <c r="D3000" s="35" t="str">
        <f>IFERROR(__xludf.DUMMYFUNCTION("""COMPUTED_VALUE"""),"full_name:""adixmr/leetcode""")</f>
        <v>full_name:"adixmr/leetcode"</v>
      </c>
      <c r="E3000" s="35" t="str">
        <f>IFERROR(__xludf.DUMMYFUNCTION("""COMPUTED_VALUE"""),"private:false")</f>
        <v>private:false</v>
      </c>
      <c r="F3000" s="35" t="str">
        <f>IFERROR(__xludf.DUMMYFUNCTION("""COMPUTED_VALUE"""),"owner:{""login"":""adixmr""")</f>
        <v>owner:{"login":"adixmr"</v>
      </c>
      <c r="G3000" s="35" t="str">
        <f>IFERROR(__xludf.DUMMYFUNCTION("""COMPUTED_VALUE"""),"id:42894359")</f>
        <v>id:42894359</v>
      </c>
      <c r="H3000" s="35" t="str">
        <f>IFERROR(__xludf.DUMMYFUNCTION("""COMPUTED_VALUE"""),"node_id:""MDQ6VXNlcjQyODk0MzU5""")</f>
        <v>node_id:"MDQ6VXNlcjQyODk0MzU5"</v>
      </c>
      <c r="I3000" s="35" t="str">
        <f>IFERROR(__xludf.DUMMYFUNCTION("""COMPUTED_VALUE"""),"avatar_url:""https://avatars.githubusercontent.com/u/42894359?v=4""")</f>
        <v>avatar_url:"https://avatars.githubusercontent.com/u/42894359?v=4"</v>
      </c>
      <c r="J3000" s="35" t="str">
        <f>IFERROR(__xludf.DUMMYFUNCTION("""COMPUTED_VALUE"""),"gravatar_id:""""")</f>
        <v>gravatar_id:""</v>
      </c>
      <c r="K3000" s="35" t="str">
        <f>IFERROR(__xludf.DUMMYFUNCTION("""COMPUTED_VALUE"""),"url:""https://api.github.com/users/adixmr""")</f>
        <v>url:"https://api.github.com/users/adixmr"</v>
      </c>
      <c r="L3000" s="35" t="str">
        <f>IFERROR(__xludf.DUMMYFUNCTION("""COMPUTED_VALUE"""),"html_url:""https://github.com/adixmr""")</f>
        <v>html_url:"https://github.com/adixmr"</v>
      </c>
      <c r="M3000" s="35" t="str">
        <f>IFERROR(__xludf.DUMMYFUNCTION("""COMPUTED_VALUE"""),"followers_url:""https://api.github.com/users/adixmr/followers""")</f>
        <v>followers_url:"https://api.github.com/users/adixmr/followers"</v>
      </c>
      <c r="N3000" s="35" t="str">
        <f>IFERROR(__xludf.DUMMYFUNCTION("""COMPUTED_VALUE"""),"following_url:""https://api.github.com/users/adixmr/following{/other_user}""")</f>
        <v>following_url:"https://api.github.com/users/adixmr/following{/other_user}"</v>
      </c>
      <c r="O3000" s="35" t="str">
        <f>IFERROR(__xludf.DUMMYFUNCTION("""COMPUTED_VALUE"""),"gists_url:""https://api.github.com/users/adixmr/gists{/gist_id}""")</f>
        <v>gists_url:"https://api.github.com/users/adixmr/gists{/gist_id}"</v>
      </c>
      <c r="P3000" s="35" t="str">
        <f>IFERROR(__xludf.DUMMYFUNCTION("""COMPUTED_VALUE"""),"starred_url:""https://api.github.com/users/adixmr/starred{/owner}{/repo}""")</f>
        <v>starred_url:"https://api.github.com/users/adixmr/starred{/owner}{/repo}"</v>
      </c>
      <c r="Q3000" s="35" t="str">
        <f>IFERROR(__xludf.DUMMYFUNCTION("""COMPUTED_VALUE"""),"subscriptions_url:""https://api.github.com/users/adixmr/subscriptions""")</f>
        <v>subscriptions_url:"https://api.github.com/users/adixmr/subscriptions"</v>
      </c>
      <c r="R3000" s="35" t="str">
        <f>IFERROR(__xludf.DUMMYFUNCTION("""COMPUTED_VALUE"""),"organizations_url:""https://api.github.com/users/adixmr/orgs""")</f>
        <v>organizations_url:"https://api.github.com/users/adixmr/orgs"</v>
      </c>
      <c r="S3000" s="35" t="str">
        <f>IFERROR(__xludf.DUMMYFUNCTION("""COMPUTED_VALUE"""),"repos_url:""https://api.github.com/users/adixmr/repos""")</f>
        <v>repos_url:"https://api.github.com/users/adixmr/repos"</v>
      </c>
      <c r="T3000" s="35" t="str">
        <f>IFERROR(__xludf.DUMMYFUNCTION("""COMPUTED_VALUE"""),"events_url:""https://api.github.com/users/adixmr/events{/privacy}""")</f>
        <v>events_url:"https://api.github.com/users/adixmr/events{/privacy}"</v>
      </c>
      <c r="U3000" s="35" t="str">
        <f>IFERROR(__xludf.DUMMYFUNCTION("""COMPUTED_VALUE"""),"received_events_url:""https://api.github.com/users/adixmr/received_events""")</f>
        <v>received_events_url:"https://api.github.com/users/adixmr/received_events"</v>
      </c>
      <c r="V3000" s="35" t="str">
        <f>IFERROR(__xludf.DUMMYFUNCTION("""COMPUTED_VALUE"""),"type:""User""")</f>
        <v>type:"User"</v>
      </c>
      <c r="W3000" s="35" t="str">
        <f>IFERROR(__xludf.DUMMYFUNCTION("""COMPUTED_VALUE"""),"site_admin:false}")</f>
        <v>site_admin:false}</v>
      </c>
      <c r="X3000" s="35" t="str">
        <f>IFERROR(__xludf.DUMMYFUNCTION("""COMPUTED_VALUE"""),"html_url:""https://github.com/adixmr/leetcode""")</f>
        <v>html_url:"https://github.com/adixmr/leetcode"</v>
      </c>
      <c r="Y3000" s="35" t="str">
        <f>IFERROR(__xludf.DUMMYFUNCTION("""COMPUTED_VALUE"""),"description:""Leetcode Questions - Sorted by likes")</f>
        <v>description:"Leetcode Questions - Sorted by likes</v>
      </c>
      <c r="Z3000" s="35" t="str">
        <f>IFERROR(__xludf.DUMMYFUNCTION("""COMPUTED_VALUE"""),"likes-dislikes ratio and much more""")</f>
        <v>likes-dislikes ratio and much more"</v>
      </c>
      <c r="AA3000" s="35" t="str">
        <f>IFERROR(__xludf.DUMMYFUNCTION("""COMPUTED_VALUE"""),"fork:false")</f>
        <v>fork:false</v>
      </c>
      <c r="AB3000" s="35" t="str">
        <f>IFERROR(__xludf.DUMMYFUNCTION("""COMPUTED_VALUE"""),"url:""https://api.github.com/repos/adixmr/leetcode""")</f>
        <v>url:"https://api.github.com/repos/adixmr/leetcode"</v>
      </c>
      <c r="AC3000" s="35" t="str">
        <f>IFERROR(__xludf.DUMMYFUNCTION("""COMPUTED_VALUE"""),"forks_url:""https://api.github.com/repos/adixmr/leetcode/forks""")</f>
        <v>forks_url:"https://api.github.com/repos/adixmr/leetcode/forks"</v>
      </c>
      <c r="AD3000" s="35" t="str">
        <f>IFERROR(__xludf.DUMMYFUNCTION("""COMPUTED_VALUE"""),"keys_url:""https://api.github.com/repos/adixmr/leetcode/keys{/key_id}""")</f>
        <v>keys_url:"https://api.github.com/repos/adixmr/leetcode/keys{/key_id}"</v>
      </c>
      <c r="AE3000" s="35" t="str">
        <f>IFERROR(__xludf.DUMMYFUNCTION("""COMPUTED_VALUE"""),"collaborators_url:""https://api.github.com/repos/adixmr/leetcode/collaborators{/collaborator}""")</f>
        <v>collaborators_url:"https://api.github.com/repos/adixmr/leetcode/collaborators{/collaborator}"</v>
      </c>
      <c r="AF3000" s="35" t="str">
        <f>IFERROR(__xludf.DUMMYFUNCTION("""COMPUTED_VALUE"""),"teams_url:""https://api.github.com/repos/adixmr/leetcode/teams""")</f>
        <v>teams_url:"https://api.github.com/repos/adixmr/leetcode/teams"</v>
      </c>
      <c r="AG3000" s="35" t="str">
        <f>IFERROR(__xludf.DUMMYFUNCTION("""COMPUTED_VALUE"""),"hooks_url:""https://api.github.com/repos/adixmr/leetcode/hooks""")</f>
        <v>hooks_url:"https://api.github.com/repos/adixmr/leetcode/hooks"</v>
      </c>
      <c r="AH3000" s="35" t="str">
        <f>IFERROR(__xludf.DUMMYFUNCTION("""COMPUTED_VALUE"""),"issue_events_url:""https://api.github.com/repos/adixmr/leetcode/issues/events{/number}""")</f>
        <v>issue_events_url:"https://api.github.com/repos/adixmr/leetcode/issues/events{/number}"</v>
      </c>
      <c r="AI3000" s="35" t="str">
        <f>IFERROR(__xludf.DUMMYFUNCTION("""COMPUTED_VALUE"""),"events_url:""https://api.github.com/repos/adixmr/leetcode/events""")</f>
        <v>events_url:"https://api.github.com/repos/adixmr/leetcode/events"</v>
      </c>
      <c r="AJ3000" s="35" t="str">
        <f>IFERROR(__xludf.DUMMYFUNCTION("""COMPUTED_VALUE"""),"assignees_url:""https://api.github.com/repos/adixmr/leetcode/assignees{/user}""")</f>
        <v>assignees_url:"https://api.github.com/repos/adixmr/leetcode/assignees{/user}"</v>
      </c>
      <c r="AK3000" s="35" t="str">
        <f>IFERROR(__xludf.DUMMYFUNCTION("""COMPUTED_VALUE"""),"branches_url:""https://api.github.com/repos/adixmr/leetcode/branches{/branch}""")</f>
        <v>branches_url:"https://api.github.com/repos/adixmr/leetcode/branches{/branch}"</v>
      </c>
      <c r="AL3000" s="35" t="str">
        <f>IFERROR(__xludf.DUMMYFUNCTION("""COMPUTED_VALUE"""),"tags_url:""https://api.github.com/repos/adixmr/leetcode/tags""")</f>
        <v>tags_url:"https://api.github.com/repos/adixmr/leetcode/tags"</v>
      </c>
      <c r="AM3000" s="35" t="str">
        <f>IFERROR(__xludf.DUMMYFUNCTION("""COMPUTED_VALUE"""),"blobs_url:""https://api.github.com/repos/adixmr/leetcode/git/blobs{/sha}""")</f>
        <v>blobs_url:"https://api.github.com/repos/adixmr/leetcode/git/blobs{/sha}"</v>
      </c>
      <c r="AN3000" s="35" t="str">
        <f>IFERROR(__xludf.DUMMYFUNCTION("""COMPUTED_VALUE"""),"git_tags_url:""https://api.github.com/repos/adixmr/leetcode/git/tags{/sha}""")</f>
        <v>git_tags_url:"https://api.github.com/repos/adixmr/leetcode/git/tags{/sha}"</v>
      </c>
      <c r="AO3000" s="35" t="str">
        <f>IFERROR(__xludf.DUMMYFUNCTION("""COMPUTED_VALUE"""),"git_refs_url:""https://api.github.com/repos/adixmr/leetcode/git/refs{/sha}""")</f>
        <v>git_refs_url:"https://api.github.com/repos/adixmr/leetcode/git/refs{/sha}"</v>
      </c>
      <c r="AP3000" s="35" t="str">
        <f>IFERROR(__xludf.DUMMYFUNCTION("""COMPUTED_VALUE"""),"trees_url:""https://api.github.com/repos/adixmr/leetcode/git/trees{/sha}""")</f>
        <v>trees_url:"https://api.github.com/repos/adixmr/leetcode/git/trees{/sha}"</v>
      </c>
      <c r="AQ3000" s="35" t="str">
        <f>IFERROR(__xludf.DUMMYFUNCTION("""COMPUTED_VALUE"""),"statuses_url:""https://api.github.com/repos/adixmr/leetcode/statuses/{sha}""")</f>
        <v>statuses_url:"https://api.github.com/repos/adixmr/leetcode/statuses/{sha}"</v>
      </c>
      <c r="AR3000" s="35" t="str">
        <f>IFERROR(__xludf.DUMMYFUNCTION("""COMPUTED_VALUE"""),"languages_url:""https://api.github.com/repos/adixmr/leetcode/languages""")</f>
        <v>languages_url:"https://api.github.com/repos/adixmr/leetcode/languages"</v>
      </c>
      <c r="AS3000" s="35" t="str">
        <f>IFERROR(__xludf.DUMMYFUNCTION("""COMPUTED_VALUE"""),"stargazers_url:""https://api.github.com/repos/adixmr/leetcode/stargazers""")</f>
        <v>stargazers_url:"https://api.github.com/repos/adixmr/leetcode/stargazers"</v>
      </c>
      <c r="AT3000" s="35" t="str">
        <f>IFERROR(__xludf.DUMMYFUNCTION("""COMPUTED_VALUE"""),"contributors_url:""https://api.github.com/repos/adixmr/leetcode/contributors""")</f>
        <v>contributors_url:"https://api.github.com/repos/adixmr/leetcode/contributors"</v>
      </c>
      <c r="AU3000" s="35" t="str">
        <f>IFERROR(__xludf.DUMMYFUNCTION("""COMPUTED_VALUE"""),"subscribers_url:""https://api.github.com/repos/adixmr/leetcode/subscribers""")</f>
        <v>subscribers_url:"https://api.github.com/repos/adixmr/leetcode/subscribers"</v>
      </c>
      <c r="AV3000" s="35" t="str">
        <f>IFERROR(__xludf.DUMMYFUNCTION("""COMPUTED_VALUE"""),"subscription_url:""https://api.github.com/repos/adixmr/leetcode/subscription""")</f>
        <v>subscription_url:"https://api.github.com/repos/adixmr/leetcode/subscription"</v>
      </c>
      <c r="AW3000" s="35" t="str">
        <f>IFERROR(__xludf.DUMMYFUNCTION("""COMPUTED_VALUE"""),"commits_url:""https://api.github.com/repos/adixmr/leetcode/commits{/sha}""")</f>
        <v>commits_url:"https://api.github.com/repos/adixmr/leetcode/commits{/sha}"</v>
      </c>
      <c r="AX3000" s="35" t="str">
        <f>IFERROR(__xludf.DUMMYFUNCTION("""COMPUTED_VALUE"""),"git_commits_url:""https://api.github.com/repos/adixmr/leetcode/git/commits{/sha}""")</f>
        <v>git_commits_url:"https://api.github.com/repos/adixmr/leetcode/git/commits{/sha}"</v>
      </c>
      <c r="AY3000" s="35" t="str">
        <f>IFERROR(__xludf.DUMMYFUNCTION("""COMPUTED_VALUE"""),"comments_url:""https://api.github.com/repos/adixmr/leetcode/comments{/number}""")</f>
        <v>comments_url:"https://api.github.com/repos/adixmr/leetcode/comments{/number}"</v>
      </c>
      <c r="AZ3000" s="35" t="str">
        <f>IFERROR(__xludf.DUMMYFUNCTION("""COMPUTED_VALUE"""),"issue_comment_url:""https://api.github.com/repos/adixmr/leetcode/issues/comments{/number}""")</f>
        <v>issue_comment_url:"https://api.github.com/repos/adixmr/leetcode/issues/comments{/number}"</v>
      </c>
      <c r="BA3000" s="35" t="str">
        <f>IFERROR(__xludf.DUMMYFUNCTION("""COMPUTED_VALUE"""),"contents_url:""https://api.github.com/repos/adixmr/leetcode/contents/{+path}""")</f>
        <v>contents_url:"https://api.github.com/repos/adixmr/leetcode/contents/{+path}"</v>
      </c>
      <c r="BB3000" s="35" t="str">
        <f>IFERROR(__xludf.DUMMYFUNCTION("""COMPUTED_VALUE"""),"compare_url:""https://api.github.com/repos/adixmr/leetcode/compare/{base}...{head}""")</f>
        <v>compare_url:"https://api.github.com/repos/adixmr/leetcode/compare/{base}...{head}"</v>
      </c>
      <c r="BC3000" s="35" t="str">
        <f>IFERROR(__xludf.DUMMYFUNCTION("""COMPUTED_VALUE"""),"merges_url:""https://api.github.com/repos/adixmr/leetcode/merges""")</f>
        <v>merges_url:"https://api.github.com/repos/adixmr/leetcode/merges"</v>
      </c>
      <c r="BD3000" s="35" t="str">
        <f>IFERROR(__xludf.DUMMYFUNCTION("""COMPUTED_VALUE"""),"archive_url:""https://api.github.com/repos/adixmr/leetcode/{archive_format}{/ref}""")</f>
        <v>archive_url:"https://api.github.com/repos/adixmr/leetcode/{archive_format}{/ref}"</v>
      </c>
      <c r="BE3000" s="35" t="str">
        <f>IFERROR(__xludf.DUMMYFUNCTION("""COMPUTED_VALUE"""),"downloads_url:""https://api.github.com/repos/adixmr/leetcode/downloads""")</f>
        <v>downloads_url:"https://api.github.com/repos/adixmr/leetcode/downloads"</v>
      </c>
      <c r="BF3000" s="35" t="str">
        <f>IFERROR(__xludf.DUMMYFUNCTION("""COMPUTED_VALUE"""),"issues_url:""https://api.github.com/repos/adixmr/leetcode/issues{/number}""")</f>
        <v>issues_url:"https://api.github.com/repos/adixmr/leetcode/issues{/number}"</v>
      </c>
      <c r="BG3000" s="35" t="str">
        <f>IFERROR(__xludf.DUMMYFUNCTION("""COMPUTED_VALUE"""),"pulls_url:""https://api.github.com/repos/adixmr/leetcode/pulls{/number}""")</f>
        <v>pulls_url:"https://api.github.com/repos/adixmr/leetcode/pulls{/number}"</v>
      </c>
      <c r="BH3000" s="35" t="str">
        <f>IFERROR(__xludf.DUMMYFUNCTION("""COMPUTED_VALUE"""),"milestones_url:""https://api.github.com/repos/adixmr/leetcode/milestones{/number}""")</f>
        <v>milestones_url:"https://api.github.com/repos/adixmr/leetcode/milestones{/number}"</v>
      </c>
      <c r="BI3000" s="35" t="str">
        <f>IFERROR(__xludf.DUMMYFUNCTION("""COMPUTED_VALUE"""),"notifications_url:""https://api.github.com/repos/adixmr/leetcode/notifications{?since")</f>
        <v>notifications_url:"https://api.github.com/repos/adixmr/leetcode/notifications{?since</v>
      </c>
      <c r="BJ3000" s="35" t="str">
        <f>IFERROR(__xludf.DUMMYFUNCTION("""COMPUTED_VALUE"""),"all")</f>
        <v>all</v>
      </c>
      <c r="BK3000" s="35" t="str">
        <f>IFERROR(__xludf.DUMMYFUNCTION("""COMPUTED_VALUE"""),"participating}""")</f>
        <v>participating}"</v>
      </c>
      <c r="BL3000" s="35" t="str">
        <f>IFERROR(__xludf.DUMMYFUNCTION("""COMPUTED_VALUE"""),"labels_url:""https://api.github.com/repos/adixmr/leetcode/labels{/name}""")</f>
        <v>labels_url:"https://api.github.com/repos/adixmr/leetcode/labels{/name}"</v>
      </c>
      <c r="BM3000" s="35" t="str">
        <f>IFERROR(__xludf.DUMMYFUNCTION("""COMPUTED_VALUE"""),"releases_url:""https://api.github.com/repos/adixmr/leetcode/releases{/id}""")</f>
        <v>releases_url:"https://api.github.com/repos/adixmr/leetcode/releases{/id}"</v>
      </c>
      <c r="BN3000" s="35" t="str">
        <f>IFERROR(__xludf.DUMMYFUNCTION("""COMPUTED_VALUE"""),"deployments_url:""https://api.github.com/repos/adixmr/leetcode/deployments""")</f>
        <v>deployments_url:"https://api.github.com/repos/adixmr/leetcode/deployments"</v>
      </c>
      <c r="BO3000" s="35" t="str">
        <f>IFERROR(__xludf.DUMMYFUNCTION("""COMPUTED_VALUE"""),"created_at:""2022-03-09T11:40:13Z""")</f>
        <v>created_at:"2022-03-09T11:40:13Z"</v>
      </c>
      <c r="BP3000" s="35" t="str">
        <f>IFERROR(__xludf.DUMMYFUNCTION("""COMPUTED_VALUE"""),"updated_at:""2022-03-12T11:40:59Z""")</f>
        <v>updated_at:"2022-03-12T11:40:59Z"</v>
      </c>
      <c r="BQ3000" s="35" t="str">
        <f>IFERROR(__xludf.DUMMYFUNCTION("""COMPUTED_VALUE"""),"pushed_at:""2022-03-11T19:31:02Z""")</f>
        <v>pushed_at:"2022-03-11T19:31:02Z"</v>
      </c>
      <c r="BR3000" s="35" t="str">
        <f>IFERROR(__xludf.DUMMYFUNCTION("""COMPUTED_VALUE"""),"git_url:""git://github.com/adixmr/leetcode.git""")</f>
        <v>git_url:"git://github.com/adixmr/leetcode.git"</v>
      </c>
      <c r="BS3000" s="35" t="str">
        <f>IFERROR(__xludf.DUMMYFUNCTION("""COMPUTED_VALUE"""),"ssh_url:""git@github.com:adixmr/leetcode.git""")</f>
        <v>ssh_url:"git@github.com:adixmr/leetcode.git"</v>
      </c>
      <c r="BT3000" s="35" t="str">
        <f>IFERROR(__xludf.DUMMYFUNCTION("""COMPUTED_VALUE"""),"clone_url:""https://github.com/adixmr/leetcode.git""")</f>
        <v>clone_url:"https://github.com/adixmr/leetcode.git"</v>
      </c>
      <c r="BU3000" s="35" t="str">
        <f>IFERROR(__xludf.DUMMYFUNCTION("""COMPUTED_VALUE"""),"svn_url:""https://github.com/adixmr/leetcode""")</f>
        <v>svn_url:"https://github.com/adixmr/leetcode"</v>
      </c>
      <c r="BV3000" s="35" t="str">
        <f>IFERROR(__xludf.DUMMYFUNCTION("""COMPUTED_VALUE"""),"homepage:""https://adityarajput.com/leetcode/""")</f>
        <v>homepage:"https://adityarajput.com/leetcode/"</v>
      </c>
      <c r="BW3000" s="35" t="str">
        <f>IFERROR(__xludf.DUMMYFUNCTION("""COMPUTED_VALUE"""),"size:2182")</f>
        <v>size:2182</v>
      </c>
      <c r="BX3000" s="35" t="str">
        <f>IFERROR(__xludf.DUMMYFUNCTION("""COMPUTED_VALUE"""),"stargazers_count:86")</f>
        <v>stargazers_count:86</v>
      </c>
      <c r="BY3000" s="35" t="str">
        <f>IFERROR(__xludf.DUMMYFUNCTION("""COMPUTED_VALUE"""),"watchers_count:86")</f>
        <v>watchers_count:86</v>
      </c>
      <c r="BZ3000" s="35" t="str">
        <f>IFERROR(__xludf.DUMMYFUNCTION("""COMPUTED_VALUE"""),"language:""HTML""")</f>
        <v>language:"HTML"</v>
      </c>
      <c r="CA3000" s="35" t="str">
        <f>IFERROR(__xludf.DUMMYFUNCTION("""COMPUTED_VALUE"""),"has_issues:true")</f>
        <v>has_issues:true</v>
      </c>
      <c r="CB3000" s="35" t="str">
        <f>IFERROR(__xludf.DUMMYFUNCTION("""COMPUTED_VALUE"""),"has_projects:true")</f>
        <v>has_projects:true</v>
      </c>
      <c r="CC3000" s="35" t="str">
        <f>IFERROR(__xludf.DUMMYFUNCTION("""COMPUTED_VALUE"""),"has_downloads:true")</f>
        <v>has_downloads:true</v>
      </c>
      <c r="CD3000" s="35" t="str">
        <f>IFERROR(__xludf.DUMMYFUNCTION("""COMPUTED_VALUE"""),"has_wiki:true")</f>
        <v>has_wiki:true</v>
      </c>
      <c r="CE3000" s="35" t="str">
        <f>IFERROR(__xludf.DUMMYFUNCTION("""COMPUTED_VALUE"""),"has_pages:false")</f>
        <v>has_pages:false</v>
      </c>
      <c r="CF3000" s="35" t="str">
        <f>IFERROR(__xludf.DUMMYFUNCTION("""COMPUTED_VALUE"""),"forks_count:17")</f>
        <v>forks_count:17</v>
      </c>
      <c r="CG3000" s="35" t="str">
        <f>IFERROR(__xludf.DUMMYFUNCTION("""COMPUTED_VALUE"""),"mirror_url:null")</f>
        <v>mirror_url:null</v>
      </c>
      <c r="CH3000" s="35" t="str">
        <f>IFERROR(__xludf.DUMMYFUNCTION("""COMPUTED_VALUE"""),"archived:false")</f>
        <v>archived:false</v>
      </c>
      <c r="CI3000" s="35" t="str">
        <f>IFERROR(__xludf.DUMMYFUNCTION("""COMPUTED_VALUE"""),"disabled:false")</f>
        <v>disabled:false</v>
      </c>
      <c r="CJ3000" s="35" t="str">
        <f>IFERROR(__xludf.DUMMYFUNCTION("""COMPUTED_VALUE"""),"open_issues_count:0")</f>
        <v>open_issues_count:0</v>
      </c>
      <c r="CK3000" s="35" t="str">
        <f>IFERROR(__xludf.DUMMYFUNCTION("""COMPUTED_VALUE"""),"license:null")</f>
        <v>license:null</v>
      </c>
      <c r="CL3000" s="35" t="str">
        <f>IFERROR(__xludf.DUMMYFUNCTION("""COMPUTED_VALUE"""),"allow_forking:true")</f>
        <v>allow_forking:true</v>
      </c>
      <c r="CM3000" s="35" t="str">
        <f>IFERROR(__xludf.DUMMYFUNCTION("""COMPUTED_VALUE"""),"is_template:false")</f>
        <v>is_template:false</v>
      </c>
      <c r="CN3000" s="35" t="str">
        <f>IFERROR(__xludf.DUMMYFUNCTION("""COMPUTED_VALUE"""),"topics:[""data-structures""")</f>
        <v>topics:["data-structures"</v>
      </c>
      <c r="CO3000" s="35" t="str">
        <f>IFERROR(__xludf.DUMMYFUNCTION("""COMPUTED_VALUE"""),"dsa")</f>
        <v>dsa</v>
      </c>
      <c r="CP3000" s="35" t="str">
        <f>IFERROR(__xludf.DUMMYFUNCTION("""COMPUTED_VALUE"""),"leetcode")</f>
        <v>leetcode</v>
      </c>
      <c r="CQ3000" s="35" t="str">
        <f>IFERROR(__xludf.DUMMYFUNCTION("""COMPUTED_VALUE"""),"practice")</f>
        <v>practice</v>
      </c>
      <c r="CR3000" s="35" t="str">
        <f>IFERROR(__xludf.DUMMYFUNCTION("""COMPUTED_VALUE"""),"scraper]")</f>
        <v>scraper]</v>
      </c>
      <c r="CS3000" s="35" t="str">
        <f>IFERROR(__xludf.DUMMYFUNCTION("""COMPUTED_VALUE"""),"visibility:""public""")</f>
        <v>visibility:"public"</v>
      </c>
      <c r="CT3000" s="35" t="str">
        <f>IFERROR(__xludf.DUMMYFUNCTION("""COMPUTED_VALUE"""),"forks:17")</f>
        <v>forks:17</v>
      </c>
      <c r="CU3000" s="35" t="str">
        <f>IFERROR(__xludf.DUMMYFUNCTION("""COMPUTED_VALUE"""),"open_issues:0")</f>
        <v>open_issues:0</v>
      </c>
      <c r="CV3000" s="35" t="str">
        <f>IFERROR(__xludf.DUMMYFUNCTION("""COMPUTED_VALUE"""),"watchers:86")</f>
        <v>watchers:86</v>
      </c>
      <c r="CW3000" s="35" t="str">
        <f>IFERROR(__xludf.DUMMYFUNCTION("""COMPUTED_VALUE"""),"default_branch:""main""")</f>
        <v>default_branch:"main"</v>
      </c>
      <c r="CX3000" s="35" t="str">
        <f>IFERROR(__xludf.DUMMYFUNCTION("""COMPUTED_VALUE"""),"temp_clone_token:null")</f>
        <v>temp_clone_token:null</v>
      </c>
      <c r="CY3000" s="35" t="str">
        <f>IFERROR(__xludf.DUMMYFUNCTION("""COMPUTED_VALUE"""),"network_count:17")</f>
        <v>network_count:17</v>
      </c>
      <c r="CZ3000" s="35" t="str">
        <f>IFERROR(__xludf.DUMMYFUNCTION("""COMPUTED_VALUE"""),"subscribers_count:3}")</f>
        <v>subscribers_count:3}</v>
      </c>
    </row>
  </sheetData>
  <drawing r:id="rId1"/>
</worksheet>
</file>